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comments5.xml" ContentType="application/vnd.openxmlformats-officedocument.spreadsheetml.comments+xml"/>
  <Override PartName="/xl/drawings/drawing6.xml" ContentType="application/vnd.openxmlformats-officedocument.drawing+xml"/>
  <Override PartName="/xl/comments6.xml" ContentType="application/vnd.openxmlformats-officedocument.spreadsheetml.comments+xml"/>
  <Override PartName="/xl/drawings/drawing7.xml" ContentType="application/vnd.openxmlformats-officedocument.drawing+xml"/>
  <Override PartName="/xl/comments7.xml" ContentType="application/vnd.openxmlformats-officedocument.spreadsheetml.comments+xml"/>
  <Override PartName="/xl/drawings/drawing8.xml" ContentType="application/vnd.openxmlformats-officedocument.drawing+xml"/>
  <Override PartName="/xl/comments8.xml" ContentType="application/vnd.openxmlformats-officedocument.spreadsheetml.comments+xml"/>
  <Override PartName="/xl/drawings/drawing9.xml" ContentType="application/vnd.openxmlformats-officedocument.drawing+xml"/>
  <Override PartName="/xl/comments9.xml" ContentType="application/vnd.openxmlformats-officedocument.spreadsheetml.comments+xml"/>
  <Override PartName="/xl/drawings/drawing10.xml" ContentType="application/vnd.openxmlformats-officedocument.drawing+xml"/>
  <Override PartName="/xl/comments10.xml" ContentType="application/vnd.openxmlformats-officedocument.spreadsheetml.comments+xml"/>
  <Override PartName="/xl/drawings/drawing11.xml" ContentType="application/vnd.openxmlformats-officedocument.drawing+xml"/>
  <Override PartName="/xl/comments11.xml" ContentType="application/vnd.openxmlformats-officedocument.spreadsheetml.comments+xml"/>
  <Override PartName="/xl/drawings/drawing12.xml" ContentType="application/vnd.openxmlformats-officedocument.drawing+xml"/>
  <Override PartName="/xl/comments12.xml" ContentType="application/vnd.openxmlformats-officedocument.spreadsheetml.comments+xml"/>
  <Override PartName="/xl/drawings/drawing13.xml" ContentType="application/vnd.openxmlformats-officedocument.drawing+xml"/>
  <Override PartName="/xl/comments13.xml" ContentType="application/vnd.openxmlformats-officedocument.spreadsheetml.comments+xml"/>
  <Override PartName="/xl/drawings/drawing14.xml" ContentType="application/vnd.openxmlformats-officedocument.drawing+xml"/>
  <Override PartName="/xl/comments14.xml" ContentType="application/vnd.openxmlformats-officedocument.spreadsheetml.comments+xml"/>
  <Override PartName="/xl/drawings/drawing15.xml" ContentType="application/vnd.openxmlformats-officedocument.drawing+xml"/>
  <Override PartName="/xl/comments15.xml" ContentType="application/vnd.openxmlformats-officedocument.spreadsheetml.comments+xml"/>
  <Override PartName="/xl/drawings/drawing16.xml" ContentType="application/vnd.openxmlformats-officedocument.drawing+xml"/>
  <Override PartName="/xl/comments16.xml" ContentType="application/vnd.openxmlformats-officedocument.spreadsheetml.comments+xml"/>
  <Override PartName="/xl/drawings/drawing17.xml" ContentType="application/vnd.openxmlformats-officedocument.drawing+xml"/>
  <Override PartName="/xl/comments17.xml" ContentType="application/vnd.openxmlformats-officedocument.spreadsheetml.comments+xml"/>
  <Override PartName="/xl/drawings/drawing18.xml" ContentType="application/vnd.openxmlformats-officedocument.drawing+xml"/>
  <Override PartName="/xl/comments18.xml" ContentType="application/vnd.openxmlformats-officedocument.spreadsheetml.comments+xml"/>
  <Override PartName="/xl/drawings/drawing19.xml" ContentType="application/vnd.openxmlformats-officedocument.drawing+xml"/>
  <Override PartName="/xl/comments19.xml" ContentType="application/vnd.openxmlformats-officedocument.spreadsheetml.comments+xml"/>
  <Override PartName="/xl/drawings/drawing20.xml" ContentType="application/vnd.openxmlformats-officedocument.drawing+xml"/>
  <Override PartName="/xl/comments20.xml" ContentType="application/vnd.openxmlformats-officedocument.spreadsheetml.comments+xml"/>
  <Override PartName="/xl/drawings/drawing21.xml" ContentType="application/vnd.openxmlformats-officedocument.drawing+xml"/>
  <Override PartName="/xl/comments21.xml" ContentType="application/vnd.openxmlformats-officedocument.spreadsheetml.comments+xml"/>
  <Override PartName="/xl/drawings/drawing22.xml" ContentType="application/vnd.openxmlformats-officedocument.drawing+xml"/>
  <Override PartName="/xl/comments22.xml" ContentType="application/vnd.openxmlformats-officedocument.spreadsheetml.comments+xml"/>
  <Override PartName="/xl/drawings/drawing23.xml" ContentType="application/vnd.openxmlformats-officedocument.drawing+xml"/>
  <Override PartName="/xl/comments23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11028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/Users/edgarkruger/Desktop/Desktop/safety sheets/safety sheets/2023/"/>
    </mc:Choice>
  </mc:AlternateContent>
  <xr:revisionPtr revIDLastSave="0" documentId="8_{594EF7E4-38B2-E746-8C3F-73994A097C13}" xr6:coauthVersionLast="47" xr6:coauthVersionMax="47" xr10:uidLastSave="{00000000-0000-0000-0000-000000000000}"/>
  <bookViews>
    <workbookView xWindow="36920" yWindow="500" windowWidth="34560" windowHeight="20420" xr2:uid="{00000000-000D-0000-FFFF-FFFF00000000}"/>
  </bookViews>
  <sheets>
    <sheet name="AiRAY with FR AR" sheetId="1" r:id="rId1"/>
    <sheet name="AiRAY with FRT AR" sheetId="30" r:id="rId2"/>
    <sheet name="SCV F with FR AR" sheetId="2" r:id="rId3"/>
    <sheet name="SC2 F with FR AR" sheetId="22" r:id="rId4"/>
    <sheet name="SCV F+AiRAY" sheetId="3" r:id="rId5"/>
    <sheet name="SC2 F+AiRAY" sheetId="23" r:id="rId6"/>
    <sheet name="AiRAY+SC2 F+AiRAY" sheetId="24" r:id="rId7"/>
    <sheet name="AiRAY+SCV F+AiRAY" sheetId="7" r:id="rId8"/>
    <sheet name="SCV F+AiRAY with AR LINK" sheetId="26" r:id="rId9"/>
    <sheet name="SC2 F+AiRAY with AR LINK" sheetId="25" r:id="rId10"/>
    <sheet name="AiRAY+ViRAY with VR AR LINK" sheetId="20" r:id="rId11"/>
    <sheet name="AiRAY+SC2 F+AiRAY+ViRAY(FR AR)" sheetId="35" r:id="rId12"/>
    <sheet name="AiRAY+SC2 F+AiRAY+ViRAY(VRAR L)" sheetId="31" r:id="rId13"/>
    <sheet name="AiRAY+ViRAY with FR AR" sheetId="29" r:id="rId14"/>
    <sheet name="SCV F+AiRAY+ViRAY" sheetId="28" r:id="rId15"/>
    <sheet name="SC2 F+AiRAY+ViRAY" sheetId="27" r:id="rId16"/>
    <sheet name="AiRAY+CiRAY" sheetId="36" r:id="rId17"/>
    <sheet name="AiRAY+CiRAY+VIRAY" sheetId="37" r:id="rId18"/>
    <sheet name="AiRAY+SCV F+CiRAY" sheetId="38" r:id="rId19"/>
    <sheet name="AiRAY+SC2 F+CiRAY" sheetId="39" r:id="rId20"/>
    <sheet name="SCV F+AiRAY+CiRAY" sheetId="40" r:id="rId21"/>
    <sheet name="SC2 F+AiRAY+CiRAY" sheetId="41" r:id="rId22"/>
    <sheet name="AiRAY+SC2 F+CiRAY+ViRAY(VR-ARL)" sheetId="42" r:id="rId23"/>
  </sheets>
  <definedNames>
    <definedName name="_xlnm._FilterDatabase" localSheetId="0" hidden="1">'AiRAY with FR AR'!$AS$142:$AS$143</definedName>
    <definedName name="_xlnm._FilterDatabase" localSheetId="1" hidden="1">'AiRAY with FRT AR'!$AR$142:$AR$143</definedName>
    <definedName name="_xlnm._FilterDatabase" localSheetId="3" hidden="1">'SC2 F with FR AR'!#REF!</definedName>
    <definedName name="_xlnm._FilterDatabase" localSheetId="2" hidden="1">'SCV F with FR AR'!#REF!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L227" i="42" l="1"/>
  <c r="AM227" i="42"/>
  <c r="AN227" i="42"/>
  <c r="AO227" i="42"/>
  <c r="AP227" i="42"/>
  <c r="AQ227" i="42"/>
  <c r="AR227" i="42"/>
  <c r="AS227" i="42"/>
  <c r="AT227" i="42"/>
  <c r="AU227" i="42"/>
  <c r="AV227" i="42"/>
  <c r="AK227" i="42"/>
  <c r="AZ229" i="42"/>
  <c r="AL206" i="37"/>
  <c r="AM206" i="37"/>
  <c r="AN206" i="37"/>
  <c r="AO206" i="37"/>
  <c r="AP206" i="37"/>
  <c r="AQ206" i="37"/>
  <c r="AR206" i="37"/>
  <c r="AS206" i="37"/>
  <c r="AT206" i="37"/>
  <c r="AU206" i="37"/>
  <c r="AV206" i="37"/>
  <c r="AK206" i="37"/>
  <c r="AZ208" i="37"/>
  <c r="AW205" i="37" l="1"/>
  <c r="AW226" i="42"/>
  <c r="AL193" i="27" l="1"/>
  <c r="AM193" i="27"/>
  <c r="AN193" i="27"/>
  <c r="AO193" i="27"/>
  <c r="AP193" i="27"/>
  <c r="AQ193" i="27"/>
  <c r="AR193" i="27"/>
  <c r="AS193" i="27"/>
  <c r="AT193" i="27"/>
  <c r="AU193" i="27"/>
  <c r="AK193" i="27"/>
  <c r="AZ195" i="27"/>
  <c r="AL191" i="28"/>
  <c r="AM191" i="28"/>
  <c r="AN191" i="28"/>
  <c r="AO191" i="28"/>
  <c r="AP191" i="28"/>
  <c r="AQ191" i="28"/>
  <c r="AR191" i="28"/>
  <c r="AS191" i="28"/>
  <c r="AT191" i="28"/>
  <c r="AU191" i="28"/>
  <c r="AK191" i="28"/>
  <c r="AZ193" i="28"/>
  <c r="AU220" i="31"/>
  <c r="AT220" i="31"/>
  <c r="AS220" i="31"/>
  <c r="AR220" i="31"/>
  <c r="AQ220" i="31"/>
  <c r="AP220" i="31"/>
  <c r="AO220" i="31"/>
  <c r="AN220" i="31"/>
  <c r="AM220" i="31"/>
  <c r="AL220" i="31"/>
  <c r="AK220" i="31"/>
  <c r="AZ222" i="31"/>
  <c r="AY175" i="20"/>
  <c r="AY168" i="25"/>
  <c r="AW192" i="27" l="1"/>
  <c r="AW190" i="28"/>
  <c r="AW219" i="31"/>
  <c r="AK173" i="20"/>
  <c r="AL173" i="20"/>
  <c r="AM173" i="20"/>
  <c r="AN173" i="20"/>
  <c r="AO173" i="20"/>
  <c r="AP173" i="20"/>
  <c r="AQ173" i="20"/>
  <c r="AR173" i="20"/>
  <c r="AS173" i="20"/>
  <c r="AT173" i="20"/>
  <c r="AJ173" i="20"/>
  <c r="AY156" i="26"/>
  <c r="AV172" i="20" l="1"/>
  <c r="AI204" i="35"/>
  <c r="AI205" i="35"/>
  <c r="AI206" i="35"/>
  <c r="AI207" i="35"/>
  <c r="AI208" i="35"/>
  <c r="AI209" i="35"/>
  <c r="AI210" i="35"/>
  <c r="AI211" i="35"/>
  <c r="AI212" i="35"/>
  <c r="AI213" i="35"/>
  <c r="AI204" i="31"/>
  <c r="AI205" i="31"/>
  <c r="AI206" i="31"/>
  <c r="AI207" i="31"/>
  <c r="AI208" i="31"/>
  <c r="AI209" i="31"/>
  <c r="AI210" i="31"/>
  <c r="AI211" i="31"/>
  <c r="AI212" i="31"/>
  <c r="AI213" i="31"/>
  <c r="AI216" i="42"/>
  <c r="AI217" i="42"/>
  <c r="AI218" i="42"/>
  <c r="AI219" i="42"/>
  <c r="AI220" i="42"/>
  <c r="AI221" i="42"/>
  <c r="AQ239" i="42" l="1"/>
  <c r="J239" i="42"/>
  <c r="K239" i="42" s="1"/>
  <c r="L239" i="42" s="1"/>
  <c r="M239" i="42" s="1"/>
  <c r="N239" i="42" s="1"/>
  <c r="G239" i="42"/>
  <c r="AQ238" i="42"/>
  <c r="J238" i="42"/>
  <c r="K238" i="42" s="1"/>
  <c r="L238" i="42" s="1"/>
  <c r="M238" i="42" s="1"/>
  <c r="N238" i="42" s="1"/>
  <c r="G238" i="42"/>
  <c r="AQ237" i="42"/>
  <c r="J237" i="42"/>
  <c r="K237" i="42" s="1"/>
  <c r="L237" i="42" s="1"/>
  <c r="M237" i="42" s="1"/>
  <c r="N237" i="42" s="1"/>
  <c r="G237" i="42"/>
  <c r="AQ236" i="42"/>
  <c r="J236" i="42"/>
  <c r="K236" i="42" s="1"/>
  <c r="L236" i="42" s="1"/>
  <c r="M236" i="42" s="1"/>
  <c r="N236" i="42" s="1"/>
  <c r="G236" i="42"/>
  <c r="AQ235" i="42"/>
  <c r="J235" i="42"/>
  <c r="K235" i="42" s="1"/>
  <c r="L235" i="42" s="1"/>
  <c r="M235" i="42" s="1"/>
  <c r="N235" i="42" s="1"/>
  <c r="G235" i="42"/>
  <c r="AQ234" i="42"/>
  <c r="J234" i="42"/>
  <c r="K234" i="42" s="1"/>
  <c r="L234" i="42" s="1"/>
  <c r="M234" i="42" s="1"/>
  <c r="N234" i="42" s="1"/>
  <c r="G234" i="42"/>
  <c r="AQ233" i="42"/>
  <c r="J233" i="42"/>
  <c r="K233" i="42" s="1"/>
  <c r="L233" i="42" s="1"/>
  <c r="M233" i="42" s="1"/>
  <c r="N233" i="42" s="1"/>
  <c r="G233" i="42"/>
  <c r="AQ232" i="42"/>
  <c r="G232" i="42"/>
  <c r="AQ221" i="42"/>
  <c r="V221" i="42"/>
  <c r="AE221" i="42" s="1"/>
  <c r="J221" i="42"/>
  <c r="K221" i="42" s="1"/>
  <c r="L221" i="42" s="1"/>
  <c r="M221" i="42" s="1"/>
  <c r="N221" i="42" s="1"/>
  <c r="AQ220" i="42"/>
  <c r="V220" i="42"/>
  <c r="J220" i="42"/>
  <c r="K220" i="42" s="1"/>
  <c r="L220" i="42" s="1"/>
  <c r="M220" i="42" s="1"/>
  <c r="N220" i="42" s="1"/>
  <c r="AQ219" i="42"/>
  <c r="V219" i="42"/>
  <c r="J219" i="42"/>
  <c r="K219" i="42" s="1"/>
  <c r="L219" i="42" s="1"/>
  <c r="M219" i="42" s="1"/>
  <c r="N219" i="42" s="1"/>
  <c r="AQ218" i="42"/>
  <c r="V218" i="42"/>
  <c r="AE218" i="42" s="1"/>
  <c r="J218" i="42"/>
  <c r="K218" i="42" s="1"/>
  <c r="L218" i="42" s="1"/>
  <c r="M218" i="42" s="1"/>
  <c r="N218" i="42" s="1"/>
  <c r="AQ217" i="42"/>
  <c r="J217" i="42"/>
  <c r="K217" i="42" s="1"/>
  <c r="L217" i="42" s="1"/>
  <c r="M217" i="42" s="1"/>
  <c r="N217" i="42" s="1"/>
  <c r="AQ216" i="42"/>
  <c r="J216" i="42"/>
  <c r="K216" i="42" s="1"/>
  <c r="L216" i="42" s="1"/>
  <c r="M216" i="42" s="1"/>
  <c r="N216" i="42" s="1"/>
  <c r="AQ215" i="42"/>
  <c r="J215" i="42"/>
  <c r="K215" i="42" s="1"/>
  <c r="L215" i="42" s="1"/>
  <c r="M215" i="42" s="1"/>
  <c r="N215" i="42" s="1"/>
  <c r="AQ214" i="42"/>
  <c r="J214" i="42"/>
  <c r="K214" i="42" s="1"/>
  <c r="L214" i="42" s="1"/>
  <c r="M214" i="42" s="1"/>
  <c r="N214" i="42" s="1"/>
  <c r="AQ213" i="42"/>
  <c r="J213" i="42"/>
  <c r="K213" i="42" s="1"/>
  <c r="L213" i="42" s="1"/>
  <c r="M213" i="42" s="1"/>
  <c r="N213" i="42" s="1"/>
  <c r="AQ212" i="42"/>
  <c r="AR212" i="42" s="1"/>
  <c r="J212" i="42"/>
  <c r="K212" i="42" s="1"/>
  <c r="L212" i="42" s="1"/>
  <c r="M212" i="42" s="1"/>
  <c r="N212" i="42" s="1"/>
  <c r="AQ211" i="42"/>
  <c r="J211" i="42"/>
  <c r="K211" i="42" s="1"/>
  <c r="L211" i="42" s="1"/>
  <c r="M211" i="42" s="1"/>
  <c r="N211" i="42" s="1"/>
  <c r="AQ210" i="42"/>
  <c r="AR210" i="42" s="1"/>
  <c r="J210" i="42"/>
  <c r="K210" i="42" s="1"/>
  <c r="L210" i="42" s="1"/>
  <c r="M210" i="42" s="1"/>
  <c r="N210" i="42" s="1"/>
  <c r="AQ209" i="42"/>
  <c r="J209" i="42"/>
  <c r="K209" i="42" s="1"/>
  <c r="L209" i="42" s="1"/>
  <c r="M209" i="42" s="1"/>
  <c r="N209" i="42" s="1"/>
  <c r="AQ208" i="42"/>
  <c r="AR208" i="42" s="1"/>
  <c r="J208" i="42"/>
  <c r="K208" i="42" s="1"/>
  <c r="L208" i="42" s="1"/>
  <c r="M208" i="42" s="1"/>
  <c r="N208" i="42" s="1"/>
  <c r="AQ207" i="42"/>
  <c r="J207" i="42"/>
  <c r="K207" i="42" s="1"/>
  <c r="L207" i="42" s="1"/>
  <c r="M207" i="42" s="1"/>
  <c r="N207" i="42" s="1"/>
  <c r="AQ206" i="42"/>
  <c r="AR206" i="42" s="1"/>
  <c r="J206" i="42"/>
  <c r="K206" i="42" s="1"/>
  <c r="L206" i="42" s="1"/>
  <c r="M206" i="42" s="1"/>
  <c r="N206" i="42" s="1"/>
  <c r="AQ205" i="42"/>
  <c r="J205" i="42"/>
  <c r="K205" i="42" s="1"/>
  <c r="L205" i="42" s="1"/>
  <c r="M205" i="42" s="1"/>
  <c r="N205" i="42" s="1"/>
  <c r="AQ204" i="42"/>
  <c r="AR204" i="42" s="1"/>
  <c r="J204" i="42"/>
  <c r="K204" i="42" s="1"/>
  <c r="L204" i="42" s="1"/>
  <c r="M204" i="42" s="1"/>
  <c r="N204" i="42" s="1"/>
  <c r="AQ203" i="42"/>
  <c r="J203" i="42"/>
  <c r="K203" i="42" s="1"/>
  <c r="L203" i="42" s="1"/>
  <c r="M203" i="42" s="1"/>
  <c r="N203" i="42" s="1"/>
  <c r="AQ202" i="42"/>
  <c r="J202" i="42"/>
  <c r="K202" i="42" s="1"/>
  <c r="L202" i="42" s="1"/>
  <c r="M202" i="42" s="1"/>
  <c r="N202" i="42" s="1"/>
  <c r="AQ201" i="42"/>
  <c r="J201" i="42"/>
  <c r="K201" i="42" s="1"/>
  <c r="L201" i="42" s="1"/>
  <c r="M201" i="42" s="1"/>
  <c r="N201" i="42" s="1"/>
  <c r="AQ200" i="42"/>
  <c r="J200" i="42"/>
  <c r="K200" i="42" s="1"/>
  <c r="L200" i="42" s="1"/>
  <c r="M200" i="42" s="1"/>
  <c r="N200" i="42" s="1"/>
  <c r="AQ199" i="42"/>
  <c r="J199" i="42"/>
  <c r="K199" i="42" s="1"/>
  <c r="L199" i="42" s="1"/>
  <c r="M199" i="42" s="1"/>
  <c r="N199" i="42" s="1"/>
  <c r="AQ198" i="42"/>
  <c r="J198" i="42"/>
  <c r="K198" i="42" s="1"/>
  <c r="L198" i="42" s="1"/>
  <c r="M198" i="42" s="1"/>
  <c r="N198" i="42" s="1"/>
  <c r="AQ197" i="42"/>
  <c r="J197" i="42"/>
  <c r="K197" i="42" s="1"/>
  <c r="L197" i="42" s="1"/>
  <c r="M197" i="42" s="1"/>
  <c r="N197" i="42" s="1"/>
  <c r="AQ196" i="42"/>
  <c r="G196" i="42"/>
  <c r="F196" i="42" s="1"/>
  <c r="AQ183" i="42"/>
  <c r="AI183" i="42"/>
  <c r="AJ183" i="42" s="1"/>
  <c r="AK183" i="42" s="1"/>
  <c r="AL183" i="42" s="1"/>
  <c r="V183" i="42"/>
  <c r="AF183" i="42" s="1"/>
  <c r="J183" i="42"/>
  <c r="K183" i="42" s="1"/>
  <c r="L183" i="42" s="1"/>
  <c r="M183" i="42" s="1"/>
  <c r="N183" i="42" s="1"/>
  <c r="AQ182" i="42"/>
  <c r="AI182" i="42"/>
  <c r="AM182" i="42" s="1"/>
  <c r="AN182" i="42" s="1"/>
  <c r="AO182" i="42" s="1"/>
  <c r="V182" i="42"/>
  <c r="J182" i="42"/>
  <c r="K182" i="42" s="1"/>
  <c r="L182" i="42" s="1"/>
  <c r="M182" i="42" s="1"/>
  <c r="N182" i="42" s="1"/>
  <c r="AQ181" i="42"/>
  <c r="J181" i="42"/>
  <c r="K181" i="42" s="1"/>
  <c r="L181" i="42" s="1"/>
  <c r="M181" i="42" s="1"/>
  <c r="N181" i="42" s="1"/>
  <c r="AQ180" i="42"/>
  <c r="J180" i="42"/>
  <c r="K180" i="42" s="1"/>
  <c r="L180" i="42" s="1"/>
  <c r="M180" i="42" s="1"/>
  <c r="N180" i="42" s="1"/>
  <c r="AQ179" i="42"/>
  <c r="J179" i="42"/>
  <c r="K179" i="42" s="1"/>
  <c r="L179" i="42" s="1"/>
  <c r="M179" i="42" s="1"/>
  <c r="N179" i="42" s="1"/>
  <c r="AQ178" i="42"/>
  <c r="J178" i="42"/>
  <c r="K178" i="42" s="1"/>
  <c r="L178" i="42" s="1"/>
  <c r="M178" i="42" s="1"/>
  <c r="N178" i="42" s="1"/>
  <c r="AQ177" i="42"/>
  <c r="J177" i="42"/>
  <c r="K177" i="42" s="1"/>
  <c r="L177" i="42" s="1"/>
  <c r="M177" i="42" s="1"/>
  <c r="N177" i="42" s="1"/>
  <c r="AQ176" i="42"/>
  <c r="J176" i="42"/>
  <c r="K176" i="42" s="1"/>
  <c r="L176" i="42" s="1"/>
  <c r="M176" i="42" s="1"/>
  <c r="N176" i="42" s="1"/>
  <c r="AQ175" i="42"/>
  <c r="J175" i="42"/>
  <c r="K175" i="42" s="1"/>
  <c r="L175" i="42" s="1"/>
  <c r="M175" i="42" s="1"/>
  <c r="N175" i="42" s="1"/>
  <c r="AQ174" i="42"/>
  <c r="J174" i="42"/>
  <c r="K174" i="42" s="1"/>
  <c r="L174" i="42" s="1"/>
  <c r="M174" i="42" s="1"/>
  <c r="N174" i="42" s="1"/>
  <c r="AQ173" i="42"/>
  <c r="J173" i="42"/>
  <c r="K173" i="42" s="1"/>
  <c r="L173" i="42" s="1"/>
  <c r="M173" i="42" s="1"/>
  <c r="N173" i="42" s="1"/>
  <c r="AQ172" i="42"/>
  <c r="BF166" i="42"/>
  <c r="BF167" i="42" s="1"/>
  <c r="BF168" i="42" s="1"/>
  <c r="BF169" i="42" s="1"/>
  <c r="BF170" i="42" s="1"/>
  <c r="BF171" i="42" s="1"/>
  <c r="BF172" i="42" s="1"/>
  <c r="BF173" i="42" s="1"/>
  <c r="BF174" i="42" s="1"/>
  <c r="BF175" i="42" s="1"/>
  <c r="BF176" i="42" s="1"/>
  <c r="BF177" i="42" s="1"/>
  <c r="BF178" i="42" s="1"/>
  <c r="BF179" i="42" s="1"/>
  <c r="BF180" i="42" s="1"/>
  <c r="BF181" i="42" s="1"/>
  <c r="BF182" i="42" s="1"/>
  <c r="BF183" i="42" s="1"/>
  <c r="BF184" i="42" s="1"/>
  <c r="BF185" i="42" s="1"/>
  <c r="BF186" i="42" s="1"/>
  <c r="BF190" i="42" s="1"/>
  <c r="BF191" i="42" s="1"/>
  <c r="BF192" i="42" s="1"/>
  <c r="BF193" i="42" s="1"/>
  <c r="BF194" i="42" s="1"/>
  <c r="BF195" i="42" s="1"/>
  <c r="BF196" i="42" s="1"/>
  <c r="BF197" i="42" s="1"/>
  <c r="BF198" i="42" s="1"/>
  <c r="BF199" i="42" s="1"/>
  <c r="BF200" i="42" s="1"/>
  <c r="BF201" i="42" s="1"/>
  <c r="BF202" i="42" s="1"/>
  <c r="BF203" i="42" s="1"/>
  <c r="BF204" i="42" s="1"/>
  <c r="BG165" i="42"/>
  <c r="AQ159" i="42"/>
  <c r="J159" i="42"/>
  <c r="K159" i="42" s="1"/>
  <c r="L159" i="42" s="1"/>
  <c r="M159" i="42" s="1"/>
  <c r="N159" i="42" s="1"/>
  <c r="AQ158" i="42"/>
  <c r="J158" i="42"/>
  <c r="K158" i="42" s="1"/>
  <c r="L158" i="42" s="1"/>
  <c r="M158" i="42" s="1"/>
  <c r="N158" i="42" s="1"/>
  <c r="AQ157" i="42"/>
  <c r="J157" i="42"/>
  <c r="K157" i="42" s="1"/>
  <c r="L157" i="42" s="1"/>
  <c r="M157" i="42" s="1"/>
  <c r="N157" i="42" s="1"/>
  <c r="AQ156" i="42"/>
  <c r="J156" i="42"/>
  <c r="K156" i="42" s="1"/>
  <c r="L156" i="42" s="1"/>
  <c r="M156" i="42" s="1"/>
  <c r="N156" i="42" s="1"/>
  <c r="AQ155" i="42"/>
  <c r="J155" i="42"/>
  <c r="K155" i="42" s="1"/>
  <c r="L155" i="42" s="1"/>
  <c r="M155" i="42" s="1"/>
  <c r="N155" i="42" s="1"/>
  <c r="AQ154" i="42"/>
  <c r="J154" i="42"/>
  <c r="K154" i="42" s="1"/>
  <c r="L154" i="42" s="1"/>
  <c r="M154" i="42" s="1"/>
  <c r="N154" i="42" s="1"/>
  <c r="AQ153" i="42"/>
  <c r="J153" i="42"/>
  <c r="K153" i="42" s="1"/>
  <c r="L153" i="42" s="1"/>
  <c r="M153" i="42" s="1"/>
  <c r="N153" i="42" s="1"/>
  <c r="AQ152" i="42"/>
  <c r="J152" i="42"/>
  <c r="K152" i="42" s="1"/>
  <c r="L152" i="42" s="1"/>
  <c r="M152" i="42" s="1"/>
  <c r="N152" i="42" s="1"/>
  <c r="AQ151" i="42"/>
  <c r="J151" i="42"/>
  <c r="K151" i="42" s="1"/>
  <c r="L151" i="42" s="1"/>
  <c r="M151" i="42" s="1"/>
  <c r="N151" i="42" s="1"/>
  <c r="AQ150" i="42"/>
  <c r="J150" i="42"/>
  <c r="K150" i="42" s="1"/>
  <c r="L150" i="42" s="1"/>
  <c r="M150" i="42" s="1"/>
  <c r="N150" i="42" s="1"/>
  <c r="AQ149" i="42"/>
  <c r="J149" i="42"/>
  <c r="K149" i="42" s="1"/>
  <c r="L149" i="42" s="1"/>
  <c r="M149" i="42" s="1"/>
  <c r="N149" i="42" s="1"/>
  <c r="AQ148" i="42"/>
  <c r="J148" i="42"/>
  <c r="K148" i="42" s="1"/>
  <c r="L148" i="42" s="1"/>
  <c r="M148" i="42" s="1"/>
  <c r="N148" i="42" s="1"/>
  <c r="AQ147" i="42"/>
  <c r="J147" i="42"/>
  <c r="K147" i="42" s="1"/>
  <c r="L147" i="42" s="1"/>
  <c r="M147" i="42" s="1"/>
  <c r="N147" i="42" s="1"/>
  <c r="AQ146" i="42"/>
  <c r="J146" i="42"/>
  <c r="K146" i="42" s="1"/>
  <c r="L146" i="42" s="1"/>
  <c r="M146" i="42" s="1"/>
  <c r="N146" i="42" s="1"/>
  <c r="AQ145" i="42"/>
  <c r="J145" i="42"/>
  <c r="K145" i="42" s="1"/>
  <c r="L145" i="42" s="1"/>
  <c r="M145" i="42" s="1"/>
  <c r="N145" i="42" s="1"/>
  <c r="AQ144" i="42"/>
  <c r="J144" i="42"/>
  <c r="K144" i="42" s="1"/>
  <c r="L144" i="42" s="1"/>
  <c r="M144" i="42" s="1"/>
  <c r="N144" i="42" s="1"/>
  <c r="AQ143" i="42"/>
  <c r="J143" i="42"/>
  <c r="K143" i="42" s="1"/>
  <c r="L143" i="42" s="1"/>
  <c r="M143" i="42" s="1"/>
  <c r="N143" i="42" s="1"/>
  <c r="AQ142" i="42"/>
  <c r="J142" i="42"/>
  <c r="K142" i="42" s="1"/>
  <c r="L142" i="42" s="1"/>
  <c r="M142" i="42" s="1"/>
  <c r="N142" i="42" s="1"/>
  <c r="AQ141" i="42"/>
  <c r="J141" i="42"/>
  <c r="K141" i="42" s="1"/>
  <c r="L141" i="42" s="1"/>
  <c r="M141" i="42" s="1"/>
  <c r="N141" i="42" s="1"/>
  <c r="AQ140" i="42"/>
  <c r="G140" i="42"/>
  <c r="C140" i="42"/>
  <c r="AM136" i="42"/>
  <c r="AN136" i="42" s="1"/>
  <c r="AO136" i="42" s="1"/>
  <c r="CN130" i="42"/>
  <c r="CN132" i="42" s="1"/>
  <c r="CL130" i="42"/>
  <c r="CL132" i="42" s="1"/>
  <c r="CF130" i="42"/>
  <c r="CF132" i="42" s="1"/>
  <c r="CD130" i="42"/>
  <c r="CD132" i="42" s="1"/>
  <c r="CQ86" i="42"/>
  <c r="CO86" i="42"/>
  <c r="CM86" i="42"/>
  <c r="CK86" i="42"/>
  <c r="CI86" i="42"/>
  <c r="CG86" i="42"/>
  <c r="CE86" i="42"/>
  <c r="CC86" i="42"/>
  <c r="H24" i="42"/>
  <c r="C19" i="42"/>
  <c r="C17" i="42"/>
  <c r="C14" i="42"/>
  <c r="C11" i="42"/>
  <c r="H8" i="42"/>
  <c r="H7" i="42"/>
  <c r="D4" i="42"/>
  <c r="F2" i="42"/>
  <c r="E2" i="42"/>
  <c r="D2" i="42"/>
  <c r="BG225" i="41"/>
  <c r="BG226" i="41" s="1"/>
  <c r="BG227" i="41" s="1"/>
  <c r="BG228" i="41" s="1"/>
  <c r="BG229" i="41" s="1"/>
  <c r="BG230" i="41" s="1"/>
  <c r="BG231" i="41" s="1"/>
  <c r="BG232" i="41" s="1"/>
  <c r="BG233" i="41" s="1"/>
  <c r="BG234" i="41" s="1"/>
  <c r="BG235" i="41" s="1"/>
  <c r="BG236" i="41" s="1"/>
  <c r="BG237" i="41" s="1"/>
  <c r="BG238" i="41" s="1"/>
  <c r="BG239" i="41" s="1"/>
  <c r="BG240" i="41" s="1"/>
  <c r="BG241" i="41" s="1"/>
  <c r="BG242" i="41" s="1"/>
  <c r="BG243" i="41" s="1"/>
  <c r="BG244" i="41" s="1"/>
  <c r="BG245" i="41" s="1"/>
  <c r="BG246" i="41" s="1"/>
  <c r="BG247" i="41" s="1"/>
  <c r="BG248" i="41" s="1"/>
  <c r="BG249" i="41" s="1"/>
  <c r="BG250" i="41" s="1"/>
  <c r="BG251" i="41" s="1"/>
  <c r="BG252" i="41" s="1"/>
  <c r="BG253" i="41" s="1"/>
  <c r="BG254" i="41" s="1"/>
  <c r="BG255" i="41" s="1"/>
  <c r="BG256" i="41" s="1"/>
  <c r="BG257" i="41" s="1"/>
  <c r="BG258" i="41" s="1"/>
  <c r="BG259" i="41" s="1"/>
  <c r="BG260" i="41" s="1"/>
  <c r="BH224" i="41"/>
  <c r="AQ220" i="41"/>
  <c r="V220" i="41"/>
  <c r="AF220" i="41" s="1"/>
  <c r="J220" i="41"/>
  <c r="K220" i="41" s="1"/>
  <c r="L220" i="41" s="1"/>
  <c r="M220" i="41" s="1"/>
  <c r="N220" i="41" s="1"/>
  <c r="G220" i="41"/>
  <c r="AQ219" i="41"/>
  <c r="V219" i="41"/>
  <c r="J219" i="41"/>
  <c r="K219" i="41" s="1"/>
  <c r="L219" i="41" s="1"/>
  <c r="M219" i="41" s="1"/>
  <c r="N219" i="41" s="1"/>
  <c r="G219" i="41"/>
  <c r="AQ218" i="41"/>
  <c r="V218" i="41"/>
  <c r="J218" i="41"/>
  <c r="K218" i="41" s="1"/>
  <c r="L218" i="41" s="1"/>
  <c r="M218" i="41" s="1"/>
  <c r="N218" i="41" s="1"/>
  <c r="G218" i="41"/>
  <c r="AQ217" i="41"/>
  <c r="V217" i="41"/>
  <c r="J217" i="41"/>
  <c r="K217" i="41" s="1"/>
  <c r="L217" i="41" s="1"/>
  <c r="M217" i="41" s="1"/>
  <c r="N217" i="41" s="1"/>
  <c r="G217" i="41"/>
  <c r="AQ216" i="41"/>
  <c r="V216" i="41"/>
  <c r="J216" i="41"/>
  <c r="K216" i="41" s="1"/>
  <c r="L216" i="41" s="1"/>
  <c r="M216" i="41" s="1"/>
  <c r="N216" i="41" s="1"/>
  <c r="G216" i="41"/>
  <c r="AQ215" i="41"/>
  <c r="V215" i="41"/>
  <c r="J215" i="41"/>
  <c r="K215" i="41" s="1"/>
  <c r="L215" i="41" s="1"/>
  <c r="M215" i="41" s="1"/>
  <c r="N215" i="41" s="1"/>
  <c r="G215" i="41"/>
  <c r="AQ214" i="41"/>
  <c r="V214" i="41"/>
  <c r="K214" i="41"/>
  <c r="L214" i="41" s="1"/>
  <c r="M214" i="41" s="1"/>
  <c r="N214" i="41" s="1"/>
  <c r="J214" i="41"/>
  <c r="G214" i="41"/>
  <c r="AQ213" i="41"/>
  <c r="V213" i="41"/>
  <c r="J213" i="41"/>
  <c r="K213" i="41" s="1"/>
  <c r="L213" i="41" s="1"/>
  <c r="M213" i="41" s="1"/>
  <c r="N213" i="41" s="1"/>
  <c r="G213" i="41"/>
  <c r="AQ212" i="41"/>
  <c r="J212" i="41"/>
  <c r="K212" i="41" s="1"/>
  <c r="L212" i="41" s="1"/>
  <c r="M212" i="41" s="1"/>
  <c r="N212" i="41" s="1"/>
  <c r="G212" i="41"/>
  <c r="AQ211" i="41"/>
  <c r="J211" i="41"/>
  <c r="K211" i="41" s="1"/>
  <c r="L211" i="41" s="1"/>
  <c r="M211" i="41" s="1"/>
  <c r="N211" i="41" s="1"/>
  <c r="G211" i="41"/>
  <c r="AQ210" i="41"/>
  <c r="J210" i="41"/>
  <c r="K210" i="41" s="1"/>
  <c r="L210" i="41" s="1"/>
  <c r="M210" i="41" s="1"/>
  <c r="N210" i="41" s="1"/>
  <c r="G210" i="41"/>
  <c r="AQ209" i="41"/>
  <c r="J209" i="41"/>
  <c r="K209" i="41" s="1"/>
  <c r="L209" i="41" s="1"/>
  <c r="M209" i="41" s="1"/>
  <c r="N209" i="41" s="1"/>
  <c r="G209" i="41"/>
  <c r="AQ208" i="41"/>
  <c r="J208" i="41"/>
  <c r="K208" i="41" s="1"/>
  <c r="L208" i="41" s="1"/>
  <c r="M208" i="41" s="1"/>
  <c r="N208" i="41" s="1"/>
  <c r="G208" i="41"/>
  <c r="AQ207" i="41"/>
  <c r="J207" i="41"/>
  <c r="K207" i="41" s="1"/>
  <c r="L207" i="41" s="1"/>
  <c r="M207" i="41" s="1"/>
  <c r="N207" i="41" s="1"/>
  <c r="G207" i="41"/>
  <c r="AQ206" i="41"/>
  <c r="J206" i="41"/>
  <c r="K206" i="41" s="1"/>
  <c r="L206" i="41" s="1"/>
  <c r="M206" i="41" s="1"/>
  <c r="N206" i="41" s="1"/>
  <c r="G206" i="41"/>
  <c r="AQ205" i="41"/>
  <c r="J205" i="41"/>
  <c r="K205" i="41" s="1"/>
  <c r="L205" i="41" s="1"/>
  <c r="M205" i="41" s="1"/>
  <c r="N205" i="41" s="1"/>
  <c r="G205" i="41"/>
  <c r="AQ204" i="41"/>
  <c r="J204" i="41"/>
  <c r="K204" i="41" s="1"/>
  <c r="L204" i="41" s="1"/>
  <c r="M204" i="41" s="1"/>
  <c r="N204" i="41" s="1"/>
  <c r="G204" i="41"/>
  <c r="AQ203" i="41"/>
  <c r="J203" i="41"/>
  <c r="K203" i="41" s="1"/>
  <c r="L203" i="41" s="1"/>
  <c r="M203" i="41" s="1"/>
  <c r="N203" i="41" s="1"/>
  <c r="G203" i="41"/>
  <c r="AQ202" i="41"/>
  <c r="J202" i="41"/>
  <c r="K202" i="41" s="1"/>
  <c r="L202" i="41" s="1"/>
  <c r="M202" i="41" s="1"/>
  <c r="N202" i="41" s="1"/>
  <c r="G202" i="41"/>
  <c r="AQ201" i="41"/>
  <c r="J201" i="41"/>
  <c r="K201" i="41" s="1"/>
  <c r="L201" i="41" s="1"/>
  <c r="M201" i="41" s="1"/>
  <c r="N201" i="41" s="1"/>
  <c r="G201" i="41"/>
  <c r="AQ200" i="41"/>
  <c r="J200" i="41"/>
  <c r="K200" i="41" s="1"/>
  <c r="L200" i="41" s="1"/>
  <c r="M200" i="41" s="1"/>
  <c r="N200" i="41" s="1"/>
  <c r="G200" i="41"/>
  <c r="AQ199" i="41"/>
  <c r="J199" i="41"/>
  <c r="K199" i="41" s="1"/>
  <c r="L199" i="41" s="1"/>
  <c r="M199" i="41" s="1"/>
  <c r="N199" i="41" s="1"/>
  <c r="G199" i="41"/>
  <c r="AQ198" i="41"/>
  <c r="J198" i="41"/>
  <c r="K198" i="41" s="1"/>
  <c r="L198" i="41" s="1"/>
  <c r="M198" i="41" s="1"/>
  <c r="N198" i="41" s="1"/>
  <c r="G198" i="41"/>
  <c r="AQ197" i="41"/>
  <c r="J197" i="41"/>
  <c r="K197" i="41" s="1"/>
  <c r="L197" i="41" s="1"/>
  <c r="M197" i="41" s="1"/>
  <c r="N197" i="41" s="1"/>
  <c r="G197" i="41"/>
  <c r="AQ196" i="41"/>
  <c r="J196" i="41"/>
  <c r="K196" i="41" s="1"/>
  <c r="L196" i="41" s="1"/>
  <c r="M196" i="41" s="1"/>
  <c r="N196" i="41" s="1"/>
  <c r="G196" i="41"/>
  <c r="AQ195" i="41"/>
  <c r="G195" i="41"/>
  <c r="AQ185" i="41"/>
  <c r="AI185" i="41"/>
  <c r="V185" i="41"/>
  <c r="J185" i="41"/>
  <c r="K185" i="41" s="1"/>
  <c r="L185" i="41" s="1"/>
  <c r="M185" i="41" s="1"/>
  <c r="N185" i="41" s="1"/>
  <c r="G185" i="41"/>
  <c r="AQ184" i="41"/>
  <c r="AI184" i="41"/>
  <c r="V184" i="41"/>
  <c r="AE184" i="41" s="1"/>
  <c r="J184" i="41"/>
  <c r="K184" i="41" s="1"/>
  <c r="L184" i="41" s="1"/>
  <c r="M184" i="41" s="1"/>
  <c r="N184" i="41" s="1"/>
  <c r="G184" i="41"/>
  <c r="AQ183" i="41"/>
  <c r="J183" i="41"/>
  <c r="K183" i="41" s="1"/>
  <c r="L183" i="41" s="1"/>
  <c r="M183" i="41" s="1"/>
  <c r="N183" i="41" s="1"/>
  <c r="G183" i="41"/>
  <c r="AQ182" i="41"/>
  <c r="J182" i="41"/>
  <c r="K182" i="41" s="1"/>
  <c r="L182" i="41" s="1"/>
  <c r="M182" i="41" s="1"/>
  <c r="N182" i="41" s="1"/>
  <c r="G182" i="41"/>
  <c r="AQ181" i="41"/>
  <c r="J181" i="41"/>
  <c r="K181" i="41" s="1"/>
  <c r="L181" i="41" s="1"/>
  <c r="M181" i="41" s="1"/>
  <c r="N181" i="41" s="1"/>
  <c r="G181" i="41"/>
  <c r="AQ180" i="41"/>
  <c r="J180" i="41"/>
  <c r="K180" i="41" s="1"/>
  <c r="L180" i="41" s="1"/>
  <c r="M180" i="41" s="1"/>
  <c r="N180" i="41" s="1"/>
  <c r="G180" i="41"/>
  <c r="AQ179" i="41"/>
  <c r="J179" i="41"/>
  <c r="K179" i="41" s="1"/>
  <c r="L179" i="41" s="1"/>
  <c r="M179" i="41" s="1"/>
  <c r="N179" i="41" s="1"/>
  <c r="G179" i="41"/>
  <c r="AQ178" i="41"/>
  <c r="J178" i="41"/>
  <c r="K178" i="41" s="1"/>
  <c r="L178" i="41" s="1"/>
  <c r="M178" i="41" s="1"/>
  <c r="N178" i="41" s="1"/>
  <c r="G178" i="41"/>
  <c r="AQ177" i="41"/>
  <c r="J177" i="41"/>
  <c r="K177" i="41" s="1"/>
  <c r="L177" i="41" s="1"/>
  <c r="M177" i="41" s="1"/>
  <c r="N177" i="41" s="1"/>
  <c r="G177" i="41"/>
  <c r="AQ176" i="41"/>
  <c r="J176" i="41"/>
  <c r="K176" i="41" s="1"/>
  <c r="L176" i="41" s="1"/>
  <c r="M176" i="41" s="1"/>
  <c r="N176" i="41" s="1"/>
  <c r="G176" i="41"/>
  <c r="AQ175" i="41"/>
  <c r="J175" i="41"/>
  <c r="K175" i="41" s="1"/>
  <c r="L175" i="41" s="1"/>
  <c r="M175" i="41" s="1"/>
  <c r="N175" i="41" s="1"/>
  <c r="G175" i="41"/>
  <c r="AQ174" i="41"/>
  <c r="J174" i="41"/>
  <c r="K174" i="41" s="1"/>
  <c r="L174" i="41" s="1"/>
  <c r="M174" i="41" s="1"/>
  <c r="N174" i="41" s="1"/>
  <c r="G174" i="41"/>
  <c r="AQ173" i="41"/>
  <c r="J173" i="41"/>
  <c r="K173" i="41" s="1"/>
  <c r="L173" i="41" s="1"/>
  <c r="M173" i="41" s="1"/>
  <c r="N173" i="41" s="1"/>
  <c r="G173" i="41"/>
  <c r="AQ172" i="41"/>
  <c r="J172" i="41"/>
  <c r="K172" i="41" s="1"/>
  <c r="L172" i="41" s="1"/>
  <c r="M172" i="41" s="1"/>
  <c r="N172" i="41" s="1"/>
  <c r="G172" i="41"/>
  <c r="AQ171" i="41"/>
  <c r="J171" i="41"/>
  <c r="K171" i="41" s="1"/>
  <c r="L171" i="41" s="1"/>
  <c r="M171" i="41" s="1"/>
  <c r="N171" i="41" s="1"/>
  <c r="G171" i="41"/>
  <c r="AQ170" i="41"/>
  <c r="J170" i="41"/>
  <c r="K170" i="41" s="1"/>
  <c r="L170" i="41" s="1"/>
  <c r="M170" i="41" s="1"/>
  <c r="N170" i="41" s="1"/>
  <c r="G170" i="41"/>
  <c r="AQ169" i="41"/>
  <c r="J169" i="41"/>
  <c r="K169" i="41" s="1"/>
  <c r="L169" i="41" s="1"/>
  <c r="M169" i="41" s="1"/>
  <c r="N169" i="41" s="1"/>
  <c r="G169" i="41"/>
  <c r="AQ168" i="41"/>
  <c r="J168" i="41"/>
  <c r="K168" i="41" s="1"/>
  <c r="L168" i="41" s="1"/>
  <c r="M168" i="41" s="1"/>
  <c r="N168" i="41" s="1"/>
  <c r="G168" i="41"/>
  <c r="AQ167" i="41"/>
  <c r="AR167" i="41" s="1"/>
  <c r="J167" i="41"/>
  <c r="K167" i="41" s="1"/>
  <c r="L167" i="41" s="1"/>
  <c r="M167" i="41" s="1"/>
  <c r="N167" i="41" s="1"/>
  <c r="G167" i="41"/>
  <c r="AQ166" i="41"/>
  <c r="G166" i="41"/>
  <c r="AQ153" i="41"/>
  <c r="AI153" i="41"/>
  <c r="AJ153" i="41" s="1"/>
  <c r="AK153" i="41" s="1"/>
  <c r="AL153" i="41" s="1"/>
  <c r="V153" i="41"/>
  <c r="J153" i="41"/>
  <c r="K153" i="41" s="1"/>
  <c r="L153" i="41" s="1"/>
  <c r="M153" i="41" s="1"/>
  <c r="N153" i="41" s="1"/>
  <c r="AQ152" i="41"/>
  <c r="AI152" i="41"/>
  <c r="AJ152" i="41" s="1"/>
  <c r="AK152" i="41" s="1"/>
  <c r="AL152" i="41" s="1"/>
  <c r="V152" i="41"/>
  <c r="J152" i="41"/>
  <c r="K152" i="41" s="1"/>
  <c r="L152" i="41" s="1"/>
  <c r="M152" i="41" s="1"/>
  <c r="N152" i="41" s="1"/>
  <c r="AQ151" i="41"/>
  <c r="J151" i="41"/>
  <c r="K151" i="41" s="1"/>
  <c r="L151" i="41" s="1"/>
  <c r="M151" i="41" s="1"/>
  <c r="N151" i="41" s="1"/>
  <c r="AQ150" i="41"/>
  <c r="J150" i="41"/>
  <c r="K150" i="41" s="1"/>
  <c r="L150" i="41" s="1"/>
  <c r="M150" i="41" s="1"/>
  <c r="N150" i="41" s="1"/>
  <c r="AQ149" i="41"/>
  <c r="K149" i="41"/>
  <c r="L149" i="41" s="1"/>
  <c r="M149" i="41" s="1"/>
  <c r="N149" i="41" s="1"/>
  <c r="J149" i="41"/>
  <c r="AQ148" i="41"/>
  <c r="J148" i="41"/>
  <c r="K148" i="41" s="1"/>
  <c r="L148" i="41" s="1"/>
  <c r="M148" i="41" s="1"/>
  <c r="N148" i="41" s="1"/>
  <c r="AQ147" i="41"/>
  <c r="J147" i="41"/>
  <c r="K147" i="41" s="1"/>
  <c r="L147" i="41" s="1"/>
  <c r="M147" i="41" s="1"/>
  <c r="N147" i="41" s="1"/>
  <c r="AQ146" i="41"/>
  <c r="J146" i="41"/>
  <c r="K146" i="41" s="1"/>
  <c r="L146" i="41" s="1"/>
  <c r="M146" i="41" s="1"/>
  <c r="N146" i="41" s="1"/>
  <c r="AQ145" i="41"/>
  <c r="J145" i="41"/>
  <c r="K145" i="41" s="1"/>
  <c r="L145" i="41" s="1"/>
  <c r="M145" i="41" s="1"/>
  <c r="N145" i="41" s="1"/>
  <c r="AQ144" i="41"/>
  <c r="J144" i="41"/>
  <c r="K144" i="41" s="1"/>
  <c r="L144" i="41" s="1"/>
  <c r="M144" i="41" s="1"/>
  <c r="N144" i="41" s="1"/>
  <c r="AQ143" i="41"/>
  <c r="K143" i="41"/>
  <c r="L143" i="41" s="1"/>
  <c r="M143" i="41" s="1"/>
  <c r="N143" i="41" s="1"/>
  <c r="J143" i="41"/>
  <c r="AQ142" i="41"/>
  <c r="C142" i="41"/>
  <c r="AH153" i="41" s="1"/>
  <c r="AM138" i="41"/>
  <c r="AN138" i="41" s="1"/>
  <c r="AO138" i="41" s="1"/>
  <c r="CN124" i="41"/>
  <c r="CN126" i="41" s="1"/>
  <c r="CL124" i="41"/>
  <c r="CL126" i="41" s="1"/>
  <c r="CF124" i="41"/>
  <c r="CF126" i="41" s="1"/>
  <c r="CD124" i="41"/>
  <c r="CD126" i="41" s="1"/>
  <c r="CQ57" i="41"/>
  <c r="CO57" i="41"/>
  <c r="CM57" i="41"/>
  <c r="CK57" i="41"/>
  <c r="CI57" i="41"/>
  <c r="CG57" i="41"/>
  <c r="CE57" i="41"/>
  <c r="CC57" i="41"/>
  <c r="H22" i="41"/>
  <c r="C17" i="41"/>
  <c r="C14" i="41"/>
  <c r="C11" i="41"/>
  <c r="H8" i="41"/>
  <c r="H7" i="41"/>
  <c r="D4" i="41"/>
  <c r="F2" i="41"/>
  <c r="E2" i="41"/>
  <c r="D2" i="41"/>
  <c r="AQ220" i="40"/>
  <c r="V220" i="40"/>
  <c r="AF220" i="40" s="1"/>
  <c r="J220" i="40"/>
  <c r="K220" i="40" s="1"/>
  <c r="L220" i="40" s="1"/>
  <c r="M220" i="40" s="1"/>
  <c r="N220" i="40" s="1"/>
  <c r="G220" i="40"/>
  <c r="AQ219" i="40"/>
  <c r="V219" i="40"/>
  <c r="J219" i="40"/>
  <c r="K219" i="40" s="1"/>
  <c r="L219" i="40" s="1"/>
  <c r="M219" i="40" s="1"/>
  <c r="N219" i="40" s="1"/>
  <c r="G219" i="40"/>
  <c r="AQ218" i="40"/>
  <c r="J218" i="40"/>
  <c r="K218" i="40" s="1"/>
  <c r="L218" i="40" s="1"/>
  <c r="M218" i="40" s="1"/>
  <c r="N218" i="40" s="1"/>
  <c r="G218" i="40"/>
  <c r="AQ217" i="40"/>
  <c r="J217" i="40"/>
  <c r="K217" i="40" s="1"/>
  <c r="L217" i="40" s="1"/>
  <c r="M217" i="40" s="1"/>
  <c r="N217" i="40" s="1"/>
  <c r="G217" i="40"/>
  <c r="AQ216" i="40"/>
  <c r="J216" i="40"/>
  <c r="K216" i="40" s="1"/>
  <c r="L216" i="40" s="1"/>
  <c r="M216" i="40" s="1"/>
  <c r="N216" i="40" s="1"/>
  <c r="G216" i="40"/>
  <c r="AQ215" i="40"/>
  <c r="J215" i="40"/>
  <c r="K215" i="40" s="1"/>
  <c r="L215" i="40" s="1"/>
  <c r="M215" i="40" s="1"/>
  <c r="N215" i="40" s="1"/>
  <c r="G215" i="40"/>
  <c r="AQ214" i="40"/>
  <c r="J214" i="40"/>
  <c r="K214" i="40" s="1"/>
  <c r="L214" i="40" s="1"/>
  <c r="M214" i="40" s="1"/>
  <c r="N214" i="40" s="1"/>
  <c r="G214" i="40"/>
  <c r="AQ213" i="40"/>
  <c r="J213" i="40"/>
  <c r="K213" i="40" s="1"/>
  <c r="L213" i="40" s="1"/>
  <c r="M213" i="40" s="1"/>
  <c r="N213" i="40" s="1"/>
  <c r="G213" i="40"/>
  <c r="BG212" i="40"/>
  <c r="BG213" i="40" s="1"/>
  <c r="BG214" i="40" s="1"/>
  <c r="BG215" i="40" s="1"/>
  <c r="BG216" i="40" s="1"/>
  <c r="BG217" i="40" s="1"/>
  <c r="BG218" i="40" s="1"/>
  <c r="BG219" i="40" s="1"/>
  <c r="BG220" i="40" s="1"/>
  <c r="BG221" i="40" s="1"/>
  <c r="BG222" i="40" s="1"/>
  <c r="BG223" i="40" s="1"/>
  <c r="BG224" i="40" s="1"/>
  <c r="BG225" i="40" s="1"/>
  <c r="BG226" i="40" s="1"/>
  <c r="BG227" i="40" s="1"/>
  <c r="BG228" i="40" s="1"/>
  <c r="BG229" i="40" s="1"/>
  <c r="BG230" i="40" s="1"/>
  <c r="BG231" i="40" s="1"/>
  <c r="BG232" i="40" s="1"/>
  <c r="BG233" i="40" s="1"/>
  <c r="BG234" i="40" s="1"/>
  <c r="BG235" i="40" s="1"/>
  <c r="BG236" i="40" s="1"/>
  <c r="BG237" i="40" s="1"/>
  <c r="BG238" i="40" s="1"/>
  <c r="BG239" i="40" s="1"/>
  <c r="BG240" i="40" s="1"/>
  <c r="BG241" i="40" s="1"/>
  <c r="BG242" i="40" s="1"/>
  <c r="BG243" i="40" s="1"/>
  <c r="BG244" i="40" s="1"/>
  <c r="BG245" i="40" s="1"/>
  <c r="BG246" i="40" s="1"/>
  <c r="BG247" i="40" s="1"/>
  <c r="AQ212" i="40"/>
  <c r="J212" i="40"/>
  <c r="K212" i="40" s="1"/>
  <c r="L212" i="40" s="1"/>
  <c r="M212" i="40" s="1"/>
  <c r="N212" i="40" s="1"/>
  <c r="G212" i="40"/>
  <c r="BH211" i="40"/>
  <c r="AQ211" i="40"/>
  <c r="J211" i="40"/>
  <c r="K211" i="40" s="1"/>
  <c r="L211" i="40" s="1"/>
  <c r="M211" i="40" s="1"/>
  <c r="N211" i="40" s="1"/>
  <c r="G211" i="40"/>
  <c r="AQ210" i="40"/>
  <c r="J210" i="40"/>
  <c r="K210" i="40" s="1"/>
  <c r="L210" i="40" s="1"/>
  <c r="M210" i="40" s="1"/>
  <c r="N210" i="40" s="1"/>
  <c r="G210" i="40"/>
  <c r="AQ209" i="40"/>
  <c r="J209" i="40"/>
  <c r="K209" i="40" s="1"/>
  <c r="L209" i="40" s="1"/>
  <c r="M209" i="40" s="1"/>
  <c r="N209" i="40" s="1"/>
  <c r="G209" i="40"/>
  <c r="AQ208" i="40"/>
  <c r="J208" i="40"/>
  <c r="K208" i="40" s="1"/>
  <c r="L208" i="40" s="1"/>
  <c r="M208" i="40" s="1"/>
  <c r="N208" i="40" s="1"/>
  <c r="G208" i="40"/>
  <c r="AQ207" i="40"/>
  <c r="J207" i="40"/>
  <c r="K207" i="40" s="1"/>
  <c r="L207" i="40" s="1"/>
  <c r="M207" i="40" s="1"/>
  <c r="N207" i="40" s="1"/>
  <c r="G207" i="40"/>
  <c r="AQ206" i="40"/>
  <c r="J206" i="40"/>
  <c r="K206" i="40" s="1"/>
  <c r="L206" i="40" s="1"/>
  <c r="M206" i="40" s="1"/>
  <c r="N206" i="40" s="1"/>
  <c r="G206" i="40"/>
  <c r="AQ205" i="40"/>
  <c r="J205" i="40"/>
  <c r="K205" i="40" s="1"/>
  <c r="L205" i="40" s="1"/>
  <c r="M205" i="40" s="1"/>
  <c r="N205" i="40" s="1"/>
  <c r="G205" i="40"/>
  <c r="AQ204" i="40"/>
  <c r="J204" i="40"/>
  <c r="K204" i="40" s="1"/>
  <c r="L204" i="40" s="1"/>
  <c r="M204" i="40" s="1"/>
  <c r="N204" i="40" s="1"/>
  <c r="G204" i="40"/>
  <c r="AQ203" i="40"/>
  <c r="J203" i="40"/>
  <c r="K203" i="40" s="1"/>
  <c r="L203" i="40" s="1"/>
  <c r="M203" i="40" s="1"/>
  <c r="N203" i="40" s="1"/>
  <c r="G203" i="40"/>
  <c r="AQ202" i="40"/>
  <c r="J202" i="40"/>
  <c r="K202" i="40" s="1"/>
  <c r="L202" i="40" s="1"/>
  <c r="M202" i="40" s="1"/>
  <c r="N202" i="40" s="1"/>
  <c r="G202" i="40"/>
  <c r="AQ201" i="40"/>
  <c r="J201" i="40"/>
  <c r="K201" i="40" s="1"/>
  <c r="L201" i="40" s="1"/>
  <c r="M201" i="40" s="1"/>
  <c r="N201" i="40" s="1"/>
  <c r="G201" i="40"/>
  <c r="AQ200" i="40"/>
  <c r="J200" i="40"/>
  <c r="K200" i="40" s="1"/>
  <c r="L200" i="40" s="1"/>
  <c r="M200" i="40" s="1"/>
  <c r="N200" i="40" s="1"/>
  <c r="G200" i="40"/>
  <c r="AQ199" i="40"/>
  <c r="J199" i="40"/>
  <c r="K199" i="40" s="1"/>
  <c r="L199" i="40" s="1"/>
  <c r="M199" i="40" s="1"/>
  <c r="N199" i="40" s="1"/>
  <c r="G199" i="40"/>
  <c r="AQ198" i="40"/>
  <c r="J198" i="40"/>
  <c r="K198" i="40" s="1"/>
  <c r="L198" i="40" s="1"/>
  <c r="M198" i="40" s="1"/>
  <c r="N198" i="40" s="1"/>
  <c r="G198" i="40"/>
  <c r="AQ197" i="40"/>
  <c r="J197" i="40"/>
  <c r="K197" i="40" s="1"/>
  <c r="L197" i="40" s="1"/>
  <c r="M197" i="40" s="1"/>
  <c r="N197" i="40" s="1"/>
  <c r="G197" i="40"/>
  <c r="AQ196" i="40"/>
  <c r="J196" i="40"/>
  <c r="K196" i="40" s="1"/>
  <c r="L196" i="40" s="1"/>
  <c r="M196" i="40" s="1"/>
  <c r="N196" i="40" s="1"/>
  <c r="G196" i="40"/>
  <c r="AQ195" i="40"/>
  <c r="G195" i="40"/>
  <c r="AQ183" i="40"/>
  <c r="AI183" i="40"/>
  <c r="V183" i="40"/>
  <c r="AF183" i="40" s="1"/>
  <c r="J183" i="40"/>
  <c r="K183" i="40" s="1"/>
  <c r="L183" i="40" s="1"/>
  <c r="M183" i="40" s="1"/>
  <c r="N183" i="40" s="1"/>
  <c r="G183" i="40"/>
  <c r="AQ182" i="40"/>
  <c r="J182" i="40"/>
  <c r="K182" i="40" s="1"/>
  <c r="L182" i="40" s="1"/>
  <c r="M182" i="40" s="1"/>
  <c r="N182" i="40" s="1"/>
  <c r="G182" i="40"/>
  <c r="AQ181" i="40"/>
  <c r="J181" i="40"/>
  <c r="K181" i="40" s="1"/>
  <c r="L181" i="40" s="1"/>
  <c r="M181" i="40" s="1"/>
  <c r="N181" i="40" s="1"/>
  <c r="G181" i="40"/>
  <c r="AQ180" i="40"/>
  <c r="J180" i="40"/>
  <c r="K180" i="40" s="1"/>
  <c r="L180" i="40" s="1"/>
  <c r="M180" i="40" s="1"/>
  <c r="N180" i="40" s="1"/>
  <c r="G180" i="40"/>
  <c r="AQ179" i="40"/>
  <c r="AR179" i="40" s="1"/>
  <c r="J179" i="40"/>
  <c r="K179" i="40" s="1"/>
  <c r="L179" i="40" s="1"/>
  <c r="M179" i="40" s="1"/>
  <c r="N179" i="40" s="1"/>
  <c r="G179" i="40"/>
  <c r="AQ178" i="40"/>
  <c r="AR178" i="40" s="1"/>
  <c r="J178" i="40"/>
  <c r="K178" i="40" s="1"/>
  <c r="L178" i="40" s="1"/>
  <c r="M178" i="40" s="1"/>
  <c r="N178" i="40" s="1"/>
  <c r="G178" i="40"/>
  <c r="AQ177" i="40"/>
  <c r="J177" i="40"/>
  <c r="K177" i="40" s="1"/>
  <c r="L177" i="40" s="1"/>
  <c r="M177" i="40" s="1"/>
  <c r="N177" i="40" s="1"/>
  <c r="G177" i="40"/>
  <c r="AQ176" i="40"/>
  <c r="J176" i="40"/>
  <c r="K176" i="40" s="1"/>
  <c r="L176" i="40" s="1"/>
  <c r="M176" i="40" s="1"/>
  <c r="N176" i="40" s="1"/>
  <c r="G176" i="40"/>
  <c r="AQ175" i="40"/>
  <c r="AR175" i="40" s="1"/>
  <c r="J175" i="40"/>
  <c r="K175" i="40" s="1"/>
  <c r="L175" i="40" s="1"/>
  <c r="M175" i="40" s="1"/>
  <c r="N175" i="40" s="1"/>
  <c r="G175" i="40"/>
  <c r="AQ174" i="40"/>
  <c r="J174" i="40"/>
  <c r="K174" i="40" s="1"/>
  <c r="L174" i="40" s="1"/>
  <c r="M174" i="40" s="1"/>
  <c r="N174" i="40" s="1"/>
  <c r="G174" i="40"/>
  <c r="AQ173" i="40"/>
  <c r="AR173" i="40" s="1"/>
  <c r="J173" i="40"/>
  <c r="K173" i="40" s="1"/>
  <c r="L173" i="40" s="1"/>
  <c r="M173" i="40" s="1"/>
  <c r="N173" i="40" s="1"/>
  <c r="G173" i="40"/>
  <c r="AQ172" i="40"/>
  <c r="AR172" i="40" s="1"/>
  <c r="J172" i="40"/>
  <c r="K172" i="40" s="1"/>
  <c r="L172" i="40" s="1"/>
  <c r="M172" i="40" s="1"/>
  <c r="N172" i="40" s="1"/>
  <c r="G172" i="40"/>
  <c r="AQ171" i="40"/>
  <c r="AR171" i="40" s="1"/>
  <c r="J171" i="40"/>
  <c r="K171" i="40" s="1"/>
  <c r="L171" i="40" s="1"/>
  <c r="M171" i="40" s="1"/>
  <c r="N171" i="40" s="1"/>
  <c r="G171" i="40"/>
  <c r="AQ170" i="40"/>
  <c r="AR170" i="40" s="1"/>
  <c r="J170" i="40"/>
  <c r="K170" i="40" s="1"/>
  <c r="L170" i="40" s="1"/>
  <c r="M170" i="40" s="1"/>
  <c r="N170" i="40" s="1"/>
  <c r="G170" i="40"/>
  <c r="AQ169" i="40"/>
  <c r="AR169" i="40" s="1"/>
  <c r="J169" i="40"/>
  <c r="K169" i="40" s="1"/>
  <c r="L169" i="40" s="1"/>
  <c r="M169" i="40" s="1"/>
  <c r="N169" i="40" s="1"/>
  <c r="G169" i="40"/>
  <c r="AQ168" i="40"/>
  <c r="AR168" i="40" s="1"/>
  <c r="J168" i="40"/>
  <c r="K168" i="40" s="1"/>
  <c r="L168" i="40" s="1"/>
  <c r="M168" i="40" s="1"/>
  <c r="N168" i="40" s="1"/>
  <c r="G168" i="40"/>
  <c r="AQ167" i="40"/>
  <c r="AR167" i="40" s="1"/>
  <c r="J167" i="40"/>
  <c r="K167" i="40" s="1"/>
  <c r="L167" i="40" s="1"/>
  <c r="M167" i="40" s="1"/>
  <c r="N167" i="40" s="1"/>
  <c r="G167" i="40"/>
  <c r="AQ166" i="40"/>
  <c r="AR166" i="40" s="1"/>
  <c r="J166" i="40"/>
  <c r="K166" i="40" s="1"/>
  <c r="L166" i="40" s="1"/>
  <c r="M166" i="40" s="1"/>
  <c r="N166" i="40" s="1"/>
  <c r="G166" i="40"/>
  <c r="AQ165" i="40"/>
  <c r="AR165" i="40" s="1"/>
  <c r="J165" i="40"/>
  <c r="K165" i="40" s="1"/>
  <c r="L165" i="40" s="1"/>
  <c r="M165" i="40" s="1"/>
  <c r="N165" i="40" s="1"/>
  <c r="G165" i="40"/>
  <c r="AQ164" i="40"/>
  <c r="AR164" i="40" s="1"/>
  <c r="G164" i="40"/>
  <c r="AQ158" i="40"/>
  <c r="AQ157" i="40"/>
  <c r="AM157" i="40"/>
  <c r="AN157" i="40" s="1"/>
  <c r="AO157" i="40" s="1"/>
  <c r="AQ156" i="40"/>
  <c r="AQ155" i="40"/>
  <c r="AQ154" i="40"/>
  <c r="AQ153" i="40"/>
  <c r="AR153" i="40" s="1"/>
  <c r="AI153" i="40"/>
  <c r="V153" i="40"/>
  <c r="J153" i="40"/>
  <c r="K153" i="40" s="1"/>
  <c r="L153" i="40" s="1"/>
  <c r="M153" i="40" s="1"/>
  <c r="N153" i="40" s="1"/>
  <c r="AQ152" i="40"/>
  <c r="AR152" i="40" s="1"/>
  <c r="AI152" i="40"/>
  <c r="V152" i="40"/>
  <c r="J152" i="40"/>
  <c r="K152" i="40" s="1"/>
  <c r="L152" i="40" s="1"/>
  <c r="M152" i="40" s="1"/>
  <c r="N152" i="40" s="1"/>
  <c r="AQ151" i="40"/>
  <c r="AR151" i="40" s="1"/>
  <c r="J151" i="40"/>
  <c r="K151" i="40" s="1"/>
  <c r="L151" i="40" s="1"/>
  <c r="M151" i="40" s="1"/>
  <c r="N151" i="40" s="1"/>
  <c r="AQ150" i="40"/>
  <c r="J150" i="40"/>
  <c r="K150" i="40" s="1"/>
  <c r="L150" i="40" s="1"/>
  <c r="M150" i="40" s="1"/>
  <c r="N150" i="40" s="1"/>
  <c r="AQ149" i="40"/>
  <c r="J149" i="40"/>
  <c r="K149" i="40" s="1"/>
  <c r="L149" i="40" s="1"/>
  <c r="M149" i="40" s="1"/>
  <c r="N149" i="40" s="1"/>
  <c r="AQ148" i="40"/>
  <c r="J148" i="40"/>
  <c r="K148" i="40" s="1"/>
  <c r="L148" i="40" s="1"/>
  <c r="M148" i="40" s="1"/>
  <c r="N148" i="40" s="1"/>
  <c r="AQ147" i="40"/>
  <c r="J147" i="40"/>
  <c r="K147" i="40" s="1"/>
  <c r="L147" i="40" s="1"/>
  <c r="M147" i="40" s="1"/>
  <c r="N147" i="40" s="1"/>
  <c r="AQ146" i="40"/>
  <c r="J146" i="40"/>
  <c r="K146" i="40" s="1"/>
  <c r="L146" i="40" s="1"/>
  <c r="M146" i="40" s="1"/>
  <c r="N146" i="40" s="1"/>
  <c r="AQ145" i="40"/>
  <c r="J145" i="40"/>
  <c r="K145" i="40" s="1"/>
  <c r="L145" i="40" s="1"/>
  <c r="M145" i="40" s="1"/>
  <c r="N145" i="40" s="1"/>
  <c r="AQ144" i="40"/>
  <c r="J144" i="40"/>
  <c r="K144" i="40" s="1"/>
  <c r="L144" i="40" s="1"/>
  <c r="M144" i="40" s="1"/>
  <c r="N144" i="40" s="1"/>
  <c r="AQ143" i="40"/>
  <c r="J143" i="40"/>
  <c r="K143" i="40" s="1"/>
  <c r="L143" i="40" s="1"/>
  <c r="M143" i="40" s="1"/>
  <c r="N143" i="40" s="1"/>
  <c r="AQ142" i="40"/>
  <c r="C142" i="40"/>
  <c r="O153" i="40" s="1"/>
  <c r="P153" i="40" s="1"/>
  <c r="Q153" i="40" s="1"/>
  <c r="AM138" i="40"/>
  <c r="AN138" i="40" s="1"/>
  <c r="AO138" i="40" s="1"/>
  <c r="CN100" i="40"/>
  <c r="CN102" i="40" s="1"/>
  <c r="CL100" i="40"/>
  <c r="CL102" i="40" s="1"/>
  <c r="CF100" i="40"/>
  <c r="CF102" i="40" s="1"/>
  <c r="CD100" i="40"/>
  <c r="CD102" i="40" s="1"/>
  <c r="CQ57" i="40"/>
  <c r="CO57" i="40"/>
  <c r="CM57" i="40"/>
  <c r="CK57" i="40"/>
  <c r="CI57" i="40"/>
  <c r="CG57" i="40"/>
  <c r="CE57" i="40"/>
  <c r="CC57" i="40"/>
  <c r="H22" i="40"/>
  <c r="C17" i="40"/>
  <c r="C14" i="40"/>
  <c r="C11" i="40"/>
  <c r="H8" i="40"/>
  <c r="H7" i="40"/>
  <c r="D4" i="40"/>
  <c r="F2" i="40"/>
  <c r="E2" i="40"/>
  <c r="D2" i="40"/>
  <c r="AQ220" i="39"/>
  <c r="V220" i="39"/>
  <c r="J220" i="39"/>
  <c r="K220" i="39" s="1"/>
  <c r="L220" i="39" s="1"/>
  <c r="M220" i="39" s="1"/>
  <c r="N220" i="39" s="1"/>
  <c r="AQ219" i="39"/>
  <c r="V219" i="39"/>
  <c r="J219" i="39"/>
  <c r="K219" i="39" s="1"/>
  <c r="L219" i="39" s="1"/>
  <c r="M219" i="39" s="1"/>
  <c r="N219" i="39" s="1"/>
  <c r="AQ218" i="39"/>
  <c r="J218" i="39"/>
  <c r="K218" i="39" s="1"/>
  <c r="L218" i="39" s="1"/>
  <c r="M218" i="39" s="1"/>
  <c r="N218" i="39" s="1"/>
  <c r="AQ217" i="39"/>
  <c r="J217" i="39"/>
  <c r="K217" i="39" s="1"/>
  <c r="L217" i="39" s="1"/>
  <c r="M217" i="39" s="1"/>
  <c r="N217" i="39" s="1"/>
  <c r="AQ216" i="39"/>
  <c r="J216" i="39"/>
  <c r="K216" i="39" s="1"/>
  <c r="L216" i="39" s="1"/>
  <c r="M216" i="39" s="1"/>
  <c r="N216" i="39" s="1"/>
  <c r="AQ215" i="39"/>
  <c r="J215" i="39"/>
  <c r="K215" i="39" s="1"/>
  <c r="L215" i="39" s="1"/>
  <c r="M215" i="39" s="1"/>
  <c r="N215" i="39" s="1"/>
  <c r="AQ214" i="39"/>
  <c r="J214" i="39"/>
  <c r="K214" i="39" s="1"/>
  <c r="L214" i="39" s="1"/>
  <c r="M214" i="39" s="1"/>
  <c r="N214" i="39" s="1"/>
  <c r="AQ213" i="39"/>
  <c r="J213" i="39"/>
  <c r="K213" i="39" s="1"/>
  <c r="L213" i="39" s="1"/>
  <c r="M213" i="39" s="1"/>
  <c r="N213" i="39" s="1"/>
  <c r="AQ212" i="39"/>
  <c r="J212" i="39"/>
  <c r="K212" i="39" s="1"/>
  <c r="L212" i="39" s="1"/>
  <c r="M212" i="39" s="1"/>
  <c r="N212" i="39" s="1"/>
  <c r="AQ211" i="39"/>
  <c r="J211" i="39"/>
  <c r="K211" i="39" s="1"/>
  <c r="L211" i="39" s="1"/>
  <c r="M211" i="39" s="1"/>
  <c r="N211" i="39" s="1"/>
  <c r="AQ210" i="39"/>
  <c r="J210" i="39"/>
  <c r="K210" i="39" s="1"/>
  <c r="L210" i="39" s="1"/>
  <c r="M210" i="39" s="1"/>
  <c r="N210" i="39" s="1"/>
  <c r="AQ209" i="39"/>
  <c r="J209" i="39"/>
  <c r="K209" i="39" s="1"/>
  <c r="L209" i="39" s="1"/>
  <c r="M209" i="39" s="1"/>
  <c r="N209" i="39" s="1"/>
  <c r="AQ208" i="39"/>
  <c r="J208" i="39"/>
  <c r="K208" i="39" s="1"/>
  <c r="L208" i="39" s="1"/>
  <c r="M208" i="39" s="1"/>
  <c r="N208" i="39" s="1"/>
  <c r="AQ207" i="39"/>
  <c r="J207" i="39"/>
  <c r="K207" i="39" s="1"/>
  <c r="L207" i="39" s="1"/>
  <c r="M207" i="39" s="1"/>
  <c r="N207" i="39" s="1"/>
  <c r="AQ206" i="39"/>
  <c r="J206" i="39"/>
  <c r="K206" i="39" s="1"/>
  <c r="L206" i="39" s="1"/>
  <c r="M206" i="39" s="1"/>
  <c r="N206" i="39" s="1"/>
  <c r="AQ205" i="39"/>
  <c r="J205" i="39"/>
  <c r="K205" i="39" s="1"/>
  <c r="L205" i="39" s="1"/>
  <c r="M205" i="39" s="1"/>
  <c r="N205" i="39" s="1"/>
  <c r="AQ204" i="39"/>
  <c r="J204" i="39"/>
  <c r="K204" i="39" s="1"/>
  <c r="L204" i="39" s="1"/>
  <c r="M204" i="39" s="1"/>
  <c r="N204" i="39" s="1"/>
  <c r="AQ203" i="39"/>
  <c r="J203" i="39"/>
  <c r="K203" i="39" s="1"/>
  <c r="L203" i="39" s="1"/>
  <c r="M203" i="39" s="1"/>
  <c r="N203" i="39" s="1"/>
  <c r="AQ202" i="39"/>
  <c r="J202" i="39"/>
  <c r="K202" i="39" s="1"/>
  <c r="L202" i="39" s="1"/>
  <c r="M202" i="39" s="1"/>
  <c r="N202" i="39" s="1"/>
  <c r="AQ201" i="39"/>
  <c r="J201" i="39"/>
  <c r="K201" i="39" s="1"/>
  <c r="L201" i="39" s="1"/>
  <c r="M201" i="39" s="1"/>
  <c r="N201" i="39" s="1"/>
  <c r="AQ200" i="39"/>
  <c r="J200" i="39"/>
  <c r="K200" i="39" s="1"/>
  <c r="L200" i="39" s="1"/>
  <c r="M200" i="39" s="1"/>
  <c r="N200" i="39" s="1"/>
  <c r="AQ199" i="39"/>
  <c r="J199" i="39"/>
  <c r="K199" i="39" s="1"/>
  <c r="L199" i="39" s="1"/>
  <c r="M199" i="39" s="1"/>
  <c r="N199" i="39" s="1"/>
  <c r="AQ198" i="39"/>
  <c r="J198" i="39"/>
  <c r="K198" i="39" s="1"/>
  <c r="L198" i="39" s="1"/>
  <c r="M198" i="39" s="1"/>
  <c r="N198" i="39" s="1"/>
  <c r="AQ197" i="39"/>
  <c r="J197" i="39"/>
  <c r="K197" i="39" s="1"/>
  <c r="L197" i="39" s="1"/>
  <c r="M197" i="39" s="1"/>
  <c r="N197" i="39" s="1"/>
  <c r="AQ196" i="39"/>
  <c r="J196" i="39"/>
  <c r="K196" i="39" s="1"/>
  <c r="L196" i="39" s="1"/>
  <c r="M196" i="39" s="1"/>
  <c r="N196" i="39" s="1"/>
  <c r="AQ195" i="39"/>
  <c r="G195" i="39"/>
  <c r="F195" i="39" s="1"/>
  <c r="AQ182" i="39"/>
  <c r="AI182" i="39"/>
  <c r="AM182" i="39" s="1"/>
  <c r="AN182" i="39" s="1"/>
  <c r="AO182" i="39" s="1"/>
  <c r="V182" i="39"/>
  <c r="J182" i="39"/>
  <c r="K182" i="39" s="1"/>
  <c r="L182" i="39" s="1"/>
  <c r="M182" i="39" s="1"/>
  <c r="N182" i="39" s="1"/>
  <c r="AQ181" i="39"/>
  <c r="AI181" i="39"/>
  <c r="AJ181" i="39" s="1"/>
  <c r="AK181" i="39" s="1"/>
  <c r="AL181" i="39" s="1"/>
  <c r="V181" i="39"/>
  <c r="J181" i="39"/>
  <c r="K181" i="39" s="1"/>
  <c r="L181" i="39" s="1"/>
  <c r="M181" i="39" s="1"/>
  <c r="N181" i="39" s="1"/>
  <c r="AQ180" i="39"/>
  <c r="AR180" i="39" s="1"/>
  <c r="J180" i="39"/>
  <c r="K180" i="39" s="1"/>
  <c r="L180" i="39" s="1"/>
  <c r="M180" i="39" s="1"/>
  <c r="N180" i="39" s="1"/>
  <c r="AQ179" i="39"/>
  <c r="J179" i="39"/>
  <c r="K179" i="39" s="1"/>
  <c r="L179" i="39" s="1"/>
  <c r="M179" i="39" s="1"/>
  <c r="N179" i="39" s="1"/>
  <c r="AQ178" i="39"/>
  <c r="J178" i="39"/>
  <c r="K178" i="39" s="1"/>
  <c r="L178" i="39" s="1"/>
  <c r="M178" i="39" s="1"/>
  <c r="N178" i="39" s="1"/>
  <c r="AQ177" i="39"/>
  <c r="J177" i="39"/>
  <c r="K177" i="39" s="1"/>
  <c r="L177" i="39" s="1"/>
  <c r="M177" i="39" s="1"/>
  <c r="N177" i="39" s="1"/>
  <c r="AQ176" i="39"/>
  <c r="J176" i="39"/>
  <c r="K176" i="39" s="1"/>
  <c r="L176" i="39" s="1"/>
  <c r="M176" i="39" s="1"/>
  <c r="N176" i="39" s="1"/>
  <c r="AQ175" i="39"/>
  <c r="J175" i="39"/>
  <c r="K175" i="39" s="1"/>
  <c r="L175" i="39" s="1"/>
  <c r="M175" i="39" s="1"/>
  <c r="N175" i="39" s="1"/>
  <c r="AQ174" i="39"/>
  <c r="J174" i="39"/>
  <c r="K174" i="39" s="1"/>
  <c r="L174" i="39" s="1"/>
  <c r="M174" i="39" s="1"/>
  <c r="N174" i="39" s="1"/>
  <c r="AQ173" i="39"/>
  <c r="J173" i="39"/>
  <c r="K173" i="39" s="1"/>
  <c r="L173" i="39" s="1"/>
  <c r="M173" i="39" s="1"/>
  <c r="N173" i="39" s="1"/>
  <c r="AQ172" i="39"/>
  <c r="J172" i="39"/>
  <c r="K172" i="39" s="1"/>
  <c r="L172" i="39" s="1"/>
  <c r="M172" i="39" s="1"/>
  <c r="N172" i="39" s="1"/>
  <c r="AQ171" i="39"/>
  <c r="BF165" i="39"/>
  <c r="BF166" i="39" s="1"/>
  <c r="BF167" i="39" s="1"/>
  <c r="BF168" i="39" s="1"/>
  <c r="BF169" i="39" s="1"/>
  <c r="BF170" i="39" s="1"/>
  <c r="BF171" i="39" s="1"/>
  <c r="BF172" i="39" s="1"/>
  <c r="BF173" i="39" s="1"/>
  <c r="BF174" i="39" s="1"/>
  <c r="BF175" i="39" s="1"/>
  <c r="BF176" i="39" s="1"/>
  <c r="BF177" i="39" s="1"/>
  <c r="BF178" i="39" s="1"/>
  <c r="BF179" i="39" s="1"/>
  <c r="BF180" i="39" s="1"/>
  <c r="BF181" i="39" s="1"/>
  <c r="BF182" i="39" s="1"/>
  <c r="BF183" i="39" s="1"/>
  <c r="BF184" i="39" s="1"/>
  <c r="BF185" i="39" s="1"/>
  <c r="BF189" i="39" s="1"/>
  <c r="BF190" i="39" s="1"/>
  <c r="BF191" i="39" s="1"/>
  <c r="BF192" i="39" s="1"/>
  <c r="BF193" i="39" s="1"/>
  <c r="BF194" i="39" s="1"/>
  <c r="BF195" i="39" s="1"/>
  <c r="BF196" i="39" s="1"/>
  <c r="BF197" i="39" s="1"/>
  <c r="BF198" i="39" s="1"/>
  <c r="BF199" i="39" s="1"/>
  <c r="BF200" i="39" s="1"/>
  <c r="BF201" i="39" s="1"/>
  <c r="BF202" i="39" s="1"/>
  <c r="BF203" i="39" s="1"/>
  <c r="BG164" i="39"/>
  <c r="AQ158" i="39"/>
  <c r="AI158" i="39"/>
  <c r="V158" i="39"/>
  <c r="AF158" i="39" s="1"/>
  <c r="J158" i="39"/>
  <c r="K158" i="39" s="1"/>
  <c r="L158" i="39" s="1"/>
  <c r="M158" i="39" s="1"/>
  <c r="N158" i="39" s="1"/>
  <c r="AQ157" i="39"/>
  <c r="AI157" i="39"/>
  <c r="V157" i="39"/>
  <c r="J157" i="39"/>
  <c r="K157" i="39" s="1"/>
  <c r="L157" i="39" s="1"/>
  <c r="M157" i="39" s="1"/>
  <c r="N157" i="39" s="1"/>
  <c r="AQ156" i="39"/>
  <c r="AI156" i="39"/>
  <c r="V156" i="39"/>
  <c r="AE156" i="39" s="1"/>
  <c r="J156" i="39"/>
  <c r="K156" i="39" s="1"/>
  <c r="L156" i="39" s="1"/>
  <c r="M156" i="39" s="1"/>
  <c r="N156" i="39" s="1"/>
  <c r="AQ155" i="39"/>
  <c r="AI155" i="39"/>
  <c r="V155" i="39"/>
  <c r="AE155" i="39" s="1"/>
  <c r="J155" i="39"/>
  <c r="K155" i="39" s="1"/>
  <c r="L155" i="39" s="1"/>
  <c r="M155" i="39" s="1"/>
  <c r="N155" i="39" s="1"/>
  <c r="AQ154" i="39"/>
  <c r="J154" i="39"/>
  <c r="K154" i="39" s="1"/>
  <c r="L154" i="39" s="1"/>
  <c r="M154" i="39" s="1"/>
  <c r="N154" i="39" s="1"/>
  <c r="AQ153" i="39"/>
  <c r="J153" i="39"/>
  <c r="K153" i="39" s="1"/>
  <c r="L153" i="39" s="1"/>
  <c r="M153" i="39" s="1"/>
  <c r="N153" i="39" s="1"/>
  <c r="AQ152" i="39"/>
  <c r="J152" i="39"/>
  <c r="K152" i="39" s="1"/>
  <c r="L152" i="39" s="1"/>
  <c r="M152" i="39" s="1"/>
  <c r="N152" i="39" s="1"/>
  <c r="AQ151" i="39"/>
  <c r="J151" i="39"/>
  <c r="K151" i="39" s="1"/>
  <c r="L151" i="39" s="1"/>
  <c r="M151" i="39" s="1"/>
  <c r="N151" i="39" s="1"/>
  <c r="AQ150" i="39"/>
  <c r="J150" i="39"/>
  <c r="K150" i="39" s="1"/>
  <c r="L150" i="39" s="1"/>
  <c r="M150" i="39" s="1"/>
  <c r="N150" i="39" s="1"/>
  <c r="AQ149" i="39"/>
  <c r="J149" i="39"/>
  <c r="K149" i="39" s="1"/>
  <c r="L149" i="39" s="1"/>
  <c r="M149" i="39" s="1"/>
  <c r="N149" i="39" s="1"/>
  <c r="AQ148" i="39"/>
  <c r="J148" i="39"/>
  <c r="K148" i="39" s="1"/>
  <c r="L148" i="39" s="1"/>
  <c r="M148" i="39" s="1"/>
  <c r="N148" i="39" s="1"/>
  <c r="AQ147" i="39"/>
  <c r="J147" i="39"/>
  <c r="K147" i="39" s="1"/>
  <c r="L147" i="39" s="1"/>
  <c r="M147" i="39" s="1"/>
  <c r="N147" i="39" s="1"/>
  <c r="AQ146" i="39"/>
  <c r="J146" i="39"/>
  <c r="K146" i="39" s="1"/>
  <c r="L146" i="39" s="1"/>
  <c r="M146" i="39" s="1"/>
  <c r="N146" i="39" s="1"/>
  <c r="AQ145" i="39"/>
  <c r="J145" i="39"/>
  <c r="K145" i="39" s="1"/>
  <c r="L145" i="39" s="1"/>
  <c r="M145" i="39" s="1"/>
  <c r="N145" i="39" s="1"/>
  <c r="AQ144" i="39"/>
  <c r="J144" i="39"/>
  <c r="K144" i="39" s="1"/>
  <c r="L144" i="39" s="1"/>
  <c r="M144" i="39" s="1"/>
  <c r="N144" i="39" s="1"/>
  <c r="AQ143" i="39"/>
  <c r="J143" i="39"/>
  <c r="K143" i="39" s="1"/>
  <c r="L143" i="39" s="1"/>
  <c r="M143" i="39" s="1"/>
  <c r="N143" i="39" s="1"/>
  <c r="AQ142" i="39"/>
  <c r="J142" i="39"/>
  <c r="K142" i="39" s="1"/>
  <c r="L142" i="39" s="1"/>
  <c r="M142" i="39" s="1"/>
  <c r="N142" i="39" s="1"/>
  <c r="AQ141" i="39"/>
  <c r="J141" i="39"/>
  <c r="K141" i="39" s="1"/>
  <c r="L141" i="39" s="1"/>
  <c r="M141" i="39" s="1"/>
  <c r="N141" i="39" s="1"/>
  <c r="AQ140" i="39"/>
  <c r="J140" i="39"/>
  <c r="K140" i="39" s="1"/>
  <c r="L140" i="39" s="1"/>
  <c r="M140" i="39" s="1"/>
  <c r="N140" i="39" s="1"/>
  <c r="AQ139" i="39"/>
  <c r="G139" i="39"/>
  <c r="C139" i="39"/>
  <c r="AH157" i="39" s="1"/>
  <c r="AM135" i="39"/>
  <c r="AN135" i="39" s="1"/>
  <c r="AO135" i="39" s="1"/>
  <c r="CN99" i="39"/>
  <c r="CN131" i="39" s="1"/>
  <c r="CL99" i="39"/>
  <c r="CL131" i="39" s="1"/>
  <c r="CF99" i="39"/>
  <c r="CF131" i="39" s="1"/>
  <c r="CD99" i="39"/>
  <c r="CD131" i="39" s="1"/>
  <c r="CQ55" i="39"/>
  <c r="CO55" i="39"/>
  <c r="CM55" i="39"/>
  <c r="CK55" i="39"/>
  <c r="CI55" i="39"/>
  <c r="CG55" i="39"/>
  <c r="CE55" i="39"/>
  <c r="CC55" i="39"/>
  <c r="H22" i="39"/>
  <c r="C16" i="39"/>
  <c r="C11" i="39"/>
  <c r="H8" i="39"/>
  <c r="H7" i="39"/>
  <c r="D4" i="39"/>
  <c r="F2" i="39"/>
  <c r="E2" i="39"/>
  <c r="D2" i="39"/>
  <c r="AQ220" i="38"/>
  <c r="V220" i="38"/>
  <c r="J220" i="38"/>
  <c r="K220" i="38" s="1"/>
  <c r="L220" i="38" s="1"/>
  <c r="M220" i="38" s="1"/>
  <c r="N220" i="38" s="1"/>
  <c r="AQ219" i="38"/>
  <c r="V219" i="38"/>
  <c r="J219" i="38"/>
  <c r="K219" i="38" s="1"/>
  <c r="L219" i="38" s="1"/>
  <c r="M219" i="38" s="1"/>
  <c r="N219" i="38" s="1"/>
  <c r="AQ218" i="38"/>
  <c r="V218" i="38"/>
  <c r="J218" i="38"/>
  <c r="K218" i="38" s="1"/>
  <c r="L218" i="38" s="1"/>
  <c r="M218" i="38" s="1"/>
  <c r="N218" i="38" s="1"/>
  <c r="AQ217" i="38"/>
  <c r="V217" i="38"/>
  <c r="J217" i="38"/>
  <c r="K217" i="38" s="1"/>
  <c r="L217" i="38" s="1"/>
  <c r="M217" i="38" s="1"/>
  <c r="N217" i="38" s="1"/>
  <c r="AQ216" i="38"/>
  <c r="V216" i="38"/>
  <c r="J216" i="38"/>
  <c r="K216" i="38" s="1"/>
  <c r="L216" i="38" s="1"/>
  <c r="M216" i="38" s="1"/>
  <c r="N216" i="38" s="1"/>
  <c r="AQ215" i="38"/>
  <c r="V215" i="38"/>
  <c r="J215" i="38"/>
  <c r="K215" i="38" s="1"/>
  <c r="L215" i="38" s="1"/>
  <c r="M215" i="38" s="1"/>
  <c r="N215" i="38" s="1"/>
  <c r="AQ214" i="38"/>
  <c r="J214" i="38"/>
  <c r="K214" i="38" s="1"/>
  <c r="L214" i="38" s="1"/>
  <c r="M214" i="38" s="1"/>
  <c r="N214" i="38" s="1"/>
  <c r="AQ213" i="38"/>
  <c r="J213" i="38"/>
  <c r="K213" i="38" s="1"/>
  <c r="L213" i="38" s="1"/>
  <c r="M213" i="38" s="1"/>
  <c r="N213" i="38" s="1"/>
  <c r="AQ212" i="38"/>
  <c r="J212" i="38"/>
  <c r="K212" i="38" s="1"/>
  <c r="L212" i="38" s="1"/>
  <c r="M212" i="38" s="1"/>
  <c r="N212" i="38" s="1"/>
  <c r="AQ211" i="38"/>
  <c r="J211" i="38"/>
  <c r="K211" i="38" s="1"/>
  <c r="L211" i="38" s="1"/>
  <c r="M211" i="38" s="1"/>
  <c r="N211" i="38" s="1"/>
  <c r="AQ210" i="38"/>
  <c r="J210" i="38"/>
  <c r="K210" i="38" s="1"/>
  <c r="L210" i="38" s="1"/>
  <c r="M210" i="38" s="1"/>
  <c r="N210" i="38" s="1"/>
  <c r="AQ209" i="38"/>
  <c r="J209" i="38"/>
  <c r="K209" i="38" s="1"/>
  <c r="L209" i="38" s="1"/>
  <c r="M209" i="38" s="1"/>
  <c r="N209" i="38" s="1"/>
  <c r="AQ208" i="38"/>
  <c r="J208" i="38"/>
  <c r="K208" i="38" s="1"/>
  <c r="L208" i="38" s="1"/>
  <c r="M208" i="38" s="1"/>
  <c r="N208" i="38" s="1"/>
  <c r="AQ207" i="38"/>
  <c r="J207" i="38"/>
  <c r="K207" i="38" s="1"/>
  <c r="L207" i="38" s="1"/>
  <c r="M207" i="38" s="1"/>
  <c r="N207" i="38" s="1"/>
  <c r="AQ206" i="38"/>
  <c r="J206" i="38"/>
  <c r="K206" i="38" s="1"/>
  <c r="L206" i="38" s="1"/>
  <c r="M206" i="38" s="1"/>
  <c r="N206" i="38" s="1"/>
  <c r="AQ205" i="38"/>
  <c r="J205" i="38"/>
  <c r="K205" i="38" s="1"/>
  <c r="L205" i="38" s="1"/>
  <c r="M205" i="38" s="1"/>
  <c r="N205" i="38" s="1"/>
  <c r="AQ204" i="38"/>
  <c r="J204" i="38"/>
  <c r="K204" i="38" s="1"/>
  <c r="L204" i="38" s="1"/>
  <c r="M204" i="38" s="1"/>
  <c r="N204" i="38" s="1"/>
  <c r="AQ203" i="38"/>
  <c r="J203" i="38"/>
  <c r="K203" i="38" s="1"/>
  <c r="L203" i="38" s="1"/>
  <c r="M203" i="38" s="1"/>
  <c r="N203" i="38" s="1"/>
  <c r="AQ202" i="38"/>
  <c r="J202" i="38"/>
  <c r="K202" i="38" s="1"/>
  <c r="L202" i="38" s="1"/>
  <c r="M202" i="38" s="1"/>
  <c r="N202" i="38" s="1"/>
  <c r="AQ201" i="38"/>
  <c r="J201" i="38"/>
  <c r="K201" i="38" s="1"/>
  <c r="L201" i="38" s="1"/>
  <c r="M201" i="38" s="1"/>
  <c r="N201" i="38" s="1"/>
  <c r="AQ200" i="38"/>
  <c r="J200" i="38"/>
  <c r="K200" i="38" s="1"/>
  <c r="L200" i="38" s="1"/>
  <c r="M200" i="38" s="1"/>
  <c r="N200" i="38" s="1"/>
  <c r="AQ199" i="38"/>
  <c r="J199" i="38"/>
  <c r="K199" i="38" s="1"/>
  <c r="L199" i="38" s="1"/>
  <c r="M199" i="38" s="1"/>
  <c r="N199" i="38" s="1"/>
  <c r="AQ198" i="38"/>
  <c r="J198" i="38"/>
  <c r="K198" i="38" s="1"/>
  <c r="L198" i="38" s="1"/>
  <c r="M198" i="38" s="1"/>
  <c r="N198" i="38" s="1"/>
  <c r="AQ197" i="38"/>
  <c r="J197" i="38"/>
  <c r="K197" i="38" s="1"/>
  <c r="L197" i="38" s="1"/>
  <c r="M197" i="38" s="1"/>
  <c r="N197" i="38" s="1"/>
  <c r="AQ196" i="38"/>
  <c r="J196" i="38"/>
  <c r="K196" i="38" s="1"/>
  <c r="L196" i="38" s="1"/>
  <c r="M196" i="38" s="1"/>
  <c r="N196" i="38" s="1"/>
  <c r="AQ195" i="38"/>
  <c r="G195" i="38"/>
  <c r="F195" i="38" s="1"/>
  <c r="AQ182" i="38"/>
  <c r="AI182" i="38"/>
  <c r="V182" i="38"/>
  <c r="AF182" i="38" s="1"/>
  <c r="J182" i="38"/>
  <c r="K182" i="38" s="1"/>
  <c r="L182" i="38" s="1"/>
  <c r="M182" i="38" s="1"/>
  <c r="N182" i="38" s="1"/>
  <c r="AQ181" i="38"/>
  <c r="AI181" i="38"/>
  <c r="V181" i="38"/>
  <c r="J181" i="38"/>
  <c r="K181" i="38" s="1"/>
  <c r="L181" i="38" s="1"/>
  <c r="M181" i="38" s="1"/>
  <c r="N181" i="38" s="1"/>
  <c r="AQ180" i="38"/>
  <c r="AI180" i="38"/>
  <c r="V180" i="38"/>
  <c r="AE180" i="38" s="1"/>
  <c r="J180" i="38"/>
  <c r="K180" i="38" s="1"/>
  <c r="L180" i="38" s="1"/>
  <c r="M180" i="38" s="1"/>
  <c r="N180" i="38" s="1"/>
  <c r="AQ179" i="38"/>
  <c r="AI179" i="38"/>
  <c r="V179" i="38"/>
  <c r="J179" i="38"/>
  <c r="K179" i="38" s="1"/>
  <c r="L179" i="38" s="1"/>
  <c r="M179" i="38" s="1"/>
  <c r="N179" i="38" s="1"/>
  <c r="AQ178" i="38"/>
  <c r="AI178" i="38"/>
  <c r="V178" i="38"/>
  <c r="AE178" i="38" s="1"/>
  <c r="J178" i="38"/>
  <c r="K178" i="38" s="1"/>
  <c r="L178" i="38" s="1"/>
  <c r="M178" i="38" s="1"/>
  <c r="N178" i="38" s="1"/>
  <c r="AQ177" i="38"/>
  <c r="J177" i="38"/>
  <c r="K177" i="38" s="1"/>
  <c r="L177" i="38" s="1"/>
  <c r="M177" i="38" s="1"/>
  <c r="N177" i="38" s="1"/>
  <c r="AQ176" i="38"/>
  <c r="J176" i="38"/>
  <c r="K176" i="38" s="1"/>
  <c r="L176" i="38" s="1"/>
  <c r="M176" i="38" s="1"/>
  <c r="N176" i="38" s="1"/>
  <c r="BF175" i="38"/>
  <c r="BF176" i="38" s="1"/>
  <c r="BF177" i="38" s="1"/>
  <c r="BF178" i="38" s="1"/>
  <c r="BF179" i="38" s="1"/>
  <c r="BF180" i="38" s="1"/>
  <c r="BF181" i="38" s="1"/>
  <c r="BF182" i="38" s="1"/>
  <c r="BF183" i="38" s="1"/>
  <c r="BF184" i="38" s="1"/>
  <c r="BF185" i="38" s="1"/>
  <c r="BF186" i="38" s="1"/>
  <c r="BF187" i="38" s="1"/>
  <c r="BF188" i="38" s="1"/>
  <c r="BF189" i="38" s="1"/>
  <c r="BF190" i="38" s="1"/>
  <c r="BF191" i="38" s="1"/>
  <c r="BF192" i="38" s="1"/>
  <c r="BF193" i="38" s="1"/>
  <c r="BF194" i="38" s="1"/>
  <c r="BF195" i="38" s="1"/>
  <c r="BF196" i="38" s="1"/>
  <c r="BF197" i="38" s="1"/>
  <c r="BF198" i="38" s="1"/>
  <c r="BF199" i="38" s="1"/>
  <c r="BF200" i="38" s="1"/>
  <c r="BF201" i="38" s="1"/>
  <c r="BF202" i="38" s="1"/>
  <c r="BF203" i="38" s="1"/>
  <c r="BF204" i="38" s="1"/>
  <c r="BF205" i="38" s="1"/>
  <c r="BF206" i="38" s="1"/>
  <c r="BF207" i="38" s="1"/>
  <c r="BF208" i="38" s="1"/>
  <c r="BF209" i="38" s="1"/>
  <c r="BF210" i="38" s="1"/>
  <c r="AQ175" i="38"/>
  <c r="J175" i="38"/>
  <c r="K175" i="38" s="1"/>
  <c r="L175" i="38" s="1"/>
  <c r="M175" i="38" s="1"/>
  <c r="N175" i="38" s="1"/>
  <c r="BG174" i="38"/>
  <c r="AQ174" i="38"/>
  <c r="J174" i="38"/>
  <c r="K174" i="38" s="1"/>
  <c r="L174" i="38" s="1"/>
  <c r="M174" i="38" s="1"/>
  <c r="N174" i="38" s="1"/>
  <c r="AQ173" i="38"/>
  <c r="J173" i="38"/>
  <c r="K173" i="38" s="1"/>
  <c r="L173" i="38" s="1"/>
  <c r="M173" i="38" s="1"/>
  <c r="N173" i="38" s="1"/>
  <c r="AQ172" i="38"/>
  <c r="J172" i="38"/>
  <c r="K172" i="38" s="1"/>
  <c r="L172" i="38" s="1"/>
  <c r="M172" i="38" s="1"/>
  <c r="N172" i="38" s="1"/>
  <c r="AQ171" i="38"/>
  <c r="AQ157" i="38"/>
  <c r="AI157" i="38"/>
  <c r="V157" i="38"/>
  <c r="AF157" i="38" s="1"/>
  <c r="J157" i="38"/>
  <c r="K157" i="38" s="1"/>
  <c r="L157" i="38" s="1"/>
  <c r="M157" i="38" s="1"/>
  <c r="N157" i="38" s="1"/>
  <c r="AQ156" i="38"/>
  <c r="AI156" i="38"/>
  <c r="V156" i="38"/>
  <c r="AE156" i="38" s="1"/>
  <c r="J156" i="38"/>
  <c r="K156" i="38" s="1"/>
  <c r="L156" i="38" s="1"/>
  <c r="M156" i="38" s="1"/>
  <c r="N156" i="38" s="1"/>
  <c r="AQ155" i="38"/>
  <c r="AI155" i="38"/>
  <c r="V155" i="38"/>
  <c r="J155" i="38"/>
  <c r="K155" i="38" s="1"/>
  <c r="L155" i="38" s="1"/>
  <c r="M155" i="38" s="1"/>
  <c r="N155" i="38" s="1"/>
  <c r="AQ154" i="38"/>
  <c r="AI154" i="38"/>
  <c r="V154" i="38"/>
  <c r="J154" i="38"/>
  <c r="K154" i="38" s="1"/>
  <c r="L154" i="38" s="1"/>
  <c r="M154" i="38" s="1"/>
  <c r="N154" i="38" s="1"/>
  <c r="AQ153" i="38"/>
  <c r="AI153" i="38"/>
  <c r="V153" i="38"/>
  <c r="J153" i="38"/>
  <c r="K153" i="38" s="1"/>
  <c r="L153" i="38" s="1"/>
  <c r="M153" i="38" s="1"/>
  <c r="N153" i="38" s="1"/>
  <c r="AQ152" i="38"/>
  <c r="AI152" i="38"/>
  <c r="V152" i="38"/>
  <c r="AE152" i="38" s="1"/>
  <c r="J152" i="38"/>
  <c r="K152" i="38" s="1"/>
  <c r="L152" i="38" s="1"/>
  <c r="M152" i="38" s="1"/>
  <c r="N152" i="38" s="1"/>
  <c r="AQ151" i="38"/>
  <c r="AI151" i="38"/>
  <c r="V151" i="38"/>
  <c r="J151" i="38"/>
  <c r="K151" i="38" s="1"/>
  <c r="L151" i="38" s="1"/>
  <c r="M151" i="38" s="1"/>
  <c r="N151" i="38" s="1"/>
  <c r="AQ150" i="38"/>
  <c r="AI150" i="38"/>
  <c r="V150" i="38"/>
  <c r="J150" i="38"/>
  <c r="K150" i="38" s="1"/>
  <c r="L150" i="38" s="1"/>
  <c r="M150" i="38" s="1"/>
  <c r="N150" i="38" s="1"/>
  <c r="AQ149" i="38"/>
  <c r="AI149" i="38"/>
  <c r="V149" i="38"/>
  <c r="J149" i="38"/>
  <c r="K149" i="38" s="1"/>
  <c r="L149" i="38" s="1"/>
  <c r="M149" i="38" s="1"/>
  <c r="N149" i="38" s="1"/>
  <c r="AQ148" i="38"/>
  <c r="AI148" i="38"/>
  <c r="V148" i="38"/>
  <c r="AE148" i="38" s="1"/>
  <c r="J148" i="38"/>
  <c r="K148" i="38" s="1"/>
  <c r="L148" i="38" s="1"/>
  <c r="M148" i="38" s="1"/>
  <c r="N148" i="38" s="1"/>
  <c r="AQ147" i="38"/>
  <c r="J147" i="38"/>
  <c r="K147" i="38" s="1"/>
  <c r="L147" i="38" s="1"/>
  <c r="M147" i="38" s="1"/>
  <c r="N147" i="38" s="1"/>
  <c r="AQ146" i="38"/>
  <c r="J146" i="38"/>
  <c r="K146" i="38" s="1"/>
  <c r="L146" i="38" s="1"/>
  <c r="M146" i="38" s="1"/>
  <c r="N146" i="38" s="1"/>
  <c r="AQ145" i="38"/>
  <c r="J145" i="38"/>
  <c r="K145" i="38" s="1"/>
  <c r="L145" i="38" s="1"/>
  <c r="M145" i="38" s="1"/>
  <c r="N145" i="38" s="1"/>
  <c r="AQ144" i="38"/>
  <c r="J144" i="38"/>
  <c r="K144" i="38" s="1"/>
  <c r="L144" i="38" s="1"/>
  <c r="M144" i="38" s="1"/>
  <c r="N144" i="38" s="1"/>
  <c r="AQ143" i="38"/>
  <c r="J143" i="38"/>
  <c r="K143" i="38" s="1"/>
  <c r="L143" i="38" s="1"/>
  <c r="M143" i="38" s="1"/>
  <c r="N143" i="38" s="1"/>
  <c r="AQ142" i="38"/>
  <c r="J142" i="38"/>
  <c r="K142" i="38" s="1"/>
  <c r="L142" i="38" s="1"/>
  <c r="M142" i="38" s="1"/>
  <c r="N142" i="38" s="1"/>
  <c r="AQ141" i="38"/>
  <c r="J141" i="38"/>
  <c r="K141" i="38" s="1"/>
  <c r="L141" i="38" s="1"/>
  <c r="M141" i="38" s="1"/>
  <c r="N141" i="38" s="1"/>
  <c r="AQ140" i="38"/>
  <c r="J140" i="38"/>
  <c r="K140" i="38" s="1"/>
  <c r="L140" i="38" s="1"/>
  <c r="M140" i="38" s="1"/>
  <c r="N140" i="38" s="1"/>
  <c r="AQ139" i="38"/>
  <c r="J139" i="38"/>
  <c r="K139" i="38" s="1"/>
  <c r="L139" i="38" s="1"/>
  <c r="M139" i="38" s="1"/>
  <c r="N139" i="38" s="1"/>
  <c r="AQ138" i="38"/>
  <c r="G138" i="38"/>
  <c r="C138" i="38"/>
  <c r="AH154" i="38" s="1"/>
  <c r="AM134" i="38"/>
  <c r="AN134" i="38" s="1"/>
  <c r="AO134" i="38" s="1"/>
  <c r="CN127" i="38"/>
  <c r="CN129" i="38" s="1"/>
  <c r="CL127" i="38"/>
  <c r="CL129" i="38" s="1"/>
  <c r="CF127" i="38"/>
  <c r="CF129" i="38" s="1"/>
  <c r="CD127" i="38"/>
  <c r="CD129" i="38" s="1"/>
  <c r="CQ83" i="38"/>
  <c r="CO83" i="38"/>
  <c r="CM83" i="38"/>
  <c r="CK83" i="38"/>
  <c r="CI83" i="38"/>
  <c r="CG83" i="38"/>
  <c r="CE83" i="38"/>
  <c r="CC83" i="38"/>
  <c r="H22" i="38"/>
  <c r="C16" i="38"/>
  <c r="C11" i="38"/>
  <c r="H8" i="38"/>
  <c r="H7" i="38"/>
  <c r="D4" i="38"/>
  <c r="F2" i="38"/>
  <c r="E2" i="38"/>
  <c r="D2" i="38"/>
  <c r="BG241" i="37"/>
  <c r="BG242" i="37" s="1"/>
  <c r="BG243" i="37" s="1"/>
  <c r="BG244" i="37" s="1"/>
  <c r="BG245" i="37" s="1"/>
  <c r="BG246" i="37" s="1"/>
  <c r="BG247" i="37" s="1"/>
  <c r="BG248" i="37" s="1"/>
  <c r="BG249" i="37" s="1"/>
  <c r="BG250" i="37" s="1"/>
  <c r="BG251" i="37" s="1"/>
  <c r="BG252" i="37" s="1"/>
  <c r="BG253" i="37" s="1"/>
  <c r="BG254" i="37" s="1"/>
  <c r="BG255" i="37" s="1"/>
  <c r="BG256" i="37" s="1"/>
  <c r="BG257" i="37" s="1"/>
  <c r="BG258" i="37" s="1"/>
  <c r="BG259" i="37" s="1"/>
  <c r="BG260" i="37" s="1"/>
  <c r="BG261" i="37" s="1"/>
  <c r="BG262" i="37" s="1"/>
  <c r="BG263" i="37" s="1"/>
  <c r="BG264" i="37" s="1"/>
  <c r="BG265" i="37" s="1"/>
  <c r="BG266" i="37" s="1"/>
  <c r="BG267" i="37" s="1"/>
  <c r="BG268" i="37" s="1"/>
  <c r="BG269" i="37" s="1"/>
  <c r="BG270" i="37" s="1"/>
  <c r="BG271" i="37" s="1"/>
  <c r="BG272" i="37" s="1"/>
  <c r="BG273" i="37" s="1"/>
  <c r="BG274" i="37" s="1"/>
  <c r="BG275" i="37" s="1"/>
  <c r="BG276" i="37" s="1"/>
  <c r="BH240" i="37"/>
  <c r="AQ218" i="37"/>
  <c r="J218" i="37"/>
  <c r="K218" i="37" s="1"/>
  <c r="L218" i="37" s="1"/>
  <c r="M218" i="37" s="1"/>
  <c r="N218" i="37" s="1"/>
  <c r="G218" i="37"/>
  <c r="AQ217" i="37"/>
  <c r="J217" i="37"/>
  <c r="K217" i="37" s="1"/>
  <c r="L217" i="37" s="1"/>
  <c r="M217" i="37" s="1"/>
  <c r="N217" i="37" s="1"/>
  <c r="G217" i="37"/>
  <c r="AQ216" i="37"/>
  <c r="J216" i="37"/>
  <c r="K216" i="37" s="1"/>
  <c r="L216" i="37" s="1"/>
  <c r="M216" i="37" s="1"/>
  <c r="N216" i="37" s="1"/>
  <c r="G216" i="37"/>
  <c r="AQ215" i="37"/>
  <c r="J215" i="37"/>
  <c r="K215" i="37" s="1"/>
  <c r="L215" i="37" s="1"/>
  <c r="M215" i="37" s="1"/>
  <c r="N215" i="37" s="1"/>
  <c r="G215" i="37"/>
  <c r="AQ214" i="37"/>
  <c r="J214" i="37"/>
  <c r="K214" i="37" s="1"/>
  <c r="L214" i="37" s="1"/>
  <c r="M214" i="37" s="1"/>
  <c r="N214" i="37" s="1"/>
  <c r="G214" i="37"/>
  <c r="AQ213" i="37"/>
  <c r="J213" i="37"/>
  <c r="K213" i="37" s="1"/>
  <c r="L213" i="37" s="1"/>
  <c r="M213" i="37" s="1"/>
  <c r="N213" i="37" s="1"/>
  <c r="G213" i="37"/>
  <c r="AQ212" i="37"/>
  <c r="J212" i="37"/>
  <c r="K212" i="37" s="1"/>
  <c r="L212" i="37" s="1"/>
  <c r="M212" i="37" s="1"/>
  <c r="N212" i="37" s="1"/>
  <c r="G212" i="37"/>
  <c r="AQ211" i="37"/>
  <c r="G211" i="37"/>
  <c r="AQ199" i="37"/>
  <c r="J199" i="37"/>
  <c r="K199" i="37" s="1"/>
  <c r="L199" i="37" s="1"/>
  <c r="M199" i="37" s="1"/>
  <c r="N199" i="37" s="1"/>
  <c r="G199" i="37"/>
  <c r="AQ198" i="37"/>
  <c r="J198" i="37"/>
  <c r="K198" i="37" s="1"/>
  <c r="L198" i="37" s="1"/>
  <c r="M198" i="37" s="1"/>
  <c r="N198" i="37" s="1"/>
  <c r="G198" i="37"/>
  <c r="AQ197" i="37"/>
  <c r="J197" i="37"/>
  <c r="K197" i="37" s="1"/>
  <c r="L197" i="37" s="1"/>
  <c r="M197" i="37" s="1"/>
  <c r="N197" i="37" s="1"/>
  <c r="G197" i="37"/>
  <c r="AQ196" i="37"/>
  <c r="J196" i="37"/>
  <c r="K196" i="37" s="1"/>
  <c r="L196" i="37" s="1"/>
  <c r="M196" i="37" s="1"/>
  <c r="N196" i="37" s="1"/>
  <c r="G196" i="37"/>
  <c r="AQ195" i="37"/>
  <c r="J195" i="37"/>
  <c r="K195" i="37" s="1"/>
  <c r="L195" i="37" s="1"/>
  <c r="M195" i="37" s="1"/>
  <c r="N195" i="37" s="1"/>
  <c r="G195" i="37"/>
  <c r="AQ194" i="37"/>
  <c r="J194" i="37"/>
  <c r="K194" i="37" s="1"/>
  <c r="L194" i="37" s="1"/>
  <c r="M194" i="37" s="1"/>
  <c r="N194" i="37" s="1"/>
  <c r="G194" i="37"/>
  <c r="AQ193" i="37"/>
  <c r="J193" i="37"/>
  <c r="K193" i="37" s="1"/>
  <c r="L193" i="37" s="1"/>
  <c r="M193" i="37" s="1"/>
  <c r="N193" i="37" s="1"/>
  <c r="G193" i="37"/>
  <c r="AQ192" i="37"/>
  <c r="J192" i="37"/>
  <c r="K192" i="37" s="1"/>
  <c r="L192" i="37" s="1"/>
  <c r="M192" i="37" s="1"/>
  <c r="N192" i="37" s="1"/>
  <c r="G192" i="37"/>
  <c r="AQ191" i="37"/>
  <c r="J191" i="37"/>
  <c r="K191" i="37" s="1"/>
  <c r="L191" i="37" s="1"/>
  <c r="M191" i="37" s="1"/>
  <c r="N191" i="37" s="1"/>
  <c r="G191" i="37"/>
  <c r="AQ190" i="37"/>
  <c r="J190" i="37"/>
  <c r="K190" i="37" s="1"/>
  <c r="L190" i="37" s="1"/>
  <c r="M190" i="37" s="1"/>
  <c r="N190" i="37" s="1"/>
  <c r="G190" i="37"/>
  <c r="AQ189" i="37"/>
  <c r="J189" i="37"/>
  <c r="K189" i="37" s="1"/>
  <c r="L189" i="37" s="1"/>
  <c r="M189" i="37" s="1"/>
  <c r="N189" i="37" s="1"/>
  <c r="G189" i="37"/>
  <c r="AQ188" i="37"/>
  <c r="J188" i="37"/>
  <c r="K188" i="37" s="1"/>
  <c r="L188" i="37" s="1"/>
  <c r="M188" i="37" s="1"/>
  <c r="N188" i="37" s="1"/>
  <c r="G188" i="37"/>
  <c r="AQ187" i="37"/>
  <c r="J187" i="37"/>
  <c r="K187" i="37" s="1"/>
  <c r="L187" i="37" s="1"/>
  <c r="M187" i="37" s="1"/>
  <c r="N187" i="37" s="1"/>
  <c r="G187" i="37"/>
  <c r="AQ186" i="37"/>
  <c r="J186" i="37"/>
  <c r="K186" i="37" s="1"/>
  <c r="L186" i="37" s="1"/>
  <c r="M186" i="37" s="1"/>
  <c r="N186" i="37" s="1"/>
  <c r="G186" i="37"/>
  <c r="AQ185" i="37"/>
  <c r="J185" i="37"/>
  <c r="K185" i="37" s="1"/>
  <c r="L185" i="37" s="1"/>
  <c r="M185" i="37" s="1"/>
  <c r="N185" i="37" s="1"/>
  <c r="G185" i="37"/>
  <c r="AQ184" i="37"/>
  <c r="J184" i="37"/>
  <c r="K184" i="37" s="1"/>
  <c r="L184" i="37" s="1"/>
  <c r="M184" i="37" s="1"/>
  <c r="N184" i="37" s="1"/>
  <c r="G184" i="37"/>
  <c r="AQ183" i="37"/>
  <c r="J183" i="37"/>
  <c r="K183" i="37" s="1"/>
  <c r="L183" i="37" s="1"/>
  <c r="M183" i="37" s="1"/>
  <c r="N183" i="37" s="1"/>
  <c r="G183" i="37"/>
  <c r="AQ182" i="37"/>
  <c r="J182" i="37"/>
  <c r="K182" i="37" s="1"/>
  <c r="L182" i="37" s="1"/>
  <c r="M182" i="37" s="1"/>
  <c r="N182" i="37" s="1"/>
  <c r="G182" i="37"/>
  <c r="AQ181" i="37"/>
  <c r="J181" i="37"/>
  <c r="K181" i="37" s="1"/>
  <c r="L181" i="37" s="1"/>
  <c r="M181" i="37" s="1"/>
  <c r="N181" i="37" s="1"/>
  <c r="G181" i="37"/>
  <c r="AQ180" i="37"/>
  <c r="J180" i="37"/>
  <c r="K180" i="37" s="1"/>
  <c r="L180" i="37" s="1"/>
  <c r="M180" i="37" s="1"/>
  <c r="N180" i="37" s="1"/>
  <c r="G180" i="37"/>
  <c r="AQ179" i="37"/>
  <c r="J179" i="37"/>
  <c r="K179" i="37" s="1"/>
  <c r="L179" i="37" s="1"/>
  <c r="M179" i="37" s="1"/>
  <c r="N179" i="37" s="1"/>
  <c r="G179" i="37"/>
  <c r="AQ178" i="37"/>
  <c r="J178" i="37"/>
  <c r="K178" i="37" s="1"/>
  <c r="L178" i="37" s="1"/>
  <c r="M178" i="37" s="1"/>
  <c r="N178" i="37" s="1"/>
  <c r="G178" i="37"/>
  <c r="AQ177" i="37"/>
  <c r="J177" i="37"/>
  <c r="K177" i="37" s="1"/>
  <c r="L177" i="37" s="1"/>
  <c r="M177" i="37" s="1"/>
  <c r="N177" i="37" s="1"/>
  <c r="G177" i="37"/>
  <c r="AQ176" i="37"/>
  <c r="AR176" i="37" s="1"/>
  <c r="J176" i="37"/>
  <c r="K176" i="37" s="1"/>
  <c r="L176" i="37" s="1"/>
  <c r="M176" i="37" s="1"/>
  <c r="N176" i="37" s="1"/>
  <c r="G176" i="37"/>
  <c r="AQ175" i="37"/>
  <c r="J175" i="37"/>
  <c r="K175" i="37" s="1"/>
  <c r="L175" i="37" s="1"/>
  <c r="M175" i="37" s="1"/>
  <c r="N175" i="37" s="1"/>
  <c r="G175" i="37"/>
  <c r="AQ174" i="37"/>
  <c r="G174" i="37"/>
  <c r="AQ161" i="37"/>
  <c r="AI161" i="37"/>
  <c r="V161" i="37"/>
  <c r="J161" i="37"/>
  <c r="K161" i="37" s="1"/>
  <c r="L161" i="37" s="1"/>
  <c r="M161" i="37" s="1"/>
  <c r="N161" i="37" s="1"/>
  <c r="AQ160" i="37"/>
  <c r="AI160" i="37"/>
  <c r="V160" i="37"/>
  <c r="J160" i="37"/>
  <c r="K160" i="37" s="1"/>
  <c r="L160" i="37" s="1"/>
  <c r="M160" i="37" s="1"/>
  <c r="N160" i="37" s="1"/>
  <c r="AQ159" i="37"/>
  <c r="J159" i="37"/>
  <c r="K159" i="37" s="1"/>
  <c r="L159" i="37" s="1"/>
  <c r="M159" i="37" s="1"/>
  <c r="N159" i="37" s="1"/>
  <c r="AQ158" i="37"/>
  <c r="J158" i="37"/>
  <c r="K158" i="37" s="1"/>
  <c r="L158" i="37" s="1"/>
  <c r="M158" i="37" s="1"/>
  <c r="N158" i="37" s="1"/>
  <c r="AQ157" i="37"/>
  <c r="J157" i="37"/>
  <c r="K157" i="37" s="1"/>
  <c r="L157" i="37" s="1"/>
  <c r="M157" i="37" s="1"/>
  <c r="N157" i="37" s="1"/>
  <c r="AQ156" i="37"/>
  <c r="J156" i="37"/>
  <c r="K156" i="37" s="1"/>
  <c r="L156" i="37" s="1"/>
  <c r="M156" i="37" s="1"/>
  <c r="N156" i="37" s="1"/>
  <c r="AQ155" i="37"/>
  <c r="J155" i="37"/>
  <c r="K155" i="37" s="1"/>
  <c r="L155" i="37" s="1"/>
  <c r="M155" i="37" s="1"/>
  <c r="N155" i="37" s="1"/>
  <c r="AQ154" i="37"/>
  <c r="J154" i="37"/>
  <c r="K154" i="37" s="1"/>
  <c r="L154" i="37" s="1"/>
  <c r="M154" i="37" s="1"/>
  <c r="N154" i="37" s="1"/>
  <c r="AQ153" i="37"/>
  <c r="J153" i="37"/>
  <c r="K153" i="37" s="1"/>
  <c r="L153" i="37" s="1"/>
  <c r="M153" i="37" s="1"/>
  <c r="N153" i="37" s="1"/>
  <c r="AQ152" i="37"/>
  <c r="J152" i="37"/>
  <c r="K152" i="37" s="1"/>
  <c r="L152" i="37" s="1"/>
  <c r="M152" i="37" s="1"/>
  <c r="N152" i="37" s="1"/>
  <c r="AQ151" i="37"/>
  <c r="J151" i="37"/>
  <c r="K151" i="37" s="1"/>
  <c r="L151" i="37" s="1"/>
  <c r="M151" i="37" s="1"/>
  <c r="N151" i="37" s="1"/>
  <c r="AQ150" i="37"/>
  <c r="J150" i="37"/>
  <c r="K150" i="37" s="1"/>
  <c r="L150" i="37" s="1"/>
  <c r="M150" i="37" s="1"/>
  <c r="N150" i="37" s="1"/>
  <c r="AQ149" i="37"/>
  <c r="J149" i="37"/>
  <c r="K149" i="37" s="1"/>
  <c r="L149" i="37" s="1"/>
  <c r="M149" i="37" s="1"/>
  <c r="N149" i="37" s="1"/>
  <c r="AQ148" i="37"/>
  <c r="J148" i="37"/>
  <c r="K148" i="37" s="1"/>
  <c r="L148" i="37" s="1"/>
  <c r="M148" i="37" s="1"/>
  <c r="N148" i="37" s="1"/>
  <c r="AQ147" i="37"/>
  <c r="K147" i="37"/>
  <c r="L147" i="37" s="1"/>
  <c r="M147" i="37" s="1"/>
  <c r="N147" i="37" s="1"/>
  <c r="J147" i="37"/>
  <c r="AQ146" i="37"/>
  <c r="J146" i="37"/>
  <c r="K146" i="37" s="1"/>
  <c r="L146" i="37" s="1"/>
  <c r="M146" i="37" s="1"/>
  <c r="N146" i="37" s="1"/>
  <c r="AQ145" i="37"/>
  <c r="J145" i="37"/>
  <c r="K145" i="37" s="1"/>
  <c r="L145" i="37" s="1"/>
  <c r="M145" i="37" s="1"/>
  <c r="N145" i="37" s="1"/>
  <c r="AQ144" i="37"/>
  <c r="J144" i="37"/>
  <c r="K144" i="37" s="1"/>
  <c r="L144" i="37" s="1"/>
  <c r="M144" i="37" s="1"/>
  <c r="N144" i="37" s="1"/>
  <c r="AQ143" i="37"/>
  <c r="J143" i="37"/>
  <c r="K143" i="37" s="1"/>
  <c r="L143" i="37" s="1"/>
  <c r="M143" i="37" s="1"/>
  <c r="N143" i="37" s="1"/>
  <c r="AQ142" i="37"/>
  <c r="C142" i="37"/>
  <c r="O161" i="37" s="1"/>
  <c r="P161" i="37" s="1"/>
  <c r="AM138" i="37"/>
  <c r="AN138" i="37" s="1"/>
  <c r="AO138" i="37" s="1"/>
  <c r="CN124" i="37"/>
  <c r="CN126" i="37" s="1"/>
  <c r="CL124" i="37"/>
  <c r="CL126" i="37" s="1"/>
  <c r="CF124" i="37"/>
  <c r="CF126" i="37" s="1"/>
  <c r="CD124" i="37"/>
  <c r="CD126" i="37" s="1"/>
  <c r="CQ57" i="37"/>
  <c r="CO57" i="37"/>
  <c r="CM57" i="37"/>
  <c r="CK57" i="37"/>
  <c r="CI57" i="37"/>
  <c r="CG57" i="37"/>
  <c r="CE57" i="37"/>
  <c r="CC57" i="37"/>
  <c r="H22" i="37"/>
  <c r="C17" i="37"/>
  <c r="C14" i="37"/>
  <c r="C11" i="37"/>
  <c r="H8" i="37"/>
  <c r="H7" i="37"/>
  <c r="D4" i="37"/>
  <c r="F2" i="37"/>
  <c r="E2" i="37"/>
  <c r="D2" i="37"/>
  <c r="BG228" i="36"/>
  <c r="BG229" i="36" s="1"/>
  <c r="BG230" i="36" s="1"/>
  <c r="BG231" i="36" s="1"/>
  <c r="BG232" i="36" s="1"/>
  <c r="BG233" i="36" s="1"/>
  <c r="BG234" i="36" s="1"/>
  <c r="BG235" i="36" s="1"/>
  <c r="BG236" i="36" s="1"/>
  <c r="BG237" i="36" s="1"/>
  <c r="BG238" i="36" s="1"/>
  <c r="BG239" i="36" s="1"/>
  <c r="BG240" i="36" s="1"/>
  <c r="BG241" i="36" s="1"/>
  <c r="BG242" i="36" s="1"/>
  <c r="BG243" i="36" s="1"/>
  <c r="BG244" i="36" s="1"/>
  <c r="BG245" i="36" s="1"/>
  <c r="BG246" i="36" s="1"/>
  <c r="BG247" i="36" s="1"/>
  <c r="BG248" i="36" s="1"/>
  <c r="BG249" i="36" s="1"/>
  <c r="BG250" i="36" s="1"/>
  <c r="BG251" i="36" s="1"/>
  <c r="BG252" i="36" s="1"/>
  <c r="BG253" i="36" s="1"/>
  <c r="BG254" i="36" s="1"/>
  <c r="BG255" i="36" s="1"/>
  <c r="BG256" i="36" s="1"/>
  <c r="BG257" i="36" s="1"/>
  <c r="BG258" i="36" s="1"/>
  <c r="BG259" i="36" s="1"/>
  <c r="BG260" i="36" s="1"/>
  <c r="BG261" i="36" s="1"/>
  <c r="BG262" i="36" s="1"/>
  <c r="BG263" i="36" s="1"/>
  <c r="BH227" i="36"/>
  <c r="AQ199" i="36"/>
  <c r="J199" i="36"/>
  <c r="K199" i="36" s="1"/>
  <c r="L199" i="36" s="1"/>
  <c r="M199" i="36" s="1"/>
  <c r="N199" i="36" s="1"/>
  <c r="G199" i="36"/>
  <c r="AQ198" i="36"/>
  <c r="J198" i="36"/>
  <c r="K198" i="36" s="1"/>
  <c r="L198" i="36" s="1"/>
  <c r="M198" i="36" s="1"/>
  <c r="N198" i="36" s="1"/>
  <c r="G198" i="36"/>
  <c r="AQ197" i="36"/>
  <c r="J197" i="36"/>
  <c r="K197" i="36" s="1"/>
  <c r="L197" i="36" s="1"/>
  <c r="M197" i="36" s="1"/>
  <c r="N197" i="36" s="1"/>
  <c r="G197" i="36"/>
  <c r="AQ196" i="36"/>
  <c r="J196" i="36"/>
  <c r="K196" i="36" s="1"/>
  <c r="L196" i="36" s="1"/>
  <c r="M196" i="36" s="1"/>
  <c r="N196" i="36" s="1"/>
  <c r="G196" i="36"/>
  <c r="AQ195" i="36"/>
  <c r="J195" i="36"/>
  <c r="K195" i="36" s="1"/>
  <c r="L195" i="36" s="1"/>
  <c r="M195" i="36" s="1"/>
  <c r="N195" i="36" s="1"/>
  <c r="G195" i="36"/>
  <c r="AQ194" i="36"/>
  <c r="J194" i="36"/>
  <c r="K194" i="36" s="1"/>
  <c r="L194" i="36" s="1"/>
  <c r="M194" i="36" s="1"/>
  <c r="N194" i="36" s="1"/>
  <c r="G194" i="36"/>
  <c r="AQ193" i="36"/>
  <c r="J193" i="36"/>
  <c r="K193" i="36" s="1"/>
  <c r="L193" i="36" s="1"/>
  <c r="M193" i="36" s="1"/>
  <c r="N193" i="36" s="1"/>
  <c r="G193" i="36"/>
  <c r="AQ192" i="36"/>
  <c r="J192" i="36"/>
  <c r="K192" i="36" s="1"/>
  <c r="L192" i="36" s="1"/>
  <c r="M192" i="36" s="1"/>
  <c r="N192" i="36" s="1"/>
  <c r="G192" i="36"/>
  <c r="AQ191" i="36"/>
  <c r="J191" i="36"/>
  <c r="K191" i="36" s="1"/>
  <c r="L191" i="36" s="1"/>
  <c r="M191" i="36" s="1"/>
  <c r="N191" i="36" s="1"/>
  <c r="G191" i="36"/>
  <c r="AQ190" i="36"/>
  <c r="J190" i="36"/>
  <c r="K190" i="36" s="1"/>
  <c r="L190" i="36" s="1"/>
  <c r="M190" i="36" s="1"/>
  <c r="N190" i="36" s="1"/>
  <c r="G190" i="36"/>
  <c r="AQ189" i="36"/>
  <c r="J189" i="36"/>
  <c r="K189" i="36" s="1"/>
  <c r="L189" i="36" s="1"/>
  <c r="M189" i="36" s="1"/>
  <c r="N189" i="36" s="1"/>
  <c r="G189" i="36"/>
  <c r="AQ188" i="36"/>
  <c r="J188" i="36"/>
  <c r="K188" i="36" s="1"/>
  <c r="L188" i="36" s="1"/>
  <c r="M188" i="36" s="1"/>
  <c r="N188" i="36" s="1"/>
  <c r="G188" i="36"/>
  <c r="AQ187" i="36"/>
  <c r="J187" i="36"/>
  <c r="K187" i="36" s="1"/>
  <c r="L187" i="36" s="1"/>
  <c r="M187" i="36" s="1"/>
  <c r="N187" i="36" s="1"/>
  <c r="G187" i="36"/>
  <c r="AQ186" i="36"/>
  <c r="J186" i="36"/>
  <c r="K186" i="36" s="1"/>
  <c r="L186" i="36" s="1"/>
  <c r="M186" i="36" s="1"/>
  <c r="N186" i="36" s="1"/>
  <c r="G186" i="36"/>
  <c r="AQ185" i="36"/>
  <c r="K185" i="36"/>
  <c r="L185" i="36" s="1"/>
  <c r="M185" i="36" s="1"/>
  <c r="N185" i="36" s="1"/>
  <c r="J185" i="36"/>
  <c r="G185" i="36"/>
  <c r="AQ184" i="36"/>
  <c r="J184" i="36"/>
  <c r="K184" i="36" s="1"/>
  <c r="L184" i="36" s="1"/>
  <c r="M184" i="36" s="1"/>
  <c r="N184" i="36" s="1"/>
  <c r="G184" i="36"/>
  <c r="AQ183" i="36"/>
  <c r="J183" i="36"/>
  <c r="K183" i="36" s="1"/>
  <c r="L183" i="36" s="1"/>
  <c r="M183" i="36" s="1"/>
  <c r="N183" i="36" s="1"/>
  <c r="G183" i="36"/>
  <c r="AQ182" i="36"/>
  <c r="J182" i="36"/>
  <c r="K182" i="36" s="1"/>
  <c r="L182" i="36" s="1"/>
  <c r="M182" i="36" s="1"/>
  <c r="N182" i="36" s="1"/>
  <c r="G182" i="36"/>
  <c r="AQ181" i="36"/>
  <c r="J181" i="36"/>
  <c r="K181" i="36" s="1"/>
  <c r="L181" i="36" s="1"/>
  <c r="M181" i="36" s="1"/>
  <c r="N181" i="36" s="1"/>
  <c r="G181" i="36"/>
  <c r="AQ180" i="36"/>
  <c r="J180" i="36"/>
  <c r="K180" i="36" s="1"/>
  <c r="L180" i="36" s="1"/>
  <c r="M180" i="36" s="1"/>
  <c r="N180" i="36" s="1"/>
  <c r="G180" i="36"/>
  <c r="AQ179" i="36"/>
  <c r="J179" i="36"/>
  <c r="K179" i="36" s="1"/>
  <c r="L179" i="36" s="1"/>
  <c r="M179" i="36" s="1"/>
  <c r="N179" i="36" s="1"/>
  <c r="G179" i="36"/>
  <c r="AQ178" i="36"/>
  <c r="J178" i="36"/>
  <c r="K178" i="36" s="1"/>
  <c r="L178" i="36" s="1"/>
  <c r="M178" i="36" s="1"/>
  <c r="N178" i="36" s="1"/>
  <c r="G178" i="36"/>
  <c r="AQ177" i="36"/>
  <c r="J177" i="36"/>
  <c r="K177" i="36" s="1"/>
  <c r="L177" i="36" s="1"/>
  <c r="M177" i="36" s="1"/>
  <c r="N177" i="36" s="1"/>
  <c r="G177" i="36"/>
  <c r="AQ176" i="36"/>
  <c r="J176" i="36"/>
  <c r="K176" i="36" s="1"/>
  <c r="L176" i="36" s="1"/>
  <c r="M176" i="36" s="1"/>
  <c r="N176" i="36" s="1"/>
  <c r="G176" i="36"/>
  <c r="AQ175" i="36"/>
  <c r="J175" i="36"/>
  <c r="K175" i="36" s="1"/>
  <c r="L175" i="36" s="1"/>
  <c r="M175" i="36" s="1"/>
  <c r="N175" i="36" s="1"/>
  <c r="G175" i="36"/>
  <c r="AQ174" i="36"/>
  <c r="G174" i="36"/>
  <c r="AQ161" i="36"/>
  <c r="J161" i="36"/>
  <c r="K161" i="36" s="1"/>
  <c r="L161" i="36" s="1"/>
  <c r="M161" i="36" s="1"/>
  <c r="N161" i="36" s="1"/>
  <c r="AQ160" i="36"/>
  <c r="J160" i="36"/>
  <c r="K160" i="36" s="1"/>
  <c r="L160" i="36" s="1"/>
  <c r="M160" i="36" s="1"/>
  <c r="N160" i="36" s="1"/>
  <c r="AQ159" i="36"/>
  <c r="J159" i="36"/>
  <c r="K159" i="36" s="1"/>
  <c r="L159" i="36" s="1"/>
  <c r="M159" i="36" s="1"/>
  <c r="N159" i="36" s="1"/>
  <c r="AQ158" i="36"/>
  <c r="J158" i="36"/>
  <c r="K158" i="36" s="1"/>
  <c r="L158" i="36" s="1"/>
  <c r="M158" i="36" s="1"/>
  <c r="N158" i="36" s="1"/>
  <c r="AQ157" i="36"/>
  <c r="J157" i="36"/>
  <c r="K157" i="36" s="1"/>
  <c r="L157" i="36" s="1"/>
  <c r="M157" i="36" s="1"/>
  <c r="N157" i="36" s="1"/>
  <c r="AQ156" i="36"/>
  <c r="J156" i="36"/>
  <c r="K156" i="36" s="1"/>
  <c r="L156" i="36" s="1"/>
  <c r="M156" i="36" s="1"/>
  <c r="N156" i="36" s="1"/>
  <c r="AQ155" i="36"/>
  <c r="J155" i="36"/>
  <c r="K155" i="36" s="1"/>
  <c r="L155" i="36" s="1"/>
  <c r="M155" i="36" s="1"/>
  <c r="N155" i="36" s="1"/>
  <c r="AQ154" i="36"/>
  <c r="J154" i="36"/>
  <c r="K154" i="36" s="1"/>
  <c r="L154" i="36" s="1"/>
  <c r="M154" i="36" s="1"/>
  <c r="N154" i="36" s="1"/>
  <c r="AQ153" i="36"/>
  <c r="J153" i="36"/>
  <c r="K153" i="36" s="1"/>
  <c r="L153" i="36" s="1"/>
  <c r="M153" i="36" s="1"/>
  <c r="N153" i="36" s="1"/>
  <c r="AQ152" i="36"/>
  <c r="J152" i="36"/>
  <c r="K152" i="36" s="1"/>
  <c r="L152" i="36" s="1"/>
  <c r="M152" i="36" s="1"/>
  <c r="N152" i="36" s="1"/>
  <c r="AQ151" i="36"/>
  <c r="J151" i="36"/>
  <c r="K151" i="36" s="1"/>
  <c r="L151" i="36" s="1"/>
  <c r="M151" i="36" s="1"/>
  <c r="N151" i="36" s="1"/>
  <c r="AQ150" i="36"/>
  <c r="J150" i="36"/>
  <c r="K150" i="36" s="1"/>
  <c r="L150" i="36" s="1"/>
  <c r="M150" i="36" s="1"/>
  <c r="N150" i="36" s="1"/>
  <c r="AQ149" i="36"/>
  <c r="J149" i="36"/>
  <c r="K149" i="36" s="1"/>
  <c r="L149" i="36" s="1"/>
  <c r="M149" i="36" s="1"/>
  <c r="N149" i="36" s="1"/>
  <c r="AQ148" i="36"/>
  <c r="J148" i="36"/>
  <c r="K148" i="36" s="1"/>
  <c r="L148" i="36" s="1"/>
  <c r="M148" i="36" s="1"/>
  <c r="N148" i="36" s="1"/>
  <c r="AQ147" i="36"/>
  <c r="J147" i="36"/>
  <c r="K147" i="36" s="1"/>
  <c r="L147" i="36" s="1"/>
  <c r="M147" i="36" s="1"/>
  <c r="N147" i="36" s="1"/>
  <c r="AQ146" i="36"/>
  <c r="J146" i="36"/>
  <c r="K146" i="36" s="1"/>
  <c r="L146" i="36" s="1"/>
  <c r="M146" i="36" s="1"/>
  <c r="N146" i="36" s="1"/>
  <c r="AQ145" i="36"/>
  <c r="J145" i="36"/>
  <c r="K145" i="36" s="1"/>
  <c r="L145" i="36" s="1"/>
  <c r="M145" i="36" s="1"/>
  <c r="N145" i="36" s="1"/>
  <c r="AQ144" i="36"/>
  <c r="J144" i="36"/>
  <c r="K144" i="36" s="1"/>
  <c r="L144" i="36" s="1"/>
  <c r="M144" i="36" s="1"/>
  <c r="N144" i="36" s="1"/>
  <c r="AQ143" i="36"/>
  <c r="J143" i="36"/>
  <c r="K143" i="36" s="1"/>
  <c r="L143" i="36" s="1"/>
  <c r="M143" i="36" s="1"/>
  <c r="N143" i="36" s="1"/>
  <c r="AQ142" i="36"/>
  <c r="AR142" i="36" s="1"/>
  <c r="C142" i="36"/>
  <c r="AH159" i="36" s="1"/>
  <c r="AM138" i="36"/>
  <c r="AN138" i="36" s="1"/>
  <c r="AO138" i="36" s="1"/>
  <c r="CN124" i="36"/>
  <c r="CN126" i="36" s="1"/>
  <c r="CL124" i="36"/>
  <c r="CL126" i="36" s="1"/>
  <c r="CF124" i="36"/>
  <c r="CF126" i="36" s="1"/>
  <c r="CD124" i="36"/>
  <c r="CD126" i="36" s="1"/>
  <c r="CQ57" i="36"/>
  <c r="CO57" i="36"/>
  <c r="CM57" i="36"/>
  <c r="CK57" i="36"/>
  <c r="CI57" i="36"/>
  <c r="CG57" i="36"/>
  <c r="CE57" i="36"/>
  <c r="CC57" i="36"/>
  <c r="H22" i="36"/>
  <c r="C14" i="36"/>
  <c r="C11" i="36"/>
  <c r="H8" i="36"/>
  <c r="H7" i="36"/>
  <c r="D4" i="36"/>
  <c r="F2" i="36"/>
  <c r="E2" i="36"/>
  <c r="D2" i="36"/>
  <c r="AR171" i="41" l="1"/>
  <c r="AR175" i="41"/>
  <c r="AR179" i="41"/>
  <c r="AR183" i="41"/>
  <c r="AR172" i="39"/>
  <c r="AR173" i="39"/>
  <c r="AF154" i="38"/>
  <c r="AR197" i="37"/>
  <c r="AR158" i="36"/>
  <c r="AR146" i="36"/>
  <c r="AR154" i="36"/>
  <c r="AR150" i="36"/>
  <c r="C7" i="38"/>
  <c r="BQ53" i="38" s="1"/>
  <c r="J20" i="38" s="1"/>
  <c r="AF219" i="41"/>
  <c r="AR181" i="39"/>
  <c r="AR184" i="37"/>
  <c r="AR181" i="40"/>
  <c r="AR183" i="40"/>
  <c r="AR197" i="42"/>
  <c r="AR199" i="42"/>
  <c r="AR201" i="42"/>
  <c r="AR203" i="42"/>
  <c r="AR205" i="42"/>
  <c r="AR207" i="42"/>
  <c r="AR211" i="42"/>
  <c r="AR213" i="42"/>
  <c r="AR196" i="42"/>
  <c r="AR198" i="42"/>
  <c r="AR200" i="42"/>
  <c r="AR202" i="42"/>
  <c r="AR192" i="37"/>
  <c r="AF161" i="37"/>
  <c r="AF160" i="37"/>
  <c r="AR181" i="37"/>
  <c r="AR189" i="37"/>
  <c r="AR179" i="37"/>
  <c r="AR187" i="37"/>
  <c r="AR195" i="37"/>
  <c r="AR217" i="42"/>
  <c r="AR152" i="37"/>
  <c r="AR156" i="37"/>
  <c r="AR174" i="37"/>
  <c r="AR182" i="37"/>
  <c r="AR190" i="37"/>
  <c r="AR220" i="42"/>
  <c r="AR177" i="37"/>
  <c r="AR185" i="37"/>
  <c r="AR193" i="37"/>
  <c r="AR198" i="37"/>
  <c r="AR214" i="42"/>
  <c r="AR180" i="37"/>
  <c r="AR188" i="37"/>
  <c r="AR196" i="37"/>
  <c r="AR218" i="42"/>
  <c r="AR175" i="37"/>
  <c r="AR183" i="37"/>
  <c r="AR191" i="37"/>
  <c r="AR215" i="42"/>
  <c r="AR178" i="37"/>
  <c r="AR186" i="37"/>
  <c r="AR194" i="37"/>
  <c r="AR139" i="39"/>
  <c r="AR141" i="39"/>
  <c r="AR143" i="39"/>
  <c r="AR145" i="39"/>
  <c r="AR151" i="39"/>
  <c r="AR153" i="39"/>
  <c r="AR176" i="39"/>
  <c r="AR140" i="39"/>
  <c r="AR142" i="39"/>
  <c r="AR144" i="39"/>
  <c r="AR146" i="39"/>
  <c r="AR148" i="39"/>
  <c r="AR154" i="39"/>
  <c r="AR155" i="39"/>
  <c r="AR157" i="39"/>
  <c r="AF219" i="39"/>
  <c r="AR174" i="38"/>
  <c r="AR157" i="38"/>
  <c r="AR145" i="41"/>
  <c r="AR174" i="40"/>
  <c r="J142" i="41"/>
  <c r="P142" i="41" s="1"/>
  <c r="Q142" i="41" s="1"/>
  <c r="S142" i="41" s="1"/>
  <c r="T142" i="41" s="1"/>
  <c r="AR145" i="36"/>
  <c r="AR149" i="36"/>
  <c r="AR153" i="36"/>
  <c r="AR157" i="36"/>
  <c r="AR161" i="36"/>
  <c r="AR177" i="40"/>
  <c r="AF213" i="41"/>
  <c r="AR199" i="37"/>
  <c r="AR180" i="40"/>
  <c r="H9" i="42"/>
  <c r="AR143" i="36"/>
  <c r="AR147" i="36"/>
  <c r="AR151" i="36"/>
  <c r="AR155" i="36"/>
  <c r="AR159" i="36"/>
  <c r="AR176" i="40"/>
  <c r="AR144" i="36"/>
  <c r="AR148" i="36"/>
  <c r="AR152" i="36"/>
  <c r="AR156" i="36"/>
  <c r="AR160" i="36"/>
  <c r="AF181" i="38"/>
  <c r="H9" i="41"/>
  <c r="AR209" i="42"/>
  <c r="AR216" i="42"/>
  <c r="AR219" i="42"/>
  <c r="AR178" i="38"/>
  <c r="AR144" i="37"/>
  <c r="C7" i="37"/>
  <c r="BQ27" i="37" s="1"/>
  <c r="L85" i="37" s="1"/>
  <c r="H11" i="37"/>
  <c r="AR176" i="38"/>
  <c r="AR180" i="38"/>
  <c r="AR182" i="38"/>
  <c r="AR138" i="38"/>
  <c r="AR143" i="38"/>
  <c r="AR145" i="38"/>
  <c r="AR149" i="38"/>
  <c r="AR150" i="38"/>
  <c r="AR155" i="38"/>
  <c r="AR156" i="38"/>
  <c r="C7" i="39"/>
  <c r="BQ25" i="39" s="1"/>
  <c r="L85" i="39" s="1"/>
  <c r="AR146" i="40"/>
  <c r="AR148" i="40"/>
  <c r="AR144" i="40"/>
  <c r="C7" i="40"/>
  <c r="BQ27" i="40" s="1"/>
  <c r="J142" i="40"/>
  <c r="P142" i="40" s="1"/>
  <c r="Q142" i="40" s="1"/>
  <c r="S142" i="40" s="1"/>
  <c r="T142" i="40" s="1"/>
  <c r="R143" i="40" s="1"/>
  <c r="AR143" i="40"/>
  <c r="AR145" i="40"/>
  <c r="AR150" i="40"/>
  <c r="BH212" i="40"/>
  <c r="AR142" i="40"/>
  <c r="AR147" i="40"/>
  <c r="AR149" i="40"/>
  <c r="AR146" i="41"/>
  <c r="AR151" i="41"/>
  <c r="AR152" i="41"/>
  <c r="AR153" i="41"/>
  <c r="AR168" i="41"/>
  <c r="AR172" i="41"/>
  <c r="AR176" i="41"/>
  <c r="AR180" i="41"/>
  <c r="AF215" i="41"/>
  <c r="C7" i="41"/>
  <c r="BQ27" i="41" s="1"/>
  <c r="L85" i="41" s="1"/>
  <c r="AH142" i="41"/>
  <c r="AI142" i="41" s="1"/>
  <c r="AJ142" i="41" s="1"/>
  <c r="AK142" i="41" s="1"/>
  <c r="AL142" i="41" s="1"/>
  <c r="O143" i="41"/>
  <c r="P143" i="41" s="1"/>
  <c r="AR144" i="41"/>
  <c r="AR150" i="41"/>
  <c r="AT152" i="41"/>
  <c r="AR166" i="41"/>
  <c r="AR170" i="41"/>
  <c r="AR174" i="41"/>
  <c r="AR178" i="41"/>
  <c r="AR182" i="41"/>
  <c r="AR184" i="41"/>
  <c r="AR142" i="41"/>
  <c r="AR143" i="41"/>
  <c r="AR147" i="41"/>
  <c r="AR169" i="41"/>
  <c r="AR173" i="41"/>
  <c r="AR177" i="41"/>
  <c r="AR181" i="41"/>
  <c r="AR185" i="41"/>
  <c r="AF180" i="38"/>
  <c r="AR149" i="42"/>
  <c r="AR145" i="42"/>
  <c r="AR173" i="42"/>
  <c r="AR178" i="42"/>
  <c r="AR153" i="42"/>
  <c r="AR182" i="42"/>
  <c r="AR221" i="42"/>
  <c r="AF215" i="38"/>
  <c r="AF217" i="38"/>
  <c r="AF219" i="38"/>
  <c r="AF217" i="41"/>
  <c r="AF218" i="41"/>
  <c r="AF214" i="41"/>
  <c r="AF219" i="40"/>
  <c r="C7" i="36"/>
  <c r="BQ27" i="36" s="1"/>
  <c r="AR142" i="37"/>
  <c r="AR148" i="37"/>
  <c r="AR143" i="37"/>
  <c r="AR146" i="37"/>
  <c r="AR149" i="37"/>
  <c r="AR150" i="37"/>
  <c r="AR151" i="37"/>
  <c r="AR155" i="37"/>
  <c r="AR159" i="37"/>
  <c r="AR161" i="37"/>
  <c r="AR142" i="38"/>
  <c r="AR151" i="38"/>
  <c r="BG175" i="38"/>
  <c r="BG176" i="38" s="1"/>
  <c r="J139" i="39"/>
  <c r="K139" i="39" s="1"/>
  <c r="L139" i="39" s="1"/>
  <c r="M139" i="39" s="1"/>
  <c r="N139" i="39" s="1"/>
  <c r="AR150" i="39"/>
  <c r="AR175" i="39"/>
  <c r="AR182" i="39"/>
  <c r="BH225" i="41"/>
  <c r="BH226" i="41" s="1"/>
  <c r="AR142" i="42"/>
  <c r="AR152" i="42"/>
  <c r="AR159" i="42"/>
  <c r="AF221" i="42"/>
  <c r="AR139" i="38"/>
  <c r="AR148" i="38"/>
  <c r="AF150" i="38"/>
  <c r="AR153" i="38"/>
  <c r="AF155" i="38"/>
  <c r="AR172" i="38"/>
  <c r="AR147" i="39"/>
  <c r="AR158" i="39"/>
  <c r="AR178" i="39"/>
  <c r="AF181" i="39"/>
  <c r="AR148" i="41"/>
  <c r="AT153" i="41"/>
  <c r="AF216" i="41"/>
  <c r="C7" i="42"/>
  <c r="BQ56" i="42" s="1"/>
  <c r="AR146" i="42"/>
  <c r="AR155" i="42"/>
  <c r="AR176" i="42"/>
  <c r="AR146" i="38"/>
  <c r="AR175" i="38"/>
  <c r="AR177" i="38"/>
  <c r="AR181" i="38"/>
  <c r="BG165" i="39"/>
  <c r="BG166" i="39" s="1"/>
  <c r="AR143" i="42"/>
  <c r="AR179" i="42"/>
  <c r="AR181" i="42"/>
  <c r="AR140" i="42"/>
  <c r="AR150" i="42"/>
  <c r="AR156" i="42"/>
  <c r="AR158" i="42"/>
  <c r="AR174" i="42"/>
  <c r="AF149" i="38"/>
  <c r="AR147" i="37"/>
  <c r="AR153" i="37"/>
  <c r="AR157" i="37"/>
  <c r="AR160" i="37"/>
  <c r="AR140" i="38"/>
  <c r="AR152" i="38"/>
  <c r="AR173" i="38"/>
  <c r="AF179" i="38"/>
  <c r="AF156" i="39"/>
  <c r="AR171" i="39"/>
  <c r="AR179" i="39"/>
  <c r="O144" i="41"/>
  <c r="P144" i="41" s="1"/>
  <c r="Q144" i="41" s="1"/>
  <c r="AR149" i="41"/>
  <c r="AF184" i="41"/>
  <c r="AR144" i="42"/>
  <c r="AR147" i="42"/>
  <c r="AR172" i="42"/>
  <c r="AR177" i="42"/>
  <c r="AR183" i="42"/>
  <c r="H11" i="36"/>
  <c r="AR144" i="38"/>
  <c r="AR147" i="38"/>
  <c r="AE182" i="38"/>
  <c r="AR152" i="39"/>
  <c r="AR174" i="39"/>
  <c r="AR182" i="40"/>
  <c r="AR141" i="42"/>
  <c r="AR180" i="42"/>
  <c r="AR145" i="37"/>
  <c r="AR154" i="37"/>
  <c r="AR158" i="37"/>
  <c r="AR141" i="38"/>
  <c r="AF151" i="38"/>
  <c r="AF153" i="38"/>
  <c r="AR154" i="38"/>
  <c r="AR171" i="38"/>
  <c r="AF178" i="38"/>
  <c r="AR179" i="38"/>
  <c r="AR149" i="39"/>
  <c r="AR156" i="39"/>
  <c r="AR177" i="39"/>
  <c r="H11" i="40"/>
  <c r="AR148" i="42"/>
  <c r="AR151" i="42"/>
  <c r="AR154" i="42"/>
  <c r="AR157" i="42"/>
  <c r="AR175" i="42"/>
  <c r="AF218" i="42"/>
  <c r="AJ159" i="36"/>
  <c r="AK159" i="36" s="1"/>
  <c r="AL159" i="36" s="1"/>
  <c r="AM159" i="36"/>
  <c r="AN159" i="36" s="1"/>
  <c r="AO159" i="36" s="1"/>
  <c r="AI159" i="36"/>
  <c r="H9" i="36"/>
  <c r="O142" i="36"/>
  <c r="P142" i="36" s="1"/>
  <c r="O144" i="36"/>
  <c r="P144" i="36" s="1"/>
  <c r="Q144" i="36" s="1"/>
  <c r="AH144" i="36"/>
  <c r="O148" i="36"/>
  <c r="P148" i="36" s="1"/>
  <c r="Q148" i="36" s="1"/>
  <c r="AH148" i="36"/>
  <c r="O152" i="36"/>
  <c r="P152" i="36" s="1"/>
  <c r="Q152" i="36" s="1"/>
  <c r="AH152" i="36"/>
  <c r="O156" i="36"/>
  <c r="P156" i="36" s="1"/>
  <c r="Q156" i="36" s="1"/>
  <c r="AH156" i="36"/>
  <c r="O160" i="36"/>
  <c r="P160" i="36" s="1"/>
  <c r="Q160" i="36" s="1"/>
  <c r="AH160" i="36"/>
  <c r="O145" i="36"/>
  <c r="P145" i="36" s="1"/>
  <c r="Q145" i="36" s="1"/>
  <c r="AH145" i="36"/>
  <c r="O149" i="36"/>
  <c r="P149" i="36" s="1"/>
  <c r="Q149" i="36" s="1"/>
  <c r="AH149" i="36"/>
  <c r="O153" i="36"/>
  <c r="P153" i="36" s="1"/>
  <c r="Q153" i="36" s="1"/>
  <c r="AH153" i="36"/>
  <c r="O157" i="36"/>
  <c r="P157" i="36" s="1"/>
  <c r="Q157" i="36" s="1"/>
  <c r="AH157" i="36"/>
  <c r="O161" i="36"/>
  <c r="P161" i="36" s="1"/>
  <c r="Q161" i="36" s="1"/>
  <c r="AH161" i="36"/>
  <c r="Q161" i="37"/>
  <c r="AH142" i="36"/>
  <c r="O146" i="36"/>
  <c r="P146" i="36" s="1"/>
  <c r="Q146" i="36" s="1"/>
  <c r="AH146" i="36"/>
  <c r="O150" i="36"/>
  <c r="P150" i="36" s="1"/>
  <c r="Q150" i="36" s="1"/>
  <c r="AH150" i="36"/>
  <c r="O154" i="36"/>
  <c r="P154" i="36" s="1"/>
  <c r="Q154" i="36" s="1"/>
  <c r="AH154" i="36"/>
  <c r="O158" i="36"/>
  <c r="P158" i="36" s="1"/>
  <c r="Q158" i="36" s="1"/>
  <c r="AH158" i="36"/>
  <c r="BH228" i="36"/>
  <c r="J142" i="36"/>
  <c r="K142" i="36" s="1"/>
  <c r="L142" i="36" s="1"/>
  <c r="M142" i="36" s="1"/>
  <c r="N142" i="36" s="1"/>
  <c r="O143" i="36"/>
  <c r="P143" i="36" s="1"/>
  <c r="Q143" i="36" s="1"/>
  <c r="AH143" i="36"/>
  <c r="O147" i="36"/>
  <c r="P147" i="36" s="1"/>
  <c r="Q147" i="36" s="1"/>
  <c r="AH147" i="36"/>
  <c r="O151" i="36"/>
  <c r="P151" i="36" s="1"/>
  <c r="Q151" i="36" s="1"/>
  <c r="AH151" i="36"/>
  <c r="O155" i="36"/>
  <c r="P155" i="36" s="1"/>
  <c r="Q155" i="36" s="1"/>
  <c r="AH155" i="36"/>
  <c r="O159" i="36"/>
  <c r="P159" i="36" s="1"/>
  <c r="Q159" i="36" s="1"/>
  <c r="H9" i="37"/>
  <c r="J142" i="37"/>
  <c r="K142" i="37" s="1"/>
  <c r="L142" i="37" s="1"/>
  <c r="M142" i="37" s="1"/>
  <c r="N142" i="37" s="1"/>
  <c r="AE160" i="37"/>
  <c r="AE161" i="37"/>
  <c r="O142" i="37"/>
  <c r="P142" i="37" s="1"/>
  <c r="BH241" i="37"/>
  <c r="AH142" i="37"/>
  <c r="AH143" i="37"/>
  <c r="AH144" i="37"/>
  <c r="AH145" i="37"/>
  <c r="AH146" i="37"/>
  <c r="AH147" i="37"/>
  <c r="AH148" i="37"/>
  <c r="AH149" i="37"/>
  <c r="AH150" i="37"/>
  <c r="AH151" i="37"/>
  <c r="AH152" i="37"/>
  <c r="AH153" i="37"/>
  <c r="AH154" i="37"/>
  <c r="AH155" i="37"/>
  <c r="AH156" i="37"/>
  <c r="AH157" i="37"/>
  <c r="AH158" i="37"/>
  <c r="AH159" i="37"/>
  <c r="AH160" i="37"/>
  <c r="AH161" i="37"/>
  <c r="AJ154" i="38"/>
  <c r="AK154" i="38" s="1"/>
  <c r="AL154" i="38" s="1"/>
  <c r="AM154" i="38"/>
  <c r="AN154" i="38" s="1"/>
  <c r="AO154" i="38" s="1"/>
  <c r="O143" i="37"/>
  <c r="P143" i="37" s="1"/>
  <c r="Q143" i="37" s="1"/>
  <c r="O144" i="37"/>
  <c r="P144" i="37" s="1"/>
  <c r="Q144" i="37" s="1"/>
  <c r="O145" i="37"/>
  <c r="P145" i="37" s="1"/>
  <c r="Q145" i="37" s="1"/>
  <c r="O146" i="37"/>
  <c r="P146" i="37" s="1"/>
  <c r="Q146" i="37" s="1"/>
  <c r="O147" i="37"/>
  <c r="P147" i="37" s="1"/>
  <c r="Q147" i="37" s="1"/>
  <c r="O148" i="37"/>
  <c r="P148" i="37" s="1"/>
  <c r="Q148" i="37" s="1"/>
  <c r="O149" i="37"/>
  <c r="P149" i="37" s="1"/>
  <c r="Q149" i="37" s="1"/>
  <c r="O150" i="37"/>
  <c r="P150" i="37" s="1"/>
  <c r="Q150" i="37" s="1"/>
  <c r="O151" i="37"/>
  <c r="P151" i="37" s="1"/>
  <c r="Q151" i="37" s="1"/>
  <c r="O152" i="37"/>
  <c r="P152" i="37" s="1"/>
  <c r="Q152" i="37" s="1"/>
  <c r="O153" i="37"/>
  <c r="P153" i="37" s="1"/>
  <c r="Q153" i="37" s="1"/>
  <c r="O154" i="37"/>
  <c r="P154" i="37" s="1"/>
  <c r="Q154" i="37" s="1"/>
  <c r="O155" i="37"/>
  <c r="P155" i="37" s="1"/>
  <c r="Q155" i="37" s="1"/>
  <c r="O156" i="37"/>
  <c r="P156" i="37" s="1"/>
  <c r="Q156" i="37" s="1"/>
  <c r="O157" i="37"/>
  <c r="P157" i="37" s="1"/>
  <c r="Q157" i="37" s="1"/>
  <c r="O158" i="37"/>
  <c r="P158" i="37" s="1"/>
  <c r="Q158" i="37" s="1"/>
  <c r="O159" i="37"/>
  <c r="P159" i="37" s="1"/>
  <c r="Q159" i="37" s="1"/>
  <c r="O160" i="37"/>
  <c r="P160" i="37" s="1"/>
  <c r="Q160" i="37" s="1"/>
  <c r="L85" i="38"/>
  <c r="BO84" i="38"/>
  <c r="H9" i="38"/>
  <c r="J138" i="38"/>
  <c r="K138" i="38" s="1"/>
  <c r="L138" i="38" s="1"/>
  <c r="M138" i="38" s="1"/>
  <c r="N138" i="38" s="1"/>
  <c r="O141" i="38"/>
  <c r="P141" i="38" s="1"/>
  <c r="Q141" i="38" s="1"/>
  <c r="AH141" i="38"/>
  <c r="O145" i="38"/>
  <c r="P145" i="38" s="1"/>
  <c r="Q145" i="38" s="1"/>
  <c r="AH145" i="38"/>
  <c r="AF148" i="38"/>
  <c r="O149" i="38"/>
  <c r="P149" i="38" s="1"/>
  <c r="Q149" i="38" s="1"/>
  <c r="AH149" i="38"/>
  <c r="AE151" i="38"/>
  <c r="AF152" i="38"/>
  <c r="O153" i="38"/>
  <c r="P153" i="38" s="1"/>
  <c r="Q153" i="38" s="1"/>
  <c r="AH153" i="38"/>
  <c r="AE155" i="38"/>
  <c r="AF156" i="38"/>
  <c r="O157" i="38"/>
  <c r="P157" i="38" s="1"/>
  <c r="Q157" i="38" s="1"/>
  <c r="AH157" i="38"/>
  <c r="AE179" i="38"/>
  <c r="AE181" i="38"/>
  <c r="O138" i="38"/>
  <c r="P138" i="38" s="1"/>
  <c r="O140" i="38"/>
  <c r="P140" i="38" s="1"/>
  <c r="Q140" i="38" s="1"/>
  <c r="AH140" i="38"/>
  <c r="O144" i="38"/>
  <c r="P144" i="38" s="1"/>
  <c r="Q144" i="38" s="1"/>
  <c r="AH144" i="38"/>
  <c r="O148" i="38"/>
  <c r="P148" i="38" s="1"/>
  <c r="Q148" i="38" s="1"/>
  <c r="AH148" i="38"/>
  <c r="AE150" i="38"/>
  <c r="O152" i="38"/>
  <c r="P152" i="38" s="1"/>
  <c r="Q152" i="38" s="1"/>
  <c r="AH152" i="38"/>
  <c r="AE154" i="38"/>
  <c r="O156" i="38"/>
  <c r="P156" i="38" s="1"/>
  <c r="Q156" i="38" s="1"/>
  <c r="AH156" i="38"/>
  <c r="H11" i="38"/>
  <c r="O139" i="38"/>
  <c r="P139" i="38" s="1"/>
  <c r="Q139" i="38" s="1"/>
  <c r="AH139" i="38"/>
  <c r="O143" i="38"/>
  <c r="P143" i="38" s="1"/>
  <c r="Q143" i="38" s="1"/>
  <c r="AH143" i="38"/>
  <c r="O147" i="38"/>
  <c r="P147" i="38" s="1"/>
  <c r="Q147" i="38" s="1"/>
  <c r="AH147" i="38"/>
  <c r="AE149" i="38"/>
  <c r="O151" i="38"/>
  <c r="P151" i="38" s="1"/>
  <c r="Q151" i="38" s="1"/>
  <c r="AH151" i="38"/>
  <c r="AE153" i="38"/>
  <c r="O155" i="38"/>
  <c r="P155" i="38" s="1"/>
  <c r="Q155" i="38" s="1"/>
  <c r="AH155" i="38"/>
  <c r="AE157" i="38"/>
  <c r="AH138" i="38"/>
  <c r="O142" i="38"/>
  <c r="P142" i="38" s="1"/>
  <c r="Q142" i="38" s="1"/>
  <c r="AH142" i="38"/>
  <c r="O146" i="38"/>
  <c r="P146" i="38" s="1"/>
  <c r="Q146" i="38" s="1"/>
  <c r="AH146" i="38"/>
  <c r="O150" i="38"/>
  <c r="P150" i="38" s="1"/>
  <c r="Q150" i="38" s="1"/>
  <c r="AH150" i="38"/>
  <c r="O154" i="38"/>
  <c r="P154" i="38" s="1"/>
  <c r="Q154" i="38" s="1"/>
  <c r="AJ157" i="39"/>
  <c r="AK157" i="39" s="1"/>
  <c r="AL157" i="39" s="1"/>
  <c r="AM157" i="39"/>
  <c r="AN157" i="39" s="1"/>
  <c r="AO157" i="39" s="1"/>
  <c r="H11" i="39"/>
  <c r="AH139" i="39"/>
  <c r="O140" i="39"/>
  <c r="P140" i="39" s="1"/>
  <c r="Q140" i="39" s="1"/>
  <c r="AH140" i="39"/>
  <c r="O144" i="39"/>
  <c r="P144" i="39" s="1"/>
  <c r="Q144" i="39" s="1"/>
  <c r="AH144" i="39"/>
  <c r="O148" i="39"/>
  <c r="P148" i="39" s="1"/>
  <c r="Q148" i="39" s="1"/>
  <c r="AH148" i="39"/>
  <c r="O152" i="39"/>
  <c r="P152" i="39" s="1"/>
  <c r="Q152" i="39" s="1"/>
  <c r="AH152" i="39"/>
  <c r="AF155" i="39"/>
  <c r="O156" i="39"/>
  <c r="P156" i="39" s="1"/>
  <c r="Q156" i="39" s="1"/>
  <c r="AH156" i="39"/>
  <c r="AE158" i="39"/>
  <c r="AT181" i="39"/>
  <c r="AE182" i="39"/>
  <c r="AJ182" i="39"/>
  <c r="AK182" i="39" s="1"/>
  <c r="AL182" i="39" s="1"/>
  <c r="AS182" i="39" s="1"/>
  <c r="AF216" i="38"/>
  <c r="AF218" i="38"/>
  <c r="AF220" i="38"/>
  <c r="O143" i="39"/>
  <c r="P143" i="39" s="1"/>
  <c r="Q143" i="39" s="1"/>
  <c r="AH143" i="39"/>
  <c r="O147" i="39"/>
  <c r="P147" i="39" s="1"/>
  <c r="Q147" i="39" s="1"/>
  <c r="AH147" i="39"/>
  <c r="O151" i="39"/>
  <c r="P151" i="39" s="1"/>
  <c r="Q151" i="39" s="1"/>
  <c r="AH151" i="39"/>
  <c r="O155" i="39"/>
  <c r="P155" i="39" s="1"/>
  <c r="Q155" i="39" s="1"/>
  <c r="AH155" i="39"/>
  <c r="AE157" i="39"/>
  <c r="AM181" i="39"/>
  <c r="AN181" i="39" s="1"/>
  <c r="AO181" i="39" s="1"/>
  <c r="AS181" i="39" s="1"/>
  <c r="AF182" i="39"/>
  <c r="H9" i="39"/>
  <c r="O139" i="39"/>
  <c r="P139" i="39" s="1"/>
  <c r="O142" i="39"/>
  <c r="P142" i="39" s="1"/>
  <c r="Q142" i="39" s="1"/>
  <c r="AH142" i="39"/>
  <c r="O146" i="39"/>
  <c r="P146" i="39" s="1"/>
  <c r="Q146" i="39" s="1"/>
  <c r="AH146" i="39"/>
  <c r="O150" i="39"/>
  <c r="P150" i="39" s="1"/>
  <c r="Q150" i="39" s="1"/>
  <c r="AH150" i="39"/>
  <c r="O154" i="39"/>
  <c r="P154" i="39" s="1"/>
  <c r="Q154" i="39" s="1"/>
  <c r="AH154" i="39"/>
  <c r="AF157" i="39"/>
  <c r="O158" i="39"/>
  <c r="P158" i="39" s="1"/>
  <c r="Q158" i="39" s="1"/>
  <c r="AH158" i="39"/>
  <c r="AE181" i="39"/>
  <c r="O141" i="39"/>
  <c r="P141" i="39" s="1"/>
  <c r="Q141" i="39" s="1"/>
  <c r="AH141" i="39"/>
  <c r="O145" i="39"/>
  <c r="P145" i="39" s="1"/>
  <c r="Q145" i="39" s="1"/>
  <c r="AH145" i="39"/>
  <c r="O149" i="39"/>
  <c r="P149" i="39" s="1"/>
  <c r="Q149" i="39" s="1"/>
  <c r="AH149" i="39"/>
  <c r="O153" i="39"/>
  <c r="P153" i="39" s="1"/>
  <c r="Q153" i="39" s="1"/>
  <c r="AH153" i="39"/>
  <c r="O157" i="39"/>
  <c r="P157" i="39" s="1"/>
  <c r="Q157" i="39" s="1"/>
  <c r="J48" i="40"/>
  <c r="AF220" i="39"/>
  <c r="BH213" i="40"/>
  <c r="AE152" i="40"/>
  <c r="AE153" i="40"/>
  <c r="H9" i="40"/>
  <c r="AF152" i="40"/>
  <c r="AF153" i="40"/>
  <c r="AH142" i="40"/>
  <c r="AH143" i="40"/>
  <c r="AH144" i="40"/>
  <c r="AH145" i="40"/>
  <c r="AH146" i="40"/>
  <c r="AH147" i="40"/>
  <c r="AH148" i="40"/>
  <c r="AH149" i="40"/>
  <c r="AH150" i="40"/>
  <c r="AH151" i="40"/>
  <c r="AI151" i="40" s="1"/>
  <c r="AH152" i="40"/>
  <c r="AH153" i="40"/>
  <c r="O143" i="40"/>
  <c r="P143" i="40" s="1"/>
  <c r="Q143" i="40" s="1"/>
  <c r="O144" i="40"/>
  <c r="P144" i="40" s="1"/>
  <c r="Q144" i="40" s="1"/>
  <c r="O145" i="40"/>
  <c r="P145" i="40" s="1"/>
  <c r="Q145" i="40" s="1"/>
  <c r="O146" i="40"/>
  <c r="P146" i="40" s="1"/>
  <c r="Q146" i="40" s="1"/>
  <c r="O147" i="40"/>
  <c r="P147" i="40" s="1"/>
  <c r="Q147" i="40" s="1"/>
  <c r="O148" i="40"/>
  <c r="P148" i="40" s="1"/>
  <c r="Q148" i="40" s="1"/>
  <c r="O149" i="40"/>
  <c r="P149" i="40" s="1"/>
  <c r="Q149" i="40" s="1"/>
  <c r="O150" i="40"/>
  <c r="P150" i="40" s="1"/>
  <c r="Q150" i="40" s="1"/>
  <c r="O151" i="40"/>
  <c r="P151" i="40" s="1"/>
  <c r="Q151" i="40" s="1"/>
  <c r="O152" i="40"/>
  <c r="P152" i="40" s="1"/>
  <c r="Q152" i="40" s="1"/>
  <c r="Q143" i="41"/>
  <c r="AE183" i="40"/>
  <c r="R143" i="41"/>
  <c r="V142" i="41"/>
  <c r="H11" i="41"/>
  <c r="AM142" i="41"/>
  <c r="AN142" i="41" s="1"/>
  <c r="AO142" i="41" s="1"/>
  <c r="O145" i="41"/>
  <c r="P145" i="41" s="1"/>
  <c r="Q145" i="41" s="1"/>
  <c r="O146" i="41"/>
  <c r="P146" i="41" s="1"/>
  <c r="Q146" i="41" s="1"/>
  <c r="O147" i="41"/>
  <c r="P147" i="41" s="1"/>
  <c r="Q147" i="41" s="1"/>
  <c r="O148" i="41"/>
  <c r="P148" i="41" s="1"/>
  <c r="Q148" i="41" s="1"/>
  <c r="O149" i="41"/>
  <c r="P149" i="41" s="1"/>
  <c r="Q149" i="41" s="1"/>
  <c r="O150" i="41"/>
  <c r="P150" i="41" s="1"/>
  <c r="Q150" i="41" s="1"/>
  <c r="O151" i="41"/>
  <c r="P151" i="41" s="1"/>
  <c r="Q151" i="41" s="1"/>
  <c r="O152" i="41"/>
  <c r="P152" i="41" s="1"/>
  <c r="Q152" i="41" s="1"/>
  <c r="AM152" i="41"/>
  <c r="AN152" i="41" s="1"/>
  <c r="AO152" i="41" s="1"/>
  <c r="AS152" i="41" s="1"/>
  <c r="O153" i="41"/>
  <c r="P153" i="41" s="1"/>
  <c r="Q153" i="41" s="1"/>
  <c r="AM153" i="41"/>
  <c r="AN153" i="41" s="1"/>
  <c r="AO153" i="41" s="1"/>
  <c r="AS153" i="41" s="1"/>
  <c r="AE152" i="41"/>
  <c r="AE153" i="41"/>
  <c r="AF152" i="41"/>
  <c r="AF153" i="41"/>
  <c r="AH143" i="41"/>
  <c r="AI143" i="41" s="1"/>
  <c r="AH144" i="41"/>
  <c r="AI144" i="41" s="1"/>
  <c r="AH145" i="41"/>
  <c r="AI145" i="41" s="1"/>
  <c r="AH146" i="41"/>
  <c r="AI146" i="41" s="1"/>
  <c r="AH147" i="41"/>
  <c r="AI147" i="41" s="1"/>
  <c r="AH148" i="41"/>
  <c r="AI148" i="41" s="1"/>
  <c r="AH149" i="41"/>
  <c r="AI149" i="41" s="1"/>
  <c r="AH150" i="41"/>
  <c r="AI150" i="41" s="1"/>
  <c r="AH151" i="41"/>
  <c r="AI151" i="41" s="1"/>
  <c r="AH152" i="41"/>
  <c r="AE185" i="41"/>
  <c r="AF185" i="41"/>
  <c r="AH158" i="42"/>
  <c r="AI158" i="42" s="1"/>
  <c r="O158" i="42"/>
  <c r="P158" i="42" s="1"/>
  <c r="Q158" i="42" s="1"/>
  <c r="AH154" i="42"/>
  <c r="O154" i="42"/>
  <c r="P154" i="42" s="1"/>
  <c r="Q154" i="42" s="1"/>
  <c r="AH150" i="42"/>
  <c r="O150" i="42"/>
  <c r="P150" i="42" s="1"/>
  <c r="Q150" i="42" s="1"/>
  <c r="AH146" i="42"/>
  <c r="O146" i="42"/>
  <c r="P146" i="42" s="1"/>
  <c r="Q146" i="42" s="1"/>
  <c r="AH159" i="42"/>
  <c r="AI159" i="42" s="1"/>
  <c r="O159" i="42"/>
  <c r="P159" i="42" s="1"/>
  <c r="Q159" i="42" s="1"/>
  <c r="AH155" i="42"/>
  <c r="O155" i="42"/>
  <c r="P155" i="42" s="1"/>
  <c r="Q155" i="42" s="1"/>
  <c r="AH151" i="42"/>
  <c r="O151" i="42"/>
  <c r="P151" i="42" s="1"/>
  <c r="Q151" i="42" s="1"/>
  <c r="AH156" i="42"/>
  <c r="O156" i="42"/>
  <c r="P156" i="42" s="1"/>
  <c r="Q156" i="42" s="1"/>
  <c r="AH152" i="42"/>
  <c r="O152" i="42"/>
  <c r="P152" i="42" s="1"/>
  <c r="Q152" i="42" s="1"/>
  <c r="AH148" i="42"/>
  <c r="O148" i="42"/>
  <c r="P148" i="42" s="1"/>
  <c r="Q148" i="42" s="1"/>
  <c r="AH157" i="42"/>
  <c r="O157" i="42"/>
  <c r="P157" i="42" s="1"/>
  <c r="Q157" i="42" s="1"/>
  <c r="AH153" i="42"/>
  <c r="O153" i="42"/>
  <c r="P153" i="42" s="1"/>
  <c r="Q153" i="42" s="1"/>
  <c r="AH149" i="42"/>
  <c r="O149" i="42"/>
  <c r="P149" i="42" s="1"/>
  <c r="Q149" i="42" s="1"/>
  <c r="AH145" i="42"/>
  <c r="O145" i="42"/>
  <c r="P145" i="42" s="1"/>
  <c r="Q145" i="42" s="1"/>
  <c r="O142" i="42"/>
  <c r="P142" i="42" s="1"/>
  <c r="Q142" i="42" s="1"/>
  <c r="AH142" i="42"/>
  <c r="AH147" i="42"/>
  <c r="AH140" i="42"/>
  <c r="O141" i="42"/>
  <c r="P141" i="42" s="1"/>
  <c r="Q141" i="42" s="1"/>
  <c r="AH141" i="42"/>
  <c r="O147" i="42"/>
  <c r="P147" i="42" s="1"/>
  <c r="Q147" i="42" s="1"/>
  <c r="J140" i="42"/>
  <c r="K140" i="42" s="1"/>
  <c r="L140" i="42" s="1"/>
  <c r="M140" i="42" s="1"/>
  <c r="N140" i="42" s="1"/>
  <c r="O144" i="42"/>
  <c r="P144" i="42" s="1"/>
  <c r="Q144" i="42" s="1"/>
  <c r="AH144" i="42"/>
  <c r="BG166" i="42"/>
  <c r="H11" i="42"/>
  <c r="O140" i="42"/>
  <c r="P140" i="42" s="1"/>
  <c r="O143" i="42"/>
  <c r="P143" i="42" s="1"/>
  <c r="Q143" i="42" s="1"/>
  <c r="AH143" i="42"/>
  <c r="AE182" i="42"/>
  <c r="AJ182" i="42"/>
  <c r="AK182" i="42" s="1"/>
  <c r="AL182" i="42" s="1"/>
  <c r="AS182" i="42" s="1"/>
  <c r="AT183" i="42"/>
  <c r="AF182" i="42"/>
  <c r="AM183" i="42"/>
  <c r="AN183" i="42" s="1"/>
  <c r="AO183" i="42" s="1"/>
  <c r="AS183" i="42" s="1"/>
  <c r="AE183" i="42"/>
  <c r="AF220" i="42"/>
  <c r="AE220" i="42"/>
  <c r="AE219" i="42"/>
  <c r="AF219" i="42"/>
  <c r="AQ246" i="35"/>
  <c r="V246" i="35"/>
  <c r="AF246" i="35" s="1"/>
  <c r="J246" i="35"/>
  <c r="K246" i="35" s="1"/>
  <c r="L246" i="35" s="1"/>
  <c r="M246" i="35" s="1"/>
  <c r="N246" i="35" s="1"/>
  <c r="G246" i="35"/>
  <c r="AQ245" i="35"/>
  <c r="V245" i="35"/>
  <c r="J245" i="35"/>
  <c r="K245" i="35" s="1"/>
  <c r="L245" i="35" s="1"/>
  <c r="M245" i="35" s="1"/>
  <c r="N245" i="35" s="1"/>
  <c r="G245" i="35"/>
  <c r="AQ244" i="35"/>
  <c r="V244" i="35"/>
  <c r="K244" i="35"/>
  <c r="L244" i="35" s="1"/>
  <c r="M244" i="35" s="1"/>
  <c r="N244" i="35" s="1"/>
  <c r="J244" i="35"/>
  <c r="G244" i="35"/>
  <c r="AQ243" i="35"/>
  <c r="V243" i="35"/>
  <c r="J243" i="35"/>
  <c r="K243" i="35" s="1"/>
  <c r="L243" i="35" s="1"/>
  <c r="M243" i="35" s="1"/>
  <c r="N243" i="35" s="1"/>
  <c r="G243" i="35"/>
  <c r="AQ242" i="35"/>
  <c r="V242" i="35"/>
  <c r="J242" i="35"/>
  <c r="K242" i="35" s="1"/>
  <c r="L242" i="35" s="1"/>
  <c r="M242" i="35" s="1"/>
  <c r="N242" i="35" s="1"/>
  <c r="G242" i="35"/>
  <c r="AQ241" i="35"/>
  <c r="V241" i="35"/>
  <c r="J241" i="35"/>
  <c r="K241" i="35" s="1"/>
  <c r="L241" i="35" s="1"/>
  <c r="M241" i="35" s="1"/>
  <c r="N241" i="35" s="1"/>
  <c r="G241" i="35"/>
  <c r="AQ240" i="35"/>
  <c r="J240" i="35"/>
  <c r="K240" i="35" s="1"/>
  <c r="L240" i="35" s="1"/>
  <c r="M240" i="35" s="1"/>
  <c r="N240" i="35" s="1"/>
  <c r="G240" i="35"/>
  <c r="AQ239" i="35"/>
  <c r="J239" i="35"/>
  <c r="K239" i="35" s="1"/>
  <c r="L239" i="35" s="1"/>
  <c r="M239" i="35" s="1"/>
  <c r="N239" i="35" s="1"/>
  <c r="G239" i="35"/>
  <c r="AQ238" i="35"/>
  <c r="J238" i="35"/>
  <c r="K238" i="35" s="1"/>
  <c r="L238" i="35" s="1"/>
  <c r="M238" i="35" s="1"/>
  <c r="N238" i="35" s="1"/>
  <c r="G238" i="35"/>
  <c r="AQ237" i="35"/>
  <c r="J237" i="35"/>
  <c r="K237" i="35" s="1"/>
  <c r="L237" i="35" s="1"/>
  <c r="M237" i="35" s="1"/>
  <c r="N237" i="35" s="1"/>
  <c r="G237" i="35"/>
  <c r="AQ236" i="35"/>
  <c r="J236" i="35"/>
  <c r="K236" i="35" s="1"/>
  <c r="L236" i="35" s="1"/>
  <c r="M236" i="35" s="1"/>
  <c r="N236" i="35" s="1"/>
  <c r="G236" i="35"/>
  <c r="AQ235" i="35"/>
  <c r="J235" i="35"/>
  <c r="K235" i="35" s="1"/>
  <c r="L235" i="35" s="1"/>
  <c r="M235" i="35" s="1"/>
  <c r="N235" i="35" s="1"/>
  <c r="G235" i="35"/>
  <c r="AQ234" i="35"/>
  <c r="J234" i="35"/>
  <c r="K234" i="35" s="1"/>
  <c r="L234" i="35" s="1"/>
  <c r="M234" i="35" s="1"/>
  <c r="N234" i="35" s="1"/>
  <c r="G234" i="35"/>
  <c r="AQ233" i="35"/>
  <c r="J233" i="35"/>
  <c r="K233" i="35" s="1"/>
  <c r="L233" i="35" s="1"/>
  <c r="M233" i="35" s="1"/>
  <c r="N233" i="35" s="1"/>
  <c r="G233" i="35"/>
  <c r="AQ232" i="35"/>
  <c r="J232" i="35"/>
  <c r="K232" i="35" s="1"/>
  <c r="L232" i="35" s="1"/>
  <c r="M232" i="35" s="1"/>
  <c r="N232" i="35" s="1"/>
  <c r="G232" i="35"/>
  <c r="AQ231" i="35"/>
  <c r="J231" i="35"/>
  <c r="K231" i="35" s="1"/>
  <c r="L231" i="35" s="1"/>
  <c r="M231" i="35" s="1"/>
  <c r="N231" i="35" s="1"/>
  <c r="G231" i="35"/>
  <c r="AQ230" i="35"/>
  <c r="J230" i="35"/>
  <c r="K230" i="35" s="1"/>
  <c r="L230" i="35" s="1"/>
  <c r="M230" i="35" s="1"/>
  <c r="N230" i="35" s="1"/>
  <c r="G230" i="35"/>
  <c r="AQ229" i="35"/>
  <c r="J229" i="35"/>
  <c r="K229" i="35" s="1"/>
  <c r="L229" i="35" s="1"/>
  <c r="M229" i="35" s="1"/>
  <c r="N229" i="35" s="1"/>
  <c r="G229" i="35"/>
  <c r="AQ228" i="35"/>
  <c r="J228" i="35"/>
  <c r="K228" i="35" s="1"/>
  <c r="L228" i="35" s="1"/>
  <c r="M228" i="35" s="1"/>
  <c r="N228" i="35" s="1"/>
  <c r="G228" i="35"/>
  <c r="AQ227" i="35"/>
  <c r="J227" i="35"/>
  <c r="K227" i="35" s="1"/>
  <c r="L227" i="35" s="1"/>
  <c r="M227" i="35" s="1"/>
  <c r="N227" i="35" s="1"/>
  <c r="G227" i="35"/>
  <c r="AQ226" i="35"/>
  <c r="J226" i="35"/>
  <c r="K226" i="35" s="1"/>
  <c r="L226" i="35" s="1"/>
  <c r="M226" i="35" s="1"/>
  <c r="N226" i="35" s="1"/>
  <c r="G226" i="35"/>
  <c r="AQ225" i="35"/>
  <c r="J225" i="35"/>
  <c r="K225" i="35" s="1"/>
  <c r="L225" i="35" s="1"/>
  <c r="M225" i="35" s="1"/>
  <c r="N225" i="35" s="1"/>
  <c r="G225" i="35"/>
  <c r="AQ224" i="35"/>
  <c r="J224" i="35"/>
  <c r="K224" i="35" s="1"/>
  <c r="L224" i="35" s="1"/>
  <c r="M224" i="35" s="1"/>
  <c r="N224" i="35" s="1"/>
  <c r="G224" i="35"/>
  <c r="AQ223" i="35"/>
  <c r="G223" i="35"/>
  <c r="AQ213" i="35"/>
  <c r="V213" i="35"/>
  <c r="AE213" i="35" s="1"/>
  <c r="J213" i="35"/>
  <c r="K213" i="35" s="1"/>
  <c r="L213" i="35" s="1"/>
  <c r="M213" i="35" s="1"/>
  <c r="N213" i="35" s="1"/>
  <c r="AQ212" i="35"/>
  <c r="V212" i="35"/>
  <c r="AE212" i="35" s="1"/>
  <c r="J212" i="35"/>
  <c r="K212" i="35" s="1"/>
  <c r="L212" i="35" s="1"/>
  <c r="M212" i="35" s="1"/>
  <c r="N212" i="35" s="1"/>
  <c r="AQ211" i="35"/>
  <c r="V211" i="35"/>
  <c r="AE211" i="35" s="1"/>
  <c r="J211" i="35"/>
  <c r="K211" i="35" s="1"/>
  <c r="L211" i="35" s="1"/>
  <c r="M211" i="35" s="1"/>
  <c r="N211" i="35" s="1"/>
  <c r="AQ210" i="35"/>
  <c r="V210" i="35"/>
  <c r="AE210" i="35" s="1"/>
  <c r="J210" i="35"/>
  <c r="K210" i="35" s="1"/>
  <c r="L210" i="35" s="1"/>
  <c r="M210" i="35" s="1"/>
  <c r="N210" i="35" s="1"/>
  <c r="AQ209" i="35"/>
  <c r="V209" i="35"/>
  <c r="J209" i="35"/>
  <c r="K209" i="35" s="1"/>
  <c r="L209" i="35" s="1"/>
  <c r="M209" i="35" s="1"/>
  <c r="N209" i="35" s="1"/>
  <c r="AQ208" i="35"/>
  <c r="V208" i="35"/>
  <c r="AE208" i="35" s="1"/>
  <c r="J208" i="35"/>
  <c r="K208" i="35" s="1"/>
  <c r="L208" i="35" s="1"/>
  <c r="M208" i="35" s="1"/>
  <c r="N208" i="35" s="1"/>
  <c r="AQ207" i="35"/>
  <c r="V207" i="35"/>
  <c r="J207" i="35"/>
  <c r="K207" i="35" s="1"/>
  <c r="L207" i="35" s="1"/>
  <c r="M207" i="35" s="1"/>
  <c r="N207" i="35" s="1"/>
  <c r="AQ206" i="35"/>
  <c r="V206" i="35"/>
  <c r="AE206" i="35" s="1"/>
  <c r="J206" i="35"/>
  <c r="K206" i="35" s="1"/>
  <c r="L206" i="35" s="1"/>
  <c r="M206" i="35" s="1"/>
  <c r="N206" i="35" s="1"/>
  <c r="AQ205" i="35"/>
  <c r="V205" i="35"/>
  <c r="AE205" i="35" s="1"/>
  <c r="J205" i="35"/>
  <c r="K205" i="35" s="1"/>
  <c r="L205" i="35" s="1"/>
  <c r="M205" i="35" s="1"/>
  <c r="N205" i="35" s="1"/>
  <c r="AQ204" i="35"/>
  <c r="V204" i="35"/>
  <c r="AE204" i="35" s="1"/>
  <c r="J204" i="35"/>
  <c r="K204" i="35" s="1"/>
  <c r="L204" i="35" s="1"/>
  <c r="M204" i="35" s="1"/>
  <c r="N204" i="35" s="1"/>
  <c r="AQ203" i="35"/>
  <c r="AR203" i="35" s="1"/>
  <c r="J203" i="35"/>
  <c r="K203" i="35" s="1"/>
  <c r="L203" i="35" s="1"/>
  <c r="M203" i="35" s="1"/>
  <c r="N203" i="35" s="1"/>
  <c r="AQ202" i="35"/>
  <c r="K202" i="35"/>
  <c r="L202" i="35" s="1"/>
  <c r="M202" i="35" s="1"/>
  <c r="N202" i="35" s="1"/>
  <c r="J202" i="35"/>
  <c r="AQ201" i="35"/>
  <c r="J201" i="35"/>
  <c r="K201" i="35" s="1"/>
  <c r="L201" i="35" s="1"/>
  <c r="M201" i="35" s="1"/>
  <c r="N201" i="35" s="1"/>
  <c r="AQ200" i="35"/>
  <c r="J200" i="35"/>
  <c r="K200" i="35" s="1"/>
  <c r="L200" i="35" s="1"/>
  <c r="M200" i="35" s="1"/>
  <c r="N200" i="35" s="1"/>
  <c r="AQ199" i="35"/>
  <c r="J199" i="35"/>
  <c r="K199" i="35" s="1"/>
  <c r="L199" i="35" s="1"/>
  <c r="M199" i="35" s="1"/>
  <c r="N199" i="35" s="1"/>
  <c r="AQ198" i="35"/>
  <c r="J198" i="35"/>
  <c r="K198" i="35" s="1"/>
  <c r="L198" i="35" s="1"/>
  <c r="M198" i="35" s="1"/>
  <c r="N198" i="35" s="1"/>
  <c r="AQ197" i="35"/>
  <c r="J197" i="35"/>
  <c r="K197" i="35" s="1"/>
  <c r="L197" i="35" s="1"/>
  <c r="M197" i="35" s="1"/>
  <c r="N197" i="35" s="1"/>
  <c r="AQ196" i="35"/>
  <c r="J196" i="35"/>
  <c r="K196" i="35" s="1"/>
  <c r="L196" i="35" s="1"/>
  <c r="M196" i="35" s="1"/>
  <c r="N196" i="35" s="1"/>
  <c r="AQ195" i="35"/>
  <c r="J195" i="35"/>
  <c r="K195" i="35" s="1"/>
  <c r="L195" i="35" s="1"/>
  <c r="M195" i="35" s="1"/>
  <c r="N195" i="35" s="1"/>
  <c r="AQ194" i="35"/>
  <c r="G194" i="35"/>
  <c r="F194" i="35" s="1"/>
  <c r="AQ181" i="35"/>
  <c r="AI181" i="35"/>
  <c r="AM181" i="35" s="1"/>
  <c r="AN181" i="35" s="1"/>
  <c r="AO181" i="35" s="1"/>
  <c r="V181" i="35"/>
  <c r="AF181" i="35" s="1"/>
  <c r="J181" i="35"/>
  <c r="K181" i="35" s="1"/>
  <c r="L181" i="35" s="1"/>
  <c r="M181" i="35" s="1"/>
  <c r="N181" i="35" s="1"/>
  <c r="AQ180" i="35"/>
  <c r="AI180" i="35"/>
  <c r="AM180" i="35" s="1"/>
  <c r="AN180" i="35" s="1"/>
  <c r="AO180" i="35" s="1"/>
  <c r="V180" i="35"/>
  <c r="J180" i="35"/>
  <c r="K180" i="35" s="1"/>
  <c r="L180" i="35" s="1"/>
  <c r="M180" i="35" s="1"/>
  <c r="N180" i="35" s="1"/>
  <c r="AQ179" i="35"/>
  <c r="AI179" i="35"/>
  <c r="AJ179" i="35" s="1"/>
  <c r="AK179" i="35" s="1"/>
  <c r="AL179" i="35" s="1"/>
  <c r="V179" i="35"/>
  <c r="J179" i="35"/>
  <c r="K179" i="35" s="1"/>
  <c r="L179" i="35" s="1"/>
  <c r="M179" i="35" s="1"/>
  <c r="N179" i="35" s="1"/>
  <c r="AQ178" i="35"/>
  <c r="AI178" i="35"/>
  <c r="V178" i="35"/>
  <c r="J178" i="35"/>
  <c r="K178" i="35" s="1"/>
  <c r="L178" i="35" s="1"/>
  <c r="M178" i="35" s="1"/>
  <c r="N178" i="35" s="1"/>
  <c r="AQ177" i="35"/>
  <c r="J177" i="35"/>
  <c r="K177" i="35" s="1"/>
  <c r="L177" i="35" s="1"/>
  <c r="M177" i="35" s="1"/>
  <c r="N177" i="35" s="1"/>
  <c r="AQ176" i="35"/>
  <c r="J176" i="35"/>
  <c r="K176" i="35" s="1"/>
  <c r="L176" i="35" s="1"/>
  <c r="M176" i="35" s="1"/>
  <c r="N176" i="35" s="1"/>
  <c r="AQ175" i="35"/>
  <c r="J175" i="35"/>
  <c r="K175" i="35" s="1"/>
  <c r="L175" i="35" s="1"/>
  <c r="M175" i="35" s="1"/>
  <c r="N175" i="35" s="1"/>
  <c r="AQ174" i="35"/>
  <c r="J174" i="35"/>
  <c r="K174" i="35" s="1"/>
  <c r="L174" i="35" s="1"/>
  <c r="M174" i="35" s="1"/>
  <c r="N174" i="35" s="1"/>
  <c r="AQ173" i="35"/>
  <c r="J173" i="35"/>
  <c r="K173" i="35" s="1"/>
  <c r="L173" i="35" s="1"/>
  <c r="M173" i="35" s="1"/>
  <c r="N173" i="35" s="1"/>
  <c r="AQ172" i="35"/>
  <c r="J172" i="35"/>
  <c r="K172" i="35" s="1"/>
  <c r="L172" i="35" s="1"/>
  <c r="M172" i="35" s="1"/>
  <c r="N172" i="35" s="1"/>
  <c r="AQ171" i="35"/>
  <c r="J171" i="35"/>
  <c r="K171" i="35" s="1"/>
  <c r="L171" i="35" s="1"/>
  <c r="M171" i="35" s="1"/>
  <c r="N171" i="35" s="1"/>
  <c r="AQ170" i="35"/>
  <c r="BF164" i="35"/>
  <c r="BF165" i="35" s="1"/>
  <c r="BF166" i="35" s="1"/>
  <c r="BF167" i="35" s="1"/>
  <c r="BF168" i="35" s="1"/>
  <c r="BF169" i="35" s="1"/>
  <c r="BF170" i="35" s="1"/>
  <c r="BF171" i="35" s="1"/>
  <c r="BF172" i="35" s="1"/>
  <c r="BF173" i="35" s="1"/>
  <c r="BF174" i="35" s="1"/>
  <c r="BF175" i="35" s="1"/>
  <c r="BF176" i="35" s="1"/>
  <c r="BF177" i="35" s="1"/>
  <c r="BF178" i="35" s="1"/>
  <c r="BF179" i="35" s="1"/>
  <c r="BF180" i="35" s="1"/>
  <c r="BF181" i="35" s="1"/>
  <c r="BF182" i="35" s="1"/>
  <c r="BF183" i="35" s="1"/>
  <c r="BF184" i="35" s="1"/>
  <c r="BF188" i="35" s="1"/>
  <c r="BF189" i="35" s="1"/>
  <c r="BF190" i="35" s="1"/>
  <c r="BF191" i="35" s="1"/>
  <c r="BF192" i="35" s="1"/>
  <c r="BF193" i="35" s="1"/>
  <c r="BF194" i="35" s="1"/>
  <c r="BF195" i="35" s="1"/>
  <c r="BF196" i="35" s="1"/>
  <c r="BF197" i="35" s="1"/>
  <c r="BF198" i="35" s="1"/>
  <c r="BF199" i="35" s="1"/>
  <c r="BF200" i="35" s="1"/>
  <c r="BF201" i="35" s="1"/>
  <c r="BF202" i="35" s="1"/>
  <c r="BG163" i="35"/>
  <c r="AQ157" i="35"/>
  <c r="AI157" i="35"/>
  <c r="V157" i="35"/>
  <c r="AE157" i="35" s="1"/>
  <c r="J157" i="35"/>
  <c r="K157" i="35" s="1"/>
  <c r="L157" i="35" s="1"/>
  <c r="M157" i="35" s="1"/>
  <c r="N157" i="35" s="1"/>
  <c r="AQ156" i="35"/>
  <c r="AI156" i="35"/>
  <c r="V156" i="35"/>
  <c r="AE156" i="35" s="1"/>
  <c r="J156" i="35"/>
  <c r="K156" i="35" s="1"/>
  <c r="L156" i="35" s="1"/>
  <c r="M156" i="35" s="1"/>
  <c r="N156" i="35" s="1"/>
  <c r="AQ155" i="35"/>
  <c r="AI155" i="35"/>
  <c r="V155" i="35"/>
  <c r="J155" i="35"/>
  <c r="K155" i="35" s="1"/>
  <c r="L155" i="35" s="1"/>
  <c r="M155" i="35" s="1"/>
  <c r="N155" i="35" s="1"/>
  <c r="AQ154" i="35"/>
  <c r="AI154" i="35"/>
  <c r="V154" i="35"/>
  <c r="AE154" i="35" s="1"/>
  <c r="J154" i="35"/>
  <c r="K154" i="35" s="1"/>
  <c r="L154" i="35" s="1"/>
  <c r="M154" i="35" s="1"/>
  <c r="N154" i="35" s="1"/>
  <c r="AQ153" i="35"/>
  <c r="AI153" i="35"/>
  <c r="V153" i="35"/>
  <c r="J153" i="35"/>
  <c r="K153" i="35" s="1"/>
  <c r="L153" i="35" s="1"/>
  <c r="M153" i="35" s="1"/>
  <c r="N153" i="35" s="1"/>
  <c r="AQ152" i="35"/>
  <c r="AI152" i="35"/>
  <c r="V152" i="35"/>
  <c r="AE152" i="35" s="1"/>
  <c r="J152" i="35"/>
  <c r="K152" i="35" s="1"/>
  <c r="L152" i="35" s="1"/>
  <c r="M152" i="35" s="1"/>
  <c r="N152" i="35" s="1"/>
  <c r="AQ151" i="35"/>
  <c r="AI151" i="35"/>
  <c r="V151" i="35"/>
  <c r="J151" i="35"/>
  <c r="K151" i="35" s="1"/>
  <c r="L151" i="35" s="1"/>
  <c r="M151" i="35" s="1"/>
  <c r="N151" i="35" s="1"/>
  <c r="AQ150" i="35"/>
  <c r="AI150" i="35"/>
  <c r="V150" i="35"/>
  <c r="AE150" i="35" s="1"/>
  <c r="J150" i="35"/>
  <c r="K150" i="35" s="1"/>
  <c r="L150" i="35" s="1"/>
  <c r="M150" i="35" s="1"/>
  <c r="N150" i="35" s="1"/>
  <c r="AQ149" i="35"/>
  <c r="AI149" i="35"/>
  <c r="V149" i="35"/>
  <c r="AE149" i="35" s="1"/>
  <c r="J149" i="35"/>
  <c r="K149" i="35" s="1"/>
  <c r="L149" i="35" s="1"/>
  <c r="M149" i="35" s="1"/>
  <c r="N149" i="35" s="1"/>
  <c r="AQ148" i="35"/>
  <c r="AI148" i="35"/>
  <c r="V148" i="35"/>
  <c r="AE148" i="35" s="1"/>
  <c r="J148" i="35"/>
  <c r="K148" i="35" s="1"/>
  <c r="L148" i="35" s="1"/>
  <c r="M148" i="35" s="1"/>
  <c r="N148" i="35" s="1"/>
  <c r="AQ147" i="35"/>
  <c r="AI147" i="35"/>
  <c r="V147" i="35"/>
  <c r="AE147" i="35" s="1"/>
  <c r="J147" i="35"/>
  <c r="K147" i="35" s="1"/>
  <c r="L147" i="35" s="1"/>
  <c r="M147" i="35" s="1"/>
  <c r="N147" i="35" s="1"/>
  <c r="AQ146" i="35"/>
  <c r="AI146" i="35"/>
  <c r="V146" i="35"/>
  <c r="J146" i="35"/>
  <c r="K146" i="35" s="1"/>
  <c r="L146" i="35" s="1"/>
  <c r="M146" i="35" s="1"/>
  <c r="N146" i="35" s="1"/>
  <c r="AQ145" i="35"/>
  <c r="AI145" i="35"/>
  <c r="V145" i="35"/>
  <c r="AE145" i="35" s="1"/>
  <c r="J145" i="35"/>
  <c r="K145" i="35" s="1"/>
  <c r="L145" i="35" s="1"/>
  <c r="M145" i="35" s="1"/>
  <c r="N145" i="35" s="1"/>
  <c r="AQ144" i="35"/>
  <c r="AI144" i="35"/>
  <c r="V144" i="35"/>
  <c r="AE144" i="35" s="1"/>
  <c r="J144" i="35"/>
  <c r="K144" i="35" s="1"/>
  <c r="L144" i="35" s="1"/>
  <c r="M144" i="35" s="1"/>
  <c r="N144" i="35" s="1"/>
  <c r="AQ143" i="35"/>
  <c r="AI143" i="35"/>
  <c r="V143" i="35"/>
  <c r="AE143" i="35" s="1"/>
  <c r="J143" i="35"/>
  <c r="K143" i="35" s="1"/>
  <c r="L143" i="35" s="1"/>
  <c r="M143" i="35" s="1"/>
  <c r="N143" i="35" s="1"/>
  <c r="AQ142" i="35"/>
  <c r="J142" i="35"/>
  <c r="K142" i="35" s="1"/>
  <c r="L142" i="35" s="1"/>
  <c r="M142" i="35" s="1"/>
  <c r="N142" i="35" s="1"/>
  <c r="AQ141" i="35"/>
  <c r="J141" i="35"/>
  <c r="K141" i="35" s="1"/>
  <c r="L141" i="35" s="1"/>
  <c r="M141" i="35" s="1"/>
  <c r="N141" i="35" s="1"/>
  <c r="AQ140" i="35"/>
  <c r="J140" i="35"/>
  <c r="K140" i="35" s="1"/>
  <c r="L140" i="35" s="1"/>
  <c r="M140" i="35" s="1"/>
  <c r="N140" i="35" s="1"/>
  <c r="AQ139" i="35"/>
  <c r="J139" i="35"/>
  <c r="K139" i="35" s="1"/>
  <c r="L139" i="35" s="1"/>
  <c r="M139" i="35" s="1"/>
  <c r="N139" i="35" s="1"/>
  <c r="AQ138" i="35"/>
  <c r="G138" i="35"/>
  <c r="C138" i="35"/>
  <c r="AH145" i="35" s="1"/>
  <c r="AM134" i="35"/>
  <c r="AN134" i="35" s="1"/>
  <c r="AO134" i="35" s="1"/>
  <c r="CN128" i="35"/>
  <c r="CN130" i="35" s="1"/>
  <c r="CL128" i="35"/>
  <c r="CL130" i="35" s="1"/>
  <c r="CF128" i="35"/>
  <c r="CF130" i="35" s="1"/>
  <c r="CD128" i="35"/>
  <c r="CD130" i="35" s="1"/>
  <c r="CQ84" i="35"/>
  <c r="CO84" i="35"/>
  <c r="CM84" i="35"/>
  <c r="CK84" i="35"/>
  <c r="CI84" i="35"/>
  <c r="CG84" i="35"/>
  <c r="CE84" i="35"/>
  <c r="CC84" i="35"/>
  <c r="H22" i="35"/>
  <c r="C17" i="35"/>
  <c r="C14" i="35"/>
  <c r="C11" i="35"/>
  <c r="H8" i="35"/>
  <c r="H7" i="35"/>
  <c r="D4" i="35"/>
  <c r="F2" i="35"/>
  <c r="E2" i="35"/>
  <c r="D2" i="35"/>
  <c r="J38" i="38" l="1"/>
  <c r="L42" i="38"/>
  <c r="L32" i="38"/>
  <c r="J56" i="38"/>
  <c r="J48" i="38"/>
  <c r="L44" i="38"/>
  <c r="L26" i="38"/>
  <c r="J50" i="38"/>
  <c r="AR211" i="35"/>
  <c r="AR196" i="35"/>
  <c r="AR201" i="35"/>
  <c r="AR200" i="35"/>
  <c r="AR204" i="35"/>
  <c r="AR154" i="35"/>
  <c r="L42" i="37"/>
  <c r="L43" i="37" s="1"/>
  <c r="BO58" i="37"/>
  <c r="J48" i="37"/>
  <c r="Q139" i="39"/>
  <c r="S139" i="39" s="1"/>
  <c r="T139" i="39" s="1"/>
  <c r="L42" i="41"/>
  <c r="L43" i="41" s="1"/>
  <c r="BO58" i="41"/>
  <c r="J48" i="41"/>
  <c r="BO87" i="42"/>
  <c r="J40" i="42"/>
  <c r="J58" i="42"/>
  <c r="L34" i="42"/>
  <c r="J52" i="42"/>
  <c r="L28" i="42"/>
  <c r="L46" i="42"/>
  <c r="J22" i="42"/>
  <c r="J50" i="41"/>
  <c r="L26" i="41"/>
  <c r="L44" i="41"/>
  <c r="J20" i="41"/>
  <c r="J38" i="41"/>
  <c r="J56" i="41"/>
  <c r="L32" i="41"/>
  <c r="L85" i="40"/>
  <c r="J56" i="40"/>
  <c r="L32" i="40"/>
  <c r="J50" i="40"/>
  <c r="L26" i="40"/>
  <c r="L44" i="40"/>
  <c r="J20" i="40"/>
  <c r="J38" i="40"/>
  <c r="J48" i="39"/>
  <c r="J49" i="39" s="1"/>
  <c r="J50" i="39"/>
  <c r="L26" i="39"/>
  <c r="J56" i="39"/>
  <c r="L44" i="39"/>
  <c r="J20" i="39"/>
  <c r="J38" i="39"/>
  <c r="L32" i="39"/>
  <c r="J38" i="37"/>
  <c r="J20" i="37"/>
  <c r="J56" i="37"/>
  <c r="L32" i="37"/>
  <c r="L44" i="37"/>
  <c r="J50" i="37"/>
  <c r="L26" i="37"/>
  <c r="L85" i="36"/>
  <c r="J56" i="36"/>
  <c r="L32" i="36"/>
  <c r="J50" i="36"/>
  <c r="L26" i="36"/>
  <c r="L44" i="36"/>
  <c r="J20" i="36"/>
  <c r="J38" i="36"/>
  <c r="AR206" i="35"/>
  <c r="AR209" i="35"/>
  <c r="AR170" i="35"/>
  <c r="AR177" i="35"/>
  <c r="AR197" i="35"/>
  <c r="AR143" i="35"/>
  <c r="AF180" i="35"/>
  <c r="AR194" i="35"/>
  <c r="AR198" i="35"/>
  <c r="AR207" i="35"/>
  <c r="AR156" i="35"/>
  <c r="H11" i="35"/>
  <c r="AR195" i="35"/>
  <c r="AR202" i="35"/>
  <c r="AR205" i="35"/>
  <c r="AR210" i="35"/>
  <c r="AR153" i="35"/>
  <c r="AR155" i="35"/>
  <c r="AR172" i="35"/>
  <c r="AR199" i="35"/>
  <c r="AR208" i="35"/>
  <c r="AR213" i="35"/>
  <c r="AF244" i="35"/>
  <c r="AR144" i="35"/>
  <c r="AR145" i="35"/>
  <c r="AR146" i="35"/>
  <c r="AR147" i="35"/>
  <c r="AR148" i="35"/>
  <c r="AR157" i="35"/>
  <c r="AR174" i="35"/>
  <c r="AR178" i="35"/>
  <c r="AR179" i="35"/>
  <c r="AR141" i="35"/>
  <c r="AR149" i="35"/>
  <c r="AR171" i="35"/>
  <c r="AR173" i="35"/>
  <c r="C7" i="35"/>
  <c r="BQ54" i="35" s="1"/>
  <c r="L42" i="35" s="1"/>
  <c r="AR138" i="35"/>
  <c r="AR140" i="35"/>
  <c r="AR151" i="35"/>
  <c r="AR152" i="35"/>
  <c r="AR175" i="35"/>
  <c r="AR139" i="35"/>
  <c r="AH139" i="35"/>
  <c r="AJ139" i="35" s="1"/>
  <c r="AK139" i="35" s="1"/>
  <c r="AL139" i="35" s="1"/>
  <c r="AF146" i="35"/>
  <c r="O148" i="35"/>
  <c r="P148" i="35" s="1"/>
  <c r="Q148" i="35" s="1"/>
  <c r="O145" i="35"/>
  <c r="P145" i="35" s="1"/>
  <c r="Q145" i="35" s="1"/>
  <c r="O138" i="35"/>
  <c r="P138" i="35" s="1"/>
  <c r="AF154" i="35"/>
  <c r="AF178" i="35"/>
  <c r="L42" i="36"/>
  <c r="L43" i="36" s="1"/>
  <c r="BO58" i="36"/>
  <c r="L42" i="39"/>
  <c r="L43" i="39" s="1"/>
  <c r="BO56" i="39"/>
  <c r="L42" i="40"/>
  <c r="BO58" i="40"/>
  <c r="AT182" i="39"/>
  <c r="AS157" i="39"/>
  <c r="V142" i="40"/>
  <c r="AE142" i="40" s="1"/>
  <c r="L44" i="42"/>
  <c r="L45" i="42" s="1"/>
  <c r="AS154" i="38"/>
  <c r="Q140" i="42"/>
  <c r="S140" i="42" s="1"/>
  <c r="T140" i="42" s="1"/>
  <c r="R141" i="42" s="1"/>
  <c r="S141" i="42" s="1"/>
  <c r="J50" i="42"/>
  <c r="J51" i="42" s="1"/>
  <c r="L87" i="42"/>
  <c r="J48" i="36"/>
  <c r="J49" i="36" s="1"/>
  <c r="AR181" i="35"/>
  <c r="AR176" i="35"/>
  <c r="AI155" i="41"/>
  <c r="AM158" i="41" s="1"/>
  <c r="AN158" i="41" s="1"/>
  <c r="AO158" i="41" s="1"/>
  <c r="O143" i="35"/>
  <c r="P143" i="35" s="1"/>
  <c r="Q143" i="35" s="1"/>
  <c r="AF144" i="35"/>
  <c r="AH141" i="35"/>
  <c r="AI141" i="35" s="1"/>
  <c r="AF148" i="35"/>
  <c r="AF179" i="35"/>
  <c r="AR180" i="35"/>
  <c r="AR150" i="35"/>
  <c r="AF143" i="35"/>
  <c r="AT182" i="42"/>
  <c r="Q142" i="36"/>
  <c r="S142" i="36" s="1"/>
  <c r="T142" i="36" s="1"/>
  <c r="V142" i="36" s="1"/>
  <c r="AR212" i="35"/>
  <c r="Q142" i="37"/>
  <c r="S142" i="37" s="1"/>
  <c r="T142" i="37" s="1"/>
  <c r="R143" i="37" s="1"/>
  <c r="S143" i="37" s="1"/>
  <c r="T143" i="37" s="1"/>
  <c r="AR142" i="35"/>
  <c r="AH140" i="35"/>
  <c r="AJ140" i="35" s="1"/>
  <c r="AK140" i="35" s="1"/>
  <c r="AL140" i="35" s="1"/>
  <c r="AF155" i="35"/>
  <c r="AF245" i="35"/>
  <c r="S143" i="41"/>
  <c r="S143" i="40"/>
  <c r="Q138" i="38"/>
  <c r="S138" i="38" s="1"/>
  <c r="T138" i="38" s="1"/>
  <c r="V138" i="38" s="1"/>
  <c r="AJ140" i="42"/>
  <c r="AK140" i="42" s="1"/>
  <c r="AL140" i="42" s="1"/>
  <c r="AM140" i="42"/>
  <c r="AN140" i="42" s="1"/>
  <c r="AO140" i="42" s="1"/>
  <c r="AI140" i="42"/>
  <c r="AJ149" i="42"/>
  <c r="AK149" i="42" s="1"/>
  <c r="AL149" i="42" s="1"/>
  <c r="AM149" i="42"/>
  <c r="AN149" i="42" s="1"/>
  <c r="AO149" i="42" s="1"/>
  <c r="AI149" i="42"/>
  <c r="AJ157" i="42"/>
  <c r="AK157" i="42" s="1"/>
  <c r="AL157" i="42" s="1"/>
  <c r="AM157" i="42"/>
  <c r="AN157" i="42" s="1"/>
  <c r="AO157" i="42" s="1"/>
  <c r="AI157" i="42"/>
  <c r="AJ152" i="42"/>
  <c r="AK152" i="42" s="1"/>
  <c r="AL152" i="42" s="1"/>
  <c r="AM152" i="42"/>
  <c r="AN152" i="42" s="1"/>
  <c r="AO152" i="42" s="1"/>
  <c r="AI152" i="42"/>
  <c r="AM151" i="42"/>
  <c r="AN151" i="42" s="1"/>
  <c r="AO151" i="42" s="1"/>
  <c r="AI151" i="42"/>
  <c r="AJ151" i="42"/>
  <c r="AK151" i="42" s="1"/>
  <c r="AL151" i="42" s="1"/>
  <c r="AM159" i="42"/>
  <c r="AN159" i="42" s="1"/>
  <c r="AO159" i="42" s="1"/>
  <c r="AJ159" i="42"/>
  <c r="AK159" i="42" s="1"/>
  <c r="AL159" i="42" s="1"/>
  <c r="AJ150" i="42"/>
  <c r="AK150" i="42" s="1"/>
  <c r="AL150" i="42" s="1"/>
  <c r="AM150" i="42"/>
  <c r="AN150" i="42" s="1"/>
  <c r="AO150" i="42" s="1"/>
  <c r="AI150" i="42"/>
  <c r="AJ158" i="42"/>
  <c r="AK158" i="42" s="1"/>
  <c r="AL158" i="42" s="1"/>
  <c r="AM158" i="42"/>
  <c r="AN158" i="42" s="1"/>
  <c r="AO158" i="42" s="1"/>
  <c r="AJ149" i="41"/>
  <c r="AK149" i="41" s="1"/>
  <c r="AL149" i="41" s="1"/>
  <c r="AM149" i="41"/>
  <c r="AN149" i="41" s="1"/>
  <c r="AO149" i="41" s="1"/>
  <c r="AJ145" i="41"/>
  <c r="AK145" i="41" s="1"/>
  <c r="AL145" i="41" s="1"/>
  <c r="AM145" i="41"/>
  <c r="AN145" i="41" s="1"/>
  <c r="AO145" i="41" s="1"/>
  <c r="AM152" i="40"/>
  <c r="AN152" i="40" s="1"/>
  <c r="AO152" i="40" s="1"/>
  <c r="AJ152" i="40"/>
  <c r="AK152" i="40" s="1"/>
  <c r="AL152" i="40" s="1"/>
  <c r="AT152" i="40" s="1"/>
  <c r="AM148" i="40"/>
  <c r="AN148" i="40" s="1"/>
  <c r="AO148" i="40" s="1"/>
  <c r="AI148" i="40"/>
  <c r="AJ148" i="40"/>
  <c r="AK148" i="40" s="1"/>
  <c r="AL148" i="40" s="1"/>
  <c r="AM144" i="40"/>
  <c r="AN144" i="40" s="1"/>
  <c r="AO144" i="40" s="1"/>
  <c r="AI144" i="40"/>
  <c r="AJ144" i="40"/>
  <c r="AK144" i="40" s="1"/>
  <c r="AL144" i="40" s="1"/>
  <c r="L43" i="40"/>
  <c r="AM154" i="39"/>
  <c r="AN154" i="39" s="1"/>
  <c r="AO154" i="39" s="1"/>
  <c r="AI154" i="39"/>
  <c r="AJ154" i="39"/>
  <c r="AK154" i="39" s="1"/>
  <c r="AL154" i="39" s="1"/>
  <c r="AM146" i="39"/>
  <c r="AN146" i="39" s="1"/>
  <c r="AO146" i="39" s="1"/>
  <c r="AI146" i="39"/>
  <c r="AJ146" i="39"/>
  <c r="AK146" i="39" s="1"/>
  <c r="AL146" i="39" s="1"/>
  <c r="R140" i="39"/>
  <c r="S140" i="39" s="1"/>
  <c r="V139" i="39"/>
  <c r="AJ155" i="39"/>
  <c r="AK155" i="39" s="1"/>
  <c r="AL155" i="39" s="1"/>
  <c r="AM155" i="39"/>
  <c r="AN155" i="39" s="1"/>
  <c r="AO155" i="39" s="1"/>
  <c r="AJ147" i="39"/>
  <c r="AK147" i="39" s="1"/>
  <c r="AL147" i="39" s="1"/>
  <c r="AM147" i="39"/>
  <c r="AN147" i="39" s="1"/>
  <c r="AO147" i="39" s="1"/>
  <c r="AI147" i="39"/>
  <c r="AJ156" i="39"/>
  <c r="AK156" i="39" s="1"/>
  <c r="AL156" i="39" s="1"/>
  <c r="AM156" i="39"/>
  <c r="AN156" i="39" s="1"/>
  <c r="AO156" i="39" s="1"/>
  <c r="AJ146" i="38"/>
  <c r="AK146" i="38" s="1"/>
  <c r="AL146" i="38" s="1"/>
  <c r="AM146" i="38"/>
  <c r="AN146" i="38" s="1"/>
  <c r="AO146" i="38" s="1"/>
  <c r="AI146" i="38"/>
  <c r="AJ138" i="38"/>
  <c r="AK138" i="38" s="1"/>
  <c r="AL138" i="38" s="1"/>
  <c r="AM138" i="38"/>
  <c r="AN138" i="38" s="1"/>
  <c r="AO138" i="38" s="1"/>
  <c r="AI138" i="38"/>
  <c r="AM147" i="38"/>
  <c r="AN147" i="38" s="1"/>
  <c r="AO147" i="38" s="1"/>
  <c r="AI147" i="38"/>
  <c r="AJ147" i="38"/>
  <c r="AK147" i="38" s="1"/>
  <c r="AL147" i="38" s="1"/>
  <c r="AM139" i="38"/>
  <c r="AN139" i="38" s="1"/>
  <c r="AO139" i="38" s="1"/>
  <c r="AI139" i="38"/>
  <c r="AJ139" i="38"/>
  <c r="AK139" i="38" s="1"/>
  <c r="AL139" i="38" s="1"/>
  <c r="AJ141" i="38"/>
  <c r="AK141" i="38" s="1"/>
  <c r="AL141" i="38" s="1"/>
  <c r="AM141" i="38"/>
  <c r="AN141" i="38" s="1"/>
  <c r="AO141" i="38" s="1"/>
  <c r="AI141" i="38"/>
  <c r="AM161" i="37"/>
  <c r="AN161" i="37" s="1"/>
  <c r="AO161" i="37" s="1"/>
  <c r="AJ161" i="37"/>
  <c r="AK161" i="37" s="1"/>
  <c r="AL161" i="37" s="1"/>
  <c r="AM157" i="37"/>
  <c r="AN157" i="37" s="1"/>
  <c r="AO157" i="37" s="1"/>
  <c r="AI157" i="37"/>
  <c r="AJ157" i="37"/>
  <c r="AK157" i="37" s="1"/>
  <c r="AL157" i="37" s="1"/>
  <c r="AM153" i="37"/>
  <c r="AN153" i="37" s="1"/>
  <c r="AO153" i="37" s="1"/>
  <c r="AI153" i="37"/>
  <c r="AJ153" i="37"/>
  <c r="AK153" i="37" s="1"/>
  <c r="AL153" i="37" s="1"/>
  <c r="AM149" i="37"/>
  <c r="AN149" i="37" s="1"/>
  <c r="AO149" i="37" s="1"/>
  <c r="AI149" i="37"/>
  <c r="AJ149" i="37"/>
  <c r="AK149" i="37" s="1"/>
  <c r="AL149" i="37" s="1"/>
  <c r="AM145" i="37"/>
  <c r="AN145" i="37" s="1"/>
  <c r="AO145" i="37" s="1"/>
  <c r="AI145" i="37"/>
  <c r="AJ145" i="37"/>
  <c r="AK145" i="37" s="1"/>
  <c r="AL145" i="37" s="1"/>
  <c r="AJ155" i="36"/>
  <c r="AK155" i="36" s="1"/>
  <c r="AL155" i="36" s="1"/>
  <c r="AM155" i="36"/>
  <c r="AN155" i="36" s="1"/>
  <c r="AO155" i="36" s="1"/>
  <c r="AI155" i="36"/>
  <c r="AJ147" i="36"/>
  <c r="AK147" i="36" s="1"/>
  <c r="AL147" i="36" s="1"/>
  <c r="AM147" i="36"/>
  <c r="AN147" i="36" s="1"/>
  <c r="AO147" i="36" s="1"/>
  <c r="AI147" i="36"/>
  <c r="AJ157" i="36"/>
  <c r="AK157" i="36" s="1"/>
  <c r="AL157" i="36" s="1"/>
  <c r="AM157" i="36"/>
  <c r="AN157" i="36" s="1"/>
  <c r="AO157" i="36" s="1"/>
  <c r="AI157" i="36"/>
  <c r="AJ149" i="36"/>
  <c r="AK149" i="36" s="1"/>
  <c r="AL149" i="36" s="1"/>
  <c r="AM149" i="36"/>
  <c r="AN149" i="36" s="1"/>
  <c r="AO149" i="36" s="1"/>
  <c r="AI149" i="36"/>
  <c r="AS159" i="36"/>
  <c r="BG167" i="42"/>
  <c r="AJ148" i="41"/>
  <c r="AK148" i="41" s="1"/>
  <c r="AL148" i="41" s="1"/>
  <c r="AM148" i="41"/>
  <c r="AN148" i="41" s="1"/>
  <c r="AO148" i="41" s="1"/>
  <c r="AJ144" i="41"/>
  <c r="AK144" i="41" s="1"/>
  <c r="AL144" i="41" s="1"/>
  <c r="AM144" i="41"/>
  <c r="AN144" i="41" s="1"/>
  <c r="AO144" i="41" s="1"/>
  <c r="AM151" i="40"/>
  <c r="AN151" i="40" s="1"/>
  <c r="AO151" i="40" s="1"/>
  <c r="AJ151" i="40"/>
  <c r="AK151" i="40" s="1"/>
  <c r="AL151" i="40" s="1"/>
  <c r="AM147" i="40"/>
  <c r="AN147" i="40" s="1"/>
  <c r="AO147" i="40" s="1"/>
  <c r="AI147" i="40"/>
  <c r="AJ147" i="40"/>
  <c r="AK147" i="40" s="1"/>
  <c r="AL147" i="40" s="1"/>
  <c r="AM143" i="40"/>
  <c r="AN143" i="40" s="1"/>
  <c r="AO143" i="40" s="1"/>
  <c r="AI143" i="40"/>
  <c r="AJ143" i="40"/>
  <c r="AK143" i="40" s="1"/>
  <c r="AL143" i="40" s="1"/>
  <c r="AJ153" i="39"/>
  <c r="AK153" i="39" s="1"/>
  <c r="AL153" i="39" s="1"/>
  <c r="AM153" i="39"/>
  <c r="AN153" i="39" s="1"/>
  <c r="AO153" i="39" s="1"/>
  <c r="AI153" i="39"/>
  <c r="AJ145" i="39"/>
  <c r="AK145" i="39" s="1"/>
  <c r="AL145" i="39" s="1"/>
  <c r="AM145" i="39"/>
  <c r="AN145" i="39" s="1"/>
  <c r="AO145" i="39" s="1"/>
  <c r="AI145" i="39"/>
  <c r="AM158" i="39"/>
  <c r="AN158" i="39" s="1"/>
  <c r="AO158" i="39" s="1"/>
  <c r="AJ158" i="39"/>
  <c r="AK158" i="39" s="1"/>
  <c r="AL158" i="39" s="1"/>
  <c r="S144" i="40"/>
  <c r="T143" i="40"/>
  <c r="AJ148" i="39"/>
  <c r="AK148" i="39" s="1"/>
  <c r="AL148" i="39" s="1"/>
  <c r="AM148" i="39"/>
  <c r="AN148" i="39" s="1"/>
  <c r="AO148" i="39" s="1"/>
  <c r="AI148" i="39"/>
  <c r="AJ140" i="39"/>
  <c r="AK140" i="39" s="1"/>
  <c r="AL140" i="39" s="1"/>
  <c r="AM140" i="39"/>
  <c r="AN140" i="39" s="1"/>
  <c r="AO140" i="39" s="1"/>
  <c r="AI140" i="39"/>
  <c r="AM151" i="38"/>
  <c r="AN151" i="38" s="1"/>
  <c r="AO151" i="38" s="1"/>
  <c r="AJ151" i="38"/>
  <c r="AK151" i="38" s="1"/>
  <c r="AL151" i="38" s="1"/>
  <c r="AJ156" i="38"/>
  <c r="AK156" i="38" s="1"/>
  <c r="AL156" i="38" s="1"/>
  <c r="AM156" i="38"/>
  <c r="AN156" i="38" s="1"/>
  <c r="AO156" i="38" s="1"/>
  <c r="AJ152" i="38"/>
  <c r="AK152" i="38" s="1"/>
  <c r="AL152" i="38" s="1"/>
  <c r="AM152" i="38"/>
  <c r="AN152" i="38" s="1"/>
  <c r="AO152" i="38" s="1"/>
  <c r="AJ148" i="38"/>
  <c r="AK148" i="38" s="1"/>
  <c r="AL148" i="38" s="1"/>
  <c r="AM148" i="38"/>
  <c r="AN148" i="38" s="1"/>
  <c r="AO148" i="38" s="1"/>
  <c r="AJ140" i="38"/>
  <c r="AK140" i="38" s="1"/>
  <c r="AL140" i="38" s="1"/>
  <c r="AM140" i="38"/>
  <c r="AN140" i="38" s="1"/>
  <c r="AO140" i="38" s="1"/>
  <c r="AI140" i="38"/>
  <c r="AJ157" i="38"/>
  <c r="AK157" i="38" s="1"/>
  <c r="AL157" i="38" s="1"/>
  <c r="AM157" i="38"/>
  <c r="AN157" i="38" s="1"/>
  <c r="AO157" i="38" s="1"/>
  <c r="L43" i="38"/>
  <c r="AM160" i="37"/>
  <c r="AN160" i="37" s="1"/>
  <c r="AO160" i="37" s="1"/>
  <c r="AJ160" i="37"/>
  <c r="AK160" i="37" s="1"/>
  <c r="AL160" i="37" s="1"/>
  <c r="AM156" i="37"/>
  <c r="AN156" i="37" s="1"/>
  <c r="AO156" i="37" s="1"/>
  <c r="AI156" i="37"/>
  <c r="AJ156" i="37"/>
  <c r="AK156" i="37" s="1"/>
  <c r="AL156" i="37" s="1"/>
  <c r="AM152" i="37"/>
  <c r="AN152" i="37" s="1"/>
  <c r="AO152" i="37" s="1"/>
  <c r="AI152" i="37"/>
  <c r="AJ152" i="37"/>
  <c r="AK152" i="37" s="1"/>
  <c r="AL152" i="37" s="1"/>
  <c r="AM148" i="37"/>
  <c r="AN148" i="37" s="1"/>
  <c r="AO148" i="37" s="1"/>
  <c r="AI148" i="37"/>
  <c r="AJ148" i="37"/>
  <c r="AK148" i="37" s="1"/>
  <c r="AL148" i="37" s="1"/>
  <c r="AM144" i="37"/>
  <c r="AN144" i="37" s="1"/>
  <c r="AO144" i="37" s="1"/>
  <c r="AI144" i="37"/>
  <c r="AJ144" i="37"/>
  <c r="AK144" i="37" s="1"/>
  <c r="AL144" i="37" s="1"/>
  <c r="BG177" i="38"/>
  <c r="BH242" i="37"/>
  <c r="AM158" i="36"/>
  <c r="AN158" i="36" s="1"/>
  <c r="AO158" i="36" s="1"/>
  <c r="AI158" i="36"/>
  <c r="AJ158" i="36"/>
  <c r="AK158" i="36" s="1"/>
  <c r="AL158" i="36" s="1"/>
  <c r="AM150" i="36"/>
  <c r="AN150" i="36" s="1"/>
  <c r="AO150" i="36" s="1"/>
  <c r="AI150" i="36"/>
  <c r="AJ150" i="36"/>
  <c r="AK150" i="36" s="1"/>
  <c r="AL150" i="36" s="1"/>
  <c r="AM142" i="36"/>
  <c r="AN142" i="36" s="1"/>
  <c r="AO142" i="36" s="1"/>
  <c r="AI142" i="36"/>
  <c r="AJ142" i="36"/>
  <c r="AK142" i="36" s="1"/>
  <c r="AL142" i="36" s="1"/>
  <c r="J49" i="37"/>
  <c r="AJ156" i="36"/>
  <c r="AK156" i="36" s="1"/>
  <c r="AL156" i="36" s="1"/>
  <c r="AM156" i="36"/>
  <c r="AN156" i="36" s="1"/>
  <c r="AO156" i="36" s="1"/>
  <c r="AI156" i="36"/>
  <c r="AJ148" i="36"/>
  <c r="AK148" i="36" s="1"/>
  <c r="AL148" i="36" s="1"/>
  <c r="AM148" i="36"/>
  <c r="AN148" i="36" s="1"/>
  <c r="AO148" i="36" s="1"/>
  <c r="AI148" i="36"/>
  <c r="AJ141" i="42"/>
  <c r="AK141" i="42" s="1"/>
  <c r="AL141" i="42" s="1"/>
  <c r="AM141" i="42"/>
  <c r="AN141" i="42" s="1"/>
  <c r="AO141" i="42" s="1"/>
  <c r="AI141" i="42"/>
  <c r="AM147" i="42"/>
  <c r="AN147" i="42" s="1"/>
  <c r="AO147" i="42" s="1"/>
  <c r="AI147" i="42"/>
  <c r="AJ147" i="42"/>
  <c r="AK147" i="42" s="1"/>
  <c r="AL147" i="42" s="1"/>
  <c r="AM145" i="42"/>
  <c r="AN145" i="42" s="1"/>
  <c r="AO145" i="42" s="1"/>
  <c r="AI145" i="42"/>
  <c r="AJ145" i="42"/>
  <c r="AK145" i="42" s="1"/>
  <c r="AL145" i="42" s="1"/>
  <c r="AJ153" i="42"/>
  <c r="AK153" i="42" s="1"/>
  <c r="AL153" i="42" s="1"/>
  <c r="AM153" i="42"/>
  <c r="AN153" i="42" s="1"/>
  <c r="AO153" i="42" s="1"/>
  <c r="AI153" i="42"/>
  <c r="AJ148" i="42"/>
  <c r="AK148" i="42" s="1"/>
  <c r="AL148" i="42" s="1"/>
  <c r="AM148" i="42"/>
  <c r="AN148" i="42" s="1"/>
  <c r="AO148" i="42" s="1"/>
  <c r="AI148" i="42"/>
  <c r="AJ156" i="42"/>
  <c r="AK156" i="42" s="1"/>
  <c r="AL156" i="42" s="1"/>
  <c r="AM156" i="42"/>
  <c r="AN156" i="42" s="1"/>
  <c r="AO156" i="42" s="1"/>
  <c r="AI156" i="42"/>
  <c r="AM155" i="42"/>
  <c r="AN155" i="42" s="1"/>
  <c r="AO155" i="42" s="1"/>
  <c r="AI155" i="42"/>
  <c r="AJ155" i="42"/>
  <c r="AK155" i="42" s="1"/>
  <c r="AL155" i="42" s="1"/>
  <c r="AJ146" i="42"/>
  <c r="AK146" i="42" s="1"/>
  <c r="AL146" i="42" s="1"/>
  <c r="AM146" i="42"/>
  <c r="AN146" i="42" s="1"/>
  <c r="AO146" i="42" s="1"/>
  <c r="AI146" i="42"/>
  <c r="AJ154" i="42"/>
  <c r="AK154" i="42" s="1"/>
  <c r="AL154" i="42" s="1"/>
  <c r="AM154" i="42"/>
  <c r="AN154" i="42" s="1"/>
  <c r="AO154" i="42" s="1"/>
  <c r="AI154" i="42"/>
  <c r="AJ151" i="41"/>
  <c r="AK151" i="41" s="1"/>
  <c r="AL151" i="41" s="1"/>
  <c r="AM151" i="41"/>
  <c r="AN151" i="41" s="1"/>
  <c r="AO151" i="41" s="1"/>
  <c r="AJ147" i="41"/>
  <c r="AK147" i="41" s="1"/>
  <c r="AL147" i="41" s="1"/>
  <c r="AM147" i="41"/>
  <c r="AN147" i="41" s="1"/>
  <c r="AO147" i="41" s="1"/>
  <c r="AJ143" i="41"/>
  <c r="AK143" i="41" s="1"/>
  <c r="AL143" i="41" s="1"/>
  <c r="AM143" i="41"/>
  <c r="AN143" i="41" s="1"/>
  <c r="AO143" i="41" s="1"/>
  <c r="BH227" i="41"/>
  <c r="AS142" i="41"/>
  <c r="AT142" i="41"/>
  <c r="AE142" i="41"/>
  <c r="J49" i="41"/>
  <c r="AM150" i="40"/>
  <c r="AN150" i="40" s="1"/>
  <c r="AO150" i="40" s="1"/>
  <c r="AI150" i="40"/>
  <c r="AJ150" i="40"/>
  <c r="AK150" i="40" s="1"/>
  <c r="AL150" i="40" s="1"/>
  <c r="AM146" i="40"/>
  <c r="AN146" i="40" s="1"/>
  <c r="AO146" i="40" s="1"/>
  <c r="AI146" i="40"/>
  <c r="AJ146" i="40"/>
  <c r="AK146" i="40" s="1"/>
  <c r="AL146" i="40" s="1"/>
  <c r="AM142" i="40"/>
  <c r="AN142" i="40" s="1"/>
  <c r="AO142" i="40" s="1"/>
  <c r="AI142" i="40"/>
  <c r="AJ142" i="40"/>
  <c r="AK142" i="40" s="1"/>
  <c r="AL142" i="40" s="1"/>
  <c r="AM150" i="39"/>
  <c r="AN150" i="39" s="1"/>
  <c r="AO150" i="39" s="1"/>
  <c r="AI150" i="39"/>
  <c r="AJ150" i="39"/>
  <c r="AK150" i="39" s="1"/>
  <c r="AL150" i="39" s="1"/>
  <c r="AM142" i="39"/>
  <c r="AN142" i="39" s="1"/>
  <c r="AO142" i="39" s="1"/>
  <c r="AI142" i="39"/>
  <c r="AJ142" i="39"/>
  <c r="AK142" i="39" s="1"/>
  <c r="AL142" i="39" s="1"/>
  <c r="AJ151" i="39"/>
  <c r="AK151" i="39" s="1"/>
  <c r="AL151" i="39" s="1"/>
  <c r="AM151" i="39"/>
  <c r="AN151" i="39" s="1"/>
  <c r="AO151" i="39" s="1"/>
  <c r="AI151" i="39"/>
  <c r="AJ143" i="39"/>
  <c r="AK143" i="39" s="1"/>
  <c r="AL143" i="39" s="1"/>
  <c r="AM143" i="39"/>
  <c r="AN143" i="39" s="1"/>
  <c r="AO143" i="39" s="1"/>
  <c r="AI143" i="39"/>
  <c r="AJ150" i="38"/>
  <c r="AK150" i="38" s="1"/>
  <c r="AL150" i="38" s="1"/>
  <c r="AM150" i="38"/>
  <c r="AN150" i="38" s="1"/>
  <c r="AO150" i="38" s="1"/>
  <c r="AJ142" i="38"/>
  <c r="AK142" i="38" s="1"/>
  <c r="AL142" i="38" s="1"/>
  <c r="AM142" i="38"/>
  <c r="AN142" i="38" s="1"/>
  <c r="AO142" i="38" s="1"/>
  <c r="AI142" i="38"/>
  <c r="AT157" i="39"/>
  <c r="AM155" i="38"/>
  <c r="AN155" i="38" s="1"/>
  <c r="AO155" i="38" s="1"/>
  <c r="AJ155" i="38"/>
  <c r="AK155" i="38" s="1"/>
  <c r="AL155" i="38" s="1"/>
  <c r="AM143" i="38"/>
  <c r="AN143" i="38" s="1"/>
  <c r="AO143" i="38" s="1"/>
  <c r="AI143" i="38"/>
  <c r="AJ143" i="38"/>
  <c r="AK143" i="38" s="1"/>
  <c r="AL143" i="38" s="1"/>
  <c r="AJ153" i="38"/>
  <c r="AK153" i="38" s="1"/>
  <c r="AL153" i="38" s="1"/>
  <c r="AM153" i="38"/>
  <c r="AN153" i="38" s="1"/>
  <c r="AO153" i="38" s="1"/>
  <c r="AJ145" i="38"/>
  <c r="AK145" i="38" s="1"/>
  <c r="AL145" i="38" s="1"/>
  <c r="AM145" i="38"/>
  <c r="AN145" i="38" s="1"/>
  <c r="AO145" i="38" s="1"/>
  <c r="AI145" i="38"/>
  <c r="AM159" i="37"/>
  <c r="AN159" i="37" s="1"/>
  <c r="AO159" i="37" s="1"/>
  <c r="AI159" i="37"/>
  <c r="AJ159" i="37"/>
  <c r="AK159" i="37" s="1"/>
  <c r="AL159" i="37" s="1"/>
  <c r="AM155" i="37"/>
  <c r="AN155" i="37" s="1"/>
  <c r="AO155" i="37" s="1"/>
  <c r="AI155" i="37"/>
  <c r="AJ155" i="37"/>
  <c r="AK155" i="37" s="1"/>
  <c r="AL155" i="37" s="1"/>
  <c r="AM151" i="37"/>
  <c r="AN151" i="37" s="1"/>
  <c r="AO151" i="37" s="1"/>
  <c r="AI151" i="37"/>
  <c r="AJ151" i="37"/>
  <c r="AK151" i="37" s="1"/>
  <c r="AL151" i="37" s="1"/>
  <c r="AM147" i="37"/>
  <c r="AN147" i="37" s="1"/>
  <c r="AO147" i="37" s="1"/>
  <c r="AI147" i="37"/>
  <c r="AJ147" i="37"/>
  <c r="AK147" i="37" s="1"/>
  <c r="AL147" i="37" s="1"/>
  <c r="AM143" i="37"/>
  <c r="AN143" i="37" s="1"/>
  <c r="AO143" i="37" s="1"/>
  <c r="AI143" i="37"/>
  <c r="AJ143" i="37"/>
  <c r="AK143" i="37" s="1"/>
  <c r="AL143" i="37" s="1"/>
  <c r="AT154" i="38"/>
  <c r="AJ151" i="36"/>
  <c r="AK151" i="36" s="1"/>
  <c r="AL151" i="36" s="1"/>
  <c r="AM151" i="36"/>
  <c r="AN151" i="36" s="1"/>
  <c r="AO151" i="36" s="1"/>
  <c r="AI151" i="36"/>
  <c r="AJ143" i="36"/>
  <c r="AK143" i="36" s="1"/>
  <c r="AL143" i="36" s="1"/>
  <c r="AM143" i="36"/>
  <c r="AN143" i="36" s="1"/>
  <c r="AO143" i="36" s="1"/>
  <c r="AI143" i="36"/>
  <c r="AJ161" i="36"/>
  <c r="AK161" i="36" s="1"/>
  <c r="AL161" i="36" s="1"/>
  <c r="AM161" i="36"/>
  <c r="AN161" i="36" s="1"/>
  <c r="AO161" i="36" s="1"/>
  <c r="AI161" i="36"/>
  <c r="AJ153" i="36"/>
  <c r="AK153" i="36" s="1"/>
  <c r="AL153" i="36" s="1"/>
  <c r="AM153" i="36"/>
  <c r="AN153" i="36" s="1"/>
  <c r="AO153" i="36" s="1"/>
  <c r="AI153" i="36"/>
  <c r="AJ145" i="36"/>
  <c r="AK145" i="36" s="1"/>
  <c r="AL145" i="36" s="1"/>
  <c r="AM145" i="36"/>
  <c r="AN145" i="36" s="1"/>
  <c r="AO145" i="36" s="1"/>
  <c r="AI145" i="36"/>
  <c r="AJ143" i="42"/>
  <c r="AK143" i="42" s="1"/>
  <c r="AL143" i="42" s="1"/>
  <c r="AM143" i="42"/>
  <c r="AN143" i="42" s="1"/>
  <c r="AO143" i="42" s="1"/>
  <c r="AI143" i="42"/>
  <c r="AM144" i="42"/>
  <c r="AN144" i="42" s="1"/>
  <c r="AO144" i="42" s="1"/>
  <c r="AI144" i="42"/>
  <c r="AJ144" i="42"/>
  <c r="AK144" i="42" s="1"/>
  <c r="AL144" i="42" s="1"/>
  <c r="AJ142" i="42"/>
  <c r="AK142" i="42" s="1"/>
  <c r="AL142" i="42" s="1"/>
  <c r="AM142" i="42"/>
  <c r="AN142" i="42" s="1"/>
  <c r="AO142" i="42" s="1"/>
  <c r="AI142" i="42"/>
  <c r="AJ150" i="41"/>
  <c r="AK150" i="41" s="1"/>
  <c r="AL150" i="41" s="1"/>
  <c r="AM150" i="41"/>
  <c r="AN150" i="41" s="1"/>
  <c r="AO150" i="41" s="1"/>
  <c r="AJ146" i="41"/>
  <c r="AK146" i="41" s="1"/>
  <c r="AL146" i="41" s="1"/>
  <c r="AM146" i="41"/>
  <c r="AN146" i="41" s="1"/>
  <c r="AO146" i="41" s="1"/>
  <c r="T143" i="41"/>
  <c r="S144" i="41"/>
  <c r="AM153" i="40"/>
  <c r="AN153" i="40" s="1"/>
  <c r="AO153" i="40" s="1"/>
  <c r="AJ153" i="40"/>
  <c r="AK153" i="40" s="1"/>
  <c r="AL153" i="40" s="1"/>
  <c r="AT153" i="40" s="1"/>
  <c r="AM149" i="40"/>
  <c r="AN149" i="40" s="1"/>
  <c r="AO149" i="40" s="1"/>
  <c r="AI149" i="40"/>
  <c r="AJ149" i="40"/>
  <c r="AK149" i="40" s="1"/>
  <c r="AL149" i="40" s="1"/>
  <c r="AM145" i="40"/>
  <c r="AN145" i="40" s="1"/>
  <c r="AO145" i="40" s="1"/>
  <c r="AI145" i="40"/>
  <c r="AJ145" i="40"/>
  <c r="AK145" i="40" s="1"/>
  <c r="AL145" i="40" s="1"/>
  <c r="BH214" i="40"/>
  <c r="J49" i="40"/>
  <c r="AJ149" i="39"/>
  <c r="AK149" i="39" s="1"/>
  <c r="AL149" i="39" s="1"/>
  <c r="AM149" i="39"/>
  <c r="AN149" i="39" s="1"/>
  <c r="AO149" i="39" s="1"/>
  <c r="AI149" i="39"/>
  <c r="AJ141" i="39"/>
  <c r="AK141" i="39" s="1"/>
  <c r="AL141" i="39" s="1"/>
  <c r="AM141" i="39"/>
  <c r="AN141" i="39" s="1"/>
  <c r="AO141" i="39" s="1"/>
  <c r="AI141" i="39"/>
  <c r="AJ152" i="39"/>
  <c r="AK152" i="39" s="1"/>
  <c r="AL152" i="39" s="1"/>
  <c r="AM152" i="39"/>
  <c r="AN152" i="39" s="1"/>
  <c r="AO152" i="39" s="1"/>
  <c r="AI152" i="39"/>
  <c r="AJ144" i="39"/>
  <c r="AK144" i="39" s="1"/>
  <c r="AL144" i="39" s="1"/>
  <c r="AM144" i="39"/>
  <c r="AN144" i="39" s="1"/>
  <c r="AO144" i="39" s="1"/>
  <c r="AI144" i="39"/>
  <c r="AJ139" i="39"/>
  <c r="AK139" i="39" s="1"/>
  <c r="AL139" i="39" s="1"/>
  <c r="AM139" i="39"/>
  <c r="AN139" i="39" s="1"/>
  <c r="AO139" i="39" s="1"/>
  <c r="AI139" i="39"/>
  <c r="BG167" i="39"/>
  <c r="AJ144" i="38"/>
  <c r="AK144" i="38" s="1"/>
  <c r="AL144" i="38" s="1"/>
  <c r="AM144" i="38"/>
  <c r="AN144" i="38" s="1"/>
  <c r="AO144" i="38" s="1"/>
  <c r="AI144" i="38"/>
  <c r="R139" i="38"/>
  <c r="S139" i="38" s="1"/>
  <c r="AJ149" i="38"/>
  <c r="AK149" i="38" s="1"/>
  <c r="AL149" i="38" s="1"/>
  <c r="AM149" i="38"/>
  <c r="AN149" i="38" s="1"/>
  <c r="AO149" i="38" s="1"/>
  <c r="J49" i="38"/>
  <c r="AM158" i="37"/>
  <c r="AN158" i="37" s="1"/>
  <c r="AO158" i="37" s="1"/>
  <c r="AI158" i="37"/>
  <c r="AJ158" i="37"/>
  <c r="AK158" i="37" s="1"/>
  <c r="AL158" i="37" s="1"/>
  <c r="AM154" i="37"/>
  <c r="AN154" i="37" s="1"/>
  <c r="AO154" i="37" s="1"/>
  <c r="AI154" i="37"/>
  <c r="AJ154" i="37"/>
  <c r="AK154" i="37" s="1"/>
  <c r="AL154" i="37" s="1"/>
  <c r="AM150" i="37"/>
  <c r="AN150" i="37" s="1"/>
  <c r="AO150" i="37" s="1"/>
  <c r="AI150" i="37"/>
  <c r="AJ150" i="37"/>
  <c r="AK150" i="37" s="1"/>
  <c r="AL150" i="37" s="1"/>
  <c r="AM146" i="37"/>
  <c r="AN146" i="37" s="1"/>
  <c r="AO146" i="37" s="1"/>
  <c r="AI146" i="37"/>
  <c r="AJ146" i="37"/>
  <c r="AK146" i="37" s="1"/>
  <c r="AL146" i="37" s="1"/>
  <c r="AM142" i="37"/>
  <c r="AN142" i="37" s="1"/>
  <c r="AO142" i="37" s="1"/>
  <c r="AI142" i="37"/>
  <c r="AJ142" i="37"/>
  <c r="AK142" i="37" s="1"/>
  <c r="AL142" i="37" s="1"/>
  <c r="BH229" i="36"/>
  <c r="AM154" i="36"/>
  <c r="AN154" i="36" s="1"/>
  <c r="AO154" i="36" s="1"/>
  <c r="AI154" i="36"/>
  <c r="AJ154" i="36"/>
  <c r="AK154" i="36" s="1"/>
  <c r="AL154" i="36" s="1"/>
  <c r="AM146" i="36"/>
  <c r="AN146" i="36" s="1"/>
  <c r="AO146" i="36" s="1"/>
  <c r="AI146" i="36"/>
  <c r="AJ146" i="36"/>
  <c r="AK146" i="36" s="1"/>
  <c r="AL146" i="36" s="1"/>
  <c r="AJ160" i="36"/>
  <c r="AK160" i="36" s="1"/>
  <c r="AL160" i="36" s="1"/>
  <c r="AM160" i="36"/>
  <c r="AN160" i="36" s="1"/>
  <c r="AO160" i="36" s="1"/>
  <c r="AI160" i="36"/>
  <c r="AJ152" i="36"/>
  <c r="AK152" i="36" s="1"/>
  <c r="AL152" i="36" s="1"/>
  <c r="AM152" i="36"/>
  <c r="AN152" i="36" s="1"/>
  <c r="AO152" i="36" s="1"/>
  <c r="AI152" i="36"/>
  <c r="AJ144" i="36"/>
  <c r="AK144" i="36" s="1"/>
  <c r="AL144" i="36" s="1"/>
  <c r="AM144" i="36"/>
  <c r="AN144" i="36" s="1"/>
  <c r="AO144" i="36" s="1"/>
  <c r="AI144" i="36"/>
  <c r="AF242" i="35"/>
  <c r="AF241" i="35"/>
  <c r="AF243" i="35"/>
  <c r="AM179" i="35"/>
  <c r="AN179" i="35" s="1"/>
  <c r="AO179" i="35" s="1"/>
  <c r="AS179" i="35" s="1"/>
  <c r="AF209" i="35"/>
  <c r="AE181" i="35"/>
  <c r="AE209" i="35"/>
  <c r="H9" i="35"/>
  <c r="AJ145" i="35"/>
  <c r="AK145" i="35" s="1"/>
  <c r="AL145" i="35" s="1"/>
  <c r="AM145" i="35"/>
  <c r="AN145" i="35" s="1"/>
  <c r="AO145" i="35" s="1"/>
  <c r="AE146" i="35"/>
  <c r="AJ178" i="35"/>
  <c r="AK178" i="35" s="1"/>
  <c r="AL178" i="35" s="1"/>
  <c r="AT178" i="35" s="1"/>
  <c r="AM178" i="35"/>
  <c r="AN178" i="35" s="1"/>
  <c r="AO178" i="35" s="1"/>
  <c r="J138" i="35"/>
  <c r="K138" i="35" s="1"/>
  <c r="L138" i="35" s="1"/>
  <c r="M138" i="35" s="1"/>
  <c r="N138" i="35" s="1"/>
  <c r="AH138" i="35"/>
  <c r="O140" i="35"/>
  <c r="P140" i="35" s="1"/>
  <c r="Q140" i="35" s="1"/>
  <c r="O144" i="35"/>
  <c r="P144" i="35" s="1"/>
  <c r="Q144" i="35" s="1"/>
  <c r="AF145" i="35"/>
  <c r="AF150" i="35"/>
  <c r="AF151" i="35"/>
  <c r="AE153" i="35"/>
  <c r="AF156" i="35"/>
  <c r="AF157" i="35"/>
  <c r="AH156" i="35"/>
  <c r="O156" i="35"/>
  <c r="P156" i="35" s="1"/>
  <c r="Q156" i="35" s="1"/>
  <c r="AH152" i="35"/>
  <c r="O152" i="35"/>
  <c r="P152" i="35" s="1"/>
  <c r="Q152" i="35" s="1"/>
  <c r="AH157" i="35"/>
  <c r="O157" i="35"/>
  <c r="P157" i="35" s="1"/>
  <c r="Q157" i="35" s="1"/>
  <c r="AH153" i="35"/>
  <c r="O153" i="35"/>
  <c r="P153" i="35" s="1"/>
  <c r="Q153" i="35" s="1"/>
  <c r="AH149" i="35"/>
  <c r="O149" i="35"/>
  <c r="P149" i="35" s="1"/>
  <c r="Q149" i="35" s="1"/>
  <c r="AH154" i="35"/>
  <c r="O154" i="35"/>
  <c r="P154" i="35" s="1"/>
  <c r="Q154" i="35" s="1"/>
  <c r="AH150" i="35"/>
  <c r="O150" i="35"/>
  <c r="P150" i="35" s="1"/>
  <c r="Q150" i="35" s="1"/>
  <c r="AH146" i="35"/>
  <c r="O146" i="35"/>
  <c r="P146" i="35" s="1"/>
  <c r="Q146" i="35" s="1"/>
  <c r="AH142" i="35"/>
  <c r="O142" i="35"/>
  <c r="P142" i="35" s="1"/>
  <c r="Q142" i="35" s="1"/>
  <c r="O139" i="35"/>
  <c r="P139" i="35" s="1"/>
  <c r="Q139" i="35" s="1"/>
  <c r="O141" i="35"/>
  <c r="P141" i="35" s="1"/>
  <c r="Q141" i="35" s="1"/>
  <c r="AH143" i="35"/>
  <c r="AH144" i="35"/>
  <c r="O147" i="35"/>
  <c r="P147" i="35" s="1"/>
  <c r="Q147" i="35" s="1"/>
  <c r="AF147" i="35"/>
  <c r="AF149" i="35"/>
  <c r="O151" i="35"/>
  <c r="P151" i="35" s="1"/>
  <c r="Q151" i="35" s="1"/>
  <c r="AH151" i="35"/>
  <c r="BG164" i="35"/>
  <c r="AH147" i="35"/>
  <c r="AH148" i="35"/>
  <c r="AF152" i="35"/>
  <c r="AF153" i="35"/>
  <c r="O155" i="35"/>
  <c r="P155" i="35" s="1"/>
  <c r="Q155" i="35" s="1"/>
  <c r="AH155" i="35"/>
  <c r="AE178" i="35"/>
  <c r="AE180" i="35"/>
  <c r="AE151" i="35"/>
  <c r="AE155" i="35"/>
  <c r="AE179" i="35"/>
  <c r="AT179" i="35"/>
  <c r="AJ180" i="35"/>
  <c r="AK180" i="35" s="1"/>
  <c r="AL180" i="35" s="1"/>
  <c r="AS180" i="35" s="1"/>
  <c r="AJ181" i="35"/>
  <c r="AK181" i="35" s="1"/>
  <c r="AL181" i="35" s="1"/>
  <c r="AT181" i="35" s="1"/>
  <c r="AF207" i="35"/>
  <c r="AE207" i="35"/>
  <c r="AF204" i="35"/>
  <c r="AF206" i="35"/>
  <c r="AF205" i="35"/>
  <c r="AF211" i="35"/>
  <c r="AF210" i="35"/>
  <c r="AF213" i="35"/>
  <c r="AF212" i="35"/>
  <c r="AF208" i="35"/>
  <c r="R143" i="36" l="1"/>
  <c r="S143" i="36" s="1"/>
  <c r="T143" i="36" s="1"/>
  <c r="J48" i="35"/>
  <c r="BO85" i="35"/>
  <c r="AM140" i="35"/>
  <c r="AN140" i="35" s="1"/>
  <c r="AO140" i="35" s="1"/>
  <c r="AI139" i="35"/>
  <c r="AM139" i="35"/>
  <c r="AN139" i="35" s="1"/>
  <c r="AO139" i="35" s="1"/>
  <c r="AS139" i="35" s="1"/>
  <c r="V140" i="42"/>
  <c r="AT140" i="42" s="1"/>
  <c r="Q138" i="35"/>
  <c r="S138" i="35" s="1"/>
  <c r="T138" i="35" s="1"/>
  <c r="AS154" i="42"/>
  <c r="AS141" i="42"/>
  <c r="J56" i="35"/>
  <c r="L32" i="35"/>
  <c r="J50" i="35"/>
  <c r="L44" i="35"/>
  <c r="J38" i="35"/>
  <c r="L85" i="35"/>
  <c r="AS150" i="41"/>
  <c r="L26" i="35"/>
  <c r="J20" i="35"/>
  <c r="X142" i="41"/>
  <c r="Z142" i="41" s="1"/>
  <c r="AM161" i="41"/>
  <c r="AN161" i="41" s="1"/>
  <c r="AO161" i="41" s="1"/>
  <c r="AP161" i="41" s="1"/>
  <c r="AT142" i="40"/>
  <c r="AS158" i="37"/>
  <c r="AS157" i="36"/>
  <c r="AS152" i="40"/>
  <c r="AS149" i="39"/>
  <c r="AS153" i="39"/>
  <c r="AI140" i="35"/>
  <c r="V142" i="37"/>
  <c r="AS153" i="37"/>
  <c r="AS151" i="37"/>
  <c r="AS144" i="37"/>
  <c r="AS156" i="37"/>
  <c r="AS139" i="38"/>
  <c r="AS140" i="38"/>
  <c r="AS138" i="38"/>
  <c r="C8" i="38" s="1"/>
  <c r="AS141" i="39"/>
  <c r="AS149" i="42"/>
  <c r="AS148" i="42"/>
  <c r="C166" i="41"/>
  <c r="AH183" i="41" s="1"/>
  <c r="AS144" i="38"/>
  <c r="AS150" i="42"/>
  <c r="AS152" i="42"/>
  <c r="AS145" i="42"/>
  <c r="AS145" i="36"/>
  <c r="AS151" i="36"/>
  <c r="AS144" i="36"/>
  <c r="AS144" i="39"/>
  <c r="AS145" i="40"/>
  <c r="AS142" i="40"/>
  <c r="AS156" i="36"/>
  <c r="AM141" i="35"/>
  <c r="AN141" i="35" s="1"/>
  <c r="AO141" i="35" s="1"/>
  <c r="AJ141" i="35"/>
  <c r="AK141" i="35" s="1"/>
  <c r="AL141" i="35" s="1"/>
  <c r="AS157" i="37"/>
  <c r="AS147" i="39"/>
  <c r="AS145" i="41"/>
  <c r="AS140" i="42"/>
  <c r="C8" i="42" s="1"/>
  <c r="AS146" i="36"/>
  <c r="AS158" i="36"/>
  <c r="AS142" i="37"/>
  <c r="C8" i="37" s="1"/>
  <c r="AS139" i="39"/>
  <c r="C8" i="39" s="1"/>
  <c r="AS155" i="42"/>
  <c r="AS140" i="39"/>
  <c r="AS144" i="41"/>
  <c r="AS147" i="37"/>
  <c r="AS143" i="40"/>
  <c r="AI160" i="39"/>
  <c r="AM165" i="39" s="1"/>
  <c r="AN165" i="39" s="1"/>
  <c r="AO165" i="39" s="1"/>
  <c r="AS154" i="37"/>
  <c r="AS148" i="41"/>
  <c r="BH230" i="36"/>
  <c r="R144" i="37"/>
  <c r="S144" i="37" s="1"/>
  <c r="T144" i="37" s="1"/>
  <c r="V143" i="37"/>
  <c r="T139" i="38"/>
  <c r="S140" i="38"/>
  <c r="BH215" i="40"/>
  <c r="AS153" i="40"/>
  <c r="AS150" i="38"/>
  <c r="AT150" i="38"/>
  <c r="BH228" i="41"/>
  <c r="BG178" i="38"/>
  <c r="AS148" i="38"/>
  <c r="AT148" i="38"/>
  <c r="AS156" i="38"/>
  <c r="AT156" i="38"/>
  <c r="S145" i="40"/>
  <c r="T144" i="40"/>
  <c r="T141" i="42"/>
  <c r="S142" i="42"/>
  <c r="AS155" i="39"/>
  <c r="AT155" i="39"/>
  <c r="S141" i="39"/>
  <c r="T140" i="39"/>
  <c r="AI161" i="42"/>
  <c r="AS160" i="36"/>
  <c r="AS150" i="37"/>
  <c r="AS149" i="38"/>
  <c r="AT149" i="38"/>
  <c r="AT138" i="38"/>
  <c r="AE138" i="38"/>
  <c r="T144" i="41"/>
  <c r="S145" i="41"/>
  <c r="AS146" i="41"/>
  <c r="AS142" i="42"/>
  <c r="AS144" i="42"/>
  <c r="AS143" i="36"/>
  <c r="AS143" i="37"/>
  <c r="AS159" i="37"/>
  <c r="AS145" i="38"/>
  <c r="AS143" i="38"/>
  <c r="AS150" i="39"/>
  <c r="AS150" i="40"/>
  <c r="AS147" i="41"/>
  <c r="AS156" i="42"/>
  <c r="AS148" i="36"/>
  <c r="AI163" i="36"/>
  <c r="AS150" i="36"/>
  <c r="AS152" i="37"/>
  <c r="AS148" i="39"/>
  <c r="AS145" i="39"/>
  <c r="AS151" i="40"/>
  <c r="AS149" i="36"/>
  <c r="AS149" i="37"/>
  <c r="AT161" i="37"/>
  <c r="AS161" i="37"/>
  <c r="AS158" i="42"/>
  <c r="AS152" i="36"/>
  <c r="AS154" i="36"/>
  <c r="AI163" i="37"/>
  <c r="AS146" i="37"/>
  <c r="BG168" i="39"/>
  <c r="AS152" i="39"/>
  <c r="AS149" i="40"/>
  <c r="R144" i="41"/>
  <c r="V143" i="41"/>
  <c r="AS161" i="36"/>
  <c r="AS155" i="37"/>
  <c r="AS142" i="38"/>
  <c r="AS151" i="39"/>
  <c r="AS142" i="39"/>
  <c r="AI155" i="40"/>
  <c r="AS146" i="40"/>
  <c r="AS147" i="42"/>
  <c r="AT142" i="36"/>
  <c r="AE142" i="36"/>
  <c r="AS142" i="36"/>
  <c r="BH243" i="37"/>
  <c r="AS148" i="37"/>
  <c r="AT160" i="37"/>
  <c r="AS160" i="37"/>
  <c r="AS157" i="38"/>
  <c r="AT157" i="38"/>
  <c r="AS152" i="38"/>
  <c r="AT152" i="38"/>
  <c r="AS147" i="40"/>
  <c r="BG168" i="42"/>
  <c r="AS155" i="36"/>
  <c r="AS145" i="37"/>
  <c r="AS147" i="38"/>
  <c r="AS156" i="39"/>
  <c r="AT156" i="39"/>
  <c r="AS154" i="39"/>
  <c r="AS148" i="40"/>
  <c r="AS151" i="42"/>
  <c r="AS143" i="42"/>
  <c r="AS153" i="36"/>
  <c r="AS153" i="38"/>
  <c r="AT153" i="38"/>
  <c r="AT155" i="38"/>
  <c r="AS155" i="38"/>
  <c r="AS143" i="39"/>
  <c r="C8" i="40"/>
  <c r="C8" i="41"/>
  <c r="AS143" i="41"/>
  <c r="AS151" i="41"/>
  <c r="AS146" i="42"/>
  <c r="AS153" i="42"/>
  <c r="R144" i="36"/>
  <c r="S144" i="36" s="1"/>
  <c r="T144" i="36" s="1"/>
  <c r="V143" i="36"/>
  <c r="AT151" i="38"/>
  <c r="AS151" i="38"/>
  <c r="R144" i="40"/>
  <c r="V143" i="40"/>
  <c r="AS158" i="39"/>
  <c r="AT158" i="39"/>
  <c r="AS147" i="36"/>
  <c r="AS141" i="38"/>
  <c r="AI159" i="38"/>
  <c r="AS146" i="38"/>
  <c r="AE139" i="39"/>
  <c r="AT139" i="39"/>
  <c r="AS146" i="39"/>
  <c r="AS144" i="40"/>
  <c r="AS149" i="41"/>
  <c r="AS159" i="42"/>
  <c r="AS157" i="42"/>
  <c r="AS181" i="35"/>
  <c r="R139" i="35"/>
  <c r="S139" i="35" s="1"/>
  <c r="V138" i="35"/>
  <c r="AT180" i="35"/>
  <c r="AM147" i="35"/>
  <c r="AN147" i="35" s="1"/>
  <c r="AO147" i="35" s="1"/>
  <c r="AJ147" i="35"/>
  <c r="AK147" i="35" s="1"/>
  <c r="AL147" i="35" s="1"/>
  <c r="AJ151" i="35"/>
  <c r="AK151" i="35" s="1"/>
  <c r="AL151" i="35" s="1"/>
  <c r="AM151" i="35"/>
  <c r="AN151" i="35" s="1"/>
  <c r="AO151" i="35" s="1"/>
  <c r="AM138" i="35"/>
  <c r="AN138" i="35" s="1"/>
  <c r="AO138" i="35" s="1"/>
  <c r="AI138" i="35"/>
  <c r="AJ138" i="35"/>
  <c r="AK138" i="35" s="1"/>
  <c r="AL138" i="35" s="1"/>
  <c r="AS140" i="35"/>
  <c r="AJ146" i="35"/>
  <c r="AK146" i="35" s="1"/>
  <c r="AL146" i="35" s="1"/>
  <c r="AM146" i="35"/>
  <c r="AN146" i="35" s="1"/>
  <c r="AO146" i="35" s="1"/>
  <c r="AJ154" i="35"/>
  <c r="AK154" i="35" s="1"/>
  <c r="AL154" i="35" s="1"/>
  <c r="AM154" i="35"/>
  <c r="AN154" i="35" s="1"/>
  <c r="AO154" i="35" s="1"/>
  <c r="AM153" i="35"/>
  <c r="AN153" i="35" s="1"/>
  <c r="AO153" i="35" s="1"/>
  <c r="AJ153" i="35"/>
  <c r="AK153" i="35" s="1"/>
  <c r="AL153" i="35" s="1"/>
  <c r="AJ152" i="35"/>
  <c r="AK152" i="35" s="1"/>
  <c r="AL152" i="35" s="1"/>
  <c r="AM152" i="35"/>
  <c r="AN152" i="35" s="1"/>
  <c r="AO152" i="35" s="1"/>
  <c r="AS178" i="35"/>
  <c r="L43" i="35"/>
  <c r="AJ155" i="35"/>
  <c r="AK155" i="35" s="1"/>
  <c r="AL155" i="35" s="1"/>
  <c r="AM155" i="35"/>
  <c r="AN155" i="35" s="1"/>
  <c r="AO155" i="35" s="1"/>
  <c r="AJ144" i="35"/>
  <c r="AK144" i="35" s="1"/>
  <c r="AL144" i="35" s="1"/>
  <c r="AM144" i="35"/>
  <c r="AN144" i="35" s="1"/>
  <c r="AO144" i="35" s="1"/>
  <c r="AJ148" i="35"/>
  <c r="AK148" i="35" s="1"/>
  <c r="AL148" i="35" s="1"/>
  <c r="AM148" i="35"/>
  <c r="AN148" i="35" s="1"/>
  <c r="AO148" i="35" s="1"/>
  <c r="BG165" i="35"/>
  <c r="AM143" i="35"/>
  <c r="AN143" i="35" s="1"/>
  <c r="AO143" i="35" s="1"/>
  <c r="AJ143" i="35"/>
  <c r="AK143" i="35" s="1"/>
  <c r="AL143" i="35" s="1"/>
  <c r="AJ142" i="35"/>
  <c r="AK142" i="35" s="1"/>
  <c r="AL142" i="35" s="1"/>
  <c r="AM142" i="35"/>
  <c r="AN142" i="35" s="1"/>
  <c r="AO142" i="35" s="1"/>
  <c r="AI142" i="35"/>
  <c r="AJ150" i="35"/>
  <c r="AK150" i="35" s="1"/>
  <c r="AL150" i="35" s="1"/>
  <c r="AM150" i="35"/>
  <c r="AN150" i="35" s="1"/>
  <c r="AO150" i="35" s="1"/>
  <c r="AM149" i="35"/>
  <c r="AN149" i="35" s="1"/>
  <c r="AO149" i="35" s="1"/>
  <c r="AJ149" i="35"/>
  <c r="AK149" i="35" s="1"/>
  <c r="AL149" i="35" s="1"/>
  <c r="AM157" i="35"/>
  <c r="AN157" i="35" s="1"/>
  <c r="AO157" i="35" s="1"/>
  <c r="AJ157" i="35"/>
  <c r="AK157" i="35" s="1"/>
  <c r="AL157" i="35" s="1"/>
  <c r="AJ156" i="35"/>
  <c r="AK156" i="35" s="1"/>
  <c r="AL156" i="35" s="1"/>
  <c r="AM156" i="35"/>
  <c r="AN156" i="35" s="1"/>
  <c r="AO156" i="35" s="1"/>
  <c r="AS145" i="35"/>
  <c r="AT145" i="35"/>
  <c r="J49" i="35"/>
  <c r="O179" i="41" l="1"/>
  <c r="P179" i="41" s="1"/>
  <c r="Q179" i="41" s="1"/>
  <c r="O177" i="41"/>
  <c r="P177" i="41" s="1"/>
  <c r="Q177" i="41" s="1"/>
  <c r="O169" i="41"/>
  <c r="P169" i="41" s="1"/>
  <c r="Q169" i="41" s="1"/>
  <c r="AH172" i="41"/>
  <c r="AH185" i="41"/>
  <c r="O170" i="41"/>
  <c r="P170" i="41" s="1"/>
  <c r="Q170" i="41" s="1"/>
  <c r="AH174" i="41"/>
  <c r="AJ174" i="41" s="1"/>
  <c r="AK174" i="41" s="1"/>
  <c r="AL174" i="41" s="1"/>
  <c r="O178" i="41"/>
  <c r="P178" i="41" s="1"/>
  <c r="Q178" i="41" s="1"/>
  <c r="AH173" i="41"/>
  <c r="O166" i="41"/>
  <c r="P166" i="41" s="1"/>
  <c r="O183" i="41"/>
  <c r="P183" i="41" s="1"/>
  <c r="Q183" i="41" s="1"/>
  <c r="AH166" i="41"/>
  <c r="O180" i="41"/>
  <c r="P180" i="41" s="1"/>
  <c r="Q180" i="41" s="1"/>
  <c r="AH182" i="41"/>
  <c r="C171" i="39"/>
  <c r="O182" i="39" s="1"/>
  <c r="P182" i="39" s="1"/>
  <c r="Q182" i="39" s="1"/>
  <c r="AE140" i="42"/>
  <c r="AE142" i="37"/>
  <c r="AT142" i="37"/>
  <c r="O171" i="41"/>
  <c r="P171" i="41" s="1"/>
  <c r="Q171" i="41" s="1"/>
  <c r="AH168" i="41"/>
  <c r="AM168" i="41" s="1"/>
  <c r="AN168" i="41" s="1"/>
  <c r="AO168" i="41" s="1"/>
  <c r="O176" i="41"/>
  <c r="P176" i="41" s="1"/>
  <c r="Q176" i="41" s="1"/>
  <c r="O182" i="41"/>
  <c r="P182" i="41" s="1"/>
  <c r="Q182" i="41" s="1"/>
  <c r="O175" i="41"/>
  <c r="P175" i="41" s="1"/>
  <c r="Q175" i="41" s="1"/>
  <c r="O181" i="41"/>
  <c r="P181" i="41" s="1"/>
  <c r="Q181" i="41" s="1"/>
  <c r="O167" i="41"/>
  <c r="P167" i="41" s="1"/>
  <c r="Q167" i="41" s="1"/>
  <c r="J166" i="41"/>
  <c r="K166" i="41" s="1"/>
  <c r="L166" i="41" s="1"/>
  <c r="M166" i="41" s="1"/>
  <c r="N166" i="41" s="1"/>
  <c r="Q166" i="41" s="1"/>
  <c r="S166" i="41" s="1"/>
  <c r="T166" i="41" s="1"/>
  <c r="AH170" i="41"/>
  <c r="AM170" i="41" s="1"/>
  <c r="AN170" i="41" s="1"/>
  <c r="AO170" i="41" s="1"/>
  <c r="AH178" i="41"/>
  <c r="AM178" i="41" s="1"/>
  <c r="AN178" i="41" s="1"/>
  <c r="AO178" i="41" s="1"/>
  <c r="O173" i="41"/>
  <c r="P173" i="41" s="1"/>
  <c r="Q173" i="41" s="1"/>
  <c r="AH177" i="41"/>
  <c r="AJ177" i="41" s="1"/>
  <c r="AK177" i="41" s="1"/>
  <c r="AL177" i="41" s="1"/>
  <c r="O185" i="41"/>
  <c r="P185" i="41" s="1"/>
  <c r="Q185" i="41" s="1"/>
  <c r="AH169" i="41"/>
  <c r="O174" i="41"/>
  <c r="P174" i="41" s="1"/>
  <c r="Q174" i="41" s="1"/>
  <c r="O184" i="41"/>
  <c r="P184" i="41" s="1"/>
  <c r="Q184" i="41" s="1"/>
  <c r="AH181" i="41"/>
  <c r="X139" i="39"/>
  <c r="Z139" i="39" s="1"/>
  <c r="AM162" i="39"/>
  <c r="AN162" i="39" s="1"/>
  <c r="AO162" i="39" s="1"/>
  <c r="AP165" i="39" s="1"/>
  <c r="AH167" i="41"/>
  <c r="AJ167" i="41" s="1"/>
  <c r="AK167" i="41" s="1"/>
  <c r="AL167" i="41" s="1"/>
  <c r="AH171" i="41"/>
  <c r="AJ171" i="41" s="1"/>
  <c r="AK171" i="41" s="1"/>
  <c r="AL171" i="41" s="1"/>
  <c r="O168" i="41"/>
  <c r="P168" i="41" s="1"/>
  <c r="Q168" i="41" s="1"/>
  <c r="O172" i="41"/>
  <c r="P172" i="41" s="1"/>
  <c r="Q172" i="41" s="1"/>
  <c r="AH176" i="41"/>
  <c r="AM176" i="41" s="1"/>
  <c r="AN176" i="41" s="1"/>
  <c r="AO176" i="41" s="1"/>
  <c r="AH180" i="41"/>
  <c r="AI180" i="41" s="1"/>
  <c r="AH184" i="41"/>
  <c r="AJ184" i="41" s="1"/>
  <c r="AK184" i="41" s="1"/>
  <c r="AL184" i="41" s="1"/>
  <c r="AH175" i="41"/>
  <c r="AM175" i="41" s="1"/>
  <c r="AN175" i="41" s="1"/>
  <c r="AO175" i="41" s="1"/>
  <c r="AH179" i="41"/>
  <c r="AI179" i="41" s="1"/>
  <c r="AS141" i="35"/>
  <c r="AS138" i="35"/>
  <c r="C8" i="35" s="1"/>
  <c r="AT143" i="36"/>
  <c r="AE143" i="36"/>
  <c r="AT143" i="41"/>
  <c r="AE143" i="41"/>
  <c r="AM166" i="37"/>
  <c r="AN166" i="37" s="1"/>
  <c r="AO166" i="37" s="1"/>
  <c r="X142" i="37"/>
  <c r="Z142" i="37" s="1"/>
  <c r="AM169" i="37"/>
  <c r="AN169" i="37" s="1"/>
  <c r="AO169" i="37" s="1"/>
  <c r="C174" i="37"/>
  <c r="AJ166" i="41"/>
  <c r="AK166" i="41" s="1"/>
  <c r="AL166" i="41" s="1"/>
  <c r="AM166" i="41"/>
  <c r="AN166" i="41" s="1"/>
  <c r="AO166" i="41" s="1"/>
  <c r="AI166" i="41"/>
  <c r="C172" i="42"/>
  <c r="AM166" i="42"/>
  <c r="AN166" i="42" s="1"/>
  <c r="AO166" i="42" s="1"/>
  <c r="AM163" i="42"/>
  <c r="AN163" i="42" s="1"/>
  <c r="AO163" i="42" s="1"/>
  <c r="X140" i="42"/>
  <c r="Z140" i="42" s="1"/>
  <c r="R141" i="39"/>
  <c r="V140" i="39"/>
  <c r="BH216" i="40"/>
  <c r="AT143" i="37"/>
  <c r="AE143" i="37"/>
  <c r="V144" i="36"/>
  <c r="R145" i="36"/>
  <c r="S145" i="36" s="1"/>
  <c r="T145" i="36" s="1"/>
  <c r="BG169" i="42"/>
  <c r="BG169" i="39"/>
  <c r="AM171" i="41"/>
  <c r="AN171" i="41" s="1"/>
  <c r="AO171" i="41" s="1"/>
  <c r="AI171" i="41"/>
  <c r="AJ176" i="41"/>
  <c r="AK176" i="41" s="1"/>
  <c r="AL176" i="41" s="1"/>
  <c r="AI176" i="41"/>
  <c r="AJ180" i="41"/>
  <c r="AK180" i="41" s="1"/>
  <c r="AL180" i="41" s="1"/>
  <c r="AJ183" i="41"/>
  <c r="AK183" i="41" s="1"/>
  <c r="AL183" i="41" s="1"/>
  <c r="AM183" i="41"/>
  <c r="AN183" i="41" s="1"/>
  <c r="AO183" i="41" s="1"/>
  <c r="AI183" i="41"/>
  <c r="T145" i="41"/>
  <c r="S146" i="41"/>
  <c r="S142" i="39"/>
  <c r="T141" i="39"/>
  <c r="S143" i="42"/>
  <c r="T142" i="42"/>
  <c r="R145" i="40"/>
  <c r="V144" i="40"/>
  <c r="BG179" i="38"/>
  <c r="BH229" i="41"/>
  <c r="T140" i="38"/>
  <c r="S141" i="38"/>
  <c r="R145" i="37"/>
  <c r="S145" i="37" s="1"/>
  <c r="T145" i="37" s="1"/>
  <c r="V144" i="37"/>
  <c r="BH244" i="37"/>
  <c r="X142" i="40"/>
  <c r="Z142" i="40" s="1"/>
  <c r="C164" i="40"/>
  <c r="AM160" i="40"/>
  <c r="AN160" i="40" s="1"/>
  <c r="AO160" i="40" s="1"/>
  <c r="AP160" i="40" s="1"/>
  <c r="AJ172" i="41"/>
  <c r="AK172" i="41" s="1"/>
  <c r="AL172" i="41" s="1"/>
  <c r="AM172" i="41"/>
  <c r="AN172" i="41" s="1"/>
  <c r="AO172" i="41" s="1"/>
  <c r="AI172" i="41"/>
  <c r="AJ168" i="41"/>
  <c r="AK168" i="41" s="1"/>
  <c r="AL168" i="41" s="1"/>
  <c r="AI168" i="41"/>
  <c r="C174" i="36"/>
  <c r="AM166" i="36"/>
  <c r="AN166" i="36" s="1"/>
  <c r="AO166" i="36" s="1"/>
  <c r="X142" i="36"/>
  <c r="Z142" i="36" s="1"/>
  <c r="AM169" i="36"/>
  <c r="AN169" i="36" s="1"/>
  <c r="AO169" i="36" s="1"/>
  <c r="R145" i="41"/>
  <c r="V144" i="41"/>
  <c r="R142" i="42"/>
  <c r="V141" i="42"/>
  <c r="S146" i="40"/>
  <c r="T145" i="40"/>
  <c r="R140" i="38"/>
  <c r="V139" i="38"/>
  <c r="X138" i="38"/>
  <c r="Z138" i="38" s="1"/>
  <c r="C171" i="38"/>
  <c r="AM161" i="38"/>
  <c r="AN161" i="38" s="1"/>
  <c r="AO161" i="38" s="1"/>
  <c r="AM164" i="38"/>
  <c r="AN164" i="38" s="1"/>
  <c r="AO164" i="38" s="1"/>
  <c r="AT143" i="40"/>
  <c r="AE143" i="40"/>
  <c r="AH182" i="39"/>
  <c r="AH180" i="39"/>
  <c r="AI180" i="39" s="1"/>
  <c r="AH178" i="39"/>
  <c r="AI178" i="39" s="1"/>
  <c r="AH176" i="39"/>
  <c r="AI176" i="39" s="1"/>
  <c r="O175" i="39"/>
  <c r="P175" i="39" s="1"/>
  <c r="Q175" i="39" s="1"/>
  <c r="O173" i="39"/>
  <c r="P173" i="39" s="1"/>
  <c r="Q173" i="39" s="1"/>
  <c r="AH181" i="39"/>
  <c r="AH179" i="39"/>
  <c r="AI179" i="39" s="1"/>
  <c r="C8" i="36"/>
  <c r="AJ169" i="41"/>
  <c r="AK169" i="41" s="1"/>
  <c r="AL169" i="41" s="1"/>
  <c r="AM169" i="41"/>
  <c r="AN169" i="41" s="1"/>
  <c r="AO169" i="41" s="1"/>
  <c r="AI169" i="41"/>
  <c r="AI174" i="41"/>
  <c r="AI178" i="41"/>
  <c r="AJ182" i="41"/>
  <c r="AK182" i="41" s="1"/>
  <c r="AL182" i="41" s="1"/>
  <c r="AM182" i="41"/>
  <c r="AN182" i="41" s="1"/>
  <c r="AO182" i="41" s="1"/>
  <c r="AI182" i="41"/>
  <c r="AJ173" i="41"/>
  <c r="AK173" i="41" s="1"/>
  <c r="AL173" i="41" s="1"/>
  <c r="AM173" i="41"/>
  <c r="AN173" i="41" s="1"/>
  <c r="AO173" i="41" s="1"/>
  <c r="AI173" i="41"/>
  <c r="AI177" i="41"/>
  <c r="AJ181" i="41"/>
  <c r="AK181" i="41" s="1"/>
  <c r="AL181" i="41" s="1"/>
  <c r="AM181" i="41"/>
  <c r="AN181" i="41" s="1"/>
  <c r="AO181" i="41" s="1"/>
  <c r="AI181" i="41"/>
  <c r="AJ185" i="41"/>
  <c r="AK185" i="41" s="1"/>
  <c r="AL185" i="41" s="1"/>
  <c r="AM185" i="41"/>
  <c r="AN185" i="41" s="1"/>
  <c r="AO185" i="41" s="1"/>
  <c r="BH231" i="36"/>
  <c r="AS150" i="35"/>
  <c r="AT150" i="35"/>
  <c r="BG166" i="35"/>
  <c r="AS155" i="35"/>
  <c r="AT155" i="35"/>
  <c r="AS157" i="35"/>
  <c r="AT157" i="35"/>
  <c r="AS148" i="35"/>
  <c r="AT148" i="35"/>
  <c r="AS146" i="35"/>
  <c r="AT146" i="35"/>
  <c r="AS147" i="35"/>
  <c r="AT147" i="35"/>
  <c r="T139" i="35"/>
  <c r="S140" i="35"/>
  <c r="AT156" i="35"/>
  <c r="AS156" i="35"/>
  <c r="AS143" i="35"/>
  <c r="AT143" i="35"/>
  <c r="AS153" i="35"/>
  <c r="AT153" i="35"/>
  <c r="AI159" i="35"/>
  <c r="AS151" i="35"/>
  <c r="AT151" i="35"/>
  <c r="AS149" i="35"/>
  <c r="AT149" i="35"/>
  <c r="AS142" i="35"/>
  <c r="AT152" i="35"/>
  <c r="AS152" i="35"/>
  <c r="AS154" i="35"/>
  <c r="AT154" i="35"/>
  <c r="AT138" i="35"/>
  <c r="AE138" i="35"/>
  <c r="AT144" i="35"/>
  <c r="AS144" i="35"/>
  <c r="AJ170" i="41" l="1"/>
  <c r="AK170" i="41" s="1"/>
  <c r="AL170" i="41" s="1"/>
  <c r="AJ178" i="41"/>
  <c r="AK178" i="41" s="1"/>
  <c r="AL178" i="41" s="1"/>
  <c r="AM177" i="41"/>
  <c r="AN177" i="41" s="1"/>
  <c r="AO177" i="41" s="1"/>
  <c r="AM184" i="41"/>
  <c r="AN184" i="41" s="1"/>
  <c r="AO184" i="41" s="1"/>
  <c r="AM174" i="41"/>
  <c r="AN174" i="41" s="1"/>
  <c r="AO174" i="41" s="1"/>
  <c r="AI170" i="41"/>
  <c r="AM180" i="41"/>
  <c r="AN180" i="41" s="1"/>
  <c r="AO180" i="41" s="1"/>
  <c r="O172" i="39"/>
  <c r="P172" i="39" s="1"/>
  <c r="Q172" i="39" s="1"/>
  <c r="O179" i="39"/>
  <c r="P179" i="39" s="1"/>
  <c r="Q179" i="39" s="1"/>
  <c r="AH171" i="39"/>
  <c r="AI171" i="39" s="1"/>
  <c r="O176" i="39"/>
  <c r="P176" i="39" s="1"/>
  <c r="Q176" i="39" s="1"/>
  <c r="O178" i="39"/>
  <c r="P178" i="39" s="1"/>
  <c r="Q178" i="39" s="1"/>
  <c r="AH175" i="39"/>
  <c r="AI175" i="39" s="1"/>
  <c r="AH172" i="39"/>
  <c r="AI172" i="39" s="1"/>
  <c r="AJ172" i="39" s="1"/>
  <c r="AK172" i="39" s="1"/>
  <c r="AL172" i="39" s="1"/>
  <c r="O180" i="39"/>
  <c r="P180" i="39" s="1"/>
  <c r="Q180" i="39" s="1"/>
  <c r="O177" i="39"/>
  <c r="P177" i="39" s="1"/>
  <c r="Q177" i="39" s="1"/>
  <c r="O174" i="39"/>
  <c r="P174" i="39" s="1"/>
  <c r="Q174" i="39" s="1"/>
  <c r="O181" i="39"/>
  <c r="P181" i="39" s="1"/>
  <c r="Q181" i="39" s="1"/>
  <c r="AH173" i="39"/>
  <c r="AI173" i="39" s="1"/>
  <c r="J171" i="39"/>
  <c r="P171" i="39" s="1"/>
  <c r="Q171" i="39" s="1"/>
  <c r="S171" i="39" s="1"/>
  <c r="T171" i="39" s="1"/>
  <c r="AH177" i="39"/>
  <c r="AI177" i="39" s="1"/>
  <c r="AH174" i="39"/>
  <c r="AI174" i="39" s="1"/>
  <c r="AJ179" i="41"/>
  <c r="AK179" i="41" s="1"/>
  <c r="AL179" i="41" s="1"/>
  <c r="AS179" i="41" s="1"/>
  <c r="AM179" i="41"/>
  <c r="AN179" i="41" s="1"/>
  <c r="AO179" i="41" s="1"/>
  <c r="AM167" i="41"/>
  <c r="AN167" i="41" s="1"/>
  <c r="AO167" i="41" s="1"/>
  <c r="AS167" i="41" s="1"/>
  <c r="AI167" i="41"/>
  <c r="R167" i="41"/>
  <c r="S167" i="41" s="1"/>
  <c r="S168" i="41" s="1"/>
  <c r="V166" i="41"/>
  <c r="AE166" i="41" s="1"/>
  <c r="AI175" i="41"/>
  <c r="AS174" i="41"/>
  <c r="AJ175" i="41"/>
  <c r="AK175" i="41" s="1"/>
  <c r="AL175" i="41" s="1"/>
  <c r="AS175" i="41" s="1"/>
  <c r="AS170" i="41"/>
  <c r="AS177" i="41"/>
  <c r="AS178" i="41"/>
  <c r="AS183" i="41"/>
  <c r="AS181" i="41"/>
  <c r="AS176" i="41"/>
  <c r="AP164" i="38"/>
  <c r="AS171" i="41"/>
  <c r="AS172" i="41"/>
  <c r="AS185" i="41"/>
  <c r="AT185" i="41"/>
  <c r="AS182" i="41"/>
  <c r="AJ173" i="39"/>
  <c r="AK173" i="39" s="1"/>
  <c r="AL173" i="39" s="1"/>
  <c r="AM173" i="39"/>
  <c r="AN173" i="39" s="1"/>
  <c r="AO173" i="39" s="1"/>
  <c r="AM174" i="39"/>
  <c r="AN174" i="39" s="1"/>
  <c r="AO174" i="39" s="1"/>
  <c r="AJ174" i="39"/>
  <c r="AK174" i="39" s="1"/>
  <c r="AL174" i="39" s="1"/>
  <c r="R146" i="40"/>
  <c r="V145" i="40"/>
  <c r="AP169" i="36"/>
  <c r="AS168" i="41"/>
  <c r="R141" i="38"/>
  <c r="V140" i="38"/>
  <c r="BG180" i="38"/>
  <c r="S144" i="42"/>
  <c r="T143" i="42"/>
  <c r="AS180" i="41"/>
  <c r="AP166" i="42"/>
  <c r="AH198" i="37"/>
  <c r="O198" i="37"/>
  <c r="P198" i="37" s="1"/>
  <c r="Q198" i="37" s="1"/>
  <c r="AH199" i="37"/>
  <c r="O199" i="37"/>
  <c r="P199" i="37" s="1"/>
  <c r="Q199" i="37" s="1"/>
  <c r="O174" i="37"/>
  <c r="P174" i="37" s="1"/>
  <c r="AH196" i="37"/>
  <c r="O196" i="37"/>
  <c r="P196" i="37" s="1"/>
  <c r="Q196" i="37" s="1"/>
  <c r="AH194" i="37"/>
  <c r="O194" i="37"/>
  <c r="P194" i="37" s="1"/>
  <c r="Q194" i="37" s="1"/>
  <c r="AH192" i="37"/>
  <c r="O192" i="37"/>
  <c r="P192" i="37" s="1"/>
  <c r="Q192" i="37" s="1"/>
  <c r="AH190" i="37"/>
  <c r="O190" i="37"/>
  <c r="P190" i="37" s="1"/>
  <c r="Q190" i="37" s="1"/>
  <c r="AH188" i="37"/>
  <c r="O188" i="37"/>
  <c r="P188" i="37" s="1"/>
  <c r="Q188" i="37" s="1"/>
  <c r="AH186" i="37"/>
  <c r="O186" i="37"/>
  <c r="P186" i="37" s="1"/>
  <c r="Q186" i="37" s="1"/>
  <c r="AH184" i="37"/>
  <c r="O184" i="37"/>
  <c r="P184" i="37" s="1"/>
  <c r="Q184" i="37" s="1"/>
  <c r="AH182" i="37"/>
  <c r="O182" i="37"/>
  <c r="P182" i="37" s="1"/>
  <c r="Q182" i="37" s="1"/>
  <c r="AH180" i="37"/>
  <c r="O180" i="37"/>
  <c r="P180" i="37" s="1"/>
  <c r="Q180" i="37" s="1"/>
  <c r="AH178" i="37"/>
  <c r="O178" i="37"/>
  <c r="P178" i="37" s="1"/>
  <c r="Q178" i="37" s="1"/>
  <c r="AH176" i="37"/>
  <c r="O176" i="37"/>
  <c r="P176" i="37" s="1"/>
  <c r="Q176" i="37" s="1"/>
  <c r="AH174" i="37"/>
  <c r="J174" i="37"/>
  <c r="K174" i="37" s="1"/>
  <c r="L174" i="37" s="1"/>
  <c r="M174" i="37" s="1"/>
  <c r="N174" i="37" s="1"/>
  <c r="AH197" i="37"/>
  <c r="O197" i="37"/>
  <c r="P197" i="37" s="1"/>
  <c r="Q197" i="37" s="1"/>
  <c r="AH195" i="37"/>
  <c r="O195" i="37"/>
  <c r="P195" i="37" s="1"/>
  <c r="Q195" i="37" s="1"/>
  <c r="AH193" i="37"/>
  <c r="O193" i="37"/>
  <c r="P193" i="37" s="1"/>
  <c r="Q193" i="37" s="1"/>
  <c r="AH191" i="37"/>
  <c r="O191" i="37"/>
  <c r="P191" i="37" s="1"/>
  <c r="Q191" i="37" s="1"/>
  <c r="AH189" i="37"/>
  <c r="O189" i="37"/>
  <c r="P189" i="37" s="1"/>
  <c r="Q189" i="37" s="1"/>
  <c r="AH187" i="37"/>
  <c r="O187" i="37"/>
  <c r="P187" i="37" s="1"/>
  <c r="Q187" i="37" s="1"/>
  <c r="AH185" i="37"/>
  <c r="O185" i="37"/>
  <c r="P185" i="37" s="1"/>
  <c r="Q185" i="37" s="1"/>
  <c r="AH183" i="37"/>
  <c r="O183" i="37"/>
  <c r="P183" i="37" s="1"/>
  <c r="Q183" i="37" s="1"/>
  <c r="AH181" i="37"/>
  <c r="O181" i="37"/>
  <c r="P181" i="37" s="1"/>
  <c r="Q181" i="37" s="1"/>
  <c r="AH179" i="37"/>
  <c r="O179" i="37"/>
  <c r="P179" i="37" s="1"/>
  <c r="Q179" i="37" s="1"/>
  <c r="AH177" i="37"/>
  <c r="O177" i="37"/>
  <c r="P177" i="37" s="1"/>
  <c r="Q177" i="37" s="1"/>
  <c r="AH175" i="37"/>
  <c r="O175" i="37"/>
  <c r="P175" i="37" s="1"/>
  <c r="Q175" i="37" s="1"/>
  <c r="AS173" i="41"/>
  <c r="AS169" i="41"/>
  <c r="AJ175" i="39"/>
  <c r="AK175" i="39" s="1"/>
  <c r="AL175" i="39" s="1"/>
  <c r="AM175" i="39"/>
  <c r="AN175" i="39" s="1"/>
  <c r="AO175" i="39" s="1"/>
  <c r="AM176" i="39"/>
  <c r="AN176" i="39" s="1"/>
  <c r="AO176" i="39" s="1"/>
  <c r="AJ176" i="39"/>
  <c r="AK176" i="39" s="1"/>
  <c r="AL176" i="39" s="1"/>
  <c r="AT139" i="38"/>
  <c r="AE139" i="38"/>
  <c r="S147" i="40"/>
  <c r="T146" i="40"/>
  <c r="AT144" i="41"/>
  <c r="AE144" i="41"/>
  <c r="AH199" i="36"/>
  <c r="AI199" i="36" s="1"/>
  <c r="O199" i="36"/>
  <c r="P199" i="36" s="1"/>
  <c r="Q199" i="36" s="1"/>
  <c r="AH198" i="36"/>
  <c r="AI198" i="36" s="1"/>
  <c r="O198" i="36"/>
  <c r="P198" i="36" s="1"/>
  <c r="Q198" i="36" s="1"/>
  <c r="AH197" i="36"/>
  <c r="AI197" i="36" s="1"/>
  <c r="O197" i="36"/>
  <c r="P197" i="36" s="1"/>
  <c r="Q197" i="36" s="1"/>
  <c r="AH196" i="36"/>
  <c r="AI196" i="36" s="1"/>
  <c r="O196" i="36"/>
  <c r="P196" i="36" s="1"/>
  <c r="Q196" i="36" s="1"/>
  <c r="AH195" i="36"/>
  <c r="AI195" i="36" s="1"/>
  <c r="O195" i="36"/>
  <c r="P195" i="36" s="1"/>
  <c r="Q195" i="36" s="1"/>
  <c r="AH194" i="36"/>
  <c r="O194" i="36"/>
  <c r="P194" i="36" s="1"/>
  <c r="Q194" i="36" s="1"/>
  <c r="AH193" i="36"/>
  <c r="O193" i="36"/>
  <c r="P193" i="36" s="1"/>
  <c r="Q193" i="36" s="1"/>
  <c r="AH192" i="36"/>
  <c r="O192" i="36"/>
  <c r="P192" i="36" s="1"/>
  <c r="Q192" i="36" s="1"/>
  <c r="AH191" i="36"/>
  <c r="O191" i="36"/>
  <c r="P191" i="36" s="1"/>
  <c r="Q191" i="36" s="1"/>
  <c r="AH190" i="36"/>
  <c r="O190" i="36"/>
  <c r="P190" i="36" s="1"/>
  <c r="Q190" i="36" s="1"/>
  <c r="AH189" i="36"/>
  <c r="O189" i="36"/>
  <c r="P189" i="36" s="1"/>
  <c r="Q189" i="36" s="1"/>
  <c r="AH188" i="36"/>
  <c r="O188" i="36"/>
  <c r="P188" i="36" s="1"/>
  <c r="Q188" i="36" s="1"/>
  <c r="AH187" i="36"/>
  <c r="O187" i="36"/>
  <c r="P187" i="36" s="1"/>
  <c r="Q187" i="36" s="1"/>
  <c r="AH186" i="36"/>
  <c r="O186" i="36"/>
  <c r="P186" i="36" s="1"/>
  <c r="Q186" i="36" s="1"/>
  <c r="AH185" i="36"/>
  <c r="O185" i="36"/>
  <c r="P185" i="36" s="1"/>
  <c r="Q185" i="36" s="1"/>
  <c r="AH184" i="36"/>
  <c r="O184" i="36"/>
  <c r="P184" i="36" s="1"/>
  <c r="Q184" i="36" s="1"/>
  <c r="AH183" i="36"/>
  <c r="O174" i="36"/>
  <c r="P174" i="36" s="1"/>
  <c r="O183" i="36"/>
  <c r="P183" i="36" s="1"/>
  <c r="Q183" i="36" s="1"/>
  <c r="AH182" i="36"/>
  <c r="O182" i="36"/>
  <c r="P182" i="36" s="1"/>
  <c r="Q182" i="36" s="1"/>
  <c r="AH181" i="36"/>
  <c r="O181" i="36"/>
  <c r="P181" i="36" s="1"/>
  <c r="Q181" i="36" s="1"/>
  <c r="AH180" i="36"/>
  <c r="O180" i="36"/>
  <c r="P180" i="36" s="1"/>
  <c r="Q180" i="36" s="1"/>
  <c r="AH179" i="36"/>
  <c r="O179" i="36"/>
  <c r="P179" i="36" s="1"/>
  <c r="Q179" i="36" s="1"/>
  <c r="AH178" i="36"/>
  <c r="O178" i="36"/>
  <c r="P178" i="36" s="1"/>
  <c r="Q178" i="36" s="1"/>
  <c r="AH177" i="36"/>
  <c r="O177" i="36"/>
  <c r="P177" i="36" s="1"/>
  <c r="Q177" i="36" s="1"/>
  <c r="AH176" i="36"/>
  <c r="O176" i="36"/>
  <c r="P176" i="36" s="1"/>
  <c r="Q176" i="36" s="1"/>
  <c r="AH175" i="36"/>
  <c r="O175" i="36"/>
  <c r="P175" i="36" s="1"/>
  <c r="Q175" i="36" s="1"/>
  <c r="AH174" i="36"/>
  <c r="J174" i="36"/>
  <c r="K174" i="36" s="1"/>
  <c r="L174" i="36" s="1"/>
  <c r="M174" i="36" s="1"/>
  <c r="N174" i="36" s="1"/>
  <c r="AH182" i="40"/>
  <c r="O182" i="40"/>
  <c r="P182" i="40" s="1"/>
  <c r="Q182" i="40" s="1"/>
  <c r="AH180" i="40"/>
  <c r="O180" i="40"/>
  <c r="P180" i="40" s="1"/>
  <c r="Q180" i="40" s="1"/>
  <c r="AH178" i="40"/>
  <c r="O178" i="40"/>
  <c r="P178" i="40" s="1"/>
  <c r="Q178" i="40" s="1"/>
  <c r="AH176" i="40"/>
  <c r="O176" i="40"/>
  <c r="P176" i="40" s="1"/>
  <c r="Q176" i="40" s="1"/>
  <c r="AH174" i="40"/>
  <c r="O174" i="40"/>
  <c r="P174" i="40" s="1"/>
  <c r="Q174" i="40" s="1"/>
  <c r="AH172" i="40"/>
  <c r="O172" i="40"/>
  <c r="P172" i="40" s="1"/>
  <c r="Q172" i="40" s="1"/>
  <c r="AH170" i="40"/>
  <c r="AH183" i="40"/>
  <c r="O183" i="40"/>
  <c r="P183" i="40" s="1"/>
  <c r="Q183" i="40" s="1"/>
  <c r="AH181" i="40"/>
  <c r="O181" i="40"/>
  <c r="P181" i="40" s="1"/>
  <c r="Q181" i="40" s="1"/>
  <c r="AH179" i="40"/>
  <c r="O179" i="40"/>
  <c r="P179" i="40" s="1"/>
  <c r="Q179" i="40" s="1"/>
  <c r="AH177" i="40"/>
  <c r="O177" i="40"/>
  <c r="P177" i="40" s="1"/>
  <c r="Q177" i="40" s="1"/>
  <c r="AH175" i="40"/>
  <c r="O175" i="40"/>
  <c r="P175" i="40" s="1"/>
  <c r="Q175" i="40" s="1"/>
  <c r="AH173" i="40"/>
  <c r="O173" i="40"/>
  <c r="P173" i="40" s="1"/>
  <c r="Q173" i="40" s="1"/>
  <c r="AH171" i="40"/>
  <c r="O171" i="40"/>
  <c r="P171" i="40" s="1"/>
  <c r="Q171" i="40" s="1"/>
  <c r="AH169" i="40"/>
  <c r="O169" i="40"/>
  <c r="P169" i="40" s="1"/>
  <c r="Q169" i="40" s="1"/>
  <c r="AH168" i="40"/>
  <c r="O168" i="40"/>
  <c r="P168" i="40" s="1"/>
  <c r="Q168" i="40" s="1"/>
  <c r="AH166" i="40"/>
  <c r="O166" i="40"/>
  <c r="P166" i="40" s="1"/>
  <c r="Q166" i="40" s="1"/>
  <c r="AH164" i="40"/>
  <c r="J164" i="40"/>
  <c r="K164" i="40" s="1"/>
  <c r="L164" i="40" s="1"/>
  <c r="M164" i="40" s="1"/>
  <c r="N164" i="40" s="1"/>
  <c r="O170" i="40"/>
  <c r="P170" i="40" s="1"/>
  <c r="Q170" i="40" s="1"/>
  <c r="AH167" i="40"/>
  <c r="O167" i="40"/>
  <c r="P167" i="40" s="1"/>
  <c r="Q167" i="40" s="1"/>
  <c r="AH165" i="40"/>
  <c r="O165" i="40"/>
  <c r="P165" i="40" s="1"/>
  <c r="Q165" i="40" s="1"/>
  <c r="O164" i="40"/>
  <c r="P164" i="40" s="1"/>
  <c r="BH245" i="37"/>
  <c r="AT144" i="37"/>
  <c r="AE144" i="37"/>
  <c r="BH230" i="41"/>
  <c r="AT144" i="40"/>
  <c r="AE144" i="40"/>
  <c r="T146" i="41"/>
  <c r="S147" i="41"/>
  <c r="AT184" i="41"/>
  <c r="AS184" i="41"/>
  <c r="BG170" i="39"/>
  <c r="V145" i="36"/>
  <c r="R146" i="36"/>
  <c r="S146" i="36" s="1"/>
  <c r="T146" i="36" s="1"/>
  <c r="AE140" i="39"/>
  <c r="AT140" i="39"/>
  <c r="AI188" i="41"/>
  <c r="AJ177" i="39"/>
  <c r="AK177" i="39" s="1"/>
  <c r="AL177" i="39" s="1"/>
  <c r="AM177" i="39"/>
  <c r="AN177" i="39" s="1"/>
  <c r="AO177" i="39" s="1"/>
  <c r="V171" i="39"/>
  <c r="R172" i="39"/>
  <c r="S172" i="39" s="1"/>
  <c r="AM178" i="39"/>
  <c r="AN178" i="39" s="1"/>
  <c r="AO178" i="39" s="1"/>
  <c r="AJ178" i="39"/>
  <c r="AK178" i="39" s="1"/>
  <c r="AL178" i="39" s="1"/>
  <c r="O181" i="38"/>
  <c r="P181" i="38" s="1"/>
  <c r="Q181" i="38" s="1"/>
  <c r="O179" i="38"/>
  <c r="P179" i="38" s="1"/>
  <c r="Q179" i="38" s="1"/>
  <c r="O177" i="38"/>
  <c r="P177" i="38" s="1"/>
  <c r="Q177" i="38" s="1"/>
  <c r="O175" i="38"/>
  <c r="P175" i="38" s="1"/>
  <c r="Q175" i="38" s="1"/>
  <c r="J171" i="38"/>
  <c r="P171" i="38" s="1"/>
  <c r="Q171" i="38" s="1"/>
  <c r="S171" i="38" s="1"/>
  <c r="T171" i="38" s="1"/>
  <c r="AH181" i="38"/>
  <c r="AH179" i="38"/>
  <c r="AH177" i="38"/>
  <c r="AH175" i="38"/>
  <c r="O174" i="38"/>
  <c r="P174" i="38" s="1"/>
  <c r="Q174" i="38" s="1"/>
  <c r="O173" i="38"/>
  <c r="P173" i="38" s="1"/>
  <c r="Q173" i="38" s="1"/>
  <c r="O172" i="38"/>
  <c r="P172" i="38" s="1"/>
  <c r="Q172" i="38" s="1"/>
  <c r="O182" i="38"/>
  <c r="P182" i="38" s="1"/>
  <c r="Q182" i="38" s="1"/>
  <c r="O180" i="38"/>
  <c r="P180" i="38" s="1"/>
  <c r="Q180" i="38" s="1"/>
  <c r="O178" i="38"/>
  <c r="P178" i="38" s="1"/>
  <c r="Q178" i="38" s="1"/>
  <c r="O176" i="38"/>
  <c r="P176" i="38" s="1"/>
  <c r="Q176" i="38" s="1"/>
  <c r="AH174" i="38"/>
  <c r="AH173" i="38"/>
  <c r="AH172" i="38"/>
  <c r="AH171" i="38"/>
  <c r="AH182" i="38"/>
  <c r="AH180" i="38"/>
  <c r="AH178" i="38"/>
  <c r="AH176" i="38"/>
  <c r="AE141" i="42"/>
  <c r="AT141" i="42"/>
  <c r="R146" i="37"/>
  <c r="S146" i="37" s="1"/>
  <c r="T146" i="37" s="1"/>
  <c r="V145" i="37"/>
  <c r="R142" i="39"/>
  <c r="V141" i="39"/>
  <c r="R146" i="41"/>
  <c r="V145" i="41"/>
  <c r="BG170" i="42"/>
  <c r="AE144" i="36"/>
  <c r="AT144" i="36"/>
  <c r="O182" i="42"/>
  <c r="P182" i="42" s="1"/>
  <c r="Q182" i="42" s="1"/>
  <c r="O180" i="42"/>
  <c r="P180" i="42" s="1"/>
  <c r="Q180" i="42" s="1"/>
  <c r="O178" i="42"/>
  <c r="P178" i="42" s="1"/>
  <c r="Q178" i="42" s="1"/>
  <c r="O176" i="42"/>
  <c r="P176" i="42" s="1"/>
  <c r="Q176" i="42" s="1"/>
  <c r="AH182" i="42"/>
  <c r="AH180" i="42"/>
  <c r="AI180" i="42" s="1"/>
  <c r="AH178" i="42"/>
  <c r="AI178" i="42" s="1"/>
  <c r="AH176" i="42"/>
  <c r="AI176" i="42" s="1"/>
  <c r="AH174" i="42"/>
  <c r="AI174" i="42" s="1"/>
  <c r="AH172" i="42"/>
  <c r="AI172" i="42" s="1"/>
  <c r="O183" i="42"/>
  <c r="P183" i="42" s="1"/>
  <c r="Q183" i="42" s="1"/>
  <c r="O181" i="42"/>
  <c r="P181" i="42" s="1"/>
  <c r="Q181" i="42" s="1"/>
  <c r="O179" i="42"/>
  <c r="P179" i="42" s="1"/>
  <c r="Q179" i="42" s="1"/>
  <c r="O177" i="42"/>
  <c r="P177" i="42" s="1"/>
  <c r="Q177" i="42" s="1"/>
  <c r="AH183" i="42"/>
  <c r="AH181" i="42"/>
  <c r="AI181" i="42" s="1"/>
  <c r="AH179" i="42"/>
  <c r="AI179" i="42" s="1"/>
  <c r="AH177" i="42"/>
  <c r="AI177" i="42" s="1"/>
  <c r="AH175" i="42"/>
  <c r="AI175" i="42" s="1"/>
  <c r="AH173" i="42"/>
  <c r="AI173" i="42" s="1"/>
  <c r="O174" i="42"/>
  <c r="P174" i="42" s="1"/>
  <c r="Q174" i="42" s="1"/>
  <c r="J172" i="42"/>
  <c r="P172" i="42" s="1"/>
  <c r="Q172" i="42" s="1"/>
  <c r="S172" i="42" s="1"/>
  <c r="T172" i="42" s="1"/>
  <c r="O173" i="42"/>
  <c r="P173" i="42" s="1"/>
  <c r="Q173" i="42" s="1"/>
  <c r="O175" i="42"/>
  <c r="P175" i="42" s="1"/>
  <c r="Q175" i="42" s="1"/>
  <c r="AS166" i="41"/>
  <c r="BH232" i="36"/>
  <c r="AJ171" i="39"/>
  <c r="AK171" i="39" s="1"/>
  <c r="AL171" i="39" s="1"/>
  <c r="AM171" i="39"/>
  <c r="AN171" i="39" s="1"/>
  <c r="AO171" i="39" s="1"/>
  <c r="AI183" i="39"/>
  <c r="X171" i="39" s="1"/>
  <c r="Z171" i="39" s="1"/>
  <c r="AJ179" i="39"/>
  <c r="AK179" i="39" s="1"/>
  <c r="AL179" i="39" s="1"/>
  <c r="AM179" i="39"/>
  <c r="AN179" i="39" s="1"/>
  <c r="AO179" i="39" s="1"/>
  <c r="AM172" i="39"/>
  <c r="AN172" i="39" s="1"/>
  <c r="AO172" i="39" s="1"/>
  <c r="AM180" i="39"/>
  <c r="AN180" i="39" s="1"/>
  <c r="AO180" i="39" s="1"/>
  <c r="AJ180" i="39"/>
  <c r="AK180" i="39" s="1"/>
  <c r="AL180" i="39" s="1"/>
  <c r="S142" i="38"/>
  <c r="T141" i="38"/>
  <c r="R143" i="42"/>
  <c r="V142" i="42"/>
  <c r="T142" i="39"/>
  <c r="S143" i="39"/>
  <c r="BH217" i="40"/>
  <c r="AP169" i="37"/>
  <c r="R140" i="35"/>
  <c r="V139" i="35"/>
  <c r="BG167" i="35"/>
  <c r="C170" i="35"/>
  <c r="X138" i="35"/>
  <c r="Z138" i="35" s="1"/>
  <c r="AM164" i="35"/>
  <c r="AN164" i="35" s="1"/>
  <c r="AO164" i="35" s="1"/>
  <c r="AM161" i="35"/>
  <c r="AN161" i="35" s="1"/>
  <c r="AO161" i="35" s="1"/>
  <c r="T140" i="35"/>
  <c r="S141" i="35"/>
  <c r="T167" i="41" l="1"/>
  <c r="AT166" i="41"/>
  <c r="AP164" i="35"/>
  <c r="AS171" i="39"/>
  <c r="AS173" i="39"/>
  <c r="AS175" i="39"/>
  <c r="AJ181" i="42"/>
  <c r="AK181" i="42" s="1"/>
  <c r="AL181" i="42" s="1"/>
  <c r="AM181" i="42"/>
  <c r="AN181" i="42" s="1"/>
  <c r="AO181" i="42" s="1"/>
  <c r="Q174" i="36"/>
  <c r="S174" i="36" s="1"/>
  <c r="T174" i="36" s="1"/>
  <c r="V174" i="36" s="1"/>
  <c r="AS174" i="39"/>
  <c r="AS179" i="39"/>
  <c r="AS177" i="39"/>
  <c r="S143" i="38"/>
  <c r="T142" i="38"/>
  <c r="V167" i="41"/>
  <c r="R168" i="41"/>
  <c r="BH233" i="36"/>
  <c r="AJ175" i="42"/>
  <c r="AK175" i="42" s="1"/>
  <c r="AL175" i="42" s="1"/>
  <c r="AM175" i="42"/>
  <c r="AN175" i="42" s="1"/>
  <c r="AO175" i="42" s="1"/>
  <c r="AM178" i="42"/>
  <c r="AN178" i="42" s="1"/>
  <c r="AO178" i="42" s="1"/>
  <c r="AJ178" i="42"/>
  <c r="AK178" i="42" s="1"/>
  <c r="AL178" i="42" s="1"/>
  <c r="AJ176" i="38"/>
  <c r="AK176" i="38" s="1"/>
  <c r="AL176" i="38" s="1"/>
  <c r="AM176" i="38"/>
  <c r="AN176" i="38" s="1"/>
  <c r="AO176" i="38" s="1"/>
  <c r="AI176" i="38"/>
  <c r="AJ171" i="38"/>
  <c r="AK171" i="38" s="1"/>
  <c r="AL171" i="38" s="1"/>
  <c r="AM171" i="38"/>
  <c r="AN171" i="38" s="1"/>
  <c r="AO171" i="38" s="1"/>
  <c r="AI171" i="38"/>
  <c r="AM177" i="38"/>
  <c r="AN177" i="38" s="1"/>
  <c r="AO177" i="38" s="1"/>
  <c r="AI177" i="38"/>
  <c r="AJ177" i="38"/>
  <c r="AK177" i="38" s="1"/>
  <c r="AL177" i="38" s="1"/>
  <c r="AE145" i="36"/>
  <c r="AT145" i="36"/>
  <c r="R147" i="41"/>
  <c r="V146" i="41"/>
  <c r="Q164" i="40"/>
  <c r="S164" i="40" s="1"/>
  <c r="T164" i="40" s="1"/>
  <c r="AJ167" i="40"/>
  <c r="AK167" i="40" s="1"/>
  <c r="AL167" i="40" s="1"/>
  <c r="AM167" i="40"/>
  <c r="AN167" i="40" s="1"/>
  <c r="AO167" i="40" s="1"/>
  <c r="AI167" i="40"/>
  <c r="AM170" i="40"/>
  <c r="AN170" i="40" s="1"/>
  <c r="AO170" i="40" s="1"/>
  <c r="AI170" i="40"/>
  <c r="AJ170" i="40"/>
  <c r="AK170" i="40" s="1"/>
  <c r="AL170" i="40" s="1"/>
  <c r="AM174" i="40"/>
  <c r="AN174" i="40" s="1"/>
  <c r="AO174" i="40" s="1"/>
  <c r="AI174" i="40"/>
  <c r="AJ174" i="40"/>
  <c r="AK174" i="40" s="1"/>
  <c r="AL174" i="40" s="1"/>
  <c r="AM178" i="40"/>
  <c r="AN178" i="40" s="1"/>
  <c r="AO178" i="40" s="1"/>
  <c r="AI178" i="40"/>
  <c r="AJ178" i="40"/>
  <c r="AK178" i="40" s="1"/>
  <c r="AL178" i="40" s="1"/>
  <c r="AM182" i="40"/>
  <c r="AN182" i="40" s="1"/>
  <c r="AO182" i="40" s="1"/>
  <c r="AI182" i="40"/>
  <c r="AJ182" i="40"/>
  <c r="AK182" i="40" s="1"/>
  <c r="AL182" i="40" s="1"/>
  <c r="AJ175" i="36"/>
  <c r="AK175" i="36" s="1"/>
  <c r="AL175" i="36" s="1"/>
  <c r="AM175" i="36"/>
  <c r="AN175" i="36" s="1"/>
  <c r="AO175" i="36" s="1"/>
  <c r="AI175" i="36"/>
  <c r="AJ177" i="36"/>
  <c r="AK177" i="36" s="1"/>
  <c r="AL177" i="36" s="1"/>
  <c r="AM177" i="36"/>
  <c r="AN177" i="36" s="1"/>
  <c r="AO177" i="36" s="1"/>
  <c r="AI177" i="36"/>
  <c r="AJ179" i="36"/>
  <c r="AK179" i="36" s="1"/>
  <c r="AL179" i="36" s="1"/>
  <c r="AM179" i="36"/>
  <c r="AN179" i="36" s="1"/>
  <c r="AO179" i="36" s="1"/>
  <c r="AI179" i="36"/>
  <c r="AJ181" i="36"/>
  <c r="AK181" i="36" s="1"/>
  <c r="AL181" i="36" s="1"/>
  <c r="AM181" i="36"/>
  <c r="AN181" i="36" s="1"/>
  <c r="AO181" i="36" s="1"/>
  <c r="AI181" i="36"/>
  <c r="AJ199" i="37"/>
  <c r="AK199" i="37" s="1"/>
  <c r="AL199" i="37" s="1"/>
  <c r="AM199" i="37"/>
  <c r="AN199" i="37" s="1"/>
  <c r="AO199" i="37" s="1"/>
  <c r="AI199" i="37"/>
  <c r="R143" i="39"/>
  <c r="V142" i="39"/>
  <c r="AE142" i="42"/>
  <c r="AT142" i="42"/>
  <c r="AS172" i="39"/>
  <c r="S169" i="41"/>
  <c r="T168" i="41"/>
  <c r="R173" i="42"/>
  <c r="S173" i="42" s="1"/>
  <c r="V172" i="42"/>
  <c r="AJ177" i="42"/>
  <c r="AK177" i="42" s="1"/>
  <c r="AL177" i="42" s="1"/>
  <c r="AM177" i="42"/>
  <c r="AN177" i="42" s="1"/>
  <c r="AO177" i="42" s="1"/>
  <c r="AI184" i="42"/>
  <c r="X172" i="42" s="1"/>
  <c r="Z172" i="42" s="1"/>
  <c r="AJ172" i="42"/>
  <c r="AK172" i="42" s="1"/>
  <c r="AL172" i="42" s="1"/>
  <c r="AM172" i="42"/>
  <c r="AN172" i="42" s="1"/>
  <c r="AO172" i="42" s="1"/>
  <c r="AM180" i="42"/>
  <c r="AN180" i="42" s="1"/>
  <c r="AO180" i="42" s="1"/>
  <c r="AJ180" i="42"/>
  <c r="AK180" i="42" s="1"/>
  <c r="AL180" i="42" s="1"/>
  <c r="AT145" i="41"/>
  <c r="AE145" i="41"/>
  <c r="AT145" i="37"/>
  <c r="AE145" i="37"/>
  <c r="AJ178" i="38"/>
  <c r="AK178" i="38" s="1"/>
  <c r="AL178" i="38" s="1"/>
  <c r="AT178" i="38" s="1"/>
  <c r="AM178" i="38"/>
  <c r="AN178" i="38" s="1"/>
  <c r="AO178" i="38" s="1"/>
  <c r="AJ172" i="38"/>
  <c r="AK172" i="38" s="1"/>
  <c r="AL172" i="38" s="1"/>
  <c r="AM172" i="38"/>
  <c r="AN172" i="38" s="1"/>
  <c r="AO172" i="38" s="1"/>
  <c r="AI172" i="38"/>
  <c r="AM179" i="38"/>
  <c r="AN179" i="38" s="1"/>
  <c r="AO179" i="38" s="1"/>
  <c r="AJ179" i="38"/>
  <c r="AK179" i="38" s="1"/>
  <c r="AL179" i="38" s="1"/>
  <c r="AT179" i="38" s="1"/>
  <c r="AS178" i="39"/>
  <c r="C195" i="41"/>
  <c r="X166" i="41"/>
  <c r="Z166" i="41" s="1"/>
  <c r="BG171" i="39"/>
  <c r="BH231" i="41"/>
  <c r="AJ166" i="40"/>
  <c r="AK166" i="40" s="1"/>
  <c r="AL166" i="40" s="1"/>
  <c r="AM166" i="40"/>
  <c r="AN166" i="40" s="1"/>
  <c r="AO166" i="40" s="1"/>
  <c r="AI166" i="40"/>
  <c r="AM169" i="40"/>
  <c r="AN169" i="40" s="1"/>
  <c r="AO169" i="40" s="1"/>
  <c r="AI169" i="40"/>
  <c r="AJ169" i="40"/>
  <c r="AK169" i="40" s="1"/>
  <c r="AL169" i="40" s="1"/>
  <c r="AJ173" i="40"/>
  <c r="AK173" i="40" s="1"/>
  <c r="AL173" i="40" s="1"/>
  <c r="AM173" i="40"/>
  <c r="AN173" i="40" s="1"/>
  <c r="AO173" i="40" s="1"/>
  <c r="AI173" i="40"/>
  <c r="AJ177" i="40"/>
  <c r="AK177" i="40" s="1"/>
  <c r="AL177" i="40" s="1"/>
  <c r="AM177" i="40"/>
  <c r="AN177" i="40" s="1"/>
  <c r="AO177" i="40" s="1"/>
  <c r="AI177" i="40"/>
  <c r="AJ181" i="40"/>
  <c r="AK181" i="40" s="1"/>
  <c r="AL181" i="40" s="1"/>
  <c r="AM181" i="40"/>
  <c r="AN181" i="40" s="1"/>
  <c r="AO181" i="40" s="1"/>
  <c r="AI181" i="40"/>
  <c r="AM183" i="36"/>
  <c r="AN183" i="36" s="1"/>
  <c r="AO183" i="36" s="1"/>
  <c r="AI183" i="36"/>
  <c r="AJ183" i="36"/>
  <c r="AK183" i="36" s="1"/>
  <c r="AL183" i="36" s="1"/>
  <c r="AM185" i="36"/>
  <c r="AN185" i="36" s="1"/>
  <c r="AO185" i="36" s="1"/>
  <c r="AI185" i="36"/>
  <c r="AJ185" i="36"/>
  <c r="AK185" i="36" s="1"/>
  <c r="AL185" i="36" s="1"/>
  <c r="AM187" i="36"/>
  <c r="AN187" i="36" s="1"/>
  <c r="AO187" i="36" s="1"/>
  <c r="AI187" i="36"/>
  <c r="AJ187" i="36"/>
  <c r="AK187" i="36" s="1"/>
  <c r="AL187" i="36" s="1"/>
  <c r="AM189" i="36"/>
  <c r="AN189" i="36" s="1"/>
  <c r="AO189" i="36" s="1"/>
  <c r="AI189" i="36"/>
  <c r="AJ189" i="36"/>
  <c r="AK189" i="36" s="1"/>
  <c r="AL189" i="36" s="1"/>
  <c r="AM191" i="36"/>
  <c r="AN191" i="36" s="1"/>
  <c r="AO191" i="36" s="1"/>
  <c r="AI191" i="36"/>
  <c r="AJ191" i="36"/>
  <c r="AK191" i="36" s="1"/>
  <c r="AL191" i="36" s="1"/>
  <c r="AM193" i="36"/>
  <c r="AN193" i="36" s="1"/>
  <c r="AO193" i="36" s="1"/>
  <c r="AI193" i="36"/>
  <c r="AJ193" i="36"/>
  <c r="AK193" i="36" s="1"/>
  <c r="AL193" i="36" s="1"/>
  <c r="AM195" i="36"/>
  <c r="AN195" i="36" s="1"/>
  <c r="AO195" i="36" s="1"/>
  <c r="AJ195" i="36"/>
  <c r="AK195" i="36" s="1"/>
  <c r="AL195" i="36" s="1"/>
  <c r="AM197" i="36"/>
  <c r="AN197" i="36" s="1"/>
  <c r="AO197" i="36" s="1"/>
  <c r="AJ197" i="36"/>
  <c r="AK197" i="36" s="1"/>
  <c r="AL197" i="36" s="1"/>
  <c r="AM199" i="36"/>
  <c r="AN199" i="36" s="1"/>
  <c r="AO199" i="36" s="1"/>
  <c r="AJ199" i="36"/>
  <c r="AK199" i="36" s="1"/>
  <c r="AL199" i="36" s="1"/>
  <c r="R147" i="40"/>
  <c r="V146" i="40"/>
  <c r="AS176" i="39"/>
  <c r="AJ177" i="37"/>
  <c r="AK177" i="37" s="1"/>
  <c r="AL177" i="37" s="1"/>
  <c r="AM177" i="37"/>
  <c r="AN177" i="37" s="1"/>
  <c r="AO177" i="37" s="1"/>
  <c r="AI177" i="37"/>
  <c r="AJ181" i="37"/>
  <c r="AK181" i="37" s="1"/>
  <c r="AL181" i="37" s="1"/>
  <c r="AM181" i="37"/>
  <c r="AN181" i="37" s="1"/>
  <c r="AO181" i="37" s="1"/>
  <c r="AI181" i="37"/>
  <c r="AJ185" i="37"/>
  <c r="AK185" i="37" s="1"/>
  <c r="AL185" i="37" s="1"/>
  <c r="AM185" i="37"/>
  <c r="AN185" i="37" s="1"/>
  <c r="AO185" i="37" s="1"/>
  <c r="AI185" i="37"/>
  <c r="AJ189" i="37"/>
  <c r="AK189" i="37" s="1"/>
  <c r="AL189" i="37" s="1"/>
  <c r="AM189" i="37"/>
  <c r="AN189" i="37" s="1"/>
  <c r="AO189" i="37" s="1"/>
  <c r="AI189" i="37"/>
  <c r="AJ193" i="37"/>
  <c r="AK193" i="37" s="1"/>
  <c r="AL193" i="37" s="1"/>
  <c r="AM193" i="37"/>
  <c r="AN193" i="37" s="1"/>
  <c r="AO193" i="37" s="1"/>
  <c r="AI193" i="37"/>
  <c r="AJ197" i="37"/>
  <c r="AK197" i="37" s="1"/>
  <c r="AL197" i="37" s="1"/>
  <c r="AM197" i="37"/>
  <c r="AN197" i="37" s="1"/>
  <c r="AO197" i="37" s="1"/>
  <c r="AI197" i="37"/>
  <c r="AM176" i="37"/>
  <c r="AN176" i="37" s="1"/>
  <c r="AO176" i="37" s="1"/>
  <c r="AI176" i="37"/>
  <c r="AJ176" i="37"/>
  <c r="AK176" i="37" s="1"/>
  <c r="AL176" i="37" s="1"/>
  <c r="AM180" i="37"/>
  <c r="AN180" i="37" s="1"/>
  <c r="AO180" i="37" s="1"/>
  <c r="AI180" i="37"/>
  <c r="AJ180" i="37"/>
  <c r="AK180" i="37" s="1"/>
  <c r="AL180" i="37" s="1"/>
  <c r="AM184" i="37"/>
  <c r="AN184" i="37" s="1"/>
  <c r="AO184" i="37" s="1"/>
  <c r="AI184" i="37"/>
  <c r="AJ184" i="37"/>
  <c r="AK184" i="37" s="1"/>
  <c r="AL184" i="37" s="1"/>
  <c r="AM188" i="37"/>
  <c r="AN188" i="37" s="1"/>
  <c r="AO188" i="37" s="1"/>
  <c r="AI188" i="37"/>
  <c r="AJ188" i="37"/>
  <c r="AK188" i="37" s="1"/>
  <c r="AL188" i="37" s="1"/>
  <c r="AM192" i="37"/>
  <c r="AN192" i="37" s="1"/>
  <c r="AO192" i="37" s="1"/>
  <c r="AI192" i="37"/>
  <c r="AJ192" i="37"/>
  <c r="AK192" i="37" s="1"/>
  <c r="AL192" i="37" s="1"/>
  <c r="AM196" i="37"/>
  <c r="AN196" i="37" s="1"/>
  <c r="AO196" i="37" s="1"/>
  <c r="AI196" i="37"/>
  <c r="AJ196" i="37"/>
  <c r="AK196" i="37" s="1"/>
  <c r="AL196" i="37" s="1"/>
  <c r="BG181" i="38"/>
  <c r="R147" i="37"/>
  <c r="S147" i="37" s="1"/>
  <c r="T147" i="37" s="1"/>
  <c r="V146" i="37"/>
  <c r="AJ180" i="38"/>
  <c r="AK180" i="38" s="1"/>
  <c r="AL180" i="38" s="1"/>
  <c r="AT180" i="38" s="1"/>
  <c r="AM180" i="38"/>
  <c r="AN180" i="38" s="1"/>
  <c r="AO180" i="38" s="1"/>
  <c r="AJ173" i="38"/>
  <c r="AK173" i="38" s="1"/>
  <c r="AL173" i="38" s="1"/>
  <c r="AM173" i="38"/>
  <c r="AN173" i="38" s="1"/>
  <c r="AO173" i="38" s="1"/>
  <c r="AI173" i="38"/>
  <c r="AM181" i="38"/>
  <c r="AN181" i="38" s="1"/>
  <c r="AO181" i="38" s="1"/>
  <c r="AJ181" i="38"/>
  <c r="AK181" i="38" s="1"/>
  <c r="AL181" i="38" s="1"/>
  <c r="AT181" i="38" s="1"/>
  <c r="S173" i="39"/>
  <c r="T172" i="39"/>
  <c r="AJ165" i="40"/>
  <c r="AK165" i="40" s="1"/>
  <c r="AL165" i="40" s="1"/>
  <c r="AM165" i="40"/>
  <c r="AN165" i="40" s="1"/>
  <c r="AO165" i="40" s="1"/>
  <c r="AI165" i="40"/>
  <c r="AM172" i="40"/>
  <c r="AN172" i="40" s="1"/>
  <c r="AO172" i="40" s="1"/>
  <c r="AI172" i="40"/>
  <c r="AJ172" i="40"/>
  <c r="AK172" i="40" s="1"/>
  <c r="AL172" i="40" s="1"/>
  <c r="AM176" i="40"/>
  <c r="AN176" i="40" s="1"/>
  <c r="AO176" i="40" s="1"/>
  <c r="AI176" i="40"/>
  <c r="AJ176" i="40"/>
  <c r="AK176" i="40" s="1"/>
  <c r="AL176" i="40" s="1"/>
  <c r="AM180" i="40"/>
  <c r="AN180" i="40" s="1"/>
  <c r="AO180" i="40" s="1"/>
  <c r="AI180" i="40"/>
  <c r="AJ180" i="40"/>
  <c r="AK180" i="40" s="1"/>
  <c r="AL180" i="40" s="1"/>
  <c r="AJ174" i="36"/>
  <c r="AK174" i="36" s="1"/>
  <c r="AL174" i="36" s="1"/>
  <c r="AM174" i="36"/>
  <c r="AN174" i="36" s="1"/>
  <c r="AO174" i="36" s="1"/>
  <c r="AI174" i="36"/>
  <c r="AJ176" i="36"/>
  <c r="AK176" i="36" s="1"/>
  <c r="AL176" i="36" s="1"/>
  <c r="AM176" i="36"/>
  <c r="AN176" i="36" s="1"/>
  <c r="AO176" i="36" s="1"/>
  <c r="AI176" i="36"/>
  <c r="AJ178" i="36"/>
  <c r="AK178" i="36" s="1"/>
  <c r="AL178" i="36" s="1"/>
  <c r="AM178" i="36"/>
  <c r="AN178" i="36" s="1"/>
  <c r="AO178" i="36" s="1"/>
  <c r="AI178" i="36"/>
  <c r="AJ180" i="36"/>
  <c r="AK180" i="36" s="1"/>
  <c r="AL180" i="36" s="1"/>
  <c r="AM180" i="36"/>
  <c r="AN180" i="36" s="1"/>
  <c r="AO180" i="36" s="1"/>
  <c r="AI180" i="36"/>
  <c r="AJ182" i="36"/>
  <c r="AK182" i="36" s="1"/>
  <c r="AL182" i="36" s="1"/>
  <c r="AM182" i="36"/>
  <c r="AN182" i="36" s="1"/>
  <c r="AO182" i="36" s="1"/>
  <c r="AI182" i="36"/>
  <c r="S148" i="40"/>
  <c r="T147" i="40"/>
  <c r="Q174" i="37"/>
  <c r="S174" i="37" s="1"/>
  <c r="T174" i="37" s="1"/>
  <c r="AJ198" i="37"/>
  <c r="AK198" i="37" s="1"/>
  <c r="AL198" i="37" s="1"/>
  <c r="AM198" i="37"/>
  <c r="AN198" i="37" s="1"/>
  <c r="AO198" i="37" s="1"/>
  <c r="AI198" i="37"/>
  <c r="R144" i="42"/>
  <c r="V143" i="42"/>
  <c r="AE140" i="38"/>
  <c r="AT140" i="38"/>
  <c r="AT145" i="40"/>
  <c r="AE145" i="40"/>
  <c r="AI185" i="39"/>
  <c r="AJ179" i="42"/>
  <c r="AK179" i="42" s="1"/>
  <c r="AL179" i="42" s="1"/>
  <c r="AM179" i="42"/>
  <c r="AN179" i="42" s="1"/>
  <c r="AO179" i="42" s="1"/>
  <c r="AJ174" i="42"/>
  <c r="AK174" i="42" s="1"/>
  <c r="AL174" i="42" s="1"/>
  <c r="AM174" i="42"/>
  <c r="AN174" i="42" s="1"/>
  <c r="AO174" i="42" s="1"/>
  <c r="BH218" i="40"/>
  <c r="T143" i="39"/>
  <c r="S144" i="39"/>
  <c r="R142" i="38"/>
  <c r="V141" i="38"/>
  <c r="AS180" i="39"/>
  <c r="AJ173" i="42"/>
  <c r="AK173" i="42" s="1"/>
  <c r="AL173" i="42" s="1"/>
  <c r="AM173" i="42"/>
  <c r="AN173" i="42" s="1"/>
  <c r="AO173" i="42" s="1"/>
  <c r="AM176" i="42"/>
  <c r="AN176" i="42" s="1"/>
  <c r="AO176" i="42" s="1"/>
  <c r="AJ176" i="42"/>
  <c r="AK176" i="42" s="1"/>
  <c r="AL176" i="42" s="1"/>
  <c r="BG171" i="42"/>
  <c r="AT141" i="39"/>
  <c r="AE141" i="39"/>
  <c r="AJ182" i="38"/>
  <c r="AK182" i="38" s="1"/>
  <c r="AL182" i="38" s="1"/>
  <c r="AT182" i="38" s="1"/>
  <c r="AM182" i="38"/>
  <c r="AN182" i="38" s="1"/>
  <c r="AO182" i="38" s="1"/>
  <c r="AJ174" i="38"/>
  <c r="AK174" i="38" s="1"/>
  <c r="AL174" i="38" s="1"/>
  <c r="AM174" i="38"/>
  <c r="AN174" i="38" s="1"/>
  <c r="AO174" i="38" s="1"/>
  <c r="AI174" i="38"/>
  <c r="AM175" i="38"/>
  <c r="AN175" i="38" s="1"/>
  <c r="AO175" i="38" s="1"/>
  <c r="AI175" i="38"/>
  <c r="AJ175" i="38"/>
  <c r="AK175" i="38" s="1"/>
  <c r="AL175" i="38" s="1"/>
  <c r="R172" i="38"/>
  <c r="S172" i="38" s="1"/>
  <c r="V171" i="38"/>
  <c r="AE171" i="39"/>
  <c r="AT171" i="39"/>
  <c r="R147" i="36"/>
  <c r="S147" i="36" s="1"/>
  <c r="T147" i="36" s="1"/>
  <c r="V146" i="36"/>
  <c r="T147" i="41"/>
  <c r="S148" i="41"/>
  <c r="BH246" i="37"/>
  <c r="AJ164" i="40"/>
  <c r="AK164" i="40" s="1"/>
  <c r="AL164" i="40" s="1"/>
  <c r="AM164" i="40"/>
  <c r="AN164" i="40" s="1"/>
  <c r="AO164" i="40" s="1"/>
  <c r="AI164" i="40"/>
  <c r="AJ168" i="40"/>
  <c r="AK168" i="40" s="1"/>
  <c r="AL168" i="40" s="1"/>
  <c r="AM168" i="40"/>
  <c r="AN168" i="40" s="1"/>
  <c r="AO168" i="40" s="1"/>
  <c r="AI168" i="40"/>
  <c r="AJ171" i="40"/>
  <c r="AK171" i="40" s="1"/>
  <c r="AL171" i="40" s="1"/>
  <c r="AM171" i="40"/>
  <c r="AN171" i="40" s="1"/>
  <c r="AO171" i="40" s="1"/>
  <c r="AI171" i="40"/>
  <c r="AJ175" i="40"/>
  <c r="AK175" i="40" s="1"/>
  <c r="AL175" i="40" s="1"/>
  <c r="AM175" i="40"/>
  <c r="AN175" i="40" s="1"/>
  <c r="AO175" i="40" s="1"/>
  <c r="AI175" i="40"/>
  <c r="AJ179" i="40"/>
  <c r="AK179" i="40" s="1"/>
  <c r="AL179" i="40" s="1"/>
  <c r="AM179" i="40"/>
  <c r="AN179" i="40" s="1"/>
  <c r="AO179" i="40" s="1"/>
  <c r="AI179" i="40"/>
  <c r="AJ183" i="40"/>
  <c r="AK183" i="40" s="1"/>
  <c r="AL183" i="40" s="1"/>
  <c r="AM183" i="40"/>
  <c r="AN183" i="40" s="1"/>
  <c r="AO183" i="40" s="1"/>
  <c r="AM184" i="36"/>
  <c r="AN184" i="36" s="1"/>
  <c r="AO184" i="36" s="1"/>
  <c r="AI184" i="36"/>
  <c r="AJ184" i="36"/>
  <c r="AK184" i="36" s="1"/>
  <c r="AL184" i="36" s="1"/>
  <c r="AM186" i="36"/>
  <c r="AN186" i="36" s="1"/>
  <c r="AO186" i="36" s="1"/>
  <c r="AI186" i="36"/>
  <c r="AJ186" i="36"/>
  <c r="AK186" i="36" s="1"/>
  <c r="AL186" i="36" s="1"/>
  <c r="AM188" i="36"/>
  <c r="AN188" i="36" s="1"/>
  <c r="AO188" i="36" s="1"/>
  <c r="AI188" i="36"/>
  <c r="AJ188" i="36"/>
  <c r="AK188" i="36" s="1"/>
  <c r="AL188" i="36" s="1"/>
  <c r="AM190" i="36"/>
  <c r="AN190" i="36" s="1"/>
  <c r="AO190" i="36" s="1"/>
  <c r="AI190" i="36"/>
  <c r="AJ190" i="36"/>
  <c r="AK190" i="36" s="1"/>
  <c r="AL190" i="36" s="1"/>
  <c r="AM192" i="36"/>
  <c r="AN192" i="36" s="1"/>
  <c r="AO192" i="36" s="1"/>
  <c r="AI192" i="36"/>
  <c r="AJ192" i="36"/>
  <c r="AK192" i="36" s="1"/>
  <c r="AL192" i="36" s="1"/>
  <c r="AM194" i="36"/>
  <c r="AN194" i="36" s="1"/>
  <c r="AO194" i="36" s="1"/>
  <c r="AI194" i="36"/>
  <c r="AJ194" i="36"/>
  <c r="AK194" i="36" s="1"/>
  <c r="AL194" i="36" s="1"/>
  <c r="AM196" i="36"/>
  <c r="AN196" i="36" s="1"/>
  <c r="AO196" i="36" s="1"/>
  <c r="AJ196" i="36"/>
  <c r="AK196" i="36" s="1"/>
  <c r="AL196" i="36" s="1"/>
  <c r="AM198" i="36"/>
  <c r="AN198" i="36" s="1"/>
  <c r="AO198" i="36" s="1"/>
  <c r="AJ198" i="36"/>
  <c r="AK198" i="36" s="1"/>
  <c r="AL198" i="36" s="1"/>
  <c r="AJ175" i="37"/>
  <c r="AK175" i="37" s="1"/>
  <c r="AL175" i="37" s="1"/>
  <c r="AM175" i="37"/>
  <c r="AN175" i="37" s="1"/>
  <c r="AO175" i="37" s="1"/>
  <c r="AI175" i="37"/>
  <c r="AJ179" i="37"/>
  <c r="AK179" i="37" s="1"/>
  <c r="AL179" i="37" s="1"/>
  <c r="AM179" i="37"/>
  <c r="AN179" i="37" s="1"/>
  <c r="AO179" i="37" s="1"/>
  <c r="AI179" i="37"/>
  <c r="AJ183" i="37"/>
  <c r="AK183" i="37" s="1"/>
  <c r="AL183" i="37" s="1"/>
  <c r="AM183" i="37"/>
  <c r="AN183" i="37" s="1"/>
  <c r="AO183" i="37" s="1"/>
  <c r="AI183" i="37"/>
  <c r="AJ187" i="37"/>
  <c r="AK187" i="37" s="1"/>
  <c r="AL187" i="37" s="1"/>
  <c r="AM187" i="37"/>
  <c r="AN187" i="37" s="1"/>
  <c r="AO187" i="37" s="1"/>
  <c r="AI187" i="37"/>
  <c r="AJ191" i="37"/>
  <c r="AK191" i="37" s="1"/>
  <c r="AL191" i="37" s="1"/>
  <c r="AM191" i="37"/>
  <c r="AN191" i="37" s="1"/>
  <c r="AO191" i="37" s="1"/>
  <c r="AI191" i="37"/>
  <c r="AJ195" i="37"/>
  <c r="AK195" i="37" s="1"/>
  <c r="AL195" i="37" s="1"/>
  <c r="AM195" i="37"/>
  <c r="AN195" i="37" s="1"/>
  <c r="AO195" i="37" s="1"/>
  <c r="AI195" i="37"/>
  <c r="AM174" i="37"/>
  <c r="AN174" i="37" s="1"/>
  <c r="AO174" i="37" s="1"/>
  <c r="AI174" i="37"/>
  <c r="AJ174" i="37"/>
  <c r="AK174" i="37" s="1"/>
  <c r="AL174" i="37" s="1"/>
  <c r="AM178" i="37"/>
  <c r="AN178" i="37" s="1"/>
  <c r="AO178" i="37" s="1"/>
  <c r="AI178" i="37"/>
  <c r="AJ178" i="37"/>
  <c r="AK178" i="37" s="1"/>
  <c r="AL178" i="37" s="1"/>
  <c r="AM182" i="37"/>
  <c r="AN182" i="37" s="1"/>
  <c r="AO182" i="37" s="1"/>
  <c r="AI182" i="37"/>
  <c r="AJ182" i="37"/>
  <c r="AK182" i="37" s="1"/>
  <c r="AL182" i="37" s="1"/>
  <c r="AM186" i="37"/>
  <c r="AN186" i="37" s="1"/>
  <c r="AO186" i="37" s="1"/>
  <c r="AI186" i="37"/>
  <c r="AJ186" i="37"/>
  <c r="AK186" i="37" s="1"/>
  <c r="AL186" i="37" s="1"/>
  <c r="AM190" i="37"/>
  <c r="AN190" i="37" s="1"/>
  <c r="AO190" i="37" s="1"/>
  <c r="AI190" i="37"/>
  <c r="AJ190" i="37"/>
  <c r="AK190" i="37" s="1"/>
  <c r="AL190" i="37" s="1"/>
  <c r="AM194" i="37"/>
  <c r="AN194" i="37" s="1"/>
  <c r="AO194" i="37" s="1"/>
  <c r="AI194" i="37"/>
  <c r="AJ194" i="37"/>
  <c r="AK194" i="37" s="1"/>
  <c r="AL194" i="37" s="1"/>
  <c r="S145" i="42"/>
  <c r="T144" i="42"/>
  <c r="R141" i="35"/>
  <c r="V140" i="35"/>
  <c r="S142" i="35"/>
  <c r="T141" i="35"/>
  <c r="AE139" i="35"/>
  <c r="AT139" i="35"/>
  <c r="AH181" i="35"/>
  <c r="AH180" i="35"/>
  <c r="AH178" i="35"/>
  <c r="AH176" i="35"/>
  <c r="AI176" i="35" s="1"/>
  <c r="AH174" i="35"/>
  <c r="AI174" i="35" s="1"/>
  <c r="AH172" i="35"/>
  <c r="AI172" i="35" s="1"/>
  <c r="AH179" i="35"/>
  <c r="AH177" i="35"/>
  <c r="AI177" i="35" s="1"/>
  <c r="AH175" i="35"/>
  <c r="AI175" i="35" s="1"/>
  <c r="AH173" i="35"/>
  <c r="AI173" i="35" s="1"/>
  <c r="O171" i="35"/>
  <c r="P171" i="35" s="1"/>
  <c r="Q171" i="35" s="1"/>
  <c r="O180" i="35"/>
  <c r="P180" i="35" s="1"/>
  <c r="Q180" i="35" s="1"/>
  <c r="O178" i="35"/>
  <c r="P178" i="35" s="1"/>
  <c r="Q178" i="35" s="1"/>
  <c r="O176" i="35"/>
  <c r="P176" i="35" s="1"/>
  <c r="Q176" i="35" s="1"/>
  <c r="O174" i="35"/>
  <c r="P174" i="35" s="1"/>
  <c r="Q174" i="35" s="1"/>
  <c r="O172" i="35"/>
  <c r="P172" i="35" s="1"/>
  <c r="Q172" i="35" s="1"/>
  <c r="AH171" i="35"/>
  <c r="AI171" i="35" s="1"/>
  <c r="J170" i="35"/>
  <c r="P170" i="35" s="1"/>
  <c r="Q170" i="35" s="1"/>
  <c r="S170" i="35" s="1"/>
  <c r="T170" i="35" s="1"/>
  <c r="O181" i="35"/>
  <c r="P181" i="35" s="1"/>
  <c r="Q181" i="35" s="1"/>
  <c r="O179" i="35"/>
  <c r="P179" i="35" s="1"/>
  <c r="Q179" i="35" s="1"/>
  <c r="O175" i="35"/>
  <c r="P175" i="35" s="1"/>
  <c r="Q175" i="35" s="1"/>
  <c r="O177" i="35"/>
  <c r="P177" i="35" s="1"/>
  <c r="Q177" i="35" s="1"/>
  <c r="AH170" i="35"/>
  <c r="AI170" i="35" s="1"/>
  <c r="O173" i="35"/>
  <c r="P173" i="35" s="1"/>
  <c r="Q173" i="35" s="1"/>
  <c r="BG168" i="35"/>
  <c r="AI201" i="37" l="1"/>
  <c r="AX205" i="37" s="1"/>
  <c r="AS173" i="40"/>
  <c r="AS189" i="37"/>
  <c r="AS182" i="38"/>
  <c r="AS173" i="38"/>
  <c r="AS171" i="40"/>
  <c r="AS165" i="40"/>
  <c r="AS181" i="42"/>
  <c r="AS172" i="40"/>
  <c r="AS177" i="42"/>
  <c r="AS172" i="38"/>
  <c r="AS180" i="37"/>
  <c r="AS192" i="37"/>
  <c r="AS176" i="37"/>
  <c r="AS195" i="37"/>
  <c r="AS179" i="37"/>
  <c r="AS193" i="37"/>
  <c r="AS177" i="37"/>
  <c r="AS187" i="36"/>
  <c r="R175" i="36"/>
  <c r="S175" i="36" s="1"/>
  <c r="S176" i="36" s="1"/>
  <c r="AS186" i="36"/>
  <c r="AS189" i="36"/>
  <c r="AS194" i="36"/>
  <c r="AS182" i="36"/>
  <c r="AS174" i="36"/>
  <c r="AS187" i="37"/>
  <c r="AS173" i="42"/>
  <c r="AS174" i="42"/>
  <c r="AS178" i="36"/>
  <c r="AS181" i="40"/>
  <c r="AS178" i="38"/>
  <c r="AS172" i="42"/>
  <c r="AS188" i="36"/>
  <c r="AS196" i="37"/>
  <c r="AS183" i="37"/>
  <c r="AS197" i="37"/>
  <c r="AS166" i="40"/>
  <c r="AS181" i="36"/>
  <c r="AS178" i="40"/>
  <c r="AS167" i="40"/>
  <c r="AS168" i="40"/>
  <c r="AS180" i="36"/>
  <c r="AS176" i="40"/>
  <c r="AS175" i="36"/>
  <c r="AS182" i="37"/>
  <c r="AS186" i="37"/>
  <c r="AS175" i="40"/>
  <c r="AS174" i="38"/>
  <c r="AS181" i="37"/>
  <c r="AS179" i="36"/>
  <c r="AS174" i="40"/>
  <c r="R145" i="42"/>
  <c r="V144" i="42"/>
  <c r="AS194" i="37"/>
  <c r="AS178" i="37"/>
  <c r="AS191" i="37"/>
  <c r="AS175" i="37"/>
  <c r="AS198" i="36"/>
  <c r="AS192" i="36"/>
  <c r="AS184" i="36"/>
  <c r="AS179" i="40"/>
  <c r="AS164" i="40"/>
  <c r="R148" i="41"/>
  <c r="V147" i="41"/>
  <c r="T172" i="38"/>
  <c r="S173" i="38"/>
  <c r="AS176" i="42"/>
  <c r="AE141" i="38"/>
  <c r="AT141" i="38"/>
  <c r="AS179" i="42"/>
  <c r="AS198" i="37"/>
  <c r="R148" i="40"/>
  <c r="V147" i="40"/>
  <c r="AS176" i="36"/>
  <c r="AS181" i="38"/>
  <c r="AS180" i="38"/>
  <c r="AS184" i="37"/>
  <c r="AS197" i="36"/>
  <c r="AS191" i="36"/>
  <c r="AS183" i="36"/>
  <c r="AS169" i="40"/>
  <c r="BH232" i="41"/>
  <c r="AS179" i="38"/>
  <c r="V168" i="41"/>
  <c r="R169" i="41"/>
  <c r="AT142" i="39"/>
  <c r="AE142" i="39"/>
  <c r="AS182" i="40"/>
  <c r="AS177" i="38"/>
  <c r="AS178" i="42"/>
  <c r="BH234" i="36"/>
  <c r="T143" i="38"/>
  <c r="S144" i="38"/>
  <c r="AS183" i="40"/>
  <c r="AT183" i="40"/>
  <c r="AT146" i="36"/>
  <c r="AE146" i="36"/>
  <c r="BG172" i="42"/>
  <c r="BH219" i="40"/>
  <c r="AT143" i="42"/>
  <c r="AE143" i="42"/>
  <c r="S149" i="40"/>
  <c r="T148" i="40"/>
  <c r="V172" i="39"/>
  <c r="R173" i="39"/>
  <c r="AS188" i="37"/>
  <c r="AS185" i="37"/>
  <c r="AS193" i="36"/>
  <c r="AS185" i="36"/>
  <c r="AS177" i="40"/>
  <c r="AH220" i="41"/>
  <c r="AH219" i="41"/>
  <c r="AH218" i="41"/>
  <c r="AH217" i="41"/>
  <c r="AH216" i="41"/>
  <c r="AH215" i="41"/>
  <c r="AH214" i="41"/>
  <c r="AH213" i="41"/>
  <c r="AH212" i="41"/>
  <c r="AH211" i="41"/>
  <c r="AH210" i="41"/>
  <c r="AH209" i="41"/>
  <c r="AH208" i="41"/>
  <c r="AH207" i="41"/>
  <c r="AH206" i="41"/>
  <c r="AH205" i="41"/>
  <c r="AH204" i="41"/>
  <c r="AH203" i="41"/>
  <c r="AH202" i="41"/>
  <c r="AH201" i="41"/>
  <c r="AH200" i="41"/>
  <c r="AH199" i="41"/>
  <c r="AH198" i="41"/>
  <c r="AH197" i="41"/>
  <c r="AH196" i="41"/>
  <c r="AH195" i="41"/>
  <c r="O220" i="41"/>
  <c r="P220" i="41" s="1"/>
  <c r="Q220" i="41" s="1"/>
  <c r="O219" i="41"/>
  <c r="P219" i="41" s="1"/>
  <c r="Q219" i="41" s="1"/>
  <c r="O218" i="41"/>
  <c r="P218" i="41" s="1"/>
  <c r="Q218" i="41" s="1"/>
  <c r="O217" i="41"/>
  <c r="P217" i="41" s="1"/>
  <c r="Q217" i="41" s="1"/>
  <c r="O216" i="41"/>
  <c r="P216" i="41" s="1"/>
  <c r="Q216" i="41" s="1"/>
  <c r="O215" i="41"/>
  <c r="P215" i="41" s="1"/>
  <c r="Q215" i="41" s="1"/>
  <c r="O214" i="41"/>
  <c r="P214" i="41" s="1"/>
  <c r="Q214" i="41" s="1"/>
  <c r="O213" i="41"/>
  <c r="P213" i="41" s="1"/>
  <c r="Q213" i="41" s="1"/>
  <c r="O212" i="41"/>
  <c r="P212" i="41" s="1"/>
  <c r="Q212" i="41" s="1"/>
  <c r="O211" i="41"/>
  <c r="P211" i="41" s="1"/>
  <c r="Q211" i="41" s="1"/>
  <c r="O210" i="41"/>
  <c r="P210" i="41" s="1"/>
  <c r="Q210" i="41" s="1"/>
  <c r="O209" i="41"/>
  <c r="P209" i="41" s="1"/>
  <c r="Q209" i="41" s="1"/>
  <c r="O208" i="41"/>
  <c r="P208" i="41" s="1"/>
  <c r="Q208" i="41" s="1"/>
  <c r="O207" i="41"/>
  <c r="P207" i="41" s="1"/>
  <c r="Q207" i="41" s="1"/>
  <c r="O206" i="41"/>
  <c r="P206" i="41" s="1"/>
  <c r="Q206" i="41" s="1"/>
  <c r="O205" i="41"/>
  <c r="P205" i="41" s="1"/>
  <c r="Q205" i="41" s="1"/>
  <c r="O204" i="41"/>
  <c r="P204" i="41" s="1"/>
  <c r="Q204" i="41" s="1"/>
  <c r="O203" i="41"/>
  <c r="P203" i="41" s="1"/>
  <c r="Q203" i="41" s="1"/>
  <c r="O202" i="41"/>
  <c r="P202" i="41" s="1"/>
  <c r="Q202" i="41" s="1"/>
  <c r="O201" i="41"/>
  <c r="P201" i="41" s="1"/>
  <c r="Q201" i="41" s="1"/>
  <c r="O200" i="41"/>
  <c r="P200" i="41" s="1"/>
  <c r="Q200" i="41" s="1"/>
  <c r="O199" i="41"/>
  <c r="P199" i="41" s="1"/>
  <c r="Q199" i="41" s="1"/>
  <c r="O198" i="41"/>
  <c r="P198" i="41" s="1"/>
  <c r="Q198" i="41" s="1"/>
  <c r="O197" i="41"/>
  <c r="P197" i="41" s="1"/>
  <c r="Q197" i="41" s="1"/>
  <c r="O196" i="41"/>
  <c r="P196" i="41" s="1"/>
  <c r="Q196" i="41" s="1"/>
  <c r="O195" i="41"/>
  <c r="P195" i="41" s="1"/>
  <c r="J195" i="41"/>
  <c r="K195" i="41" s="1"/>
  <c r="L195" i="41" s="1"/>
  <c r="M195" i="41" s="1"/>
  <c r="N195" i="41" s="1"/>
  <c r="S170" i="41"/>
  <c r="T169" i="41"/>
  <c r="AS199" i="37"/>
  <c r="AT174" i="36"/>
  <c r="AE174" i="36"/>
  <c r="AS177" i="36"/>
  <c r="AS170" i="40"/>
  <c r="V164" i="40"/>
  <c r="R165" i="40"/>
  <c r="S165" i="40" s="1"/>
  <c r="AI183" i="38"/>
  <c r="X171" i="38" s="1"/>
  <c r="Z171" i="38" s="1"/>
  <c r="AS176" i="38"/>
  <c r="AS175" i="42"/>
  <c r="S146" i="42"/>
  <c r="T145" i="42"/>
  <c r="AS196" i="36"/>
  <c r="R148" i="36"/>
  <c r="S148" i="36" s="1"/>
  <c r="T148" i="36" s="1"/>
  <c r="V147" i="36"/>
  <c r="S145" i="39"/>
  <c r="T144" i="39"/>
  <c r="R175" i="37"/>
  <c r="S175" i="37" s="1"/>
  <c r="V174" i="37"/>
  <c r="AI201" i="36"/>
  <c r="X174" i="36" s="1"/>
  <c r="Z174" i="36" s="1"/>
  <c r="S174" i="39"/>
  <c r="T173" i="39"/>
  <c r="AT146" i="37"/>
  <c r="AE146" i="37"/>
  <c r="AS199" i="36"/>
  <c r="AS195" i="36"/>
  <c r="AT172" i="42"/>
  <c r="AE172" i="42"/>
  <c r="AT146" i="41"/>
  <c r="AE146" i="41"/>
  <c r="AS171" i="38"/>
  <c r="AE167" i="41"/>
  <c r="AT167" i="41"/>
  <c r="AS190" i="37"/>
  <c r="AS174" i="37"/>
  <c r="AS190" i="36"/>
  <c r="AI186" i="40"/>
  <c r="BH247" i="37"/>
  <c r="T148" i="41"/>
  <c r="S149" i="41"/>
  <c r="AE171" i="38"/>
  <c r="AT171" i="38"/>
  <c r="AS175" i="38"/>
  <c r="R144" i="39"/>
  <c r="V143" i="39"/>
  <c r="AM189" i="39"/>
  <c r="AN189" i="39" s="1"/>
  <c r="AO189" i="39" s="1"/>
  <c r="C195" i="39"/>
  <c r="AM186" i="39"/>
  <c r="AN186" i="39" s="1"/>
  <c r="AO186" i="39" s="1"/>
  <c r="AS180" i="40"/>
  <c r="R148" i="37"/>
  <c r="S148" i="37" s="1"/>
  <c r="T148" i="37" s="1"/>
  <c r="V147" i="37"/>
  <c r="BG182" i="38"/>
  <c r="AT146" i="40"/>
  <c r="AE146" i="40"/>
  <c r="BG172" i="39"/>
  <c r="AS180" i="42"/>
  <c r="AI186" i="42"/>
  <c r="T173" i="42"/>
  <c r="S174" i="42"/>
  <c r="R143" i="38"/>
  <c r="V142" i="38"/>
  <c r="AI182" i="35"/>
  <c r="X170" i="35" s="1"/>
  <c r="Z170" i="35" s="1"/>
  <c r="AJ170" i="35"/>
  <c r="AK170" i="35" s="1"/>
  <c r="AL170" i="35" s="1"/>
  <c r="AM170" i="35"/>
  <c r="AN170" i="35" s="1"/>
  <c r="AO170" i="35" s="1"/>
  <c r="V141" i="35"/>
  <c r="R142" i="35"/>
  <c r="V170" i="35"/>
  <c r="R171" i="35"/>
  <c r="S171" i="35" s="1"/>
  <c r="AJ173" i="35"/>
  <c r="AK173" i="35" s="1"/>
  <c r="AL173" i="35" s="1"/>
  <c r="AM173" i="35"/>
  <c r="AN173" i="35" s="1"/>
  <c r="AO173" i="35" s="1"/>
  <c r="AJ172" i="35"/>
  <c r="AK172" i="35" s="1"/>
  <c r="AL172" i="35" s="1"/>
  <c r="AM172" i="35"/>
  <c r="AN172" i="35" s="1"/>
  <c r="AO172" i="35" s="1"/>
  <c r="T142" i="35"/>
  <c r="S143" i="35"/>
  <c r="BG169" i="35"/>
  <c r="AM171" i="35"/>
  <c r="AN171" i="35" s="1"/>
  <c r="AO171" i="35" s="1"/>
  <c r="AJ171" i="35"/>
  <c r="AK171" i="35" s="1"/>
  <c r="AL171" i="35" s="1"/>
  <c r="AJ175" i="35"/>
  <c r="AK175" i="35" s="1"/>
  <c r="AL175" i="35" s="1"/>
  <c r="AM175" i="35"/>
  <c r="AN175" i="35" s="1"/>
  <c r="AO175" i="35" s="1"/>
  <c r="AJ174" i="35"/>
  <c r="AK174" i="35" s="1"/>
  <c r="AL174" i="35" s="1"/>
  <c r="AM174" i="35"/>
  <c r="AN174" i="35" s="1"/>
  <c r="AO174" i="35" s="1"/>
  <c r="AE140" i="35"/>
  <c r="AT140" i="35"/>
  <c r="AJ177" i="35"/>
  <c r="AK177" i="35" s="1"/>
  <c r="AL177" i="35" s="1"/>
  <c r="AM177" i="35"/>
  <c r="AN177" i="35" s="1"/>
  <c r="AO177" i="35" s="1"/>
  <c r="AJ176" i="35"/>
  <c r="AK176" i="35" s="1"/>
  <c r="AL176" i="35" s="1"/>
  <c r="AM176" i="35"/>
  <c r="AN176" i="35" s="1"/>
  <c r="AO176" i="35" s="1"/>
  <c r="AS176" i="35" l="1"/>
  <c r="AP189" i="39"/>
  <c r="T175" i="36"/>
  <c r="V175" i="36" s="1"/>
  <c r="AS172" i="35"/>
  <c r="AS173" i="35"/>
  <c r="AT142" i="38"/>
  <c r="AE142" i="38"/>
  <c r="AM187" i="42"/>
  <c r="AN187" i="42" s="1"/>
  <c r="AO187" i="42" s="1"/>
  <c r="AM190" i="42"/>
  <c r="AN190" i="42" s="1"/>
  <c r="AO190" i="42" s="1"/>
  <c r="C196" i="42"/>
  <c r="AT147" i="37"/>
  <c r="AE147" i="37"/>
  <c r="BH248" i="37"/>
  <c r="S176" i="37"/>
  <c r="T175" i="37"/>
  <c r="AT147" i="36"/>
  <c r="AE147" i="36"/>
  <c r="S171" i="41"/>
  <c r="T170" i="41"/>
  <c r="AJ198" i="41"/>
  <c r="AK198" i="41" s="1"/>
  <c r="AL198" i="41" s="1"/>
  <c r="AM198" i="41"/>
  <c r="AN198" i="41" s="1"/>
  <c r="AO198" i="41" s="1"/>
  <c r="AJ202" i="41"/>
  <c r="AK202" i="41" s="1"/>
  <c r="AL202" i="41" s="1"/>
  <c r="AM202" i="41"/>
  <c r="AN202" i="41" s="1"/>
  <c r="AO202" i="41" s="1"/>
  <c r="AJ206" i="41"/>
  <c r="AK206" i="41" s="1"/>
  <c r="AL206" i="41" s="1"/>
  <c r="AM206" i="41"/>
  <c r="AN206" i="41" s="1"/>
  <c r="AO206" i="41" s="1"/>
  <c r="AJ210" i="41"/>
  <c r="AK210" i="41" s="1"/>
  <c r="AL210" i="41" s="1"/>
  <c r="AM210" i="41"/>
  <c r="AN210" i="41" s="1"/>
  <c r="AO210" i="41" s="1"/>
  <c r="AJ214" i="41"/>
  <c r="AK214" i="41" s="1"/>
  <c r="AL214" i="41" s="1"/>
  <c r="AM214" i="41"/>
  <c r="AN214" i="41" s="1"/>
  <c r="AO214" i="41" s="1"/>
  <c r="AJ218" i="41"/>
  <c r="AK218" i="41" s="1"/>
  <c r="AL218" i="41" s="1"/>
  <c r="AM218" i="41"/>
  <c r="AN218" i="41" s="1"/>
  <c r="AO218" i="41" s="1"/>
  <c r="AT172" i="39"/>
  <c r="AE172" i="39"/>
  <c r="S150" i="40"/>
  <c r="T149" i="40"/>
  <c r="BH235" i="36"/>
  <c r="AT168" i="41"/>
  <c r="AE168" i="41"/>
  <c r="BH233" i="41"/>
  <c r="R173" i="38"/>
  <c r="V172" i="38"/>
  <c r="R149" i="37"/>
  <c r="S149" i="37" s="1"/>
  <c r="T149" i="37" s="1"/>
  <c r="V148" i="37"/>
  <c r="AE143" i="39"/>
  <c r="AT143" i="39"/>
  <c r="T149" i="41"/>
  <c r="S150" i="41"/>
  <c r="C195" i="40"/>
  <c r="X164" i="40"/>
  <c r="Z164" i="40" s="1"/>
  <c r="V148" i="36"/>
  <c r="R149" i="36"/>
  <c r="S149" i="36" s="1"/>
  <c r="T149" i="36" s="1"/>
  <c r="R146" i="42"/>
  <c r="V145" i="42"/>
  <c r="S166" i="40"/>
  <c r="T165" i="40"/>
  <c r="AJ195" i="41"/>
  <c r="AK195" i="41" s="1"/>
  <c r="AL195" i="41" s="1"/>
  <c r="AM195" i="41"/>
  <c r="AN195" i="41" s="1"/>
  <c r="AO195" i="41" s="1"/>
  <c r="AJ199" i="41"/>
  <c r="AK199" i="41" s="1"/>
  <c r="AL199" i="41" s="1"/>
  <c r="AM199" i="41"/>
  <c r="AN199" i="41" s="1"/>
  <c r="AO199" i="41" s="1"/>
  <c r="AJ203" i="41"/>
  <c r="AK203" i="41" s="1"/>
  <c r="AL203" i="41" s="1"/>
  <c r="AM203" i="41"/>
  <c r="AN203" i="41" s="1"/>
  <c r="AO203" i="41" s="1"/>
  <c r="AJ207" i="41"/>
  <c r="AK207" i="41" s="1"/>
  <c r="AL207" i="41" s="1"/>
  <c r="AM207" i="41"/>
  <c r="AN207" i="41" s="1"/>
  <c r="AO207" i="41" s="1"/>
  <c r="AJ211" i="41"/>
  <c r="AK211" i="41" s="1"/>
  <c r="AL211" i="41" s="1"/>
  <c r="AM211" i="41"/>
  <c r="AN211" i="41" s="1"/>
  <c r="AO211" i="41" s="1"/>
  <c r="AJ215" i="41"/>
  <c r="AK215" i="41" s="1"/>
  <c r="AL215" i="41" s="1"/>
  <c r="AM215" i="41"/>
  <c r="AN215" i="41" s="1"/>
  <c r="AO215" i="41" s="1"/>
  <c r="AJ219" i="41"/>
  <c r="AK219" i="41" s="1"/>
  <c r="AL219" i="41" s="1"/>
  <c r="AM219" i="41"/>
  <c r="AN219" i="41" s="1"/>
  <c r="AO219" i="41" s="1"/>
  <c r="BG173" i="42"/>
  <c r="T144" i="38"/>
  <c r="S145" i="38"/>
  <c r="AT147" i="41"/>
  <c r="AE147" i="41"/>
  <c r="AT144" i="42"/>
  <c r="AE144" i="42"/>
  <c r="T174" i="42"/>
  <c r="S175" i="42"/>
  <c r="BG183" i="38"/>
  <c r="R149" i="41"/>
  <c r="V148" i="41"/>
  <c r="V173" i="39"/>
  <c r="R174" i="39"/>
  <c r="R145" i="39"/>
  <c r="V144" i="39"/>
  <c r="T146" i="42"/>
  <c r="S147" i="42"/>
  <c r="AT164" i="40"/>
  <c r="AE164" i="40"/>
  <c r="AJ196" i="41"/>
  <c r="AK196" i="41" s="1"/>
  <c r="AL196" i="41" s="1"/>
  <c r="AM196" i="41"/>
  <c r="AN196" i="41" s="1"/>
  <c r="AO196" i="41" s="1"/>
  <c r="AJ200" i="41"/>
  <c r="AK200" i="41" s="1"/>
  <c r="AL200" i="41" s="1"/>
  <c r="AM200" i="41"/>
  <c r="AN200" i="41" s="1"/>
  <c r="AO200" i="41" s="1"/>
  <c r="AJ204" i="41"/>
  <c r="AK204" i="41" s="1"/>
  <c r="AL204" i="41" s="1"/>
  <c r="AM204" i="41"/>
  <c r="AN204" i="41" s="1"/>
  <c r="AO204" i="41" s="1"/>
  <c r="AJ208" i="41"/>
  <c r="AK208" i="41" s="1"/>
  <c r="AL208" i="41" s="1"/>
  <c r="AM208" i="41"/>
  <c r="AN208" i="41" s="1"/>
  <c r="AO208" i="41" s="1"/>
  <c r="AJ212" i="41"/>
  <c r="AK212" i="41" s="1"/>
  <c r="AL212" i="41" s="1"/>
  <c r="AM212" i="41"/>
  <c r="AN212" i="41" s="1"/>
  <c r="AO212" i="41" s="1"/>
  <c r="AJ216" i="41"/>
  <c r="AK216" i="41" s="1"/>
  <c r="AL216" i="41" s="1"/>
  <c r="AM216" i="41"/>
  <c r="AN216" i="41" s="1"/>
  <c r="AO216" i="41" s="1"/>
  <c r="AJ220" i="41"/>
  <c r="AK220" i="41" s="1"/>
  <c r="AL220" i="41" s="1"/>
  <c r="AM220" i="41"/>
  <c r="AN220" i="41" s="1"/>
  <c r="AO220" i="41" s="1"/>
  <c r="BH220" i="40"/>
  <c r="R144" i="38"/>
  <c r="V143" i="38"/>
  <c r="T176" i="36"/>
  <c r="S177" i="36"/>
  <c r="R174" i="42"/>
  <c r="V173" i="42"/>
  <c r="BG173" i="39"/>
  <c r="AH219" i="39"/>
  <c r="AH217" i="39"/>
  <c r="AH215" i="39"/>
  <c r="AH213" i="39"/>
  <c r="AH211" i="39"/>
  <c r="AH209" i="39"/>
  <c r="O219" i="39"/>
  <c r="P219" i="39" s="1"/>
  <c r="Q219" i="39" s="1"/>
  <c r="O217" i="39"/>
  <c r="P217" i="39" s="1"/>
  <c r="Q217" i="39" s="1"/>
  <c r="O215" i="39"/>
  <c r="P215" i="39" s="1"/>
  <c r="Q215" i="39" s="1"/>
  <c r="O213" i="39"/>
  <c r="P213" i="39" s="1"/>
  <c r="Q213" i="39" s="1"/>
  <c r="O211" i="39"/>
  <c r="P211" i="39" s="1"/>
  <c r="Q211" i="39" s="1"/>
  <c r="AH220" i="39"/>
  <c r="AH218" i="39"/>
  <c r="AH216" i="39"/>
  <c r="AH214" i="39"/>
  <c r="AH212" i="39"/>
  <c r="AH210" i="39"/>
  <c r="O220" i="39"/>
  <c r="P220" i="39" s="1"/>
  <c r="Q220" i="39" s="1"/>
  <c r="O218" i="39"/>
  <c r="P218" i="39" s="1"/>
  <c r="Q218" i="39" s="1"/>
  <c r="O216" i="39"/>
  <c r="P216" i="39" s="1"/>
  <c r="Q216" i="39" s="1"/>
  <c r="O214" i="39"/>
  <c r="P214" i="39" s="1"/>
  <c r="Q214" i="39" s="1"/>
  <c r="O212" i="39"/>
  <c r="P212" i="39" s="1"/>
  <c r="Q212" i="39" s="1"/>
  <c r="O210" i="39"/>
  <c r="P210" i="39" s="1"/>
  <c r="Q210" i="39" s="1"/>
  <c r="AH207" i="39"/>
  <c r="AH205" i="39"/>
  <c r="O209" i="39"/>
  <c r="P209" i="39" s="1"/>
  <c r="Q209" i="39" s="1"/>
  <c r="O207" i="39"/>
  <c r="P207" i="39" s="1"/>
  <c r="Q207" i="39" s="1"/>
  <c r="O205" i="39"/>
  <c r="P205" i="39" s="1"/>
  <c r="Q205" i="39" s="1"/>
  <c r="AH195" i="39"/>
  <c r="AH208" i="39"/>
  <c r="AH206" i="39"/>
  <c r="AH204" i="39"/>
  <c r="AH203" i="39"/>
  <c r="AH202" i="39"/>
  <c r="AH201" i="39"/>
  <c r="AH200" i="39"/>
  <c r="AH199" i="39"/>
  <c r="AH198" i="39"/>
  <c r="AH197" i="39"/>
  <c r="AH196" i="39"/>
  <c r="O195" i="39"/>
  <c r="P195" i="39" s="1"/>
  <c r="O208" i="39"/>
  <c r="P208" i="39" s="1"/>
  <c r="Q208" i="39" s="1"/>
  <c r="O206" i="39"/>
  <c r="P206" i="39" s="1"/>
  <c r="Q206" i="39" s="1"/>
  <c r="O204" i="39"/>
  <c r="P204" i="39" s="1"/>
  <c r="Q204" i="39" s="1"/>
  <c r="O203" i="39"/>
  <c r="P203" i="39" s="1"/>
  <c r="Q203" i="39" s="1"/>
  <c r="O202" i="39"/>
  <c r="P202" i="39" s="1"/>
  <c r="Q202" i="39" s="1"/>
  <c r="O201" i="39"/>
  <c r="P201" i="39" s="1"/>
  <c r="Q201" i="39" s="1"/>
  <c r="O200" i="39"/>
  <c r="P200" i="39" s="1"/>
  <c r="Q200" i="39" s="1"/>
  <c r="O199" i="39"/>
  <c r="P199" i="39" s="1"/>
  <c r="Q199" i="39" s="1"/>
  <c r="O198" i="39"/>
  <c r="P198" i="39" s="1"/>
  <c r="Q198" i="39" s="1"/>
  <c r="O197" i="39"/>
  <c r="P197" i="39" s="1"/>
  <c r="Q197" i="39" s="1"/>
  <c r="O196" i="39"/>
  <c r="P196" i="39" s="1"/>
  <c r="Q196" i="39" s="1"/>
  <c r="J195" i="39"/>
  <c r="K195" i="39" s="1"/>
  <c r="L195" i="39" s="1"/>
  <c r="M195" i="39" s="1"/>
  <c r="N195" i="39" s="1"/>
  <c r="S175" i="39"/>
  <c r="T174" i="39"/>
  <c r="AE174" i="37"/>
  <c r="AT174" i="37"/>
  <c r="S146" i="39"/>
  <c r="T145" i="39"/>
  <c r="C211" i="37"/>
  <c r="X174" i="37"/>
  <c r="Z174" i="37" s="1"/>
  <c r="AI185" i="38"/>
  <c r="V169" i="41"/>
  <c r="R170" i="41"/>
  <c r="Q195" i="41"/>
  <c r="S195" i="41" s="1"/>
  <c r="T195" i="41" s="1"/>
  <c r="AJ197" i="41"/>
  <c r="AK197" i="41" s="1"/>
  <c r="AL197" i="41" s="1"/>
  <c r="AM197" i="41"/>
  <c r="AN197" i="41" s="1"/>
  <c r="AO197" i="41" s="1"/>
  <c r="AJ201" i="41"/>
  <c r="AK201" i="41" s="1"/>
  <c r="AL201" i="41" s="1"/>
  <c r="AM201" i="41"/>
  <c r="AN201" i="41" s="1"/>
  <c r="AO201" i="41" s="1"/>
  <c r="AJ205" i="41"/>
  <c r="AK205" i="41" s="1"/>
  <c r="AL205" i="41" s="1"/>
  <c r="AM205" i="41"/>
  <c r="AN205" i="41" s="1"/>
  <c r="AO205" i="41" s="1"/>
  <c r="AJ209" i="41"/>
  <c r="AK209" i="41" s="1"/>
  <c r="AL209" i="41" s="1"/>
  <c r="AM209" i="41"/>
  <c r="AN209" i="41" s="1"/>
  <c r="AO209" i="41" s="1"/>
  <c r="AJ213" i="41"/>
  <c r="AK213" i="41" s="1"/>
  <c r="AL213" i="41" s="1"/>
  <c r="AM213" i="41"/>
  <c r="AN213" i="41" s="1"/>
  <c r="AO213" i="41" s="1"/>
  <c r="AJ217" i="41"/>
  <c r="AK217" i="41" s="1"/>
  <c r="AL217" i="41" s="1"/>
  <c r="AM217" i="41"/>
  <c r="AN217" i="41" s="1"/>
  <c r="AO217" i="41" s="1"/>
  <c r="R149" i="40"/>
  <c r="V148" i="40"/>
  <c r="AT147" i="40"/>
  <c r="AE147" i="40"/>
  <c r="T173" i="38"/>
  <c r="S174" i="38"/>
  <c r="AS175" i="35"/>
  <c r="AS174" i="35"/>
  <c r="AS177" i="35"/>
  <c r="AE170" i="35"/>
  <c r="AT170" i="35"/>
  <c r="T143" i="35"/>
  <c r="R144" i="35" s="1"/>
  <c r="S144" i="35"/>
  <c r="AS171" i="35"/>
  <c r="R143" i="35"/>
  <c r="V142" i="35"/>
  <c r="AF141" i="35" s="1"/>
  <c r="AE141" i="35"/>
  <c r="AT141" i="35"/>
  <c r="AI184" i="35"/>
  <c r="BG170" i="35"/>
  <c r="T171" i="35"/>
  <c r="S172" i="35"/>
  <c r="AS170" i="35"/>
  <c r="AF138" i="35" l="1"/>
  <c r="AS211" i="41"/>
  <c r="AS195" i="41"/>
  <c r="AS207" i="41"/>
  <c r="AS212" i="41"/>
  <c r="R176" i="36"/>
  <c r="AS199" i="41"/>
  <c r="AS203" i="41"/>
  <c r="R146" i="39"/>
  <c r="V145" i="39"/>
  <c r="Q195" i="39"/>
  <c r="S195" i="39" s="1"/>
  <c r="T195" i="39" s="1"/>
  <c r="AJ199" i="39"/>
  <c r="AK199" i="39" s="1"/>
  <c r="AL199" i="39" s="1"/>
  <c r="AM199" i="39"/>
  <c r="AN199" i="39" s="1"/>
  <c r="AO199" i="39" s="1"/>
  <c r="AJ203" i="39"/>
  <c r="AK203" i="39" s="1"/>
  <c r="AL203" i="39" s="1"/>
  <c r="AM203" i="39"/>
  <c r="AN203" i="39" s="1"/>
  <c r="AO203" i="39" s="1"/>
  <c r="AJ195" i="39"/>
  <c r="AK195" i="39" s="1"/>
  <c r="AL195" i="39" s="1"/>
  <c r="AM195" i="39"/>
  <c r="AN195" i="39" s="1"/>
  <c r="AO195" i="39" s="1"/>
  <c r="AM205" i="39"/>
  <c r="AN205" i="39" s="1"/>
  <c r="AO205" i="39" s="1"/>
  <c r="AJ205" i="39"/>
  <c r="AK205" i="39" s="1"/>
  <c r="AL205" i="39" s="1"/>
  <c r="AJ210" i="39"/>
  <c r="AK210" i="39" s="1"/>
  <c r="AL210" i="39" s="1"/>
  <c r="AM210" i="39"/>
  <c r="AN210" i="39" s="1"/>
  <c r="AO210" i="39" s="1"/>
  <c r="AJ218" i="39"/>
  <c r="AK218" i="39" s="1"/>
  <c r="AL218" i="39" s="1"/>
  <c r="AM218" i="39"/>
  <c r="AN218" i="39" s="1"/>
  <c r="AO218" i="39" s="1"/>
  <c r="AM211" i="39"/>
  <c r="AN211" i="39" s="1"/>
  <c r="AO211" i="39" s="1"/>
  <c r="AJ211" i="39"/>
  <c r="AK211" i="39" s="1"/>
  <c r="AL211" i="39" s="1"/>
  <c r="AM219" i="39"/>
  <c r="AN219" i="39" s="1"/>
  <c r="AO219" i="39" s="1"/>
  <c r="AJ219" i="39"/>
  <c r="AK219" i="39" s="1"/>
  <c r="AL219" i="39" s="1"/>
  <c r="BG174" i="39"/>
  <c r="T177" i="36"/>
  <c r="S178" i="36"/>
  <c r="AE144" i="39"/>
  <c r="AT144" i="39"/>
  <c r="BG174" i="42"/>
  <c r="AS219" i="41"/>
  <c r="AT219" i="41"/>
  <c r="AV219" i="41" s="1"/>
  <c r="V165" i="40"/>
  <c r="R166" i="40"/>
  <c r="R150" i="41"/>
  <c r="V149" i="41"/>
  <c r="R150" i="37"/>
  <c r="S150" i="37" s="1"/>
  <c r="T150" i="37" s="1"/>
  <c r="V149" i="37"/>
  <c r="AE172" i="38"/>
  <c r="AT172" i="38"/>
  <c r="T176" i="37"/>
  <c r="S177" i="37"/>
  <c r="AS217" i="41"/>
  <c r="AT217" i="41"/>
  <c r="AV217" i="41" s="1"/>
  <c r="AS209" i="41"/>
  <c r="AS201" i="41"/>
  <c r="V195" i="41"/>
  <c r="R196" i="41"/>
  <c r="S196" i="41" s="1"/>
  <c r="AM189" i="38"/>
  <c r="AN189" i="38" s="1"/>
  <c r="AO189" i="38" s="1"/>
  <c r="AM186" i="38"/>
  <c r="AN186" i="38" s="1"/>
  <c r="AO186" i="38" s="1"/>
  <c r="C195" i="38"/>
  <c r="T146" i="39"/>
  <c r="S147" i="39"/>
  <c r="AJ196" i="39"/>
  <c r="AK196" i="39" s="1"/>
  <c r="AL196" i="39" s="1"/>
  <c r="AM196" i="39"/>
  <c r="AN196" i="39" s="1"/>
  <c r="AO196" i="39" s="1"/>
  <c r="AJ200" i="39"/>
  <c r="AK200" i="39" s="1"/>
  <c r="AL200" i="39" s="1"/>
  <c r="AM200" i="39"/>
  <c r="AN200" i="39" s="1"/>
  <c r="AO200" i="39" s="1"/>
  <c r="AJ204" i="39"/>
  <c r="AK204" i="39" s="1"/>
  <c r="AL204" i="39" s="1"/>
  <c r="AM204" i="39"/>
  <c r="AN204" i="39" s="1"/>
  <c r="AO204" i="39" s="1"/>
  <c r="AM207" i="39"/>
  <c r="AN207" i="39" s="1"/>
  <c r="AO207" i="39" s="1"/>
  <c r="AJ207" i="39"/>
  <c r="AK207" i="39" s="1"/>
  <c r="AL207" i="39" s="1"/>
  <c r="AJ212" i="39"/>
  <c r="AK212" i="39" s="1"/>
  <c r="AL212" i="39" s="1"/>
  <c r="AM212" i="39"/>
  <c r="AN212" i="39" s="1"/>
  <c r="AO212" i="39" s="1"/>
  <c r="AJ220" i="39"/>
  <c r="AK220" i="39" s="1"/>
  <c r="AL220" i="39" s="1"/>
  <c r="AM220" i="39"/>
  <c r="AN220" i="39" s="1"/>
  <c r="AO220" i="39" s="1"/>
  <c r="AM213" i="39"/>
  <c r="AN213" i="39" s="1"/>
  <c r="AO213" i="39" s="1"/>
  <c r="AJ213" i="39"/>
  <c r="AK213" i="39" s="1"/>
  <c r="AL213" i="39" s="1"/>
  <c r="AE173" i="42"/>
  <c r="AT173" i="42"/>
  <c r="V176" i="36"/>
  <c r="R177" i="36"/>
  <c r="AS220" i="41"/>
  <c r="AT220" i="41"/>
  <c r="AV220" i="41" s="1"/>
  <c r="AS204" i="41"/>
  <c r="AS196" i="41"/>
  <c r="AT148" i="41"/>
  <c r="AE148" i="41"/>
  <c r="S176" i="42"/>
  <c r="T175" i="42"/>
  <c r="S167" i="40"/>
  <c r="T166" i="40"/>
  <c r="V149" i="36"/>
  <c r="R150" i="36"/>
  <c r="S150" i="36" s="1"/>
  <c r="T150" i="36" s="1"/>
  <c r="BH234" i="41"/>
  <c r="R150" i="40"/>
  <c r="V149" i="40"/>
  <c r="AS218" i="41"/>
  <c r="AT218" i="41"/>
  <c r="AV218" i="41" s="1"/>
  <c r="AS210" i="41"/>
  <c r="AS202" i="41"/>
  <c r="V170" i="41"/>
  <c r="R171" i="41"/>
  <c r="AP190" i="42"/>
  <c r="S175" i="38"/>
  <c r="T174" i="38"/>
  <c r="AT175" i="36"/>
  <c r="AE175" i="36"/>
  <c r="V174" i="39"/>
  <c r="R175" i="39"/>
  <c r="AJ197" i="39"/>
  <c r="AK197" i="39" s="1"/>
  <c r="AL197" i="39" s="1"/>
  <c r="AM197" i="39"/>
  <c r="AN197" i="39" s="1"/>
  <c r="AO197" i="39" s="1"/>
  <c r="AJ201" i="39"/>
  <c r="AK201" i="39" s="1"/>
  <c r="AL201" i="39" s="1"/>
  <c r="AM201" i="39"/>
  <c r="AN201" i="39" s="1"/>
  <c r="AO201" i="39" s="1"/>
  <c r="AJ206" i="39"/>
  <c r="AK206" i="39" s="1"/>
  <c r="AL206" i="39" s="1"/>
  <c r="AM206" i="39"/>
  <c r="AN206" i="39" s="1"/>
  <c r="AO206" i="39" s="1"/>
  <c r="AJ214" i="39"/>
  <c r="AK214" i="39" s="1"/>
  <c r="AL214" i="39" s="1"/>
  <c r="AM214" i="39"/>
  <c r="AN214" i="39" s="1"/>
  <c r="AO214" i="39" s="1"/>
  <c r="AM215" i="39"/>
  <c r="AN215" i="39" s="1"/>
  <c r="AO215" i="39" s="1"/>
  <c r="AJ215" i="39"/>
  <c r="AK215" i="39" s="1"/>
  <c r="AL215" i="39" s="1"/>
  <c r="BH221" i="40"/>
  <c r="T147" i="42"/>
  <c r="S148" i="42"/>
  <c r="R175" i="42"/>
  <c r="V174" i="42"/>
  <c r="S146" i="38"/>
  <c r="T145" i="38"/>
  <c r="AS215" i="41"/>
  <c r="AT215" i="41"/>
  <c r="AV215" i="41" s="1"/>
  <c r="AE148" i="36"/>
  <c r="AT148" i="36"/>
  <c r="AH220" i="40"/>
  <c r="AH219" i="40"/>
  <c r="O218" i="40"/>
  <c r="P218" i="40" s="1"/>
  <c r="Q218" i="40" s="1"/>
  <c r="O216" i="40"/>
  <c r="P216" i="40" s="1"/>
  <c r="Q216" i="40" s="1"/>
  <c r="O214" i="40"/>
  <c r="P214" i="40" s="1"/>
  <c r="Q214" i="40" s="1"/>
  <c r="O212" i="40"/>
  <c r="P212" i="40" s="1"/>
  <c r="Q212" i="40" s="1"/>
  <c r="AH211" i="40"/>
  <c r="AH210" i="40"/>
  <c r="AH209" i="40"/>
  <c r="AH208" i="40"/>
  <c r="AH207" i="40"/>
  <c r="AH206" i="40"/>
  <c r="AH205" i="40"/>
  <c r="AH204" i="40"/>
  <c r="AH203" i="40"/>
  <c r="AH202" i="40"/>
  <c r="AH201" i="40"/>
  <c r="AH200" i="40"/>
  <c r="AH199" i="40"/>
  <c r="AH198" i="40"/>
  <c r="AH197" i="40"/>
  <c r="AH196" i="40"/>
  <c r="AH195" i="40"/>
  <c r="O219" i="40"/>
  <c r="P219" i="40" s="1"/>
  <c r="Q219" i="40" s="1"/>
  <c r="AH217" i="40"/>
  <c r="AH215" i="40"/>
  <c r="AH213" i="40"/>
  <c r="O211" i="40"/>
  <c r="P211" i="40" s="1"/>
  <c r="Q211" i="40" s="1"/>
  <c r="O210" i="40"/>
  <c r="P210" i="40" s="1"/>
  <c r="Q210" i="40" s="1"/>
  <c r="O209" i="40"/>
  <c r="P209" i="40" s="1"/>
  <c r="Q209" i="40" s="1"/>
  <c r="O208" i="40"/>
  <c r="P208" i="40" s="1"/>
  <c r="Q208" i="40" s="1"/>
  <c r="O207" i="40"/>
  <c r="P207" i="40" s="1"/>
  <c r="Q207" i="40" s="1"/>
  <c r="O206" i="40"/>
  <c r="P206" i="40" s="1"/>
  <c r="Q206" i="40" s="1"/>
  <c r="O205" i="40"/>
  <c r="P205" i="40" s="1"/>
  <c r="Q205" i="40" s="1"/>
  <c r="O204" i="40"/>
  <c r="P204" i="40" s="1"/>
  <c r="Q204" i="40" s="1"/>
  <c r="O203" i="40"/>
  <c r="P203" i="40" s="1"/>
  <c r="Q203" i="40" s="1"/>
  <c r="O202" i="40"/>
  <c r="P202" i="40" s="1"/>
  <c r="Q202" i="40" s="1"/>
  <c r="O201" i="40"/>
  <c r="P201" i="40" s="1"/>
  <c r="Q201" i="40" s="1"/>
  <c r="O200" i="40"/>
  <c r="P200" i="40" s="1"/>
  <c r="Q200" i="40" s="1"/>
  <c r="O199" i="40"/>
  <c r="P199" i="40" s="1"/>
  <c r="Q199" i="40" s="1"/>
  <c r="O198" i="40"/>
  <c r="P198" i="40" s="1"/>
  <c r="Q198" i="40" s="1"/>
  <c r="O197" i="40"/>
  <c r="P197" i="40" s="1"/>
  <c r="Q197" i="40" s="1"/>
  <c r="O196" i="40"/>
  <c r="P196" i="40" s="1"/>
  <c r="Q196" i="40" s="1"/>
  <c r="O195" i="40"/>
  <c r="P195" i="40" s="1"/>
  <c r="O217" i="40"/>
  <c r="P217" i="40" s="1"/>
  <c r="Q217" i="40" s="1"/>
  <c r="O215" i="40"/>
  <c r="P215" i="40" s="1"/>
  <c r="Q215" i="40" s="1"/>
  <c r="O213" i="40"/>
  <c r="P213" i="40" s="1"/>
  <c r="Q213" i="40" s="1"/>
  <c r="J195" i="40"/>
  <c r="K195" i="40" s="1"/>
  <c r="L195" i="40" s="1"/>
  <c r="M195" i="40" s="1"/>
  <c r="N195" i="40" s="1"/>
  <c r="O220" i="40"/>
  <c r="P220" i="40" s="1"/>
  <c r="Q220" i="40" s="1"/>
  <c r="AH218" i="40"/>
  <c r="AH216" i="40"/>
  <c r="AH214" i="40"/>
  <c r="AH212" i="40"/>
  <c r="BH236" i="36"/>
  <c r="S151" i="40"/>
  <c r="T150" i="40"/>
  <c r="S172" i="41"/>
  <c r="T171" i="41"/>
  <c r="R174" i="38"/>
  <c r="V173" i="38"/>
  <c r="AT148" i="40"/>
  <c r="AE148" i="40"/>
  <c r="AS213" i="41"/>
  <c r="AT213" i="41"/>
  <c r="AV213" i="41" s="1"/>
  <c r="AS205" i="41"/>
  <c r="AS197" i="41"/>
  <c r="AE169" i="41"/>
  <c r="AT169" i="41"/>
  <c r="O218" i="37"/>
  <c r="P218" i="37" s="1"/>
  <c r="Q218" i="37" s="1"/>
  <c r="O217" i="37"/>
  <c r="P217" i="37" s="1"/>
  <c r="Q217" i="37" s="1"/>
  <c r="O216" i="37"/>
  <c r="P216" i="37" s="1"/>
  <c r="Q216" i="37" s="1"/>
  <c r="O215" i="37"/>
  <c r="P215" i="37" s="1"/>
  <c r="Q215" i="37" s="1"/>
  <c r="O214" i="37"/>
  <c r="P214" i="37" s="1"/>
  <c r="Q214" i="37" s="1"/>
  <c r="O213" i="37"/>
  <c r="P213" i="37" s="1"/>
  <c r="Q213" i="37" s="1"/>
  <c r="O212" i="37"/>
  <c r="P212" i="37" s="1"/>
  <c r="Q212" i="37" s="1"/>
  <c r="O211" i="37"/>
  <c r="P211" i="37" s="1"/>
  <c r="J211" i="37"/>
  <c r="K211" i="37" s="1"/>
  <c r="L211" i="37" s="1"/>
  <c r="M211" i="37" s="1"/>
  <c r="N211" i="37" s="1"/>
  <c r="AH218" i="37"/>
  <c r="AH217" i="37"/>
  <c r="AH216" i="37"/>
  <c r="AH215" i="37"/>
  <c r="AH214" i="37"/>
  <c r="AH213" i="37"/>
  <c r="AH212" i="37"/>
  <c r="AH211" i="37"/>
  <c r="S176" i="39"/>
  <c r="T175" i="39"/>
  <c r="AJ198" i="39"/>
  <c r="AK198" i="39" s="1"/>
  <c r="AL198" i="39" s="1"/>
  <c r="AM198" i="39"/>
  <c r="AN198" i="39" s="1"/>
  <c r="AO198" i="39" s="1"/>
  <c r="AJ202" i="39"/>
  <c r="AK202" i="39" s="1"/>
  <c r="AL202" i="39" s="1"/>
  <c r="AM202" i="39"/>
  <c r="AN202" i="39" s="1"/>
  <c r="AO202" i="39" s="1"/>
  <c r="AJ208" i="39"/>
  <c r="AK208" i="39" s="1"/>
  <c r="AL208" i="39" s="1"/>
  <c r="AM208" i="39"/>
  <c r="AN208" i="39" s="1"/>
  <c r="AO208" i="39" s="1"/>
  <c r="AJ216" i="39"/>
  <c r="AK216" i="39" s="1"/>
  <c r="AL216" i="39" s="1"/>
  <c r="AM216" i="39"/>
  <c r="AN216" i="39" s="1"/>
  <c r="AO216" i="39" s="1"/>
  <c r="AM209" i="39"/>
  <c r="AN209" i="39" s="1"/>
  <c r="AO209" i="39" s="1"/>
  <c r="AJ209" i="39"/>
  <c r="AK209" i="39" s="1"/>
  <c r="AL209" i="39" s="1"/>
  <c r="AM217" i="39"/>
  <c r="AN217" i="39" s="1"/>
  <c r="AO217" i="39" s="1"/>
  <c r="AJ217" i="39"/>
  <c r="AK217" i="39" s="1"/>
  <c r="AL217" i="39" s="1"/>
  <c r="AT143" i="38"/>
  <c r="AE143" i="38"/>
  <c r="AS216" i="41"/>
  <c r="AT216" i="41"/>
  <c r="AV216" i="41" s="1"/>
  <c r="AS208" i="41"/>
  <c r="AS200" i="41"/>
  <c r="R147" i="42"/>
  <c r="V146" i="42"/>
  <c r="AE173" i="39"/>
  <c r="AT173" i="39"/>
  <c r="BG184" i="38"/>
  <c r="R145" i="38"/>
  <c r="V144" i="38"/>
  <c r="AT145" i="42"/>
  <c r="AE145" i="42"/>
  <c r="T150" i="41"/>
  <c r="S151" i="41"/>
  <c r="AT148" i="37"/>
  <c r="AE148" i="37"/>
  <c r="AS214" i="41"/>
  <c r="AT214" i="41"/>
  <c r="AV214" i="41" s="1"/>
  <c r="AS206" i="41"/>
  <c r="AS198" i="41"/>
  <c r="V175" i="37"/>
  <c r="R176" i="37"/>
  <c r="BH249" i="37"/>
  <c r="AH220" i="42"/>
  <c r="O220" i="42"/>
  <c r="P220" i="42" s="1"/>
  <c r="Q220" i="42" s="1"/>
  <c r="AH221" i="42"/>
  <c r="O221" i="42"/>
  <c r="P221" i="42" s="1"/>
  <c r="Q221" i="42" s="1"/>
  <c r="AH219" i="42"/>
  <c r="AH218" i="42"/>
  <c r="O218" i="42"/>
  <c r="P218" i="42" s="1"/>
  <c r="Q218" i="42" s="1"/>
  <c r="AH214" i="42"/>
  <c r="AI214" i="42" s="1"/>
  <c r="O214" i="42"/>
  <c r="P214" i="42" s="1"/>
  <c r="Q214" i="42" s="1"/>
  <c r="AH216" i="42"/>
  <c r="O216" i="42"/>
  <c r="P216" i="42" s="1"/>
  <c r="Q216" i="42" s="1"/>
  <c r="AH212" i="42"/>
  <c r="AI212" i="42" s="1"/>
  <c r="O212" i="42"/>
  <c r="P212" i="42" s="1"/>
  <c r="Q212" i="42" s="1"/>
  <c r="O219" i="42"/>
  <c r="P219" i="42" s="1"/>
  <c r="Q219" i="42" s="1"/>
  <c r="AH217" i="42"/>
  <c r="O217" i="42"/>
  <c r="P217" i="42" s="1"/>
  <c r="Q217" i="42" s="1"/>
  <c r="AH213" i="42"/>
  <c r="AI213" i="42" s="1"/>
  <c r="O213" i="42"/>
  <c r="P213" i="42" s="1"/>
  <c r="Q213" i="42" s="1"/>
  <c r="AH215" i="42"/>
  <c r="AI215" i="42" s="1"/>
  <c r="AH208" i="42"/>
  <c r="AI208" i="42" s="1"/>
  <c r="O208" i="42"/>
  <c r="P208" i="42" s="1"/>
  <c r="Q208" i="42" s="1"/>
  <c r="AH210" i="42"/>
  <c r="AI210" i="42" s="1"/>
  <c r="O210" i="42"/>
  <c r="P210" i="42" s="1"/>
  <c r="Q210" i="42" s="1"/>
  <c r="AH206" i="42"/>
  <c r="O206" i="42"/>
  <c r="P206" i="42" s="1"/>
  <c r="Q206" i="42" s="1"/>
  <c r="O215" i="42"/>
  <c r="P215" i="42" s="1"/>
  <c r="Q215" i="42" s="1"/>
  <c r="AH211" i="42"/>
  <c r="AI211" i="42" s="1"/>
  <c r="O211" i="42"/>
  <c r="P211" i="42" s="1"/>
  <c r="Q211" i="42" s="1"/>
  <c r="AH207" i="42"/>
  <c r="AI207" i="42" s="1"/>
  <c r="O207" i="42"/>
  <c r="P207" i="42" s="1"/>
  <c r="Q207" i="42" s="1"/>
  <c r="O209" i="42"/>
  <c r="P209" i="42" s="1"/>
  <c r="Q209" i="42" s="1"/>
  <c r="AH205" i="42"/>
  <c r="AI205" i="42" s="1"/>
  <c r="AH209" i="42"/>
  <c r="AI209" i="42" s="1"/>
  <c r="AH204" i="42"/>
  <c r="AI204" i="42" s="1"/>
  <c r="O204" i="42"/>
  <c r="P204" i="42" s="1"/>
  <c r="Q204" i="42" s="1"/>
  <c r="AH200" i="42"/>
  <c r="AI200" i="42" s="1"/>
  <c r="O200" i="42"/>
  <c r="P200" i="42" s="1"/>
  <c r="Q200" i="42" s="1"/>
  <c r="AH203" i="42"/>
  <c r="AI203" i="42" s="1"/>
  <c r="O203" i="42"/>
  <c r="P203" i="42" s="1"/>
  <c r="Q203" i="42" s="1"/>
  <c r="AH199" i="42"/>
  <c r="AI199" i="42" s="1"/>
  <c r="O199" i="42"/>
  <c r="P199" i="42" s="1"/>
  <c r="Q199" i="42" s="1"/>
  <c r="O205" i="42"/>
  <c r="P205" i="42" s="1"/>
  <c r="Q205" i="42" s="1"/>
  <c r="AH202" i="42"/>
  <c r="AI202" i="42" s="1"/>
  <c r="O202" i="42"/>
  <c r="P202" i="42" s="1"/>
  <c r="Q202" i="42" s="1"/>
  <c r="AH198" i="42"/>
  <c r="AI198" i="42" s="1"/>
  <c r="O198" i="42"/>
  <c r="P198" i="42" s="1"/>
  <c r="Q198" i="42" s="1"/>
  <c r="O201" i="42"/>
  <c r="P201" i="42" s="1"/>
  <c r="Q201" i="42" s="1"/>
  <c r="AH197" i="42"/>
  <c r="AI197" i="42" s="1"/>
  <c r="O197" i="42"/>
  <c r="P197" i="42" s="1"/>
  <c r="Q197" i="42" s="1"/>
  <c r="AH196" i="42"/>
  <c r="AI196" i="42" s="1"/>
  <c r="J196" i="42"/>
  <c r="K196" i="42" s="1"/>
  <c r="L196" i="42" s="1"/>
  <c r="M196" i="42" s="1"/>
  <c r="N196" i="42" s="1"/>
  <c r="AH201" i="42"/>
  <c r="AI201" i="42" s="1"/>
  <c r="O196" i="42"/>
  <c r="P196" i="42" s="1"/>
  <c r="C194" i="35"/>
  <c r="AM188" i="35"/>
  <c r="AN188" i="35" s="1"/>
  <c r="AO188" i="35" s="1"/>
  <c r="AM185" i="35"/>
  <c r="AN185" i="35" s="1"/>
  <c r="AO185" i="35" s="1"/>
  <c r="R172" i="35"/>
  <c r="V171" i="35"/>
  <c r="S145" i="35"/>
  <c r="T144" i="35"/>
  <c r="R145" i="35" s="1"/>
  <c r="AT142" i="35"/>
  <c r="AE142" i="35"/>
  <c r="AD152" i="35" s="1"/>
  <c r="AC152" i="35" s="1"/>
  <c r="AF142" i="35"/>
  <c r="AF140" i="35"/>
  <c r="T134" i="35"/>
  <c r="T172" i="35"/>
  <c r="S173" i="35"/>
  <c r="BG171" i="35"/>
  <c r="AF139" i="35"/>
  <c r="AJ206" i="42" l="1"/>
  <c r="AI206" i="42"/>
  <c r="AI222" i="42" s="1"/>
  <c r="AX226" i="42" s="1"/>
  <c r="AD142" i="35"/>
  <c r="AC142" i="35" s="1"/>
  <c r="AD146" i="35"/>
  <c r="AC146" i="35" s="1"/>
  <c r="AD155" i="35"/>
  <c r="AC155" i="35" s="1"/>
  <c r="AD145" i="35"/>
  <c r="AC145" i="35" s="1"/>
  <c r="AD143" i="35"/>
  <c r="AC143" i="35" s="1"/>
  <c r="AD148" i="35"/>
  <c r="AC148" i="35" s="1"/>
  <c r="AD140" i="35"/>
  <c r="AC140" i="35" s="1"/>
  <c r="AD153" i="35"/>
  <c r="AC153" i="35" s="1"/>
  <c r="AD138" i="35"/>
  <c r="AC138" i="35" s="1"/>
  <c r="AS213" i="39"/>
  <c r="AS217" i="39"/>
  <c r="AS215" i="39"/>
  <c r="AS210" i="39"/>
  <c r="AS195" i="39"/>
  <c r="AS199" i="39"/>
  <c r="AX217" i="41"/>
  <c r="AZ217" i="41" s="1"/>
  <c r="BB217" i="41" s="1"/>
  <c r="AW214" i="41"/>
  <c r="AY214" i="41" s="1"/>
  <c r="BA214" i="41" s="1"/>
  <c r="AX216" i="41"/>
  <c r="AZ216" i="41" s="1"/>
  <c r="BB216" i="41" s="1"/>
  <c r="AW219" i="41"/>
  <c r="AY219" i="41" s="1"/>
  <c r="BA219" i="41" s="1"/>
  <c r="AW220" i="41"/>
  <c r="AY220" i="41" s="1"/>
  <c r="BA220" i="41" s="1"/>
  <c r="AD157" i="35"/>
  <c r="AC157" i="35" s="1"/>
  <c r="AD139" i="35"/>
  <c r="AC139" i="35" s="1"/>
  <c r="AS208" i="39"/>
  <c r="AW218" i="41"/>
  <c r="AY218" i="41" s="1"/>
  <c r="BA218" i="41" s="1"/>
  <c r="AD141" i="35"/>
  <c r="AC141" i="35" s="1"/>
  <c r="AD147" i="35"/>
  <c r="AC147" i="35" s="1"/>
  <c r="AD154" i="35"/>
  <c r="AC154" i="35" s="1"/>
  <c r="AW215" i="41"/>
  <c r="AY215" i="41" s="1"/>
  <c r="BA215" i="41" s="1"/>
  <c r="AS207" i="39"/>
  <c r="AS198" i="39"/>
  <c r="AD144" i="35"/>
  <c r="AC144" i="35" s="1"/>
  <c r="AX213" i="41"/>
  <c r="AZ213" i="41" s="1"/>
  <c r="AB213" i="41" s="1"/>
  <c r="AP189" i="38"/>
  <c r="AS218" i="39"/>
  <c r="AS203" i="39"/>
  <c r="AJ202" i="42"/>
  <c r="AK202" i="42" s="1"/>
  <c r="AL202" i="42" s="1"/>
  <c r="AM202" i="42"/>
  <c r="AN202" i="42" s="1"/>
  <c r="AO202" i="42" s="1"/>
  <c r="AJ211" i="42"/>
  <c r="AK211" i="42" s="1"/>
  <c r="AL211" i="42" s="1"/>
  <c r="AM211" i="42"/>
  <c r="AN211" i="42" s="1"/>
  <c r="AO211" i="42" s="1"/>
  <c r="AJ215" i="42"/>
  <c r="AK215" i="42" s="1"/>
  <c r="AL215" i="42" s="1"/>
  <c r="AM215" i="42"/>
  <c r="AN215" i="42" s="1"/>
  <c r="AO215" i="42" s="1"/>
  <c r="AJ217" i="42"/>
  <c r="AK217" i="42" s="1"/>
  <c r="AL217" i="42" s="1"/>
  <c r="AM217" i="42"/>
  <c r="AN217" i="42" s="1"/>
  <c r="AO217" i="42" s="1"/>
  <c r="AJ221" i="42"/>
  <c r="AK221" i="42" s="1"/>
  <c r="AL221" i="42" s="1"/>
  <c r="AM221" i="42"/>
  <c r="AN221" i="42" s="1"/>
  <c r="AO221" i="42" s="1"/>
  <c r="BH250" i="37"/>
  <c r="AJ211" i="37"/>
  <c r="AK211" i="37" s="1"/>
  <c r="AL211" i="37" s="1"/>
  <c r="AM211" i="37"/>
  <c r="AN211" i="37" s="1"/>
  <c r="AO211" i="37" s="1"/>
  <c r="AJ215" i="37"/>
  <c r="AK215" i="37" s="1"/>
  <c r="AL215" i="37" s="1"/>
  <c r="AM215" i="37"/>
  <c r="AN215" i="37" s="1"/>
  <c r="AO215" i="37" s="1"/>
  <c r="AE173" i="38"/>
  <c r="AT173" i="38"/>
  <c r="S152" i="40"/>
  <c r="T151" i="40"/>
  <c r="AJ212" i="40"/>
  <c r="AK212" i="40" s="1"/>
  <c r="AL212" i="40" s="1"/>
  <c r="AM212" i="40"/>
  <c r="AN212" i="40" s="1"/>
  <c r="AO212" i="40" s="1"/>
  <c r="AJ217" i="40"/>
  <c r="AK217" i="40" s="1"/>
  <c r="AL217" i="40" s="1"/>
  <c r="AM217" i="40"/>
  <c r="AN217" i="40" s="1"/>
  <c r="AO217" i="40" s="1"/>
  <c r="AM197" i="40"/>
  <c r="AN197" i="40" s="1"/>
  <c r="AO197" i="40" s="1"/>
  <c r="AJ197" i="40"/>
  <c r="AK197" i="40" s="1"/>
  <c r="AL197" i="40" s="1"/>
  <c r="AM201" i="40"/>
  <c r="AN201" i="40" s="1"/>
  <c r="AO201" i="40" s="1"/>
  <c r="AJ201" i="40"/>
  <c r="AK201" i="40" s="1"/>
  <c r="AL201" i="40" s="1"/>
  <c r="AM205" i="40"/>
  <c r="AN205" i="40" s="1"/>
  <c r="AO205" i="40" s="1"/>
  <c r="AJ205" i="40"/>
  <c r="AK205" i="40" s="1"/>
  <c r="AL205" i="40" s="1"/>
  <c r="AM209" i="40"/>
  <c r="AN209" i="40" s="1"/>
  <c r="AO209" i="40" s="1"/>
  <c r="AJ209" i="40"/>
  <c r="AK209" i="40" s="1"/>
  <c r="AL209" i="40" s="1"/>
  <c r="AM220" i="40"/>
  <c r="AN220" i="40" s="1"/>
  <c r="AO220" i="40" s="1"/>
  <c r="AJ220" i="40"/>
  <c r="AK220" i="40" s="1"/>
  <c r="AL220" i="40" s="1"/>
  <c r="AT174" i="42"/>
  <c r="AE174" i="42"/>
  <c r="R148" i="42"/>
  <c r="V147" i="42"/>
  <c r="R175" i="38"/>
  <c r="V174" i="38"/>
  <c r="AT170" i="41"/>
  <c r="AE170" i="41"/>
  <c r="BH235" i="41"/>
  <c r="S168" i="40"/>
  <c r="T167" i="40"/>
  <c r="AT176" i="36"/>
  <c r="AE176" i="36"/>
  <c r="R151" i="37"/>
  <c r="S151" i="37" s="1"/>
  <c r="T151" i="37" s="1"/>
  <c r="V150" i="37"/>
  <c r="BG175" i="42"/>
  <c r="AJ203" i="42"/>
  <c r="AK203" i="42" s="1"/>
  <c r="AL203" i="42" s="1"/>
  <c r="AM203" i="42"/>
  <c r="AN203" i="42" s="1"/>
  <c r="AO203" i="42" s="1"/>
  <c r="AJ204" i="42"/>
  <c r="AK204" i="42" s="1"/>
  <c r="AL204" i="42" s="1"/>
  <c r="AM204" i="42"/>
  <c r="AN204" i="42" s="1"/>
  <c r="AO204" i="42" s="1"/>
  <c r="AM210" i="42"/>
  <c r="AN210" i="42" s="1"/>
  <c r="AO210" i="42" s="1"/>
  <c r="AJ210" i="42"/>
  <c r="AK210" i="42" s="1"/>
  <c r="AL210" i="42" s="1"/>
  <c r="AM216" i="42"/>
  <c r="AN216" i="42" s="1"/>
  <c r="AO216" i="42" s="1"/>
  <c r="AJ216" i="42"/>
  <c r="AK216" i="42" s="1"/>
  <c r="AL216" i="42" s="1"/>
  <c r="BG185" i="38"/>
  <c r="AT146" i="42"/>
  <c r="AE146" i="42"/>
  <c r="AS209" i="39"/>
  <c r="AJ212" i="37"/>
  <c r="AK212" i="37" s="1"/>
  <c r="AL212" i="37" s="1"/>
  <c r="AM212" i="37"/>
  <c r="AN212" i="37" s="1"/>
  <c r="AO212" i="37" s="1"/>
  <c r="AJ216" i="37"/>
  <c r="AK216" i="37" s="1"/>
  <c r="AL216" i="37" s="1"/>
  <c r="AM216" i="37"/>
  <c r="AN216" i="37" s="1"/>
  <c r="AO216" i="37" s="1"/>
  <c r="Q211" i="37"/>
  <c r="S211" i="37" s="1"/>
  <c r="T211" i="37" s="1"/>
  <c r="V171" i="41"/>
  <c r="R172" i="41"/>
  <c r="AJ214" i="40"/>
  <c r="AK214" i="40" s="1"/>
  <c r="AL214" i="40" s="1"/>
  <c r="AM214" i="40"/>
  <c r="AN214" i="40" s="1"/>
  <c r="AO214" i="40" s="1"/>
  <c r="Q195" i="40"/>
  <c r="S195" i="40" s="1"/>
  <c r="T195" i="40" s="1"/>
  <c r="AM198" i="40"/>
  <c r="AN198" i="40" s="1"/>
  <c r="AO198" i="40" s="1"/>
  <c r="AJ198" i="40"/>
  <c r="AK198" i="40" s="1"/>
  <c r="AL198" i="40" s="1"/>
  <c r="AM202" i="40"/>
  <c r="AN202" i="40" s="1"/>
  <c r="AO202" i="40" s="1"/>
  <c r="AJ202" i="40"/>
  <c r="AK202" i="40" s="1"/>
  <c r="AL202" i="40" s="1"/>
  <c r="AM206" i="40"/>
  <c r="AN206" i="40" s="1"/>
  <c r="AO206" i="40" s="1"/>
  <c r="AJ206" i="40"/>
  <c r="AK206" i="40" s="1"/>
  <c r="AL206" i="40" s="1"/>
  <c r="AM210" i="40"/>
  <c r="AN210" i="40" s="1"/>
  <c r="AO210" i="40" s="1"/>
  <c r="AJ210" i="40"/>
  <c r="AK210" i="40" s="1"/>
  <c r="AL210" i="40" s="1"/>
  <c r="R146" i="38"/>
  <c r="V145" i="38"/>
  <c r="AS214" i="39"/>
  <c r="AS201" i="39"/>
  <c r="S176" i="38"/>
  <c r="T175" i="38"/>
  <c r="AT149" i="40"/>
  <c r="AE149" i="40"/>
  <c r="R151" i="36"/>
  <c r="S151" i="36" s="1"/>
  <c r="T151" i="36" s="1"/>
  <c r="V150" i="36"/>
  <c r="AX220" i="41"/>
  <c r="AZ220" i="41" s="1"/>
  <c r="AS212" i="39"/>
  <c r="AS204" i="39"/>
  <c r="AS196" i="39"/>
  <c r="T147" i="39"/>
  <c r="S148" i="39"/>
  <c r="S178" i="37"/>
  <c r="T177" i="37"/>
  <c r="AE165" i="40"/>
  <c r="AT165" i="40"/>
  <c r="AX219" i="41"/>
  <c r="AZ219" i="41" s="1"/>
  <c r="BG175" i="39"/>
  <c r="AS211" i="39"/>
  <c r="AM218" i="42"/>
  <c r="AN218" i="42" s="1"/>
  <c r="AO218" i="42" s="1"/>
  <c r="AJ218" i="42"/>
  <c r="AK218" i="42" s="1"/>
  <c r="AL218" i="42" s="1"/>
  <c r="Q196" i="42"/>
  <c r="S196" i="42" s="1"/>
  <c r="T196" i="42" s="1"/>
  <c r="AJ198" i="42"/>
  <c r="AK198" i="42" s="1"/>
  <c r="AL198" i="42" s="1"/>
  <c r="AM198" i="42"/>
  <c r="AN198" i="42" s="1"/>
  <c r="AO198" i="42" s="1"/>
  <c r="AJ209" i="42"/>
  <c r="AK209" i="42" s="1"/>
  <c r="AL209" i="42" s="1"/>
  <c r="AM209" i="42"/>
  <c r="AN209" i="42" s="1"/>
  <c r="AO209" i="42" s="1"/>
  <c r="AJ207" i="42"/>
  <c r="AK207" i="42" s="1"/>
  <c r="AL207" i="42" s="1"/>
  <c r="AM207" i="42"/>
  <c r="AN207" i="42" s="1"/>
  <c r="AO207" i="42" s="1"/>
  <c r="AJ213" i="42"/>
  <c r="AK213" i="42" s="1"/>
  <c r="AL213" i="42" s="1"/>
  <c r="AM213" i="42"/>
  <c r="AN213" i="42" s="1"/>
  <c r="AO213" i="42" s="1"/>
  <c r="AM219" i="42"/>
  <c r="AN219" i="42" s="1"/>
  <c r="AO219" i="42" s="1"/>
  <c r="AJ219" i="42"/>
  <c r="AK219" i="42" s="1"/>
  <c r="AL219" i="42" s="1"/>
  <c r="AJ220" i="42"/>
  <c r="AK220" i="42" s="1"/>
  <c r="AL220" i="42" s="1"/>
  <c r="AM220" i="42"/>
  <c r="AN220" i="42" s="1"/>
  <c r="AO220" i="42" s="1"/>
  <c r="AX214" i="41"/>
  <c r="AZ214" i="41" s="1"/>
  <c r="T151" i="41"/>
  <c r="S152" i="41"/>
  <c r="AW216" i="41"/>
  <c r="AY216" i="41" s="1"/>
  <c r="BA216" i="41" s="1"/>
  <c r="AS216" i="39"/>
  <c r="AS202" i="39"/>
  <c r="V175" i="39"/>
  <c r="R176" i="39"/>
  <c r="AJ213" i="37"/>
  <c r="AK213" i="37" s="1"/>
  <c r="AL213" i="37" s="1"/>
  <c r="AM213" i="37"/>
  <c r="AN213" i="37" s="1"/>
  <c r="AO213" i="37" s="1"/>
  <c r="AJ217" i="37"/>
  <c r="AK217" i="37" s="1"/>
  <c r="AL217" i="37" s="1"/>
  <c r="AM217" i="37"/>
  <c r="AN217" i="37" s="1"/>
  <c r="AO217" i="37" s="1"/>
  <c r="AW213" i="41"/>
  <c r="AY213" i="41" s="1"/>
  <c r="BA213" i="41" s="1"/>
  <c r="S173" i="41"/>
  <c r="T172" i="41"/>
  <c r="BH237" i="36"/>
  <c r="AJ216" i="40"/>
  <c r="AK216" i="40" s="1"/>
  <c r="AL216" i="40" s="1"/>
  <c r="AM216" i="40"/>
  <c r="AN216" i="40" s="1"/>
  <c r="AO216" i="40" s="1"/>
  <c r="AJ213" i="40"/>
  <c r="AK213" i="40" s="1"/>
  <c r="AL213" i="40" s="1"/>
  <c r="AM213" i="40"/>
  <c r="AN213" i="40" s="1"/>
  <c r="AO213" i="40" s="1"/>
  <c r="AM195" i="40"/>
  <c r="AN195" i="40" s="1"/>
  <c r="AO195" i="40" s="1"/>
  <c r="AJ195" i="40"/>
  <c r="AK195" i="40" s="1"/>
  <c r="AL195" i="40" s="1"/>
  <c r="AM199" i="40"/>
  <c r="AN199" i="40" s="1"/>
  <c r="AO199" i="40" s="1"/>
  <c r="AJ199" i="40"/>
  <c r="AK199" i="40" s="1"/>
  <c r="AL199" i="40" s="1"/>
  <c r="AM203" i="40"/>
  <c r="AN203" i="40" s="1"/>
  <c r="AO203" i="40" s="1"/>
  <c r="AJ203" i="40"/>
  <c r="AK203" i="40" s="1"/>
  <c r="AL203" i="40" s="1"/>
  <c r="AM207" i="40"/>
  <c r="AN207" i="40" s="1"/>
  <c r="AO207" i="40" s="1"/>
  <c r="AJ207" i="40"/>
  <c r="AK207" i="40" s="1"/>
  <c r="AL207" i="40" s="1"/>
  <c r="AM211" i="40"/>
  <c r="AN211" i="40" s="1"/>
  <c r="AO211" i="40" s="1"/>
  <c r="AJ211" i="40"/>
  <c r="AK211" i="40" s="1"/>
  <c r="AL211" i="40" s="1"/>
  <c r="S147" i="38"/>
  <c r="T146" i="38"/>
  <c r="BH222" i="40"/>
  <c r="AT174" i="39"/>
  <c r="AE174" i="39"/>
  <c r="AE149" i="36"/>
  <c r="AT149" i="36"/>
  <c r="V175" i="42"/>
  <c r="R176" i="42"/>
  <c r="R147" i="39"/>
  <c r="V146" i="39"/>
  <c r="T196" i="41"/>
  <c r="S197" i="41"/>
  <c r="R177" i="37"/>
  <c r="V176" i="37"/>
  <c r="AT149" i="41"/>
  <c r="AE149" i="41"/>
  <c r="T178" i="36"/>
  <c r="S179" i="36"/>
  <c r="R196" i="39"/>
  <c r="S196" i="39" s="1"/>
  <c r="V195" i="39"/>
  <c r="AM196" i="42"/>
  <c r="AN196" i="42" s="1"/>
  <c r="AO196" i="42" s="1"/>
  <c r="AJ196" i="42"/>
  <c r="AK196" i="42" s="1"/>
  <c r="AL196" i="42" s="1"/>
  <c r="AJ201" i="42"/>
  <c r="AK201" i="42" s="1"/>
  <c r="AL201" i="42" s="1"/>
  <c r="AM201" i="42"/>
  <c r="AN201" i="42" s="1"/>
  <c r="AO201" i="42" s="1"/>
  <c r="AM197" i="42"/>
  <c r="AN197" i="42" s="1"/>
  <c r="AO197" i="42" s="1"/>
  <c r="AJ197" i="42"/>
  <c r="AK197" i="42" s="1"/>
  <c r="AL197" i="42" s="1"/>
  <c r="AJ199" i="42"/>
  <c r="AK199" i="42" s="1"/>
  <c r="AL199" i="42" s="1"/>
  <c r="AM199" i="42"/>
  <c r="AN199" i="42" s="1"/>
  <c r="AO199" i="42" s="1"/>
  <c r="AM200" i="42"/>
  <c r="AN200" i="42" s="1"/>
  <c r="AO200" i="42" s="1"/>
  <c r="AJ200" i="42"/>
  <c r="AK200" i="42" s="1"/>
  <c r="AL200" i="42" s="1"/>
  <c r="AJ205" i="42"/>
  <c r="AK205" i="42" s="1"/>
  <c r="AL205" i="42" s="1"/>
  <c r="AM205" i="42"/>
  <c r="AN205" i="42" s="1"/>
  <c r="AO205" i="42" s="1"/>
  <c r="AM206" i="42"/>
  <c r="AN206" i="42" s="1"/>
  <c r="AO206" i="42" s="1"/>
  <c r="AK206" i="42"/>
  <c r="AL206" i="42" s="1"/>
  <c r="AM208" i="42"/>
  <c r="AN208" i="42" s="1"/>
  <c r="AO208" i="42" s="1"/>
  <c r="AJ208" i="42"/>
  <c r="AK208" i="42" s="1"/>
  <c r="AL208" i="42" s="1"/>
  <c r="AM212" i="42"/>
  <c r="AN212" i="42" s="1"/>
  <c r="AO212" i="42" s="1"/>
  <c r="AJ212" i="42"/>
  <c r="AK212" i="42" s="1"/>
  <c r="AL212" i="42" s="1"/>
  <c r="AM214" i="42"/>
  <c r="AN214" i="42" s="1"/>
  <c r="AO214" i="42" s="1"/>
  <c r="AJ214" i="42"/>
  <c r="AK214" i="42" s="1"/>
  <c r="AL214" i="42" s="1"/>
  <c r="AE175" i="37"/>
  <c r="AT175" i="37"/>
  <c r="R151" i="41"/>
  <c r="V150" i="41"/>
  <c r="AE144" i="38"/>
  <c r="AT144" i="38"/>
  <c r="S177" i="39"/>
  <c r="T176" i="39"/>
  <c r="AJ214" i="37"/>
  <c r="AK214" i="37" s="1"/>
  <c r="AL214" i="37" s="1"/>
  <c r="AM214" i="37"/>
  <c r="AN214" i="37" s="1"/>
  <c r="AO214" i="37" s="1"/>
  <c r="AJ218" i="37"/>
  <c r="AK218" i="37" s="1"/>
  <c r="AL218" i="37" s="1"/>
  <c r="AM218" i="37"/>
  <c r="AN218" i="37" s="1"/>
  <c r="AO218" i="37" s="1"/>
  <c r="R151" i="40"/>
  <c r="V150" i="40"/>
  <c r="AJ218" i="40"/>
  <c r="AK218" i="40" s="1"/>
  <c r="AL218" i="40" s="1"/>
  <c r="AM218" i="40"/>
  <c r="AN218" i="40" s="1"/>
  <c r="AO218" i="40" s="1"/>
  <c r="AJ215" i="40"/>
  <c r="AK215" i="40" s="1"/>
  <c r="AL215" i="40" s="1"/>
  <c r="AM215" i="40"/>
  <c r="AN215" i="40" s="1"/>
  <c r="AO215" i="40" s="1"/>
  <c r="AM196" i="40"/>
  <c r="AN196" i="40" s="1"/>
  <c r="AO196" i="40" s="1"/>
  <c r="AJ196" i="40"/>
  <c r="AK196" i="40" s="1"/>
  <c r="AL196" i="40" s="1"/>
  <c r="AM200" i="40"/>
  <c r="AN200" i="40" s="1"/>
  <c r="AO200" i="40" s="1"/>
  <c r="AJ200" i="40"/>
  <c r="AK200" i="40" s="1"/>
  <c r="AL200" i="40" s="1"/>
  <c r="AM204" i="40"/>
  <c r="AN204" i="40" s="1"/>
  <c r="AO204" i="40" s="1"/>
  <c r="AJ204" i="40"/>
  <c r="AK204" i="40" s="1"/>
  <c r="AL204" i="40" s="1"/>
  <c r="AM208" i="40"/>
  <c r="AN208" i="40" s="1"/>
  <c r="AO208" i="40" s="1"/>
  <c r="AJ208" i="40"/>
  <c r="AK208" i="40" s="1"/>
  <c r="AL208" i="40" s="1"/>
  <c r="AM219" i="40"/>
  <c r="AN219" i="40" s="1"/>
  <c r="AO219" i="40" s="1"/>
  <c r="AJ219" i="40"/>
  <c r="AK219" i="40" s="1"/>
  <c r="AL219" i="40" s="1"/>
  <c r="AX215" i="41"/>
  <c r="AZ215" i="41" s="1"/>
  <c r="T148" i="42"/>
  <c r="S149" i="42"/>
  <c r="AS206" i="39"/>
  <c r="AS197" i="39"/>
  <c r="AX218" i="41"/>
  <c r="AZ218" i="41" s="1"/>
  <c r="V166" i="40"/>
  <c r="R167" i="40"/>
  <c r="S177" i="42"/>
  <c r="T176" i="42"/>
  <c r="AS220" i="39"/>
  <c r="AT220" i="39"/>
  <c r="AV220" i="39" s="1"/>
  <c r="AS200" i="39"/>
  <c r="O219" i="38"/>
  <c r="P219" i="38" s="1"/>
  <c r="Q219" i="38" s="1"/>
  <c r="O217" i="38"/>
  <c r="P217" i="38" s="1"/>
  <c r="Q217" i="38" s="1"/>
  <c r="O215" i="38"/>
  <c r="P215" i="38" s="1"/>
  <c r="Q215" i="38" s="1"/>
  <c r="O213" i="38"/>
  <c r="P213" i="38" s="1"/>
  <c r="Q213" i="38" s="1"/>
  <c r="O211" i="38"/>
  <c r="P211" i="38" s="1"/>
  <c r="Q211" i="38" s="1"/>
  <c r="O210" i="38"/>
  <c r="P210" i="38" s="1"/>
  <c r="Q210" i="38" s="1"/>
  <c r="O209" i="38"/>
  <c r="P209" i="38" s="1"/>
  <c r="Q209" i="38" s="1"/>
  <c r="AH220" i="38"/>
  <c r="AH218" i="38"/>
  <c r="AH216" i="38"/>
  <c r="AH214" i="38"/>
  <c r="AH212" i="38"/>
  <c r="O220" i="38"/>
  <c r="P220" i="38" s="1"/>
  <c r="Q220" i="38" s="1"/>
  <c r="O218" i="38"/>
  <c r="P218" i="38" s="1"/>
  <c r="Q218" i="38" s="1"/>
  <c r="O216" i="38"/>
  <c r="P216" i="38" s="1"/>
  <c r="Q216" i="38" s="1"/>
  <c r="O214" i="38"/>
  <c r="P214" i="38" s="1"/>
  <c r="Q214" i="38" s="1"/>
  <c r="O212" i="38"/>
  <c r="P212" i="38" s="1"/>
  <c r="Q212" i="38" s="1"/>
  <c r="AH219" i="38"/>
  <c r="AH217" i="38"/>
  <c r="AH215" i="38"/>
  <c r="AH213" i="38"/>
  <c r="AH211" i="38"/>
  <c r="AH210" i="38"/>
  <c r="AH209" i="38"/>
  <c r="AH208" i="38"/>
  <c r="AH195" i="38"/>
  <c r="AH207" i="38"/>
  <c r="AH206" i="38"/>
  <c r="AH205" i="38"/>
  <c r="AH204" i="38"/>
  <c r="AH203" i="38"/>
  <c r="AH202" i="38"/>
  <c r="AH201" i="38"/>
  <c r="AH200" i="38"/>
  <c r="AH199" i="38"/>
  <c r="AH198" i="38"/>
  <c r="AH197" i="38"/>
  <c r="AH196" i="38"/>
  <c r="O195" i="38"/>
  <c r="P195" i="38" s="1"/>
  <c r="O208" i="38"/>
  <c r="P208" i="38" s="1"/>
  <c r="Q208" i="38" s="1"/>
  <c r="O207" i="38"/>
  <c r="P207" i="38" s="1"/>
  <c r="Q207" i="38" s="1"/>
  <c r="O206" i="38"/>
  <c r="P206" i="38" s="1"/>
  <c r="Q206" i="38" s="1"/>
  <c r="O205" i="38"/>
  <c r="P205" i="38" s="1"/>
  <c r="Q205" i="38" s="1"/>
  <c r="O204" i="38"/>
  <c r="P204" i="38" s="1"/>
  <c r="Q204" i="38" s="1"/>
  <c r="O203" i="38"/>
  <c r="P203" i="38" s="1"/>
  <c r="Q203" i="38" s="1"/>
  <c r="O202" i="38"/>
  <c r="P202" i="38" s="1"/>
  <c r="Q202" i="38" s="1"/>
  <c r="O201" i="38"/>
  <c r="P201" i="38" s="1"/>
  <c r="Q201" i="38" s="1"/>
  <c r="O200" i="38"/>
  <c r="P200" i="38" s="1"/>
  <c r="Q200" i="38" s="1"/>
  <c r="O199" i="38"/>
  <c r="P199" i="38" s="1"/>
  <c r="Q199" i="38" s="1"/>
  <c r="O198" i="38"/>
  <c r="P198" i="38" s="1"/>
  <c r="Q198" i="38" s="1"/>
  <c r="O197" i="38"/>
  <c r="P197" i="38" s="1"/>
  <c r="Q197" i="38" s="1"/>
  <c r="O196" i="38"/>
  <c r="P196" i="38" s="1"/>
  <c r="Q196" i="38" s="1"/>
  <c r="J195" i="38"/>
  <c r="K195" i="38" s="1"/>
  <c r="L195" i="38" s="1"/>
  <c r="M195" i="38" s="1"/>
  <c r="N195" i="38" s="1"/>
  <c r="AT195" i="41"/>
  <c r="AW217" i="41"/>
  <c r="AY217" i="41" s="1"/>
  <c r="BA217" i="41" s="1"/>
  <c r="AT149" i="37"/>
  <c r="AE149" i="37"/>
  <c r="V177" i="36"/>
  <c r="R178" i="36"/>
  <c r="AS219" i="39"/>
  <c r="AT219" i="39"/>
  <c r="AV219" i="39" s="1"/>
  <c r="AS205" i="39"/>
  <c r="AT145" i="39"/>
  <c r="AE145" i="39"/>
  <c r="R173" i="35"/>
  <c r="V172" i="35"/>
  <c r="AD151" i="35"/>
  <c r="AC151" i="35" s="1"/>
  <c r="AD150" i="35"/>
  <c r="AC150" i="35" s="1"/>
  <c r="AD156" i="35"/>
  <c r="AC156" i="35" s="1"/>
  <c r="AD149" i="35"/>
  <c r="AC149" i="35" s="1"/>
  <c r="AT171" i="35"/>
  <c r="AE171" i="35"/>
  <c r="AH212" i="35"/>
  <c r="O212" i="35"/>
  <c r="P212" i="35" s="1"/>
  <c r="Q212" i="35" s="1"/>
  <c r="AH208" i="35"/>
  <c r="O208" i="35"/>
  <c r="P208" i="35" s="1"/>
  <c r="Q208" i="35" s="1"/>
  <c r="AH213" i="35"/>
  <c r="O211" i="35"/>
  <c r="P211" i="35" s="1"/>
  <c r="Q211" i="35" s="1"/>
  <c r="O209" i="35"/>
  <c r="P209" i="35" s="1"/>
  <c r="Q209" i="35" s="1"/>
  <c r="O207" i="35"/>
  <c r="P207" i="35" s="1"/>
  <c r="Q207" i="35" s="1"/>
  <c r="O213" i="35"/>
  <c r="P213" i="35" s="1"/>
  <c r="Q213" i="35" s="1"/>
  <c r="AH211" i="35"/>
  <c r="AH205" i="35"/>
  <c r="O205" i="35"/>
  <c r="P205" i="35" s="1"/>
  <c r="Q205" i="35" s="1"/>
  <c r="AH207" i="35"/>
  <c r="O206" i="35"/>
  <c r="P206" i="35" s="1"/>
  <c r="Q206" i="35" s="1"/>
  <c r="AH204" i="35"/>
  <c r="AH201" i="35"/>
  <c r="AI201" i="35" s="1"/>
  <c r="O201" i="35"/>
  <c r="P201" i="35" s="1"/>
  <c r="Q201" i="35" s="1"/>
  <c r="AH197" i="35"/>
  <c r="AI197" i="35" s="1"/>
  <c r="O197" i="35"/>
  <c r="P197" i="35" s="1"/>
  <c r="Q197" i="35" s="1"/>
  <c r="AH210" i="35"/>
  <c r="AH209" i="35"/>
  <c r="AH206" i="35"/>
  <c r="AH203" i="35"/>
  <c r="AI203" i="35" s="1"/>
  <c r="O203" i="35"/>
  <c r="P203" i="35" s="1"/>
  <c r="Q203" i="35" s="1"/>
  <c r="AH199" i="35"/>
  <c r="AI199" i="35" s="1"/>
  <c r="O199" i="35"/>
  <c r="P199" i="35" s="1"/>
  <c r="Q199" i="35" s="1"/>
  <c r="AH195" i="35"/>
  <c r="AI195" i="35" s="1"/>
  <c r="O195" i="35"/>
  <c r="P195" i="35" s="1"/>
  <c r="Q195" i="35" s="1"/>
  <c r="AH194" i="35"/>
  <c r="AI194" i="35" s="1"/>
  <c r="J194" i="35"/>
  <c r="K194" i="35" s="1"/>
  <c r="L194" i="35" s="1"/>
  <c r="M194" i="35" s="1"/>
  <c r="N194" i="35" s="1"/>
  <c r="O200" i="35"/>
  <c r="P200" i="35" s="1"/>
  <c r="Q200" i="35" s="1"/>
  <c r="O204" i="35"/>
  <c r="P204" i="35" s="1"/>
  <c r="Q204" i="35" s="1"/>
  <c r="O202" i="35"/>
  <c r="P202" i="35" s="1"/>
  <c r="Q202" i="35" s="1"/>
  <c r="AH198" i="35"/>
  <c r="AI198" i="35" s="1"/>
  <c r="AH196" i="35"/>
  <c r="AI196" i="35" s="1"/>
  <c r="O210" i="35"/>
  <c r="P210" i="35" s="1"/>
  <c r="Q210" i="35" s="1"/>
  <c r="O198" i="35"/>
  <c r="P198" i="35" s="1"/>
  <c r="Q198" i="35" s="1"/>
  <c r="AH202" i="35"/>
  <c r="AI202" i="35" s="1"/>
  <c r="AH200" i="35"/>
  <c r="AI200" i="35" s="1"/>
  <c r="O196" i="35"/>
  <c r="P196" i="35" s="1"/>
  <c r="Q196" i="35" s="1"/>
  <c r="O194" i="35"/>
  <c r="P194" i="35" s="1"/>
  <c r="BG172" i="35"/>
  <c r="T173" i="35"/>
  <c r="S174" i="35"/>
  <c r="S146" i="35"/>
  <c r="T145" i="35"/>
  <c r="R146" i="35" s="1"/>
  <c r="AP188" i="35"/>
  <c r="AB217" i="41" l="1"/>
  <c r="AI218" i="35"/>
  <c r="AC137" i="35"/>
  <c r="AA138" i="35" s="1"/>
  <c r="AS216" i="40"/>
  <c r="AS217" i="40"/>
  <c r="AB216" i="41"/>
  <c r="AS217" i="42"/>
  <c r="AS211" i="42"/>
  <c r="AS212" i="42"/>
  <c r="AS206" i="42"/>
  <c r="AS197" i="42"/>
  <c r="AS196" i="42"/>
  <c r="AS200" i="42"/>
  <c r="AS216" i="42"/>
  <c r="AS215" i="42"/>
  <c r="AS202" i="42"/>
  <c r="BB213" i="41"/>
  <c r="AS208" i="40"/>
  <c r="AS200" i="40"/>
  <c r="AS206" i="40"/>
  <c r="AS198" i="40"/>
  <c r="AS213" i="37"/>
  <c r="AS215" i="37"/>
  <c r="AS210" i="42"/>
  <c r="AS213" i="40"/>
  <c r="AS213" i="42"/>
  <c r="AS212" i="40"/>
  <c r="AS211" i="37"/>
  <c r="AS208" i="42"/>
  <c r="AS196" i="40"/>
  <c r="AW220" i="39"/>
  <c r="AY220" i="39" s="1"/>
  <c r="BA220" i="39" s="1"/>
  <c r="AS204" i="40"/>
  <c r="AS214" i="42"/>
  <c r="AX219" i="39"/>
  <c r="AZ219" i="39" s="1"/>
  <c r="BB219" i="39" s="1"/>
  <c r="AS209" i="42"/>
  <c r="AJ197" i="38"/>
  <c r="AK197" i="38" s="1"/>
  <c r="AL197" i="38" s="1"/>
  <c r="AM197" i="38"/>
  <c r="AN197" i="38" s="1"/>
  <c r="AO197" i="38" s="1"/>
  <c r="AJ201" i="38"/>
  <c r="AK201" i="38" s="1"/>
  <c r="AL201" i="38" s="1"/>
  <c r="AM201" i="38"/>
  <c r="AN201" i="38" s="1"/>
  <c r="AO201" i="38" s="1"/>
  <c r="AJ205" i="38"/>
  <c r="AK205" i="38" s="1"/>
  <c r="AL205" i="38" s="1"/>
  <c r="AM205" i="38"/>
  <c r="AN205" i="38" s="1"/>
  <c r="AO205" i="38" s="1"/>
  <c r="AM208" i="38"/>
  <c r="AN208" i="38" s="1"/>
  <c r="AO208" i="38" s="1"/>
  <c r="AJ208" i="38"/>
  <c r="AK208" i="38" s="1"/>
  <c r="AL208" i="38" s="1"/>
  <c r="AJ213" i="38"/>
  <c r="AK213" i="38" s="1"/>
  <c r="AL213" i="38" s="1"/>
  <c r="AM213" i="38"/>
  <c r="AN213" i="38" s="1"/>
  <c r="AO213" i="38" s="1"/>
  <c r="AJ218" i="38"/>
  <c r="AK218" i="38" s="1"/>
  <c r="AL218" i="38" s="1"/>
  <c r="AM218" i="38"/>
  <c r="AN218" i="38" s="1"/>
  <c r="AO218" i="38" s="1"/>
  <c r="AT166" i="40"/>
  <c r="AE166" i="40"/>
  <c r="AS215" i="40"/>
  <c r="AT150" i="40"/>
  <c r="AE150" i="40"/>
  <c r="AS218" i="37"/>
  <c r="V176" i="39"/>
  <c r="R177" i="39"/>
  <c r="AS205" i="42"/>
  <c r="AS199" i="42"/>
  <c r="AS201" i="42"/>
  <c r="C232" i="42"/>
  <c r="X196" i="42"/>
  <c r="Z196" i="42" s="1"/>
  <c r="AT176" i="37"/>
  <c r="AE176" i="37"/>
  <c r="AT146" i="39"/>
  <c r="AE146" i="39"/>
  <c r="BH223" i="40"/>
  <c r="AS211" i="40"/>
  <c r="AS203" i="40"/>
  <c r="AS195" i="40"/>
  <c r="S174" i="41"/>
  <c r="T173" i="41"/>
  <c r="AS217" i="37"/>
  <c r="T152" i="41"/>
  <c r="R153" i="41" s="1"/>
  <c r="S153" i="41"/>
  <c r="T153" i="41" s="1"/>
  <c r="AS207" i="42"/>
  <c r="AS198" i="42"/>
  <c r="AT218" i="42"/>
  <c r="AS218" i="42"/>
  <c r="AT150" i="36"/>
  <c r="AE150" i="36"/>
  <c r="S177" i="38"/>
  <c r="T176" i="38"/>
  <c r="AS212" i="37"/>
  <c r="S169" i="40"/>
  <c r="T168" i="40"/>
  <c r="AE174" i="38"/>
  <c r="AT174" i="38"/>
  <c r="AJ198" i="38"/>
  <c r="AK198" i="38" s="1"/>
  <c r="AL198" i="38" s="1"/>
  <c r="AM198" i="38"/>
  <c r="AN198" i="38" s="1"/>
  <c r="AO198" i="38" s="1"/>
  <c r="AJ202" i="38"/>
  <c r="AK202" i="38" s="1"/>
  <c r="AL202" i="38" s="1"/>
  <c r="AM202" i="38"/>
  <c r="AN202" i="38" s="1"/>
  <c r="AO202" i="38" s="1"/>
  <c r="AJ206" i="38"/>
  <c r="AK206" i="38" s="1"/>
  <c r="AL206" i="38" s="1"/>
  <c r="AM206" i="38"/>
  <c r="AN206" i="38" s="1"/>
  <c r="AO206" i="38" s="1"/>
  <c r="AJ215" i="38"/>
  <c r="AK215" i="38" s="1"/>
  <c r="AL215" i="38" s="1"/>
  <c r="AM215" i="38"/>
  <c r="AN215" i="38" s="1"/>
  <c r="AO215" i="38" s="1"/>
  <c r="AJ212" i="38"/>
  <c r="AK212" i="38" s="1"/>
  <c r="AL212" i="38" s="1"/>
  <c r="AM212" i="38"/>
  <c r="AN212" i="38" s="1"/>
  <c r="AO212" i="38" s="1"/>
  <c r="AJ220" i="38"/>
  <c r="AK220" i="38" s="1"/>
  <c r="AL220" i="38" s="1"/>
  <c r="AM220" i="38"/>
  <c r="AN220" i="38" s="1"/>
  <c r="AO220" i="38" s="1"/>
  <c r="V176" i="42"/>
  <c r="R177" i="42"/>
  <c r="BB218" i="41"/>
  <c r="AB218" i="41"/>
  <c r="S150" i="42"/>
  <c r="T149" i="42"/>
  <c r="S178" i="39"/>
  <c r="T177" i="39"/>
  <c r="AT150" i="41"/>
  <c r="AE150" i="41"/>
  <c r="R147" i="38"/>
  <c r="V146" i="38"/>
  <c r="AE175" i="39"/>
  <c r="AT175" i="39"/>
  <c r="R152" i="41"/>
  <c r="V151" i="41"/>
  <c r="BB214" i="41"/>
  <c r="AB214" i="41"/>
  <c r="AS219" i="42"/>
  <c r="AT219" i="42"/>
  <c r="V177" i="37"/>
  <c r="R178" i="37"/>
  <c r="S149" i="39"/>
  <c r="T148" i="39"/>
  <c r="R152" i="36"/>
  <c r="S152" i="36" s="1"/>
  <c r="T152" i="36" s="1"/>
  <c r="V151" i="36"/>
  <c r="V195" i="40"/>
  <c r="R196" i="40"/>
  <c r="S196" i="40" s="1"/>
  <c r="AE171" i="41"/>
  <c r="AT171" i="41"/>
  <c r="R212" i="37"/>
  <c r="S212" i="37" s="1"/>
  <c r="V211" i="37"/>
  <c r="AS204" i="42"/>
  <c r="BG176" i="42"/>
  <c r="BH236" i="41"/>
  <c r="AS220" i="40"/>
  <c r="AT220" i="40"/>
  <c r="AV220" i="40" s="1"/>
  <c r="AS205" i="40"/>
  <c r="AS197" i="40"/>
  <c r="BH251" i="37"/>
  <c r="AW219" i="39"/>
  <c r="AY219" i="39" s="1"/>
  <c r="BA219" i="39" s="1"/>
  <c r="AJ209" i="38"/>
  <c r="AK209" i="38" s="1"/>
  <c r="AL209" i="38" s="1"/>
  <c r="AM209" i="38"/>
  <c r="AN209" i="38" s="1"/>
  <c r="AO209" i="38" s="1"/>
  <c r="Q195" i="38"/>
  <c r="S195" i="38" s="1"/>
  <c r="T195" i="38" s="1"/>
  <c r="AJ199" i="38"/>
  <c r="AK199" i="38" s="1"/>
  <c r="AL199" i="38" s="1"/>
  <c r="AM199" i="38"/>
  <c r="AN199" i="38" s="1"/>
  <c r="AO199" i="38" s="1"/>
  <c r="AJ203" i="38"/>
  <c r="AK203" i="38" s="1"/>
  <c r="AL203" i="38" s="1"/>
  <c r="AM203" i="38"/>
  <c r="AN203" i="38" s="1"/>
  <c r="AO203" i="38" s="1"/>
  <c r="AJ207" i="38"/>
  <c r="AK207" i="38" s="1"/>
  <c r="AL207" i="38" s="1"/>
  <c r="AM207" i="38"/>
  <c r="AN207" i="38" s="1"/>
  <c r="AO207" i="38" s="1"/>
  <c r="AJ210" i="38"/>
  <c r="AK210" i="38" s="1"/>
  <c r="AL210" i="38" s="1"/>
  <c r="AM210" i="38"/>
  <c r="AN210" i="38" s="1"/>
  <c r="AO210" i="38" s="1"/>
  <c r="AJ217" i="38"/>
  <c r="AK217" i="38" s="1"/>
  <c r="AL217" i="38" s="1"/>
  <c r="AM217" i="38"/>
  <c r="AN217" i="38" s="1"/>
  <c r="AO217" i="38" s="1"/>
  <c r="AJ214" i="38"/>
  <c r="AK214" i="38" s="1"/>
  <c r="AL214" i="38" s="1"/>
  <c r="AM214" i="38"/>
  <c r="AN214" i="38" s="1"/>
  <c r="AO214" i="38" s="1"/>
  <c r="AX220" i="39"/>
  <c r="AZ220" i="39" s="1"/>
  <c r="S178" i="42"/>
  <c r="T177" i="42"/>
  <c r="R149" i="42"/>
  <c r="V148" i="42"/>
  <c r="AS218" i="40"/>
  <c r="AS214" i="37"/>
  <c r="AT195" i="39"/>
  <c r="T179" i="36"/>
  <c r="S180" i="36"/>
  <c r="T197" i="41"/>
  <c r="S198" i="41"/>
  <c r="AE175" i="42"/>
  <c r="AT175" i="42"/>
  <c r="T147" i="38"/>
  <c r="S148" i="38"/>
  <c r="AS207" i="40"/>
  <c r="AS199" i="40"/>
  <c r="BH238" i="36"/>
  <c r="AS220" i="42"/>
  <c r="AT220" i="42"/>
  <c r="R197" i="42"/>
  <c r="S197" i="42" s="1"/>
  <c r="V196" i="42"/>
  <c r="T178" i="37"/>
  <c r="S179" i="37"/>
  <c r="R148" i="39"/>
  <c r="V147" i="39"/>
  <c r="AS210" i="40"/>
  <c r="AS202" i="40"/>
  <c r="AS214" i="40"/>
  <c r="AS216" i="37"/>
  <c r="BG186" i="38"/>
  <c r="AT150" i="37"/>
  <c r="AE150" i="37"/>
  <c r="R152" i="40"/>
  <c r="V151" i="40"/>
  <c r="AF149" i="40" s="1"/>
  <c r="AS221" i="42"/>
  <c r="AT221" i="42"/>
  <c r="AT177" i="36"/>
  <c r="AE177" i="36"/>
  <c r="AJ196" i="38"/>
  <c r="AK196" i="38" s="1"/>
  <c r="AL196" i="38" s="1"/>
  <c r="AM196" i="38"/>
  <c r="AN196" i="38" s="1"/>
  <c r="AO196" i="38" s="1"/>
  <c r="AJ200" i="38"/>
  <c r="AK200" i="38" s="1"/>
  <c r="AL200" i="38" s="1"/>
  <c r="AM200" i="38"/>
  <c r="AN200" i="38" s="1"/>
  <c r="AO200" i="38" s="1"/>
  <c r="AJ204" i="38"/>
  <c r="AK204" i="38" s="1"/>
  <c r="AL204" i="38" s="1"/>
  <c r="AM204" i="38"/>
  <c r="AN204" i="38" s="1"/>
  <c r="AO204" i="38" s="1"/>
  <c r="AJ195" i="38"/>
  <c r="AK195" i="38" s="1"/>
  <c r="AL195" i="38" s="1"/>
  <c r="AM195" i="38"/>
  <c r="AN195" i="38" s="1"/>
  <c r="AO195" i="38" s="1"/>
  <c r="AJ211" i="38"/>
  <c r="AK211" i="38" s="1"/>
  <c r="AL211" i="38" s="1"/>
  <c r="AM211" i="38"/>
  <c r="AN211" i="38" s="1"/>
  <c r="AO211" i="38" s="1"/>
  <c r="AJ219" i="38"/>
  <c r="AK219" i="38" s="1"/>
  <c r="AL219" i="38" s="1"/>
  <c r="AM219" i="38"/>
  <c r="AN219" i="38" s="1"/>
  <c r="AO219" i="38" s="1"/>
  <c r="AJ216" i="38"/>
  <c r="AK216" i="38" s="1"/>
  <c r="AL216" i="38" s="1"/>
  <c r="AM216" i="38"/>
  <c r="AN216" i="38" s="1"/>
  <c r="AO216" i="38" s="1"/>
  <c r="BB215" i="41"/>
  <c r="AB215" i="41"/>
  <c r="AS219" i="40"/>
  <c r="AT219" i="40"/>
  <c r="AV219" i="40" s="1"/>
  <c r="T196" i="39"/>
  <c r="S197" i="39"/>
  <c r="V178" i="36"/>
  <c r="R179" i="36"/>
  <c r="AF149" i="41"/>
  <c r="V196" i="41"/>
  <c r="R197" i="41"/>
  <c r="R173" i="41"/>
  <c r="V172" i="41"/>
  <c r="BG176" i="39"/>
  <c r="BB219" i="41"/>
  <c r="AB219" i="41"/>
  <c r="BB220" i="41"/>
  <c r="AB220" i="41"/>
  <c r="V175" i="38"/>
  <c r="R176" i="38"/>
  <c r="AE145" i="38"/>
  <c r="AT145" i="38"/>
  <c r="AS203" i="42"/>
  <c r="R152" i="37"/>
  <c r="S152" i="37" s="1"/>
  <c r="T152" i="37" s="1"/>
  <c r="V151" i="37"/>
  <c r="V167" i="40"/>
  <c r="R168" i="40"/>
  <c r="AE147" i="42"/>
  <c r="AT147" i="42"/>
  <c r="AS209" i="40"/>
  <c r="AS201" i="40"/>
  <c r="S153" i="40"/>
  <c r="T153" i="40" s="1"/>
  <c r="T152" i="40"/>
  <c r="R153" i="40" s="1"/>
  <c r="T146" i="35"/>
  <c r="R147" i="35" s="1"/>
  <c r="S147" i="35"/>
  <c r="AJ210" i="35"/>
  <c r="AK210" i="35" s="1"/>
  <c r="AL210" i="35" s="1"/>
  <c r="AM210" i="35"/>
  <c r="AN210" i="35" s="1"/>
  <c r="AO210" i="35" s="1"/>
  <c r="AM201" i="35"/>
  <c r="AN201" i="35" s="1"/>
  <c r="AO201" i="35" s="1"/>
  <c r="AJ201" i="35"/>
  <c r="AK201" i="35" s="1"/>
  <c r="AL201" i="35" s="1"/>
  <c r="AT172" i="35"/>
  <c r="AE172" i="35"/>
  <c r="AJ196" i="35"/>
  <c r="AK196" i="35" s="1"/>
  <c r="AL196" i="35" s="1"/>
  <c r="AM196" i="35"/>
  <c r="AN196" i="35" s="1"/>
  <c r="AO196" i="35" s="1"/>
  <c r="AM195" i="35"/>
  <c r="AN195" i="35" s="1"/>
  <c r="AO195" i="35" s="1"/>
  <c r="AJ195" i="35"/>
  <c r="AK195" i="35" s="1"/>
  <c r="AL195" i="35" s="1"/>
  <c r="AJ204" i="35"/>
  <c r="AK204" i="35" s="1"/>
  <c r="AL204" i="35" s="1"/>
  <c r="AM204" i="35"/>
  <c r="AN204" i="35" s="1"/>
  <c r="AO204" i="35" s="1"/>
  <c r="AM205" i="35"/>
  <c r="AN205" i="35" s="1"/>
  <c r="AO205" i="35" s="1"/>
  <c r="AJ205" i="35"/>
  <c r="AK205" i="35" s="1"/>
  <c r="AL205" i="35" s="1"/>
  <c r="AM208" i="35"/>
  <c r="AN208" i="35" s="1"/>
  <c r="AO208" i="35" s="1"/>
  <c r="AJ208" i="35"/>
  <c r="AK208" i="35" s="1"/>
  <c r="AL208" i="35" s="1"/>
  <c r="BG173" i="35"/>
  <c r="T174" i="35"/>
  <c r="S175" i="35"/>
  <c r="AM197" i="35"/>
  <c r="AN197" i="35" s="1"/>
  <c r="AO197" i="35" s="1"/>
  <c r="AJ197" i="35"/>
  <c r="AK197" i="35" s="1"/>
  <c r="AL197" i="35" s="1"/>
  <c r="AJ211" i="35"/>
  <c r="AK211" i="35" s="1"/>
  <c r="AL211" i="35" s="1"/>
  <c r="AM211" i="35"/>
  <c r="AN211" i="35" s="1"/>
  <c r="AO211" i="35" s="1"/>
  <c r="AJ200" i="35"/>
  <c r="AK200" i="35" s="1"/>
  <c r="AL200" i="35" s="1"/>
  <c r="AM200" i="35"/>
  <c r="AN200" i="35" s="1"/>
  <c r="AO200" i="35" s="1"/>
  <c r="AJ203" i="35"/>
  <c r="AK203" i="35" s="1"/>
  <c r="AL203" i="35" s="1"/>
  <c r="AM203" i="35"/>
  <c r="AN203" i="35" s="1"/>
  <c r="AO203" i="35" s="1"/>
  <c r="AJ202" i="35"/>
  <c r="AK202" i="35" s="1"/>
  <c r="AL202" i="35" s="1"/>
  <c r="AM202" i="35"/>
  <c r="AN202" i="35" s="1"/>
  <c r="AO202" i="35" s="1"/>
  <c r="AJ198" i="35"/>
  <c r="AK198" i="35" s="1"/>
  <c r="AL198" i="35" s="1"/>
  <c r="AM198" i="35"/>
  <c r="AN198" i="35" s="1"/>
  <c r="AO198" i="35" s="1"/>
  <c r="AJ206" i="35"/>
  <c r="AK206" i="35" s="1"/>
  <c r="AL206" i="35" s="1"/>
  <c r="AM206" i="35"/>
  <c r="AN206" i="35" s="1"/>
  <c r="AO206" i="35" s="1"/>
  <c r="R174" i="35"/>
  <c r="V173" i="35"/>
  <c r="Q194" i="35"/>
  <c r="S194" i="35" s="1"/>
  <c r="T194" i="35" s="1"/>
  <c r="AM194" i="35"/>
  <c r="AN194" i="35" s="1"/>
  <c r="AO194" i="35" s="1"/>
  <c r="AJ194" i="35"/>
  <c r="AK194" i="35" s="1"/>
  <c r="AL194" i="35" s="1"/>
  <c r="AM199" i="35"/>
  <c r="AN199" i="35" s="1"/>
  <c r="AO199" i="35" s="1"/>
  <c r="AJ199" i="35"/>
  <c r="AK199" i="35" s="1"/>
  <c r="AL199" i="35" s="1"/>
  <c r="AJ209" i="35"/>
  <c r="AK209" i="35" s="1"/>
  <c r="AL209" i="35" s="1"/>
  <c r="AM209" i="35"/>
  <c r="AN209" i="35" s="1"/>
  <c r="AO209" i="35" s="1"/>
  <c r="AM207" i="35"/>
  <c r="AN207" i="35" s="1"/>
  <c r="AO207" i="35" s="1"/>
  <c r="AJ207" i="35"/>
  <c r="AK207" i="35" s="1"/>
  <c r="AL207" i="35" s="1"/>
  <c r="AJ213" i="35"/>
  <c r="AK213" i="35" s="1"/>
  <c r="AL213" i="35" s="1"/>
  <c r="AM213" i="35"/>
  <c r="AN213" i="35" s="1"/>
  <c r="AO213" i="35" s="1"/>
  <c r="AM212" i="35"/>
  <c r="AN212" i="35" s="1"/>
  <c r="AO212" i="35" s="1"/>
  <c r="AJ212" i="35"/>
  <c r="AK212" i="35" s="1"/>
  <c r="AL212" i="35" s="1"/>
  <c r="AF147" i="40" l="1"/>
  <c r="AS200" i="35"/>
  <c r="AS194" i="35"/>
  <c r="BC219" i="39"/>
  <c r="G219" i="39" s="1"/>
  <c r="F219" i="39" s="1"/>
  <c r="AB219" i="39"/>
  <c r="AS203" i="38"/>
  <c r="AS202" i="38"/>
  <c r="AS208" i="38"/>
  <c r="AW219" i="40"/>
  <c r="AY219" i="40" s="1"/>
  <c r="BA219" i="40" s="1"/>
  <c r="AS204" i="38"/>
  <c r="AS210" i="38"/>
  <c r="AW220" i="40"/>
  <c r="AY220" i="40" s="1"/>
  <c r="BA220" i="40" s="1"/>
  <c r="AS196" i="38"/>
  <c r="AS202" i="35"/>
  <c r="AT151" i="37"/>
  <c r="AE151" i="37"/>
  <c r="AT175" i="38"/>
  <c r="AE175" i="38"/>
  <c r="AT172" i="41"/>
  <c r="AE172" i="41"/>
  <c r="AT196" i="41"/>
  <c r="T197" i="39"/>
  <c r="S198" i="39"/>
  <c r="AX219" i="40"/>
  <c r="AZ219" i="40" s="1"/>
  <c r="AT151" i="40"/>
  <c r="AF151" i="40"/>
  <c r="AE151" i="40"/>
  <c r="AF142" i="40"/>
  <c r="R179" i="37"/>
  <c r="V178" i="37"/>
  <c r="S198" i="42"/>
  <c r="T197" i="42"/>
  <c r="T148" i="38"/>
  <c r="R149" i="38" s="1"/>
  <c r="S149" i="38"/>
  <c r="V179" i="36"/>
  <c r="R180" i="36"/>
  <c r="AE148" i="42"/>
  <c r="AT148" i="42"/>
  <c r="AB220" i="39"/>
  <c r="BC220" i="39"/>
  <c r="G220" i="39" s="1"/>
  <c r="F220" i="39" s="1"/>
  <c r="BB220" i="39"/>
  <c r="BG177" i="42"/>
  <c r="AT195" i="40"/>
  <c r="AE177" i="37"/>
  <c r="AT177" i="37"/>
  <c r="AT151" i="41"/>
  <c r="AF151" i="41"/>
  <c r="AE151" i="41"/>
  <c r="AF142" i="41"/>
  <c r="AT146" i="38"/>
  <c r="AE146" i="38"/>
  <c r="AF148" i="41"/>
  <c r="AF145" i="41"/>
  <c r="AS220" i="38"/>
  <c r="AT220" i="38"/>
  <c r="AV220" i="38" s="1"/>
  <c r="AS215" i="38"/>
  <c r="AT215" i="38"/>
  <c r="AV215" i="38" s="1"/>
  <c r="S178" i="38"/>
  <c r="T177" i="38"/>
  <c r="BH224" i="40"/>
  <c r="AH239" i="42"/>
  <c r="AH238" i="42"/>
  <c r="AH237" i="42"/>
  <c r="AH236" i="42"/>
  <c r="AH235" i="42"/>
  <c r="AH234" i="42"/>
  <c r="AH233" i="42"/>
  <c r="AH232" i="42"/>
  <c r="O239" i="42"/>
  <c r="P239" i="42" s="1"/>
  <c r="Q239" i="42" s="1"/>
  <c r="O238" i="42"/>
  <c r="P238" i="42" s="1"/>
  <c r="Q238" i="42" s="1"/>
  <c r="O237" i="42"/>
  <c r="P237" i="42" s="1"/>
  <c r="Q237" i="42" s="1"/>
  <c r="O236" i="42"/>
  <c r="P236" i="42" s="1"/>
  <c r="Q236" i="42" s="1"/>
  <c r="O235" i="42"/>
  <c r="P235" i="42" s="1"/>
  <c r="Q235" i="42" s="1"/>
  <c r="O234" i="42"/>
  <c r="P234" i="42" s="1"/>
  <c r="Q234" i="42" s="1"/>
  <c r="O233" i="42"/>
  <c r="P233" i="42" s="1"/>
  <c r="Q233" i="42" s="1"/>
  <c r="O232" i="42"/>
  <c r="P232" i="42" s="1"/>
  <c r="J232" i="42"/>
  <c r="K232" i="42" s="1"/>
  <c r="L232" i="42" s="1"/>
  <c r="M232" i="42" s="1"/>
  <c r="N232" i="42" s="1"/>
  <c r="AF146" i="40"/>
  <c r="AF150" i="40"/>
  <c r="R197" i="39"/>
  <c r="V196" i="39"/>
  <c r="AS216" i="38"/>
  <c r="AT216" i="38"/>
  <c r="AV216" i="38" s="1"/>
  <c r="AS211" i="38"/>
  <c r="AE147" i="39"/>
  <c r="AT147" i="39"/>
  <c r="BH239" i="36"/>
  <c r="R148" i="38"/>
  <c r="V147" i="38"/>
  <c r="AF146" i="38" s="1"/>
  <c r="T198" i="41"/>
  <c r="S199" i="41"/>
  <c r="AS214" i="38"/>
  <c r="R196" i="38"/>
  <c r="S196" i="38" s="1"/>
  <c r="V195" i="38"/>
  <c r="BH237" i="41"/>
  <c r="R149" i="39"/>
  <c r="V148" i="39"/>
  <c r="AF147" i="41"/>
  <c r="AF144" i="41"/>
  <c r="V177" i="39"/>
  <c r="R178" i="39"/>
  <c r="R150" i="42"/>
  <c r="V149" i="42"/>
  <c r="R169" i="40"/>
  <c r="V168" i="40"/>
  <c r="AF143" i="40"/>
  <c r="AT176" i="39"/>
  <c r="AE176" i="39"/>
  <c r="AF148" i="40"/>
  <c r="AS213" i="38"/>
  <c r="AS205" i="38"/>
  <c r="AS197" i="38"/>
  <c r="R153" i="37"/>
  <c r="S153" i="37" s="1"/>
  <c r="T153" i="37" s="1"/>
  <c r="V152" i="37"/>
  <c r="BG177" i="39"/>
  <c r="V197" i="41"/>
  <c r="R198" i="41"/>
  <c r="V177" i="42"/>
  <c r="R178" i="42"/>
  <c r="AS209" i="38"/>
  <c r="BH252" i="37"/>
  <c r="AX220" i="40"/>
  <c r="AZ220" i="40" s="1"/>
  <c r="AT211" i="37"/>
  <c r="AT151" i="36"/>
  <c r="AE151" i="36"/>
  <c r="S150" i="39"/>
  <c r="T149" i="39"/>
  <c r="AF146" i="41"/>
  <c r="S179" i="39"/>
  <c r="T178" i="39"/>
  <c r="S151" i="42"/>
  <c r="T150" i="42"/>
  <c r="AT176" i="42"/>
  <c r="AE176" i="42"/>
  <c r="AS212" i="38"/>
  <c r="AS206" i="38"/>
  <c r="AS198" i="38"/>
  <c r="S170" i="40"/>
  <c r="T169" i="40"/>
  <c r="V173" i="41"/>
  <c r="R174" i="41"/>
  <c r="AF144" i="40"/>
  <c r="AE167" i="40"/>
  <c r="AT167" i="40"/>
  <c r="AT178" i="36"/>
  <c r="AE178" i="36"/>
  <c r="AS219" i="38"/>
  <c r="AT219" i="38"/>
  <c r="AV219" i="38" s="1"/>
  <c r="AS195" i="38"/>
  <c r="AS200" i="38"/>
  <c r="BG187" i="38"/>
  <c r="AF145" i="40"/>
  <c r="S180" i="37"/>
  <c r="T179" i="37"/>
  <c r="AT196" i="42"/>
  <c r="AE196" i="42"/>
  <c r="T180" i="36"/>
  <c r="S181" i="36"/>
  <c r="S179" i="42"/>
  <c r="T178" i="42"/>
  <c r="AS217" i="38"/>
  <c r="AT217" i="38"/>
  <c r="AV217" i="38" s="1"/>
  <c r="AS207" i="38"/>
  <c r="AS199" i="38"/>
  <c r="S213" i="37"/>
  <c r="T212" i="37"/>
  <c r="T196" i="40"/>
  <c r="S197" i="40"/>
  <c r="V152" i="36"/>
  <c r="R153" i="36"/>
  <c r="S153" i="36" s="1"/>
  <c r="T153" i="36" s="1"/>
  <c r="AF143" i="41"/>
  <c r="AF150" i="41"/>
  <c r="V176" i="38"/>
  <c r="R177" i="38"/>
  <c r="S175" i="41"/>
  <c r="T174" i="41"/>
  <c r="AS218" i="38"/>
  <c r="AT218" i="38"/>
  <c r="AV218" i="38" s="1"/>
  <c r="AS201" i="38"/>
  <c r="C223" i="35"/>
  <c r="X194" i="35"/>
  <c r="Z194" i="35" s="1"/>
  <c r="AS206" i="35"/>
  <c r="AT206" i="35"/>
  <c r="AS213" i="35"/>
  <c r="AT213" i="35"/>
  <c r="AS209" i="35"/>
  <c r="AT209" i="35"/>
  <c r="AE173" i="35"/>
  <c r="AT173" i="35"/>
  <c r="AS198" i="35"/>
  <c r="AS203" i="35"/>
  <c r="AS211" i="35"/>
  <c r="AT211" i="35"/>
  <c r="T175" i="35"/>
  <c r="S176" i="35"/>
  <c r="AS204" i="35"/>
  <c r="AT204" i="35"/>
  <c r="AS196" i="35"/>
  <c r="AS208" i="35"/>
  <c r="AT208" i="35"/>
  <c r="T147" i="35"/>
  <c r="R148" i="35" s="1"/>
  <c r="S148" i="35"/>
  <c r="AS201" i="35"/>
  <c r="R175" i="35"/>
  <c r="V174" i="35"/>
  <c r="BG174" i="35"/>
  <c r="AS212" i="35"/>
  <c r="AT212" i="35"/>
  <c r="AS207" i="35"/>
  <c r="AT207" i="35"/>
  <c r="AS199" i="35"/>
  <c r="R195" i="35"/>
  <c r="S195" i="35" s="1"/>
  <c r="V194" i="35"/>
  <c r="AS197" i="35"/>
  <c r="AS205" i="35"/>
  <c r="AT205" i="35"/>
  <c r="AS195" i="35"/>
  <c r="AS210" i="35"/>
  <c r="AT210" i="35"/>
  <c r="AX219" i="38" l="1"/>
  <c r="AZ219" i="38" s="1"/>
  <c r="AB219" i="38" s="1"/>
  <c r="AX220" i="38"/>
  <c r="AZ220" i="38" s="1"/>
  <c r="AB220" i="38" s="1"/>
  <c r="AX218" i="38"/>
  <c r="AZ218" i="38" s="1"/>
  <c r="AB218" i="38" s="1"/>
  <c r="AX217" i="38"/>
  <c r="AZ217" i="38" s="1"/>
  <c r="AB217" i="38" s="1"/>
  <c r="Q232" i="42"/>
  <c r="S232" i="42" s="1"/>
  <c r="T232" i="42" s="1"/>
  <c r="R233" i="42" s="1"/>
  <c r="S233" i="42" s="1"/>
  <c r="AW220" i="38"/>
  <c r="AY220" i="38" s="1"/>
  <c r="BA220" i="38" s="1"/>
  <c r="AX216" i="38"/>
  <c r="AZ216" i="38" s="1"/>
  <c r="AB216" i="38" s="1"/>
  <c r="AX215" i="38"/>
  <c r="AZ215" i="38" s="1"/>
  <c r="AB215" i="38" s="1"/>
  <c r="AE176" i="38"/>
  <c r="AT176" i="38"/>
  <c r="AE152" i="36"/>
  <c r="AT152" i="36"/>
  <c r="R213" i="37"/>
  <c r="V212" i="37"/>
  <c r="V179" i="37"/>
  <c r="R180" i="37"/>
  <c r="BG188" i="38"/>
  <c r="T170" i="40"/>
  <c r="S171" i="40"/>
  <c r="V178" i="39"/>
  <c r="R179" i="39"/>
  <c r="T150" i="39"/>
  <c r="S151" i="39"/>
  <c r="BH253" i="37"/>
  <c r="R154" i="37"/>
  <c r="S154" i="37" s="1"/>
  <c r="T154" i="37" s="1"/>
  <c r="V153" i="37"/>
  <c r="AE149" i="42"/>
  <c r="AT149" i="42"/>
  <c r="AE148" i="39"/>
  <c r="AT148" i="39"/>
  <c r="BH238" i="41"/>
  <c r="T196" i="38"/>
  <c r="S197" i="38"/>
  <c r="AT196" i="39"/>
  <c r="AM234" i="42"/>
  <c r="AN234" i="42" s="1"/>
  <c r="AO234" i="42" s="1"/>
  <c r="AJ234" i="42"/>
  <c r="AK234" i="42" s="1"/>
  <c r="AL234" i="42" s="1"/>
  <c r="AM238" i="42"/>
  <c r="AN238" i="42" s="1"/>
  <c r="AO238" i="42" s="1"/>
  <c r="AJ238" i="42"/>
  <c r="AK238" i="42" s="1"/>
  <c r="AL238" i="42" s="1"/>
  <c r="S179" i="38"/>
  <c r="T178" i="38"/>
  <c r="R179" i="38" s="1"/>
  <c r="AF142" i="38"/>
  <c r="BG178" i="42"/>
  <c r="T198" i="39"/>
  <c r="S199" i="39"/>
  <c r="S176" i="41"/>
  <c r="T175" i="41"/>
  <c r="T197" i="40"/>
  <c r="S198" i="40"/>
  <c r="S214" i="37"/>
  <c r="T213" i="37"/>
  <c r="AW217" i="38"/>
  <c r="AY217" i="38" s="1"/>
  <c r="BA217" i="38" s="1"/>
  <c r="T181" i="36"/>
  <c r="S182" i="36"/>
  <c r="T180" i="37"/>
  <c r="S181" i="37"/>
  <c r="AW219" i="38"/>
  <c r="AY219" i="38" s="1"/>
  <c r="BA219" i="38" s="1"/>
  <c r="AT173" i="41"/>
  <c r="AE173" i="41"/>
  <c r="S180" i="39"/>
  <c r="T179" i="39"/>
  <c r="T199" i="41"/>
  <c r="S200" i="41"/>
  <c r="AM235" i="42"/>
  <c r="AN235" i="42" s="1"/>
  <c r="AO235" i="42" s="1"/>
  <c r="AJ235" i="42"/>
  <c r="AK235" i="42" s="1"/>
  <c r="AL235" i="42" s="1"/>
  <c r="AM239" i="42"/>
  <c r="AN239" i="42" s="1"/>
  <c r="AO239" i="42" s="1"/>
  <c r="AJ239" i="42"/>
  <c r="AK239" i="42" s="1"/>
  <c r="AL239" i="42" s="1"/>
  <c r="AW215" i="38"/>
  <c r="AY215" i="38" s="1"/>
  <c r="BA215" i="38" s="1"/>
  <c r="AD142" i="41"/>
  <c r="AC142" i="41" s="1"/>
  <c r="AD145" i="41"/>
  <c r="AC145" i="41" s="1"/>
  <c r="AD143" i="41"/>
  <c r="AC143" i="41" s="1"/>
  <c r="AD149" i="41"/>
  <c r="AC149" i="41" s="1"/>
  <c r="AD152" i="41"/>
  <c r="AC152" i="41" s="1"/>
  <c r="AD153" i="41"/>
  <c r="AC153" i="41" s="1"/>
  <c r="AD144" i="41"/>
  <c r="AC144" i="41" s="1"/>
  <c r="AD151" i="41"/>
  <c r="AC151" i="41" s="1"/>
  <c r="AD146" i="41"/>
  <c r="AC146" i="41" s="1"/>
  <c r="AD147" i="41"/>
  <c r="AC147" i="41" s="1"/>
  <c r="AD148" i="41"/>
  <c r="AC148" i="41" s="1"/>
  <c r="AD150" i="41"/>
  <c r="AC150" i="41" s="1"/>
  <c r="AT179" i="36"/>
  <c r="AE179" i="36"/>
  <c r="R198" i="42"/>
  <c r="V197" i="42"/>
  <c r="R198" i="39"/>
  <c r="V197" i="39"/>
  <c r="R197" i="40"/>
  <c r="V196" i="40"/>
  <c r="V178" i="42"/>
  <c r="R179" i="42"/>
  <c r="V180" i="36"/>
  <c r="R181" i="36"/>
  <c r="R151" i="42"/>
  <c r="V150" i="42"/>
  <c r="BB220" i="40"/>
  <c r="AB220" i="40"/>
  <c r="AT197" i="41"/>
  <c r="AT168" i="40"/>
  <c r="AE168" i="40"/>
  <c r="V198" i="41"/>
  <c r="R199" i="41"/>
  <c r="BH240" i="36"/>
  <c r="AM232" i="42"/>
  <c r="AN232" i="42" s="1"/>
  <c r="AO232" i="42" s="1"/>
  <c r="AJ232" i="42"/>
  <c r="AK232" i="42" s="1"/>
  <c r="AL232" i="42" s="1"/>
  <c r="AM236" i="42"/>
  <c r="AN236" i="42" s="1"/>
  <c r="AO236" i="42" s="1"/>
  <c r="AJ236" i="42"/>
  <c r="AK236" i="42" s="1"/>
  <c r="AL236" i="42" s="1"/>
  <c r="AF144" i="38"/>
  <c r="S150" i="38"/>
  <c r="T149" i="38"/>
  <c r="R150" i="38" s="1"/>
  <c r="S199" i="42"/>
  <c r="T198" i="42"/>
  <c r="AW218" i="38"/>
  <c r="AY218" i="38" s="1"/>
  <c r="BA218" i="38" s="1"/>
  <c r="V174" i="41"/>
  <c r="R175" i="41"/>
  <c r="V153" i="36"/>
  <c r="R154" i="36"/>
  <c r="S154" i="36" s="1"/>
  <c r="T154" i="36" s="1"/>
  <c r="S180" i="42"/>
  <c r="T179" i="42"/>
  <c r="R170" i="40"/>
  <c r="V169" i="40"/>
  <c r="T151" i="42"/>
  <c r="S152" i="42"/>
  <c r="R150" i="39"/>
  <c r="V149" i="39"/>
  <c r="AE177" i="42"/>
  <c r="AT177" i="42"/>
  <c r="BG178" i="39"/>
  <c r="AT152" i="37"/>
  <c r="AE152" i="37"/>
  <c r="AE177" i="39"/>
  <c r="AT177" i="39"/>
  <c r="AT195" i="38"/>
  <c r="AT147" i="38"/>
  <c r="AF147" i="38"/>
  <c r="AE147" i="38"/>
  <c r="T134" i="38"/>
  <c r="AF140" i="38"/>
  <c r="AF139" i="38"/>
  <c r="AF138" i="38"/>
  <c r="AF143" i="38"/>
  <c r="AF145" i="38"/>
  <c r="AW216" i="38"/>
  <c r="AY216" i="38" s="1"/>
  <c r="BA216" i="38" s="1"/>
  <c r="AM233" i="42"/>
  <c r="AN233" i="42" s="1"/>
  <c r="AO233" i="42" s="1"/>
  <c r="AJ233" i="42"/>
  <c r="AK233" i="42" s="1"/>
  <c r="AL233" i="42" s="1"/>
  <c r="AM237" i="42"/>
  <c r="AN237" i="42" s="1"/>
  <c r="AO237" i="42" s="1"/>
  <c r="AJ237" i="42"/>
  <c r="AK237" i="42" s="1"/>
  <c r="AL237" i="42" s="1"/>
  <c r="BH225" i="40"/>
  <c r="V177" i="38"/>
  <c r="AF171" i="38" s="1"/>
  <c r="R178" i="38"/>
  <c r="AF141" i="38"/>
  <c r="AT178" i="37"/>
  <c r="AE178" i="37"/>
  <c r="AD152" i="40"/>
  <c r="AC152" i="40" s="1"/>
  <c r="AD153" i="40"/>
  <c r="AC153" i="40" s="1"/>
  <c r="AD147" i="40"/>
  <c r="AC147" i="40" s="1"/>
  <c r="AD142" i="40"/>
  <c r="AC142" i="40" s="1"/>
  <c r="AD146" i="40"/>
  <c r="AC146" i="40" s="1"/>
  <c r="AD151" i="40"/>
  <c r="AC151" i="40" s="1"/>
  <c r="AD145" i="40"/>
  <c r="AC145" i="40" s="1"/>
  <c r="AD150" i="40"/>
  <c r="AC150" i="40" s="1"/>
  <c r="AD149" i="40"/>
  <c r="AC149" i="40" s="1"/>
  <c r="AD144" i="40"/>
  <c r="AC144" i="40" s="1"/>
  <c r="AD148" i="40"/>
  <c r="AC148" i="40" s="1"/>
  <c r="AD143" i="40"/>
  <c r="AC143" i="40" s="1"/>
  <c r="AB219" i="40"/>
  <c r="BB219" i="40"/>
  <c r="AT174" i="35"/>
  <c r="AE174" i="35"/>
  <c r="R176" i="35"/>
  <c r="V175" i="35"/>
  <c r="BG175" i="35"/>
  <c r="S196" i="35"/>
  <c r="T195" i="35"/>
  <c r="T176" i="35"/>
  <c r="S177" i="35"/>
  <c r="S149" i="35"/>
  <c r="T148" i="35"/>
  <c r="R149" i="35" s="1"/>
  <c r="O246" i="35"/>
  <c r="P246" i="35" s="1"/>
  <c r="Q246" i="35" s="1"/>
  <c r="O245" i="35"/>
  <c r="P245" i="35" s="1"/>
  <c r="Q245" i="35" s="1"/>
  <c r="O244" i="35"/>
  <c r="P244" i="35" s="1"/>
  <c r="Q244" i="35" s="1"/>
  <c r="O243" i="35"/>
  <c r="P243" i="35" s="1"/>
  <c r="Q243" i="35" s="1"/>
  <c r="O242" i="35"/>
  <c r="P242" i="35" s="1"/>
  <c r="Q242" i="35" s="1"/>
  <c r="O241" i="35"/>
  <c r="P241" i="35" s="1"/>
  <c r="Q241" i="35" s="1"/>
  <c r="O240" i="35"/>
  <c r="P240" i="35" s="1"/>
  <c r="Q240" i="35" s="1"/>
  <c r="O239" i="35"/>
  <c r="P239" i="35" s="1"/>
  <c r="Q239" i="35" s="1"/>
  <c r="O238" i="35"/>
  <c r="P238" i="35" s="1"/>
  <c r="Q238" i="35" s="1"/>
  <c r="O237" i="35"/>
  <c r="P237" i="35" s="1"/>
  <c r="Q237" i="35" s="1"/>
  <c r="O236" i="35"/>
  <c r="P236" i="35" s="1"/>
  <c r="Q236" i="35" s="1"/>
  <c r="AH246" i="35"/>
  <c r="AH243" i="35"/>
  <c r="AH241" i="35"/>
  <c r="AH235" i="35"/>
  <c r="AH234" i="35"/>
  <c r="AH233" i="35"/>
  <c r="AH232" i="35"/>
  <c r="AH231" i="35"/>
  <c r="AH230" i="35"/>
  <c r="AH229" i="35"/>
  <c r="AH228" i="35"/>
  <c r="AH227" i="35"/>
  <c r="AH244" i="35"/>
  <c r="AH242" i="35"/>
  <c r="AH240" i="35"/>
  <c r="AH239" i="35"/>
  <c r="AH238" i="35"/>
  <c r="AH237" i="35"/>
  <c r="AH236" i="35"/>
  <c r="O231" i="35"/>
  <c r="P231" i="35" s="1"/>
  <c r="Q231" i="35" s="1"/>
  <c r="O227" i="35"/>
  <c r="P227" i="35" s="1"/>
  <c r="Q227" i="35" s="1"/>
  <c r="AH245" i="35"/>
  <c r="O235" i="35"/>
  <c r="P235" i="35" s="1"/>
  <c r="Q235" i="35" s="1"/>
  <c r="O234" i="35"/>
  <c r="P234" i="35" s="1"/>
  <c r="Q234" i="35" s="1"/>
  <c r="O230" i="35"/>
  <c r="P230" i="35" s="1"/>
  <c r="Q230" i="35" s="1"/>
  <c r="AH226" i="35"/>
  <c r="AH225" i="35"/>
  <c r="O233" i="35"/>
  <c r="P233" i="35" s="1"/>
  <c r="Q233" i="35" s="1"/>
  <c r="O229" i="35"/>
  <c r="P229" i="35" s="1"/>
  <c r="Q229" i="35" s="1"/>
  <c r="O226" i="35"/>
  <c r="P226" i="35" s="1"/>
  <c r="Q226" i="35" s="1"/>
  <c r="O225" i="35"/>
  <c r="P225" i="35" s="1"/>
  <c r="Q225" i="35" s="1"/>
  <c r="O224" i="35"/>
  <c r="P224" i="35" s="1"/>
  <c r="Q224" i="35" s="1"/>
  <c r="O223" i="35"/>
  <c r="P223" i="35" s="1"/>
  <c r="O232" i="35"/>
  <c r="P232" i="35" s="1"/>
  <c r="Q232" i="35" s="1"/>
  <c r="AH223" i="35"/>
  <c r="AH224" i="35"/>
  <c r="O228" i="35"/>
  <c r="P228" i="35" s="1"/>
  <c r="Q228" i="35" s="1"/>
  <c r="J223" i="35"/>
  <c r="K223" i="35" s="1"/>
  <c r="L223" i="35" s="1"/>
  <c r="M223" i="35" s="1"/>
  <c r="N223" i="35" s="1"/>
  <c r="AT194" i="35"/>
  <c r="AE194" i="35"/>
  <c r="BB220" i="38" l="1"/>
  <c r="BC220" i="38"/>
  <c r="G220" i="38" s="1"/>
  <c r="F220" i="38" s="1"/>
  <c r="BB219" i="38"/>
  <c r="BC219" i="38"/>
  <c r="G219" i="38" s="1"/>
  <c r="F219" i="38" s="1"/>
  <c r="BC218" i="38"/>
  <c r="G218" i="38" s="1"/>
  <c r="F218" i="38" s="1"/>
  <c r="V232" i="42"/>
  <c r="AT232" i="42" s="1"/>
  <c r="BB218" i="38"/>
  <c r="BC216" i="38"/>
  <c r="G216" i="38" s="1"/>
  <c r="F216" i="38" s="1"/>
  <c r="BB215" i="38"/>
  <c r="BC215" i="38"/>
  <c r="G215" i="38" s="1"/>
  <c r="F215" i="38" s="1"/>
  <c r="AS235" i="42"/>
  <c r="AS237" i="42"/>
  <c r="BB216" i="38"/>
  <c r="BB217" i="38"/>
  <c r="BC217" i="38"/>
  <c r="G217" i="38" s="1"/>
  <c r="F217" i="38" s="1"/>
  <c r="AS234" i="42"/>
  <c r="AT177" i="38"/>
  <c r="AF177" i="38"/>
  <c r="AE177" i="38"/>
  <c r="AD179" i="38" s="1"/>
  <c r="AC179" i="38" s="1"/>
  <c r="BG179" i="39"/>
  <c r="T152" i="42"/>
  <c r="S153" i="42"/>
  <c r="AE174" i="41"/>
  <c r="AT174" i="41"/>
  <c r="S200" i="42"/>
  <c r="T199" i="42"/>
  <c r="AS236" i="42"/>
  <c r="AT180" i="36"/>
  <c r="AE180" i="36"/>
  <c r="AT196" i="40"/>
  <c r="AT197" i="39"/>
  <c r="V199" i="41"/>
  <c r="R200" i="41"/>
  <c r="S181" i="39"/>
  <c r="T180" i="39"/>
  <c r="S182" i="37"/>
  <c r="T181" i="37"/>
  <c r="R198" i="40"/>
  <c r="V197" i="40"/>
  <c r="S177" i="41"/>
  <c r="T176" i="41"/>
  <c r="BH254" i="37"/>
  <c r="AD154" i="38"/>
  <c r="AC154" i="38" s="1"/>
  <c r="AD156" i="38"/>
  <c r="AC156" i="38" s="1"/>
  <c r="AD150" i="38"/>
  <c r="AC150" i="38" s="1"/>
  <c r="AD151" i="38"/>
  <c r="AC151" i="38" s="1"/>
  <c r="AD149" i="38"/>
  <c r="AC149" i="38" s="1"/>
  <c r="AD138" i="38"/>
  <c r="AC138" i="38" s="1"/>
  <c r="AD144" i="38"/>
  <c r="AC144" i="38" s="1"/>
  <c r="AD140" i="38"/>
  <c r="AC140" i="38" s="1"/>
  <c r="AD139" i="38"/>
  <c r="AC139" i="38" s="1"/>
  <c r="AD152" i="38"/>
  <c r="AC152" i="38" s="1"/>
  <c r="AD157" i="38"/>
  <c r="AC157" i="38" s="1"/>
  <c r="AD142" i="38"/>
  <c r="AC142" i="38" s="1"/>
  <c r="AD148" i="38"/>
  <c r="AC148" i="38" s="1"/>
  <c r="AD145" i="38"/>
  <c r="AC145" i="38" s="1"/>
  <c r="AD153" i="38"/>
  <c r="AC153" i="38" s="1"/>
  <c r="AD147" i="38"/>
  <c r="AC147" i="38" s="1"/>
  <c r="AD141" i="38"/>
  <c r="AC141" i="38" s="1"/>
  <c r="AD146" i="38"/>
  <c r="AC146" i="38" s="1"/>
  <c r="AD155" i="38"/>
  <c r="AC155" i="38" s="1"/>
  <c r="AD143" i="38"/>
  <c r="AC143" i="38" s="1"/>
  <c r="R152" i="42"/>
  <c r="V151" i="42"/>
  <c r="R155" i="36"/>
  <c r="S155" i="36" s="1"/>
  <c r="T155" i="36" s="1"/>
  <c r="V154" i="36"/>
  <c r="BH241" i="36"/>
  <c r="AT150" i="42"/>
  <c r="AE150" i="42"/>
  <c r="AC141" i="41"/>
  <c r="AA142" i="41" s="1"/>
  <c r="AS239" i="42"/>
  <c r="R181" i="37"/>
  <c r="V180" i="37"/>
  <c r="R214" i="37"/>
  <c r="V213" i="37"/>
  <c r="S180" i="38"/>
  <c r="T179" i="38"/>
  <c r="R180" i="38" s="1"/>
  <c r="BH239" i="41"/>
  <c r="AT153" i="37"/>
  <c r="AE153" i="37"/>
  <c r="AT178" i="39"/>
  <c r="AE178" i="39"/>
  <c r="S172" i="40"/>
  <c r="T171" i="40"/>
  <c r="AE179" i="37"/>
  <c r="AT179" i="37"/>
  <c r="AC141" i="40"/>
  <c r="AA142" i="40" s="1"/>
  <c r="BH226" i="40"/>
  <c r="AS233" i="42"/>
  <c r="AT149" i="39"/>
  <c r="AE149" i="39"/>
  <c r="V179" i="42"/>
  <c r="R180" i="42"/>
  <c r="AE153" i="36"/>
  <c r="AT153" i="36"/>
  <c r="S151" i="38"/>
  <c r="T150" i="38"/>
  <c r="R151" i="38" s="1"/>
  <c r="AF173" i="38"/>
  <c r="AS232" i="42"/>
  <c r="AT178" i="42"/>
  <c r="AE178" i="42"/>
  <c r="AT197" i="42"/>
  <c r="AE197" i="42"/>
  <c r="AF174" i="38"/>
  <c r="T182" i="36"/>
  <c r="S183" i="36"/>
  <c r="S215" i="37"/>
  <c r="T214" i="37"/>
  <c r="T199" i="39"/>
  <c r="S200" i="39"/>
  <c r="T197" i="38"/>
  <c r="S198" i="38"/>
  <c r="R155" i="37"/>
  <c r="S155" i="37" s="1"/>
  <c r="T155" i="37" s="1"/>
  <c r="V154" i="37"/>
  <c r="T151" i="39"/>
  <c r="S152" i="39"/>
  <c r="R171" i="40"/>
  <c r="V170" i="40"/>
  <c r="AF176" i="38"/>
  <c r="AT169" i="40"/>
  <c r="AE169" i="40"/>
  <c r="S181" i="42"/>
  <c r="T180" i="42"/>
  <c r="AF172" i="38"/>
  <c r="V198" i="42"/>
  <c r="R199" i="42"/>
  <c r="T233" i="42"/>
  <c r="S234" i="42"/>
  <c r="AT198" i="41"/>
  <c r="AF175" i="38"/>
  <c r="T200" i="41"/>
  <c r="S201" i="41"/>
  <c r="V179" i="39"/>
  <c r="R180" i="39"/>
  <c r="V181" i="36"/>
  <c r="R182" i="36"/>
  <c r="T198" i="40"/>
  <c r="S199" i="40"/>
  <c r="V175" i="41"/>
  <c r="R176" i="41"/>
  <c r="R199" i="39"/>
  <c r="V198" i="39"/>
  <c r="BG179" i="42"/>
  <c r="AS238" i="42"/>
  <c r="R197" i="38"/>
  <c r="V196" i="38"/>
  <c r="R151" i="39"/>
  <c r="V150" i="39"/>
  <c r="BG189" i="38"/>
  <c r="AT212" i="37"/>
  <c r="AJ225" i="35"/>
  <c r="AK225" i="35" s="1"/>
  <c r="AL225" i="35" s="1"/>
  <c r="AM225" i="35"/>
  <c r="AN225" i="35" s="1"/>
  <c r="AO225" i="35" s="1"/>
  <c r="AJ236" i="35"/>
  <c r="AK236" i="35" s="1"/>
  <c r="AL236" i="35" s="1"/>
  <c r="AM236" i="35"/>
  <c r="AN236" i="35" s="1"/>
  <c r="AO236" i="35" s="1"/>
  <c r="AM228" i="35"/>
  <c r="AN228" i="35" s="1"/>
  <c r="AO228" i="35" s="1"/>
  <c r="AJ228" i="35"/>
  <c r="AK228" i="35" s="1"/>
  <c r="AL228" i="35" s="1"/>
  <c r="AJ241" i="35"/>
  <c r="AK241" i="35" s="1"/>
  <c r="AL241" i="35" s="1"/>
  <c r="AM241" i="35"/>
  <c r="AN241" i="35" s="1"/>
  <c r="AO241" i="35" s="1"/>
  <c r="Q223" i="35"/>
  <c r="S223" i="35" s="1"/>
  <c r="T223" i="35" s="1"/>
  <c r="AJ238" i="35"/>
  <c r="AK238" i="35" s="1"/>
  <c r="AL238" i="35" s="1"/>
  <c r="AM238" i="35"/>
  <c r="AN238" i="35" s="1"/>
  <c r="AO238" i="35" s="1"/>
  <c r="AJ244" i="35"/>
  <c r="AK244" i="35" s="1"/>
  <c r="AL244" i="35" s="1"/>
  <c r="AM244" i="35"/>
  <c r="AN244" i="35" s="1"/>
  <c r="AO244" i="35" s="1"/>
  <c r="AM230" i="35"/>
  <c r="AN230" i="35" s="1"/>
  <c r="AO230" i="35" s="1"/>
  <c r="AJ230" i="35"/>
  <c r="AK230" i="35" s="1"/>
  <c r="AL230" i="35" s="1"/>
  <c r="AM234" i="35"/>
  <c r="AN234" i="35" s="1"/>
  <c r="AO234" i="35" s="1"/>
  <c r="AJ234" i="35"/>
  <c r="AK234" i="35" s="1"/>
  <c r="AL234" i="35" s="1"/>
  <c r="AJ246" i="35"/>
  <c r="AK246" i="35" s="1"/>
  <c r="AL246" i="35" s="1"/>
  <c r="AM246" i="35"/>
  <c r="AN246" i="35" s="1"/>
  <c r="AO246" i="35" s="1"/>
  <c r="R177" i="35"/>
  <c r="V176" i="35"/>
  <c r="AJ239" i="35"/>
  <c r="AK239" i="35" s="1"/>
  <c r="AL239" i="35" s="1"/>
  <c r="AM239" i="35"/>
  <c r="AN239" i="35" s="1"/>
  <c r="AO239" i="35" s="1"/>
  <c r="AM231" i="35"/>
  <c r="AN231" i="35" s="1"/>
  <c r="AO231" i="35" s="1"/>
  <c r="AJ231" i="35"/>
  <c r="AK231" i="35" s="1"/>
  <c r="AL231" i="35" s="1"/>
  <c r="AJ235" i="35"/>
  <c r="AK235" i="35" s="1"/>
  <c r="AL235" i="35" s="1"/>
  <c r="AM235" i="35"/>
  <c r="AN235" i="35" s="1"/>
  <c r="AO235" i="35" s="1"/>
  <c r="AJ223" i="35"/>
  <c r="AK223" i="35" s="1"/>
  <c r="AL223" i="35" s="1"/>
  <c r="AM223" i="35"/>
  <c r="AN223" i="35" s="1"/>
  <c r="AO223" i="35" s="1"/>
  <c r="R196" i="35"/>
  <c r="V195" i="35"/>
  <c r="BG176" i="35"/>
  <c r="AJ224" i="35"/>
  <c r="AK224" i="35" s="1"/>
  <c r="AL224" i="35" s="1"/>
  <c r="AM224" i="35"/>
  <c r="AN224" i="35" s="1"/>
  <c r="AO224" i="35" s="1"/>
  <c r="AM227" i="35"/>
  <c r="AN227" i="35" s="1"/>
  <c r="AO227" i="35" s="1"/>
  <c r="AJ227" i="35"/>
  <c r="AK227" i="35" s="1"/>
  <c r="AL227" i="35" s="1"/>
  <c r="AE175" i="35"/>
  <c r="AT175" i="35"/>
  <c r="AJ240" i="35"/>
  <c r="AK240" i="35" s="1"/>
  <c r="AL240" i="35" s="1"/>
  <c r="AM240" i="35"/>
  <c r="AN240" i="35" s="1"/>
  <c r="AO240" i="35" s="1"/>
  <c r="AM232" i="35"/>
  <c r="AN232" i="35" s="1"/>
  <c r="AO232" i="35" s="1"/>
  <c r="AJ232" i="35"/>
  <c r="AK232" i="35" s="1"/>
  <c r="AL232" i="35" s="1"/>
  <c r="T149" i="35"/>
  <c r="R150" i="35" s="1"/>
  <c r="S150" i="35"/>
  <c r="AJ226" i="35"/>
  <c r="AK226" i="35" s="1"/>
  <c r="AL226" i="35" s="1"/>
  <c r="AM226" i="35"/>
  <c r="AN226" i="35" s="1"/>
  <c r="AO226" i="35" s="1"/>
  <c r="AJ245" i="35"/>
  <c r="AK245" i="35" s="1"/>
  <c r="AL245" i="35" s="1"/>
  <c r="AM245" i="35"/>
  <c r="AN245" i="35" s="1"/>
  <c r="AO245" i="35" s="1"/>
  <c r="AJ237" i="35"/>
  <c r="AK237" i="35" s="1"/>
  <c r="AL237" i="35" s="1"/>
  <c r="AM237" i="35"/>
  <c r="AN237" i="35" s="1"/>
  <c r="AO237" i="35" s="1"/>
  <c r="AJ242" i="35"/>
  <c r="AK242" i="35" s="1"/>
  <c r="AL242" i="35" s="1"/>
  <c r="AM242" i="35"/>
  <c r="AN242" i="35" s="1"/>
  <c r="AO242" i="35" s="1"/>
  <c r="AM229" i="35"/>
  <c r="AN229" i="35" s="1"/>
  <c r="AO229" i="35" s="1"/>
  <c r="AJ229" i="35"/>
  <c r="AK229" i="35" s="1"/>
  <c r="AL229" i="35" s="1"/>
  <c r="AM233" i="35"/>
  <c r="AN233" i="35" s="1"/>
  <c r="AO233" i="35" s="1"/>
  <c r="AJ233" i="35"/>
  <c r="AK233" i="35" s="1"/>
  <c r="AL233" i="35" s="1"/>
  <c r="AJ243" i="35"/>
  <c r="AK243" i="35" s="1"/>
  <c r="AL243" i="35" s="1"/>
  <c r="AM243" i="35"/>
  <c r="AN243" i="35" s="1"/>
  <c r="AO243" i="35" s="1"/>
  <c r="T177" i="35"/>
  <c r="S178" i="35"/>
  <c r="S197" i="35"/>
  <c r="T196" i="35"/>
  <c r="AS237" i="35" l="1"/>
  <c r="AS236" i="35"/>
  <c r="AS224" i="35"/>
  <c r="AD175" i="38"/>
  <c r="AC175" i="38" s="1"/>
  <c r="AD171" i="38"/>
  <c r="AC171" i="38" s="1"/>
  <c r="AD176" i="38"/>
  <c r="AC176" i="38" s="1"/>
  <c r="AS226" i="35"/>
  <c r="AD177" i="38"/>
  <c r="AC177" i="38" s="1"/>
  <c r="AD174" i="38"/>
  <c r="AC174" i="38" s="1"/>
  <c r="AD172" i="38"/>
  <c r="AC172" i="38" s="1"/>
  <c r="AD181" i="38"/>
  <c r="AC181" i="38" s="1"/>
  <c r="AD180" i="38"/>
  <c r="AC180" i="38" s="1"/>
  <c r="AD182" i="38"/>
  <c r="AC182" i="38" s="1"/>
  <c r="AD173" i="38"/>
  <c r="AC173" i="38" s="1"/>
  <c r="AS231" i="35"/>
  <c r="AS234" i="35"/>
  <c r="AD178" i="38"/>
  <c r="AC178" i="38" s="1"/>
  <c r="BG180" i="42"/>
  <c r="AT175" i="41"/>
  <c r="AE175" i="41"/>
  <c r="AT181" i="36"/>
  <c r="AE181" i="36"/>
  <c r="V200" i="41"/>
  <c r="R201" i="41"/>
  <c r="AE198" i="42"/>
  <c r="AT198" i="42"/>
  <c r="R152" i="39"/>
  <c r="V151" i="39"/>
  <c r="R198" i="38"/>
  <c r="V197" i="38"/>
  <c r="R200" i="39"/>
  <c r="V199" i="39"/>
  <c r="V182" i="36"/>
  <c r="R183" i="36"/>
  <c r="AT213" i="37"/>
  <c r="R156" i="36"/>
  <c r="S156" i="36" s="1"/>
  <c r="T156" i="36" s="1"/>
  <c r="V155" i="36"/>
  <c r="BH255" i="37"/>
  <c r="V180" i="39"/>
  <c r="AF174" i="39" s="1"/>
  <c r="R181" i="39"/>
  <c r="R200" i="42"/>
  <c r="V199" i="42"/>
  <c r="AT196" i="38"/>
  <c r="AT150" i="39"/>
  <c r="AE150" i="39"/>
  <c r="AT198" i="39"/>
  <c r="T199" i="40"/>
  <c r="S200" i="40"/>
  <c r="T234" i="42"/>
  <c r="S235" i="42"/>
  <c r="AT170" i="40"/>
  <c r="AE170" i="40"/>
  <c r="AT154" i="37"/>
  <c r="AE154" i="37"/>
  <c r="R215" i="37"/>
  <c r="V214" i="37"/>
  <c r="BH227" i="40"/>
  <c r="V171" i="40"/>
  <c r="R172" i="40"/>
  <c r="BH240" i="41"/>
  <c r="AT151" i="42"/>
  <c r="AE151" i="42"/>
  <c r="V176" i="41"/>
  <c r="R177" i="41"/>
  <c r="V181" i="37"/>
  <c r="R182" i="37"/>
  <c r="S182" i="39"/>
  <c r="T182" i="39" s="1"/>
  <c r="T181" i="39"/>
  <c r="R182" i="39" s="1"/>
  <c r="T200" i="42"/>
  <c r="S201" i="42"/>
  <c r="BG180" i="39"/>
  <c r="R199" i="40"/>
  <c r="V198" i="40"/>
  <c r="AE179" i="39"/>
  <c r="AT179" i="39"/>
  <c r="R234" i="42"/>
  <c r="V233" i="42"/>
  <c r="V180" i="42"/>
  <c r="R181" i="42"/>
  <c r="R156" i="37"/>
  <c r="S156" i="37" s="1"/>
  <c r="T156" i="37" s="1"/>
  <c r="V155" i="37"/>
  <c r="S216" i="37"/>
  <c r="T215" i="37"/>
  <c r="AE179" i="42"/>
  <c r="AT179" i="42"/>
  <c r="T172" i="40"/>
  <c r="S173" i="40"/>
  <c r="S181" i="38"/>
  <c r="T180" i="38"/>
  <c r="R181" i="38" s="1"/>
  <c r="AT180" i="37"/>
  <c r="AE180" i="37"/>
  <c r="BH242" i="36"/>
  <c r="AC137" i="38"/>
  <c r="AA138" i="38" s="1"/>
  <c r="AG171" i="38" s="1"/>
  <c r="S178" i="41"/>
  <c r="T177" i="41"/>
  <c r="T182" i="37"/>
  <c r="S183" i="37"/>
  <c r="S154" i="42"/>
  <c r="T153" i="42"/>
  <c r="BG190" i="38"/>
  <c r="T201" i="41"/>
  <c r="S202" i="41"/>
  <c r="S182" i="42"/>
  <c r="T181" i="42"/>
  <c r="S153" i="39"/>
  <c r="T152" i="39"/>
  <c r="T198" i="38"/>
  <c r="S199" i="38"/>
  <c r="T200" i="39"/>
  <c r="S201" i="39"/>
  <c r="T183" i="36"/>
  <c r="S184" i="36"/>
  <c r="T151" i="38"/>
  <c r="R152" i="38" s="1"/>
  <c r="S152" i="38"/>
  <c r="AT154" i="36"/>
  <c r="AE154" i="36"/>
  <c r="AT197" i="40"/>
  <c r="AT199" i="41"/>
  <c r="R153" i="42"/>
  <c r="V152" i="42"/>
  <c r="AS233" i="35"/>
  <c r="AS227" i="35"/>
  <c r="AS235" i="35"/>
  <c r="AS239" i="35"/>
  <c r="AS238" i="35"/>
  <c r="AS228" i="35"/>
  <c r="AS243" i="35"/>
  <c r="AT243" i="35"/>
  <c r="AV243" i="35" s="1"/>
  <c r="S198" i="35"/>
  <c r="T197" i="35"/>
  <c r="R178" i="35"/>
  <c r="V177" i="35"/>
  <c r="AF171" i="35" s="1"/>
  <c r="BG177" i="35"/>
  <c r="AS223" i="35"/>
  <c r="AT176" i="35"/>
  <c r="AE176" i="35"/>
  <c r="AS244" i="35"/>
  <c r="AT244" i="35"/>
  <c r="AV244" i="35" s="1"/>
  <c r="V223" i="35"/>
  <c r="R224" i="35"/>
  <c r="S224" i="35" s="1"/>
  <c r="AS229" i="35"/>
  <c r="V196" i="35"/>
  <c r="R197" i="35"/>
  <c r="AS241" i="35"/>
  <c r="AT241" i="35"/>
  <c r="AV241" i="35" s="1"/>
  <c r="AS232" i="35"/>
  <c r="AT195" i="35"/>
  <c r="AE195" i="35"/>
  <c r="AS246" i="35"/>
  <c r="AT246" i="35"/>
  <c r="AV246" i="35" s="1"/>
  <c r="T178" i="35"/>
  <c r="R179" i="35" s="1"/>
  <c r="S179" i="35"/>
  <c r="AS242" i="35"/>
  <c r="AT242" i="35"/>
  <c r="AV242" i="35" s="1"/>
  <c r="AS245" i="35"/>
  <c r="AT245" i="35"/>
  <c r="AV245" i="35" s="1"/>
  <c r="T150" i="35"/>
  <c r="R151" i="35" s="1"/>
  <c r="S151" i="35"/>
  <c r="AS240" i="35"/>
  <c r="AS230" i="35"/>
  <c r="AS225" i="35"/>
  <c r="AF176" i="39" l="1"/>
  <c r="AF173" i="39"/>
  <c r="AF179" i="39"/>
  <c r="AF177" i="39"/>
  <c r="AX243" i="35"/>
  <c r="AZ243" i="35" s="1"/>
  <c r="BB243" i="35" s="1"/>
  <c r="AF178" i="39"/>
  <c r="AF175" i="39"/>
  <c r="R182" i="42"/>
  <c r="V181" i="42"/>
  <c r="AF175" i="42" s="1"/>
  <c r="AC170" i="38"/>
  <c r="AA171" i="38" s="1"/>
  <c r="T184" i="36"/>
  <c r="S185" i="36"/>
  <c r="T199" i="38"/>
  <c r="S200" i="38"/>
  <c r="T202" i="41"/>
  <c r="S203" i="41"/>
  <c r="BG191" i="38"/>
  <c r="R154" i="42"/>
  <c r="V153" i="42"/>
  <c r="S184" i="37"/>
  <c r="T183" i="37"/>
  <c r="BH243" i="36"/>
  <c r="S182" i="38"/>
  <c r="T182" i="38" s="1"/>
  <c r="T181" i="38"/>
  <c r="R182" i="38" s="1"/>
  <c r="R173" i="40"/>
  <c r="V172" i="40"/>
  <c r="S217" i="37"/>
  <c r="T216" i="37"/>
  <c r="AT180" i="42"/>
  <c r="AE180" i="42"/>
  <c r="AE181" i="37"/>
  <c r="AT181" i="37"/>
  <c r="BH228" i="40"/>
  <c r="R235" i="42"/>
  <c r="V234" i="42"/>
  <c r="V156" i="36"/>
  <c r="R157" i="36"/>
  <c r="S157" i="36" s="1"/>
  <c r="T157" i="36" s="1"/>
  <c r="AT197" i="38"/>
  <c r="V183" i="36"/>
  <c r="R184" i="36"/>
  <c r="R199" i="38"/>
  <c r="V198" i="38"/>
  <c r="V201" i="41"/>
  <c r="R202" i="41"/>
  <c r="S155" i="42"/>
  <c r="T154" i="42"/>
  <c r="R183" i="37"/>
  <c r="V182" i="37"/>
  <c r="AT155" i="37"/>
  <c r="AE155" i="37"/>
  <c r="AT233" i="42"/>
  <c r="AT198" i="40"/>
  <c r="T200" i="40"/>
  <c r="S201" i="40"/>
  <c r="AT182" i="36"/>
  <c r="AE182" i="36"/>
  <c r="AT200" i="41"/>
  <c r="T201" i="39"/>
  <c r="S202" i="39"/>
  <c r="R153" i="39"/>
  <c r="V152" i="39"/>
  <c r="S183" i="42"/>
  <c r="T183" i="42" s="1"/>
  <c r="T182" i="42"/>
  <c r="R183" i="42" s="1"/>
  <c r="V177" i="41"/>
  <c r="R178" i="41"/>
  <c r="R157" i="37"/>
  <c r="S157" i="37" s="1"/>
  <c r="T157" i="37" s="1"/>
  <c r="V156" i="37"/>
  <c r="BG181" i="39"/>
  <c r="S202" i="42"/>
  <c r="T201" i="42"/>
  <c r="AE176" i="41"/>
  <c r="AT176" i="41"/>
  <c r="BH241" i="41"/>
  <c r="AE171" i="40"/>
  <c r="AT171" i="40"/>
  <c r="AT214" i="37"/>
  <c r="R200" i="40"/>
  <c r="V199" i="40"/>
  <c r="AT199" i="42"/>
  <c r="AE199" i="42"/>
  <c r="AT180" i="39"/>
  <c r="AF180" i="39"/>
  <c r="AE180" i="39"/>
  <c r="AF172" i="39"/>
  <c r="AF171" i="39"/>
  <c r="BH256" i="37"/>
  <c r="AT199" i="39"/>
  <c r="AE151" i="39"/>
  <c r="AT151" i="39"/>
  <c r="BG181" i="42"/>
  <c r="AE152" i="42"/>
  <c r="AT152" i="42"/>
  <c r="T152" i="38"/>
  <c r="R153" i="38" s="1"/>
  <c r="S153" i="38"/>
  <c r="R201" i="39"/>
  <c r="V200" i="39"/>
  <c r="S154" i="39"/>
  <c r="T153" i="39"/>
  <c r="S179" i="41"/>
  <c r="T178" i="41"/>
  <c r="S174" i="40"/>
  <c r="T173" i="40"/>
  <c r="R216" i="37"/>
  <c r="V215" i="37"/>
  <c r="R201" i="42"/>
  <c r="V200" i="42"/>
  <c r="T235" i="42"/>
  <c r="S236" i="42"/>
  <c r="AT155" i="36"/>
  <c r="AE155" i="36"/>
  <c r="AX241" i="35"/>
  <c r="AZ241" i="35" s="1"/>
  <c r="AB241" i="35" s="1"/>
  <c r="AX242" i="35"/>
  <c r="AZ242" i="35" s="1"/>
  <c r="AB242" i="35" s="1"/>
  <c r="AX246" i="35"/>
  <c r="AZ246" i="35" s="1"/>
  <c r="AB246" i="35" s="1"/>
  <c r="AX244" i="35"/>
  <c r="AZ244" i="35" s="1"/>
  <c r="AB244" i="35" s="1"/>
  <c r="AX245" i="35"/>
  <c r="AZ245" i="35" s="1"/>
  <c r="AB245" i="35" s="1"/>
  <c r="AE177" i="35"/>
  <c r="AD171" i="35" s="1"/>
  <c r="AC171" i="35" s="1"/>
  <c r="AT177" i="35"/>
  <c r="AF177" i="35"/>
  <c r="AF175" i="35"/>
  <c r="AF170" i="35"/>
  <c r="AF172" i="35"/>
  <c r="AF174" i="35"/>
  <c r="AW242" i="35"/>
  <c r="AY242" i="35" s="1"/>
  <c r="BA242" i="35" s="1"/>
  <c r="AW246" i="35"/>
  <c r="AY246" i="35" s="1"/>
  <c r="BA246" i="35" s="1"/>
  <c r="AB243" i="35"/>
  <c r="AW245" i="35"/>
  <c r="AY245" i="35" s="1"/>
  <c r="BA245" i="35" s="1"/>
  <c r="S225" i="35"/>
  <c r="T224" i="35"/>
  <c r="AF173" i="35"/>
  <c r="S152" i="35"/>
  <c r="T151" i="35"/>
  <c r="R152" i="35" s="1"/>
  <c r="AT223" i="35"/>
  <c r="R198" i="35"/>
  <c r="V197" i="35"/>
  <c r="AF176" i="35"/>
  <c r="BG178" i="35"/>
  <c r="S199" i="35"/>
  <c r="T198" i="35"/>
  <c r="T179" i="35"/>
  <c r="R180" i="35" s="1"/>
  <c r="S180" i="35"/>
  <c r="AW241" i="35"/>
  <c r="AY241" i="35" s="1"/>
  <c r="BA241" i="35" s="1"/>
  <c r="AT196" i="35"/>
  <c r="AE196" i="35"/>
  <c r="AW244" i="35"/>
  <c r="AY244" i="35" s="1"/>
  <c r="BA244" i="35" s="1"/>
  <c r="AW243" i="35"/>
  <c r="AY243" i="35" s="1"/>
  <c r="BA243" i="35" s="1"/>
  <c r="R217" i="37" l="1"/>
  <c r="V216" i="37"/>
  <c r="BB242" i="35"/>
  <c r="AD172" i="35"/>
  <c r="AC172" i="35" s="1"/>
  <c r="AF173" i="42"/>
  <c r="AF178" i="42"/>
  <c r="AF174" i="42"/>
  <c r="AF176" i="42"/>
  <c r="AF180" i="42"/>
  <c r="AF172" i="42"/>
  <c r="AF179" i="42"/>
  <c r="AF181" i="42"/>
  <c r="AE181" i="42"/>
  <c r="AD174" i="42" s="1"/>
  <c r="AC174" i="42" s="1"/>
  <c r="AT181" i="42"/>
  <c r="AF177" i="42"/>
  <c r="BB241" i="35"/>
  <c r="BB245" i="35"/>
  <c r="R236" i="42"/>
  <c r="V235" i="42"/>
  <c r="AT215" i="37"/>
  <c r="S180" i="41"/>
  <c r="T179" i="41"/>
  <c r="AT199" i="40"/>
  <c r="V201" i="42"/>
  <c r="R202" i="42"/>
  <c r="AT156" i="37"/>
  <c r="AE156" i="37"/>
  <c r="T202" i="39"/>
  <c r="S203" i="39"/>
  <c r="R155" i="42"/>
  <c r="V154" i="42"/>
  <c r="AT198" i="38"/>
  <c r="AT234" i="42"/>
  <c r="S218" i="37"/>
  <c r="T218" i="37" s="1"/>
  <c r="V218" i="37" s="1"/>
  <c r="T217" i="37"/>
  <c r="T184" i="37"/>
  <c r="S185" i="37"/>
  <c r="BG192" i="38"/>
  <c r="R200" i="38"/>
  <c r="V199" i="38"/>
  <c r="AT200" i="42"/>
  <c r="AE200" i="42"/>
  <c r="R154" i="39"/>
  <c r="V153" i="39"/>
  <c r="S154" i="38"/>
  <c r="T153" i="38"/>
  <c r="R154" i="38" s="1"/>
  <c r="S203" i="42"/>
  <c r="T202" i="42"/>
  <c r="R158" i="37"/>
  <c r="S158" i="37" s="1"/>
  <c r="T158" i="37" s="1"/>
  <c r="V157" i="37"/>
  <c r="AT177" i="41"/>
  <c r="AE177" i="41"/>
  <c r="R202" i="39"/>
  <c r="V201" i="39"/>
  <c r="T155" i="42"/>
  <c r="S156" i="42"/>
  <c r="AT172" i="40"/>
  <c r="AE172" i="40"/>
  <c r="AE153" i="42"/>
  <c r="AT153" i="42"/>
  <c r="T203" i="41"/>
  <c r="S204" i="41"/>
  <c r="T185" i="36"/>
  <c r="S186" i="36"/>
  <c r="V173" i="40"/>
  <c r="R174" i="40"/>
  <c r="T154" i="39"/>
  <c r="S155" i="39"/>
  <c r="AD181" i="39"/>
  <c r="AC181" i="39" s="1"/>
  <c r="AD182" i="39"/>
  <c r="AC182" i="39" s="1"/>
  <c r="AD171" i="39"/>
  <c r="AC171" i="39" s="1"/>
  <c r="AD178" i="39"/>
  <c r="AC178" i="39" s="1"/>
  <c r="AD179" i="39"/>
  <c r="AC179" i="39" s="1"/>
  <c r="AD173" i="39"/>
  <c r="AC173" i="39" s="1"/>
  <c r="AD174" i="39"/>
  <c r="AC174" i="39" s="1"/>
  <c r="AD172" i="39"/>
  <c r="AC172" i="39" s="1"/>
  <c r="AD180" i="39"/>
  <c r="AC180" i="39" s="1"/>
  <c r="AD177" i="39"/>
  <c r="AC177" i="39" s="1"/>
  <c r="AD175" i="39"/>
  <c r="AC175" i="39" s="1"/>
  <c r="AD176" i="39"/>
  <c r="AC176" i="39" s="1"/>
  <c r="AE152" i="39"/>
  <c r="AT152" i="39"/>
  <c r="T201" i="40"/>
  <c r="S202" i="40"/>
  <c r="AT182" i="37"/>
  <c r="AE182" i="37"/>
  <c r="V157" i="36"/>
  <c r="R158" i="36"/>
  <c r="S158" i="36" s="1"/>
  <c r="T158" i="36" s="1"/>
  <c r="BH244" i="36"/>
  <c r="V202" i="41"/>
  <c r="T191" i="41" s="1"/>
  <c r="R203" i="41"/>
  <c r="R185" i="36"/>
  <c r="V184" i="36"/>
  <c r="T236" i="42"/>
  <c r="S237" i="42"/>
  <c r="T174" i="40"/>
  <c r="S175" i="40"/>
  <c r="V178" i="41"/>
  <c r="R179" i="41"/>
  <c r="AT200" i="39"/>
  <c r="BG182" i="42"/>
  <c r="BH257" i="37"/>
  <c r="BH242" i="41"/>
  <c r="BG182" i="39"/>
  <c r="R201" i="40"/>
  <c r="V200" i="40"/>
  <c r="AT201" i="41"/>
  <c r="AT183" i="36"/>
  <c r="AE183" i="36"/>
  <c r="AE156" i="36"/>
  <c r="AT156" i="36"/>
  <c r="BH229" i="40"/>
  <c r="V183" i="37"/>
  <c r="R184" i="37"/>
  <c r="T200" i="38"/>
  <c r="S201" i="38"/>
  <c r="BB244" i="35"/>
  <c r="AD181" i="35"/>
  <c r="AC181" i="35" s="1"/>
  <c r="AD179" i="35"/>
  <c r="AC179" i="35" s="1"/>
  <c r="BB246" i="35"/>
  <c r="T225" i="35"/>
  <c r="S226" i="35"/>
  <c r="BG179" i="35"/>
  <c r="V224" i="35"/>
  <c r="R225" i="35"/>
  <c r="AG170" i="35"/>
  <c r="AD177" i="35"/>
  <c r="AC177" i="35" s="1"/>
  <c r="AD175" i="35"/>
  <c r="AC175" i="35" s="1"/>
  <c r="AD170" i="35"/>
  <c r="AC170" i="35" s="1"/>
  <c r="AD176" i="35"/>
  <c r="AC176" i="35" s="1"/>
  <c r="AD178" i="35"/>
  <c r="AC178" i="35" s="1"/>
  <c r="AD173" i="35"/>
  <c r="AC173" i="35" s="1"/>
  <c r="AD180" i="35"/>
  <c r="AC180" i="35" s="1"/>
  <c r="AD174" i="35"/>
  <c r="AC174" i="35" s="1"/>
  <c r="V198" i="35"/>
  <c r="R199" i="35"/>
  <c r="S181" i="35"/>
  <c r="T181" i="35" s="1"/>
  <c r="T180" i="35"/>
  <c r="R181" i="35" s="1"/>
  <c r="T199" i="35"/>
  <c r="S200" i="35"/>
  <c r="AE197" i="35"/>
  <c r="AT197" i="35"/>
  <c r="S153" i="35"/>
  <c r="T152" i="35"/>
  <c r="R153" i="35" s="1"/>
  <c r="AD178" i="42" l="1"/>
  <c r="AC178" i="42" s="1"/>
  <c r="AT216" i="37"/>
  <c r="R218" i="37"/>
  <c r="V217" i="37"/>
  <c r="AF211" i="37" s="1"/>
  <c r="AV211" i="37" s="1"/>
  <c r="AF218" i="37"/>
  <c r="AT218" i="37"/>
  <c r="AD179" i="42"/>
  <c r="AC179" i="42" s="1"/>
  <c r="AD173" i="42"/>
  <c r="AC173" i="42" s="1"/>
  <c r="AD180" i="42"/>
  <c r="AC180" i="42" s="1"/>
  <c r="AD183" i="42"/>
  <c r="AC183" i="42" s="1"/>
  <c r="AD175" i="42"/>
  <c r="AC175" i="42" s="1"/>
  <c r="AD181" i="42"/>
  <c r="AC181" i="42" s="1"/>
  <c r="AD172" i="42"/>
  <c r="AC172" i="42" s="1"/>
  <c r="AD177" i="42"/>
  <c r="AC177" i="42" s="1"/>
  <c r="AD182" i="42"/>
  <c r="AC182" i="42" s="1"/>
  <c r="AD176" i="42"/>
  <c r="AC176" i="42" s="1"/>
  <c r="AE183" i="37"/>
  <c r="AT183" i="37"/>
  <c r="T201" i="38"/>
  <c r="S202" i="38"/>
  <c r="BH230" i="40"/>
  <c r="AT200" i="40"/>
  <c r="BG183" i="42"/>
  <c r="AE178" i="41"/>
  <c r="AT178" i="41"/>
  <c r="R237" i="42"/>
  <c r="V236" i="42"/>
  <c r="AE173" i="40"/>
  <c r="AT173" i="40"/>
  <c r="T204" i="41"/>
  <c r="S205" i="41"/>
  <c r="AT157" i="37"/>
  <c r="AE157" i="37"/>
  <c r="S155" i="38"/>
  <c r="T154" i="38"/>
  <c r="R155" i="38" s="1"/>
  <c r="AT154" i="42"/>
  <c r="AE154" i="42"/>
  <c r="AT201" i="42"/>
  <c r="AE201" i="42"/>
  <c r="S181" i="41"/>
  <c r="T180" i="41"/>
  <c r="R201" i="38"/>
  <c r="V200" i="38"/>
  <c r="BH243" i="41"/>
  <c r="BH258" i="37"/>
  <c r="S176" i="40"/>
  <c r="T175" i="40"/>
  <c r="AT202" i="41"/>
  <c r="T155" i="39"/>
  <c r="R156" i="39" s="1"/>
  <c r="S156" i="39"/>
  <c r="V203" i="41"/>
  <c r="R204" i="41"/>
  <c r="AT201" i="39"/>
  <c r="R159" i="37"/>
  <c r="S159" i="37" s="1"/>
  <c r="T159" i="37" s="1"/>
  <c r="V158" i="37"/>
  <c r="AT153" i="39"/>
  <c r="AE153" i="39"/>
  <c r="AT199" i="38"/>
  <c r="S186" i="37"/>
  <c r="T185" i="37"/>
  <c r="R175" i="40"/>
  <c r="V174" i="40"/>
  <c r="AT184" i="36"/>
  <c r="AE184" i="36"/>
  <c r="R159" i="36"/>
  <c r="S159" i="36" s="1"/>
  <c r="T159" i="36" s="1"/>
  <c r="V158" i="36"/>
  <c r="T202" i="40"/>
  <c r="S203" i="40"/>
  <c r="AC170" i="39"/>
  <c r="AA171" i="39" s="1"/>
  <c r="R155" i="39"/>
  <c r="V154" i="39"/>
  <c r="AF151" i="39" s="1"/>
  <c r="T186" i="36"/>
  <c r="S187" i="36"/>
  <c r="T156" i="42"/>
  <c r="S157" i="42"/>
  <c r="V202" i="42"/>
  <c r="R203" i="42"/>
  <c r="R185" i="37"/>
  <c r="V184" i="37"/>
  <c r="T203" i="39"/>
  <c r="S204" i="39"/>
  <c r="BG183" i="39"/>
  <c r="T237" i="42"/>
  <c r="S238" i="42"/>
  <c r="BH245" i="36"/>
  <c r="AE157" i="36"/>
  <c r="AT157" i="36"/>
  <c r="R202" i="40"/>
  <c r="V201" i="40"/>
  <c r="R186" i="36"/>
  <c r="V185" i="36"/>
  <c r="R156" i="42"/>
  <c r="V155" i="42"/>
  <c r="S204" i="42"/>
  <c r="T203" i="42"/>
  <c r="BG193" i="38"/>
  <c r="R203" i="39"/>
  <c r="V202" i="39"/>
  <c r="V179" i="41"/>
  <c r="R180" i="41"/>
  <c r="AT235" i="42"/>
  <c r="T153" i="35"/>
  <c r="R154" i="35" s="1"/>
  <c r="S154" i="35"/>
  <c r="V199" i="35"/>
  <c r="R200" i="35"/>
  <c r="AT198" i="35"/>
  <c r="AE198" i="35"/>
  <c r="AC169" i="35"/>
  <c r="AA170" i="35" s="1"/>
  <c r="BG180" i="35"/>
  <c r="V225" i="35"/>
  <c r="R226" i="35"/>
  <c r="AT224" i="35"/>
  <c r="T226" i="35"/>
  <c r="S227" i="35"/>
  <c r="S201" i="35"/>
  <c r="T200" i="35"/>
  <c r="T207" i="37" l="1"/>
  <c r="AF217" i="37"/>
  <c r="AT217" i="37"/>
  <c r="AF215" i="37"/>
  <c r="AV215" i="37" s="1"/>
  <c r="AW215" i="37" s="1"/>
  <c r="AY215" i="37" s="1"/>
  <c r="BA215" i="37" s="1"/>
  <c r="AV218" i="37"/>
  <c r="AF212" i="37"/>
  <c r="AV212" i="37" s="1"/>
  <c r="AF214" i="37"/>
  <c r="AV214" i="37" s="1"/>
  <c r="AF216" i="37"/>
  <c r="AV216" i="37" s="1"/>
  <c r="AF213" i="37"/>
  <c r="AV213" i="37" s="1"/>
  <c r="AC171" i="42"/>
  <c r="AA172" i="42" s="1"/>
  <c r="BG194" i="38"/>
  <c r="V203" i="42"/>
  <c r="R204" i="42"/>
  <c r="BH246" i="36"/>
  <c r="BG184" i="39"/>
  <c r="R204" i="39"/>
  <c r="V203" i="39"/>
  <c r="AT184" i="37"/>
  <c r="AE184" i="37"/>
  <c r="T187" i="36"/>
  <c r="S188" i="36"/>
  <c r="R203" i="40"/>
  <c r="V202" i="40"/>
  <c r="AT174" i="40"/>
  <c r="AE174" i="40"/>
  <c r="V185" i="37"/>
  <c r="R186" i="37"/>
  <c r="AT158" i="37"/>
  <c r="AE158" i="37"/>
  <c r="AT200" i="38"/>
  <c r="T205" i="41"/>
  <c r="S206" i="41"/>
  <c r="T202" i="38"/>
  <c r="S203" i="38"/>
  <c r="AT179" i="41"/>
  <c r="AE179" i="41"/>
  <c r="T204" i="42"/>
  <c r="S205" i="42"/>
  <c r="AT185" i="36"/>
  <c r="AE185" i="36"/>
  <c r="AT201" i="40"/>
  <c r="T238" i="42"/>
  <c r="S239" i="42"/>
  <c r="T239" i="42" s="1"/>
  <c r="V239" i="42" s="1"/>
  <c r="S158" i="42"/>
  <c r="T157" i="42"/>
  <c r="R187" i="36"/>
  <c r="V186" i="36"/>
  <c r="AT158" i="36"/>
  <c r="AE158" i="36"/>
  <c r="T186" i="37"/>
  <c r="S187" i="37"/>
  <c r="R160" i="37"/>
  <c r="S160" i="37" s="1"/>
  <c r="T160" i="37" s="1"/>
  <c r="R161" i="37" s="1"/>
  <c r="S161" i="37" s="1"/>
  <c r="T161" i="37" s="1"/>
  <c r="V159" i="37"/>
  <c r="AF155" i="37" s="1"/>
  <c r="AT203" i="41"/>
  <c r="BH259" i="37"/>
  <c r="V204" i="41"/>
  <c r="R205" i="41"/>
  <c r="R202" i="38"/>
  <c r="V201" i="38"/>
  <c r="R238" i="42"/>
  <c r="V237" i="42"/>
  <c r="R157" i="42"/>
  <c r="V156" i="42"/>
  <c r="AT154" i="39"/>
  <c r="AF154" i="39"/>
  <c r="AE154" i="39"/>
  <c r="T135" i="39"/>
  <c r="AF139" i="39"/>
  <c r="AF142" i="39"/>
  <c r="AF141" i="39"/>
  <c r="AF140" i="39"/>
  <c r="AF143" i="39"/>
  <c r="AF144" i="39"/>
  <c r="AF146" i="39"/>
  <c r="AF150" i="39"/>
  <c r="AF148" i="39"/>
  <c r="AF152" i="39"/>
  <c r="AF147" i="39"/>
  <c r="AF149" i="39"/>
  <c r="AF145" i="39"/>
  <c r="R160" i="36"/>
  <c r="S160" i="36" s="1"/>
  <c r="T160" i="36" s="1"/>
  <c r="V159" i="36"/>
  <c r="AF153" i="39"/>
  <c r="S157" i="39"/>
  <c r="T156" i="39"/>
  <c r="R157" i="39" s="1"/>
  <c r="V175" i="40"/>
  <c r="R176" i="40"/>
  <c r="BH244" i="41"/>
  <c r="V180" i="41"/>
  <c r="R181" i="41"/>
  <c r="AT202" i="39"/>
  <c r="AT155" i="42"/>
  <c r="AE155" i="42"/>
  <c r="S205" i="39"/>
  <c r="T204" i="39"/>
  <c r="AE202" i="42"/>
  <c r="AT202" i="42"/>
  <c r="T203" i="40"/>
  <c r="S204" i="40"/>
  <c r="AX211" i="37"/>
  <c r="AY205" i="37" s="1"/>
  <c r="AZ211" i="37" s="1"/>
  <c r="AW211" i="37"/>
  <c r="AY211" i="37" s="1"/>
  <c r="BA211" i="37" s="1"/>
  <c r="T176" i="40"/>
  <c r="S177" i="40"/>
  <c r="S182" i="41"/>
  <c r="T181" i="41"/>
  <c r="T155" i="38"/>
  <c r="R156" i="38" s="1"/>
  <c r="S156" i="38"/>
  <c r="AT236" i="42"/>
  <c r="BG184" i="42"/>
  <c r="BH231" i="40"/>
  <c r="S202" i="35"/>
  <c r="T201" i="35"/>
  <c r="BG181" i="35"/>
  <c r="AT225" i="35"/>
  <c r="AE199" i="35"/>
  <c r="AT199" i="35"/>
  <c r="T227" i="35"/>
  <c r="S228" i="35"/>
  <c r="T154" i="35"/>
  <c r="R155" i="35" s="1"/>
  <c r="S155" i="35"/>
  <c r="R201" i="35"/>
  <c r="V200" i="35"/>
  <c r="R227" i="35"/>
  <c r="V226" i="35"/>
  <c r="AX215" i="37" l="1"/>
  <c r="AZ215" i="37" s="1"/>
  <c r="AF239" i="42"/>
  <c r="AT239" i="42"/>
  <c r="R239" i="42"/>
  <c r="V238" i="42"/>
  <c r="AF233" i="42" s="1"/>
  <c r="AV233" i="42" s="1"/>
  <c r="AV217" i="37"/>
  <c r="AX217" i="37" s="1"/>
  <c r="AZ217" i="37" s="1"/>
  <c r="AW218" i="37"/>
  <c r="AY218" i="37" s="1"/>
  <c r="BA218" i="37" s="1"/>
  <c r="AX218" i="37"/>
  <c r="AZ218" i="37" s="1"/>
  <c r="AW214" i="37"/>
  <c r="AY214" i="37" s="1"/>
  <c r="BA214" i="37" s="1"/>
  <c r="AX214" i="37"/>
  <c r="AZ214" i="37" s="1"/>
  <c r="AW216" i="37"/>
  <c r="AY216" i="37" s="1"/>
  <c r="BA216" i="37" s="1"/>
  <c r="AX216" i="37"/>
  <c r="AZ216" i="37" s="1"/>
  <c r="AW213" i="37"/>
  <c r="AY213" i="37" s="1"/>
  <c r="BA213" i="37" s="1"/>
  <c r="AX213" i="37"/>
  <c r="AZ213" i="37" s="1"/>
  <c r="AW212" i="37"/>
  <c r="AY212" i="37" s="1"/>
  <c r="BA212" i="37" s="1"/>
  <c r="AX212" i="37"/>
  <c r="AZ212" i="37" s="1"/>
  <c r="AF158" i="37"/>
  <c r="AF156" i="37"/>
  <c r="AF159" i="37"/>
  <c r="AF142" i="37"/>
  <c r="AF144" i="37"/>
  <c r="AF143" i="37"/>
  <c r="AF145" i="37"/>
  <c r="AF146" i="37"/>
  <c r="AF149" i="37"/>
  <c r="AF148" i="37"/>
  <c r="AF147" i="37"/>
  <c r="AF151" i="37"/>
  <c r="AF150" i="37"/>
  <c r="AF154" i="37"/>
  <c r="AF153" i="37"/>
  <c r="AF152" i="37"/>
  <c r="AF157" i="37"/>
  <c r="S178" i="40"/>
  <c r="T177" i="40"/>
  <c r="AB211" i="37"/>
  <c r="BB211" i="37"/>
  <c r="R204" i="40"/>
  <c r="V203" i="40"/>
  <c r="BH245" i="41"/>
  <c r="AT159" i="36"/>
  <c r="AE159" i="36"/>
  <c r="AT237" i="42"/>
  <c r="BH260" i="37"/>
  <c r="R187" i="37"/>
  <c r="V186" i="37"/>
  <c r="AT186" i="36"/>
  <c r="AE186" i="36"/>
  <c r="T203" i="38"/>
  <c r="S204" i="38"/>
  <c r="V205" i="41"/>
  <c r="R206" i="41"/>
  <c r="AT202" i="40"/>
  <c r="BG185" i="42"/>
  <c r="R177" i="40"/>
  <c r="V176" i="40"/>
  <c r="V204" i="39"/>
  <c r="R205" i="39"/>
  <c r="S158" i="39"/>
  <c r="T158" i="39" s="1"/>
  <c r="T157" i="39"/>
  <c r="R158" i="39" s="1"/>
  <c r="V160" i="36"/>
  <c r="R161" i="36"/>
  <c r="S161" i="36" s="1"/>
  <c r="T161" i="36" s="1"/>
  <c r="V161" i="36" s="1"/>
  <c r="AE156" i="42"/>
  <c r="AT156" i="42"/>
  <c r="AT204" i="41"/>
  <c r="AT159" i="37"/>
  <c r="AE159" i="37"/>
  <c r="AB215" i="37"/>
  <c r="BB215" i="37"/>
  <c r="R203" i="38"/>
  <c r="V202" i="38"/>
  <c r="BH247" i="36"/>
  <c r="V181" i="41"/>
  <c r="R182" i="41"/>
  <c r="T205" i="39"/>
  <c r="S206" i="39"/>
  <c r="AE180" i="41"/>
  <c r="AT180" i="41"/>
  <c r="AE175" i="40"/>
  <c r="AT175" i="40"/>
  <c r="AD148" i="39"/>
  <c r="AC148" i="39" s="1"/>
  <c r="AD150" i="39"/>
  <c r="AC150" i="39" s="1"/>
  <c r="AD142" i="39"/>
  <c r="AC142" i="39" s="1"/>
  <c r="AD139" i="39"/>
  <c r="AC139" i="39" s="1"/>
  <c r="AD149" i="39"/>
  <c r="AC149" i="39" s="1"/>
  <c r="AD151" i="39"/>
  <c r="AC151" i="39" s="1"/>
  <c r="AD153" i="39"/>
  <c r="AC153" i="39" s="1"/>
  <c r="AD144" i="39"/>
  <c r="AC144" i="39" s="1"/>
  <c r="AD145" i="39"/>
  <c r="AC145" i="39" s="1"/>
  <c r="AD155" i="39"/>
  <c r="AC155" i="39" s="1"/>
  <c r="AD154" i="39"/>
  <c r="AC154" i="39" s="1"/>
  <c r="AD158" i="39"/>
  <c r="AC158" i="39" s="1"/>
  <c r="AD141" i="39"/>
  <c r="AC141" i="39" s="1"/>
  <c r="AD147" i="39"/>
  <c r="AC147" i="39" s="1"/>
  <c r="AD146" i="39"/>
  <c r="AC146" i="39" s="1"/>
  <c r="AD143" i="39"/>
  <c r="AC143" i="39" s="1"/>
  <c r="AD157" i="39"/>
  <c r="AC157" i="39" s="1"/>
  <c r="AD140" i="39"/>
  <c r="AC140" i="39" s="1"/>
  <c r="AD152" i="39"/>
  <c r="AC152" i="39" s="1"/>
  <c r="AD156" i="39"/>
  <c r="AC156" i="39" s="1"/>
  <c r="AT201" i="38"/>
  <c r="R158" i="42"/>
  <c r="V157" i="42"/>
  <c r="T205" i="42"/>
  <c r="S206" i="42"/>
  <c r="T188" i="36"/>
  <c r="S189" i="36"/>
  <c r="BG185" i="39"/>
  <c r="AE203" i="42"/>
  <c r="AT203" i="42"/>
  <c r="BH232" i="40"/>
  <c r="T156" i="38"/>
  <c r="R157" i="38" s="1"/>
  <c r="S157" i="38"/>
  <c r="T157" i="38" s="1"/>
  <c r="S183" i="41"/>
  <c r="T182" i="41"/>
  <c r="T204" i="40"/>
  <c r="S205" i="40"/>
  <c r="S188" i="37"/>
  <c r="T187" i="37"/>
  <c r="S159" i="42"/>
  <c r="T159" i="42" s="1"/>
  <c r="V159" i="42" s="1"/>
  <c r="T158" i="42"/>
  <c r="R205" i="42"/>
  <c r="V204" i="42"/>
  <c r="T206" i="41"/>
  <c r="S207" i="41"/>
  <c r="AE185" i="37"/>
  <c r="AT185" i="37"/>
  <c r="R188" i="36"/>
  <c r="V187" i="36"/>
  <c r="AT203" i="39"/>
  <c r="BG195" i="38"/>
  <c r="AT226" i="35"/>
  <c r="S156" i="35"/>
  <c r="T155" i="35"/>
  <c r="R156" i="35" s="1"/>
  <c r="AT200" i="35"/>
  <c r="AE200" i="35"/>
  <c r="BG182" i="35"/>
  <c r="T228" i="35"/>
  <c r="S229" i="35"/>
  <c r="R202" i="35"/>
  <c r="V201" i="35"/>
  <c r="R228" i="35"/>
  <c r="V227" i="35"/>
  <c r="S203" i="35"/>
  <c r="T202" i="35"/>
  <c r="AW217" i="37" l="1"/>
  <c r="AY217" i="37" s="1"/>
  <c r="BA217" i="37" s="1"/>
  <c r="AF237" i="42"/>
  <c r="AV237" i="42" s="1"/>
  <c r="AW237" i="42" s="1"/>
  <c r="AY237" i="42" s="1"/>
  <c r="BA237" i="42" s="1"/>
  <c r="AF235" i="42"/>
  <c r="AV235" i="42" s="1"/>
  <c r="AW235" i="42" s="1"/>
  <c r="AY235" i="42" s="1"/>
  <c r="BA235" i="42" s="1"/>
  <c r="AF232" i="42"/>
  <c r="AV232" i="42" s="1"/>
  <c r="T228" i="42"/>
  <c r="AF234" i="42"/>
  <c r="AV234" i="42" s="1"/>
  <c r="AX234" i="42" s="1"/>
  <c r="AZ234" i="42" s="1"/>
  <c r="BB234" i="42" s="1"/>
  <c r="AV239" i="42"/>
  <c r="AF238" i="42"/>
  <c r="AT238" i="42"/>
  <c r="AF236" i="42"/>
  <c r="AV236" i="42" s="1"/>
  <c r="AX236" i="42" s="1"/>
  <c r="AZ236" i="42" s="1"/>
  <c r="BB212" i="37"/>
  <c r="AB212" i="37"/>
  <c r="BB216" i="37"/>
  <c r="AB216" i="37"/>
  <c r="AB217" i="37"/>
  <c r="BB217" i="37"/>
  <c r="BB213" i="37"/>
  <c r="AB213" i="37"/>
  <c r="AB214" i="37"/>
  <c r="BB214" i="37"/>
  <c r="AB218" i="37"/>
  <c r="BB218" i="37"/>
  <c r="AF145" i="36"/>
  <c r="AF151" i="36"/>
  <c r="AF158" i="36"/>
  <c r="AF154" i="36"/>
  <c r="AF150" i="36"/>
  <c r="AF146" i="36"/>
  <c r="AF157" i="36"/>
  <c r="AF153" i="36"/>
  <c r="AF149" i="36"/>
  <c r="AF160" i="36"/>
  <c r="AF152" i="36"/>
  <c r="AF148" i="36"/>
  <c r="AF144" i="36"/>
  <c r="AF159" i="36"/>
  <c r="AF155" i="36"/>
  <c r="AF147" i="36"/>
  <c r="AF143" i="36"/>
  <c r="AF156" i="36"/>
  <c r="AF142" i="36"/>
  <c r="R159" i="42"/>
  <c r="V158" i="42"/>
  <c r="AF150" i="42" s="1"/>
  <c r="AF159" i="42"/>
  <c r="AE159" i="42"/>
  <c r="AT159" i="42"/>
  <c r="V187" i="37"/>
  <c r="R188" i="37"/>
  <c r="T205" i="40"/>
  <c r="S206" i="40"/>
  <c r="R189" i="36"/>
  <c r="V188" i="36"/>
  <c r="BG196" i="38"/>
  <c r="AT187" i="36"/>
  <c r="AE187" i="36"/>
  <c r="T207" i="41"/>
  <c r="S208" i="41"/>
  <c r="V182" i="41"/>
  <c r="R183" i="41"/>
  <c r="BG189" i="39"/>
  <c r="S207" i="42"/>
  <c r="T206" i="42"/>
  <c r="AT181" i="41"/>
  <c r="AE181" i="41"/>
  <c r="AT202" i="38"/>
  <c r="AE160" i="36"/>
  <c r="AT160" i="36"/>
  <c r="AT204" i="39"/>
  <c r="R204" i="38"/>
  <c r="V203" i="38"/>
  <c r="AT186" i="37"/>
  <c r="AE186" i="37"/>
  <c r="AX233" i="42"/>
  <c r="AZ233" i="42" s="1"/>
  <c r="AW233" i="42"/>
  <c r="AY233" i="42" s="1"/>
  <c r="BA233" i="42" s="1"/>
  <c r="V206" i="41"/>
  <c r="R207" i="41"/>
  <c r="S184" i="41"/>
  <c r="T183" i="41"/>
  <c r="T189" i="36"/>
  <c r="S190" i="36"/>
  <c r="R206" i="42"/>
  <c r="V205" i="42"/>
  <c r="S207" i="39"/>
  <c r="T206" i="39"/>
  <c r="AT176" i="40"/>
  <c r="AE176" i="40"/>
  <c r="BG186" i="42"/>
  <c r="BH246" i="41"/>
  <c r="AC138" i="39"/>
  <c r="AA139" i="39" s="1"/>
  <c r="AG171" i="39" s="1"/>
  <c r="R206" i="39"/>
  <c r="V205" i="39"/>
  <c r="AD161" i="37"/>
  <c r="AC161" i="37" s="1"/>
  <c r="AD158" i="37"/>
  <c r="AC158" i="37" s="1"/>
  <c r="AD147" i="37"/>
  <c r="AC147" i="37" s="1"/>
  <c r="AD144" i="37"/>
  <c r="AC144" i="37" s="1"/>
  <c r="AD160" i="37"/>
  <c r="AC160" i="37" s="1"/>
  <c r="AD150" i="37"/>
  <c r="AC150" i="37" s="1"/>
  <c r="AD148" i="37"/>
  <c r="AC148" i="37" s="1"/>
  <c r="AD156" i="37"/>
  <c r="AC156" i="37" s="1"/>
  <c r="AD153" i="37"/>
  <c r="AC153" i="37" s="1"/>
  <c r="AD152" i="37"/>
  <c r="AC152" i="37" s="1"/>
  <c r="AD142" i="37"/>
  <c r="AC142" i="37" s="1"/>
  <c r="AD159" i="37"/>
  <c r="AC159" i="37" s="1"/>
  <c r="AD157" i="37"/>
  <c r="AC157" i="37" s="1"/>
  <c r="AD146" i="37"/>
  <c r="AC146" i="37" s="1"/>
  <c r="AD145" i="37"/>
  <c r="AC145" i="37" s="1"/>
  <c r="AD143" i="37"/>
  <c r="AC143" i="37" s="1"/>
  <c r="AD149" i="37"/>
  <c r="AC149" i="37" s="1"/>
  <c r="AD155" i="37"/>
  <c r="AC155" i="37" s="1"/>
  <c r="AD154" i="37"/>
  <c r="AC154" i="37" s="1"/>
  <c r="AD151" i="37"/>
  <c r="AC151" i="37" s="1"/>
  <c r="AT205" i="41"/>
  <c r="AT203" i="40"/>
  <c r="V177" i="40"/>
  <c r="R178" i="40"/>
  <c r="AT204" i="42"/>
  <c r="AE204" i="42"/>
  <c r="T188" i="37"/>
  <c r="S189" i="37"/>
  <c r="R205" i="40"/>
  <c r="V204" i="40"/>
  <c r="BH233" i="40"/>
  <c r="AE157" i="42"/>
  <c r="AT157" i="42"/>
  <c r="BH248" i="36"/>
  <c r="AE161" i="36"/>
  <c r="AT161" i="36"/>
  <c r="AF161" i="36"/>
  <c r="T204" i="38"/>
  <c r="S205" i="38"/>
  <c r="BH261" i="37"/>
  <c r="T178" i="40"/>
  <c r="S179" i="40"/>
  <c r="T203" i="35"/>
  <c r="S204" i="35"/>
  <c r="T229" i="35"/>
  <c r="S230" i="35"/>
  <c r="BG183" i="35"/>
  <c r="AT201" i="35"/>
  <c r="AE201" i="35"/>
  <c r="R229" i="35"/>
  <c r="V228" i="35"/>
  <c r="S157" i="35"/>
  <c r="T157" i="35" s="1"/>
  <c r="T156" i="35"/>
  <c r="R157" i="35" s="1"/>
  <c r="V202" i="35"/>
  <c r="R203" i="35"/>
  <c r="AT227" i="35"/>
  <c r="AF148" i="42" l="1"/>
  <c r="AF151" i="42"/>
  <c r="AF141" i="42"/>
  <c r="AF140" i="42"/>
  <c r="T136" i="42"/>
  <c r="AF149" i="42"/>
  <c r="AF157" i="42"/>
  <c r="AF156" i="42"/>
  <c r="AF153" i="42"/>
  <c r="AF146" i="42"/>
  <c r="AF144" i="42"/>
  <c r="AW236" i="42"/>
  <c r="AY236" i="42" s="1"/>
  <c r="BA236" i="42" s="1"/>
  <c r="AF145" i="42"/>
  <c r="AF143" i="42"/>
  <c r="AX235" i="42"/>
  <c r="AZ235" i="42" s="1"/>
  <c r="AW234" i="42"/>
  <c r="AY234" i="42" s="1"/>
  <c r="BA234" i="42" s="1"/>
  <c r="AV238" i="42"/>
  <c r="AB234" i="42"/>
  <c r="AW238" i="42"/>
  <c r="AY238" i="42" s="1"/>
  <c r="BA238" i="42" s="1"/>
  <c r="AX238" i="42"/>
  <c r="AZ238" i="42" s="1"/>
  <c r="AX239" i="42"/>
  <c r="AZ239" i="42" s="1"/>
  <c r="AW239" i="42"/>
  <c r="AY239" i="42" s="1"/>
  <c r="BA239" i="42" s="1"/>
  <c r="AX237" i="42"/>
  <c r="AZ237" i="42" s="1"/>
  <c r="AB237" i="42" s="1"/>
  <c r="AF155" i="42"/>
  <c r="AF147" i="42"/>
  <c r="AF142" i="42"/>
  <c r="AF154" i="42"/>
  <c r="AF158" i="42"/>
  <c r="AE158" i="42"/>
  <c r="AD148" i="42" s="1"/>
  <c r="AC148" i="42" s="1"/>
  <c r="AT158" i="42"/>
  <c r="AF152" i="42"/>
  <c r="S180" i="40"/>
  <c r="T179" i="40"/>
  <c r="BH262" i="37"/>
  <c r="AD142" i="36"/>
  <c r="AC142" i="36" s="1"/>
  <c r="AD159" i="36"/>
  <c r="AC159" i="36" s="1"/>
  <c r="AD144" i="36"/>
  <c r="AC144" i="36" s="1"/>
  <c r="AD161" i="36"/>
  <c r="AC161" i="36" s="1"/>
  <c r="AD149" i="36"/>
  <c r="AC149" i="36" s="1"/>
  <c r="AD150" i="36"/>
  <c r="AC150" i="36" s="1"/>
  <c r="AD156" i="36"/>
  <c r="AC156" i="36" s="1"/>
  <c r="AD147" i="36"/>
  <c r="AC147" i="36" s="1"/>
  <c r="AD154" i="36"/>
  <c r="AC154" i="36" s="1"/>
  <c r="AD151" i="36"/>
  <c r="AC151" i="36" s="1"/>
  <c r="AD146" i="36"/>
  <c r="AC146" i="36" s="1"/>
  <c r="AD143" i="36"/>
  <c r="AC143" i="36" s="1"/>
  <c r="AD160" i="36"/>
  <c r="AC160" i="36" s="1"/>
  <c r="AD152" i="36"/>
  <c r="AC152" i="36" s="1"/>
  <c r="AD158" i="36"/>
  <c r="AC158" i="36" s="1"/>
  <c r="AD153" i="36"/>
  <c r="AC153" i="36" s="1"/>
  <c r="AD145" i="36"/>
  <c r="AC145" i="36" s="1"/>
  <c r="AD155" i="36"/>
  <c r="AC155" i="36" s="1"/>
  <c r="AD157" i="36"/>
  <c r="AC157" i="36" s="1"/>
  <c r="AD148" i="36"/>
  <c r="AC148" i="36" s="1"/>
  <c r="R179" i="40"/>
  <c r="V178" i="40"/>
  <c r="BB236" i="42"/>
  <c r="AB236" i="42"/>
  <c r="BG190" i="42"/>
  <c r="T207" i="39"/>
  <c r="S208" i="39"/>
  <c r="R190" i="36"/>
  <c r="V189" i="36"/>
  <c r="S185" i="41"/>
  <c r="T185" i="41" s="1"/>
  <c r="T184" i="41"/>
  <c r="R185" i="41" s="1"/>
  <c r="BB233" i="42"/>
  <c r="AB233" i="42"/>
  <c r="BG190" i="39"/>
  <c r="V207" i="41"/>
  <c r="R208" i="41"/>
  <c r="AT188" i="36"/>
  <c r="AE188" i="36"/>
  <c r="T205" i="38"/>
  <c r="S206" i="38"/>
  <c r="S190" i="37"/>
  <c r="T189" i="37"/>
  <c r="AC141" i="37"/>
  <c r="AA142" i="37" s="1"/>
  <c r="AT205" i="39"/>
  <c r="AT205" i="42"/>
  <c r="AE205" i="42"/>
  <c r="R207" i="42"/>
  <c r="V206" i="42"/>
  <c r="AE187" i="37"/>
  <c r="AT187" i="37"/>
  <c r="R205" i="38"/>
  <c r="V204" i="38"/>
  <c r="BH234" i="40"/>
  <c r="R189" i="37"/>
  <c r="V188" i="37"/>
  <c r="AE177" i="40"/>
  <c r="AT177" i="40"/>
  <c r="AX232" i="42"/>
  <c r="AY226" i="42" s="1"/>
  <c r="AZ232" i="42" s="1"/>
  <c r="AW232" i="42"/>
  <c r="AY232" i="42" s="1"/>
  <c r="BA232" i="42" s="1"/>
  <c r="AT206" i="41"/>
  <c r="S208" i="42"/>
  <c r="T207" i="42"/>
  <c r="AE182" i="41"/>
  <c r="AT182" i="41"/>
  <c r="BG197" i="38"/>
  <c r="T206" i="40"/>
  <c r="S207" i="40"/>
  <c r="BH249" i="36"/>
  <c r="AT204" i="40"/>
  <c r="BH247" i="41"/>
  <c r="BB235" i="42"/>
  <c r="AB235" i="42"/>
  <c r="V206" i="39"/>
  <c r="R207" i="39"/>
  <c r="T190" i="36"/>
  <c r="S191" i="36"/>
  <c r="V183" i="41"/>
  <c r="AF182" i="41" s="1"/>
  <c r="R184" i="41"/>
  <c r="AT203" i="38"/>
  <c r="T208" i="41"/>
  <c r="S209" i="41"/>
  <c r="R206" i="40"/>
  <c r="V205" i="40"/>
  <c r="S205" i="35"/>
  <c r="T204" i="35"/>
  <c r="R205" i="35" s="1"/>
  <c r="BG184" i="35"/>
  <c r="R204" i="35"/>
  <c r="V203" i="35"/>
  <c r="AF200" i="35" s="1"/>
  <c r="AT228" i="35"/>
  <c r="T230" i="35"/>
  <c r="S231" i="35"/>
  <c r="AT202" i="35"/>
  <c r="AE202" i="35"/>
  <c r="R230" i="35"/>
  <c r="V229" i="35"/>
  <c r="BB237" i="42" l="1"/>
  <c r="AD141" i="42"/>
  <c r="AC141" i="42" s="1"/>
  <c r="AD157" i="42"/>
  <c r="AC157" i="42" s="1"/>
  <c r="AD154" i="42"/>
  <c r="AC154" i="42" s="1"/>
  <c r="AD140" i="42"/>
  <c r="AC140" i="42" s="1"/>
  <c r="AD159" i="42"/>
  <c r="AC159" i="42" s="1"/>
  <c r="AD151" i="42"/>
  <c r="AC151" i="42" s="1"/>
  <c r="BB239" i="42"/>
  <c r="AB239" i="42"/>
  <c r="AD145" i="42"/>
  <c r="AC145" i="42" s="1"/>
  <c r="BB238" i="42"/>
  <c r="AB238" i="42"/>
  <c r="AD156" i="42"/>
  <c r="AC156" i="42" s="1"/>
  <c r="AD144" i="42"/>
  <c r="AC144" i="42" s="1"/>
  <c r="AD147" i="42"/>
  <c r="AC147" i="42" s="1"/>
  <c r="AF202" i="35"/>
  <c r="AD152" i="42"/>
  <c r="AC152" i="42" s="1"/>
  <c r="AD143" i="42"/>
  <c r="AC143" i="42" s="1"/>
  <c r="AD150" i="42"/>
  <c r="AC150" i="42" s="1"/>
  <c r="AD142" i="42"/>
  <c r="AC142" i="42" s="1"/>
  <c r="AD155" i="42"/>
  <c r="AC155" i="42" s="1"/>
  <c r="AD158" i="42"/>
  <c r="AC158" i="42" s="1"/>
  <c r="AD146" i="42"/>
  <c r="AC146" i="42" s="1"/>
  <c r="AD149" i="42"/>
  <c r="AC149" i="42" s="1"/>
  <c r="AD153" i="42"/>
  <c r="AC153" i="42" s="1"/>
  <c r="AF181" i="41"/>
  <c r="AT205" i="40"/>
  <c r="V208" i="41"/>
  <c r="R209" i="41"/>
  <c r="R191" i="36"/>
  <c r="V190" i="36"/>
  <c r="T207" i="40"/>
  <c r="S208" i="40"/>
  <c r="T208" i="42"/>
  <c r="S209" i="42"/>
  <c r="R206" i="38"/>
  <c r="V205" i="38"/>
  <c r="AT189" i="36"/>
  <c r="AE189" i="36"/>
  <c r="BH248" i="41"/>
  <c r="R207" i="40"/>
  <c r="V206" i="40"/>
  <c r="BB232" i="42"/>
  <c r="AB232" i="42"/>
  <c r="BH235" i="40"/>
  <c r="AT204" i="38"/>
  <c r="AE206" i="42"/>
  <c r="AT206" i="42"/>
  <c r="V189" i="37"/>
  <c r="R190" i="37"/>
  <c r="AT207" i="41"/>
  <c r="BG191" i="42"/>
  <c r="BH263" i="37"/>
  <c r="AT183" i="41"/>
  <c r="AF183" i="41"/>
  <c r="AE183" i="41"/>
  <c r="AF168" i="41"/>
  <c r="AF166" i="41"/>
  <c r="T162" i="41"/>
  <c r="AF170" i="41"/>
  <c r="AF169" i="41"/>
  <c r="AF167" i="41"/>
  <c r="AF171" i="41"/>
  <c r="AF172" i="41"/>
  <c r="AF173" i="41"/>
  <c r="AF174" i="41"/>
  <c r="AF177" i="41"/>
  <c r="AF175" i="41"/>
  <c r="AF180" i="41"/>
  <c r="AF178" i="41"/>
  <c r="AF176" i="41"/>
  <c r="AF179" i="41"/>
  <c r="AT206" i="39"/>
  <c r="BG198" i="38"/>
  <c r="AT188" i="37"/>
  <c r="AE188" i="37"/>
  <c r="T190" i="37"/>
  <c r="S191" i="37"/>
  <c r="S209" i="39"/>
  <c r="T208" i="39"/>
  <c r="AT178" i="40"/>
  <c r="AE178" i="40"/>
  <c r="V179" i="40"/>
  <c r="R180" i="40"/>
  <c r="T209" i="41"/>
  <c r="S210" i="41"/>
  <c r="T191" i="36"/>
  <c r="S192" i="36"/>
  <c r="BH250" i="36"/>
  <c r="V207" i="42"/>
  <c r="R208" i="42"/>
  <c r="T206" i="38"/>
  <c r="S207" i="38"/>
  <c r="BG191" i="39"/>
  <c r="R208" i="39"/>
  <c r="V207" i="39"/>
  <c r="AC141" i="36"/>
  <c r="AA142" i="36" s="1"/>
  <c r="T180" i="40"/>
  <c r="S181" i="40"/>
  <c r="AT229" i="35"/>
  <c r="T231" i="35"/>
  <c r="S232" i="35"/>
  <c r="R231" i="35"/>
  <c r="V230" i="35"/>
  <c r="AE203" i="35"/>
  <c r="AF203" i="35"/>
  <c r="AT203" i="35"/>
  <c r="AF195" i="35"/>
  <c r="T190" i="35"/>
  <c r="AF196" i="35"/>
  <c r="AF194" i="35"/>
  <c r="AF199" i="35"/>
  <c r="AF198" i="35"/>
  <c r="T205" i="35"/>
  <c r="R206" i="35" s="1"/>
  <c r="S206" i="35"/>
  <c r="AF197" i="35"/>
  <c r="BG188" i="35"/>
  <c r="AF201" i="35"/>
  <c r="AC139" i="42" l="1"/>
  <c r="AA140" i="42" s="1"/>
  <c r="AG172" i="42" s="1"/>
  <c r="V209" i="41"/>
  <c r="R210" i="41"/>
  <c r="T209" i="39"/>
  <c r="S210" i="39"/>
  <c r="AT205" i="38"/>
  <c r="R208" i="40"/>
  <c r="V207" i="40"/>
  <c r="AT207" i="39"/>
  <c r="AT207" i="42"/>
  <c r="AE207" i="42"/>
  <c r="T192" i="36"/>
  <c r="S193" i="36"/>
  <c r="S192" i="37"/>
  <c r="T191" i="37"/>
  <c r="AD177" i="41"/>
  <c r="AC177" i="41" s="1"/>
  <c r="AD175" i="41"/>
  <c r="AC175" i="41" s="1"/>
  <c r="AD178" i="41"/>
  <c r="AC178" i="41" s="1"/>
  <c r="AD185" i="41"/>
  <c r="AC185" i="41" s="1"/>
  <c r="AD166" i="41"/>
  <c r="AC166" i="41" s="1"/>
  <c r="AD170" i="41"/>
  <c r="AC170" i="41" s="1"/>
  <c r="AD180" i="41"/>
  <c r="AC180" i="41" s="1"/>
  <c r="AD181" i="41"/>
  <c r="AC181" i="41" s="1"/>
  <c r="AD173" i="41"/>
  <c r="AC173" i="41" s="1"/>
  <c r="AD167" i="41"/>
  <c r="AC167" i="41" s="1"/>
  <c r="AD168" i="41"/>
  <c r="AC168" i="41" s="1"/>
  <c r="AD179" i="41"/>
  <c r="AC179" i="41" s="1"/>
  <c r="AD183" i="41"/>
  <c r="AC183" i="41" s="1"/>
  <c r="AD169" i="41"/>
  <c r="AC169" i="41" s="1"/>
  <c r="AD184" i="41"/>
  <c r="AC184" i="41" s="1"/>
  <c r="AD172" i="41"/>
  <c r="AC172" i="41" s="1"/>
  <c r="AD176" i="41"/>
  <c r="AC176" i="41" s="1"/>
  <c r="AD182" i="41"/>
  <c r="AC182" i="41" s="1"/>
  <c r="AD174" i="41"/>
  <c r="AC174" i="41" s="1"/>
  <c r="AD171" i="41"/>
  <c r="AC171" i="41" s="1"/>
  <c r="BH264" i="37"/>
  <c r="T209" i="42"/>
  <c r="S210" i="42"/>
  <c r="AT208" i="41"/>
  <c r="BG192" i="39"/>
  <c r="S182" i="40"/>
  <c r="T181" i="40"/>
  <c r="S208" i="38"/>
  <c r="T207" i="38"/>
  <c r="R192" i="36"/>
  <c r="V191" i="36"/>
  <c r="R191" i="37"/>
  <c r="V190" i="37"/>
  <c r="AE189" i="37"/>
  <c r="AT189" i="37"/>
  <c r="BH249" i="41"/>
  <c r="R209" i="42"/>
  <c r="V208" i="42"/>
  <c r="AT190" i="36"/>
  <c r="AE190" i="36"/>
  <c r="R181" i="40"/>
  <c r="V180" i="40"/>
  <c r="R207" i="38"/>
  <c r="V206" i="38"/>
  <c r="BH251" i="36"/>
  <c r="T210" i="41"/>
  <c r="S211" i="41"/>
  <c r="AE179" i="40"/>
  <c r="AT179" i="40"/>
  <c r="V208" i="39"/>
  <c r="R209" i="39"/>
  <c r="BG199" i="38"/>
  <c r="AG166" i="41"/>
  <c r="BG192" i="42"/>
  <c r="BH236" i="40"/>
  <c r="AT206" i="40"/>
  <c r="T208" i="40"/>
  <c r="S209" i="40"/>
  <c r="BG189" i="35"/>
  <c r="T232" i="35"/>
  <c r="S233" i="35"/>
  <c r="AD208" i="35"/>
  <c r="AC208" i="35" s="1"/>
  <c r="AD203" i="35"/>
  <c r="AC203" i="35" s="1"/>
  <c r="AD211" i="35"/>
  <c r="AC211" i="35" s="1"/>
  <c r="AD209" i="35"/>
  <c r="AC209" i="35" s="1"/>
  <c r="AD194" i="35"/>
  <c r="AC194" i="35" s="1"/>
  <c r="AD197" i="35"/>
  <c r="AC197" i="35" s="1"/>
  <c r="AD201" i="35"/>
  <c r="AC201" i="35" s="1"/>
  <c r="AD198" i="35"/>
  <c r="AC198" i="35" s="1"/>
  <c r="AD212" i="35"/>
  <c r="AC212" i="35" s="1"/>
  <c r="AD204" i="35"/>
  <c r="AC204" i="35" s="1"/>
  <c r="AD199" i="35"/>
  <c r="AC199" i="35" s="1"/>
  <c r="AD195" i="35"/>
  <c r="AC195" i="35" s="1"/>
  <c r="AD213" i="35"/>
  <c r="AC213" i="35" s="1"/>
  <c r="AD207" i="35"/>
  <c r="AC207" i="35" s="1"/>
  <c r="AD200" i="35"/>
  <c r="AC200" i="35" s="1"/>
  <c r="AD205" i="35"/>
  <c r="AC205" i="35" s="1"/>
  <c r="AD206" i="35"/>
  <c r="AC206" i="35" s="1"/>
  <c r="AD202" i="35"/>
  <c r="AC202" i="35" s="1"/>
  <c r="AD196" i="35"/>
  <c r="AC196" i="35" s="1"/>
  <c r="AD210" i="35"/>
  <c r="AC210" i="35" s="1"/>
  <c r="R232" i="35"/>
  <c r="V231" i="35"/>
  <c r="AT230" i="35"/>
  <c r="T219" i="35"/>
  <c r="T206" i="35"/>
  <c r="R207" i="35" s="1"/>
  <c r="S207" i="35"/>
  <c r="AG194" i="35"/>
  <c r="R209" i="40" l="1"/>
  <c r="V208" i="40"/>
  <c r="AT208" i="39"/>
  <c r="BH252" i="36"/>
  <c r="BH250" i="41"/>
  <c r="AT191" i="36"/>
  <c r="AE191" i="36"/>
  <c r="S209" i="38"/>
  <c r="T208" i="38"/>
  <c r="S211" i="42"/>
  <c r="T210" i="42"/>
  <c r="T193" i="36"/>
  <c r="S194" i="36"/>
  <c r="BG193" i="42"/>
  <c r="BG200" i="38"/>
  <c r="T211" i="41"/>
  <c r="S212" i="41"/>
  <c r="AT206" i="38"/>
  <c r="V181" i="40"/>
  <c r="R182" i="40"/>
  <c r="R210" i="42"/>
  <c r="V209" i="42"/>
  <c r="R193" i="36"/>
  <c r="V192" i="36"/>
  <c r="AT207" i="40"/>
  <c r="AT209" i="41"/>
  <c r="BH237" i="40"/>
  <c r="V210" i="41"/>
  <c r="R211" i="41"/>
  <c r="AE208" i="42"/>
  <c r="AT208" i="42"/>
  <c r="AT190" i="37"/>
  <c r="AE190" i="37"/>
  <c r="T182" i="40"/>
  <c r="S183" i="40"/>
  <c r="T183" i="40" s="1"/>
  <c r="V191" i="37"/>
  <c r="R192" i="37"/>
  <c r="S211" i="39"/>
  <c r="T210" i="39"/>
  <c r="T209" i="40"/>
  <c r="S210" i="40"/>
  <c r="AT180" i="40"/>
  <c r="AE180" i="40"/>
  <c r="R208" i="38"/>
  <c r="V207" i="38"/>
  <c r="BG193" i="39"/>
  <c r="BH265" i="37"/>
  <c r="AC165" i="41"/>
  <c r="AA166" i="41" s="1"/>
  <c r="T192" i="37"/>
  <c r="S193" i="37"/>
  <c r="R210" i="39"/>
  <c r="V209" i="39"/>
  <c r="S208" i="35"/>
  <c r="T207" i="35"/>
  <c r="R208" i="35" s="1"/>
  <c r="AT231" i="35"/>
  <c r="R233" i="35"/>
  <c r="V232" i="35"/>
  <c r="BG190" i="35"/>
  <c r="AC193" i="35"/>
  <c r="AA194" i="35" s="1"/>
  <c r="T233" i="35"/>
  <c r="S234" i="35"/>
  <c r="AT209" i="39" l="1"/>
  <c r="BG194" i="39"/>
  <c r="T210" i="40"/>
  <c r="S211" i="40"/>
  <c r="T211" i="39"/>
  <c r="S212" i="39"/>
  <c r="AE191" i="37"/>
  <c r="AT191" i="37"/>
  <c r="AT210" i="41"/>
  <c r="V211" i="41"/>
  <c r="R212" i="41"/>
  <c r="BG194" i="42"/>
  <c r="R194" i="36"/>
  <c r="V193" i="36"/>
  <c r="S210" i="38"/>
  <c r="T209" i="38"/>
  <c r="BH253" i="36"/>
  <c r="AT207" i="38"/>
  <c r="R210" i="40"/>
  <c r="V209" i="40"/>
  <c r="AT192" i="36"/>
  <c r="AE192" i="36"/>
  <c r="BG201" i="38"/>
  <c r="R211" i="42"/>
  <c r="V210" i="42"/>
  <c r="S194" i="37"/>
  <c r="T193" i="37"/>
  <c r="BH266" i="37"/>
  <c r="R183" i="40"/>
  <c r="V182" i="40"/>
  <c r="AF177" i="40" s="1"/>
  <c r="BH238" i="40"/>
  <c r="S212" i="42"/>
  <c r="T211" i="42"/>
  <c r="BH251" i="41"/>
  <c r="R193" i="37"/>
  <c r="V192" i="37"/>
  <c r="V210" i="39"/>
  <c r="R211" i="39"/>
  <c r="AT209" i="42"/>
  <c r="AE209" i="42"/>
  <c r="AE181" i="40"/>
  <c r="AT181" i="40"/>
  <c r="T212" i="41"/>
  <c r="S213" i="41"/>
  <c r="T194" i="36"/>
  <c r="S195" i="36"/>
  <c r="R209" i="38"/>
  <c r="V208" i="38"/>
  <c r="AT208" i="40"/>
  <c r="BG191" i="35"/>
  <c r="S235" i="35"/>
  <c r="T234" i="35"/>
  <c r="AT232" i="35"/>
  <c r="R234" i="35"/>
  <c r="V233" i="35"/>
  <c r="S209" i="35"/>
  <c r="T208" i="35"/>
  <c r="R209" i="35" s="1"/>
  <c r="AF175" i="40" l="1"/>
  <c r="AT208" i="38"/>
  <c r="T213" i="41"/>
  <c r="R214" i="41" s="1"/>
  <c r="S214" i="41"/>
  <c r="BH252" i="41"/>
  <c r="S213" i="42"/>
  <c r="T212" i="42"/>
  <c r="BH267" i="37"/>
  <c r="BG202" i="38"/>
  <c r="R210" i="38"/>
  <c r="V209" i="38"/>
  <c r="BG195" i="42"/>
  <c r="S212" i="40"/>
  <c r="T211" i="40"/>
  <c r="V212" i="41"/>
  <c r="AF211" i="41" s="1"/>
  <c r="R213" i="41"/>
  <c r="AT210" i="39"/>
  <c r="AT182" i="40"/>
  <c r="AF182" i="40"/>
  <c r="AE182" i="40"/>
  <c r="AF164" i="40"/>
  <c r="T160" i="40"/>
  <c r="AF165" i="40"/>
  <c r="AF166" i="40"/>
  <c r="AF168" i="40"/>
  <c r="AF167" i="40"/>
  <c r="AF170" i="40"/>
  <c r="AF169" i="40"/>
  <c r="AF171" i="40"/>
  <c r="AF172" i="40"/>
  <c r="AF173" i="40"/>
  <c r="AF176" i="40"/>
  <c r="AF180" i="40"/>
  <c r="AF178" i="40"/>
  <c r="V193" i="37"/>
  <c r="R194" i="37"/>
  <c r="AE210" i="42"/>
  <c r="AT210" i="42"/>
  <c r="AT209" i="40"/>
  <c r="S211" i="38"/>
  <c r="T210" i="38"/>
  <c r="R211" i="40"/>
  <c r="V210" i="40"/>
  <c r="T195" i="36"/>
  <c r="S196" i="36"/>
  <c r="AT192" i="37"/>
  <c r="AE192" i="37"/>
  <c r="BH239" i="40"/>
  <c r="T194" i="37"/>
  <c r="S195" i="37"/>
  <c r="BH254" i="36"/>
  <c r="AT193" i="36"/>
  <c r="AE193" i="36"/>
  <c r="S213" i="39"/>
  <c r="T212" i="39"/>
  <c r="BG195" i="39"/>
  <c r="AF179" i="40"/>
  <c r="R195" i="36"/>
  <c r="V194" i="36"/>
  <c r="AF174" i="40"/>
  <c r="AF181" i="40"/>
  <c r="R212" i="42"/>
  <c r="V211" i="42"/>
  <c r="AT211" i="41"/>
  <c r="R212" i="39"/>
  <c r="V211" i="39"/>
  <c r="S236" i="35"/>
  <c r="T235" i="35"/>
  <c r="AT233" i="35"/>
  <c r="BG192" i="35"/>
  <c r="T209" i="35"/>
  <c r="R210" i="35" s="1"/>
  <c r="S210" i="35"/>
  <c r="R235" i="35"/>
  <c r="V234" i="35"/>
  <c r="R196" i="36" l="1"/>
  <c r="V195" i="36"/>
  <c r="AV211" i="41"/>
  <c r="AW211" i="41" s="1"/>
  <c r="AY211" i="41" s="1"/>
  <c r="BA211" i="41" s="1"/>
  <c r="AF207" i="41"/>
  <c r="AV207" i="41" s="1"/>
  <c r="AW207" i="41" s="1"/>
  <c r="AY207" i="41" s="1"/>
  <c r="BA207" i="41" s="1"/>
  <c r="AF208" i="41"/>
  <c r="AV208" i="41" s="1"/>
  <c r="AX208" i="41" s="1"/>
  <c r="AZ208" i="41" s="1"/>
  <c r="AF209" i="41"/>
  <c r="AV209" i="41" s="1"/>
  <c r="AX209" i="41" s="1"/>
  <c r="AZ209" i="41" s="1"/>
  <c r="T213" i="39"/>
  <c r="S214" i="39"/>
  <c r="R195" i="37"/>
  <c r="V194" i="37"/>
  <c r="AT210" i="40"/>
  <c r="S212" i="38"/>
  <c r="T211" i="38"/>
  <c r="AD172" i="40"/>
  <c r="AC172" i="40" s="1"/>
  <c r="AD164" i="40"/>
  <c r="AC164" i="40" s="1"/>
  <c r="AD167" i="40"/>
  <c r="AC167" i="40" s="1"/>
  <c r="AD168" i="40"/>
  <c r="AC168" i="40" s="1"/>
  <c r="AD183" i="40"/>
  <c r="AC183" i="40" s="1"/>
  <c r="AD169" i="40"/>
  <c r="AC169" i="40" s="1"/>
  <c r="AD181" i="40"/>
  <c r="AC181" i="40" s="1"/>
  <c r="AD176" i="40"/>
  <c r="AC176" i="40" s="1"/>
  <c r="AD180" i="40"/>
  <c r="AC180" i="40" s="1"/>
  <c r="AD173" i="40"/>
  <c r="AC173" i="40" s="1"/>
  <c r="AD182" i="40"/>
  <c r="AC182" i="40" s="1"/>
  <c r="AD178" i="40"/>
  <c r="AC178" i="40" s="1"/>
  <c r="AD166" i="40"/>
  <c r="AC166" i="40" s="1"/>
  <c r="AD177" i="40"/>
  <c r="AC177" i="40" s="1"/>
  <c r="AD170" i="40"/>
  <c r="AC170" i="40" s="1"/>
  <c r="AD171" i="40"/>
  <c r="AC171" i="40" s="1"/>
  <c r="AD175" i="40"/>
  <c r="AC175" i="40" s="1"/>
  <c r="AD179" i="40"/>
  <c r="AC179" i="40" s="1"/>
  <c r="AD165" i="40"/>
  <c r="AC165" i="40" s="1"/>
  <c r="AD174" i="40"/>
  <c r="AC174" i="40" s="1"/>
  <c r="R212" i="40"/>
  <c r="V211" i="40"/>
  <c r="BG196" i="42"/>
  <c r="BG203" i="38"/>
  <c r="R213" i="42"/>
  <c r="V212" i="42"/>
  <c r="AT211" i="42"/>
  <c r="AE211" i="42"/>
  <c r="AT194" i="36"/>
  <c r="AE194" i="36"/>
  <c r="BG196" i="39"/>
  <c r="BH255" i="36"/>
  <c r="T196" i="36"/>
  <c r="S197" i="36"/>
  <c r="AE193" i="37"/>
  <c r="AT193" i="37"/>
  <c r="S213" i="40"/>
  <c r="T212" i="40"/>
  <c r="AT209" i="38"/>
  <c r="S214" i="42"/>
  <c r="T213" i="42"/>
  <c r="T214" i="41"/>
  <c r="R215" i="41" s="1"/>
  <c r="S215" i="41"/>
  <c r="AT211" i="39"/>
  <c r="AX211" i="41"/>
  <c r="AZ211" i="41" s="1"/>
  <c r="BH240" i="40"/>
  <c r="AT212" i="41"/>
  <c r="AF212" i="41"/>
  <c r="AF196" i="41"/>
  <c r="AV196" i="41" s="1"/>
  <c r="AF195" i="41"/>
  <c r="AF199" i="41"/>
  <c r="AV199" i="41" s="1"/>
  <c r="AF197" i="41"/>
  <c r="AV197" i="41" s="1"/>
  <c r="AF198" i="41"/>
  <c r="AV198" i="41" s="1"/>
  <c r="AF202" i="41"/>
  <c r="AV202" i="41" s="1"/>
  <c r="AF200" i="41"/>
  <c r="AV200" i="41" s="1"/>
  <c r="AF201" i="41"/>
  <c r="AV201" i="41" s="1"/>
  <c r="AF210" i="41"/>
  <c r="AV210" i="41" s="1"/>
  <c r="AF203" i="41"/>
  <c r="AV203" i="41" s="1"/>
  <c r="AF206" i="41"/>
  <c r="AV206" i="41" s="1"/>
  <c r="AF205" i="41"/>
  <c r="AV205" i="41" s="1"/>
  <c r="AF204" i="41"/>
  <c r="AV204" i="41" s="1"/>
  <c r="V212" i="39"/>
  <c r="R213" i="39"/>
  <c r="S196" i="37"/>
  <c r="T195" i="37"/>
  <c r="R211" i="38"/>
  <c r="V210" i="38"/>
  <c r="AG164" i="40"/>
  <c r="BH268" i="37"/>
  <c r="BH253" i="41"/>
  <c r="BG193" i="35"/>
  <c r="S211" i="35"/>
  <c r="T210" i="35"/>
  <c r="R211" i="35" s="1"/>
  <c r="R236" i="35"/>
  <c r="V235" i="35"/>
  <c r="AT234" i="35"/>
  <c r="S237" i="35"/>
  <c r="T236" i="35"/>
  <c r="R197" i="36" l="1"/>
  <c r="V196" i="36"/>
  <c r="AE195" i="36"/>
  <c r="AT195" i="36"/>
  <c r="AW209" i="41"/>
  <c r="AY209" i="41" s="1"/>
  <c r="BA209" i="41" s="1"/>
  <c r="AX207" i="41"/>
  <c r="AZ207" i="41" s="1"/>
  <c r="AB207" i="41" s="1"/>
  <c r="R212" i="38"/>
  <c r="V211" i="38"/>
  <c r="AW208" i="41"/>
  <c r="AY208" i="41" s="1"/>
  <c r="BA208" i="41" s="1"/>
  <c r="AV212" i="41"/>
  <c r="AX212" i="41" s="1"/>
  <c r="AZ212" i="41" s="1"/>
  <c r="BB209" i="41"/>
  <c r="AB209" i="41"/>
  <c r="AX203" i="41"/>
  <c r="AZ203" i="41" s="1"/>
  <c r="AW203" i="41"/>
  <c r="AY203" i="41" s="1"/>
  <c r="BA203" i="41" s="1"/>
  <c r="AX202" i="41"/>
  <c r="AZ202" i="41" s="1"/>
  <c r="AW202" i="41"/>
  <c r="AY202" i="41" s="1"/>
  <c r="BA202" i="41" s="1"/>
  <c r="AG195" i="41"/>
  <c r="AV195" i="41"/>
  <c r="AP184" i="41"/>
  <c r="AU184" i="41" s="1"/>
  <c r="AP185" i="41"/>
  <c r="AU185" i="41" s="1"/>
  <c r="AP182" i="41"/>
  <c r="AU182" i="41" s="1"/>
  <c r="AP181" i="41"/>
  <c r="AU181" i="41" s="1"/>
  <c r="AP169" i="41"/>
  <c r="AU169" i="41" s="1"/>
  <c r="AP179" i="41"/>
  <c r="AU179" i="41" s="1"/>
  <c r="AP171" i="41"/>
  <c r="AU171" i="41" s="1"/>
  <c r="AP178" i="41"/>
  <c r="AU178" i="41" s="1"/>
  <c r="AP168" i="41"/>
  <c r="AU168" i="41" s="1"/>
  <c r="AP175" i="41"/>
  <c r="AU175" i="41" s="1"/>
  <c r="AP183" i="41"/>
  <c r="AU183" i="41" s="1"/>
  <c r="AP174" i="41"/>
  <c r="AU174" i="41" s="1"/>
  <c r="AP180" i="41"/>
  <c r="AU180" i="41" s="1"/>
  <c r="AP172" i="41"/>
  <c r="AU172" i="41" s="1"/>
  <c r="AP176" i="41"/>
  <c r="AU176" i="41" s="1"/>
  <c r="AP167" i="41"/>
  <c r="AU167" i="41" s="1"/>
  <c r="AP173" i="41"/>
  <c r="AU173" i="41" s="1"/>
  <c r="AP170" i="41"/>
  <c r="AU170" i="41" s="1"/>
  <c r="AP177" i="41"/>
  <c r="AU177" i="41" s="1"/>
  <c r="AP166" i="41"/>
  <c r="AU166" i="41" s="1"/>
  <c r="T214" i="42"/>
  <c r="S215" i="42"/>
  <c r="S214" i="40"/>
  <c r="T213" i="40"/>
  <c r="BB208" i="41"/>
  <c r="AB208" i="41"/>
  <c r="T196" i="37"/>
  <c r="S197" i="37"/>
  <c r="AX204" i="41"/>
  <c r="AZ204" i="41" s="1"/>
  <c r="AW204" i="41"/>
  <c r="AY204" i="41" s="1"/>
  <c r="BA204" i="41" s="1"/>
  <c r="AX210" i="41"/>
  <c r="AZ210" i="41" s="1"/>
  <c r="AW210" i="41"/>
  <c r="AY210" i="41" s="1"/>
  <c r="BA210" i="41" s="1"/>
  <c r="AX198" i="41"/>
  <c r="AZ198" i="41" s="1"/>
  <c r="AW198" i="41"/>
  <c r="AY198" i="41" s="1"/>
  <c r="BA198" i="41" s="1"/>
  <c r="AX196" i="41"/>
  <c r="AZ196" i="41" s="1"/>
  <c r="AW196" i="41"/>
  <c r="AY196" i="41" s="1"/>
  <c r="BA196" i="41" s="1"/>
  <c r="T215" i="41"/>
  <c r="R216" i="41" s="1"/>
  <c r="S216" i="41"/>
  <c r="AE212" i="42"/>
  <c r="AT212" i="42"/>
  <c r="S213" i="38"/>
  <c r="T212" i="38"/>
  <c r="S215" i="39"/>
  <c r="T214" i="39"/>
  <c r="AT210" i="38"/>
  <c r="AX205" i="41"/>
  <c r="AZ205" i="41" s="1"/>
  <c r="AW205" i="41"/>
  <c r="AY205" i="41" s="1"/>
  <c r="BA205" i="41" s="1"/>
  <c r="AX201" i="41"/>
  <c r="AZ201" i="41" s="1"/>
  <c r="AW201" i="41"/>
  <c r="AY201" i="41" s="1"/>
  <c r="BA201" i="41" s="1"/>
  <c r="AX197" i="41"/>
  <c r="AZ197" i="41" s="1"/>
  <c r="AW197" i="41"/>
  <c r="AY197" i="41" s="1"/>
  <c r="BA197" i="41" s="1"/>
  <c r="BH241" i="40"/>
  <c r="BB211" i="41"/>
  <c r="AB211" i="41"/>
  <c r="BH256" i="36"/>
  <c r="BG197" i="42"/>
  <c r="R214" i="39"/>
  <c r="V213" i="39"/>
  <c r="BH269" i="37"/>
  <c r="BH254" i="41"/>
  <c r="V195" i="37"/>
  <c r="R196" i="37"/>
  <c r="AT212" i="39"/>
  <c r="AX206" i="41"/>
  <c r="AZ206" i="41" s="1"/>
  <c r="AW206" i="41"/>
  <c r="AY206" i="41" s="1"/>
  <c r="BA206" i="41" s="1"/>
  <c r="AX200" i="41"/>
  <c r="AZ200" i="41" s="1"/>
  <c r="AW200" i="41"/>
  <c r="AY200" i="41" s="1"/>
  <c r="BA200" i="41" s="1"/>
  <c r="AX199" i="41"/>
  <c r="AZ199" i="41" s="1"/>
  <c r="AW199" i="41"/>
  <c r="AY199" i="41" s="1"/>
  <c r="BA199" i="41" s="1"/>
  <c r="V213" i="42"/>
  <c r="R214" i="42"/>
  <c r="V212" i="40"/>
  <c r="R213" i="40"/>
  <c r="T197" i="36"/>
  <c r="S198" i="36"/>
  <c r="BG197" i="39"/>
  <c r="BG204" i="38"/>
  <c r="AT211" i="40"/>
  <c r="AC163" i="40"/>
  <c r="AA164" i="40" s="1"/>
  <c r="AT194" i="37"/>
  <c r="AE194" i="37"/>
  <c r="R237" i="35"/>
  <c r="V236" i="35"/>
  <c r="T211" i="35"/>
  <c r="R212" i="35" s="1"/>
  <c r="S212" i="35"/>
  <c r="S238" i="35"/>
  <c r="T237" i="35"/>
  <c r="AT235" i="35"/>
  <c r="BG194" i="35"/>
  <c r="BB207" i="41" l="1"/>
  <c r="AE196" i="36"/>
  <c r="AT196" i="36"/>
  <c r="R198" i="36"/>
  <c r="V197" i="36"/>
  <c r="R213" i="38"/>
  <c r="V212" i="38"/>
  <c r="AT211" i="38"/>
  <c r="AW212" i="41"/>
  <c r="AY212" i="41" s="1"/>
  <c r="BA212" i="41" s="1"/>
  <c r="AT212" i="40"/>
  <c r="BB199" i="41"/>
  <c r="AB199" i="41"/>
  <c r="BB206" i="41"/>
  <c r="AB206" i="41"/>
  <c r="AE195" i="37"/>
  <c r="AT195" i="37"/>
  <c r="BH270" i="37"/>
  <c r="BH242" i="40"/>
  <c r="BB197" i="41"/>
  <c r="AB197" i="41"/>
  <c r="BB205" i="41"/>
  <c r="AB205" i="41"/>
  <c r="BB198" i="41"/>
  <c r="AB198" i="41"/>
  <c r="BB204" i="41"/>
  <c r="AB204" i="41"/>
  <c r="T215" i="42"/>
  <c r="S216" i="42"/>
  <c r="AX170" i="41"/>
  <c r="AZ170" i="41" s="1"/>
  <c r="AW170" i="41"/>
  <c r="AY170" i="41" s="1"/>
  <c r="BA170" i="41" s="1"/>
  <c r="AX172" i="41"/>
  <c r="AZ172" i="41" s="1"/>
  <c r="AW172" i="41"/>
  <c r="AY172" i="41" s="1"/>
  <c r="BA172" i="41" s="1"/>
  <c r="AX175" i="41"/>
  <c r="AZ175" i="41" s="1"/>
  <c r="AW175" i="41"/>
  <c r="AY175" i="41" s="1"/>
  <c r="BA175" i="41" s="1"/>
  <c r="AX179" i="41"/>
  <c r="AZ179" i="41" s="1"/>
  <c r="AW179" i="41"/>
  <c r="AY179" i="41" s="1"/>
  <c r="BA179" i="41" s="1"/>
  <c r="AX185" i="41"/>
  <c r="AZ185" i="41" s="1"/>
  <c r="AW185" i="41"/>
  <c r="AY185" i="41" s="1"/>
  <c r="BA185" i="41" s="1"/>
  <c r="BG205" i="38"/>
  <c r="T198" i="36"/>
  <c r="S199" i="36"/>
  <c r="T199" i="36" s="1"/>
  <c r="V199" i="36" s="1"/>
  <c r="AT213" i="39"/>
  <c r="BG198" i="42"/>
  <c r="BH257" i="36"/>
  <c r="S214" i="38"/>
  <c r="T213" i="38"/>
  <c r="S198" i="37"/>
  <c r="T197" i="37"/>
  <c r="R215" i="42"/>
  <c r="V214" i="42"/>
  <c r="AX173" i="41"/>
  <c r="AZ173" i="41" s="1"/>
  <c r="AW173" i="41"/>
  <c r="AY173" i="41" s="1"/>
  <c r="BA173" i="41" s="1"/>
  <c r="AX180" i="41"/>
  <c r="AZ180" i="41" s="1"/>
  <c r="AW180" i="41"/>
  <c r="AY180" i="41" s="1"/>
  <c r="BA180" i="41" s="1"/>
  <c r="AX168" i="41"/>
  <c r="AZ168" i="41" s="1"/>
  <c r="AW168" i="41"/>
  <c r="AY168" i="41" s="1"/>
  <c r="BA168" i="41" s="1"/>
  <c r="AX169" i="41"/>
  <c r="AZ169" i="41" s="1"/>
  <c r="AW169" i="41"/>
  <c r="AY169" i="41" s="1"/>
  <c r="BA169" i="41" s="1"/>
  <c r="AX184" i="41"/>
  <c r="AZ184" i="41" s="1"/>
  <c r="AW184" i="41"/>
  <c r="AY184" i="41" s="1"/>
  <c r="BA184" i="41" s="1"/>
  <c r="BB202" i="41"/>
  <c r="AB202" i="41"/>
  <c r="AT213" i="42"/>
  <c r="AE213" i="42"/>
  <c r="BB200" i="41"/>
  <c r="AB200" i="41"/>
  <c r="BH255" i="41"/>
  <c r="BB212" i="41"/>
  <c r="AB212" i="41"/>
  <c r="BB201" i="41"/>
  <c r="AB201" i="41"/>
  <c r="V214" i="39"/>
  <c r="R215" i="39"/>
  <c r="BB196" i="41"/>
  <c r="AB196" i="41"/>
  <c r="BB210" i="41"/>
  <c r="AB210" i="41"/>
  <c r="R197" i="37"/>
  <c r="V196" i="37"/>
  <c r="V213" i="40"/>
  <c r="R214" i="40"/>
  <c r="AX166" i="41"/>
  <c r="AZ166" i="41" s="1"/>
  <c r="AW166" i="41"/>
  <c r="AY166" i="41" s="1"/>
  <c r="BA166" i="41" s="1"/>
  <c r="AX167" i="41"/>
  <c r="AZ167" i="41" s="1"/>
  <c r="AW167" i="41"/>
  <c r="AY167" i="41" s="1"/>
  <c r="BA167" i="41" s="1"/>
  <c r="AX174" i="41"/>
  <c r="AZ174" i="41" s="1"/>
  <c r="AW174" i="41"/>
  <c r="AY174" i="41" s="1"/>
  <c r="BA174" i="41" s="1"/>
  <c r="AX178" i="41"/>
  <c r="AZ178" i="41" s="1"/>
  <c r="AW178" i="41"/>
  <c r="AY178" i="41" s="1"/>
  <c r="BA178" i="41" s="1"/>
  <c r="AX181" i="41"/>
  <c r="AZ181" i="41" s="1"/>
  <c r="AW181" i="41"/>
  <c r="AY181" i="41" s="1"/>
  <c r="BA181" i="41" s="1"/>
  <c r="AX195" i="41"/>
  <c r="AZ195" i="41" s="1"/>
  <c r="AW195" i="41"/>
  <c r="AY195" i="41" s="1"/>
  <c r="BA195" i="41" s="1"/>
  <c r="BG198" i="39"/>
  <c r="T215" i="39"/>
  <c r="S216" i="39"/>
  <c r="T216" i="41"/>
  <c r="R217" i="41" s="1"/>
  <c r="S217" i="41"/>
  <c r="S215" i="40"/>
  <c r="T214" i="40"/>
  <c r="AX177" i="41"/>
  <c r="AZ177" i="41" s="1"/>
  <c r="AW177" i="41"/>
  <c r="AY177" i="41" s="1"/>
  <c r="BA177" i="41" s="1"/>
  <c r="AX176" i="41"/>
  <c r="AZ176" i="41" s="1"/>
  <c r="AW176" i="41"/>
  <c r="AY176" i="41" s="1"/>
  <c r="BA176" i="41" s="1"/>
  <c r="AX183" i="41"/>
  <c r="AZ183" i="41" s="1"/>
  <c r="AW183" i="41"/>
  <c r="AY183" i="41" s="1"/>
  <c r="BA183" i="41" s="1"/>
  <c r="AX171" i="41"/>
  <c r="AZ171" i="41" s="1"/>
  <c r="AW171" i="41"/>
  <c r="AY171" i="41" s="1"/>
  <c r="BA171" i="41" s="1"/>
  <c r="AX182" i="41"/>
  <c r="AZ182" i="41" s="1"/>
  <c r="AW182" i="41"/>
  <c r="AY182" i="41" s="1"/>
  <c r="BA182" i="41" s="1"/>
  <c r="AP153" i="41"/>
  <c r="AU153" i="41" s="1"/>
  <c r="AP142" i="41"/>
  <c r="AP150" i="41"/>
  <c r="AU150" i="41" s="1"/>
  <c r="AP152" i="41"/>
  <c r="AU152" i="41" s="1"/>
  <c r="AP147" i="41"/>
  <c r="AU147" i="41" s="1"/>
  <c r="AP151" i="41"/>
  <c r="AU151" i="41" s="1"/>
  <c r="AP149" i="41"/>
  <c r="AU149" i="41" s="1"/>
  <c r="AP148" i="41"/>
  <c r="AU148" i="41" s="1"/>
  <c r="AP145" i="41"/>
  <c r="AU145" i="41" s="1"/>
  <c r="AP144" i="41"/>
  <c r="AU144" i="41" s="1"/>
  <c r="AP143" i="41"/>
  <c r="AU143" i="41" s="1"/>
  <c r="AP146" i="41"/>
  <c r="AU146" i="41" s="1"/>
  <c r="BB203" i="41"/>
  <c r="AB203" i="41"/>
  <c r="S213" i="35"/>
  <c r="T213" i="35" s="1"/>
  <c r="T212" i="35"/>
  <c r="R213" i="35" s="1"/>
  <c r="BG195" i="35"/>
  <c r="R238" i="35"/>
  <c r="V237" i="35"/>
  <c r="AT236" i="35"/>
  <c r="S239" i="35"/>
  <c r="T238" i="35"/>
  <c r="R199" i="36" l="1"/>
  <c r="V198" i="36"/>
  <c r="AF181" i="36" s="1"/>
  <c r="AV181" i="36" s="1"/>
  <c r="AE197" i="36"/>
  <c r="AT197" i="36"/>
  <c r="AF199" i="36"/>
  <c r="AE199" i="36"/>
  <c r="AT199" i="36"/>
  <c r="R214" i="38"/>
  <c r="V213" i="38"/>
  <c r="AT212" i="38"/>
  <c r="AX151" i="41"/>
  <c r="AZ151" i="41" s="1"/>
  <c r="BB151" i="41" s="1"/>
  <c r="AW151" i="41"/>
  <c r="AY151" i="41" s="1"/>
  <c r="BA151" i="41" s="1"/>
  <c r="AX146" i="41"/>
  <c r="AZ146" i="41" s="1"/>
  <c r="BB146" i="41" s="1"/>
  <c r="AW146" i="41"/>
  <c r="AY146" i="41" s="1"/>
  <c r="BA146" i="41" s="1"/>
  <c r="AX148" i="41"/>
  <c r="AZ148" i="41" s="1"/>
  <c r="BB148" i="41" s="1"/>
  <c r="AW148" i="41"/>
  <c r="AY148" i="41" s="1"/>
  <c r="BA148" i="41" s="1"/>
  <c r="S217" i="39"/>
  <c r="T216" i="39"/>
  <c r="BG199" i="39"/>
  <c r="AX143" i="41"/>
  <c r="AZ143" i="41" s="1"/>
  <c r="BB143" i="41" s="1"/>
  <c r="AW143" i="41"/>
  <c r="AY143" i="41" s="1"/>
  <c r="BA143" i="41" s="1"/>
  <c r="AX149" i="41"/>
  <c r="AZ149" i="41" s="1"/>
  <c r="BB149" i="41" s="1"/>
  <c r="AW149" i="41"/>
  <c r="AY149" i="41" s="1"/>
  <c r="BA149" i="41" s="1"/>
  <c r="AX150" i="41"/>
  <c r="AZ150" i="41" s="1"/>
  <c r="BB150" i="41" s="1"/>
  <c r="AW150" i="41"/>
  <c r="AY150" i="41" s="1"/>
  <c r="BA150" i="41" s="1"/>
  <c r="BB182" i="41"/>
  <c r="AB182" i="41"/>
  <c r="BB183" i="41"/>
  <c r="AB183" i="41"/>
  <c r="BB177" i="41"/>
  <c r="AB177" i="41"/>
  <c r="T217" i="41"/>
  <c r="R218" i="41" s="1"/>
  <c r="S218" i="41"/>
  <c r="R216" i="39"/>
  <c r="V215" i="39"/>
  <c r="AT196" i="37"/>
  <c r="AE196" i="37"/>
  <c r="AT214" i="39"/>
  <c r="T191" i="39"/>
  <c r="BB169" i="41"/>
  <c r="AB169" i="41"/>
  <c r="BB180" i="41"/>
  <c r="AB180" i="41"/>
  <c r="S199" i="37"/>
  <c r="T199" i="37" s="1"/>
  <c r="V199" i="37" s="1"/>
  <c r="T198" i="37"/>
  <c r="BG199" i="42"/>
  <c r="BB185" i="41"/>
  <c r="AB185" i="41"/>
  <c r="BB175" i="41"/>
  <c r="AB175" i="41"/>
  <c r="BB170" i="41"/>
  <c r="AB170" i="41"/>
  <c r="AP138" i="41"/>
  <c r="C9" i="41" s="1"/>
  <c r="AU142" i="41"/>
  <c r="AT189" i="41"/>
  <c r="V214" i="40"/>
  <c r="R215" i="40"/>
  <c r="BB181" i="41"/>
  <c r="AB181" i="41"/>
  <c r="BB174" i="41"/>
  <c r="AB174" i="41"/>
  <c r="BB166" i="41"/>
  <c r="AB166" i="41"/>
  <c r="BH256" i="41"/>
  <c r="AE214" i="42"/>
  <c r="AT214" i="42"/>
  <c r="BG206" i="38"/>
  <c r="S217" i="42"/>
  <c r="T216" i="42"/>
  <c r="AX144" i="41"/>
  <c r="AZ144" i="41" s="1"/>
  <c r="BB144" i="41" s="1"/>
  <c r="AW144" i="41"/>
  <c r="AY144" i="41" s="1"/>
  <c r="BA144" i="41" s="1"/>
  <c r="AX145" i="41"/>
  <c r="AZ145" i="41" s="1"/>
  <c r="BB145" i="41" s="1"/>
  <c r="AW145" i="41"/>
  <c r="AY145" i="41" s="1"/>
  <c r="BA145" i="41" s="1"/>
  <c r="AX147" i="41"/>
  <c r="AZ147" i="41" s="1"/>
  <c r="BB147" i="41" s="1"/>
  <c r="AW147" i="41"/>
  <c r="AY147" i="41" s="1"/>
  <c r="BA147" i="41" s="1"/>
  <c r="AX153" i="41"/>
  <c r="AZ153" i="41" s="1"/>
  <c r="BB153" i="41" s="1"/>
  <c r="AW153" i="41"/>
  <c r="AY153" i="41" s="1"/>
  <c r="BA153" i="41" s="1"/>
  <c r="BB171" i="41"/>
  <c r="AB171" i="41"/>
  <c r="BB176" i="41"/>
  <c r="AB176" i="41"/>
  <c r="S216" i="40"/>
  <c r="T215" i="40"/>
  <c r="BB184" i="41"/>
  <c r="AB184" i="41"/>
  <c r="BB168" i="41"/>
  <c r="AB168" i="41"/>
  <c r="BB173" i="41"/>
  <c r="AB173" i="41"/>
  <c r="S215" i="38"/>
  <c r="T214" i="38"/>
  <c r="BH258" i="36"/>
  <c r="BB179" i="41"/>
  <c r="AB179" i="41"/>
  <c r="BB172" i="41"/>
  <c r="AB172" i="41"/>
  <c r="R216" i="42"/>
  <c r="V215" i="42"/>
  <c r="BH243" i="40"/>
  <c r="BH271" i="37"/>
  <c r="AX152" i="41"/>
  <c r="AZ152" i="41" s="1"/>
  <c r="BB152" i="41" s="1"/>
  <c r="AW152" i="41"/>
  <c r="AY152" i="41" s="1"/>
  <c r="BA152" i="41" s="1"/>
  <c r="AB195" i="41"/>
  <c r="BB195" i="41"/>
  <c r="BB178" i="41"/>
  <c r="AB178" i="41"/>
  <c r="BB167" i="41"/>
  <c r="AB167" i="41"/>
  <c r="AT213" i="40"/>
  <c r="R198" i="37"/>
  <c r="V197" i="37"/>
  <c r="S240" i="35"/>
  <c r="T239" i="35"/>
  <c r="BG196" i="35"/>
  <c r="AT237" i="35"/>
  <c r="R239" i="35"/>
  <c r="V238" i="35"/>
  <c r="AF180" i="36" l="1"/>
  <c r="AV180" i="36" s="1"/>
  <c r="AW180" i="36" s="1"/>
  <c r="AY180" i="36" s="1"/>
  <c r="BA180" i="36" s="1"/>
  <c r="AV199" i="36"/>
  <c r="AX199" i="36" s="1"/>
  <c r="AZ199" i="36" s="1"/>
  <c r="AF179" i="36"/>
  <c r="AV179" i="36" s="1"/>
  <c r="AW179" i="36" s="1"/>
  <c r="AY179" i="36" s="1"/>
  <c r="BA179" i="36" s="1"/>
  <c r="AX181" i="36"/>
  <c r="AZ181" i="36" s="1"/>
  <c r="AW181" i="36"/>
  <c r="AY181" i="36" s="1"/>
  <c r="BA181" i="36" s="1"/>
  <c r="AF185" i="36"/>
  <c r="AV185" i="36" s="1"/>
  <c r="AF184" i="36"/>
  <c r="AV184" i="36" s="1"/>
  <c r="AF194" i="36"/>
  <c r="AV194" i="36" s="1"/>
  <c r="AF190" i="36"/>
  <c r="AV190" i="36" s="1"/>
  <c r="AE198" i="36"/>
  <c r="AD177" i="36" s="1"/>
  <c r="AC177" i="36" s="1"/>
  <c r="AF198" i="36"/>
  <c r="AT198" i="36"/>
  <c r="AF195" i="36"/>
  <c r="AV195" i="36" s="1"/>
  <c r="AF176" i="36"/>
  <c r="AV176" i="36" s="1"/>
  <c r="AF175" i="36"/>
  <c r="AV175" i="36" s="1"/>
  <c r="AF189" i="36"/>
  <c r="AV189" i="36" s="1"/>
  <c r="AF191" i="36"/>
  <c r="AV191" i="36" s="1"/>
  <c r="AF192" i="36"/>
  <c r="AV192" i="36" s="1"/>
  <c r="AF174" i="36"/>
  <c r="AF177" i="36"/>
  <c r="AV177" i="36" s="1"/>
  <c r="AF182" i="36"/>
  <c r="AV182" i="36" s="1"/>
  <c r="AF178" i="36"/>
  <c r="AV178" i="36" s="1"/>
  <c r="AF187" i="36"/>
  <c r="AV187" i="36" s="1"/>
  <c r="AF197" i="36"/>
  <c r="AV197" i="36" s="1"/>
  <c r="AF186" i="36"/>
  <c r="AV186" i="36" s="1"/>
  <c r="AF196" i="36"/>
  <c r="AV196" i="36" s="1"/>
  <c r="AF188" i="36"/>
  <c r="AV188" i="36" s="1"/>
  <c r="T170" i="36"/>
  <c r="AF183" i="36"/>
  <c r="AV183" i="36" s="1"/>
  <c r="AF193" i="36"/>
  <c r="AV193" i="36" s="1"/>
  <c r="AT213" i="38"/>
  <c r="R215" i="38"/>
  <c r="V214" i="38"/>
  <c r="AF212" i="38" s="1"/>
  <c r="AV212" i="38" s="1"/>
  <c r="AT215" i="42"/>
  <c r="AE215" i="42"/>
  <c r="T192" i="42"/>
  <c r="S218" i="42"/>
  <c r="T217" i="42"/>
  <c r="BH257" i="41"/>
  <c r="AT214" i="40"/>
  <c r="BG200" i="42"/>
  <c r="AE199" i="37"/>
  <c r="AT199" i="37"/>
  <c r="AF199" i="37"/>
  <c r="T217" i="39"/>
  <c r="S218" i="39"/>
  <c r="BH259" i="36"/>
  <c r="V215" i="40"/>
  <c r="R216" i="40"/>
  <c r="BG207" i="38"/>
  <c r="AT215" i="39"/>
  <c r="BG200" i="39"/>
  <c r="BH272" i="37"/>
  <c r="BH244" i="40"/>
  <c r="S216" i="38"/>
  <c r="T215" i="38"/>
  <c r="R216" i="38" s="1"/>
  <c r="S217" i="40"/>
  <c r="T216" i="40"/>
  <c r="AX142" i="41"/>
  <c r="AZ142" i="41" s="1"/>
  <c r="BB142" i="41" s="1"/>
  <c r="AW142" i="41"/>
  <c r="AY142" i="41" s="1"/>
  <c r="BA142" i="41" s="1"/>
  <c r="AE197" i="37"/>
  <c r="AT197" i="37"/>
  <c r="R217" i="42"/>
  <c r="V216" i="42"/>
  <c r="C3" i="41"/>
  <c r="D24" i="41"/>
  <c r="D3" i="41"/>
  <c r="BI256" i="41" s="1"/>
  <c r="BJ256" i="41" s="1"/>
  <c r="C5" i="41"/>
  <c r="C24" i="41"/>
  <c r="V198" i="37"/>
  <c r="AF176" i="37" s="1"/>
  <c r="R199" i="37"/>
  <c r="T218" i="41"/>
  <c r="R219" i="41" s="1"/>
  <c r="S219" i="41"/>
  <c r="V216" i="39"/>
  <c r="R217" i="39"/>
  <c r="BG197" i="35"/>
  <c r="AT238" i="35"/>
  <c r="R240" i="35"/>
  <c r="V239" i="35"/>
  <c r="S241" i="35"/>
  <c r="T240" i="35"/>
  <c r="AX180" i="36" l="1"/>
  <c r="AZ180" i="36" s="1"/>
  <c r="AW199" i="36"/>
  <c r="AY199" i="36" s="1"/>
  <c r="BA199" i="36" s="1"/>
  <c r="BM58" i="41"/>
  <c r="BN58" i="41" s="1"/>
  <c r="AD175" i="36"/>
  <c r="AC175" i="36" s="1"/>
  <c r="AX179" i="36"/>
  <c r="AZ179" i="36" s="1"/>
  <c r="BB179" i="36" s="1"/>
  <c r="AV198" i="36"/>
  <c r="AX198" i="36" s="1"/>
  <c r="AZ198" i="36" s="1"/>
  <c r="AX197" i="36"/>
  <c r="AZ197" i="36" s="1"/>
  <c r="AW197" i="36"/>
  <c r="AY197" i="36" s="1"/>
  <c r="BA197" i="36" s="1"/>
  <c r="AX177" i="36"/>
  <c r="AZ177" i="36" s="1"/>
  <c r="AW177" i="36"/>
  <c r="AY177" i="36" s="1"/>
  <c r="BA177" i="36" s="1"/>
  <c r="AW189" i="36"/>
  <c r="AY189" i="36" s="1"/>
  <c r="BA189" i="36" s="1"/>
  <c r="AX189" i="36"/>
  <c r="AZ189" i="36" s="1"/>
  <c r="AX184" i="36"/>
  <c r="AZ184" i="36" s="1"/>
  <c r="AW184" i="36"/>
  <c r="AY184" i="36" s="1"/>
  <c r="BA184" i="36" s="1"/>
  <c r="AX186" i="36"/>
  <c r="AZ186" i="36" s="1"/>
  <c r="AW186" i="36"/>
  <c r="AY186" i="36" s="1"/>
  <c r="BA186" i="36" s="1"/>
  <c r="BB180" i="36"/>
  <c r="AB180" i="36"/>
  <c r="AV174" i="36"/>
  <c r="AG174" i="36"/>
  <c r="AW175" i="36"/>
  <c r="AY175" i="36" s="1"/>
  <c r="BA175" i="36" s="1"/>
  <c r="AX175" i="36"/>
  <c r="AZ175" i="36" s="1"/>
  <c r="AX183" i="36"/>
  <c r="AZ183" i="36" s="1"/>
  <c r="AW183" i="36"/>
  <c r="AY183" i="36" s="1"/>
  <c r="BA183" i="36" s="1"/>
  <c r="AX192" i="36"/>
  <c r="AZ192" i="36" s="1"/>
  <c r="AW192" i="36"/>
  <c r="AY192" i="36" s="1"/>
  <c r="BA192" i="36" s="1"/>
  <c r="AX176" i="36"/>
  <c r="AZ176" i="36" s="1"/>
  <c r="AW176" i="36"/>
  <c r="AY176" i="36" s="1"/>
  <c r="BA176" i="36" s="1"/>
  <c r="AD195" i="36"/>
  <c r="AC195" i="36" s="1"/>
  <c r="AD182" i="36"/>
  <c r="AC182" i="36" s="1"/>
  <c r="AD179" i="36"/>
  <c r="AC179" i="36" s="1"/>
  <c r="AD186" i="36"/>
  <c r="AC186" i="36" s="1"/>
  <c r="AD189" i="36"/>
  <c r="AC189" i="36" s="1"/>
  <c r="AD176" i="36"/>
  <c r="AC176" i="36" s="1"/>
  <c r="AD187" i="36"/>
  <c r="AC187" i="36" s="1"/>
  <c r="AD180" i="36"/>
  <c r="AC180" i="36" s="1"/>
  <c r="AD197" i="36"/>
  <c r="AC197" i="36" s="1"/>
  <c r="AD199" i="36"/>
  <c r="AC199" i="36" s="1"/>
  <c r="AD198" i="36"/>
  <c r="AC198" i="36" s="1"/>
  <c r="AD181" i="36"/>
  <c r="AC181" i="36" s="1"/>
  <c r="AD185" i="36"/>
  <c r="AC185" i="36" s="1"/>
  <c r="AD184" i="36"/>
  <c r="AC184" i="36" s="1"/>
  <c r="AD193" i="36"/>
  <c r="AC193" i="36" s="1"/>
  <c r="AD178" i="36"/>
  <c r="AC178" i="36" s="1"/>
  <c r="AD190" i="36"/>
  <c r="AC190" i="36" s="1"/>
  <c r="AD194" i="36"/>
  <c r="AC194" i="36" s="1"/>
  <c r="AD192" i="36"/>
  <c r="AC192" i="36" s="1"/>
  <c r="AD188" i="36"/>
  <c r="AC188" i="36" s="1"/>
  <c r="AD191" i="36"/>
  <c r="AC191" i="36" s="1"/>
  <c r="AD183" i="36"/>
  <c r="AC183" i="36" s="1"/>
  <c r="AD174" i="36"/>
  <c r="AC174" i="36" s="1"/>
  <c r="AW190" i="36"/>
  <c r="AY190" i="36" s="1"/>
  <c r="BA190" i="36" s="1"/>
  <c r="AX190" i="36"/>
  <c r="AZ190" i="36" s="1"/>
  <c r="BB199" i="36"/>
  <c r="AB199" i="36"/>
  <c r="AX196" i="36"/>
  <c r="AZ196" i="36" s="1"/>
  <c r="AW196" i="36"/>
  <c r="AY196" i="36" s="1"/>
  <c r="BA196" i="36" s="1"/>
  <c r="AW178" i="36"/>
  <c r="AY178" i="36" s="1"/>
  <c r="BA178" i="36" s="1"/>
  <c r="AX178" i="36"/>
  <c r="AZ178" i="36" s="1"/>
  <c r="AW193" i="36"/>
  <c r="AY193" i="36" s="1"/>
  <c r="BA193" i="36" s="1"/>
  <c r="AX193" i="36"/>
  <c r="AZ193" i="36" s="1"/>
  <c r="AW188" i="36"/>
  <c r="AY188" i="36" s="1"/>
  <c r="BA188" i="36" s="1"/>
  <c r="AX188" i="36"/>
  <c r="AZ188" i="36" s="1"/>
  <c r="AW187" i="36"/>
  <c r="AY187" i="36" s="1"/>
  <c r="BA187" i="36" s="1"/>
  <c r="AX187" i="36"/>
  <c r="AZ187" i="36" s="1"/>
  <c r="AX182" i="36"/>
  <c r="AZ182" i="36" s="1"/>
  <c r="AW182" i="36"/>
  <c r="AY182" i="36" s="1"/>
  <c r="BA182" i="36" s="1"/>
  <c r="AX191" i="36"/>
  <c r="AZ191" i="36" s="1"/>
  <c r="AW191" i="36"/>
  <c r="AY191" i="36" s="1"/>
  <c r="BA191" i="36" s="1"/>
  <c r="AW195" i="36"/>
  <c r="AY195" i="36" s="1"/>
  <c r="BA195" i="36" s="1"/>
  <c r="AX195" i="36"/>
  <c r="AZ195" i="36" s="1"/>
  <c r="AD196" i="36"/>
  <c r="AC196" i="36" s="1"/>
  <c r="AX194" i="36"/>
  <c r="AZ194" i="36" s="1"/>
  <c r="AW194" i="36"/>
  <c r="AY194" i="36" s="1"/>
  <c r="BA194" i="36" s="1"/>
  <c r="AW185" i="36"/>
  <c r="AY185" i="36" s="1"/>
  <c r="BA185" i="36" s="1"/>
  <c r="AX185" i="36"/>
  <c r="AZ185" i="36" s="1"/>
  <c r="BB181" i="36"/>
  <c r="AB181" i="36"/>
  <c r="AF211" i="38"/>
  <c r="AV211" i="38" s="1"/>
  <c r="AW211" i="38" s="1"/>
  <c r="AY211" i="38" s="1"/>
  <c r="BA211" i="38" s="1"/>
  <c r="AW212" i="38"/>
  <c r="AY212" i="38" s="1"/>
  <c r="BA212" i="38" s="1"/>
  <c r="AX212" i="38"/>
  <c r="AZ212" i="38" s="1"/>
  <c r="AF214" i="38"/>
  <c r="AT214" i="38"/>
  <c r="AF195" i="38"/>
  <c r="AF207" i="38"/>
  <c r="AV207" i="38" s="1"/>
  <c r="AF204" i="38"/>
  <c r="AV204" i="38" s="1"/>
  <c r="AF199" i="38"/>
  <c r="AV199" i="38" s="1"/>
  <c r="AF198" i="38"/>
  <c r="AV198" i="38" s="1"/>
  <c r="AF206" i="38"/>
  <c r="AV206" i="38" s="1"/>
  <c r="AF202" i="38"/>
  <c r="AV202" i="38" s="1"/>
  <c r="AF210" i="38"/>
  <c r="AV210" i="38" s="1"/>
  <c r="AF208" i="38"/>
  <c r="AV208" i="38" s="1"/>
  <c r="AF200" i="38"/>
  <c r="AV200" i="38" s="1"/>
  <c r="T191" i="38"/>
  <c r="AF209" i="38"/>
  <c r="AV209" i="38" s="1"/>
  <c r="AF203" i="38"/>
  <c r="AV203" i="38" s="1"/>
  <c r="AF196" i="38"/>
  <c r="AV196" i="38" s="1"/>
  <c r="AF197" i="38"/>
  <c r="AV197" i="38" s="1"/>
  <c r="AF205" i="38"/>
  <c r="AV205" i="38" s="1"/>
  <c r="AF201" i="38"/>
  <c r="AV201" i="38" s="1"/>
  <c r="AF213" i="38"/>
  <c r="AV213" i="38" s="1"/>
  <c r="AF189" i="37"/>
  <c r="BG201" i="39"/>
  <c r="BH260" i="36"/>
  <c r="AF191" i="37"/>
  <c r="AF187" i="37"/>
  <c r="AF180" i="37"/>
  <c r="AF175" i="37"/>
  <c r="BG201" i="42"/>
  <c r="BH258" i="41"/>
  <c r="BI257" i="41"/>
  <c r="BJ257" i="41" s="1"/>
  <c r="S219" i="42"/>
  <c r="T218" i="42"/>
  <c r="R219" i="42" s="1"/>
  <c r="S217" i="38"/>
  <c r="T216" i="38"/>
  <c r="R217" i="38" s="1"/>
  <c r="BH273" i="37"/>
  <c r="AF196" i="37"/>
  <c r="S219" i="39"/>
  <c r="T218" i="39"/>
  <c r="AF185" i="37"/>
  <c r="AF183" i="37"/>
  <c r="AF178" i="37"/>
  <c r="AT216" i="39"/>
  <c r="T219" i="41"/>
  <c r="R220" i="41" s="1"/>
  <c r="S220" i="41"/>
  <c r="T220" i="41" s="1"/>
  <c r="AT198" i="37"/>
  <c r="AF198" i="37"/>
  <c r="AE198" i="37"/>
  <c r="AD180" i="37" s="1"/>
  <c r="AC180" i="37" s="1"/>
  <c r="V216" i="40"/>
  <c r="R217" i="40"/>
  <c r="AF190" i="37"/>
  <c r="AF193" i="37"/>
  <c r="AT215" i="40"/>
  <c r="R218" i="39"/>
  <c r="V217" i="39"/>
  <c r="AF186" i="37"/>
  <c r="AF182" i="37"/>
  <c r="AF179" i="37"/>
  <c r="T170" i="37"/>
  <c r="AF195" i="37"/>
  <c r="AF194" i="37"/>
  <c r="J54" i="41"/>
  <c r="D5" i="41"/>
  <c r="CZ32" i="41"/>
  <c r="L14" i="41" s="1"/>
  <c r="L54" i="41"/>
  <c r="CQ35" i="41"/>
  <c r="CB35" i="41"/>
  <c r="CB32" i="41"/>
  <c r="J14" i="41" s="1"/>
  <c r="BI225" i="41"/>
  <c r="BJ225" i="41" s="1"/>
  <c r="BI224" i="41"/>
  <c r="BI226" i="41"/>
  <c r="BJ226" i="41" s="1"/>
  <c r="BI227" i="41"/>
  <c r="BJ227" i="41" s="1"/>
  <c r="BI228" i="41"/>
  <c r="BJ228" i="41" s="1"/>
  <c r="BI229" i="41"/>
  <c r="BJ229" i="41" s="1"/>
  <c r="BI230" i="41"/>
  <c r="BJ230" i="41" s="1"/>
  <c r="BI231" i="41"/>
  <c r="BJ231" i="41" s="1"/>
  <c r="BI232" i="41"/>
  <c r="BJ232" i="41" s="1"/>
  <c r="BI233" i="41"/>
  <c r="BJ233" i="41" s="1"/>
  <c r="BI234" i="41"/>
  <c r="BJ234" i="41" s="1"/>
  <c r="BI235" i="41"/>
  <c r="BJ235" i="41" s="1"/>
  <c r="BI236" i="41"/>
  <c r="BJ236" i="41" s="1"/>
  <c r="BI237" i="41"/>
  <c r="BJ237" i="41" s="1"/>
  <c r="BI238" i="41"/>
  <c r="BJ238" i="41" s="1"/>
  <c r="BI239" i="41"/>
  <c r="BJ239" i="41" s="1"/>
  <c r="BI240" i="41"/>
  <c r="BJ240" i="41" s="1"/>
  <c r="BI241" i="41"/>
  <c r="BJ241" i="41" s="1"/>
  <c r="BI242" i="41"/>
  <c r="BJ242" i="41" s="1"/>
  <c r="BI243" i="41"/>
  <c r="BJ243" i="41" s="1"/>
  <c r="BI244" i="41"/>
  <c r="BJ244" i="41" s="1"/>
  <c r="BI245" i="41"/>
  <c r="BJ245" i="41" s="1"/>
  <c r="BI246" i="41"/>
  <c r="BJ246" i="41" s="1"/>
  <c r="BI247" i="41"/>
  <c r="BJ247" i="41" s="1"/>
  <c r="BI248" i="41"/>
  <c r="BJ248" i="41" s="1"/>
  <c r="BI249" i="41"/>
  <c r="BJ249" i="41" s="1"/>
  <c r="BI250" i="41"/>
  <c r="BJ250" i="41" s="1"/>
  <c r="BI251" i="41"/>
  <c r="BJ251" i="41" s="1"/>
  <c r="BI252" i="41"/>
  <c r="BJ252" i="41" s="1"/>
  <c r="BI253" i="41"/>
  <c r="BJ253" i="41" s="1"/>
  <c r="BI254" i="41"/>
  <c r="BJ254" i="41" s="1"/>
  <c r="BI255" i="41"/>
  <c r="BJ255" i="41" s="1"/>
  <c r="AE216" i="42"/>
  <c r="AT216" i="42"/>
  <c r="AF197" i="37"/>
  <c r="S218" i="40"/>
  <c r="T217" i="40"/>
  <c r="BH245" i="40"/>
  <c r="BG208" i="38"/>
  <c r="AF188" i="37"/>
  <c r="AF184" i="37"/>
  <c r="AF181" i="37"/>
  <c r="AF177" i="37"/>
  <c r="AF174" i="37"/>
  <c r="R218" i="42"/>
  <c r="V217" i="42"/>
  <c r="AF213" i="42" s="1"/>
  <c r="AF192" i="37"/>
  <c r="BG198" i="35"/>
  <c r="R241" i="35"/>
  <c r="V240" i="35"/>
  <c r="AF239" i="35" s="1"/>
  <c r="S242" i="35"/>
  <c r="T241" i="35"/>
  <c r="R242" i="35" s="1"/>
  <c r="AT239" i="35"/>
  <c r="AW198" i="36" l="1"/>
  <c r="AY198" i="36" s="1"/>
  <c r="BA198" i="36" s="1"/>
  <c r="AD197" i="37"/>
  <c r="AC197" i="37" s="1"/>
  <c r="AB179" i="36"/>
  <c r="BB182" i="36"/>
  <c r="AB182" i="36"/>
  <c r="BB194" i="36"/>
  <c r="AB194" i="36"/>
  <c r="BB187" i="36"/>
  <c r="AB187" i="36"/>
  <c r="AB193" i="36"/>
  <c r="BB193" i="36"/>
  <c r="BB190" i="36"/>
  <c r="AB190" i="36"/>
  <c r="BB192" i="36"/>
  <c r="AB192" i="36"/>
  <c r="AB198" i="36"/>
  <c r="BB198" i="36"/>
  <c r="BB177" i="36"/>
  <c r="AB177" i="36"/>
  <c r="AB185" i="36"/>
  <c r="BB185" i="36"/>
  <c r="BB191" i="36"/>
  <c r="AB191" i="36"/>
  <c r="BB196" i="36"/>
  <c r="AB196" i="36"/>
  <c r="AP151" i="36"/>
  <c r="AU151" i="36" s="1"/>
  <c r="AP152" i="36"/>
  <c r="AU152" i="36" s="1"/>
  <c r="AP153" i="36"/>
  <c r="AU153" i="36" s="1"/>
  <c r="AP154" i="36"/>
  <c r="AU154" i="36" s="1"/>
  <c r="AP158" i="36"/>
  <c r="AU158" i="36" s="1"/>
  <c r="AP144" i="36"/>
  <c r="AU144" i="36" s="1"/>
  <c r="AP147" i="36"/>
  <c r="AU147" i="36" s="1"/>
  <c r="AP159" i="36"/>
  <c r="AU159" i="36" s="1"/>
  <c r="AP148" i="36"/>
  <c r="AU148" i="36" s="1"/>
  <c r="AP155" i="36"/>
  <c r="AU155" i="36" s="1"/>
  <c r="AP146" i="36"/>
  <c r="AU146" i="36" s="1"/>
  <c r="AP145" i="36"/>
  <c r="AU145" i="36" s="1"/>
  <c r="AP142" i="36"/>
  <c r="AP156" i="36"/>
  <c r="AU156" i="36" s="1"/>
  <c r="AP160" i="36"/>
  <c r="AU160" i="36" s="1"/>
  <c r="AP150" i="36"/>
  <c r="AU150" i="36" s="1"/>
  <c r="AP149" i="36"/>
  <c r="AU149" i="36" s="1"/>
  <c r="AP143" i="36"/>
  <c r="AU143" i="36" s="1"/>
  <c r="AP157" i="36"/>
  <c r="AU157" i="36" s="1"/>
  <c r="AP161" i="36"/>
  <c r="AU161" i="36" s="1"/>
  <c r="AB189" i="36"/>
  <c r="BB189" i="36"/>
  <c r="AB175" i="36"/>
  <c r="BB175" i="36"/>
  <c r="AB195" i="36"/>
  <c r="BB195" i="36"/>
  <c r="BB188" i="36"/>
  <c r="AB188" i="36"/>
  <c r="AB178" i="36"/>
  <c r="BB178" i="36"/>
  <c r="AC173" i="36"/>
  <c r="AA174" i="36" s="1"/>
  <c r="BB176" i="36"/>
  <c r="AB176" i="36"/>
  <c r="BB183" i="36"/>
  <c r="AB183" i="36"/>
  <c r="AX174" i="36"/>
  <c r="AZ174" i="36" s="1"/>
  <c r="AW174" i="36"/>
  <c r="AY174" i="36" s="1"/>
  <c r="BA174" i="36" s="1"/>
  <c r="BB186" i="36"/>
  <c r="AB186" i="36"/>
  <c r="BB184" i="36"/>
  <c r="AB184" i="36"/>
  <c r="BB197" i="36"/>
  <c r="AB197" i="36"/>
  <c r="AV239" i="35"/>
  <c r="AX239" i="35" s="1"/>
  <c r="AZ239" i="35" s="1"/>
  <c r="AD186" i="37"/>
  <c r="AC186" i="37" s="1"/>
  <c r="AD189" i="37"/>
  <c r="AC189" i="37" s="1"/>
  <c r="AD190" i="37"/>
  <c r="AC190" i="37" s="1"/>
  <c r="AD183" i="37"/>
  <c r="AC183" i="37" s="1"/>
  <c r="AD199" i="37"/>
  <c r="AC199" i="37" s="1"/>
  <c r="AD191" i="37"/>
  <c r="AC191" i="37" s="1"/>
  <c r="AD187" i="37"/>
  <c r="AC187" i="37" s="1"/>
  <c r="AD185" i="37"/>
  <c r="AC185" i="37" s="1"/>
  <c r="AD196" i="37"/>
  <c r="AC196" i="37" s="1"/>
  <c r="AD178" i="37"/>
  <c r="AC178" i="37" s="1"/>
  <c r="AD198" i="37"/>
  <c r="AC198" i="37" s="1"/>
  <c r="AD184" i="37"/>
  <c r="AC184" i="37" s="1"/>
  <c r="AD181" i="37"/>
  <c r="AC181" i="37" s="1"/>
  <c r="AD194" i="37"/>
  <c r="AC194" i="37" s="1"/>
  <c r="AD195" i="37"/>
  <c r="AC195" i="37" s="1"/>
  <c r="AD182" i="37"/>
  <c r="AC182" i="37" s="1"/>
  <c r="AD179" i="37"/>
  <c r="AC179" i="37" s="1"/>
  <c r="AD177" i="37"/>
  <c r="AC177" i="37" s="1"/>
  <c r="AD188" i="37"/>
  <c r="AC188" i="37" s="1"/>
  <c r="AD174" i="37"/>
  <c r="AC174" i="37" s="1"/>
  <c r="AD193" i="37"/>
  <c r="AC193" i="37" s="1"/>
  <c r="AD192" i="37"/>
  <c r="AC192" i="37" s="1"/>
  <c r="AD175" i="37"/>
  <c r="AC175" i="37" s="1"/>
  <c r="AD176" i="37"/>
  <c r="AC176" i="37" s="1"/>
  <c r="AX211" i="38"/>
  <c r="AZ211" i="38" s="1"/>
  <c r="BC211" i="38" s="1"/>
  <c r="G211" i="38" s="1"/>
  <c r="F211" i="38" s="1"/>
  <c r="AV214" i="38"/>
  <c r="AW214" i="38" s="1"/>
  <c r="AY214" i="38" s="1"/>
  <c r="BA214" i="38" s="1"/>
  <c r="AW200" i="38"/>
  <c r="AY200" i="38" s="1"/>
  <c r="BA200" i="38" s="1"/>
  <c r="AX200" i="38"/>
  <c r="AZ200" i="38" s="1"/>
  <c r="AX201" i="38"/>
  <c r="AZ201" i="38" s="1"/>
  <c r="AW201" i="38"/>
  <c r="AY201" i="38" s="1"/>
  <c r="BA201" i="38" s="1"/>
  <c r="AX203" i="38"/>
  <c r="AZ203" i="38" s="1"/>
  <c r="AW203" i="38"/>
  <c r="AY203" i="38" s="1"/>
  <c r="BA203" i="38" s="1"/>
  <c r="AW208" i="38"/>
  <c r="AY208" i="38" s="1"/>
  <c r="BA208" i="38" s="1"/>
  <c r="AX208" i="38"/>
  <c r="AZ208" i="38" s="1"/>
  <c r="AX198" i="38"/>
  <c r="AZ198" i="38" s="1"/>
  <c r="AW198" i="38"/>
  <c r="AY198" i="38" s="1"/>
  <c r="BA198" i="38" s="1"/>
  <c r="AP181" i="38"/>
  <c r="AU181" i="38" s="1"/>
  <c r="AP171" i="38"/>
  <c r="AP172" i="38"/>
  <c r="AU172" i="38" s="1"/>
  <c r="AP177" i="38"/>
  <c r="AU177" i="38" s="1"/>
  <c r="AG195" i="38"/>
  <c r="AP182" i="38"/>
  <c r="AU182" i="38" s="1"/>
  <c r="AP175" i="38"/>
  <c r="AU175" i="38" s="1"/>
  <c r="AP174" i="38"/>
  <c r="AU174" i="38" s="1"/>
  <c r="AP180" i="38"/>
  <c r="AU180" i="38" s="1"/>
  <c r="AV195" i="38"/>
  <c r="AP178" i="38"/>
  <c r="AU178" i="38" s="1"/>
  <c r="AP173" i="38"/>
  <c r="AU173" i="38" s="1"/>
  <c r="AP176" i="38"/>
  <c r="AU176" i="38" s="1"/>
  <c r="AP179" i="38"/>
  <c r="AU179" i="38" s="1"/>
  <c r="AW196" i="38"/>
  <c r="AY196" i="38" s="1"/>
  <c r="BA196" i="38" s="1"/>
  <c r="AX196" i="38"/>
  <c r="AZ196" i="38" s="1"/>
  <c r="AW206" i="38"/>
  <c r="AY206" i="38" s="1"/>
  <c r="BA206" i="38" s="1"/>
  <c r="AX206" i="38"/>
  <c r="AZ206" i="38" s="1"/>
  <c r="AW205" i="38"/>
  <c r="AY205" i="38" s="1"/>
  <c r="BA205" i="38" s="1"/>
  <c r="AX205" i="38"/>
  <c r="AZ205" i="38" s="1"/>
  <c r="AW209" i="38"/>
  <c r="AY209" i="38" s="1"/>
  <c r="BA209" i="38" s="1"/>
  <c r="AX209" i="38"/>
  <c r="AZ209" i="38" s="1"/>
  <c r="AW210" i="38"/>
  <c r="AY210" i="38" s="1"/>
  <c r="BA210" i="38" s="1"/>
  <c r="AX210" i="38"/>
  <c r="AZ210" i="38" s="1"/>
  <c r="AX199" i="38"/>
  <c r="AZ199" i="38" s="1"/>
  <c r="AW199" i="38"/>
  <c r="AY199" i="38" s="1"/>
  <c r="BA199" i="38" s="1"/>
  <c r="BC212" i="38"/>
  <c r="G212" i="38" s="1"/>
  <c r="F212" i="38" s="1"/>
  <c r="BB212" i="38"/>
  <c r="AB212" i="38"/>
  <c r="AW213" i="38"/>
  <c r="AY213" i="38" s="1"/>
  <c r="BA213" i="38" s="1"/>
  <c r="AX213" i="38"/>
  <c r="AZ213" i="38" s="1"/>
  <c r="AX207" i="38"/>
  <c r="AZ207" i="38" s="1"/>
  <c r="AW207" i="38"/>
  <c r="AY207" i="38" s="1"/>
  <c r="BA207" i="38" s="1"/>
  <c r="AX197" i="38"/>
  <c r="AZ197" i="38" s="1"/>
  <c r="AW197" i="38"/>
  <c r="AY197" i="38" s="1"/>
  <c r="BA197" i="38" s="1"/>
  <c r="AW202" i="38"/>
  <c r="AY202" i="38" s="1"/>
  <c r="BA202" i="38" s="1"/>
  <c r="AX202" i="38"/>
  <c r="AZ202" i="38" s="1"/>
  <c r="AW204" i="38"/>
  <c r="AY204" i="38" s="1"/>
  <c r="BA204" i="38" s="1"/>
  <c r="AX204" i="38"/>
  <c r="AZ204" i="38" s="1"/>
  <c r="AF212" i="42"/>
  <c r="S218" i="38"/>
  <c r="T217" i="38"/>
  <c r="R218" i="38" s="1"/>
  <c r="BJ224" i="41"/>
  <c r="BL66" i="41"/>
  <c r="L55" i="41"/>
  <c r="S220" i="42"/>
  <c r="T219" i="42"/>
  <c r="R220" i="42" s="1"/>
  <c r="AG174" i="37"/>
  <c r="AT217" i="42"/>
  <c r="AF217" i="42"/>
  <c r="AE217" i="42"/>
  <c r="AF196" i="42"/>
  <c r="AF198" i="42"/>
  <c r="AF197" i="42"/>
  <c r="AF201" i="42"/>
  <c r="AF199" i="42"/>
  <c r="AF203" i="42"/>
  <c r="AF200" i="42"/>
  <c r="AF202" i="42"/>
  <c r="AF206" i="42"/>
  <c r="AF207" i="42"/>
  <c r="AF205" i="42"/>
  <c r="AF204" i="42"/>
  <c r="AF211" i="42"/>
  <c r="AF208" i="42"/>
  <c r="BM31" i="41"/>
  <c r="BN31" i="41" s="1"/>
  <c r="J12" i="41"/>
  <c r="K12" i="41"/>
  <c r="L12" i="41"/>
  <c r="AF214" i="42"/>
  <c r="AT217" i="39"/>
  <c r="AT216" i="40"/>
  <c r="AF210" i="42"/>
  <c r="V218" i="39"/>
  <c r="AF215" i="39" s="1"/>
  <c r="AV215" i="39" s="1"/>
  <c r="R219" i="39"/>
  <c r="BH274" i="37"/>
  <c r="AF215" i="42"/>
  <c r="BH261" i="36"/>
  <c r="BG202" i="39"/>
  <c r="J55" i="41"/>
  <c r="BH246" i="40"/>
  <c r="V217" i="40"/>
  <c r="R218" i="40"/>
  <c r="BG209" i="38"/>
  <c r="S219" i="40"/>
  <c r="T218" i="40"/>
  <c r="AF216" i="42"/>
  <c r="BO35" i="41"/>
  <c r="BM34" i="41"/>
  <c r="BN34" i="41" s="1"/>
  <c r="CO29" i="41"/>
  <c r="BQ29" i="41"/>
  <c r="J8" i="41" s="1"/>
  <c r="T219" i="39"/>
  <c r="R220" i="39" s="1"/>
  <c r="S220" i="39"/>
  <c r="T220" i="39" s="1"/>
  <c r="AF209" i="42"/>
  <c r="BI258" i="41"/>
  <c r="BJ258" i="41" s="1"/>
  <c r="BH259" i="41"/>
  <c r="BG202" i="42"/>
  <c r="AF238" i="35"/>
  <c r="AV238" i="35" s="1"/>
  <c r="AX238" i="35" s="1"/>
  <c r="AZ238" i="35" s="1"/>
  <c r="AF240" i="35"/>
  <c r="AT240" i="35"/>
  <c r="AF223" i="35"/>
  <c r="AF225" i="35"/>
  <c r="AV225" i="35" s="1"/>
  <c r="AF226" i="35"/>
  <c r="AV226" i="35" s="1"/>
  <c r="AF228" i="35"/>
  <c r="AV228" i="35" s="1"/>
  <c r="AF224" i="35"/>
  <c r="AV224" i="35" s="1"/>
  <c r="AF227" i="35"/>
  <c r="AV227" i="35" s="1"/>
  <c r="AF230" i="35"/>
  <c r="AV230" i="35" s="1"/>
  <c r="AF229" i="35"/>
  <c r="AV229" i="35" s="1"/>
  <c r="AF231" i="35"/>
  <c r="AV231" i="35" s="1"/>
  <c r="AF233" i="35"/>
  <c r="AV233" i="35" s="1"/>
  <c r="AF232" i="35"/>
  <c r="AV232" i="35" s="1"/>
  <c r="AF235" i="35"/>
  <c r="AV235" i="35" s="1"/>
  <c r="AF234" i="35"/>
  <c r="AV234" i="35" s="1"/>
  <c r="AF236" i="35"/>
  <c r="AV236" i="35" s="1"/>
  <c r="AF237" i="35"/>
  <c r="AV237" i="35" s="1"/>
  <c r="S243" i="35"/>
  <c r="T242" i="35"/>
  <c r="R243" i="35" s="1"/>
  <c r="BG199" i="35"/>
  <c r="AB211" i="38" l="1"/>
  <c r="AX214" i="38"/>
  <c r="AZ214" i="38" s="1"/>
  <c r="BC214" i="38" s="1"/>
  <c r="G214" i="38" s="1"/>
  <c r="F214" i="38" s="1"/>
  <c r="AX143" i="36"/>
  <c r="AZ143" i="36" s="1"/>
  <c r="AW143" i="36"/>
  <c r="AY143" i="36" s="1"/>
  <c r="BA143" i="36" s="1"/>
  <c r="AX156" i="36"/>
  <c r="AZ156" i="36" s="1"/>
  <c r="AW156" i="36"/>
  <c r="AY156" i="36" s="1"/>
  <c r="BA156" i="36" s="1"/>
  <c r="AX144" i="36"/>
  <c r="AZ144" i="36" s="1"/>
  <c r="AW144" i="36"/>
  <c r="AY144" i="36" s="1"/>
  <c r="BA144" i="36" s="1"/>
  <c r="AX152" i="36"/>
  <c r="AZ152" i="36" s="1"/>
  <c r="AW152" i="36"/>
  <c r="AY152" i="36" s="1"/>
  <c r="BA152" i="36" s="1"/>
  <c r="AX149" i="36"/>
  <c r="AZ149" i="36" s="1"/>
  <c r="AW149" i="36"/>
  <c r="AY149" i="36" s="1"/>
  <c r="BA149" i="36" s="1"/>
  <c r="AP138" i="36"/>
  <c r="C9" i="36" s="1"/>
  <c r="AU142" i="36"/>
  <c r="AX148" i="36"/>
  <c r="AZ148" i="36" s="1"/>
  <c r="AW148" i="36"/>
  <c r="AY148" i="36" s="1"/>
  <c r="BA148" i="36" s="1"/>
  <c r="AX158" i="36"/>
  <c r="AZ158" i="36" s="1"/>
  <c r="AW158" i="36"/>
  <c r="AY158" i="36" s="1"/>
  <c r="BA158" i="36" s="1"/>
  <c r="AX151" i="36"/>
  <c r="AZ151" i="36" s="1"/>
  <c r="AW151" i="36"/>
  <c r="AY151" i="36" s="1"/>
  <c r="BA151" i="36" s="1"/>
  <c r="AX155" i="36"/>
  <c r="AZ155" i="36" s="1"/>
  <c r="AW155" i="36"/>
  <c r="AY155" i="36" s="1"/>
  <c r="BA155" i="36" s="1"/>
  <c r="BB174" i="36"/>
  <c r="AB174" i="36"/>
  <c r="AW161" i="36"/>
  <c r="AY161" i="36" s="1"/>
  <c r="BA161" i="36" s="1"/>
  <c r="AX161" i="36"/>
  <c r="AZ161" i="36" s="1"/>
  <c r="AX150" i="36"/>
  <c r="AZ150" i="36" s="1"/>
  <c r="AW150" i="36"/>
  <c r="AY150" i="36" s="1"/>
  <c r="BA150" i="36" s="1"/>
  <c r="AX145" i="36"/>
  <c r="AZ145" i="36" s="1"/>
  <c r="AW145" i="36"/>
  <c r="AY145" i="36" s="1"/>
  <c r="BA145" i="36" s="1"/>
  <c r="AW159" i="36"/>
  <c r="AY159" i="36" s="1"/>
  <c r="BA159" i="36" s="1"/>
  <c r="AX159" i="36"/>
  <c r="AZ159" i="36" s="1"/>
  <c r="AX154" i="36"/>
  <c r="AZ154" i="36" s="1"/>
  <c r="AW154" i="36"/>
  <c r="AY154" i="36" s="1"/>
  <c r="BA154" i="36" s="1"/>
  <c r="AX157" i="36"/>
  <c r="AZ157" i="36" s="1"/>
  <c r="AW157" i="36"/>
  <c r="AY157" i="36" s="1"/>
  <c r="BA157" i="36" s="1"/>
  <c r="AW160" i="36"/>
  <c r="AY160" i="36" s="1"/>
  <c r="BA160" i="36" s="1"/>
  <c r="AX160" i="36"/>
  <c r="AZ160" i="36" s="1"/>
  <c r="AW146" i="36"/>
  <c r="AY146" i="36" s="1"/>
  <c r="BA146" i="36" s="1"/>
  <c r="AX146" i="36"/>
  <c r="AZ146" i="36" s="1"/>
  <c r="AX147" i="36"/>
  <c r="AZ147" i="36" s="1"/>
  <c r="AW147" i="36"/>
  <c r="AY147" i="36" s="1"/>
  <c r="BA147" i="36" s="1"/>
  <c r="AX153" i="36"/>
  <c r="AZ153" i="36" s="1"/>
  <c r="AW153" i="36"/>
  <c r="AY153" i="36" s="1"/>
  <c r="BA153" i="36" s="1"/>
  <c r="BM35" i="41"/>
  <c r="BN35" i="41" s="1"/>
  <c r="L6" i="41"/>
  <c r="L7" i="41" s="1"/>
  <c r="L8" i="41"/>
  <c r="BB211" i="38"/>
  <c r="AW239" i="35"/>
  <c r="AY239" i="35" s="1"/>
  <c r="BA239" i="35" s="1"/>
  <c r="AW238" i="35"/>
  <c r="AY238" i="35" s="1"/>
  <c r="BA238" i="35" s="1"/>
  <c r="AC173" i="37"/>
  <c r="AA174" i="37" s="1"/>
  <c r="AP185" i="37" s="1"/>
  <c r="AU185" i="37" s="1"/>
  <c r="BB202" i="38"/>
  <c r="AB202" i="38"/>
  <c r="BC202" i="38"/>
  <c r="G202" i="38" s="1"/>
  <c r="F202" i="38" s="1"/>
  <c r="AB207" i="38"/>
  <c r="BC207" i="38"/>
  <c r="G207" i="38" s="1"/>
  <c r="F207" i="38" s="1"/>
  <c r="BB207" i="38"/>
  <c r="BB209" i="38"/>
  <c r="AB209" i="38"/>
  <c r="BC209" i="38"/>
  <c r="G209" i="38" s="1"/>
  <c r="F209" i="38" s="1"/>
  <c r="AB206" i="38"/>
  <c r="BC206" i="38"/>
  <c r="G206" i="38" s="1"/>
  <c r="F206" i="38" s="1"/>
  <c r="BB206" i="38"/>
  <c r="AW179" i="38"/>
  <c r="AY179" i="38" s="1"/>
  <c r="BA179" i="38" s="1"/>
  <c r="AX179" i="38"/>
  <c r="AZ179" i="38" s="1"/>
  <c r="BB179" i="38" s="1"/>
  <c r="AX195" i="38"/>
  <c r="AZ195" i="38" s="1"/>
  <c r="AW195" i="38"/>
  <c r="AY195" i="38" s="1"/>
  <c r="BA195" i="38" s="1"/>
  <c r="AW182" i="38"/>
  <c r="AY182" i="38" s="1"/>
  <c r="BA182" i="38" s="1"/>
  <c r="AX182" i="38"/>
  <c r="AZ182" i="38" s="1"/>
  <c r="BB182" i="38" s="1"/>
  <c r="AU171" i="38"/>
  <c r="AT189" i="38"/>
  <c r="AB208" i="38"/>
  <c r="BB208" i="38"/>
  <c r="BC208" i="38"/>
  <c r="G208" i="38" s="1"/>
  <c r="F208" i="38" s="1"/>
  <c r="AW178" i="38"/>
  <c r="AY178" i="38" s="1"/>
  <c r="BA178" i="38" s="1"/>
  <c r="AX178" i="38"/>
  <c r="AZ178" i="38" s="1"/>
  <c r="BB178" i="38" s="1"/>
  <c r="AW172" i="38"/>
  <c r="AY172" i="38" s="1"/>
  <c r="BA172" i="38" s="1"/>
  <c r="AX172" i="38"/>
  <c r="AZ172" i="38" s="1"/>
  <c r="BB172" i="38" s="1"/>
  <c r="AB203" i="38"/>
  <c r="BC203" i="38"/>
  <c r="G203" i="38" s="1"/>
  <c r="F203" i="38" s="1"/>
  <c r="BB203" i="38"/>
  <c r="BC204" i="38"/>
  <c r="G204" i="38" s="1"/>
  <c r="F204" i="38" s="1"/>
  <c r="BB204" i="38"/>
  <c r="AB204" i="38"/>
  <c r="BB213" i="38"/>
  <c r="AB213" i="38"/>
  <c r="BC213" i="38"/>
  <c r="G213" i="38" s="1"/>
  <c r="F213" i="38" s="1"/>
  <c r="BB199" i="38"/>
  <c r="BC199" i="38"/>
  <c r="G199" i="38" s="1"/>
  <c r="F199" i="38" s="1"/>
  <c r="AB199" i="38"/>
  <c r="AW176" i="38"/>
  <c r="AY176" i="38" s="1"/>
  <c r="BA176" i="38" s="1"/>
  <c r="AX176" i="38"/>
  <c r="AZ176" i="38" s="1"/>
  <c r="BB176" i="38" s="1"/>
  <c r="AX180" i="38"/>
  <c r="AZ180" i="38" s="1"/>
  <c r="BB180" i="38" s="1"/>
  <c r="AW180" i="38"/>
  <c r="AY180" i="38" s="1"/>
  <c r="BA180" i="38" s="1"/>
  <c r="AP139" i="38"/>
  <c r="AU139" i="38" s="1"/>
  <c r="AP148" i="38"/>
  <c r="AU148" i="38" s="1"/>
  <c r="AP151" i="38"/>
  <c r="AU151" i="38" s="1"/>
  <c r="AP150" i="38"/>
  <c r="AU150" i="38" s="1"/>
  <c r="AP138" i="38"/>
  <c r="AP152" i="38"/>
  <c r="AU152" i="38" s="1"/>
  <c r="AP142" i="38"/>
  <c r="AU142" i="38" s="1"/>
  <c r="AP149" i="38"/>
  <c r="AU149" i="38" s="1"/>
  <c r="AP144" i="38"/>
  <c r="AU144" i="38" s="1"/>
  <c r="AP145" i="38"/>
  <c r="AU145" i="38" s="1"/>
  <c r="AP146" i="38"/>
  <c r="AU146" i="38" s="1"/>
  <c r="AP156" i="38"/>
  <c r="AU156" i="38" s="1"/>
  <c r="AP155" i="38"/>
  <c r="AU155" i="38" s="1"/>
  <c r="AP147" i="38"/>
  <c r="AU147" i="38" s="1"/>
  <c r="AP157" i="38"/>
  <c r="AU157" i="38" s="1"/>
  <c r="AP153" i="38"/>
  <c r="AU153" i="38" s="1"/>
  <c r="AP140" i="38"/>
  <c r="AU140" i="38" s="1"/>
  <c r="AP143" i="38"/>
  <c r="AU143" i="38" s="1"/>
  <c r="AP141" i="38"/>
  <c r="AU141" i="38" s="1"/>
  <c r="AP154" i="38"/>
  <c r="AU154" i="38" s="1"/>
  <c r="AX181" i="38"/>
  <c r="AZ181" i="38" s="1"/>
  <c r="BB181" i="38" s="1"/>
  <c r="AW181" i="38"/>
  <c r="AY181" i="38" s="1"/>
  <c r="BA181" i="38" s="1"/>
  <c r="AB201" i="38"/>
  <c r="BC201" i="38"/>
  <c r="G201" i="38" s="1"/>
  <c r="F201" i="38" s="1"/>
  <c r="BB201" i="38"/>
  <c r="BB200" i="38"/>
  <c r="BC200" i="38"/>
  <c r="G200" i="38" s="1"/>
  <c r="F200" i="38" s="1"/>
  <c r="AB200" i="38"/>
  <c r="AX175" i="38"/>
  <c r="AZ175" i="38" s="1"/>
  <c r="BB175" i="38" s="1"/>
  <c r="AW175" i="38"/>
  <c r="AY175" i="38" s="1"/>
  <c r="BA175" i="38" s="1"/>
  <c r="BC198" i="38"/>
  <c r="G198" i="38" s="1"/>
  <c r="F198" i="38" s="1"/>
  <c r="AB198" i="38"/>
  <c r="BB198" i="38"/>
  <c r="BB197" i="38"/>
  <c r="BC197" i="38"/>
  <c r="G197" i="38" s="1"/>
  <c r="F197" i="38" s="1"/>
  <c r="AB197" i="38"/>
  <c r="AB210" i="38"/>
  <c r="BC210" i="38"/>
  <c r="G210" i="38" s="1"/>
  <c r="F210" i="38" s="1"/>
  <c r="BB210" i="38"/>
  <c r="BB205" i="38"/>
  <c r="BC205" i="38"/>
  <c r="G205" i="38" s="1"/>
  <c r="F205" i="38" s="1"/>
  <c r="AB205" i="38"/>
  <c r="AB196" i="38"/>
  <c r="BC196" i="38"/>
  <c r="G196" i="38" s="1"/>
  <c r="F196" i="38" s="1"/>
  <c r="BB196" i="38"/>
  <c r="AX173" i="38"/>
  <c r="AZ173" i="38" s="1"/>
  <c r="BB173" i="38" s="1"/>
  <c r="AW173" i="38"/>
  <c r="AY173" i="38" s="1"/>
  <c r="BA173" i="38" s="1"/>
  <c r="AW174" i="38"/>
  <c r="AY174" i="38" s="1"/>
  <c r="BA174" i="38" s="1"/>
  <c r="AX174" i="38"/>
  <c r="AZ174" i="38" s="1"/>
  <c r="BB174" i="38" s="1"/>
  <c r="AW177" i="38"/>
  <c r="AY177" i="38" s="1"/>
  <c r="BA177" i="38" s="1"/>
  <c r="AX177" i="38"/>
  <c r="AZ177" i="38" s="1"/>
  <c r="BB177" i="38" s="1"/>
  <c r="AF212" i="39"/>
  <c r="AV212" i="39" s="1"/>
  <c r="AW212" i="39" s="1"/>
  <c r="AY212" i="39" s="1"/>
  <c r="BA212" i="39" s="1"/>
  <c r="M126" i="41"/>
  <c r="R219" i="40"/>
  <c r="V218" i="40"/>
  <c r="AF214" i="40" s="1"/>
  <c r="AV214" i="40" s="1"/>
  <c r="AT217" i="40"/>
  <c r="AT218" i="39"/>
  <c r="AF218" i="39"/>
  <c r="AF195" i="39"/>
  <c r="AF199" i="39"/>
  <c r="AV199" i="39" s="1"/>
  <c r="AF196" i="39"/>
  <c r="AV196" i="39" s="1"/>
  <c r="AF201" i="39"/>
  <c r="AV201" i="39" s="1"/>
  <c r="AF197" i="39"/>
  <c r="AV197" i="39" s="1"/>
  <c r="AF200" i="39"/>
  <c r="AV200" i="39" s="1"/>
  <c r="AF198" i="39"/>
  <c r="AV198" i="39" s="1"/>
  <c r="AF202" i="39"/>
  <c r="AV202" i="39" s="1"/>
  <c r="AF203" i="39"/>
  <c r="AV203" i="39" s="1"/>
  <c r="AF205" i="39"/>
  <c r="AV205" i="39" s="1"/>
  <c r="AF204" i="39"/>
  <c r="AV204" i="39" s="1"/>
  <c r="AF206" i="39"/>
  <c r="AV206" i="39" s="1"/>
  <c r="AF207" i="39"/>
  <c r="AV207" i="39" s="1"/>
  <c r="AF209" i="39"/>
  <c r="AV209" i="39" s="1"/>
  <c r="AF208" i="39"/>
  <c r="AV208" i="39" s="1"/>
  <c r="AF211" i="39"/>
  <c r="AV211" i="39" s="1"/>
  <c r="AF216" i="39"/>
  <c r="AV216" i="39" s="1"/>
  <c r="AF210" i="39"/>
  <c r="AV210" i="39" s="1"/>
  <c r="L13" i="41"/>
  <c r="BG203" i="42"/>
  <c r="T219" i="40"/>
  <c r="R220" i="40" s="1"/>
  <c r="S220" i="40"/>
  <c r="T220" i="40" s="1"/>
  <c r="BG203" i="39"/>
  <c r="K13" i="41"/>
  <c r="BH260" i="41"/>
  <c r="BI260" i="41" s="1"/>
  <c r="BI259" i="41"/>
  <c r="BJ259" i="41" s="1"/>
  <c r="BH247" i="40"/>
  <c r="BH262" i="36"/>
  <c r="BH275" i="37"/>
  <c r="AF213" i="39"/>
  <c r="AV213" i="39" s="1"/>
  <c r="AF217" i="39"/>
  <c r="AV217" i="39" s="1"/>
  <c r="J13" i="41"/>
  <c r="AG196" i="42"/>
  <c r="T220" i="42"/>
  <c r="R221" i="42" s="1"/>
  <c r="S221" i="42"/>
  <c r="T221" i="42" s="1"/>
  <c r="D129" i="41"/>
  <c r="D131" i="41"/>
  <c r="H23" i="41"/>
  <c r="H16" i="41"/>
  <c r="AF214" i="39"/>
  <c r="AV214" i="39" s="1"/>
  <c r="BM28" i="41"/>
  <c r="BN28" i="41" s="1"/>
  <c r="J6" i="41"/>
  <c r="K6" i="41"/>
  <c r="BG210" i="38"/>
  <c r="AX215" i="39"/>
  <c r="AZ215" i="39" s="1"/>
  <c r="AW215" i="39"/>
  <c r="AY215" i="39" s="1"/>
  <c r="BA215" i="39" s="1"/>
  <c r="AD207" i="42"/>
  <c r="AC207" i="42" s="1"/>
  <c r="AD200" i="42"/>
  <c r="AC200" i="42" s="1"/>
  <c r="AD216" i="42"/>
  <c r="AC216" i="42" s="1"/>
  <c r="AD218" i="42"/>
  <c r="AC218" i="42" s="1"/>
  <c r="AD215" i="42"/>
  <c r="AC215" i="42" s="1"/>
  <c r="AD204" i="42"/>
  <c r="AC204" i="42" s="1"/>
  <c r="AD220" i="42"/>
  <c r="AC220" i="42" s="1"/>
  <c r="AD196" i="42"/>
  <c r="AC196" i="42" s="1"/>
  <c r="AD205" i="42"/>
  <c r="AC205" i="42" s="1"/>
  <c r="AD210" i="42"/>
  <c r="AC210" i="42" s="1"/>
  <c r="AD202" i="42"/>
  <c r="AC202" i="42" s="1"/>
  <c r="AD201" i="42"/>
  <c r="AC201" i="42" s="1"/>
  <c r="AD208" i="42"/>
  <c r="AC208" i="42" s="1"/>
  <c r="AD214" i="42"/>
  <c r="AC214" i="42" s="1"/>
  <c r="AD221" i="42"/>
  <c r="AC221" i="42" s="1"/>
  <c r="AD198" i="42"/>
  <c r="AC198" i="42" s="1"/>
  <c r="AD203" i="42"/>
  <c r="AC203" i="42" s="1"/>
  <c r="AD199" i="42"/>
  <c r="AC199" i="42" s="1"/>
  <c r="AD212" i="42"/>
  <c r="AC212" i="42" s="1"/>
  <c r="AD213" i="42"/>
  <c r="AC213" i="42" s="1"/>
  <c r="AD211" i="42"/>
  <c r="AC211" i="42" s="1"/>
  <c r="AD206" i="42"/>
  <c r="AC206" i="42" s="1"/>
  <c r="AD217" i="42"/>
  <c r="AC217" i="42" s="1"/>
  <c r="AD197" i="42"/>
  <c r="AC197" i="42" s="1"/>
  <c r="AD209" i="42"/>
  <c r="AC209" i="42" s="1"/>
  <c r="AD219" i="42"/>
  <c r="AC219" i="42" s="1"/>
  <c r="S219" i="38"/>
  <c r="T218" i="38"/>
  <c r="R219" i="38" s="1"/>
  <c r="BG200" i="35"/>
  <c r="AX236" i="35"/>
  <c r="AZ236" i="35" s="1"/>
  <c r="AW236" i="35"/>
  <c r="AY236" i="35" s="1"/>
  <c r="BA236" i="35" s="1"/>
  <c r="AX233" i="35"/>
  <c r="AZ233" i="35" s="1"/>
  <c r="AW233" i="35"/>
  <c r="AY233" i="35" s="1"/>
  <c r="BA233" i="35" s="1"/>
  <c r="AX227" i="35"/>
  <c r="AZ227" i="35" s="1"/>
  <c r="AW227" i="35"/>
  <c r="AY227" i="35" s="1"/>
  <c r="BA227" i="35" s="1"/>
  <c r="AX225" i="35"/>
  <c r="AZ225" i="35" s="1"/>
  <c r="AW225" i="35"/>
  <c r="AY225" i="35" s="1"/>
  <c r="BA225" i="35" s="1"/>
  <c r="AB239" i="35"/>
  <c r="BB239" i="35"/>
  <c r="AX234" i="35"/>
  <c r="AZ234" i="35" s="1"/>
  <c r="AW234" i="35"/>
  <c r="AY234" i="35" s="1"/>
  <c r="BA234" i="35" s="1"/>
  <c r="AX231" i="35"/>
  <c r="AZ231" i="35" s="1"/>
  <c r="AW231" i="35"/>
  <c r="AY231" i="35" s="1"/>
  <c r="BA231" i="35" s="1"/>
  <c r="AX224" i="35"/>
  <c r="AZ224" i="35" s="1"/>
  <c r="AW224" i="35"/>
  <c r="AY224" i="35" s="1"/>
  <c r="BA224" i="35" s="1"/>
  <c r="AG223" i="35"/>
  <c r="AV223" i="35"/>
  <c r="S244" i="35"/>
  <c r="T243" i="35"/>
  <c r="R244" i="35" s="1"/>
  <c r="AX235" i="35"/>
  <c r="AZ235" i="35" s="1"/>
  <c r="AW235" i="35"/>
  <c r="AY235" i="35" s="1"/>
  <c r="BA235" i="35" s="1"/>
  <c r="AX229" i="35"/>
  <c r="AZ229" i="35" s="1"/>
  <c r="AW229" i="35"/>
  <c r="AY229" i="35" s="1"/>
  <c r="BA229" i="35" s="1"/>
  <c r="AX228" i="35"/>
  <c r="AZ228" i="35" s="1"/>
  <c r="AW228" i="35"/>
  <c r="AY228" i="35" s="1"/>
  <c r="BA228" i="35" s="1"/>
  <c r="AX237" i="35"/>
  <c r="AZ237" i="35" s="1"/>
  <c r="AW237" i="35"/>
  <c r="AY237" i="35" s="1"/>
  <c r="BA237" i="35" s="1"/>
  <c r="AB238" i="35"/>
  <c r="BB238" i="35"/>
  <c r="AX232" i="35"/>
  <c r="AZ232" i="35" s="1"/>
  <c r="AW232" i="35"/>
  <c r="AY232" i="35" s="1"/>
  <c r="BA232" i="35" s="1"/>
  <c r="AX230" i="35"/>
  <c r="AZ230" i="35" s="1"/>
  <c r="AW230" i="35"/>
  <c r="AY230" i="35" s="1"/>
  <c r="BA230" i="35" s="1"/>
  <c r="AX226" i="35"/>
  <c r="AZ226" i="35" s="1"/>
  <c r="AW226" i="35"/>
  <c r="AY226" i="35" s="1"/>
  <c r="BA226" i="35" s="1"/>
  <c r="AV240" i="35"/>
  <c r="AP189" i="37" l="1"/>
  <c r="AU189" i="37" s="1"/>
  <c r="AX189" i="37" s="1"/>
  <c r="AZ189" i="37" s="1"/>
  <c r="AP195" i="37"/>
  <c r="AU195" i="37" s="1"/>
  <c r="AX195" i="37" s="1"/>
  <c r="AZ195" i="37" s="1"/>
  <c r="BB195" i="37" s="1"/>
  <c r="AP183" i="37"/>
  <c r="AU183" i="37" s="1"/>
  <c r="AX183" i="37" s="1"/>
  <c r="AZ183" i="37" s="1"/>
  <c r="AB183" i="37" s="1"/>
  <c r="AP198" i="37"/>
  <c r="AU198" i="37" s="1"/>
  <c r="AX198" i="37" s="1"/>
  <c r="AZ198" i="37" s="1"/>
  <c r="AP180" i="37"/>
  <c r="AU180" i="37" s="1"/>
  <c r="AX180" i="37" s="1"/>
  <c r="AZ180" i="37" s="1"/>
  <c r="AB180" i="37" s="1"/>
  <c r="AP190" i="37"/>
  <c r="AU190" i="37" s="1"/>
  <c r="AX190" i="37" s="1"/>
  <c r="AZ190" i="37" s="1"/>
  <c r="AB214" i="38"/>
  <c r="BB214" i="38"/>
  <c r="AP191" i="37"/>
  <c r="AU191" i="37" s="1"/>
  <c r="AW191" i="37" s="1"/>
  <c r="AY191" i="37" s="1"/>
  <c r="BA191" i="37" s="1"/>
  <c r="AB145" i="36"/>
  <c r="BB145" i="36"/>
  <c r="AB155" i="36"/>
  <c r="BB155" i="36"/>
  <c r="BB158" i="36"/>
  <c r="AB158" i="36"/>
  <c r="AB152" i="36"/>
  <c r="BB152" i="36"/>
  <c r="AB160" i="36"/>
  <c r="BB160" i="36"/>
  <c r="BB161" i="36"/>
  <c r="AB161" i="36"/>
  <c r="AX142" i="36"/>
  <c r="AZ142" i="36" s="1"/>
  <c r="AW142" i="36"/>
  <c r="AY142" i="36" s="1"/>
  <c r="BA142" i="36" s="1"/>
  <c r="AB147" i="36"/>
  <c r="BB147" i="36"/>
  <c r="BB154" i="36"/>
  <c r="AB154" i="36"/>
  <c r="C5" i="36"/>
  <c r="D24" i="36"/>
  <c r="C3" i="36"/>
  <c r="C24" i="36"/>
  <c r="D3" i="36"/>
  <c r="BI262" i="36" s="1"/>
  <c r="BJ262" i="36" s="1"/>
  <c r="BB146" i="36"/>
  <c r="AB146" i="36"/>
  <c r="BB159" i="36"/>
  <c r="AB159" i="36"/>
  <c r="BB156" i="36"/>
  <c r="AB156" i="36"/>
  <c r="BB153" i="36"/>
  <c r="AB153" i="36"/>
  <c r="AB157" i="36"/>
  <c r="BB157" i="36"/>
  <c r="BB150" i="36"/>
  <c r="AB150" i="36"/>
  <c r="BB151" i="36"/>
  <c r="AB151" i="36"/>
  <c r="BB148" i="36"/>
  <c r="AB148" i="36"/>
  <c r="BB149" i="36"/>
  <c r="AB149" i="36"/>
  <c r="BB144" i="36"/>
  <c r="AB144" i="36"/>
  <c r="AB143" i="36"/>
  <c r="BB143" i="36"/>
  <c r="AP174" i="37"/>
  <c r="AU174" i="37" s="1"/>
  <c r="AX174" i="37" s="1"/>
  <c r="AZ174" i="37" s="1"/>
  <c r="AB174" i="37" s="1"/>
  <c r="AP176" i="37"/>
  <c r="AU176" i="37" s="1"/>
  <c r="AX176" i="37" s="1"/>
  <c r="AZ176" i="37" s="1"/>
  <c r="AP188" i="37"/>
  <c r="AU188" i="37" s="1"/>
  <c r="AW188" i="37" s="1"/>
  <c r="AY188" i="37" s="1"/>
  <c r="BA188" i="37" s="1"/>
  <c r="AP179" i="37"/>
  <c r="AU179" i="37" s="1"/>
  <c r="AX179" i="37" s="1"/>
  <c r="AZ179" i="37" s="1"/>
  <c r="AB179" i="37" s="1"/>
  <c r="AP181" i="37"/>
  <c r="AU181" i="37" s="1"/>
  <c r="AW181" i="37" s="1"/>
  <c r="AY181" i="37" s="1"/>
  <c r="BA181" i="37" s="1"/>
  <c r="AP182" i="37"/>
  <c r="AU182" i="37" s="1"/>
  <c r="AX182" i="37" s="1"/>
  <c r="AZ182" i="37" s="1"/>
  <c r="BB182" i="37" s="1"/>
  <c r="AP199" i="37"/>
  <c r="AU199" i="37" s="1"/>
  <c r="AX199" i="37" s="1"/>
  <c r="AZ199" i="37" s="1"/>
  <c r="AP197" i="37"/>
  <c r="AU197" i="37" s="1"/>
  <c r="AW197" i="37" s="1"/>
  <c r="AY197" i="37" s="1"/>
  <c r="BA197" i="37" s="1"/>
  <c r="AP187" i="37"/>
  <c r="AU187" i="37" s="1"/>
  <c r="AX187" i="37" s="1"/>
  <c r="AZ187" i="37" s="1"/>
  <c r="BB187" i="37" s="1"/>
  <c r="AP178" i="37"/>
  <c r="AU178" i="37" s="1"/>
  <c r="AW178" i="37" s="1"/>
  <c r="AY178" i="37" s="1"/>
  <c r="BA178" i="37" s="1"/>
  <c r="AG211" i="37"/>
  <c r="AP143" i="37" s="1"/>
  <c r="AU143" i="37" s="1"/>
  <c r="AW143" i="37" s="1"/>
  <c r="AY143" i="37" s="1"/>
  <c r="BA143" i="37" s="1"/>
  <c r="AP196" i="37"/>
  <c r="AU196" i="37" s="1"/>
  <c r="AX196" i="37" s="1"/>
  <c r="AZ196" i="37" s="1"/>
  <c r="AP192" i="37"/>
  <c r="AU192" i="37" s="1"/>
  <c r="AX192" i="37" s="1"/>
  <c r="AZ192" i="37" s="1"/>
  <c r="BB192" i="37" s="1"/>
  <c r="AP194" i="37"/>
  <c r="AU194" i="37" s="1"/>
  <c r="AP177" i="37"/>
  <c r="AU177" i="37" s="1"/>
  <c r="AW185" i="37"/>
  <c r="AY185" i="37" s="1"/>
  <c r="BA185" i="37" s="1"/>
  <c r="AX185" i="37"/>
  <c r="AZ185" i="37" s="1"/>
  <c r="BB185" i="37" s="1"/>
  <c r="AP186" i="37"/>
  <c r="AU186" i="37" s="1"/>
  <c r="AP193" i="37"/>
  <c r="AU193" i="37" s="1"/>
  <c r="AX193" i="37" s="1"/>
  <c r="AZ193" i="37" s="1"/>
  <c r="BB193" i="37" s="1"/>
  <c r="AP175" i="37"/>
  <c r="AU175" i="37" s="1"/>
  <c r="AP184" i="37"/>
  <c r="AU184" i="37" s="1"/>
  <c r="AX184" i="37" s="1"/>
  <c r="AZ184" i="37" s="1"/>
  <c r="BB184" i="37" s="1"/>
  <c r="AW140" i="38"/>
  <c r="AY140" i="38" s="1"/>
  <c r="BA140" i="38" s="1"/>
  <c r="AX140" i="38"/>
  <c r="AZ140" i="38" s="1"/>
  <c r="AP134" i="38"/>
  <c r="C9" i="38" s="1"/>
  <c r="AU138" i="38"/>
  <c r="AW154" i="38"/>
  <c r="AY154" i="38" s="1"/>
  <c r="BA154" i="38" s="1"/>
  <c r="AX154" i="38"/>
  <c r="AZ154" i="38" s="1"/>
  <c r="AX153" i="38"/>
  <c r="AZ153" i="38" s="1"/>
  <c r="AW153" i="38"/>
  <c r="AY153" i="38" s="1"/>
  <c r="BA153" i="38" s="1"/>
  <c r="AX156" i="38"/>
  <c r="AZ156" i="38" s="1"/>
  <c r="AW156" i="38"/>
  <c r="AY156" i="38" s="1"/>
  <c r="BA156" i="38" s="1"/>
  <c r="AX149" i="38"/>
  <c r="AZ149" i="38" s="1"/>
  <c r="AW149" i="38"/>
  <c r="AY149" i="38" s="1"/>
  <c r="BA149" i="38" s="1"/>
  <c r="AW150" i="38"/>
  <c r="AY150" i="38" s="1"/>
  <c r="BA150" i="38" s="1"/>
  <c r="AX150" i="38"/>
  <c r="AZ150" i="38" s="1"/>
  <c r="AX171" i="38"/>
  <c r="AZ171" i="38" s="1"/>
  <c r="BB171" i="38" s="1"/>
  <c r="AW171" i="38"/>
  <c r="AY171" i="38" s="1"/>
  <c r="BA171" i="38" s="1"/>
  <c r="AB195" i="38"/>
  <c r="BB195" i="38"/>
  <c r="AW144" i="38"/>
  <c r="AY144" i="38" s="1"/>
  <c r="BA144" i="38" s="1"/>
  <c r="AX144" i="38"/>
  <c r="AZ144" i="38" s="1"/>
  <c r="AW141" i="38"/>
  <c r="AY141" i="38" s="1"/>
  <c r="BA141" i="38" s="1"/>
  <c r="AX141" i="38"/>
  <c r="AZ141" i="38" s="1"/>
  <c r="AW157" i="38"/>
  <c r="AY157" i="38" s="1"/>
  <c r="BA157" i="38" s="1"/>
  <c r="AX157" i="38"/>
  <c r="AZ157" i="38" s="1"/>
  <c r="AW146" i="38"/>
  <c r="AY146" i="38" s="1"/>
  <c r="BA146" i="38" s="1"/>
  <c r="AX146" i="38"/>
  <c r="AZ146" i="38" s="1"/>
  <c r="AX142" i="38"/>
  <c r="AZ142" i="38" s="1"/>
  <c r="AW142" i="38"/>
  <c r="AY142" i="38" s="1"/>
  <c r="BA142" i="38" s="1"/>
  <c r="AX151" i="38"/>
  <c r="AZ151" i="38" s="1"/>
  <c r="AW151" i="38"/>
  <c r="AY151" i="38" s="1"/>
  <c r="BA151" i="38" s="1"/>
  <c r="AX155" i="38"/>
  <c r="AZ155" i="38" s="1"/>
  <c r="AW155" i="38"/>
  <c r="AY155" i="38" s="1"/>
  <c r="BA155" i="38" s="1"/>
  <c r="AX139" i="38"/>
  <c r="AZ139" i="38" s="1"/>
  <c r="AW139" i="38"/>
  <c r="AY139" i="38" s="1"/>
  <c r="BA139" i="38" s="1"/>
  <c r="AX143" i="38"/>
  <c r="AZ143" i="38" s="1"/>
  <c r="AW143" i="38"/>
  <c r="AY143" i="38" s="1"/>
  <c r="BA143" i="38" s="1"/>
  <c r="AW147" i="38"/>
  <c r="AY147" i="38" s="1"/>
  <c r="BA147" i="38" s="1"/>
  <c r="AX147" i="38"/>
  <c r="AZ147" i="38" s="1"/>
  <c r="AX145" i="38"/>
  <c r="AZ145" i="38" s="1"/>
  <c r="AW145" i="38"/>
  <c r="AY145" i="38" s="1"/>
  <c r="BA145" i="38" s="1"/>
  <c r="AW152" i="38"/>
  <c r="AY152" i="38" s="1"/>
  <c r="BA152" i="38" s="1"/>
  <c r="AX152" i="38"/>
  <c r="AZ152" i="38" s="1"/>
  <c r="AW148" i="38"/>
  <c r="AY148" i="38" s="1"/>
  <c r="BA148" i="38" s="1"/>
  <c r="AX148" i="38"/>
  <c r="AZ148" i="38" s="1"/>
  <c r="AX212" i="39"/>
  <c r="AZ212" i="39" s="1"/>
  <c r="AB212" i="39" s="1"/>
  <c r="AF213" i="40"/>
  <c r="AV213" i="40" s="1"/>
  <c r="AX213" i="40" s="1"/>
  <c r="AZ213" i="40" s="1"/>
  <c r="AF217" i="40"/>
  <c r="AV217" i="40" s="1"/>
  <c r="AX217" i="40" s="1"/>
  <c r="AZ217" i="40" s="1"/>
  <c r="AF216" i="40"/>
  <c r="AV216" i="40" s="1"/>
  <c r="AW216" i="40" s="1"/>
  <c r="AY216" i="40" s="1"/>
  <c r="BA216" i="40" s="1"/>
  <c r="AV218" i="39"/>
  <c r="AX218" i="39" s="1"/>
  <c r="AZ218" i="39" s="1"/>
  <c r="BO32" i="41"/>
  <c r="AX214" i="40"/>
  <c r="AZ214" i="40" s="1"/>
  <c r="AW214" i="40"/>
  <c r="AY214" i="40" s="1"/>
  <c r="BA214" i="40" s="1"/>
  <c r="BB215" i="39"/>
  <c r="AB215" i="39"/>
  <c r="BC215" i="39"/>
  <c r="G215" i="39" s="1"/>
  <c r="F215" i="39" s="1"/>
  <c r="AX217" i="39"/>
  <c r="AZ217" i="39" s="1"/>
  <c r="AW217" i="39"/>
  <c r="AY217" i="39" s="1"/>
  <c r="BA217" i="39" s="1"/>
  <c r="AX210" i="39"/>
  <c r="AZ210" i="39" s="1"/>
  <c r="AW210" i="39"/>
  <c r="AY210" i="39" s="1"/>
  <c r="BA210" i="39" s="1"/>
  <c r="AX209" i="39"/>
  <c r="AZ209" i="39" s="1"/>
  <c r="AW209" i="39"/>
  <c r="AY209" i="39" s="1"/>
  <c r="BA209" i="39" s="1"/>
  <c r="AX205" i="39"/>
  <c r="AZ205" i="39" s="1"/>
  <c r="AW205" i="39"/>
  <c r="AY205" i="39" s="1"/>
  <c r="BA205" i="39" s="1"/>
  <c r="AX200" i="39"/>
  <c r="AZ200" i="39" s="1"/>
  <c r="AW200" i="39"/>
  <c r="AY200" i="39" s="1"/>
  <c r="BA200" i="39" s="1"/>
  <c r="AX199" i="39"/>
  <c r="AZ199" i="39" s="1"/>
  <c r="AW199" i="39"/>
  <c r="AY199" i="39" s="1"/>
  <c r="BA199" i="39" s="1"/>
  <c r="S220" i="38"/>
  <c r="T220" i="38" s="1"/>
  <c r="T219" i="38"/>
  <c r="R220" i="38" s="1"/>
  <c r="AC195" i="42"/>
  <c r="AA196" i="42" s="1"/>
  <c r="AG232" i="42" s="1"/>
  <c r="AP180" i="42" s="1"/>
  <c r="AU180" i="42" s="1"/>
  <c r="AX214" i="39"/>
  <c r="AZ214" i="39" s="1"/>
  <c r="AW214" i="39"/>
  <c r="AY214" i="39" s="1"/>
  <c r="BA214" i="39" s="1"/>
  <c r="K36" i="41"/>
  <c r="K18" i="41"/>
  <c r="J36" i="41"/>
  <c r="J18" i="41"/>
  <c r="AX213" i="39"/>
  <c r="AZ213" i="39" s="1"/>
  <c r="AW213" i="39"/>
  <c r="AY213" i="39" s="1"/>
  <c r="BA213" i="39" s="1"/>
  <c r="BH263" i="36"/>
  <c r="AX216" i="39"/>
  <c r="AZ216" i="39" s="1"/>
  <c r="AW216" i="39"/>
  <c r="AY216" i="39" s="1"/>
  <c r="BA216" i="39" s="1"/>
  <c r="AX207" i="39"/>
  <c r="AZ207" i="39" s="1"/>
  <c r="AW207" i="39"/>
  <c r="AY207" i="39" s="1"/>
  <c r="BA207" i="39" s="1"/>
  <c r="AX203" i="39"/>
  <c r="AZ203" i="39" s="1"/>
  <c r="AW203" i="39"/>
  <c r="AY203" i="39" s="1"/>
  <c r="BA203" i="39" s="1"/>
  <c r="AX197" i="39"/>
  <c r="AZ197" i="39" s="1"/>
  <c r="AW197" i="39"/>
  <c r="AY197" i="39" s="1"/>
  <c r="BA197" i="39" s="1"/>
  <c r="AG195" i="39"/>
  <c r="AV195" i="39"/>
  <c r="AP181" i="39"/>
  <c r="AU181" i="39" s="1"/>
  <c r="AP182" i="39"/>
  <c r="AU182" i="39" s="1"/>
  <c r="AP178" i="39"/>
  <c r="AU178" i="39" s="1"/>
  <c r="AP175" i="39"/>
  <c r="AU175" i="39" s="1"/>
  <c r="AP174" i="39"/>
  <c r="AU174" i="39" s="1"/>
  <c r="AP177" i="39"/>
  <c r="AU177" i="39" s="1"/>
  <c r="AP179" i="39"/>
  <c r="AU179" i="39" s="1"/>
  <c r="AP176" i="39"/>
  <c r="AU176" i="39" s="1"/>
  <c r="AP173" i="39"/>
  <c r="AU173" i="39" s="1"/>
  <c r="AP180" i="39"/>
  <c r="AU180" i="39" s="1"/>
  <c r="AP171" i="39"/>
  <c r="AP172" i="39"/>
  <c r="AU172" i="39" s="1"/>
  <c r="AF218" i="40"/>
  <c r="AT218" i="40"/>
  <c r="AF196" i="40"/>
  <c r="AV196" i="40" s="1"/>
  <c r="AF195" i="40"/>
  <c r="T191" i="40"/>
  <c r="AF197" i="40"/>
  <c r="AV197" i="40" s="1"/>
  <c r="AF199" i="40"/>
  <c r="AV199" i="40" s="1"/>
  <c r="AF198" i="40"/>
  <c r="AV198" i="40" s="1"/>
  <c r="AF200" i="40"/>
  <c r="AV200" i="40" s="1"/>
  <c r="AF201" i="40"/>
  <c r="AV201" i="40" s="1"/>
  <c r="AF202" i="40"/>
  <c r="AV202" i="40" s="1"/>
  <c r="AF203" i="40"/>
  <c r="AV203" i="40" s="1"/>
  <c r="AF204" i="40"/>
  <c r="AV204" i="40" s="1"/>
  <c r="AF205" i="40"/>
  <c r="AV205" i="40" s="1"/>
  <c r="AF207" i="40"/>
  <c r="AV207" i="40" s="1"/>
  <c r="AF206" i="40"/>
  <c r="AV206" i="40" s="1"/>
  <c r="AF209" i="40"/>
  <c r="AV209" i="40" s="1"/>
  <c r="AF208" i="40"/>
  <c r="AV208" i="40" s="1"/>
  <c r="AF210" i="40"/>
  <c r="AV210" i="40" s="1"/>
  <c r="AF215" i="40"/>
  <c r="AV215" i="40" s="1"/>
  <c r="BB180" i="37"/>
  <c r="K7" i="41"/>
  <c r="L30" i="41"/>
  <c r="L24" i="41"/>
  <c r="K30" i="41"/>
  <c r="K24" i="41"/>
  <c r="AB195" i="37"/>
  <c r="BG204" i="42"/>
  <c r="AX211" i="39"/>
  <c r="AZ211" i="39" s="1"/>
  <c r="AW211" i="39"/>
  <c r="AY211" i="39" s="1"/>
  <c r="BA211" i="39" s="1"/>
  <c r="AX206" i="39"/>
  <c r="AZ206" i="39" s="1"/>
  <c r="AW206" i="39"/>
  <c r="AY206" i="39" s="1"/>
  <c r="BA206" i="39" s="1"/>
  <c r="AX202" i="39"/>
  <c r="AZ202" i="39" s="1"/>
  <c r="AW202" i="39"/>
  <c r="AY202" i="39" s="1"/>
  <c r="BA202" i="39" s="1"/>
  <c r="AX201" i="39"/>
  <c r="AZ201" i="39" s="1"/>
  <c r="AW201" i="39"/>
  <c r="AY201" i="39" s="1"/>
  <c r="BA201" i="39" s="1"/>
  <c r="AF211" i="40"/>
  <c r="AV211" i="40" s="1"/>
  <c r="J7" i="41"/>
  <c r="BH276" i="37"/>
  <c r="BJ260" i="41"/>
  <c r="BK224" i="41" s="1"/>
  <c r="DD66" i="41"/>
  <c r="AX208" i="39"/>
  <c r="AZ208" i="39" s="1"/>
  <c r="AW208" i="39"/>
  <c r="AY208" i="39" s="1"/>
  <c r="BA208" i="39" s="1"/>
  <c r="AX204" i="39"/>
  <c r="AZ204" i="39" s="1"/>
  <c r="AW204" i="39"/>
  <c r="AY204" i="39" s="1"/>
  <c r="BA204" i="39" s="1"/>
  <c r="AX198" i="39"/>
  <c r="AZ198" i="39" s="1"/>
  <c r="AW198" i="39"/>
  <c r="AY198" i="39" s="1"/>
  <c r="BA198" i="39" s="1"/>
  <c r="AX196" i="39"/>
  <c r="AZ196" i="39" s="1"/>
  <c r="AW196" i="39"/>
  <c r="AY196" i="39" s="1"/>
  <c r="BA196" i="39" s="1"/>
  <c r="AF212" i="40"/>
  <c r="AV212" i="40" s="1"/>
  <c r="AX223" i="35"/>
  <c r="AZ223" i="35" s="1"/>
  <c r="AW223" i="35"/>
  <c r="AY223" i="35" s="1"/>
  <c r="BA223" i="35" s="1"/>
  <c r="AX240" i="35"/>
  <c r="AZ240" i="35" s="1"/>
  <c r="AW240" i="35"/>
  <c r="AY240" i="35" s="1"/>
  <c r="BA240" i="35" s="1"/>
  <c r="BB230" i="35"/>
  <c r="AB230" i="35"/>
  <c r="BB228" i="35"/>
  <c r="AB228" i="35"/>
  <c r="AB235" i="35"/>
  <c r="BB235" i="35"/>
  <c r="AP209" i="35"/>
  <c r="AU209" i="35" s="1"/>
  <c r="AP206" i="35"/>
  <c r="AU206" i="35" s="1"/>
  <c r="AP213" i="35"/>
  <c r="AU213" i="35" s="1"/>
  <c r="AP207" i="35"/>
  <c r="AU207" i="35" s="1"/>
  <c r="AP208" i="35"/>
  <c r="AU208" i="35" s="1"/>
  <c r="AP212" i="35"/>
  <c r="AU212" i="35" s="1"/>
  <c r="AP210" i="35"/>
  <c r="AU210" i="35" s="1"/>
  <c r="AP211" i="35"/>
  <c r="AU211" i="35" s="1"/>
  <c r="AP205" i="35"/>
  <c r="AU205" i="35" s="1"/>
  <c r="AP204" i="35"/>
  <c r="AU204" i="35" s="1"/>
  <c r="AP200" i="35"/>
  <c r="AU200" i="35" s="1"/>
  <c r="AP202" i="35"/>
  <c r="AU202" i="35" s="1"/>
  <c r="AP201" i="35"/>
  <c r="AU201" i="35" s="1"/>
  <c r="AP196" i="35"/>
  <c r="AU196" i="35" s="1"/>
  <c r="AP195" i="35"/>
  <c r="AU195" i="35" s="1"/>
  <c r="AP203" i="35"/>
  <c r="AU203" i="35" s="1"/>
  <c r="AP197" i="35"/>
  <c r="AU197" i="35" s="1"/>
  <c r="AP199" i="35"/>
  <c r="AU199" i="35" s="1"/>
  <c r="AP194" i="35"/>
  <c r="AU194" i="35" s="1"/>
  <c r="AP198" i="35"/>
  <c r="AU198" i="35" s="1"/>
  <c r="AP179" i="35"/>
  <c r="AU179" i="35" s="1"/>
  <c r="AP170" i="35"/>
  <c r="AP172" i="35"/>
  <c r="AU172" i="35" s="1"/>
  <c r="AP151" i="35"/>
  <c r="AU151" i="35" s="1"/>
  <c r="AP157" i="35"/>
  <c r="AU157" i="35" s="1"/>
  <c r="AP156" i="35"/>
  <c r="AU156" i="35" s="1"/>
  <c r="AP149" i="35"/>
  <c r="AU149" i="35" s="1"/>
  <c r="AP139" i="35"/>
  <c r="AU139" i="35" s="1"/>
  <c r="AP180" i="35"/>
  <c r="AU180" i="35" s="1"/>
  <c r="AP171" i="35"/>
  <c r="AU171" i="35" s="1"/>
  <c r="AP175" i="35"/>
  <c r="AU175" i="35" s="1"/>
  <c r="AP146" i="35"/>
  <c r="AU146" i="35" s="1"/>
  <c r="AP138" i="35"/>
  <c r="AP134" i="35" s="1"/>
  <c r="AP155" i="35"/>
  <c r="AU155" i="35" s="1"/>
  <c r="AP142" i="35"/>
  <c r="AU142" i="35" s="1"/>
  <c r="AP141" i="35"/>
  <c r="AU141" i="35" s="1"/>
  <c r="AP181" i="35"/>
  <c r="AU181" i="35" s="1"/>
  <c r="AP176" i="35"/>
  <c r="AU176" i="35" s="1"/>
  <c r="AP174" i="35"/>
  <c r="AU174" i="35" s="1"/>
  <c r="AP148" i="35"/>
  <c r="AU148" i="35" s="1"/>
  <c r="AP144" i="35"/>
  <c r="AU144" i="35" s="1"/>
  <c r="AP150" i="35"/>
  <c r="AU150" i="35" s="1"/>
  <c r="AP143" i="35"/>
  <c r="AU143" i="35" s="1"/>
  <c r="AP140" i="35"/>
  <c r="AU140" i="35" s="1"/>
  <c r="AP178" i="35"/>
  <c r="AU178" i="35" s="1"/>
  <c r="AP177" i="35"/>
  <c r="AU177" i="35" s="1"/>
  <c r="AP173" i="35"/>
  <c r="AU173" i="35" s="1"/>
  <c r="AP152" i="35"/>
  <c r="AU152" i="35" s="1"/>
  <c r="AP147" i="35"/>
  <c r="AU147" i="35" s="1"/>
  <c r="AP153" i="35"/>
  <c r="AU153" i="35" s="1"/>
  <c r="AP145" i="35"/>
  <c r="AU145" i="35" s="1"/>
  <c r="AP154" i="35"/>
  <c r="AU154" i="35" s="1"/>
  <c r="BB231" i="35"/>
  <c r="AB231" i="35"/>
  <c r="BB227" i="35"/>
  <c r="AB227" i="35"/>
  <c r="AB236" i="35"/>
  <c r="BB236" i="35"/>
  <c r="BB226" i="35"/>
  <c r="AB226" i="35"/>
  <c r="BB232" i="35"/>
  <c r="AB232" i="35"/>
  <c r="AB237" i="35"/>
  <c r="BB237" i="35"/>
  <c r="BB229" i="35"/>
  <c r="AB229" i="35"/>
  <c r="S245" i="35"/>
  <c r="T244" i="35"/>
  <c r="R245" i="35" s="1"/>
  <c r="BB224" i="35"/>
  <c r="AB224" i="35"/>
  <c r="BB234" i="35"/>
  <c r="AB234" i="35"/>
  <c r="BB225" i="35"/>
  <c r="AB225" i="35"/>
  <c r="BB233" i="35"/>
  <c r="AB233" i="35"/>
  <c r="BG201" i="35"/>
  <c r="AW218" i="39" l="1"/>
  <c r="AY218" i="39" s="1"/>
  <c r="BA218" i="39" s="1"/>
  <c r="AW189" i="37"/>
  <c r="AY189" i="37" s="1"/>
  <c r="BA189" i="37" s="1"/>
  <c r="AW198" i="37"/>
  <c r="AY198" i="37" s="1"/>
  <c r="BA198" i="37" s="1"/>
  <c r="BB183" i="37"/>
  <c r="AW195" i="37"/>
  <c r="AY195" i="37" s="1"/>
  <c r="BA195" i="37" s="1"/>
  <c r="AB182" i="37"/>
  <c r="AW180" i="37"/>
  <c r="AY180" i="37" s="1"/>
  <c r="BA180" i="37" s="1"/>
  <c r="AW190" i="37"/>
  <c r="AY190" i="37" s="1"/>
  <c r="BA190" i="37" s="1"/>
  <c r="AW183" i="37"/>
  <c r="AY183" i="37" s="1"/>
  <c r="BA183" i="37" s="1"/>
  <c r="AW213" i="40"/>
  <c r="AY213" i="40" s="1"/>
  <c r="BA213" i="40" s="1"/>
  <c r="BI263" i="36"/>
  <c r="BJ263" i="36" s="1"/>
  <c r="AX178" i="37"/>
  <c r="AZ178" i="37" s="1"/>
  <c r="BB178" i="37" s="1"/>
  <c r="AW199" i="37"/>
  <c r="AY199" i="37" s="1"/>
  <c r="BA199" i="37" s="1"/>
  <c r="AX197" i="37"/>
  <c r="AZ197" i="37" s="1"/>
  <c r="AB197" i="37" s="1"/>
  <c r="AX191" i="37"/>
  <c r="AZ191" i="37" s="1"/>
  <c r="AB193" i="37"/>
  <c r="AW187" i="37"/>
  <c r="AY187" i="37" s="1"/>
  <c r="BA187" i="37" s="1"/>
  <c r="BB179" i="37"/>
  <c r="AB192" i="37"/>
  <c r="AW176" i="37"/>
  <c r="AY176" i="37" s="1"/>
  <c r="BA176" i="37" s="1"/>
  <c r="AB187" i="37"/>
  <c r="BB174" i="37"/>
  <c r="AW174" i="37"/>
  <c r="AY174" i="37" s="1"/>
  <c r="BA174" i="37" s="1"/>
  <c r="AW196" i="37"/>
  <c r="AY196" i="37" s="1"/>
  <c r="BA196" i="37" s="1"/>
  <c r="AW179" i="37"/>
  <c r="AY179" i="37" s="1"/>
  <c r="BA179" i="37" s="1"/>
  <c r="AP155" i="37"/>
  <c r="AU155" i="37" s="1"/>
  <c r="AX155" i="37" s="1"/>
  <c r="AZ155" i="37" s="1"/>
  <c r="BB155" i="37" s="1"/>
  <c r="AP158" i="37"/>
  <c r="AU158" i="37" s="1"/>
  <c r="AW158" i="37" s="1"/>
  <c r="AY158" i="37" s="1"/>
  <c r="BA158" i="37" s="1"/>
  <c r="AP161" i="37"/>
  <c r="AU161" i="37" s="1"/>
  <c r="AW161" i="37" s="1"/>
  <c r="AY161" i="37" s="1"/>
  <c r="BA161" i="37" s="1"/>
  <c r="AP142" i="37"/>
  <c r="AU142" i="37" s="1"/>
  <c r="AX142" i="37" s="1"/>
  <c r="AZ142" i="37" s="1"/>
  <c r="BB142" i="37" s="1"/>
  <c r="AP150" i="37"/>
  <c r="AU150" i="37" s="1"/>
  <c r="AX150" i="37" s="1"/>
  <c r="AZ150" i="37" s="1"/>
  <c r="BB150" i="37" s="1"/>
  <c r="CQ35" i="36"/>
  <c r="CB35" i="36"/>
  <c r="BI230" i="36"/>
  <c r="BJ230" i="36" s="1"/>
  <c r="BI234" i="36"/>
  <c r="BJ234" i="36" s="1"/>
  <c r="BI238" i="36"/>
  <c r="BJ238" i="36" s="1"/>
  <c r="BI242" i="36"/>
  <c r="BJ242" i="36" s="1"/>
  <c r="BI246" i="36"/>
  <c r="BJ246" i="36" s="1"/>
  <c r="BI250" i="36"/>
  <c r="BJ250" i="36" s="1"/>
  <c r="BI254" i="36"/>
  <c r="BJ254" i="36" s="1"/>
  <c r="BI258" i="36"/>
  <c r="BJ258" i="36" s="1"/>
  <c r="L54" i="36"/>
  <c r="L55" i="36" s="1"/>
  <c r="BI233" i="36"/>
  <c r="BJ233" i="36" s="1"/>
  <c r="BI241" i="36"/>
  <c r="BJ241" i="36" s="1"/>
  <c r="BI253" i="36"/>
  <c r="BJ253" i="36" s="1"/>
  <c r="D5" i="36"/>
  <c r="BI227" i="36"/>
  <c r="BI231" i="36"/>
  <c r="BJ231" i="36" s="1"/>
  <c r="BI235" i="36"/>
  <c r="BJ235" i="36" s="1"/>
  <c r="BI239" i="36"/>
  <c r="BJ239" i="36" s="1"/>
  <c r="BI243" i="36"/>
  <c r="BJ243" i="36" s="1"/>
  <c r="BI247" i="36"/>
  <c r="BJ247" i="36" s="1"/>
  <c r="BI251" i="36"/>
  <c r="BJ251" i="36" s="1"/>
  <c r="BI255" i="36"/>
  <c r="BJ255" i="36" s="1"/>
  <c r="BI259" i="36"/>
  <c r="BJ259" i="36" s="1"/>
  <c r="BI229" i="36"/>
  <c r="BJ229" i="36" s="1"/>
  <c r="BI249" i="36"/>
  <c r="BJ249" i="36" s="1"/>
  <c r="CZ32" i="36"/>
  <c r="J54" i="36"/>
  <c r="J55" i="36" s="1"/>
  <c r="BI228" i="36"/>
  <c r="BJ228" i="36" s="1"/>
  <c r="BI232" i="36"/>
  <c r="BJ232" i="36" s="1"/>
  <c r="BI236" i="36"/>
  <c r="BJ236" i="36" s="1"/>
  <c r="BI240" i="36"/>
  <c r="BJ240" i="36" s="1"/>
  <c r="BI244" i="36"/>
  <c r="BJ244" i="36" s="1"/>
  <c r="BI248" i="36"/>
  <c r="BJ248" i="36" s="1"/>
  <c r="BI252" i="36"/>
  <c r="BJ252" i="36" s="1"/>
  <c r="BI256" i="36"/>
  <c r="BJ256" i="36" s="1"/>
  <c r="CB32" i="36"/>
  <c r="BI237" i="36"/>
  <c r="BJ237" i="36" s="1"/>
  <c r="BI245" i="36"/>
  <c r="BJ245" i="36" s="1"/>
  <c r="BI257" i="36"/>
  <c r="BJ257" i="36" s="1"/>
  <c r="BI260" i="36"/>
  <c r="BJ260" i="36" s="1"/>
  <c r="BI261" i="36"/>
  <c r="BJ261" i="36" s="1"/>
  <c r="AB142" i="36"/>
  <c r="BB142" i="36"/>
  <c r="BM58" i="36" s="1"/>
  <c r="BN58" i="36" s="1"/>
  <c r="BM32" i="41"/>
  <c r="BN32" i="41" s="1"/>
  <c r="AX181" i="37"/>
  <c r="AZ181" i="37" s="1"/>
  <c r="AW192" i="37"/>
  <c r="AY192" i="37" s="1"/>
  <c r="BA192" i="37" s="1"/>
  <c r="BB212" i="39"/>
  <c r="AX143" i="37"/>
  <c r="AZ143" i="37" s="1"/>
  <c r="BB143" i="37" s="1"/>
  <c r="AW182" i="37"/>
  <c r="AY182" i="37" s="1"/>
  <c r="BA182" i="37" s="1"/>
  <c r="BC212" i="39"/>
  <c r="G212" i="39" s="1"/>
  <c r="F212" i="39" s="1"/>
  <c r="AW177" i="37"/>
  <c r="AY177" i="37" s="1"/>
  <c r="BA177" i="37" s="1"/>
  <c r="AX177" i="37"/>
  <c r="AZ177" i="37" s="1"/>
  <c r="AP160" i="37"/>
  <c r="AU160" i="37" s="1"/>
  <c r="AX160" i="37" s="1"/>
  <c r="AZ160" i="37" s="1"/>
  <c r="BB160" i="37" s="1"/>
  <c r="AP147" i="37"/>
  <c r="AU147" i="37" s="1"/>
  <c r="AX147" i="37" s="1"/>
  <c r="AZ147" i="37" s="1"/>
  <c r="BB147" i="37" s="1"/>
  <c r="AP145" i="37"/>
  <c r="AU145" i="37" s="1"/>
  <c r="AW145" i="37" s="1"/>
  <c r="AY145" i="37" s="1"/>
  <c r="BA145" i="37" s="1"/>
  <c r="AP154" i="37"/>
  <c r="AU154" i="37" s="1"/>
  <c r="AW154" i="37" s="1"/>
  <c r="AY154" i="37" s="1"/>
  <c r="BA154" i="37" s="1"/>
  <c r="AP148" i="37"/>
  <c r="AU148" i="37" s="1"/>
  <c r="AX148" i="37" s="1"/>
  <c r="AZ148" i="37" s="1"/>
  <c r="BB148" i="37" s="1"/>
  <c r="AX194" i="37"/>
  <c r="AZ194" i="37" s="1"/>
  <c r="AW194" i="37"/>
  <c r="AY194" i="37" s="1"/>
  <c r="BA194" i="37" s="1"/>
  <c r="AP153" i="37"/>
  <c r="AU153" i="37" s="1"/>
  <c r="AX153" i="37" s="1"/>
  <c r="AZ153" i="37" s="1"/>
  <c r="BB153" i="37" s="1"/>
  <c r="AP157" i="37"/>
  <c r="AU157" i="37" s="1"/>
  <c r="AX157" i="37" s="1"/>
  <c r="AZ157" i="37" s="1"/>
  <c r="BB157" i="37" s="1"/>
  <c r="AP149" i="37"/>
  <c r="AU149" i="37" s="1"/>
  <c r="AX149" i="37" s="1"/>
  <c r="AZ149" i="37" s="1"/>
  <c r="BB149" i="37" s="1"/>
  <c r="AP151" i="37"/>
  <c r="AU151" i="37" s="1"/>
  <c r="AP156" i="37"/>
  <c r="AU156" i="37" s="1"/>
  <c r="AX156" i="37" s="1"/>
  <c r="AZ156" i="37" s="1"/>
  <c r="BB156" i="37" s="1"/>
  <c r="AP152" i="37"/>
  <c r="AU152" i="37" s="1"/>
  <c r="AP146" i="37"/>
  <c r="AU146" i="37" s="1"/>
  <c r="AP144" i="37"/>
  <c r="AU144" i="37" s="1"/>
  <c r="AP159" i="37"/>
  <c r="AU159" i="37" s="1"/>
  <c r="AX188" i="37"/>
  <c r="AZ188" i="37" s="1"/>
  <c r="AB184" i="37"/>
  <c r="AB185" i="37"/>
  <c r="AW184" i="37"/>
  <c r="AY184" i="37" s="1"/>
  <c r="BA184" i="37" s="1"/>
  <c r="AW193" i="37"/>
  <c r="AY193" i="37" s="1"/>
  <c r="BA193" i="37" s="1"/>
  <c r="AX186" i="37"/>
  <c r="AZ186" i="37" s="1"/>
  <c r="AW186" i="37"/>
  <c r="AY186" i="37" s="1"/>
  <c r="BA186" i="37" s="1"/>
  <c r="AW175" i="37"/>
  <c r="AY175" i="37" s="1"/>
  <c r="BA175" i="37" s="1"/>
  <c r="AX175" i="37"/>
  <c r="AZ175" i="37" s="1"/>
  <c r="BC155" i="38"/>
  <c r="G155" i="38" s="1"/>
  <c r="BB155" i="38"/>
  <c r="AB155" i="38"/>
  <c r="AB152" i="38"/>
  <c r="BB152" i="38"/>
  <c r="BC152" i="38"/>
  <c r="G152" i="38" s="1"/>
  <c r="BC147" i="38"/>
  <c r="G147" i="38" s="1"/>
  <c r="BB147" i="38"/>
  <c r="AB147" i="38"/>
  <c r="AB146" i="38"/>
  <c r="BC146" i="38"/>
  <c r="G146" i="38" s="1"/>
  <c r="BB146" i="38"/>
  <c r="BB141" i="38"/>
  <c r="AB141" i="38"/>
  <c r="BC141" i="38"/>
  <c r="G141" i="38" s="1"/>
  <c r="AB149" i="38"/>
  <c r="BB149" i="38"/>
  <c r="BC149" i="38"/>
  <c r="G149" i="38" s="1"/>
  <c r="BB153" i="38"/>
  <c r="AB153" i="38"/>
  <c r="BC153" i="38"/>
  <c r="G153" i="38" s="1"/>
  <c r="C5" i="38"/>
  <c r="D3" i="38"/>
  <c r="C22" i="38"/>
  <c r="D22" i="38"/>
  <c r="C3" i="38"/>
  <c r="BC143" i="38"/>
  <c r="G143" i="38" s="1"/>
  <c r="BB143" i="38"/>
  <c r="AB143" i="38"/>
  <c r="BB142" i="38"/>
  <c r="BC142" i="38"/>
  <c r="G142" i="38" s="1"/>
  <c r="AB142" i="38"/>
  <c r="AW138" i="38"/>
  <c r="AY138" i="38" s="1"/>
  <c r="BA138" i="38" s="1"/>
  <c r="AX138" i="38"/>
  <c r="AZ138" i="38" s="1"/>
  <c r="BB139" i="38"/>
  <c r="AB139" i="38"/>
  <c r="BC139" i="38"/>
  <c r="G139" i="38" s="1"/>
  <c r="AB151" i="38"/>
  <c r="BB151" i="38"/>
  <c r="BC151" i="38"/>
  <c r="G151" i="38" s="1"/>
  <c r="BC150" i="38"/>
  <c r="G150" i="38" s="1"/>
  <c r="BB150" i="38"/>
  <c r="AB150" i="38"/>
  <c r="AB154" i="38"/>
  <c r="BC154" i="38"/>
  <c r="G154" i="38" s="1"/>
  <c r="BB154" i="38"/>
  <c r="BC140" i="38"/>
  <c r="G140" i="38" s="1"/>
  <c r="AB140" i="38"/>
  <c r="BB140" i="38"/>
  <c r="BC145" i="38"/>
  <c r="G145" i="38" s="1"/>
  <c r="AB145" i="38"/>
  <c r="BB145" i="38"/>
  <c r="AB148" i="38"/>
  <c r="BC148" i="38"/>
  <c r="G148" i="38" s="1"/>
  <c r="BB148" i="38"/>
  <c r="BC157" i="38"/>
  <c r="G157" i="38" s="1"/>
  <c r="AB157" i="38"/>
  <c r="BB157" i="38"/>
  <c r="AB144" i="38"/>
  <c r="BC144" i="38"/>
  <c r="G144" i="38" s="1"/>
  <c r="BB144" i="38"/>
  <c r="AB156" i="38"/>
  <c r="BC156" i="38"/>
  <c r="G156" i="38" s="1"/>
  <c r="BB156" i="38"/>
  <c r="AP154" i="42"/>
  <c r="AU154" i="42" s="1"/>
  <c r="AX154" i="42" s="1"/>
  <c r="AZ154" i="42" s="1"/>
  <c r="AP147" i="42"/>
  <c r="AU147" i="42" s="1"/>
  <c r="AX147" i="42" s="1"/>
  <c r="AZ147" i="42" s="1"/>
  <c r="AP155" i="42"/>
  <c r="AU155" i="42" s="1"/>
  <c r="AX155" i="42" s="1"/>
  <c r="AZ155" i="42" s="1"/>
  <c r="AP148" i="42"/>
  <c r="AU148" i="42" s="1"/>
  <c r="AX148" i="42" s="1"/>
  <c r="AZ148" i="42" s="1"/>
  <c r="AP149" i="42"/>
  <c r="AU149" i="42" s="1"/>
  <c r="AW149" i="42" s="1"/>
  <c r="AY149" i="42" s="1"/>
  <c r="BA149" i="42" s="1"/>
  <c r="AP174" i="42"/>
  <c r="AU174" i="42" s="1"/>
  <c r="AX174" i="42" s="1"/>
  <c r="AZ174" i="42" s="1"/>
  <c r="BB174" i="42" s="1"/>
  <c r="AP141" i="42"/>
  <c r="AU141" i="42" s="1"/>
  <c r="AX141" i="42" s="1"/>
  <c r="AZ141" i="42" s="1"/>
  <c r="AP145" i="42"/>
  <c r="AU145" i="42" s="1"/>
  <c r="AX145" i="42" s="1"/>
  <c r="AZ145" i="42" s="1"/>
  <c r="AP140" i="42"/>
  <c r="AU140" i="42" s="1"/>
  <c r="AP158" i="42"/>
  <c r="AU158" i="42" s="1"/>
  <c r="AX158" i="42" s="1"/>
  <c r="AZ158" i="42" s="1"/>
  <c r="AP143" i="42"/>
  <c r="AU143" i="42" s="1"/>
  <c r="AX143" i="42" s="1"/>
  <c r="AZ143" i="42" s="1"/>
  <c r="AP178" i="42"/>
  <c r="AU178" i="42" s="1"/>
  <c r="AW178" i="42" s="1"/>
  <c r="AY178" i="42" s="1"/>
  <c r="BA178" i="42" s="1"/>
  <c r="AP181" i="42"/>
  <c r="AU181" i="42" s="1"/>
  <c r="AX181" i="42" s="1"/>
  <c r="AZ181" i="42" s="1"/>
  <c r="BB181" i="42" s="1"/>
  <c r="AP157" i="42"/>
  <c r="AU157" i="42" s="1"/>
  <c r="AX157" i="42" s="1"/>
  <c r="AZ157" i="42" s="1"/>
  <c r="AP156" i="42"/>
  <c r="AU156" i="42" s="1"/>
  <c r="AW156" i="42" s="1"/>
  <c r="AY156" i="42" s="1"/>
  <c r="BA156" i="42" s="1"/>
  <c r="AP142" i="42"/>
  <c r="AU142" i="42" s="1"/>
  <c r="AW142" i="42" s="1"/>
  <c r="AY142" i="42" s="1"/>
  <c r="BA142" i="42" s="1"/>
  <c r="AP144" i="42"/>
  <c r="AU144" i="42" s="1"/>
  <c r="AX144" i="42" s="1"/>
  <c r="AZ144" i="42" s="1"/>
  <c r="AP150" i="42"/>
  <c r="AU150" i="42" s="1"/>
  <c r="AX150" i="42" s="1"/>
  <c r="AZ150" i="42" s="1"/>
  <c r="AP173" i="42"/>
  <c r="AU173" i="42" s="1"/>
  <c r="AW173" i="42" s="1"/>
  <c r="AY173" i="42" s="1"/>
  <c r="BA173" i="42" s="1"/>
  <c r="AP183" i="42"/>
  <c r="AU183" i="42" s="1"/>
  <c r="AW183" i="42" s="1"/>
  <c r="AY183" i="42" s="1"/>
  <c r="BA183" i="42" s="1"/>
  <c r="AP179" i="42"/>
  <c r="AU179" i="42" s="1"/>
  <c r="AX179" i="42" s="1"/>
  <c r="AZ179" i="42" s="1"/>
  <c r="BB179" i="42" s="1"/>
  <c r="AP153" i="42"/>
  <c r="AU153" i="42" s="1"/>
  <c r="AX153" i="42" s="1"/>
  <c r="AZ153" i="42" s="1"/>
  <c r="AP146" i="42"/>
  <c r="AU146" i="42" s="1"/>
  <c r="AW146" i="42" s="1"/>
  <c r="AY146" i="42" s="1"/>
  <c r="BA146" i="42" s="1"/>
  <c r="AP159" i="42"/>
  <c r="AU159" i="42" s="1"/>
  <c r="AW159" i="42" s="1"/>
  <c r="AY159" i="42" s="1"/>
  <c r="BA159" i="42" s="1"/>
  <c r="AP152" i="42"/>
  <c r="AU152" i="42" s="1"/>
  <c r="AW152" i="42" s="1"/>
  <c r="AY152" i="42" s="1"/>
  <c r="BA152" i="42" s="1"/>
  <c r="AP151" i="42"/>
  <c r="AU151" i="42" s="1"/>
  <c r="AX151" i="42" s="1"/>
  <c r="AZ151" i="42" s="1"/>
  <c r="AP172" i="42"/>
  <c r="AT190" i="42" s="1"/>
  <c r="AP177" i="42"/>
  <c r="AU177" i="42" s="1"/>
  <c r="AX177" i="42" s="1"/>
  <c r="AZ177" i="42" s="1"/>
  <c r="BB177" i="42" s="1"/>
  <c r="BO29" i="41"/>
  <c r="AX216" i="40"/>
  <c r="AZ216" i="40" s="1"/>
  <c r="AB216" i="40" s="1"/>
  <c r="AW217" i="40"/>
  <c r="AY217" i="40" s="1"/>
  <c r="BA217" i="40" s="1"/>
  <c r="AP175" i="42"/>
  <c r="AU175" i="42" s="1"/>
  <c r="AX175" i="42" s="1"/>
  <c r="AZ175" i="42" s="1"/>
  <c r="BB175" i="42" s="1"/>
  <c r="BK225" i="41"/>
  <c r="BL224" i="41"/>
  <c r="BQ59" i="41" s="1"/>
  <c r="BQ60" i="41" s="1"/>
  <c r="BQ62" i="41" s="1"/>
  <c r="AB218" i="39"/>
  <c r="BC218" i="39"/>
  <c r="G218" i="39" s="1"/>
  <c r="F218" i="39" s="1"/>
  <c r="BB218" i="39"/>
  <c r="AB202" i="39"/>
  <c r="BC202" i="39"/>
  <c r="G202" i="39" s="1"/>
  <c r="F202" i="39" s="1"/>
  <c r="BB202" i="39"/>
  <c r="BB211" i="39"/>
  <c r="AB211" i="39"/>
  <c r="BC211" i="39"/>
  <c r="G211" i="39" s="1"/>
  <c r="F211" i="39" s="1"/>
  <c r="L31" i="41"/>
  <c r="AX210" i="40"/>
  <c r="AZ210" i="40" s="1"/>
  <c r="AW210" i="40"/>
  <c r="AY210" i="40" s="1"/>
  <c r="BA210" i="40" s="1"/>
  <c r="AX207" i="40"/>
  <c r="AZ207" i="40" s="1"/>
  <c r="AW207" i="40"/>
  <c r="AY207" i="40" s="1"/>
  <c r="BA207" i="40" s="1"/>
  <c r="AX202" i="40"/>
  <c r="AZ202" i="40" s="1"/>
  <c r="AW202" i="40"/>
  <c r="AY202" i="40" s="1"/>
  <c r="BA202" i="40" s="1"/>
  <c r="AX199" i="40"/>
  <c r="AZ199" i="40" s="1"/>
  <c r="AW199" i="40"/>
  <c r="AY199" i="40" s="1"/>
  <c r="BA199" i="40" s="1"/>
  <c r="AX196" i="40"/>
  <c r="AZ196" i="40" s="1"/>
  <c r="AW196" i="40"/>
  <c r="AY196" i="40" s="1"/>
  <c r="BA196" i="40" s="1"/>
  <c r="BB217" i="40"/>
  <c r="AB217" i="40"/>
  <c r="AU171" i="39"/>
  <c r="AT189" i="39"/>
  <c r="AX179" i="39"/>
  <c r="AZ179" i="39" s="1"/>
  <c r="BB179" i="39" s="1"/>
  <c r="AW179" i="39"/>
  <c r="AY179" i="39" s="1"/>
  <c r="BA179" i="39" s="1"/>
  <c r="AX178" i="39"/>
  <c r="AZ178" i="39" s="1"/>
  <c r="BB178" i="39" s="1"/>
  <c r="AW178" i="39"/>
  <c r="AY178" i="39" s="1"/>
  <c r="BA178" i="39" s="1"/>
  <c r="AP155" i="39"/>
  <c r="AU155" i="39" s="1"/>
  <c r="AP146" i="39"/>
  <c r="AU146" i="39" s="1"/>
  <c r="AP141" i="39"/>
  <c r="AU141" i="39" s="1"/>
  <c r="AP152" i="39"/>
  <c r="AU152" i="39" s="1"/>
  <c r="AP147" i="39"/>
  <c r="AU147" i="39" s="1"/>
  <c r="AP157" i="39"/>
  <c r="AU157" i="39" s="1"/>
  <c r="AP142" i="39"/>
  <c r="AU142" i="39" s="1"/>
  <c r="AP145" i="39"/>
  <c r="AU145" i="39" s="1"/>
  <c r="AP154" i="39"/>
  <c r="AU154" i="39" s="1"/>
  <c r="AP144" i="39"/>
  <c r="AU144" i="39" s="1"/>
  <c r="AP156" i="39"/>
  <c r="AU156" i="39" s="1"/>
  <c r="AP151" i="39"/>
  <c r="AU151" i="39" s="1"/>
  <c r="AP139" i="39"/>
  <c r="AP150" i="39"/>
  <c r="AU150" i="39" s="1"/>
  <c r="AP148" i="39"/>
  <c r="AU148" i="39" s="1"/>
  <c r="AP158" i="39"/>
  <c r="AU158" i="39" s="1"/>
  <c r="AP143" i="39"/>
  <c r="AU143" i="39" s="1"/>
  <c r="AP149" i="39"/>
  <c r="AU149" i="39" s="1"/>
  <c r="AP153" i="39"/>
  <c r="AU153" i="39" s="1"/>
  <c r="AP140" i="39"/>
  <c r="AU140" i="39" s="1"/>
  <c r="AB203" i="39"/>
  <c r="BC203" i="39"/>
  <c r="G203" i="39" s="1"/>
  <c r="F203" i="39" s="1"/>
  <c r="BB203" i="39"/>
  <c r="AB216" i="39"/>
  <c r="BC216" i="39"/>
  <c r="G216" i="39" s="1"/>
  <c r="F216" i="39" s="1"/>
  <c r="BB216" i="39"/>
  <c r="AX180" i="42"/>
  <c r="AZ180" i="42" s="1"/>
  <c r="BB180" i="42" s="1"/>
  <c r="AW180" i="42"/>
  <c r="AY180" i="42" s="1"/>
  <c r="BA180" i="42" s="1"/>
  <c r="J19" i="41"/>
  <c r="AP221" i="42"/>
  <c r="AU221" i="42" s="1"/>
  <c r="AP218" i="42"/>
  <c r="AU218" i="42" s="1"/>
  <c r="AP219" i="42"/>
  <c r="AU219" i="42" s="1"/>
  <c r="AP220" i="42"/>
  <c r="AU220" i="42" s="1"/>
  <c r="AP213" i="42"/>
  <c r="AU213" i="42" s="1"/>
  <c r="AP212" i="42"/>
  <c r="AU212" i="42" s="1"/>
  <c r="AP217" i="42"/>
  <c r="AU217" i="42" s="1"/>
  <c r="AP208" i="42"/>
  <c r="AU208" i="42" s="1"/>
  <c r="AP199" i="42"/>
  <c r="AU199" i="42" s="1"/>
  <c r="AP204" i="42"/>
  <c r="AU204" i="42" s="1"/>
  <c r="AP205" i="42"/>
  <c r="AU205" i="42" s="1"/>
  <c r="AP210" i="42"/>
  <c r="AU210" i="42" s="1"/>
  <c r="AP207" i="42"/>
  <c r="AU207" i="42" s="1"/>
  <c r="AP196" i="42"/>
  <c r="AU196" i="42" s="1"/>
  <c r="AP202" i="42"/>
  <c r="AU202" i="42" s="1"/>
  <c r="AP209" i="42"/>
  <c r="AU209" i="42" s="1"/>
  <c r="AP200" i="42"/>
  <c r="AU200" i="42" s="1"/>
  <c r="AP203" i="42"/>
  <c r="AU203" i="42" s="1"/>
  <c r="AP211" i="42"/>
  <c r="AU211" i="42" s="1"/>
  <c r="AP216" i="42"/>
  <c r="AU216" i="42" s="1"/>
  <c r="AP201" i="42"/>
  <c r="AU201" i="42" s="1"/>
  <c r="AP215" i="42"/>
  <c r="AU215" i="42" s="1"/>
  <c r="AP197" i="42"/>
  <c r="AU197" i="42" s="1"/>
  <c r="AP198" i="42"/>
  <c r="AU198" i="42" s="1"/>
  <c r="AP206" i="42"/>
  <c r="AU206" i="42" s="1"/>
  <c r="AP214" i="42"/>
  <c r="AU214" i="42" s="1"/>
  <c r="AB200" i="39"/>
  <c r="BC200" i="39"/>
  <c r="G200" i="39" s="1"/>
  <c r="F200" i="39" s="1"/>
  <c r="BB200" i="39"/>
  <c r="BB209" i="39"/>
  <c r="AB209" i="39"/>
  <c r="BC209" i="39"/>
  <c r="G209" i="39" s="1"/>
  <c r="F209" i="39" s="1"/>
  <c r="BB176" i="37"/>
  <c r="AB176" i="37"/>
  <c r="K25" i="41"/>
  <c r="AX208" i="40"/>
  <c r="AZ208" i="40" s="1"/>
  <c r="AW208" i="40"/>
  <c r="AY208" i="40" s="1"/>
  <c r="BA208" i="40" s="1"/>
  <c r="AX205" i="40"/>
  <c r="AZ205" i="40" s="1"/>
  <c r="AW205" i="40"/>
  <c r="AY205" i="40" s="1"/>
  <c r="BA205" i="40" s="1"/>
  <c r="AX201" i="40"/>
  <c r="AZ201" i="40" s="1"/>
  <c r="AW201" i="40"/>
  <c r="AY201" i="40" s="1"/>
  <c r="BA201" i="40" s="1"/>
  <c r="AX197" i="40"/>
  <c r="AZ197" i="40" s="1"/>
  <c r="AW197" i="40"/>
  <c r="AY197" i="40" s="1"/>
  <c r="BA197" i="40" s="1"/>
  <c r="AX180" i="39"/>
  <c r="AZ180" i="39" s="1"/>
  <c r="BB180" i="39" s="1"/>
  <c r="AW180" i="39"/>
  <c r="AY180" i="39" s="1"/>
  <c r="BA180" i="39" s="1"/>
  <c r="AX177" i="39"/>
  <c r="AZ177" i="39" s="1"/>
  <c r="BB177" i="39" s="1"/>
  <c r="AW177" i="39"/>
  <c r="AY177" i="39" s="1"/>
  <c r="BA177" i="39" s="1"/>
  <c r="AX182" i="39"/>
  <c r="AZ182" i="39" s="1"/>
  <c r="BB182" i="39" s="1"/>
  <c r="AW182" i="39"/>
  <c r="AY182" i="39" s="1"/>
  <c r="BA182" i="39" s="1"/>
  <c r="BB213" i="39"/>
  <c r="AB213" i="39"/>
  <c r="BC213" i="39"/>
  <c r="G213" i="39" s="1"/>
  <c r="F213" i="39" s="1"/>
  <c r="J37" i="41"/>
  <c r="AB214" i="39"/>
  <c r="BC214" i="39"/>
  <c r="G214" i="39" s="1"/>
  <c r="F214" i="39" s="1"/>
  <c r="BB214" i="39"/>
  <c r="AB196" i="39"/>
  <c r="BC196" i="39"/>
  <c r="G196" i="39" s="1"/>
  <c r="F196" i="39" s="1"/>
  <c r="BB196" i="39"/>
  <c r="BB190" i="37"/>
  <c r="AB190" i="37"/>
  <c r="AX211" i="40"/>
  <c r="AZ211" i="40" s="1"/>
  <c r="AW211" i="40"/>
  <c r="AY211" i="40" s="1"/>
  <c r="BA211" i="40" s="1"/>
  <c r="AB201" i="39"/>
  <c r="BC201" i="39"/>
  <c r="G201" i="39" s="1"/>
  <c r="F201" i="39" s="1"/>
  <c r="BB201" i="39"/>
  <c r="AB206" i="39"/>
  <c r="BC206" i="39"/>
  <c r="G206" i="39" s="1"/>
  <c r="F206" i="39" s="1"/>
  <c r="BB206" i="39"/>
  <c r="K31" i="41"/>
  <c r="BB198" i="37"/>
  <c r="AB198" i="37"/>
  <c r="AX209" i="40"/>
  <c r="AZ209" i="40" s="1"/>
  <c r="AW209" i="40"/>
  <c r="AY209" i="40" s="1"/>
  <c r="BA209" i="40" s="1"/>
  <c r="AX204" i="40"/>
  <c r="AZ204" i="40" s="1"/>
  <c r="AW204" i="40"/>
  <c r="AY204" i="40" s="1"/>
  <c r="BA204" i="40" s="1"/>
  <c r="AX200" i="40"/>
  <c r="AZ200" i="40" s="1"/>
  <c r="AW200" i="40"/>
  <c r="AY200" i="40" s="1"/>
  <c r="BA200" i="40" s="1"/>
  <c r="AV218" i="40"/>
  <c r="BB213" i="40"/>
  <c r="AB213" i="40"/>
  <c r="AX173" i="39"/>
  <c r="AZ173" i="39" s="1"/>
  <c r="BB173" i="39" s="1"/>
  <c r="AW173" i="39"/>
  <c r="AY173" i="39" s="1"/>
  <c r="BA173" i="39" s="1"/>
  <c r="AX174" i="39"/>
  <c r="AZ174" i="39" s="1"/>
  <c r="BB174" i="39" s="1"/>
  <c r="AW174" i="39"/>
  <c r="AY174" i="39" s="1"/>
  <c r="BA174" i="39" s="1"/>
  <c r="AX181" i="39"/>
  <c r="AZ181" i="39" s="1"/>
  <c r="BB181" i="39" s="1"/>
  <c r="AW181" i="39"/>
  <c r="AY181" i="39" s="1"/>
  <c r="BA181" i="39" s="1"/>
  <c r="AB197" i="39"/>
  <c r="BC197" i="39"/>
  <c r="G197" i="39" s="1"/>
  <c r="F197" i="39" s="1"/>
  <c r="BB197" i="39"/>
  <c r="BB207" i="39"/>
  <c r="AB207" i="39"/>
  <c r="BC207" i="39"/>
  <c r="G207" i="39" s="1"/>
  <c r="F207" i="39" s="1"/>
  <c r="K19" i="41"/>
  <c r="AB199" i="39"/>
  <c r="BC199" i="39"/>
  <c r="G199" i="39" s="1"/>
  <c r="F199" i="39" s="1"/>
  <c r="BB199" i="39"/>
  <c r="BB205" i="39"/>
  <c r="AB205" i="39"/>
  <c r="BC205" i="39"/>
  <c r="G205" i="39" s="1"/>
  <c r="F205" i="39" s="1"/>
  <c r="AB210" i="39"/>
  <c r="BC210" i="39"/>
  <c r="G210" i="39" s="1"/>
  <c r="F210" i="39" s="1"/>
  <c r="BB210" i="39"/>
  <c r="AB204" i="39"/>
  <c r="BC204" i="39"/>
  <c r="G204" i="39" s="1"/>
  <c r="F204" i="39" s="1"/>
  <c r="BB204" i="39"/>
  <c r="BB196" i="37"/>
  <c r="AB196" i="37"/>
  <c r="BB199" i="37"/>
  <c r="AB199" i="37"/>
  <c r="AX212" i="40"/>
  <c r="AZ212" i="40" s="1"/>
  <c r="AW212" i="40"/>
  <c r="AY212" i="40" s="1"/>
  <c r="BA212" i="40" s="1"/>
  <c r="AB198" i="39"/>
  <c r="BC198" i="39"/>
  <c r="G198" i="39" s="1"/>
  <c r="F198" i="39" s="1"/>
  <c r="BB198" i="39"/>
  <c r="AB208" i="39"/>
  <c r="BC208" i="39"/>
  <c r="G208" i="39" s="1"/>
  <c r="F208" i="39" s="1"/>
  <c r="BB208" i="39"/>
  <c r="D130" i="41"/>
  <c r="D132" i="41"/>
  <c r="BB189" i="37"/>
  <c r="AB189" i="37"/>
  <c r="L25" i="41"/>
  <c r="AX215" i="40"/>
  <c r="AZ215" i="40" s="1"/>
  <c r="AW215" i="40"/>
  <c r="AY215" i="40" s="1"/>
  <c r="BA215" i="40" s="1"/>
  <c r="AX206" i="40"/>
  <c r="AZ206" i="40" s="1"/>
  <c r="AW206" i="40"/>
  <c r="AY206" i="40" s="1"/>
  <c r="BA206" i="40" s="1"/>
  <c r="AX203" i="40"/>
  <c r="AZ203" i="40" s="1"/>
  <c r="AW203" i="40"/>
  <c r="AY203" i="40" s="1"/>
  <c r="BA203" i="40" s="1"/>
  <c r="AX198" i="40"/>
  <c r="AZ198" i="40" s="1"/>
  <c r="AW198" i="40"/>
  <c r="AY198" i="40" s="1"/>
  <c r="BA198" i="40" s="1"/>
  <c r="AG195" i="40"/>
  <c r="AV195" i="40"/>
  <c r="AP183" i="40"/>
  <c r="AU183" i="40" s="1"/>
  <c r="AP177" i="40"/>
  <c r="AU177" i="40" s="1"/>
  <c r="AP175" i="40"/>
  <c r="AU175" i="40" s="1"/>
  <c r="AP174" i="40"/>
  <c r="AU174" i="40" s="1"/>
  <c r="AP176" i="40"/>
  <c r="AU176" i="40" s="1"/>
  <c r="AP170" i="40"/>
  <c r="AU170" i="40" s="1"/>
  <c r="AP171" i="40"/>
  <c r="AU171" i="40" s="1"/>
  <c r="AP180" i="40"/>
  <c r="AU180" i="40" s="1"/>
  <c r="AP169" i="40"/>
  <c r="AU169" i="40" s="1"/>
  <c r="AP165" i="40"/>
  <c r="AU165" i="40" s="1"/>
  <c r="AP178" i="40"/>
  <c r="AU178" i="40" s="1"/>
  <c r="AP168" i="40"/>
  <c r="AU168" i="40" s="1"/>
  <c r="AP179" i="40"/>
  <c r="AU179" i="40" s="1"/>
  <c r="AP166" i="40"/>
  <c r="AU166" i="40" s="1"/>
  <c r="AP182" i="40"/>
  <c r="AU182" i="40" s="1"/>
  <c r="AP172" i="40"/>
  <c r="AU172" i="40" s="1"/>
  <c r="AP181" i="40"/>
  <c r="AU181" i="40" s="1"/>
  <c r="AP164" i="40"/>
  <c r="AU164" i="40" s="1"/>
  <c r="AP173" i="40"/>
  <c r="AU173" i="40" s="1"/>
  <c r="AP167" i="40"/>
  <c r="AU167" i="40" s="1"/>
  <c r="AX172" i="39"/>
  <c r="AZ172" i="39" s="1"/>
  <c r="BB172" i="39" s="1"/>
  <c r="AW172" i="39"/>
  <c r="AY172" i="39" s="1"/>
  <c r="BA172" i="39" s="1"/>
  <c r="AX176" i="39"/>
  <c r="AZ176" i="39" s="1"/>
  <c r="BB176" i="39" s="1"/>
  <c r="AW176" i="39"/>
  <c r="AY176" i="39" s="1"/>
  <c r="BA176" i="39" s="1"/>
  <c r="AX175" i="39"/>
  <c r="AZ175" i="39" s="1"/>
  <c r="BB175" i="39" s="1"/>
  <c r="AW175" i="39"/>
  <c r="AY175" i="39" s="1"/>
  <c r="BA175" i="39" s="1"/>
  <c r="AX195" i="39"/>
  <c r="AZ195" i="39" s="1"/>
  <c r="AW195" i="39"/>
  <c r="AY195" i="39" s="1"/>
  <c r="BA195" i="39" s="1"/>
  <c r="AP176" i="42"/>
  <c r="AU176" i="42" s="1"/>
  <c r="AP182" i="42"/>
  <c r="AU182" i="42" s="1"/>
  <c r="K37" i="41"/>
  <c r="BB217" i="39"/>
  <c r="AB217" i="39"/>
  <c r="BC217" i="39"/>
  <c r="G217" i="39" s="1"/>
  <c r="F217" i="39" s="1"/>
  <c r="AB214" i="40"/>
  <c r="BB214" i="40"/>
  <c r="AW201" i="35"/>
  <c r="AY201" i="35" s="1"/>
  <c r="BA201" i="35" s="1"/>
  <c r="AX201" i="35"/>
  <c r="AZ201" i="35" s="1"/>
  <c r="AX208" i="35"/>
  <c r="AZ208" i="35" s="1"/>
  <c r="AW208" i="35"/>
  <c r="AY208" i="35" s="1"/>
  <c r="BA208" i="35" s="1"/>
  <c r="AX199" i="35"/>
  <c r="AZ199" i="35" s="1"/>
  <c r="AW199" i="35"/>
  <c r="AY199" i="35" s="1"/>
  <c r="BA199" i="35" s="1"/>
  <c r="AX196" i="35"/>
  <c r="AZ196" i="35" s="1"/>
  <c r="AW196" i="35"/>
  <c r="AY196" i="35" s="1"/>
  <c r="BA196" i="35" s="1"/>
  <c r="AX204" i="35"/>
  <c r="AZ204" i="35" s="1"/>
  <c r="AW204" i="35"/>
  <c r="AY204" i="35" s="1"/>
  <c r="BA204" i="35" s="1"/>
  <c r="AX212" i="35"/>
  <c r="AZ212" i="35" s="1"/>
  <c r="AW212" i="35"/>
  <c r="AY212" i="35" s="1"/>
  <c r="BA212" i="35" s="1"/>
  <c r="AW206" i="35"/>
  <c r="AY206" i="35" s="1"/>
  <c r="BA206" i="35" s="1"/>
  <c r="AX206" i="35"/>
  <c r="AZ206" i="35" s="1"/>
  <c r="AW197" i="35"/>
  <c r="AY197" i="35" s="1"/>
  <c r="BA197" i="35" s="1"/>
  <c r="AX197" i="35"/>
  <c r="AZ197" i="35" s="1"/>
  <c r="AW205" i="35"/>
  <c r="AY205" i="35" s="1"/>
  <c r="BA205" i="35" s="1"/>
  <c r="AX205" i="35"/>
  <c r="AZ205" i="35" s="1"/>
  <c r="AW209" i="35"/>
  <c r="AY209" i="35" s="1"/>
  <c r="BA209" i="35" s="1"/>
  <c r="AX209" i="35"/>
  <c r="AZ209" i="35" s="1"/>
  <c r="AW198" i="35"/>
  <c r="AY198" i="35" s="1"/>
  <c r="BA198" i="35" s="1"/>
  <c r="AX198" i="35"/>
  <c r="AZ198" i="35" s="1"/>
  <c r="AX203" i="35"/>
  <c r="AZ203" i="35" s="1"/>
  <c r="AW203" i="35"/>
  <c r="AY203" i="35" s="1"/>
  <c r="BA203" i="35" s="1"/>
  <c r="AW202" i="35"/>
  <c r="AY202" i="35" s="1"/>
  <c r="BA202" i="35" s="1"/>
  <c r="AX202" i="35"/>
  <c r="AZ202" i="35" s="1"/>
  <c r="AX211" i="35"/>
  <c r="AZ211" i="35" s="1"/>
  <c r="AW211" i="35"/>
  <c r="AY211" i="35" s="1"/>
  <c r="BA211" i="35" s="1"/>
  <c r="AX207" i="35"/>
  <c r="AZ207" i="35" s="1"/>
  <c r="AW207" i="35"/>
  <c r="AY207" i="35" s="1"/>
  <c r="BA207" i="35" s="1"/>
  <c r="AX200" i="35"/>
  <c r="AZ200" i="35" s="1"/>
  <c r="AW200" i="35"/>
  <c r="AY200" i="35" s="1"/>
  <c r="BA200" i="35" s="1"/>
  <c r="AW210" i="35"/>
  <c r="AY210" i="35" s="1"/>
  <c r="BA210" i="35" s="1"/>
  <c r="AX210" i="35"/>
  <c r="AZ210" i="35" s="1"/>
  <c r="AW213" i="35"/>
  <c r="AY213" i="35" s="1"/>
  <c r="BA213" i="35" s="1"/>
  <c r="AX213" i="35"/>
  <c r="AZ213" i="35" s="1"/>
  <c r="AW195" i="35"/>
  <c r="AY195" i="35" s="1"/>
  <c r="BA195" i="35" s="1"/>
  <c r="AX195" i="35"/>
  <c r="AZ195" i="35" s="1"/>
  <c r="AX194" i="35"/>
  <c r="AZ194" i="35" s="1"/>
  <c r="AW194" i="35"/>
  <c r="AY194" i="35" s="1"/>
  <c r="BA194" i="35" s="1"/>
  <c r="AX153" i="35"/>
  <c r="AZ153" i="35" s="1"/>
  <c r="AW153" i="35"/>
  <c r="AY153" i="35" s="1"/>
  <c r="BA153" i="35" s="1"/>
  <c r="AX177" i="35"/>
  <c r="AZ177" i="35" s="1"/>
  <c r="BB177" i="35" s="1"/>
  <c r="AW177" i="35"/>
  <c r="AY177" i="35" s="1"/>
  <c r="BA177" i="35" s="1"/>
  <c r="AX150" i="35"/>
  <c r="AZ150" i="35" s="1"/>
  <c r="AW150" i="35"/>
  <c r="AY150" i="35" s="1"/>
  <c r="BA150" i="35" s="1"/>
  <c r="AX176" i="35"/>
  <c r="AZ176" i="35" s="1"/>
  <c r="BB176" i="35" s="1"/>
  <c r="AW176" i="35"/>
  <c r="AY176" i="35" s="1"/>
  <c r="BA176" i="35" s="1"/>
  <c r="AX155" i="35"/>
  <c r="AZ155" i="35" s="1"/>
  <c r="AW155" i="35"/>
  <c r="AY155" i="35" s="1"/>
  <c r="BA155" i="35" s="1"/>
  <c r="AX171" i="35"/>
  <c r="AZ171" i="35" s="1"/>
  <c r="BB171" i="35" s="1"/>
  <c r="AW171" i="35"/>
  <c r="AY171" i="35" s="1"/>
  <c r="BA171" i="35" s="1"/>
  <c r="AX156" i="35"/>
  <c r="AZ156" i="35" s="1"/>
  <c r="AW156" i="35"/>
  <c r="AY156" i="35" s="1"/>
  <c r="BA156" i="35" s="1"/>
  <c r="AU170" i="35"/>
  <c r="AT188" i="35"/>
  <c r="BG202" i="35"/>
  <c r="AX147" i="35"/>
  <c r="AZ147" i="35" s="1"/>
  <c r="AW147" i="35"/>
  <c r="AY147" i="35" s="1"/>
  <c r="BA147" i="35" s="1"/>
  <c r="AX178" i="35"/>
  <c r="AZ178" i="35" s="1"/>
  <c r="BB178" i="35" s="1"/>
  <c r="AW178" i="35"/>
  <c r="AY178" i="35" s="1"/>
  <c r="BA178" i="35" s="1"/>
  <c r="AX144" i="35"/>
  <c r="AZ144" i="35" s="1"/>
  <c r="AW144" i="35"/>
  <c r="AY144" i="35" s="1"/>
  <c r="BA144" i="35" s="1"/>
  <c r="AX181" i="35"/>
  <c r="AZ181" i="35" s="1"/>
  <c r="BB181" i="35" s="1"/>
  <c r="AW181" i="35"/>
  <c r="AY181" i="35" s="1"/>
  <c r="BA181" i="35" s="1"/>
  <c r="AU138" i="35"/>
  <c r="C9" i="35"/>
  <c r="AX180" i="35"/>
  <c r="AZ180" i="35" s="1"/>
  <c r="BB180" i="35" s="1"/>
  <c r="AW180" i="35"/>
  <c r="AY180" i="35" s="1"/>
  <c r="BA180" i="35" s="1"/>
  <c r="AX157" i="35"/>
  <c r="AZ157" i="35" s="1"/>
  <c r="AW157" i="35"/>
  <c r="AY157" i="35" s="1"/>
  <c r="BA157" i="35" s="1"/>
  <c r="AX179" i="35"/>
  <c r="AZ179" i="35" s="1"/>
  <c r="BB179" i="35" s="1"/>
  <c r="AW179" i="35"/>
  <c r="AY179" i="35" s="1"/>
  <c r="BA179" i="35" s="1"/>
  <c r="AB240" i="35"/>
  <c r="BB240" i="35"/>
  <c r="AX154" i="35"/>
  <c r="AZ154" i="35" s="1"/>
  <c r="AW154" i="35"/>
  <c r="AY154" i="35" s="1"/>
  <c r="BA154" i="35" s="1"/>
  <c r="AX152" i="35"/>
  <c r="AZ152" i="35" s="1"/>
  <c r="AW152" i="35"/>
  <c r="AY152" i="35" s="1"/>
  <c r="BA152" i="35" s="1"/>
  <c r="AX140" i="35"/>
  <c r="AZ140" i="35" s="1"/>
  <c r="AW140" i="35"/>
  <c r="AY140" i="35" s="1"/>
  <c r="BA140" i="35" s="1"/>
  <c r="AX148" i="35"/>
  <c r="AZ148" i="35" s="1"/>
  <c r="AW148" i="35"/>
  <c r="AY148" i="35" s="1"/>
  <c r="BA148" i="35" s="1"/>
  <c r="AX141" i="35"/>
  <c r="AZ141" i="35" s="1"/>
  <c r="AW141" i="35"/>
  <c r="AY141" i="35" s="1"/>
  <c r="BA141" i="35" s="1"/>
  <c r="AX146" i="35"/>
  <c r="AZ146" i="35" s="1"/>
  <c r="AW146" i="35"/>
  <c r="AY146" i="35" s="1"/>
  <c r="BA146" i="35" s="1"/>
  <c r="AX139" i="35"/>
  <c r="AZ139" i="35" s="1"/>
  <c r="AW139" i="35"/>
  <c r="AY139" i="35" s="1"/>
  <c r="BA139" i="35" s="1"/>
  <c r="AX151" i="35"/>
  <c r="AZ151" i="35" s="1"/>
  <c r="AW151" i="35"/>
  <c r="AY151" i="35" s="1"/>
  <c r="BA151" i="35" s="1"/>
  <c r="S246" i="35"/>
  <c r="T246" i="35" s="1"/>
  <c r="T245" i="35"/>
  <c r="R246" i="35" s="1"/>
  <c r="AX145" i="35"/>
  <c r="AZ145" i="35" s="1"/>
  <c r="AW145" i="35"/>
  <c r="AY145" i="35" s="1"/>
  <c r="BA145" i="35" s="1"/>
  <c r="AX173" i="35"/>
  <c r="AZ173" i="35" s="1"/>
  <c r="BB173" i="35" s="1"/>
  <c r="AW173" i="35"/>
  <c r="AY173" i="35" s="1"/>
  <c r="BA173" i="35" s="1"/>
  <c r="AX143" i="35"/>
  <c r="AZ143" i="35" s="1"/>
  <c r="AW143" i="35"/>
  <c r="AY143" i="35" s="1"/>
  <c r="BA143" i="35" s="1"/>
  <c r="AX174" i="35"/>
  <c r="AZ174" i="35" s="1"/>
  <c r="BB174" i="35" s="1"/>
  <c r="AW174" i="35"/>
  <c r="AY174" i="35" s="1"/>
  <c r="BA174" i="35" s="1"/>
  <c r="AX142" i="35"/>
  <c r="AZ142" i="35" s="1"/>
  <c r="AW142" i="35"/>
  <c r="AY142" i="35" s="1"/>
  <c r="BA142" i="35" s="1"/>
  <c r="AX175" i="35"/>
  <c r="AZ175" i="35" s="1"/>
  <c r="BB175" i="35" s="1"/>
  <c r="AW175" i="35"/>
  <c r="AY175" i="35" s="1"/>
  <c r="BA175" i="35" s="1"/>
  <c r="AX149" i="35"/>
  <c r="AZ149" i="35" s="1"/>
  <c r="AW149" i="35"/>
  <c r="AY149" i="35" s="1"/>
  <c r="BA149" i="35" s="1"/>
  <c r="AX172" i="35"/>
  <c r="AZ172" i="35" s="1"/>
  <c r="BB172" i="35" s="1"/>
  <c r="AW172" i="35"/>
  <c r="AY172" i="35" s="1"/>
  <c r="BA172" i="35" s="1"/>
  <c r="AB223" i="35"/>
  <c r="BB223" i="35"/>
  <c r="DD134" i="36" l="1"/>
  <c r="AW155" i="37"/>
  <c r="AY155" i="37" s="1"/>
  <c r="BA155" i="37" s="1"/>
  <c r="AB178" i="37"/>
  <c r="BB197" i="37"/>
  <c r="BB191" i="37"/>
  <c r="AB191" i="37"/>
  <c r="AX158" i="37"/>
  <c r="AZ158" i="37" s="1"/>
  <c r="BB158" i="37" s="1"/>
  <c r="AX154" i="37"/>
  <c r="AZ154" i="37" s="1"/>
  <c r="BB154" i="37" s="1"/>
  <c r="AW150" i="37"/>
  <c r="AY150" i="37" s="1"/>
  <c r="BA150" i="37" s="1"/>
  <c r="AW142" i="37"/>
  <c r="AY142" i="37" s="1"/>
  <c r="BA142" i="37" s="1"/>
  <c r="BM58" i="37" s="1"/>
  <c r="BN58" i="37" s="1"/>
  <c r="AW153" i="37"/>
  <c r="AY153" i="37" s="1"/>
  <c r="BA153" i="37" s="1"/>
  <c r="AX161" i="37"/>
  <c r="AZ161" i="37" s="1"/>
  <c r="BB161" i="37" s="1"/>
  <c r="AW156" i="37"/>
  <c r="AY156" i="37" s="1"/>
  <c r="BA156" i="37" s="1"/>
  <c r="AP138" i="37"/>
  <c r="C9" i="37" s="1"/>
  <c r="C5" i="37" s="1"/>
  <c r="AW160" i="37"/>
  <c r="AY160" i="37" s="1"/>
  <c r="BA160" i="37" s="1"/>
  <c r="AW148" i="37"/>
  <c r="AY148" i="37" s="1"/>
  <c r="BA148" i="37" s="1"/>
  <c r="M126" i="36"/>
  <c r="L14" i="36"/>
  <c r="L12" i="36"/>
  <c r="L13" i="36" s="1"/>
  <c r="K12" i="36"/>
  <c r="K13" i="36" s="1"/>
  <c r="BQ29" i="36"/>
  <c r="CO29" i="36"/>
  <c r="BJ227" i="36"/>
  <c r="BK227" i="36" s="1"/>
  <c r="BL134" i="36"/>
  <c r="BO35" i="36"/>
  <c r="BM35" i="36" s="1"/>
  <c r="BN35" i="36" s="1"/>
  <c r="BM34" i="36"/>
  <c r="BN34" i="36" s="1"/>
  <c r="J14" i="36"/>
  <c r="BM31" i="36"/>
  <c r="BN31" i="36" s="1"/>
  <c r="J12" i="36"/>
  <c r="J13" i="36" s="1"/>
  <c r="BM29" i="41"/>
  <c r="BN29" i="41" s="1"/>
  <c r="AW157" i="37"/>
  <c r="AY157" i="37" s="1"/>
  <c r="BA157" i="37" s="1"/>
  <c r="AX145" i="37"/>
  <c r="AZ145" i="37" s="1"/>
  <c r="BB145" i="37" s="1"/>
  <c r="AB181" i="37"/>
  <c r="BB181" i="37"/>
  <c r="BB216" i="40"/>
  <c r="AW147" i="37"/>
  <c r="AY147" i="37" s="1"/>
  <c r="BA147" i="37" s="1"/>
  <c r="BB188" i="37"/>
  <c r="AB188" i="37"/>
  <c r="AX152" i="37"/>
  <c r="AZ152" i="37" s="1"/>
  <c r="BB152" i="37" s="1"/>
  <c r="AW152" i="37"/>
  <c r="AY152" i="37" s="1"/>
  <c r="BA152" i="37" s="1"/>
  <c r="AX146" i="37"/>
  <c r="AZ146" i="37" s="1"/>
  <c r="BB146" i="37" s="1"/>
  <c r="AW146" i="37"/>
  <c r="AY146" i="37" s="1"/>
  <c r="BA146" i="37" s="1"/>
  <c r="BB194" i="37"/>
  <c r="AB194" i="37"/>
  <c r="AW149" i="37"/>
  <c r="AY149" i="37" s="1"/>
  <c r="BA149" i="37" s="1"/>
  <c r="AW159" i="37"/>
  <c r="AY159" i="37" s="1"/>
  <c r="BA159" i="37" s="1"/>
  <c r="AX159" i="37"/>
  <c r="AZ159" i="37" s="1"/>
  <c r="BB159" i="37" s="1"/>
  <c r="BB177" i="37"/>
  <c r="AB177" i="37"/>
  <c r="AX144" i="37"/>
  <c r="AZ144" i="37" s="1"/>
  <c r="BB144" i="37" s="1"/>
  <c r="AW144" i="37"/>
  <c r="AY144" i="37" s="1"/>
  <c r="BA144" i="37" s="1"/>
  <c r="AW151" i="37"/>
  <c r="AY151" i="37" s="1"/>
  <c r="BA151" i="37" s="1"/>
  <c r="AX151" i="37"/>
  <c r="AZ151" i="37" s="1"/>
  <c r="BB151" i="37" s="1"/>
  <c r="AX152" i="42"/>
  <c r="AZ152" i="42" s="1"/>
  <c r="BC152" i="42" s="1"/>
  <c r="G152" i="42" s="1"/>
  <c r="AX149" i="42"/>
  <c r="AZ149" i="42" s="1"/>
  <c r="AB149" i="42" s="1"/>
  <c r="AW154" i="42"/>
  <c r="AY154" i="42" s="1"/>
  <c r="BA154" i="42" s="1"/>
  <c r="AW181" i="42"/>
  <c r="AY181" i="42" s="1"/>
  <c r="BA181" i="42" s="1"/>
  <c r="AP136" i="42"/>
  <c r="C9" i="42" s="1"/>
  <c r="C5" i="42" s="1"/>
  <c r="AW144" i="42"/>
  <c r="AY144" i="42" s="1"/>
  <c r="BA144" i="42" s="1"/>
  <c r="AW179" i="42"/>
  <c r="AY179" i="42" s="1"/>
  <c r="BA179" i="42" s="1"/>
  <c r="AB175" i="37"/>
  <c r="BB175" i="37"/>
  <c r="BB186" i="37"/>
  <c r="AB186" i="37"/>
  <c r="BH207" i="38"/>
  <c r="BI207" i="38" s="1"/>
  <c r="CQ61" i="38"/>
  <c r="D5" i="38"/>
  <c r="BH175" i="38"/>
  <c r="BI175" i="38" s="1"/>
  <c r="BH179" i="38"/>
  <c r="BI179" i="38" s="1"/>
  <c r="BH183" i="38"/>
  <c r="BI183" i="38" s="1"/>
  <c r="BH187" i="38"/>
  <c r="BI187" i="38" s="1"/>
  <c r="BH191" i="38"/>
  <c r="BI191" i="38" s="1"/>
  <c r="BH195" i="38"/>
  <c r="BI195" i="38" s="1"/>
  <c r="BH199" i="38"/>
  <c r="BI199" i="38" s="1"/>
  <c r="BH203" i="38"/>
  <c r="BI203" i="38" s="1"/>
  <c r="J54" i="38"/>
  <c r="BH186" i="38"/>
  <c r="BI186" i="38" s="1"/>
  <c r="BH194" i="38"/>
  <c r="BI194" i="38" s="1"/>
  <c r="BH202" i="38"/>
  <c r="BI202" i="38" s="1"/>
  <c r="BH174" i="38"/>
  <c r="CZ58" i="38"/>
  <c r="L14" i="38" s="1"/>
  <c r="BH176" i="38"/>
  <c r="BI176" i="38" s="1"/>
  <c r="BH180" i="38"/>
  <c r="BI180" i="38" s="1"/>
  <c r="BH184" i="38"/>
  <c r="BI184" i="38" s="1"/>
  <c r="BH188" i="38"/>
  <c r="BI188" i="38" s="1"/>
  <c r="BH192" i="38"/>
  <c r="BI192" i="38" s="1"/>
  <c r="BH196" i="38"/>
  <c r="BI196" i="38" s="1"/>
  <c r="BH200" i="38"/>
  <c r="BI200" i="38" s="1"/>
  <c r="BH204" i="38"/>
  <c r="BI204" i="38" s="1"/>
  <c r="BH178" i="38"/>
  <c r="BI178" i="38" s="1"/>
  <c r="BH208" i="38"/>
  <c r="BI208" i="38" s="1"/>
  <c r="L54" i="38"/>
  <c r="CB58" i="38"/>
  <c r="J14" i="38" s="1"/>
  <c r="BH177" i="38"/>
  <c r="BI177" i="38" s="1"/>
  <c r="BH181" i="38"/>
  <c r="BI181" i="38" s="1"/>
  <c r="BH185" i="38"/>
  <c r="BI185" i="38" s="1"/>
  <c r="BH189" i="38"/>
  <c r="BI189" i="38" s="1"/>
  <c r="BH193" i="38"/>
  <c r="BI193" i="38" s="1"/>
  <c r="BH197" i="38"/>
  <c r="BI197" i="38" s="1"/>
  <c r="BH201" i="38"/>
  <c r="BI201" i="38" s="1"/>
  <c r="BH205" i="38"/>
  <c r="BI205" i="38" s="1"/>
  <c r="CB61" i="38"/>
  <c r="BH182" i="38"/>
  <c r="BI182" i="38" s="1"/>
  <c r="BH190" i="38"/>
  <c r="BI190" i="38" s="1"/>
  <c r="BH198" i="38"/>
  <c r="BI198" i="38" s="1"/>
  <c r="BH206" i="38"/>
  <c r="BI206" i="38" s="1"/>
  <c r="BH209" i="38"/>
  <c r="BI209" i="38" s="1"/>
  <c r="BH210" i="38"/>
  <c r="BB138" i="38"/>
  <c r="AB138" i="38"/>
  <c r="I126" i="41"/>
  <c r="AW153" i="42"/>
  <c r="AY153" i="42" s="1"/>
  <c r="BA153" i="42" s="1"/>
  <c r="AW157" i="42"/>
  <c r="AY157" i="42" s="1"/>
  <c r="BA157" i="42" s="1"/>
  <c r="AW175" i="42"/>
  <c r="AY175" i="42" s="1"/>
  <c r="BA175" i="42" s="1"/>
  <c r="AW155" i="42"/>
  <c r="AY155" i="42" s="1"/>
  <c r="BA155" i="42" s="1"/>
  <c r="AX159" i="42"/>
  <c r="AZ159" i="42" s="1"/>
  <c r="BC159" i="42" s="1"/>
  <c r="G159" i="42" s="1"/>
  <c r="AW141" i="42"/>
  <c r="AY141" i="42" s="1"/>
  <c r="BA141" i="42" s="1"/>
  <c r="AW143" i="42"/>
  <c r="AY143" i="42" s="1"/>
  <c r="BA143" i="42" s="1"/>
  <c r="AX183" i="42"/>
  <c r="AZ183" i="42" s="1"/>
  <c r="BB183" i="42" s="1"/>
  <c r="AX142" i="42"/>
  <c r="AZ142" i="42" s="1"/>
  <c r="BB142" i="42" s="1"/>
  <c r="AW145" i="42"/>
  <c r="AY145" i="42" s="1"/>
  <c r="BA145" i="42" s="1"/>
  <c r="AX178" i="42"/>
  <c r="AZ178" i="42" s="1"/>
  <c r="BB178" i="42" s="1"/>
  <c r="AW148" i="42"/>
  <c r="AY148" i="42" s="1"/>
  <c r="BA148" i="42" s="1"/>
  <c r="AW177" i="42"/>
  <c r="AY177" i="42" s="1"/>
  <c r="BA177" i="42" s="1"/>
  <c r="AW151" i="42"/>
  <c r="AY151" i="42" s="1"/>
  <c r="BA151" i="42" s="1"/>
  <c r="AW174" i="42"/>
  <c r="AY174" i="42" s="1"/>
  <c r="BA174" i="42" s="1"/>
  <c r="AW147" i="42"/>
  <c r="AY147" i="42" s="1"/>
  <c r="BA147" i="42" s="1"/>
  <c r="AW150" i="42"/>
  <c r="AY150" i="42" s="1"/>
  <c r="BA150" i="42" s="1"/>
  <c r="AW158" i="42"/>
  <c r="AY158" i="42" s="1"/>
  <c r="BA158" i="42" s="1"/>
  <c r="AU172" i="42"/>
  <c r="AW172" i="42" s="1"/>
  <c r="AY172" i="42" s="1"/>
  <c r="BA172" i="42" s="1"/>
  <c r="AX146" i="42"/>
  <c r="AZ146" i="42" s="1"/>
  <c r="AB146" i="42" s="1"/>
  <c r="AX173" i="42"/>
  <c r="AZ173" i="42" s="1"/>
  <c r="BB173" i="42" s="1"/>
  <c r="AX156" i="42"/>
  <c r="AZ156" i="42" s="1"/>
  <c r="AB156" i="42" s="1"/>
  <c r="AX176" i="42"/>
  <c r="AZ176" i="42" s="1"/>
  <c r="BB176" i="42" s="1"/>
  <c r="AW176" i="42"/>
  <c r="AY176" i="42" s="1"/>
  <c r="BA176" i="42" s="1"/>
  <c r="BC151" i="42"/>
  <c r="G151" i="42" s="1"/>
  <c r="BB151" i="42"/>
  <c r="AB151" i="42"/>
  <c r="BB153" i="42"/>
  <c r="AB153" i="42"/>
  <c r="BC153" i="42"/>
  <c r="G153" i="42" s="1"/>
  <c r="AB195" i="39"/>
  <c r="BB195" i="39"/>
  <c r="AX173" i="40"/>
  <c r="AZ173" i="40" s="1"/>
  <c r="AW173" i="40"/>
  <c r="AY173" i="40" s="1"/>
  <c r="BA173" i="40" s="1"/>
  <c r="AX182" i="40"/>
  <c r="AZ182" i="40" s="1"/>
  <c r="AW182" i="40"/>
  <c r="AY182" i="40" s="1"/>
  <c r="BA182" i="40" s="1"/>
  <c r="AX178" i="40"/>
  <c r="AZ178" i="40" s="1"/>
  <c r="AW178" i="40"/>
  <c r="AY178" i="40" s="1"/>
  <c r="BA178" i="40" s="1"/>
  <c r="AX171" i="40"/>
  <c r="AZ171" i="40" s="1"/>
  <c r="AW171" i="40"/>
  <c r="AY171" i="40" s="1"/>
  <c r="BA171" i="40" s="1"/>
  <c r="AX175" i="40"/>
  <c r="AZ175" i="40" s="1"/>
  <c r="AW175" i="40"/>
  <c r="AY175" i="40" s="1"/>
  <c r="BA175" i="40" s="1"/>
  <c r="AP149" i="40"/>
  <c r="AU149" i="40" s="1"/>
  <c r="AP146" i="40"/>
  <c r="AU146" i="40" s="1"/>
  <c r="AP148" i="40"/>
  <c r="AU148" i="40" s="1"/>
  <c r="AP147" i="40"/>
  <c r="AU147" i="40" s="1"/>
  <c r="AP144" i="40"/>
  <c r="AU144" i="40" s="1"/>
  <c r="AP151" i="40"/>
  <c r="AU151" i="40" s="1"/>
  <c r="AP153" i="40"/>
  <c r="AU153" i="40" s="1"/>
  <c r="AP143" i="40"/>
  <c r="AU143" i="40" s="1"/>
  <c r="AP145" i="40"/>
  <c r="AU145" i="40" s="1"/>
  <c r="AP152" i="40"/>
  <c r="AU152" i="40" s="1"/>
  <c r="AP150" i="40"/>
  <c r="AU150" i="40" s="1"/>
  <c r="AP142" i="40"/>
  <c r="BB203" i="40"/>
  <c r="AB203" i="40"/>
  <c r="BB215" i="40"/>
  <c r="AB215" i="40"/>
  <c r="AX218" i="40"/>
  <c r="AZ218" i="40" s="1"/>
  <c r="AW218" i="40"/>
  <c r="AY218" i="40" s="1"/>
  <c r="BA218" i="40" s="1"/>
  <c r="BB204" i="40"/>
  <c r="AB204" i="40"/>
  <c r="BB211" i="40"/>
  <c r="AB211" i="40"/>
  <c r="J126" i="41"/>
  <c r="BC144" i="42"/>
  <c r="G144" i="42" s="1"/>
  <c r="BB144" i="42"/>
  <c r="AB144" i="42"/>
  <c r="M85" i="41"/>
  <c r="AX206" i="42"/>
  <c r="AZ206" i="42" s="1"/>
  <c r="AW206" i="42"/>
  <c r="AY206" i="42" s="1"/>
  <c r="BA206" i="42" s="1"/>
  <c r="AX201" i="42"/>
  <c r="AZ201" i="42" s="1"/>
  <c r="AW201" i="42"/>
  <c r="AY201" i="42" s="1"/>
  <c r="BA201" i="42" s="1"/>
  <c r="AX200" i="42"/>
  <c r="AZ200" i="42" s="1"/>
  <c r="AW200" i="42"/>
  <c r="AY200" i="42" s="1"/>
  <c r="BA200" i="42" s="1"/>
  <c r="AX207" i="42"/>
  <c r="AZ207" i="42" s="1"/>
  <c r="AW207" i="42"/>
  <c r="AY207" i="42" s="1"/>
  <c r="BA207" i="42" s="1"/>
  <c r="AX199" i="42"/>
  <c r="AZ199" i="42" s="1"/>
  <c r="AW199" i="42"/>
  <c r="AY199" i="42" s="1"/>
  <c r="BA199" i="42" s="1"/>
  <c r="AX213" i="42"/>
  <c r="AZ213" i="42" s="1"/>
  <c r="AW213" i="42"/>
  <c r="AY213" i="42" s="1"/>
  <c r="BA213" i="42" s="1"/>
  <c r="AX221" i="42"/>
  <c r="AZ221" i="42" s="1"/>
  <c r="AW221" i="42"/>
  <c r="AY221" i="42" s="1"/>
  <c r="BA221" i="42" s="1"/>
  <c r="BC143" i="42"/>
  <c r="G143" i="42" s="1"/>
  <c r="BB143" i="42"/>
  <c r="AB143" i="42"/>
  <c r="AX140" i="42"/>
  <c r="AZ140" i="42" s="1"/>
  <c r="AW140" i="42"/>
  <c r="AY140" i="42" s="1"/>
  <c r="BA140" i="42" s="1"/>
  <c r="BC141" i="42"/>
  <c r="G141" i="42" s="1"/>
  <c r="BB141" i="42"/>
  <c r="AB141" i="42"/>
  <c r="AX153" i="39"/>
  <c r="AZ153" i="39" s="1"/>
  <c r="AW153" i="39"/>
  <c r="AY153" i="39" s="1"/>
  <c r="BA153" i="39" s="1"/>
  <c r="AX148" i="39"/>
  <c r="AZ148" i="39" s="1"/>
  <c r="AW148" i="39"/>
  <c r="AY148" i="39" s="1"/>
  <c r="BA148" i="39" s="1"/>
  <c r="AX156" i="39"/>
  <c r="AZ156" i="39" s="1"/>
  <c r="AW156" i="39"/>
  <c r="AY156" i="39" s="1"/>
  <c r="BA156" i="39" s="1"/>
  <c r="AX142" i="39"/>
  <c r="AZ142" i="39" s="1"/>
  <c r="AW142" i="39"/>
  <c r="AY142" i="39" s="1"/>
  <c r="BA142" i="39" s="1"/>
  <c r="AX141" i="39"/>
  <c r="AZ141" i="39" s="1"/>
  <c r="AW141" i="39"/>
  <c r="AY141" i="39" s="1"/>
  <c r="BA141" i="39" s="1"/>
  <c r="AX171" i="39"/>
  <c r="AZ171" i="39" s="1"/>
  <c r="BB171" i="39" s="1"/>
  <c r="AW171" i="39"/>
  <c r="AY171" i="39" s="1"/>
  <c r="BA171" i="39" s="1"/>
  <c r="BB196" i="40"/>
  <c r="AB196" i="40"/>
  <c r="BB202" i="40"/>
  <c r="AB202" i="40"/>
  <c r="BB210" i="40"/>
  <c r="AB210" i="40"/>
  <c r="D130" i="36"/>
  <c r="D132" i="36"/>
  <c r="AX164" i="40"/>
  <c r="AZ164" i="40" s="1"/>
  <c r="AW164" i="40"/>
  <c r="AY164" i="40" s="1"/>
  <c r="BA164" i="40" s="1"/>
  <c r="AX166" i="40"/>
  <c r="AZ166" i="40" s="1"/>
  <c r="AW166" i="40"/>
  <c r="AY166" i="40" s="1"/>
  <c r="BA166" i="40" s="1"/>
  <c r="AX165" i="40"/>
  <c r="AZ165" i="40" s="1"/>
  <c r="AW165" i="40"/>
  <c r="AY165" i="40" s="1"/>
  <c r="BA165" i="40" s="1"/>
  <c r="AX170" i="40"/>
  <c r="AZ170" i="40" s="1"/>
  <c r="AW170" i="40"/>
  <c r="AY170" i="40" s="1"/>
  <c r="BA170" i="40" s="1"/>
  <c r="AX177" i="40"/>
  <c r="AZ177" i="40" s="1"/>
  <c r="AW177" i="40"/>
  <c r="AY177" i="40" s="1"/>
  <c r="BA177" i="40" s="1"/>
  <c r="AB212" i="40"/>
  <c r="BB212" i="40"/>
  <c r="BC147" i="42"/>
  <c r="G147" i="42" s="1"/>
  <c r="BB147" i="42"/>
  <c r="AB147" i="42"/>
  <c r="BC154" i="42"/>
  <c r="G154" i="42" s="1"/>
  <c r="BB154" i="42"/>
  <c r="AB154" i="42"/>
  <c r="BB197" i="40"/>
  <c r="AB197" i="40"/>
  <c r="BB205" i="40"/>
  <c r="AB205" i="40"/>
  <c r="AX198" i="42"/>
  <c r="AZ198" i="42" s="1"/>
  <c r="AW198" i="42"/>
  <c r="AY198" i="42" s="1"/>
  <c r="BA198" i="42" s="1"/>
  <c r="AX216" i="42"/>
  <c r="AZ216" i="42" s="1"/>
  <c r="AW216" i="42"/>
  <c r="AY216" i="42" s="1"/>
  <c r="BA216" i="42" s="1"/>
  <c r="AX209" i="42"/>
  <c r="AZ209" i="42" s="1"/>
  <c r="AW209" i="42"/>
  <c r="AY209" i="42" s="1"/>
  <c r="BA209" i="42" s="1"/>
  <c r="AX210" i="42"/>
  <c r="AZ210" i="42" s="1"/>
  <c r="AW210" i="42"/>
  <c r="AY210" i="42" s="1"/>
  <c r="BA210" i="42" s="1"/>
  <c r="AX208" i="42"/>
  <c r="AZ208" i="42" s="1"/>
  <c r="AW208" i="42"/>
  <c r="AY208" i="42" s="1"/>
  <c r="BA208" i="42" s="1"/>
  <c r="AX220" i="42"/>
  <c r="AZ220" i="42" s="1"/>
  <c r="AW220" i="42"/>
  <c r="AY220" i="42" s="1"/>
  <c r="BA220" i="42" s="1"/>
  <c r="AX149" i="39"/>
  <c r="AZ149" i="39" s="1"/>
  <c r="AW149" i="39"/>
  <c r="AY149" i="39" s="1"/>
  <c r="BA149" i="39" s="1"/>
  <c r="AX150" i="39"/>
  <c r="AZ150" i="39" s="1"/>
  <c r="AW150" i="39"/>
  <c r="AY150" i="39" s="1"/>
  <c r="BA150" i="39" s="1"/>
  <c r="AX144" i="39"/>
  <c r="AZ144" i="39" s="1"/>
  <c r="AW144" i="39"/>
  <c r="AY144" i="39" s="1"/>
  <c r="BA144" i="39" s="1"/>
  <c r="AX157" i="39"/>
  <c r="AZ157" i="39" s="1"/>
  <c r="AW157" i="39"/>
  <c r="AY157" i="39" s="1"/>
  <c r="BA157" i="39" s="1"/>
  <c r="AX146" i="39"/>
  <c r="AZ146" i="39" s="1"/>
  <c r="AW146" i="39"/>
  <c r="AY146" i="39" s="1"/>
  <c r="BA146" i="39" s="1"/>
  <c r="BL225" i="41"/>
  <c r="BR59" i="41" s="1"/>
  <c r="BK226" i="41"/>
  <c r="AX181" i="40"/>
  <c r="AZ181" i="40" s="1"/>
  <c r="AW181" i="40"/>
  <c r="AY181" i="40" s="1"/>
  <c r="BA181" i="40" s="1"/>
  <c r="AX179" i="40"/>
  <c r="AZ179" i="40" s="1"/>
  <c r="AW179" i="40"/>
  <c r="AY179" i="40" s="1"/>
  <c r="BA179" i="40" s="1"/>
  <c r="AX169" i="40"/>
  <c r="AZ169" i="40" s="1"/>
  <c r="AW169" i="40"/>
  <c r="AY169" i="40" s="1"/>
  <c r="BA169" i="40" s="1"/>
  <c r="AX176" i="40"/>
  <c r="AZ176" i="40" s="1"/>
  <c r="AW176" i="40"/>
  <c r="AY176" i="40" s="1"/>
  <c r="BA176" i="40" s="1"/>
  <c r="AX183" i="40"/>
  <c r="AZ183" i="40" s="1"/>
  <c r="AW183" i="40"/>
  <c r="AY183" i="40" s="1"/>
  <c r="BA183" i="40" s="1"/>
  <c r="BB198" i="40"/>
  <c r="AB198" i="40"/>
  <c r="BB206" i="40"/>
  <c r="AB206" i="40"/>
  <c r="BB200" i="40"/>
  <c r="AB200" i="40"/>
  <c r="BB209" i="40"/>
  <c r="AB209" i="40"/>
  <c r="BC150" i="42"/>
  <c r="G150" i="42" s="1"/>
  <c r="BB150" i="42"/>
  <c r="AB150" i="42"/>
  <c r="BB157" i="42"/>
  <c r="AB157" i="42"/>
  <c r="BC157" i="42"/>
  <c r="G157" i="42" s="1"/>
  <c r="AX197" i="42"/>
  <c r="AZ197" i="42" s="1"/>
  <c r="AW197" i="42"/>
  <c r="AY197" i="42" s="1"/>
  <c r="BA197" i="42" s="1"/>
  <c r="AX211" i="42"/>
  <c r="AZ211" i="42" s="1"/>
  <c r="AW211" i="42"/>
  <c r="AY211" i="42" s="1"/>
  <c r="BA211" i="42" s="1"/>
  <c r="AX202" i="42"/>
  <c r="AZ202" i="42" s="1"/>
  <c r="AW202" i="42"/>
  <c r="AY202" i="42" s="1"/>
  <c r="BA202" i="42" s="1"/>
  <c r="AX205" i="42"/>
  <c r="AZ205" i="42" s="1"/>
  <c r="AW205" i="42"/>
  <c r="AY205" i="42" s="1"/>
  <c r="BA205" i="42" s="1"/>
  <c r="AX217" i="42"/>
  <c r="AZ217" i="42" s="1"/>
  <c r="AW217" i="42"/>
  <c r="AY217" i="42" s="1"/>
  <c r="BA217" i="42" s="1"/>
  <c r="AX219" i="42"/>
  <c r="AZ219" i="42" s="1"/>
  <c r="AW219" i="42"/>
  <c r="AY219" i="42" s="1"/>
  <c r="BA219" i="42" s="1"/>
  <c r="K85" i="41"/>
  <c r="BC158" i="42"/>
  <c r="G158" i="42" s="1"/>
  <c r="BB158" i="42"/>
  <c r="AB158" i="42"/>
  <c r="BB145" i="42"/>
  <c r="AB145" i="42"/>
  <c r="BC145" i="42"/>
  <c r="G145" i="42" s="1"/>
  <c r="AX143" i="39"/>
  <c r="AZ143" i="39" s="1"/>
  <c r="AW143" i="39"/>
  <c r="AY143" i="39" s="1"/>
  <c r="BA143" i="39" s="1"/>
  <c r="AU139" i="39"/>
  <c r="AP135" i="39"/>
  <c r="C9" i="39" s="1"/>
  <c r="AX154" i="39"/>
  <c r="AZ154" i="39" s="1"/>
  <c r="AW154" i="39"/>
  <c r="AY154" i="39" s="1"/>
  <c r="BA154" i="39" s="1"/>
  <c r="AX147" i="39"/>
  <c r="AZ147" i="39" s="1"/>
  <c r="AW147" i="39"/>
  <c r="AY147" i="39" s="1"/>
  <c r="BA147" i="39" s="1"/>
  <c r="AX155" i="39"/>
  <c r="AZ155" i="39" s="1"/>
  <c r="AW155" i="39"/>
  <c r="AY155" i="39" s="1"/>
  <c r="BA155" i="39" s="1"/>
  <c r="BB199" i="40"/>
  <c r="AB199" i="40"/>
  <c r="BB207" i="40"/>
  <c r="AB207" i="40"/>
  <c r="AX182" i="42"/>
  <c r="AZ182" i="42" s="1"/>
  <c r="BB182" i="42" s="1"/>
  <c r="AW182" i="42"/>
  <c r="AY182" i="42" s="1"/>
  <c r="BA182" i="42" s="1"/>
  <c r="AX167" i="40"/>
  <c r="AZ167" i="40" s="1"/>
  <c r="AW167" i="40"/>
  <c r="AY167" i="40" s="1"/>
  <c r="BA167" i="40" s="1"/>
  <c r="AX172" i="40"/>
  <c r="AZ172" i="40" s="1"/>
  <c r="AW172" i="40"/>
  <c r="AY172" i="40" s="1"/>
  <c r="BA172" i="40" s="1"/>
  <c r="AX168" i="40"/>
  <c r="AZ168" i="40" s="1"/>
  <c r="AW168" i="40"/>
  <c r="AY168" i="40" s="1"/>
  <c r="BA168" i="40" s="1"/>
  <c r="AX180" i="40"/>
  <c r="AZ180" i="40" s="1"/>
  <c r="AW180" i="40"/>
  <c r="AY180" i="40" s="1"/>
  <c r="BA180" i="40" s="1"/>
  <c r="AX174" i="40"/>
  <c r="AZ174" i="40" s="1"/>
  <c r="AW174" i="40"/>
  <c r="AY174" i="40" s="1"/>
  <c r="BA174" i="40" s="1"/>
  <c r="AX195" i="40"/>
  <c r="AZ195" i="40" s="1"/>
  <c r="AW195" i="40"/>
  <c r="AY195" i="40" s="1"/>
  <c r="BA195" i="40" s="1"/>
  <c r="BC148" i="42"/>
  <c r="G148" i="42" s="1"/>
  <c r="BB148" i="42"/>
  <c r="AB148" i="42"/>
  <c r="BC155" i="42"/>
  <c r="G155" i="42" s="1"/>
  <c r="BB155" i="42"/>
  <c r="AB155" i="42"/>
  <c r="BB201" i="40"/>
  <c r="AB201" i="40"/>
  <c r="BB208" i="40"/>
  <c r="AB208" i="40"/>
  <c r="AX214" i="42"/>
  <c r="AZ214" i="42" s="1"/>
  <c r="AW214" i="42"/>
  <c r="AY214" i="42" s="1"/>
  <c r="BA214" i="42" s="1"/>
  <c r="AX215" i="42"/>
  <c r="AZ215" i="42" s="1"/>
  <c r="AW215" i="42"/>
  <c r="AY215" i="42" s="1"/>
  <c r="BA215" i="42" s="1"/>
  <c r="AX203" i="42"/>
  <c r="AZ203" i="42" s="1"/>
  <c r="AW203" i="42"/>
  <c r="AY203" i="42" s="1"/>
  <c r="BA203" i="42" s="1"/>
  <c r="AX196" i="42"/>
  <c r="AZ196" i="42" s="1"/>
  <c r="AW196" i="42"/>
  <c r="AY196" i="42" s="1"/>
  <c r="BA196" i="42" s="1"/>
  <c r="AX204" i="42"/>
  <c r="AZ204" i="42" s="1"/>
  <c r="AW204" i="42"/>
  <c r="AY204" i="42" s="1"/>
  <c r="BA204" i="42" s="1"/>
  <c r="AX212" i="42"/>
  <c r="AZ212" i="42" s="1"/>
  <c r="AW212" i="42"/>
  <c r="AY212" i="42" s="1"/>
  <c r="BA212" i="42" s="1"/>
  <c r="AX218" i="42"/>
  <c r="AZ218" i="42" s="1"/>
  <c r="AW218" i="42"/>
  <c r="AY218" i="42" s="1"/>
  <c r="BA218" i="42" s="1"/>
  <c r="AX140" i="39"/>
  <c r="AZ140" i="39" s="1"/>
  <c r="AW140" i="39"/>
  <c r="AY140" i="39" s="1"/>
  <c r="BA140" i="39" s="1"/>
  <c r="AX158" i="39"/>
  <c r="AZ158" i="39" s="1"/>
  <c r="AW158" i="39"/>
  <c r="AY158" i="39" s="1"/>
  <c r="BA158" i="39" s="1"/>
  <c r="AX151" i="39"/>
  <c r="AZ151" i="39" s="1"/>
  <c r="AW151" i="39"/>
  <c r="AY151" i="39" s="1"/>
  <c r="BA151" i="39" s="1"/>
  <c r="AX145" i="39"/>
  <c r="AZ145" i="39" s="1"/>
  <c r="AW145" i="39"/>
  <c r="AY145" i="39" s="1"/>
  <c r="BA145" i="39" s="1"/>
  <c r="AX152" i="39"/>
  <c r="AZ152" i="39" s="1"/>
  <c r="AW152" i="39"/>
  <c r="AY152" i="39" s="1"/>
  <c r="BA152" i="39" s="1"/>
  <c r="BB210" i="35"/>
  <c r="BC210" i="35"/>
  <c r="G210" i="35" s="1"/>
  <c r="F210" i="35" s="1"/>
  <c r="AB210" i="35"/>
  <c r="AB195" i="35"/>
  <c r="BC195" i="35"/>
  <c r="G195" i="35" s="1"/>
  <c r="F195" i="35" s="1"/>
  <c r="BB195" i="35"/>
  <c r="BC211" i="35"/>
  <c r="G211" i="35" s="1"/>
  <c r="F211" i="35" s="1"/>
  <c r="AB211" i="35"/>
  <c r="BB211" i="35"/>
  <c r="BB203" i="35"/>
  <c r="BC203" i="35"/>
  <c r="G203" i="35" s="1"/>
  <c r="F203" i="35" s="1"/>
  <c r="AB203" i="35"/>
  <c r="BB151" i="35"/>
  <c r="AB151" i="35"/>
  <c r="BC151" i="35"/>
  <c r="G151" i="35" s="1"/>
  <c r="BC146" i="35"/>
  <c r="G146" i="35" s="1"/>
  <c r="AB146" i="35"/>
  <c r="BB146" i="35"/>
  <c r="BC148" i="35"/>
  <c r="G148" i="35" s="1"/>
  <c r="BB148" i="35"/>
  <c r="AB148" i="35"/>
  <c r="BC152" i="35"/>
  <c r="G152" i="35" s="1"/>
  <c r="BB152" i="35"/>
  <c r="AB152" i="35"/>
  <c r="BC208" i="35"/>
  <c r="G208" i="35" s="1"/>
  <c r="F208" i="35" s="1"/>
  <c r="AB208" i="35"/>
  <c r="BB208" i="35"/>
  <c r="BC201" i="35"/>
  <c r="G201" i="35" s="1"/>
  <c r="F201" i="35" s="1"/>
  <c r="AB201" i="35"/>
  <c r="BB201" i="35"/>
  <c r="BB212" i="35"/>
  <c r="AB212" i="35"/>
  <c r="BC212" i="35"/>
  <c r="G212" i="35" s="1"/>
  <c r="F212" i="35" s="1"/>
  <c r="BC196" i="35"/>
  <c r="G196" i="35" s="1"/>
  <c r="F196" i="35" s="1"/>
  <c r="AB196" i="35"/>
  <c r="BB196" i="35"/>
  <c r="AX170" i="35"/>
  <c r="AZ170" i="35" s="1"/>
  <c r="BB170" i="35" s="1"/>
  <c r="AW170" i="35"/>
  <c r="AY170" i="35" s="1"/>
  <c r="BA170" i="35" s="1"/>
  <c r="D3" i="35"/>
  <c r="C3" i="35"/>
  <c r="D24" i="35"/>
  <c r="C5" i="35"/>
  <c r="C24" i="35"/>
  <c r="BC213" i="35"/>
  <c r="G213" i="35" s="1"/>
  <c r="F213" i="35" s="1"/>
  <c r="AB213" i="35"/>
  <c r="BB213" i="35"/>
  <c r="BC200" i="35"/>
  <c r="G200" i="35" s="1"/>
  <c r="F200" i="35" s="1"/>
  <c r="AB200" i="35"/>
  <c r="BB200" i="35"/>
  <c r="BB194" i="35"/>
  <c r="AB194" i="35"/>
  <c r="BC149" i="35"/>
  <c r="G149" i="35" s="1"/>
  <c r="BB149" i="35"/>
  <c r="AB149" i="35"/>
  <c r="BC142" i="35"/>
  <c r="G142" i="35" s="1"/>
  <c r="BB142" i="35"/>
  <c r="AB142" i="35"/>
  <c r="BC143" i="35"/>
  <c r="G143" i="35" s="1"/>
  <c r="BB143" i="35"/>
  <c r="AB143" i="35"/>
  <c r="BB145" i="35"/>
  <c r="AB145" i="35"/>
  <c r="BC145" i="35"/>
  <c r="G145" i="35" s="1"/>
  <c r="BC207" i="35"/>
  <c r="G207" i="35" s="1"/>
  <c r="F207" i="35" s="1"/>
  <c r="AB207" i="35"/>
  <c r="BB207" i="35"/>
  <c r="BC202" i="35"/>
  <c r="G202" i="35" s="1"/>
  <c r="F202" i="35" s="1"/>
  <c r="AB202" i="35"/>
  <c r="BB202" i="35"/>
  <c r="BC198" i="35"/>
  <c r="G198" i="35" s="1"/>
  <c r="F198" i="35" s="1"/>
  <c r="AB198" i="35"/>
  <c r="BB198" i="35"/>
  <c r="BC139" i="35"/>
  <c r="G139" i="35" s="1"/>
  <c r="AB139" i="35"/>
  <c r="BB139" i="35"/>
  <c r="BB141" i="35"/>
  <c r="AB141" i="35"/>
  <c r="BC141" i="35"/>
  <c r="G141" i="35" s="1"/>
  <c r="BB140" i="35"/>
  <c r="BC140" i="35"/>
  <c r="G140" i="35" s="1"/>
  <c r="AB140" i="35"/>
  <c r="BC154" i="35"/>
  <c r="G154" i="35" s="1"/>
  <c r="BB154" i="35"/>
  <c r="AB154" i="35"/>
  <c r="BB209" i="35"/>
  <c r="BC209" i="35"/>
  <c r="G209" i="35" s="1"/>
  <c r="F209" i="35" s="1"/>
  <c r="AB209" i="35"/>
  <c r="BB205" i="35"/>
  <c r="BC205" i="35"/>
  <c r="G205" i="35" s="1"/>
  <c r="F205" i="35" s="1"/>
  <c r="AB205" i="35"/>
  <c r="BB197" i="35"/>
  <c r="AB197" i="35"/>
  <c r="BC197" i="35"/>
  <c r="G197" i="35" s="1"/>
  <c r="F197" i="35" s="1"/>
  <c r="BC157" i="35"/>
  <c r="G157" i="35" s="1"/>
  <c r="BB157" i="35"/>
  <c r="AB157" i="35"/>
  <c r="AX138" i="35"/>
  <c r="AZ138" i="35" s="1"/>
  <c r="AW138" i="35"/>
  <c r="AY138" i="35" s="1"/>
  <c r="BA138" i="35" s="1"/>
  <c r="AB144" i="35"/>
  <c r="BB144" i="35"/>
  <c r="BC144" i="35"/>
  <c r="G144" i="35" s="1"/>
  <c r="BB147" i="35"/>
  <c r="AB147" i="35"/>
  <c r="BC147" i="35"/>
  <c r="G147" i="35" s="1"/>
  <c r="BC206" i="35"/>
  <c r="G206" i="35" s="1"/>
  <c r="F206" i="35" s="1"/>
  <c r="AB206" i="35"/>
  <c r="BB206" i="35"/>
  <c r="BC204" i="35"/>
  <c r="G204" i="35" s="1"/>
  <c r="F204" i="35" s="1"/>
  <c r="AB204" i="35"/>
  <c r="BB204" i="35"/>
  <c r="BB199" i="35"/>
  <c r="BC199" i="35"/>
  <c r="G199" i="35" s="1"/>
  <c r="F199" i="35" s="1"/>
  <c r="AB199" i="35"/>
  <c r="BC156" i="35"/>
  <c r="G156" i="35" s="1"/>
  <c r="BB156" i="35"/>
  <c r="AB156" i="35"/>
  <c r="BB155" i="35"/>
  <c r="AB155" i="35"/>
  <c r="BC155" i="35"/>
  <c r="G155" i="35" s="1"/>
  <c r="BC150" i="35"/>
  <c r="G150" i="35" s="1"/>
  <c r="BB150" i="35"/>
  <c r="AB150" i="35"/>
  <c r="BC153" i="35"/>
  <c r="G153" i="35" s="1"/>
  <c r="BB153" i="35"/>
  <c r="AB153" i="35"/>
  <c r="D24" i="37" l="1"/>
  <c r="D3" i="37"/>
  <c r="C3" i="37"/>
  <c r="C24" i="37"/>
  <c r="BL227" i="36"/>
  <c r="BQ59" i="36" s="1"/>
  <c r="BQ60" i="36" s="1"/>
  <c r="BQ62" i="36" s="1"/>
  <c r="BK228" i="36"/>
  <c r="BL228" i="36" s="1"/>
  <c r="BR59" i="36" s="1"/>
  <c r="L6" i="36"/>
  <c r="L7" i="36" s="1"/>
  <c r="L8" i="36"/>
  <c r="D131" i="36"/>
  <c r="H23" i="36"/>
  <c r="D129" i="36"/>
  <c r="H16" i="36"/>
  <c r="BO32" i="36"/>
  <c r="BM32" i="36" s="1"/>
  <c r="BN32" i="36" s="1"/>
  <c r="J8" i="36"/>
  <c r="K6" i="36"/>
  <c r="K7" i="36" s="1"/>
  <c r="J6" i="36"/>
  <c r="J7" i="36" s="1"/>
  <c r="BM28" i="36"/>
  <c r="BN28" i="36" s="1"/>
  <c r="BM84" i="38"/>
  <c r="BN84" i="38" s="1"/>
  <c r="BC149" i="42"/>
  <c r="G149" i="42" s="1"/>
  <c r="BB152" i="42"/>
  <c r="C3" i="42"/>
  <c r="AB152" i="42"/>
  <c r="BB149" i="42"/>
  <c r="AB142" i="42"/>
  <c r="BC142" i="42"/>
  <c r="G142" i="42" s="1"/>
  <c r="D26" i="42"/>
  <c r="C26" i="42"/>
  <c r="D3" i="42"/>
  <c r="CQ64" i="42" s="1"/>
  <c r="CO55" i="38"/>
  <c r="BQ55" i="38"/>
  <c r="J8" i="38" s="1"/>
  <c r="BI210" i="38"/>
  <c r="DD138" i="38"/>
  <c r="BL137" i="38"/>
  <c r="BI174" i="38"/>
  <c r="BO61" i="38"/>
  <c r="BM60" i="38"/>
  <c r="BN60" i="38" s="1"/>
  <c r="L55" i="38"/>
  <c r="J55" i="38"/>
  <c r="BM57" i="38"/>
  <c r="BN57" i="38" s="1"/>
  <c r="J12" i="38"/>
  <c r="K12" i="38"/>
  <c r="L12" i="38"/>
  <c r="AB159" i="42"/>
  <c r="BB159" i="42"/>
  <c r="BC156" i="42"/>
  <c r="G156" i="42" s="1"/>
  <c r="BB156" i="42"/>
  <c r="BB146" i="42"/>
  <c r="AX172" i="42"/>
  <c r="AZ172" i="42" s="1"/>
  <c r="BB172" i="42" s="1"/>
  <c r="BC146" i="42"/>
  <c r="G146" i="42" s="1"/>
  <c r="D22" i="39"/>
  <c r="C3" i="39"/>
  <c r="C5" i="39"/>
  <c r="D3" i="39"/>
  <c r="C22" i="39"/>
  <c r="BC219" i="42"/>
  <c r="G219" i="42" s="1"/>
  <c r="F219" i="42" s="1"/>
  <c r="AB219" i="42"/>
  <c r="BB219" i="42"/>
  <c r="BC205" i="42"/>
  <c r="G205" i="42" s="1"/>
  <c r="F205" i="42" s="1"/>
  <c r="AB205" i="42"/>
  <c r="BB205" i="42"/>
  <c r="BC211" i="42"/>
  <c r="G211" i="42" s="1"/>
  <c r="F211" i="42" s="1"/>
  <c r="AB211" i="42"/>
  <c r="BB211" i="42"/>
  <c r="BB218" i="40"/>
  <c r="AB218" i="40"/>
  <c r="AX150" i="40"/>
  <c r="AZ150" i="40" s="1"/>
  <c r="BB150" i="40" s="1"/>
  <c r="AW150" i="40"/>
  <c r="AY150" i="40" s="1"/>
  <c r="BA150" i="40" s="1"/>
  <c r="AX153" i="40"/>
  <c r="AZ153" i="40" s="1"/>
  <c r="BB153" i="40" s="1"/>
  <c r="AW153" i="40"/>
  <c r="AY153" i="40" s="1"/>
  <c r="BA153" i="40" s="1"/>
  <c r="AX148" i="40"/>
  <c r="AZ148" i="40" s="1"/>
  <c r="BB148" i="40" s="1"/>
  <c r="AW148" i="40"/>
  <c r="AY148" i="40" s="1"/>
  <c r="BA148" i="40" s="1"/>
  <c r="BB175" i="40"/>
  <c r="AB175" i="40"/>
  <c r="BB178" i="40"/>
  <c r="AB178" i="40"/>
  <c r="BB173" i="40"/>
  <c r="AB173" i="40"/>
  <c r="BC158" i="39"/>
  <c r="G158" i="39" s="1"/>
  <c r="BB158" i="39"/>
  <c r="AB158" i="39"/>
  <c r="BB218" i="42"/>
  <c r="BC218" i="42"/>
  <c r="G218" i="42" s="1"/>
  <c r="F218" i="42" s="1"/>
  <c r="AB218" i="42"/>
  <c r="BB204" i="42"/>
  <c r="BC204" i="42"/>
  <c r="G204" i="42" s="1"/>
  <c r="F204" i="42" s="1"/>
  <c r="AB204" i="42"/>
  <c r="BB203" i="42"/>
  <c r="BC203" i="42"/>
  <c r="G203" i="42" s="1"/>
  <c r="F203" i="42" s="1"/>
  <c r="AB203" i="42"/>
  <c r="BB214" i="42"/>
  <c r="BC214" i="42"/>
  <c r="G214" i="42" s="1"/>
  <c r="F214" i="42" s="1"/>
  <c r="AB214" i="42"/>
  <c r="BB195" i="40"/>
  <c r="AB195" i="40"/>
  <c r="BB180" i="40"/>
  <c r="AB180" i="40"/>
  <c r="BB172" i="40"/>
  <c r="AB172" i="40"/>
  <c r="BC147" i="39"/>
  <c r="G147" i="39" s="1"/>
  <c r="BB147" i="39"/>
  <c r="AB147" i="39"/>
  <c r="AX139" i="39"/>
  <c r="AZ139" i="39" s="1"/>
  <c r="AW139" i="39"/>
  <c r="AY139" i="39" s="1"/>
  <c r="BA139" i="39" s="1"/>
  <c r="BB183" i="40"/>
  <c r="AB183" i="40"/>
  <c r="BB169" i="40"/>
  <c r="AB169" i="40"/>
  <c r="BB181" i="40"/>
  <c r="AB181" i="40"/>
  <c r="BC146" i="39"/>
  <c r="G146" i="39" s="1"/>
  <c r="BB146" i="39"/>
  <c r="AB146" i="39"/>
  <c r="BB144" i="39"/>
  <c r="AB144" i="39"/>
  <c r="BC144" i="39"/>
  <c r="G144" i="39" s="1"/>
  <c r="BC149" i="39"/>
  <c r="G149" i="39" s="1"/>
  <c r="BB149" i="39"/>
  <c r="AB149" i="39"/>
  <c r="BB208" i="42"/>
  <c r="AB208" i="42"/>
  <c r="BC208" i="42"/>
  <c r="G208" i="42" s="1"/>
  <c r="F208" i="42" s="1"/>
  <c r="BC209" i="42"/>
  <c r="G209" i="42" s="1"/>
  <c r="F209" i="42" s="1"/>
  <c r="AB209" i="42"/>
  <c r="BB209" i="42"/>
  <c r="BB198" i="42"/>
  <c r="AB198" i="42"/>
  <c r="BC198" i="42"/>
  <c r="G198" i="42" s="1"/>
  <c r="F198" i="42" s="1"/>
  <c r="BB170" i="40"/>
  <c r="AB170" i="40"/>
  <c r="BB166" i="40"/>
  <c r="AB166" i="40"/>
  <c r="BC141" i="39"/>
  <c r="G141" i="39" s="1"/>
  <c r="BB141" i="39"/>
  <c r="AB141" i="39"/>
  <c r="BB156" i="39"/>
  <c r="AB156" i="39"/>
  <c r="BC156" i="39"/>
  <c r="G156" i="39" s="1"/>
  <c r="BC153" i="39"/>
  <c r="G153" i="39" s="1"/>
  <c r="BB153" i="39"/>
  <c r="AB153" i="39"/>
  <c r="BC213" i="42"/>
  <c r="G213" i="42" s="1"/>
  <c r="F213" i="42" s="1"/>
  <c r="AB213" i="42"/>
  <c r="BB213" i="42"/>
  <c r="BC207" i="42"/>
  <c r="G207" i="42" s="1"/>
  <c r="F207" i="42" s="1"/>
  <c r="AB207" i="42"/>
  <c r="BB207" i="42"/>
  <c r="BC201" i="42"/>
  <c r="G201" i="42" s="1"/>
  <c r="F201" i="42" s="1"/>
  <c r="AB201" i="42"/>
  <c r="BB201" i="42"/>
  <c r="AX152" i="40"/>
  <c r="AZ152" i="40" s="1"/>
  <c r="BB152" i="40" s="1"/>
  <c r="AW152" i="40"/>
  <c r="AY152" i="40" s="1"/>
  <c r="BA152" i="40" s="1"/>
  <c r="AX151" i="40"/>
  <c r="AZ151" i="40" s="1"/>
  <c r="BB151" i="40" s="1"/>
  <c r="AW151" i="40"/>
  <c r="AY151" i="40" s="1"/>
  <c r="BA151" i="40" s="1"/>
  <c r="AX146" i="40"/>
  <c r="AZ146" i="40" s="1"/>
  <c r="BB146" i="40" s="1"/>
  <c r="AW146" i="40"/>
  <c r="AY146" i="40" s="1"/>
  <c r="BA146" i="40" s="1"/>
  <c r="BB152" i="39"/>
  <c r="AB152" i="39"/>
  <c r="BC152" i="39"/>
  <c r="G152" i="39" s="1"/>
  <c r="BB140" i="39"/>
  <c r="AB140" i="39"/>
  <c r="BC140" i="39"/>
  <c r="G140" i="39" s="1"/>
  <c r="BC217" i="42"/>
  <c r="G217" i="42" s="1"/>
  <c r="F217" i="42" s="1"/>
  <c r="AB217" i="42"/>
  <c r="BB217" i="42"/>
  <c r="BB202" i="42"/>
  <c r="BC202" i="42"/>
  <c r="G202" i="42" s="1"/>
  <c r="F202" i="42" s="1"/>
  <c r="AB202" i="42"/>
  <c r="BC197" i="42"/>
  <c r="G197" i="42" s="1"/>
  <c r="F197" i="42" s="1"/>
  <c r="AB197" i="42"/>
  <c r="BB197" i="42"/>
  <c r="BK227" i="41"/>
  <c r="BL226" i="41"/>
  <c r="BS59" i="41" s="1"/>
  <c r="BB140" i="42"/>
  <c r="AB140" i="42"/>
  <c r="AX145" i="40"/>
  <c r="AZ145" i="40" s="1"/>
  <c r="BB145" i="40" s="1"/>
  <c r="AW145" i="40"/>
  <c r="AY145" i="40" s="1"/>
  <c r="BA145" i="40" s="1"/>
  <c r="AX144" i="40"/>
  <c r="AZ144" i="40" s="1"/>
  <c r="BB144" i="40" s="1"/>
  <c r="AW144" i="40"/>
  <c r="AY144" i="40" s="1"/>
  <c r="BA144" i="40" s="1"/>
  <c r="AX149" i="40"/>
  <c r="AZ149" i="40" s="1"/>
  <c r="BB149" i="40" s="1"/>
  <c r="AW149" i="40"/>
  <c r="AY149" i="40" s="1"/>
  <c r="BA149" i="40" s="1"/>
  <c r="BB171" i="40"/>
  <c r="AB171" i="40"/>
  <c r="BB182" i="40"/>
  <c r="AB182" i="40"/>
  <c r="BC145" i="39"/>
  <c r="G145" i="39" s="1"/>
  <c r="BB145" i="39"/>
  <c r="AB145" i="39"/>
  <c r="BC151" i="39"/>
  <c r="G151" i="39" s="1"/>
  <c r="BB151" i="39"/>
  <c r="AB151" i="39"/>
  <c r="BB212" i="42"/>
  <c r="BC212" i="42"/>
  <c r="G212" i="42" s="1"/>
  <c r="F212" i="42" s="1"/>
  <c r="AB212" i="42"/>
  <c r="BB196" i="42"/>
  <c r="AB196" i="42"/>
  <c r="BC215" i="42"/>
  <c r="G215" i="42" s="1"/>
  <c r="F215" i="42" s="1"/>
  <c r="AB215" i="42"/>
  <c r="BB215" i="42"/>
  <c r="BB174" i="40"/>
  <c r="AB174" i="40"/>
  <c r="BB168" i="40"/>
  <c r="AB168" i="40"/>
  <c r="BB167" i="40"/>
  <c r="AB167" i="40"/>
  <c r="BC155" i="39"/>
  <c r="G155" i="39" s="1"/>
  <c r="BB155" i="39"/>
  <c r="AB155" i="39"/>
  <c r="BC154" i="39"/>
  <c r="G154" i="39" s="1"/>
  <c r="BB154" i="39"/>
  <c r="AB154" i="39"/>
  <c r="BC143" i="39"/>
  <c r="G143" i="39" s="1"/>
  <c r="BB143" i="39"/>
  <c r="AB143" i="39"/>
  <c r="BB176" i="40"/>
  <c r="AB176" i="40"/>
  <c r="BB179" i="40"/>
  <c r="AB179" i="40"/>
  <c r="BR60" i="41"/>
  <c r="BR62" i="41" s="1"/>
  <c r="BS123" i="41"/>
  <c r="BQ123" i="41"/>
  <c r="BC157" i="39"/>
  <c r="G157" i="39" s="1"/>
  <c r="BB157" i="39"/>
  <c r="AB157" i="39"/>
  <c r="BC150" i="39"/>
  <c r="G150" i="39" s="1"/>
  <c r="BB150" i="39"/>
  <c r="AB150" i="39"/>
  <c r="BC220" i="42"/>
  <c r="G220" i="42" s="1"/>
  <c r="F220" i="42" s="1"/>
  <c r="AB220" i="42"/>
  <c r="BB220" i="42"/>
  <c r="BB210" i="42"/>
  <c r="BC210" i="42"/>
  <c r="G210" i="42" s="1"/>
  <c r="F210" i="42" s="1"/>
  <c r="AB210" i="42"/>
  <c r="BB216" i="42"/>
  <c r="BC216" i="42"/>
  <c r="G216" i="42" s="1"/>
  <c r="F216" i="42" s="1"/>
  <c r="AB216" i="42"/>
  <c r="BB177" i="40"/>
  <c r="AB177" i="40"/>
  <c r="BB165" i="40"/>
  <c r="AB165" i="40"/>
  <c r="BB164" i="40"/>
  <c r="AB164" i="40"/>
  <c r="BC142" i="39"/>
  <c r="G142" i="39" s="1"/>
  <c r="BB142" i="39"/>
  <c r="AB142" i="39"/>
  <c r="BB148" i="39"/>
  <c r="AB148" i="39"/>
  <c r="BC148" i="39"/>
  <c r="G148" i="39" s="1"/>
  <c r="BB221" i="42"/>
  <c r="BC221" i="42"/>
  <c r="G221" i="42" s="1"/>
  <c r="F221" i="42" s="1"/>
  <c r="AB221" i="42"/>
  <c r="BC199" i="42"/>
  <c r="G199" i="42" s="1"/>
  <c r="F199" i="42" s="1"/>
  <c r="AB199" i="42"/>
  <c r="BB199" i="42"/>
  <c r="BC200" i="42"/>
  <c r="G200" i="42" s="1"/>
  <c r="F200" i="42" s="1"/>
  <c r="AB200" i="42"/>
  <c r="BB200" i="42"/>
  <c r="BB206" i="42"/>
  <c r="BC206" i="42"/>
  <c r="G206" i="42" s="1"/>
  <c r="F206" i="42" s="1"/>
  <c r="AB206" i="42"/>
  <c r="AU142" i="40"/>
  <c r="AP138" i="40"/>
  <c r="C9" i="40" s="1"/>
  <c r="AT189" i="40"/>
  <c r="AX143" i="40"/>
  <c r="AZ143" i="40" s="1"/>
  <c r="BB143" i="40" s="1"/>
  <c r="AW143" i="40"/>
  <c r="AY143" i="40" s="1"/>
  <c r="BA143" i="40" s="1"/>
  <c r="AX147" i="40"/>
  <c r="AZ147" i="40" s="1"/>
  <c r="BB147" i="40" s="1"/>
  <c r="AW147" i="40"/>
  <c r="AY147" i="40" s="1"/>
  <c r="BA147" i="40" s="1"/>
  <c r="BK229" i="36"/>
  <c r="BH163" i="35"/>
  <c r="CQ62" i="35"/>
  <c r="L54" i="35"/>
  <c r="J54" i="35"/>
  <c r="D5" i="35"/>
  <c r="CZ59" i="35"/>
  <c r="L14" i="35" s="1"/>
  <c r="CB62" i="35"/>
  <c r="CB59" i="35"/>
  <c r="J14" i="35" s="1"/>
  <c r="BH164" i="35"/>
  <c r="BI164" i="35" s="1"/>
  <c r="BH165" i="35"/>
  <c r="BI165" i="35" s="1"/>
  <c r="BH166" i="35"/>
  <c r="BI166" i="35" s="1"/>
  <c r="BH167" i="35"/>
  <c r="BI167" i="35" s="1"/>
  <c r="BH168" i="35"/>
  <c r="BI168" i="35" s="1"/>
  <c r="BH169" i="35"/>
  <c r="BI169" i="35" s="1"/>
  <c r="BH170" i="35"/>
  <c r="BI170" i="35" s="1"/>
  <c r="BH171" i="35"/>
  <c r="BI171" i="35" s="1"/>
  <c r="BH172" i="35"/>
  <c r="BI172" i="35" s="1"/>
  <c r="BH173" i="35"/>
  <c r="BI173" i="35" s="1"/>
  <c r="BH174" i="35"/>
  <c r="BI174" i="35" s="1"/>
  <c r="BH175" i="35"/>
  <c r="BI175" i="35" s="1"/>
  <c r="BH176" i="35"/>
  <c r="BI176" i="35" s="1"/>
  <c r="BH177" i="35"/>
  <c r="BI177" i="35" s="1"/>
  <c r="BH178" i="35"/>
  <c r="BI178" i="35" s="1"/>
  <c r="BH179" i="35"/>
  <c r="BI179" i="35" s="1"/>
  <c r="BH180" i="35"/>
  <c r="BI180" i="35" s="1"/>
  <c r="BH181" i="35"/>
  <c r="BI181" i="35" s="1"/>
  <c r="BH182" i="35"/>
  <c r="BI182" i="35" s="1"/>
  <c r="BH183" i="35"/>
  <c r="BI183" i="35" s="1"/>
  <c r="BH184" i="35"/>
  <c r="BI184" i="35" s="1"/>
  <c r="BH188" i="35"/>
  <c r="BI188" i="35" s="1"/>
  <c r="BH189" i="35"/>
  <c r="BI189" i="35" s="1"/>
  <c r="BH190" i="35"/>
  <c r="BI190" i="35" s="1"/>
  <c r="BH191" i="35"/>
  <c r="BI191" i="35" s="1"/>
  <c r="BH192" i="35"/>
  <c r="BI192" i="35" s="1"/>
  <c r="BH193" i="35"/>
  <c r="BI193" i="35" s="1"/>
  <c r="BH194" i="35"/>
  <c r="BI194" i="35" s="1"/>
  <c r="BH195" i="35"/>
  <c r="BI195" i="35" s="1"/>
  <c r="BH196" i="35"/>
  <c r="BI196" i="35" s="1"/>
  <c r="BH197" i="35"/>
  <c r="BI197" i="35" s="1"/>
  <c r="BH198" i="35"/>
  <c r="BI198" i="35" s="1"/>
  <c r="BH199" i="35"/>
  <c r="BI199" i="35" s="1"/>
  <c r="BH200" i="35"/>
  <c r="BI200" i="35" s="1"/>
  <c r="BH201" i="35"/>
  <c r="BI201" i="35" s="1"/>
  <c r="BH202" i="35"/>
  <c r="BB138" i="35"/>
  <c r="BM85" i="35" s="1"/>
  <c r="AB138" i="35"/>
  <c r="J54" i="37" l="1"/>
  <c r="J55" i="37" s="1"/>
  <c r="CB32" i="37"/>
  <c r="BI244" i="37"/>
  <c r="BJ244" i="37" s="1"/>
  <c r="BI248" i="37"/>
  <c r="BJ248" i="37" s="1"/>
  <c r="BI252" i="37"/>
  <c r="BJ252" i="37" s="1"/>
  <c r="BI256" i="37"/>
  <c r="BJ256" i="37" s="1"/>
  <c r="BI260" i="37"/>
  <c r="BJ260" i="37" s="1"/>
  <c r="BI264" i="37"/>
  <c r="BJ264" i="37" s="1"/>
  <c r="BI268" i="37"/>
  <c r="BJ268" i="37" s="1"/>
  <c r="BI272" i="37"/>
  <c r="BJ272" i="37" s="1"/>
  <c r="CZ32" i="37"/>
  <c r="D5" i="37"/>
  <c r="BI241" i="37"/>
  <c r="BJ241" i="37" s="1"/>
  <c r="BI245" i="37"/>
  <c r="BJ245" i="37" s="1"/>
  <c r="BI249" i="37"/>
  <c r="BJ249" i="37" s="1"/>
  <c r="BI253" i="37"/>
  <c r="BJ253" i="37" s="1"/>
  <c r="BI257" i="37"/>
  <c r="BJ257" i="37" s="1"/>
  <c r="BI261" i="37"/>
  <c r="BJ261" i="37" s="1"/>
  <c r="BI265" i="37"/>
  <c r="BJ265" i="37" s="1"/>
  <c r="BI269" i="37"/>
  <c r="BJ269" i="37" s="1"/>
  <c r="BI273" i="37"/>
  <c r="BJ273" i="37" s="1"/>
  <c r="L54" i="37"/>
  <c r="L55" i="37" s="1"/>
  <c r="CB35" i="37"/>
  <c r="BI242" i="37"/>
  <c r="BJ242" i="37" s="1"/>
  <c r="BI246" i="37"/>
  <c r="BJ246" i="37" s="1"/>
  <c r="BI250" i="37"/>
  <c r="BJ250" i="37" s="1"/>
  <c r="BI254" i="37"/>
  <c r="BJ254" i="37" s="1"/>
  <c r="BI258" i="37"/>
  <c r="BJ258" i="37" s="1"/>
  <c r="BI262" i="37"/>
  <c r="BJ262" i="37" s="1"/>
  <c r="BI266" i="37"/>
  <c r="BJ266" i="37" s="1"/>
  <c r="BI270" i="37"/>
  <c r="BJ270" i="37" s="1"/>
  <c r="BI274" i="37"/>
  <c r="BJ274" i="37" s="1"/>
  <c r="BI276" i="37"/>
  <c r="CQ35" i="37"/>
  <c r="BI240" i="37"/>
  <c r="BI243" i="37"/>
  <c r="BJ243" i="37" s="1"/>
  <c r="BI247" i="37"/>
  <c r="BJ247" i="37" s="1"/>
  <c r="BI251" i="37"/>
  <c r="BJ251" i="37" s="1"/>
  <c r="BI255" i="37"/>
  <c r="BJ255" i="37" s="1"/>
  <c r="BI259" i="37"/>
  <c r="BJ259" i="37" s="1"/>
  <c r="BI263" i="37"/>
  <c r="BJ263" i="37" s="1"/>
  <c r="BI267" i="37"/>
  <c r="BJ267" i="37" s="1"/>
  <c r="BI271" i="37"/>
  <c r="BJ271" i="37" s="1"/>
  <c r="BI275" i="37"/>
  <c r="BJ275" i="37" s="1"/>
  <c r="BO29" i="36"/>
  <c r="BM29" i="36" s="1"/>
  <c r="BN29" i="36" s="1"/>
  <c r="K36" i="36"/>
  <c r="K37" i="36" s="1"/>
  <c r="K18" i="36"/>
  <c r="K19" i="36" s="1"/>
  <c r="J18" i="36"/>
  <c r="J19" i="36" s="1"/>
  <c r="J36" i="36"/>
  <c r="J37" i="36" s="1"/>
  <c r="K30" i="36"/>
  <c r="K31" i="36" s="1"/>
  <c r="L30" i="36"/>
  <c r="L31" i="36" s="1"/>
  <c r="K24" i="36"/>
  <c r="K25" i="36" s="1"/>
  <c r="L24" i="36"/>
  <c r="L25" i="36" s="1"/>
  <c r="BM61" i="38"/>
  <c r="BN61" i="38" s="1"/>
  <c r="BN85" i="35"/>
  <c r="BM87" i="42"/>
  <c r="BN87" i="42" s="1"/>
  <c r="BH202" i="42"/>
  <c r="BI202" i="42" s="1"/>
  <c r="BH179" i="42"/>
  <c r="BI179" i="42" s="1"/>
  <c r="L6" i="38"/>
  <c r="L7" i="38" s="1"/>
  <c r="L8" i="38"/>
  <c r="BH167" i="42"/>
  <c r="BI167" i="42" s="1"/>
  <c r="BH183" i="42"/>
  <c r="BI183" i="42" s="1"/>
  <c r="BH198" i="42"/>
  <c r="BI198" i="42" s="1"/>
  <c r="L56" i="42"/>
  <c r="L57" i="42" s="1"/>
  <c r="BH190" i="42"/>
  <c r="BI190" i="42" s="1"/>
  <c r="BH171" i="42"/>
  <c r="BI171" i="42" s="1"/>
  <c r="BH194" i="42"/>
  <c r="BI194" i="42" s="1"/>
  <c r="BH175" i="42"/>
  <c r="BI175" i="42" s="1"/>
  <c r="J56" i="42"/>
  <c r="J57" i="42" s="1"/>
  <c r="BH201" i="42"/>
  <c r="BI201" i="42" s="1"/>
  <c r="BH197" i="42"/>
  <c r="BI197" i="42" s="1"/>
  <c r="BH193" i="42"/>
  <c r="BI193" i="42" s="1"/>
  <c r="BH186" i="42"/>
  <c r="BI186" i="42" s="1"/>
  <c r="BH182" i="42"/>
  <c r="BI182" i="42" s="1"/>
  <c r="BH178" i="42"/>
  <c r="BI178" i="42" s="1"/>
  <c r="BH174" i="42"/>
  <c r="BI174" i="42" s="1"/>
  <c r="BH170" i="42"/>
  <c r="BI170" i="42" s="1"/>
  <c r="BH166" i="42"/>
  <c r="BI166" i="42" s="1"/>
  <c r="CB64" i="42"/>
  <c r="BM63" i="42" s="1"/>
  <c r="BN63" i="42" s="1"/>
  <c r="CZ61" i="42"/>
  <c r="BH204" i="42"/>
  <c r="BI204" i="42" s="1"/>
  <c r="BH200" i="42"/>
  <c r="BI200" i="42" s="1"/>
  <c r="BH196" i="42"/>
  <c r="BI196" i="42" s="1"/>
  <c r="BH192" i="42"/>
  <c r="BI192" i="42" s="1"/>
  <c r="BH185" i="42"/>
  <c r="BI185" i="42" s="1"/>
  <c r="BH181" i="42"/>
  <c r="BI181" i="42" s="1"/>
  <c r="BH177" i="42"/>
  <c r="BI177" i="42" s="1"/>
  <c r="BH173" i="42"/>
  <c r="BI173" i="42" s="1"/>
  <c r="BH169" i="42"/>
  <c r="BI169" i="42" s="1"/>
  <c r="BH165" i="42"/>
  <c r="BI165" i="42" s="1"/>
  <c r="D5" i="42"/>
  <c r="CO58" i="42" s="1"/>
  <c r="BH203" i="42"/>
  <c r="BI203" i="42" s="1"/>
  <c r="BH199" i="42"/>
  <c r="BI199" i="42" s="1"/>
  <c r="BH195" i="42"/>
  <c r="BI195" i="42" s="1"/>
  <c r="BH191" i="42"/>
  <c r="BI191" i="42" s="1"/>
  <c r="BH184" i="42"/>
  <c r="BI184" i="42" s="1"/>
  <c r="BH180" i="42"/>
  <c r="BI180" i="42" s="1"/>
  <c r="BH176" i="42"/>
  <c r="BI176" i="42" s="1"/>
  <c r="BH172" i="42"/>
  <c r="BI172" i="42" s="1"/>
  <c r="BH168" i="42"/>
  <c r="BI168" i="42" s="1"/>
  <c r="CB61" i="42"/>
  <c r="M126" i="38"/>
  <c r="L13" i="38"/>
  <c r="D130" i="38"/>
  <c r="D132" i="38"/>
  <c r="K13" i="38"/>
  <c r="BJ174" i="38"/>
  <c r="J13" i="38"/>
  <c r="J6" i="38"/>
  <c r="BM54" i="38"/>
  <c r="BN54" i="38" s="1"/>
  <c r="K6" i="38"/>
  <c r="H16" i="38"/>
  <c r="D131" i="38"/>
  <c r="H23" i="38"/>
  <c r="D129" i="38"/>
  <c r="BB139" i="39"/>
  <c r="AB139" i="39"/>
  <c r="L54" i="39"/>
  <c r="CQ33" i="39"/>
  <c r="D5" i="39"/>
  <c r="J54" i="39"/>
  <c r="CZ30" i="39"/>
  <c r="L14" i="39" s="1"/>
  <c r="CB30" i="39"/>
  <c r="J14" i="39" s="1"/>
  <c r="BH165" i="39"/>
  <c r="BI165" i="39" s="1"/>
  <c r="CB33" i="39"/>
  <c r="BH164" i="39"/>
  <c r="BH166" i="39"/>
  <c r="BI166" i="39" s="1"/>
  <c r="BH167" i="39"/>
  <c r="BI167" i="39" s="1"/>
  <c r="BH168" i="39"/>
  <c r="BI168" i="39" s="1"/>
  <c r="BH169" i="39"/>
  <c r="BI169" i="39" s="1"/>
  <c r="BH170" i="39"/>
  <c r="BI170" i="39" s="1"/>
  <c r="BH171" i="39"/>
  <c r="BI171" i="39" s="1"/>
  <c r="BH172" i="39"/>
  <c r="BI172" i="39" s="1"/>
  <c r="BH173" i="39"/>
  <c r="BI173" i="39" s="1"/>
  <c r="BH174" i="39"/>
  <c r="BI174" i="39" s="1"/>
  <c r="BH175" i="39"/>
  <c r="BI175" i="39" s="1"/>
  <c r="BH176" i="39"/>
  <c r="BI176" i="39" s="1"/>
  <c r="BH177" i="39"/>
  <c r="BI177" i="39" s="1"/>
  <c r="BH178" i="39"/>
  <c r="BI178" i="39" s="1"/>
  <c r="BH179" i="39"/>
  <c r="BI179" i="39" s="1"/>
  <c r="BH180" i="39"/>
  <c r="BI180" i="39" s="1"/>
  <c r="BH181" i="39"/>
  <c r="BI181" i="39" s="1"/>
  <c r="BH182" i="39"/>
  <c r="BI182" i="39" s="1"/>
  <c r="BH183" i="39"/>
  <c r="BI183" i="39" s="1"/>
  <c r="BH184" i="39"/>
  <c r="BI184" i="39" s="1"/>
  <c r="BH185" i="39"/>
  <c r="BI185" i="39" s="1"/>
  <c r="BH189" i="39"/>
  <c r="BI189" i="39" s="1"/>
  <c r="BH190" i="39"/>
  <c r="BI190" i="39" s="1"/>
  <c r="BH191" i="39"/>
  <c r="BI191" i="39" s="1"/>
  <c r="BH192" i="39"/>
  <c r="BI192" i="39" s="1"/>
  <c r="BH193" i="39"/>
  <c r="BI193" i="39" s="1"/>
  <c r="BH194" i="39"/>
  <c r="BI194" i="39" s="1"/>
  <c r="BH195" i="39"/>
  <c r="BI195" i="39" s="1"/>
  <c r="BH196" i="39"/>
  <c r="BI196" i="39" s="1"/>
  <c r="BH197" i="39"/>
  <c r="BI197" i="39" s="1"/>
  <c r="BH198" i="39"/>
  <c r="BI198" i="39" s="1"/>
  <c r="BH199" i="39"/>
  <c r="BI199" i="39" s="1"/>
  <c r="BH200" i="39"/>
  <c r="BI200" i="39" s="1"/>
  <c r="BH201" i="39"/>
  <c r="BI201" i="39" s="1"/>
  <c r="BH202" i="39"/>
  <c r="BI202" i="39" s="1"/>
  <c r="BH203" i="39"/>
  <c r="D3" i="40"/>
  <c r="C3" i="40"/>
  <c r="D24" i="40"/>
  <c r="C5" i="40"/>
  <c r="C24" i="40"/>
  <c r="BU122" i="41"/>
  <c r="BQ122" i="41"/>
  <c r="BS60" i="41"/>
  <c r="BS62" i="41" s="1"/>
  <c r="BK230" i="36"/>
  <c r="BL229" i="36"/>
  <c r="BS59" i="36" s="1"/>
  <c r="AX142" i="40"/>
  <c r="AZ142" i="40" s="1"/>
  <c r="BB142" i="40" s="1"/>
  <c r="AW142" i="40"/>
  <c r="AY142" i="40" s="1"/>
  <c r="BA142" i="40" s="1"/>
  <c r="BL227" i="41"/>
  <c r="BT59" i="41" s="1"/>
  <c r="BK228" i="41"/>
  <c r="BQ123" i="36"/>
  <c r="BS123" i="36"/>
  <c r="BR60" i="36"/>
  <c r="BR62" i="36" s="1"/>
  <c r="BM58" i="35"/>
  <c r="BN58" i="35" s="1"/>
  <c r="J12" i="35"/>
  <c r="J55" i="35"/>
  <c r="BM61" i="35"/>
  <c r="BN61" i="35" s="1"/>
  <c r="BO62" i="35"/>
  <c r="L55" i="35"/>
  <c r="L12" i="35"/>
  <c r="K12" i="35"/>
  <c r="BI202" i="35"/>
  <c r="DD138" i="35"/>
  <c r="CO56" i="35"/>
  <c r="BQ56" i="35"/>
  <c r="J8" i="35" s="1"/>
  <c r="BI163" i="35"/>
  <c r="BL138" i="35"/>
  <c r="M126" i="37" l="1"/>
  <c r="BQ29" i="37"/>
  <c r="CO29" i="37"/>
  <c r="BJ240" i="37"/>
  <c r="BL66" i="37"/>
  <c r="BO35" i="37"/>
  <c r="BM35" i="37" s="1"/>
  <c r="BN35" i="37" s="1"/>
  <c r="BM34" i="37"/>
  <c r="BN34" i="37" s="1"/>
  <c r="L14" i="37"/>
  <c r="K12" i="37"/>
  <c r="K13" i="37" s="1"/>
  <c r="L12" i="37"/>
  <c r="L13" i="37" s="1"/>
  <c r="J14" i="37"/>
  <c r="BM31" i="37"/>
  <c r="BN31" i="37" s="1"/>
  <c r="J12" i="37"/>
  <c r="J13" i="37" s="1"/>
  <c r="BJ276" i="37"/>
  <c r="DD66" i="37"/>
  <c r="J126" i="36"/>
  <c r="M85" i="36"/>
  <c r="K85" i="36"/>
  <c r="I126" i="36"/>
  <c r="BJ163" i="35"/>
  <c r="BJ164" i="35" s="1"/>
  <c r="BM62" i="35"/>
  <c r="BN62" i="35" s="1"/>
  <c r="BM58" i="40"/>
  <c r="BM56" i="39"/>
  <c r="BN56" i="39" s="1"/>
  <c r="L6" i="42"/>
  <c r="L7" i="42" s="1"/>
  <c r="L8" i="42"/>
  <c r="J12" i="42"/>
  <c r="J13" i="42" s="1"/>
  <c r="J14" i="42"/>
  <c r="K12" i="42"/>
  <c r="K13" i="42" s="1"/>
  <c r="L14" i="42"/>
  <c r="L6" i="35"/>
  <c r="L7" i="35" s="1"/>
  <c r="L8" i="35"/>
  <c r="BL140" i="42"/>
  <c r="D133" i="42" s="1"/>
  <c r="BQ58" i="42"/>
  <c r="BO64" i="42"/>
  <c r="DD140" i="42"/>
  <c r="D132" i="42" s="1"/>
  <c r="L12" i="42"/>
  <c r="L13" i="42" s="1"/>
  <c r="BM60" i="42"/>
  <c r="BN60" i="42" s="1"/>
  <c r="BO58" i="38"/>
  <c r="K7" i="38"/>
  <c r="K30" i="38"/>
  <c r="K24" i="38"/>
  <c r="L30" i="38"/>
  <c r="L24" i="38"/>
  <c r="BJ175" i="38"/>
  <c r="BK174" i="38"/>
  <c r="BQ85" i="38" s="1"/>
  <c r="BQ86" i="38" s="1"/>
  <c r="BQ88" i="38" s="1"/>
  <c r="J7" i="38"/>
  <c r="K18" i="38"/>
  <c r="K36" i="38"/>
  <c r="J36" i="38"/>
  <c r="J18" i="38"/>
  <c r="BK229" i="41"/>
  <c r="BL228" i="41"/>
  <c r="BU59" i="41" s="1"/>
  <c r="BL230" i="36"/>
  <c r="BT59" i="36" s="1"/>
  <c r="BK231" i="36"/>
  <c r="BJ165" i="42"/>
  <c r="BI203" i="39"/>
  <c r="DD139" i="39"/>
  <c r="BO33" i="39"/>
  <c r="BM32" i="39"/>
  <c r="BN32" i="39" s="1"/>
  <c r="J55" i="39"/>
  <c r="BW121" i="41"/>
  <c r="BT60" i="41"/>
  <c r="BT62" i="41" s="1"/>
  <c r="BQ121" i="41"/>
  <c r="BN58" i="40"/>
  <c r="CO27" i="39"/>
  <c r="BQ27" i="39"/>
  <c r="J8" i="39" s="1"/>
  <c r="J12" i="39"/>
  <c r="BM29" i="39"/>
  <c r="BN29" i="39" s="1"/>
  <c r="M128" i="42"/>
  <c r="BU122" i="36"/>
  <c r="BQ122" i="36"/>
  <c r="BS60" i="36"/>
  <c r="BS62" i="36" s="1"/>
  <c r="BI211" i="40"/>
  <c r="L54" i="40"/>
  <c r="CQ35" i="40"/>
  <c r="J54" i="40"/>
  <c r="D5" i="40"/>
  <c r="CZ32" i="40"/>
  <c r="L14" i="40" s="1"/>
  <c r="CB32" i="40"/>
  <c r="J14" i="40" s="1"/>
  <c r="BI212" i="40"/>
  <c r="BJ212" i="40" s="1"/>
  <c r="CB35" i="40"/>
  <c r="BI213" i="40"/>
  <c r="BJ213" i="40" s="1"/>
  <c r="BI214" i="40"/>
  <c r="BJ214" i="40" s="1"/>
  <c r="BI215" i="40"/>
  <c r="BJ215" i="40" s="1"/>
  <c r="BI216" i="40"/>
  <c r="BJ216" i="40" s="1"/>
  <c r="BI217" i="40"/>
  <c r="BJ217" i="40" s="1"/>
  <c r="BI218" i="40"/>
  <c r="BJ218" i="40" s="1"/>
  <c r="BI219" i="40"/>
  <c r="BJ219" i="40" s="1"/>
  <c r="BI220" i="40"/>
  <c r="BJ220" i="40" s="1"/>
  <c r="BI221" i="40"/>
  <c r="BJ221" i="40" s="1"/>
  <c r="BI222" i="40"/>
  <c r="BJ222" i="40" s="1"/>
  <c r="BI223" i="40"/>
  <c r="BJ223" i="40" s="1"/>
  <c r="BI224" i="40"/>
  <c r="BJ224" i="40" s="1"/>
  <c r="BI225" i="40"/>
  <c r="BJ225" i="40" s="1"/>
  <c r="BI226" i="40"/>
  <c r="BJ226" i="40" s="1"/>
  <c r="BI227" i="40"/>
  <c r="BJ227" i="40" s="1"/>
  <c r="BI228" i="40"/>
  <c r="BJ228" i="40" s="1"/>
  <c r="BI229" i="40"/>
  <c r="BJ229" i="40" s="1"/>
  <c r="BI230" i="40"/>
  <c r="BJ230" i="40" s="1"/>
  <c r="BI231" i="40"/>
  <c r="BJ231" i="40" s="1"/>
  <c r="BI232" i="40"/>
  <c r="BJ232" i="40" s="1"/>
  <c r="BI233" i="40"/>
  <c r="BJ233" i="40" s="1"/>
  <c r="BI234" i="40"/>
  <c r="BJ234" i="40" s="1"/>
  <c r="BI235" i="40"/>
  <c r="BJ235" i="40" s="1"/>
  <c r="BI236" i="40"/>
  <c r="BJ236" i="40" s="1"/>
  <c r="BI237" i="40"/>
  <c r="BJ237" i="40" s="1"/>
  <c r="BI238" i="40"/>
  <c r="BJ238" i="40" s="1"/>
  <c r="BI239" i="40"/>
  <c r="BJ239" i="40" s="1"/>
  <c r="BI240" i="40"/>
  <c r="BJ240" i="40" s="1"/>
  <c r="BI241" i="40"/>
  <c r="BJ241" i="40" s="1"/>
  <c r="BI242" i="40"/>
  <c r="BJ242" i="40" s="1"/>
  <c r="BI243" i="40"/>
  <c r="BJ243" i="40" s="1"/>
  <c r="BI244" i="40"/>
  <c r="BJ244" i="40" s="1"/>
  <c r="BI245" i="40"/>
  <c r="BJ245" i="40" s="1"/>
  <c r="BI246" i="40"/>
  <c r="BJ246" i="40" s="1"/>
  <c r="BI247" i="40"/>
  <c r="BI164" i="39"/>
  <c r="BL139" i="39"/>
  <c r="K12" i="39"/>
  <c r="L12" i="39"/>
  <c r="L55" i="39"/>
  <c r="D131" i="35"/>
  <c r="H23" i="35"/>
  <c r="D129" i="35"/>
  <c r="H16" i="35"/>
  <c r="D132" i="35"/>
  <c r="D130" i="35"/>
  <c r="M126" i="35"/>
  <c r="BM55" i="35"/>
  <c r="BN55" i="35" s="1"/>
  <c r="K6" i="35"/>
  <c r="J6" i="35"/>
  <c r="K13" i="35"/>
  <c r="J13" i="35"/>
  <c r="L13" i="35"/>
  <c r="BK163" i="35" l="1"/>
  <c r="BQ86" i="35" s="1"/>
  <c r="BQ87" i="35" s="1"/>
  <c r="BQ89" i="35" s="1"/>
  <c r="BO32" i="37"/>
  <c r="BM32" i="37" s="1"/>
  <c r="BN32" i="37" s="1"/>
  <c r="D132" i="37"/>
  <c r="D130" i="37"/>
  <c r="H23" i="37"/>
  <c r="H16" i="37"/>
  <c r="D131" i="37"/>
  <c r="D129" i="37"/>
  <c r="BK240" i="37"/>
  <c r="L6" i="37"/>
  <c r="L7" i="37" s="1"/>
  <c r="L8" i="37"/>
  <c r="J8" i="37"/>
  <c r="BM28" i="37"/>
  <c r="BN28" i="37" s="1"/>
  <c r="K6" i="37"/>
  <c r="K7" i="37" s="1"/>
  <c r="J6" i="37"/>
  <c r="J7" i="37" s="1"/>
  <c r="BM64" i="42"/>
  <c r="BN64" i="42" s="1"/>
  <c r="BM58" i="38"/>
  <c r="BN58" i="38" s="1"/>
  <c r="BM33" i="39"/>
  <c r="BN33" i="39" s="1"/>
  <c r="D131" i="42"/>
  <c r="BM57" i="42"/>
  <c r="BN57" i="42" s="1"/>
  <c r="J8" i="42"/>
  <c r="L6" i="39"/>
  <c r="L7" i="39" s="1"/>
  <c r="L8" i="39"/>
  <c r="H18" i="42"/>
  <c r="J38" i="42" s="1"/>
  <c r="H25" i="42"/>
  <c r="K32" i="42" s="1"/>
  <c r="K6" i="42"/>
  <c r="K7" i="42" s="1"/>
  <c r="BJ164" i="39"/>
  <c r="BK164" i="39" s="1"/>
  <c r="BQ57" i="39" s="1"/>
  <c r="BQ58" i="39" s="1"/>
  <c r="BQ60" i="39" s="1"/>
  <c r="D134" i="42"/>
  <c r="J6" i="42"/>
  <c r="BO55" i="38"/>
  <c r="K25" i="38"/>
  <c r="K19" i="38"/>
  <c r="BK175" i="38"/>
  <c r="BR85" i="38" s="1"/>
  <c r="BJ176" i="38"/>
  <c r="K31" i="38"/>
  <c r="K37" i="38"/>
  <c r="J19" i="38"/>
  <c r="L25" i="38"/>
  <c r="J37" i="38"/>
  <c r="L31" i="38"/>
  <c r="D132" i="39"/>
  <c r="D130" i="39"/>
  <c r="H23" i="39"/>
  <c r="H16" i="39"/>
  <c r="L12" i="40"/>
  <c r="K12" i="40"/>
  <c r="L55" i="40"/>
  <c r="J13" i="39"/>
  <c r="BM26" i="39"/>
  <c r="BN26" i="39" s="1"/>
  <c r="K6" i="39"/>
  <c r="J6" i="39"/>
  <c r="BK165" i="42"/>
  <c r="BQ88" i="42" s="1"/>
  <c r="BQ89" i="42" s="1"/>
  <c r="BQ91" i="42" s="1"/>
  <c r="BJ166" i="42"/>
  <c r="BL229" i="41"/>
  <c r="BV59" i="41" s="1"/>
  <c r="BK230" i="41"/>
  <c r="BO35" i="40"/>
  <c r="BM34" i="40"/>
  <c r="BN34" i="40" s="1"/>
  <c r="CO29" i="40"/>
  <c r="BQ29" i="40"/>
  <c r="J8" i="40" s="1"/>
  <c r="BJ211" i="40"/>
  <c r="BL106" i="40"/>
  <c r="BK232" i="36"/>
  <c r="BL231" i="36"/>
  <c r="BU59" i="36" s="1"/>
  <c r="L13" i="39"/>
  <c r="BJ247" i="40"/>
  <c r="DD106" i="40"/>
  <c r="J55" i="40"/>
  <c r="M126" i="39"/>
  <c r="D131" i="39"/>
  <c r="D133" i="39"/>
  <c r="BQ121" i="36"/>
  <c r="BT60" i="36"/>
  <c r="BT62" i="36" s="1"/>
  <c r="BW121" i="36"/>
  <c r="K13" i="39"/>
  <c r="BM31" i="40"/>
  <c r="BN31" i="40" s="1"/>
  <c r="J12" i="40"/>
  <c r="BO61" i="42"/>
  <c r="BY120" i="41"/>
  <c r="BQ120" i="41"/>
  <c r="BU60" i="41"/>
  <c r="BU62" i="41" s="1"/>
  <c r="BO59" i="35"/>
  <c r="J7" i="35"/>
  <c r="J36" i="35"/>
  <c r="J18" i="35"/>
  <c r="K36" i="35"/>
  <c r="K18" i="35"/>
  <c r="K7" i="35"/>
  <c r="L24" i="35"/>
  <c r="L30" i="35"/>
  <c r="K30" i="35"/>
  <c r="K24" i="35"/>
  <c r="BJ165" i="35"/>
  <c r="BK164" i="35"/>
  <c r="BR86" i="35" s="1"/>
  <c r="BO29" i="37" l="1"/>
  <c r="BM29" i="37" s="1"/>
  <c r="BN29" i="37" s="1"/>
  <c r="J36" i="37"/>
  <c r="J37" i="37" s="1"/>
  <c r="K18" i="37"/>
  <c r="K19" i="37" s="1"/>
  <c r="K36" i="37"/>
  <c r="K37" i="37" s="1"/>
  <c r="J18" i="37"/>
  <c r="J19" i="37" s="1"/>
  <c r="BK241" i="37"/>
  <c r="BL240" i="37"/>
  <c r="BQ59" i="37" s="1"/>
  <c r="BQ60" i="37" s="1"/>
  <c r="BQ62" i="37" s="1"/>
  <c r="K30" i="37"/>
  <c r="K31" i="37" s="1"/>
  <c r="L24" i="37"/>
  <c r="L25" i="37" s="1"/>
  <c r="L30" i="37"/>
  <c r="L31" i="37" s="1"/>
  <c r="K24" i="37"/>
  <c r="K25" i="37" s="1"/>
  <c r="BM61" i="42"/>
  <c r="BN61" i="42" s="1"/>
  <c r="BM35" i="40"/>
  <c r="BN35" i="40" s="1"/>
  <c r="BM55" i="38"/>
  <c r="BN55" i="38" s="1"/>
  <c r="BM59" i="35"/>
  <c r="BN59" i="35" s="1"/>
  <c r="K38" i="42"/>
  <c r="K39" i="42" s="1"/>
  <c r="L32" i="42"/>
  <c r="L33" i="42" s="1"/>
  <c r="L26" i="42"/>
  <c r="L27" i="42" s="1"/>
  <c r="L6" i="40"/>
  <c r="L8" i="40"/>
  <c r="K26" i="42"/>
  <c r="J7" i="42"/>
  <c r="BO58" i="42" s="1"/>
  <c r="K20" i="42"/>
  <c r="K21" i="42" s="1"/>
  <c r="J20" i="42"/>
  <c r="J21" i="42" s="1"/>
  <c r="BJ165" i="39"/>
  <c r="BJ166" i="39" s="1"/>
  <c r="K85" i="38"/>
  <c r="I126" i="38"/>
  <c r="J126" i="38"/>
  <c r="BJ177" i="38"/>
  <c r="BK176" i="38"/>
  <c r="BS85" i="38" s="1"/>
  <c r="BR86" i="38"/>
  <c r="BR88" i="38" s="1"/>
  <c r="BS126" i="38"/>
  <c r="BQ126" i="38"/>
  <c r="M85" i="38"/>
  <c r="M126" i="40"/>
  <c r="D130" i="40"/>
  <c r="D132" i="40"/>
  <c r="BU60" i="36"/>
  <c r="BU62" i="36" s="1"/>
  <c r="BY120" i="36"/>
  <c r="BQ120" i="36"/>
  <c r="D131" i="40"/>
  <c r="H23" i="40"/>
  <c r="D129" i="40"/>
  <c r="H16" i="40"/>
  <c r="BJ167" i="42"/>
  <c r="BK166" i="42"/>
  <c r="BR88" i="42" s="1"/>
  <c r="J36" i="39"/>
  <c r="J18" i="39"/>
  <c r="K18" i="39"/>
  <c r="K36" i="39"/>
  <c r="K33" i="42"/>
  <c r="J13" i="40"/>
  <c r="J39" i="42"/>
  <c r="BL232" i="36"/>
  <c r="BV59" i="36" s="1"/>
  <c r="BK233" i="36"/>
  <c r="BK211" i="40"/>
  <c r="J7" i="39"/>
  <c r="L30" i="39"/>
  <c r="L24" i="39"/>
  <c r="K30" i="39"/>
  <c r="K24" i="39"/>
  <c r="BM28" i="40"/>
  <c r="BN28" i="40" s="1"/>
  <c r="J6" i="40"/>
  <c r="K6" i="40"/>
  <c r="BK231" i="41"/>
  <c r="BL230" i="41"/>
  <c r="BW59" i="41" s="1"/>
  <c r="K7" i="39"/>
  <c r="BO30" i="39"/>
  <c r="K13" i="40"/>
  <c r="L7" i="40"/>
  <c r="BV60" i="41"/>
  <c r="BV62" i="41" s="1"/>
  <c r="CA119" i="41"/>
  <c r="CA124" i="41" s="1"/>
  <c r="CA126" i="41" s="1"/>
  <c r="BQ119" i="41"/>
  <c r="L13" i="40"/>
  <c r="BS127" i="35"/>
  <c r="BR87" i="35"/>
  <c r="BR89" i="35" s="1"/>
  <c r="BQ127" i="35"/>
  <c r="L31" i="35"/>
  <c r="K19" i="35"/>
  <c r="BK165" i="35"/>
  <c r="BS86" i="35" s="1"/>
  <c r="BJ166" i="35"/>
  <c r="L25" i="35"/>
  <c r="K37" i="35"/>
  <c r="BO56" i="35"/>
  <c r="K25" i="35"/>
  <c r="J19" i="35"/>
  <c r="K31" i="35"/>
  <c r="J37" i="35"/>
  <c r="M85" i="37" l="1"/>
  <c r="I126" i="37"/>
  <c r="J126" i="37"/>
  <c r="K85" i="37"/>
  <c r="BL241" i="37"/>
  <c r="BR59" i="37" s="1"/>
  <c r="BK242" i="37"/>
  <c r="BM56" i="35"/>
  <c r="BN56" i="35" s="1"/>
  <c r="BM58" i="42"/>
  <c r="BN58" i="42" s="1"/>
  <c r="BM30" i="39"/>
  <c r="BN30" i="39" s="1"/>
  <c r="BK165" i="39"/>
  <c r="BR57" i="39" s="1"/>
  <c r="BQ98" i="39" s="1"/>
  <c r="K27" i="42"/>
  <c r="M87" i="42" s="1"/>
  <c r="BK177" i="38"/>
  <c r="BT85" i="38" s="1"/>
  <c r="BJ178" i="38"/>
  <c r="BQ125" i="38"/>
  <c r="BS86" i="38"/>
  <c r="BS88" i="38" s="1"/>
  <c r="BU125" i="38"/>
  <c r="I128" i="42"/>
  <c r="BL231" i="41"/>
  <c r="BX59" i="41" s="1"/>
  <c r="BK232" i="41"/>
  <c r="J7" i="40"/>
  <c r="K25" i="39"/>
  <c r="BO27" i="39"/>
  <c r="BK234" i="36"/>
  <c r="BL233" i="36"/>
  <c r="BW59" i="36" s="1"/>
  <c r="J128" i="42"/>
  <c r="K19" i="39"/>
  <c r="BK167" i="42"/>
  <c r="BS88" i="42" s="1"/>
  <c r="BJ168" i="42"/>
  <c r="K31" i="39"/>
  <c r="BQ119" i="36"/>
  <c r="CA119" i="36"/>
  <c r="CA124" i="36" s="1"/>
  <c r="CA126" i="36" s="1"/>
  <c r="BV60" i="36"/>
  <c r="BV62" i="36" s="1"/>
  <c r="J19" i="39"/>
  <c r="J36" i="40"/>
  <c r="J18" i="40"/>
  <c r="K36" i="40"/>
  <c r="K18" i="40"/>
  <c r="BK166" i="39"/>
  <c r="BS57" i="39" s="1"/>
  <c r="BJ167" i="39"/>
  <c r="L25" i="39"/>
  <c r="J37" i="39"/>
  <c r="K87" i="42"/>
  <c r="CC118" i="41"/>
  <c r="CC124" i="41" s="1"/>
  <c r="CC126" i="41" s="1"/>
  <c r="BQ118" i="41"/>
  <c r="BW60" i="41"/>
  <c r="BW62" i="41" s="1"/>
  <c r="K7" i="40"/>
  <c r="L31" i="39"/>
  <c r="BK212" i="40"/>
  <c r="BL211" i="40"/>
  <c r="BQ59" i="40" s="1"/>
  <c r="BQ60" i="40" s="1"/>
  <c r="BQ62" i="40" s="1"/>
  <c r="BO32" i="40"/>
  <c r="K37" i="39"/>
  <c r="BQ129" i="42"/>
  <c r="BR89" i="42"/>
  <c r="BR91" i="42" s="1"/>
  <c r="BS129" i="42"/>
  <c r="L24" i="40"/>
  <c r="L30" i="40"/>
  <c r="K30" i="40"/>
  <c r="K24" i="40"/>
  <c r="J126" i="35"/>
  <c r="K85" i="35"/>
  <c r="M85" i="35"/>
  <c r="BU126" i="35"/>
  <c r="BQ126" i="35"/>
  <c r="BS87" i="35"/>
  <c r="BS89" i="35" s="1"/>
  <c r="I126" i="35"/>
  <c r="BJ167" i="35"/>
  <c r="BK166" i="35"/>
  <c r="BT86" i="35" s="1"/>
  <c r="BL242" i="37" l="1"/>
  <c r="BS59" i="37" s="1"/>
  <c r="BK243" i="37"/>
  <c r="BS123" i="37"/>
  <c r="BR60" i="37"/>
  <c r="BR62" i="37" s="1"/>
  <c r="BQ123" i="37"/>
  <c r="BM32" i="40"/>
  <c r="BN32" i="40" s="1"/>
  <c r="BR58" i="39"/>
  <c r="BR60" i="39" s="1"/>
  <c r="BS98" i="39"/>
  <c r="BM27" i="39"/>
  <c r="BN27" i="39" s="1"/>
  <c r="BK178" i="38"/>
  <c r="BU85" i="38" s="1"/>
  <c r="BJ179" i="38"/>
  <c r="BQ124" i="38"/>
  <c r="BT86" i="38"/>
  <c r="BT88" i="38" s="1"/>
  <c r="BW124" i="38"/>
  <c r="K85" i="39"/>
  <c r="L31" i="40"/>
  <c r="BK213" i="40"/>
  <c r="BL212" i="40"/>
  <c r="BR59" i="40" s="1"/>
  <c r="K19" i="40"/>
  <c r="BL234" i="36"/>
  <c r="BX59" i="36" s="1"/>
  <c r="BK235" i="36"/>
  <c r="BO29" i="40"/>
  <c r="J126" i="39"/>
  <c r="K37" i="40"/>
  <c r="I126" i="39"/>
  <c r="K31" i="40"/>
  <c r="L25" i="40"/>
  <c r="K25" i="40"/>
  <c r="BJ168" i="39"/>
  <c r="BK167" i="39"/>
  <c r="BT57" i="39" s="1"/>
  <c r="J19" i="40"/>
  <c r="BJ169" i="42"/>
  <c r="BK168" i="42"/>
  <c r="BT88" i="42" s="1"/>
  <c r="M85" i="39"/>
  <c r="BK233" i="41"/>
  <c r="BL232" i="41"/>
  <c r="BY59" i="41" s="1"/>
  <c r="BQ97" i="39"/>
  <c r="BS58" i="39"/>
  <c r="BS60" i="39" s="1"/>
  <c r="BU97" i="39"/>
  <c r="J37" i="40"/>
  <c r="BS89" i="42"/>
  <c r="BS91" i="42" s="1"/>
  <c r="BU128" i="42"/>
  <c r="BQ128" i="42"/>
  <c r="CC118" i="36"/>
  <c r="CC124" i="36" s="1"/>
  <c r="CC126" i="36" s="1"/>
  <c r="BQ118" i="36"/>
  <c r="BW60" i="36"/>
  <c r="BW62" i="36" s="1"/>
  <c r="CE117" i="41"/>
  <c r="CE124" i="41" s="1"/>
  <c r="CE126" i="41" s="1"/>
  <c r="BX60" i="41"/>
  <c r="BX62" i="41" s="1"/>
  <c r="BQ117" i="41"/>
  <c r="BQ125" i="35"/>
  <c r="BW125" i="35"/>
  <c r="BT87" i="35"/>
  <c r="BT89" i="35" s="1"/>
  <c r="BK167" i="35"/>
  <c r="BU86" i="35" s="1"/>
  <c r="BJ168" i="35"/>
  <c r="BL243" i="37" l="1"/>
  <c r="BT59" i="37" s="1"/>
  <c r="BK244" i="37"/>
  <c r="BS60" i="37"/>
  <c r="BS62" i="37" s="1"/>
  <c r="BU122" i="37"/>
  <c r="BQ122" i="37"/>
  <c r="BM29" i="40"/>
  <c r="BN29" i="40" s="1"/>
  <c r="BJ180" i="38"/>
  <c r="BK179" i="38"/>
  <c r="BV85" i="38" s="1"/>
  <c r="BY123" i="38"/>
  <c r="BQ123" i="38"/>
  <c r="BU86" i="38"/>
  <c r="BU88" i="38" s="1"/>
  <c r="K85" i="40"/>
  <c r="I126" i="40"/>
  <c r="J126" i="40"/>
  <c r="M85" i="40"/>
  <c r="BW127" i="42"/>
  <c r="BQ127" i="42"/>
  <c r="BT89" i="42"/>
  <c r="BT91" i="42" s="1"/>
  <c r="BW96" i="39"/>
  <c r="BQ96" i="39"/>
  <c r="BT58" i="39"/>
  <c r="BT60" i="39" s="1"/>
  <c r="BK236" i="36"/>
  <c r="BL235" i="36"/>
  <c r="BY59" i="36" s="1"/>
  <c r="CG116" i="41"/>
  <c r="BQ116" i="41"/>
  <c r="BQ124" i="41" s="1"/>
  <c r="BY60" i="41"/>
  <c r="BY62" i="41" s="1"/>
  <c r="BK169" i="42"/>
  <c r="BU88" i="42" s="1"/>
  <c r="BJ170" i="42"/>
  <c r="BK168" i="39"/>
  <c r="BU57" i="39" s="1"/>
  <c r="BJ169" i="39"/>
  <c r="BQ117" i="36"/>
  <c r="BX60" i="36"/>
  <c r="BX62" i="36" s="1"/>
  <c r="CE117" i="36"/>
  <c r="CE124" i="36" s="1"/>
  <c r="CE126" i="36" s="1"/>
  <c r="BS99" i="40"/>
  <c r="BR60" i="40"/>
  <c r="BR62" i="40" s="1"/>
  <c r="BQ99" i="40"/>
  <c r="BL233" i="41"/>
  <c r="BZ59" i="41" s="1"/>
  <c r="BK234" i="41"/>
  <c r="BK214" i="40"/>
  <c r="BL213" i="40"/>
  <c r="BS59" i="40" s="1"/>
  <c r="BQ124" i="35"/>
  <c r="BU87" i="35"/>
  <c r="BU89" i="35" s="1"/>
  <c r="BY124" i="35"/>
  <c r="BJ169" i="35"/>
  <c r="BK168" i="35"/>
  <c r="BV86" i="35" s="1"/>
  <c r="BK245" i="37" l="1"/>
  <c r="BL244" i="37"/>
  <c r="BU59" i="37" s="1"/>
  <c r="BT60" i="37"/>
  <c r="BT62" i="37" s="1"/>
  <c r="BQ121" i="37"/>
  <c r="BW121" i="37"/>
  <c r="BQ122" i="38"/>
  <c r="BV86" i="38"/>
  <c r="BV88" i="38" s="1"/>
  <c r="CA122" i="38"/>
  <c r="CA127" i="38" s="1"/>
  <c r="CA129" i="38" s="1"/>
  <c r="BK180" i="38"/>
  <c r="BW85" i="38" s="1"/>
  <c r="BJ181" i="38"/>
  <c r="BZ60" i="41"/>
  <c r="BZ62" i="41" s="1"/>
  <c r="CG115" i="41"/>
  <c r="BS115" i="41"/>
  <c r="BS124" i="41" s="1"/>
  <c r="BS126" i="41" s="1"/>
  <c r="BY126" i="42"/>
  <c r="BU89" i="42"/>
  <c r="BU91" i="42" s="1"/>
  <c r="BQ126" i="42"/>
  <c r="BQ98" i="40"/>
  <c r="BS60" i="40"/>
  <c r="BS62" i="40" s="1"/>
  <c r="BU98" i="40"/>
  <c r="BJ170" i="39"/>
  <c r="BK169" i="39"/>
  <c r="BV57" i="39" s="1"/>
  <c r="BQ95" i="39"/>
  <c r="BU58" i="39"/>
  <c r="BU60" i="39" s="1"/>
  <c r="BY95" i="39"/>
  <c r="BQ126" i="41"/>
  <c r="BY60" i="36"/>
  <c r="BY62" i="36" s="1"/>
  <c r="CG116" i="36"/>
  <c r="BQ116" i="36"/>
  <c r="BQ124" i="36" s="1"/>
  <c r="BK215" i="40"/>
  <c r="BL214" i="40"/>
  <c r="BT59" i="40" s="1"/>
  <c r="BK235" i="41"/>
  <c r="BL234" i="41"/>
  <c r="CA59" i="41" s="1"/>
  <c r="BJ171" i="42"/>
  <c r="BK170" i="42"/>
  <c r="BV88" i="42" s="1"/>
  <c r="BL236" i="36"/>
  <c r="BZ59" i="36" s="1"/>
  <c r="BK237" i="36"/>
  <c r="BQ123" i="35"/>
  <c r="BV87" i="35"/>
  <c r="BV89" i="35" s="1"/>
  <c r="CA123" i="35"/>
  <c r="CA128" i="35" s="1"/>
  <c r="CA130" i="35" s="1"/>
  <c r="BJ170" i="35"/>
  <c r="BK169" i="35"/>
  <c r="BW86" i="35" s="1"/>
  <c r="BY120" i="37" l="1"/>
  <c r="BU60" i="37"/>
  <c r="BU62" i="37" s="1"/>
  <c r="BQ120" i="37"/>
  <c r="BK246" i="37"/>
  <c r="BL245" i="37"/>
  <c r="BV59" i="37" s="1"/>
  <c r="CC121" i="38"/>
  <c r="CC127" i="38" s="1"/>
  <c r="CC129" i="38" s="1"/>
  <c r="BQ121" i="38"/>
  <c r="BW86" i="38"/>
  <c r="BW88" i="38" s="1"/>
  <c r="BK181" i="38"/>
  <c r="BX85" i="38" s="1"/>
  <c r="BJ182" i="38"/>
  <c r="BW97" i="40"/>
  <c r="BQ97" i="40"/>
  <c r="BT60" i="40"/>
  <c r="BT62" i="40" s="1"/>
  <c r="CA125" i="42"/>
  <c r="CA130" i="42" s="1"/>
  <c r="CA132" i="42" s="1"/>
  <c r="BQ125" i="42"/>
  <c r="BV89" i="42"/>
  <c r="BV91" i="42" s="1"/>
  <c r="BK216" i="40"/>
  <c r="BL215" i="40"/>
  <c r="BU59" i="40" s="1"/>
  <c r="CA94" i="39"/>
  <c r="CA99" i="39" s="1"/>
  <c r="CA131" i="39" s="1"/>
  <c r="BV58" i="39"/>
  <c r="BV60" i="39" s="1"/>
  <c r="BQ94" i="39"/>
  <c r="BS115" i="36"/>
  <c r="BS124" i="36" s="1"/>
  <c r="BS126" i="36" s="1"/>
  <c r="CG115" i="36"/>
  <c r="BZ60" i="36"/>
  <c r="BZ62" i="36" s="1"/>
  <c r="BL235" i="41"/>
  <c r="CB59" i="41" s="1"/>
  <c r="BK236" i="41"/>
  <c r="BJ172" i="42"/>
  <c r="BK171" i="42"/>
  <c r="BW88" i="42" s="1"/>
  <c r="BQ126" i="36"/>
  <c r="BJ171" i="39"/>
  <c r="BK170" i="39"/>
  <c r="BW57" i="39" s="1"/>
  <c r="BK238" i="36"/>
  <c r="BL237" i="36"/>
  <c r="CA59" i="36" s="1"/>
  <c r="CG114" i="41"/>
  <c r="BU114" i="41"/>
  <c r="BU124" i="41" s="1"/>
  <c r="BU126" i="41" s="1"/>
  <c r="CA60" i="41"/>
  <c r="CA62" i="41" s="1"/>
  <c r="BJ171" i="35"/>
  <c r="BK170" i="35"/>
  <c r="BX86" i="35" s="1"/>
  <c r="BQ122" i="35"/>
  <c r="BW87" i="35"/>
  <c r="BW89" i="35" s="1"/>
  <c r="CC122" i="35"/>
  <c r="CC128" i="35" s="1"/>
  <c r="CC130" i="35" s="1"/>
  <c r="BL246" i="37" l="1"/>
  <c r="BW59" i="37" s="1"/>
  <c r="BK247" i="37"/>
  <c r="BV60" i="37"/>
  <c r="BV62" i="37" s="1"/>
  <c r="CA119" i="37"/>
  <c r="CA124" i="37" s="1"/>
  <c r="CA126" i="37" s="1"/>
  <c r="BQ119" i="37"/>
  <c r="BK182" i="38"/>
  <c r="BY85" i="38" s="1"/>
  <c r="BJ183" i="38"/>
  <c r="BQ120" i="38"/>
  <c r="BX86" i="38"/>
  <c r="BX88" i="38" s="1"/>
  <c r="CE120" i="38"/>
  <c r="CE127" i="38" s="1"/>
  <c r="CE129" i="38" s="1"/>
  <c r="BK237" i="41"/>
  <c r="BL236" i="41"/>
  <c r="CC59" i="41" s="1"/>
  <c r="BQ96" i="40"/>
  <c r="BU60" i="40"/>
  <c r="BU62" i="40" s="1"/>
  <c r="BY96" i="40"/>
  <c r="CG114" i="36"/>
  <c r="BU114" i="36"/>
  <c r="BU124" i="36" s="1"/>
  <c r="BU126" i="36" s="1"/>
  <c r="CA60" i="36"/>
  <c r="CA62" i="36" s="1"/>
  <c r="BQ93" i="39"/>
  <c r="BW58" i="39"/>
  <c r="BW60" i="39" s="1"/>
  <c r="CC93" i="39"/>
  <c r="CC99" i="39" s="1"/>
  <c r="CC131" i="39" s="1"/>
  <c r="CG113" i="41"/>
  <c r="CB60" i="41"/>
  <c r="CB62" i="41" s="1"/>
  <c r="BW113" i="41"/>
  <c r="BW124" i="41" s="1"/>
  <c r="BW126" i="41" s="1"/>
  <c r="BK217" i="40"/>
  <c r="BL216" i="40"/>
  <c r="BV59" i="40" s="1"/>
  <c r="BL238" i="36"/>
  <c r="CB59" i="36" s="1"/>
  <c r="BK239" i="36"/>
  <c r="BJ172" i="39"/>
  <c r="BK171" i="39"/>
  <c r="BX57" i="39" s="1"/>
  <c r="BW89" i="42"/>
  <c r="BW91" i="42" s="1"/>
  <c r="CC124" i="42"/>
  <c r="CC130" i="42" s="1"/>
  <c r="CC132" i="42" s="1"/>
  <c r="BQ124" i="42"/>
  <c r="BJ173" i="42"/>
  <c r="BK172" i="42"/>
  <c r="BX88" i="42" s="1"/>
  <c r="BQ121" i="35"/>
  <c r="CE121" i="35"/>
  <c r="CE128" i="35" s="1"/>
  <c r="CE130" i="35" s="1"/>
  <c r="BX87" i="35"/>
  <c r="BX89" i="35" s="1"/>
  <c r="BJ172" i="35"/>
  <c r="BK171" i="35"/>
  <c r="BY86" i="35" s="1"/>
  <c r="BL247" i="37" l="1"/>
  <c r="BX59" i="37" s="1"/>
  <c r="BK248" i="37"/>
  <c r="BW60" i="37"/>
  <c r="BW62" i="37" s="1"/>
  <c r="BQ118" i="37"/>
  <c r="CC118" i="37"/>
  <c r="CC124" i="37" s="1"/>
  <c r="CC126" i="37" s="1"/>
  <c r="BJ184" i="38"/>
  <c r="BK183" i="38"/>
  <c r="BZ85" i="38" s="1"/>
  <c r="BQ119" i="38"/>
  <c r="BQ127" i="38" s="1"/>
  <c r="BQ129" i="38" s="1"/>
  <c r="CG119" i="38"/>
  <c r="BY86" i="38"/>
  <c r="BY88" i="38" s="1"/>
  <c r="BJ174" i="42"/>
  <c r="BK173" i="42"/>
  <c r="BY88" i="42" s="1"/>
  <c r="BK172" i="39"/>
  <c r="BY57" i="39" s="1"/>
  <c r="BJ173" i="39"/>
  <c r="CA95" i="40"/>
  <c r="CA100" i="40" s="1"/>
  <c r="CA102" i="40" s="1"/>
  <c r="BV60" i="40"/>
  <c r="BV62" i="40" s="1"/>
  <c r="BQ95" i="40"/>
  <c r="BK240" i="36"/>
  <c r="BL239" i="36"/>
  <c r="CC59" i="36" s="1"/>
  <c r="BK218" i="40"/>
  <c r="BL217" i="40"/>
  <c r="BW59" i="40" s="1"/>
  <c r="BW113" i="36"/>
  <c r="BW124" i="36" s="1"/>
  <c r="BW126" i="36" s="1"/>
  <c r="CB60" i="36"/>
  <c r="CB62" i="36" s="1"/>
  <c r="CG113" i="36"/>
  <c r="CG112" i="41"/>
  <c r="CG124" i="41" s="1"/>
  <c r="CG126" i="41" s="1"/>
  <c r="BY112" i="41"/>
  <c r="BY124" i="41" s="1"/>
  <c r="BY126" i="41" s="1"/>
  <c r="CC60" i="41"/>
  <c r="CC62" i="41" s="1"/>
  <c r="CD55" i="41"/>
  <c r="CB55" i="41"/>
  <c r="CE123" i="42"/>
  <c r="CE130" i="42" s="1"/>
  <c r="CE132" i="42" s="1"/>
  <c r="BQ123" i="42"/>
  <c r="BX89" i="42"/>
  <c r="BX91" i="42" s="1"/>
  <c r="CE92" i="39"/>
  <c r="CE99" i="39" s="1"/>
  <c r="CE131" i="39" s="1"/>
  <c r="BQ92" i="39"/>
  <c r="BX58" i="39"/>
  <c r="BX60" i="39" s="1"/>
  <c r="BL237" i="41"/>
  <c r="CD59" i="41" s="1"/>
  <c r="BK238" i="41"/>
  <c r="BJ173" i="35"/>
  <c r="BK172" i="35"/>
  <c r="BZ86" i="35" s="1"/>
  <c r="BQ120" i="35"/>
  <c r="BQ128" i="35" s="1"/>
  <c r="BY87" i="35"/>
  <c r="BY89" i="35" s="1"/>
  <c r="CG120" i="35"/>
  <c r="BL248" i="37" l="1"/>
  <c r="BY59" i="37" s="1"/>
  <c r="BK249" i="37"/>
  <c r="BX60" i="37"/>
  <c r="BX62" i="37" s="1"/>
  <c r="CE117" i="37"/>
  <c r="CE124" i="37" s="1"/>
  <c r="CE126" i="37" s="1"/>
  <c r="BQ117" i="37"/>
  <c r="BS118" i="38"/>
  <c r="BS127" i="38" s="1"/>
  <c r="BS129" i="38" s="1"/>
  <c r="CG118" i="38"/>
  <c r="BZ86" i="38"/>
  <c r="BZ88" i="38" s="1"/>
  <c r="BJ185" i="38"/>
  <c r="BK184" i="38"/>
  <c r="CA85" i="38" s="1"/>
  <c r="BQ91" i="39"/>
  <c r="BQ99" i="39" s="1"/>
  <c r="BY58" i="39"/>
  <c r="BY60" i="39" s="1"/>
  <c r="CG91" i="39"/>
  <c r="CD60" i="41"/>
  <c r="CD62" i="41" s="1"/>
  <c r="CF54" i="41"/>
  <c r="CP111" i="41"/>
  <c r="CB54" i="41"/>
  <c r="BR111" i="41"/>
  <c r="BR124" i="41" s="1"/>
  <c r="BQ94" i="40"/>
  <c r="BW60" i="40"/>
  <c r="BW62" i="40" s="1"/>
  <c r="CC94" i="40"/>
  <c r="CC100" i="40" s="1"/>
  <c r="CC102" i="40" s="1"/>
  <c r="CG122" i="42"/>
  <c r="BY89" i="42"/>
  <c r="BY91" i="42" s="1"/>
  <c r="BQ122" i="42"/>
  <c r="BQ130" i="42" s="1"/>
  <c r="BK239" i="41"/>
  <c r="BL238" i="41"/>
  <c r="CE59" i="41" s="1"/>
  <c r="BL218" i="40"/>
  <c r="BX59" i="40" s="1"/>
  <c r="BK219" i="40"/>
  <c r="CC60" i="36"/>
  <c r="CC62" i="36" s="1"/>
  <c r="CD55" i="36"/>
  <c r="CG112" i="36"/>
  <c r="CG124" i="36" s="1"/>
  <c r="CG126" i="36" s="1"/>
  <c r="CB55" i="36"/>
  <c r="BY112" i="36"/>
  <c r="BY124" i="36" s="1"/>
  <c r="BY126" i="36" s="1"/>
  <c r="BK174" i="42"/>
  <c r="BZ88" i="42" s="1"/>
  <c r="BJ175" i="42"/>
  <c r="BL240" i="36"/>
  <c r="CD59" i="36" s="1"/>
  <c r="BK241" i="36"/>
  <c r="BJ174" i="39"/>
  <c r="BK173" i="39"/>
  <c r="BZ57" i="39" s="1"/>
  <c r="BS119" i="35"/>
  <c r="BS128" i="35" s="1"/>
  <c r="BS130" i="35" s="1"/>
  <c r="BZ87" i="35"/>
  <c r="BZ89" i="35" s="1"/>
  <c r="CG119" i="35"/>
  <c r="BQ130" i="35"/>
  <c r="BJ174" i="35"/>
  <c r="BK173" i="35"/>
  <c r="CA86" i="35" s="1"/>
  <c r="BL249" i="37" l="1"/>
  <c r="BZ59" i="37" s="1"/>
  <c r="BK250" i="37"/>
  <c r="BQ116" i="37"/>
  <c r="BQ124" i="37" s="1"/>
  <c r="BQ126" i="37" s="1"/>
  <c r="BY60" i="37"/>
  <c r="BY62" i="37" s="1"/>
  <c r="CG116" i="37"/>
  <c r="BJ186" i="38"/>
  <c r="BK185" i="38"/>
  <c r="CB85" i="38" s="1"/>
  <c r="BU117" i="38"/>
  <c r="BU127" i="38" s="1"/>
  <c r="BU129" i="38" s="1"/>
  <c r="CA86" i="38"/>
  <c r="CA88" i="38" s="1"/>
  <c r="CG117" i="38"/>
  <c r="BK174" i="39"/>
  <c r="CA57" i="39" s="1"/>
  <c r="BJ175" i="39"/>
  <c r="BJ176" i="42"/>
  <c r="BK175" i="42"/>
  <c r="CA88" i="42" s="1"/>
  <c r="BK242" i="36"/>
  <c r="BL241" i="36"/>
  <c r="CE59" i="36" s="1"/>
  <c r="CG90" i="39"/>
  <c r="BZ58" i="39"/>
  <c r="BZ60" i="39" s="1"/>
  <c r="BS90" i="39"/>
  <c r="BS99" i="39" s="1"/>
  <c r="BS131" i="39" s="1"/>
  <c r="BL219" i="40"/>
  <c r="BY59" i="40" s="1"/>
  <c r="BK220" i="40"/>
  <c r="CP110" i="41"/>
  <c r="BT110" i="41"/>
  <c r="BT124" i="41" s="1"/>
  <c r="BT126" i="41" s="1"/>
  <c r="CH53" i="41"/>
  <c r="CB53" i="41"/>
  <c r="CE60" i="41"/>
  <c r="CE62" i="41" s="1"/>
  <c r="CE93" i="40"/>
  <c r="CE100" i="40" s="1"/>
  <c r="CE102" i="40" s="1"/>
  <c r="BQ93" i="40"/>
  <c r="BX60" i="40"/>
  <c r="BX62" i="40" s="1"/>
  <c r="BL239" i="41"/>
  <c r="CF59" i="41" s="1"/>
  <c r="BK240" i="41"/>
  <c r="BQ131" i="39"/>
  <c r="CG121" i="42"/>
  <c r="BS121" i="42"/>
  <c r="BS130" i="42" s="1"/>
  <c r="BS132" i="42" s="1"/>
  <c r="BZ89" i="42"/>
  <c r="BZ91" i="42" s="1"/>
  <c r="BQ132" i="42"/>
  <c r="BR126" i="41"/>
  <c r="BR111" i="36"/>
  <c r="BR124" i="36" s="1"/>
  <c r="CF54" i="36"/>
  <c r="CB54" i="36"/>
  <c r="CP111" i="36"/>
  <c r="CD60" i="36"/>
  <c r="CD62" i="36" s="1"/>
  <c r="BU118" i="35"/>
  <c r="BU128" i="35" s="1"/>
  <c r="BU130" i="35" s="1"/>
  <c r="CG118" i="35"/>
  <c r="CA87" i="35"/>
  <c r="CA89" i="35" s="1"/>
  <c r="BJ175" i="35"/>
  <c r="BK174" i="35"/>
  <c r="CB86" i="35" s="1"/>
  <c r="BL250" i="37" l="1"/>
  <c r="CA59" i="37" s="1"/>
  <c r="BK251" i="37"/>
  <c r="CG115" i="37"/>
  <c r="BS115" i="37"/>
  <c r="BS124" i="37" s="1"/>
  <c r="BS126" i="37" s="1"/>
  <c r="BZ60" i="37"/>
  <c r="BZ62" i="37" s="1"/>
  <c r="BJ187" i="38"/>
  <c r="BK186" i="38"/>
  <c r="CC85" i="38" s="1"/>
  <c r="CB86" i="38"/>
  <c r="CB88" i="38" s="1"/>
  <c r="CG116" i="38"/>
  <c r="BW116" i="38"/>
  <c r="BW127" i="38" s="1"/>
  <c r="BW129" i="38" s="1"/>
  <c r="BK241" i="41"/>
  <c r="BL240" i="41"/>
  <c r="CG59" i="41" s="1"/>
  <c r="BK176" i="42"/>
  <c r="CB88" i="42" s="1"/>
  <c r="BJ177" i="42"/>
  <c r="BR126" i="36"/>
  <c r="CB52" i="41"/>
  <c r="CP109" i="41"/>
  <c r="CF60" i="41"/>
  <c r="CF62" i="41" s="1"/>
  <c r="BV109" i="41"/>
  <c r="BV124" i="41" s="1"/>
  <c r="CJ52" i="41"/>
  <c r="BL220" i="40"/>
  <c r="BZ59" i="40" s="1"/>
  <c r="BK221" i="40"/>
  <c r="CH53" i="36"/>
  <c r="CP110" i="36"/>
  <c r="CB53" i="36"/>
  <c r="BT110" i="36"/>
  <c r="BT124" i="36" s="1"/>
  <c r="BT126" i="36" s="1"/>
  <c r="CE60" i="36"/>
  <c r="CE62" i="36" s="1"/>
  <c r="BJ176" i="39"/>
  <c r="BK175" i="39"/>
  <c r="CB57" i="39" s="1"/>
  <c r="BQ92" i="40"/>
  <c r="BQ100" i="40" s="1"/>
  <c r="BY60" i="40"/>
  <c r="BY62" i="40" s="1"/>
  <c r="CG92" i="40"/>
  <c r="BL242" i="36"/>
  <c r="CF59" i="36" s="1"/>
  <c r="BK243" i="36"/>
  <c r="BU89" i="39"/>
  <c r="BU99" i="39" s="1"/>
  <c r="BU131" i="39" s="1"/>
  <c r="CA58" i="39"/>
  <c r="CA60" i="39" s="1"/>
  <c r="CG89" i="39"/>
  <c r="CA89" i="42"/>
  <c r="CA91" i="42" s="1"/>
  <c r="CG120" i="42"/>
  <c r="BU120" i="42"/>
  <c r="BU130" i="42" s="1"/>
  <c r="BU132" i="42" s="1"/>
  <c r="BJ176" i="35"/>
  <c r="BK175" i="35"/>
  <c r="CC86" i="35" s="1"/>
  <c r="BW117" i="35"/>
  <c r="BW128" i="35" s="1"/>
  <c r="BW130" i="35" s="1"/>
  <c r="CB87" i="35"/>
  <c r="CB89" i="35" s="1"/>
  <c r="CG117" i="35"/>
  <c r="BL251" i="37" l="1"/>
  <c r="CB59" i="37" s="1"/>
  <c r="BK252" i="37"/>
  <c r="CA60" i="37"/>
  <c r="CA62" i="37" s="1"/>
  <c r="CG114" i="37"/>
  <c r="BU114" i="37"/>
  <c r="BU124" i="37" s="1"/>
  <c r="BU126" i="37" s="1"/>
  <c r="BJ188" i="38"/>
  <c r="BK187" i="38"/>
  <c r="CD85" i="38" s="1"/>
  <c r="CC86" i="38"/>
  <c r="CC88" i="38" s="1"/>
  <c r="CB81" i="38"/>
  <c r="BY115" i="38"/>
  <c r="BY127" i="38" s="1"/>
  <c r="BY129" i="38" s="1"/>
  <c r="CD81" i="38"/>
  <c r="CG115" i="38"/>
  <c r="CG127" i="38" s="1"/>
  <c r="CG129" i="38" s="1"/>
  <c r="BK244" i="36"/>
  <c r="BL243" i="36"/>
  <c r="CG59" i="36" s="1"/>
  <c r="CG91" i="40"/>
  <c r="BZ60" i="40"/>
  <c r="BZ62" i="40" s="1"/>
  <c r="BS91" i="40"/>
  <c r="BS100" i="40" s="1"/>
  <c r="BS102" i="40" s="1"/>
  <c r="BQ102" i="40"/>
  <c r="BV109" i="36"/>
  <c r="BV124" i="36" s="1"/>
  <c r="BV126" i="36" s="1"/>
  <c r="CF60" i="36"/>
  <c r="CF62" i="36" s="1"/>
  <c r="CJ52" i="36"/>
  <c r="CP109" i="36"/>
  <c r="CB52" i="36"/>
  <c r="BJ178" i="42"/>
  <c r="BK177" i="42"/>
  <c r="CC88" i="42" s="1"/>
  <c r="CP108" i="41"/>
  <c r="BX108" i="41"/>
  <c r="BX124" i="41" s="1"/>
  <c r="BX126" i="41" s="1"/>
  <c r="CG60" i="41"/>
  <c r="CG62" i="41" s="1"/>
  <c r="CL51" i="41"/>
  <c r="CB51" i="41"/>
  <c r="CG88" i="39"/>
  <c r="BW88" i="39"/>
  <c r="BW99" i="39" s="1"/>
  <c r="BW131" i="39" s="1"/>
  <c r="CB58" i="39"/>
  <c r="CB60" i="39" s="1"/>
  <c r="BV126" i="41"/>
  <c r="CG119" i="42"/>
  <c r="BW119" i="42"/>
  <c r="BW130" i="42" s="1"/>
  <c r="BW132" i="42" s="1"/>
  <c r="CB89" i="42"/>
  <c r="CB91" i="42" s="1"/>
  <c r="BL241" i="41"/>
  <c r="CH59" i="41" s="1"/>
  <c r="BK242" i="41"/>
  <c r="BK176" i="39"/>
  <c r="CC57" i="39" s="1"/>
  <c r="BJ177" i="39"/>
  <c r="BL221" i="40"/>
  <c r="CA59" i="40" s="1"/>
  <c r="BK222" i="40"/>
  <c r="BY116" i="35"/>
  <c r="BY128" i="35" s="1"/>
  <c r="BY130" i="35" s="1"/>
  <c r="CD82" i="35"/>
  <c r="CG116" i="35"/>
  <c r="CG128" i="35" s="1"/>
  <c r="CG130" i="35" s="1"/>
  <c r="CC87" i="35"/>
  <c r="CC89" i="35" s="1"/>
  <c r="CB82" i="35"/>
  <c r="BJ177" i="35"/>
  <c r="BK176" i="35"/>
  <c r="CD86" i="35" s="1"/>
  <c r="BL252" i="37" l="1"/>
  <c r="CC59" i="37" s="1"/>
  <c r="BK253" i="37"/>
  <c r="CG113" i="37"/>
  <c r="CB60" i="37"/>
  <c r="CB62" i="37" s="1"/>
  <c r="BW113" i="37"/>
  <c r="BW124" i="37" s="1"/>
  <c r="BW126" i="37" s="1"/>
  <c r="CD86" i="38"/>
  <c r="CD88" i="38" s="1"/>
  <c r="CF80" i="38"/>
  <c r="CB80" i="38"/>
  <c r="BR114" i="38"/>
  <c r="BR127" i="38" s="1"/>
  <c r="BR129" i="38" s="1"/>
  <c r="CP114" i="38"/>
  <c r="BK188" i="38"/>
  <c r="CE85" i="38" s="1"/>
  <c r="BJ189" i="38"/>
  <c r="BU90" i="40"/>
  <c r="BU100" i="40" s="1"/>
  <c r="BU102" i="40" s="1"/>
  <c r="CA60" i="40"/>
  <c r="CA62" i="40" s="1"/>
  <c r="CG90" i="40"/>
  <c r="CG60" i="36"/>
  <c r="CG62" i="36" s="1"/>
  <c r="CL51" i="36"/>
  <c r="CP108" i="36"/>
  <c r="CB51" i="36"/>
  <c r="BX108" i="36"/>
  <c r="BX124" i="36" s="1"/>
  <c r="CB84" i="42"/>
  <c r="CG118" i="42"/>
  <c r="CG130" i="42" s="1"/>
  <c r="CG132" i="42" s="1"/>
  <c r="CC89" i="42"/>
  <c r="CC91" i="42" s="1"/>
  <c r="BY118" i="42"/>
  <c r="BY130" i="42" s="1"/>
  <c r="BY132" i="42" s="1"/>
  <c r="CD84" i="42"/>
  <c r="BL244" i="36"/>
  <c r="CH59" i="36" s="1"/>
  <c r="BK245" i="36"/>
  <c r="BY87" i="39"/>
  <c r="BY99" i="39" s="1"/>
  <c r="BY131" i="39" s="1"/>
  <c r="CC58" i="39"/>
  <c r="CC60" i="39" s="1"/>
  <c r="CD53" i="39"/>
  <c r="CG87" i="39"/>
  <c r="CG99" i="39" s="1"/>
  <c r="CG131" i="39" s="1"/>
  <c r="CB53" i="39"/>
  <c r="BK243" i="41"/>
  <c r="BL242" i="41"/>
  <c r="CI59" i="41" s="1"/>
  <c r="BK178" i="42"/>
  <c r="CD88" i="42" s="1"/>
  <c r="BJ179" i="42"/>
  <c r="BJ178" i="39"/>
  <c r="BK177" i="39"/>
  <c r="CD57" i="39" s="1"/>
  <c r="BL222" i="40"/>
  <c r="CB59" i="40" s="1"/>
  <c r="BK223" i="40"/>
  <c r="CH60" i="41"/>
  <c r="CH62" i="41" s="1"/>
  <c r="CB50" i="41"/>
  <c r="CP107" i="41"/>
  <c r="BZ107" i="41"/>
  <c r="BZ124" i="41" s="1"/>
  <c r="CN50" i="41"/>
  <c r="BR115" i="35"/>
  <c r="BR128" i="35" s="1"/>
  <c r="CD87" i="35"/>
  <c r="CD89" i="35" s="1"/>
  <c r="CF81" i="35"/>
  <c r="CP115" i="35"/>
  <c r="CB81" i="35"/>
  <c r="BJ178" i="35"/>
  <c r="BK177" i="35"/>
  <c r="CE86" i="35" s="1"/>
  <c r="CC60" i="37" l="1"/>
  <c r="CC62" i="37" s="1"/>
  <c r="CD55" i="37"/>
  <c r="CG112" i="37"/>
  <c r="CG124" i="37" s="1"/>
  <c r="CG126" i="37" s="1"/>
  <c r="CB55" i="37"/>
  <c r="BY112" i="37"/>
  <c r="BY124" i="37" s="1"/>
  <c r="BY126" i="37" s="1"/>
  <c r="BL253" i="37"/>
  <c r="CD59" i="37" s="1"/>
  <c r="BK254" i="37"/>
  <c r="BK189" i="38"/>
  <c r="CF85" i="38" s="1"/>
  <c r="BJ190" i="38"/>
  <c r="CP113" i="38"/>
  <c r="CB79" i="38"/>
  <c r="CH79" i="38"/>
  <c r="BT113" i="38"/>
  <c r="BT127" i="38" s="1"/>
  <c r="BT129" i="38" s="1"/>
  <c r="CE86" i="38"/>
  <c r="CE88" i="38" s="1"/>
  <c r="BL223" i="40"/>
  <c r="CC59" i="40" s="1"/>
  <c r="BK224" i="40"/>
  <c r="BJ180" i="42"/>
  <c r="BK179" i="42"/>
  <c r="CE88" i="42" s="1"/>
  <c r="CG89" i="40"/>
  <c r="BW89" i="40"/>
  <c r="BW100" i="40" s="1"/>
  <c r="BW102" i="40" s="1"/>
  <c r="CB60" i="40"/>
  <c r="CB62" i="40" s="1"/>
  <c r="BK246" i="36"/>
  <c r="BL245" i="36"/>
  <c r="CI59" i="36" s="1"/>
  <c r="CF52" i="39"/>
  <c r="CP86" i="39"/>
  <c r="CD58" i="39"/>
  <c r="CD60" i="39" s="1"/>
  <c r="CB52" i="39"/>
  <c r="BR86" i="39"/>
  <c r="BR99" i="39" s="1"/>
  <c r="CP106" i="41"/>
  <c r="CP124" i="41" s="1"/>
  <c r="CP126" i="41" s="1"/>
  <c r="CP49" i="41"/>
  <c r="CB106" i="41"/>
  <c r="CB49" i="41"/>
  <c r="CI60" i="41"/>
  <c r="CI62" i="41" s="1"/>
  <c r="BZ107" i="36"/>
  <c r="BZ124" i="36" s="1"/>
  <c r="BZ126" i="36" s="1"/>
  <c r="CN50" i="36"/>
  <c r="CP107" i="36"/>
  <c r="CH60" i="36"/>
  <c r="CH62" i="36" s="1"/>
  <c r="CB50" i="36"/>
  <c r="CP117" i="42"/>
  <c r="BR117" i="42"/>
  <c r="BR130" i="42" s="1"/>
  <c r="CD89" i="42"/>
  <c r="CD91" i="42" s="1"/>
  <c r="CF83" i="42"/>
  <c r="CB83" i="42"/>
  <c r="BZ126" i="41"/>
  <c r="H42" i="41"/>
  <c r="H43" i="41" s="1"/>
  <c r="BK178" i="39"/>
  <c r="CE57" i="39" s="1"/>
  <c r="BJ179" i="39"/>
  <c r="BL243" i="41"/>
  <c r="CJ59" i="41" s="1"/>
  <c r="BK244" i="41"/>
  <c r="BX126" i="36"/>
  <c r="BT114" i="35"/>
  <c r="BT128" i="35" s="1"/>
  <c r="BT130" i="35" s="1"/>
  <c r="CP114" i="35"/>
  <c r="CH80" i="35"/>
  <c r="CE87" i="35"/>
  <c r="CE89" i="35" s="1"/>
  <c r="CB80" i="35"/>
  <c r="BJ179" i="35"/>
  <c r="BK178" i="35"/>
  <c r="CF86" i="35" s="1"/>
  <c r="BR130" i="35"/>
  <c r="BR111" i="37" l="1"/>
  <c r="BR124" i="37" s="1"/>
  <c r="BR126" i="37" s="1"/>
  <c r="CF54" i="37"/>
  <c r="CD60" i="37"/>
  <c r="CD62" i="37" s="1"/>
  <c r="CP111" i="37"/>
  <c r="CB54" i="37"/>
  <c r="BK255" i="37"/>
  <c r="BL254" i="37"/>
  <c r="CE59" i="37" s="1"/>
  <c r="BK190" i="38"/>
  <c r="CG85" i="38" s="1"/>
  <c r="BJ191" i="38"/>
  <c r="CB78" i="38"/>
  <c r="CF86" i="38"/>
  <c r="CF88" i="38" s="1"/>
  <c r="BV112" i="38"/>
  <c r="BV127" i="38" s="1"/>
  <c r="BV129" i="38" s="1"/>
  <c r="CP112" i="38"/>
  <c r="CJ78" i="38"/>
  <c r="H42" i="36"/>
  <c r="H43" i="36" s="1"/>
  <c r="J42" i="36" s="1"/>
  <c r="CR48" i="41"/>
  <c r="CR105" i="41"/>
  <c r="CR124" i="41" s="1"/>
  <c r="CR126" i="41" s="1"/>
  <c r="CJ60" i="41"/>
  <c r="CJ62" i="41" s="1"/>
  <c r="CB48" i="41"/>
  <c r="CB57" i="41" s="1"/>
  <c r="CB105" i="41"/>
  <c r="CE89" i="42"/>
  <c r="CE91" i="42" s="1"/>
  <c r="CB82" i="42"/>
  <c r="CP116" i="42"/>
  <c r="BT116" i="42"/>
  <c r="BT130" i="42" s="1"/>
  <c r="BT132" i="42" s="1"/>
  <c r="CH82" i="42"/>
  <c r="BJ180" i="39"/>
  <c r="BK179" i="39"/>
  <c r="CF57" i="39" s="1"/>
  <c r="BR132" i="42"/>
  <c r="CB49" i="36"/>
  <c r="CP106" i="36"/>
  <c r="CP124" i="36" s="1"/>
  <c r="CP126" i="36" s="1"/>
  <c r="CB106" i="36"/>
  <c r="CI60" i="36"/>
  <c r="CI62" i="36" s="1"/>
  <c r="CP49" i="36"/>
  <c r="BK180" i="42"/>
  <c r="CF88" i="42" s="1"/>
  <c r="BJ181" i="42"/>
  <c r="BT85" i="39"/>
  <c r="BT99" i="39" s="1"/>
  <c r="BT131" i="39" s="1"/>
  <c r="CE58" i="39"/>
  <c r="CE60" i="39" s="1"/>
  <c r="CH51" i="39"/>
  <c r="CP85" i="39"/>
  <c r="CB51" i="39"/>
  <c r="K131" i="41"/>
  <c r="BL246" i="36"/>
  <c r="CJ59" i="36" s="1"/>
  <c r="BK247" i="36"/>
  <c r="BL224" i="40"/>
  <c r="CD59" i="40" s="1"/>
  <c r="BK225" i="40"/>
  <c r="BK245" i="41"/>
  <c r="BL244" i="41"/>
  <c r="CK59" i="41" s="1"/>
  <c r="J42" i="41"/>
  <c r="K42" i="41"/>
  <c r="BR131" i="39"/>
  <c r="BY88" i="40"/>
  <c r="BY100" i="40" s="1"/>
  <c r="BY102" i="40" s="1"/>
  <c r="CC60" i="40"/>
  <c r="CC62" i="40" s="1"/>
  <c r="CD55" i="40"/>
  <c r="CG88" i="40"/>
  <c r="CG100" i="40" s="1"/>
  <c r="CG102" i="40" s="1"/>
  <c r="CB55" i="40"/>
  <c r="CF87" i="35"/>
  <c r="CF89" i="35" s="1"/>
  <c r="BV113" i="35"/>
  <c r="BV128" i="35" s="1"/>
  <c r="CJ79" i="35"/>
  <c r="CP113" i="35"/>
  <c r="CB79" i="35"/>
  <c r="BJ180" i="35"/>
  <c r="BK179" i="35"/>
  <c r="CG86" i="35" s="1"/>
  <c r="BL255" i="37" l="1"/>
  <c r="CF59" i="37" s="1"/>
  <c r="BK256" i="37"/>
  <c r="CP110" i="37"/>
  <c r="CB53" i="37"/>
  <c r="CH53" i="37"/>
  <c r="BT110" i="37"/>
  <c r="BT124" i="37" s="1"/>
  <c r="BT126" i="37" s="1"/>
  <c r="CE60" i="37"/>
  <c r="CE62" i="37" s="1"/>
  <c r="BK191" i="38"/>
  <c r="CH85" i="38" s="1"/>
  <c r="BJ192" i="38"/>
  <c r="CG86" i="38"/>
  <c r="CG88" i="38" s="1"/>
  <c r="CL77" i="38"/>
  <c r="BX111" i="38"/>
  <c r="BX127" i="38" s="1"/>
  <c r="BX129" i="38" s="1"/>
  <c r="CP111" i="38"/>
  <c r="CB77" i="38"/>
  <c r="K42" i="36"/>
  <c r="J43" i="41"/>
  <c r="CP87" i="40"/>
  <c r="CD60" i="40"/>
  <c r="CD62" i="40" s="1"/>
  <c r="BR87" i="40"/>
  <c r="BR100" i="40" s="1"/>
  <c r="CF54" i="40"/>
  <c r="CB54" i="40"/>
  <c r="CB105" i="36"/>
  <c r="CR48" i="36"/>
  <c r="CJ60" i="36"/>
  <c r="CJ62" i="36" s="1"/>
  <c r="CB48" i="36"/>
  <c r="CB57" i="36" s="1"/>
  <c r="CR105" i="36"/>
  <c r="CR124" i="36" s="1"/>
  <c r="CR126" i="36" s="1"/>
  <c r="BJ182" i="42"/>
  <c r="BK181" i="42"/>
  <c r="CG88" i="42" s="1"/>
  <c r="BK180" i="39"/>
  <c r="CG57" i="39" s="1"/>
  <c r="BJ181" i="39"/>
  <c r="CT104" i="41"/>
  <c r="CT124" i="41" s="1"/>
  <c r="CT126" i="41" s="1"/>
  <c r="CD47" i="41"/>
  <c r="CD57" i="41" s="1"/>
  <c r="CB104" i="41"/>
  <c r="CK60" i="41"/>
  <c r="CK62" i="41" s="1"/>
  <c r="CR47" i="41"/>
  <c r="CP115" i="42"/>
  <c r="BV115" i="42"/>
  <c r="BV130" i="42" s="1"/>
  <c r="CJ81" i="42"/>
  <c r="CB81" i="42"/>
  <c r="CF89" i="42"/>
  <c r="CF91" i="42" s="1"/>
  <c r="K131" i="36"/>
  <c r="BL245" i="41"/>
  <c r="CL59" i="41" s="1"/>
  <c r="BK246" i="41"/>
  <c r="J43" i="36"/>
  <c r="K43" i="41"/>
  <c r="BL225" i="40"/>
  <c r="CE59" i="40" s="1"/>
  <c r="BK226" i="40"/>
  <c r="BK248" i="36"/>
  <c r="BL247" i="36"/>
  <c r="CK59" i="36" s="1"/>
  <c r="CP84" i="39"/>
  <c r="CJ50" i="39"/>
  <c r="BV84" i="39"/>
  <c r="BV99" i="39" s="1"/>
  <c r="CB50" i="39"/>
  <c r="CF58" i="39"/>
  <c r="CF60" i="39" s="1"/>
  <c r="BX112" i="35"/>
  <c r="BX128" i="35" s="1"/>
  <c r="CL78" i="35"/>
  <c r="CG87" i="35"/>
  <c r="CG89" i="35" s="1"/>
  <c r="CB78" i="35"/>
  <c r="CP112" i="35"/>
  <c r="BK180" i="35"/>
  <c r="CH86" i="35" s="1"/>
  <c r="BJ181" i="35"/>
  <c r="BV130" i="35"/>
  <c r="BK257" i="37" l="1"/>
  <c r="BL256" i="37"/>
  <c r="CG59" i="37" s="1"/>
  <c r="CP109" i="37"/>
  <c r="CB52" i="37"/>
  <c r="CF60" i="37"/>
  <c r="CF62" i="37" s="1"/>
  <c r="BV109" i="37"/>
  <c r="BV124" i="37" s="1"/>
  <c r="BV126" i="37" s="1"/>
  <c r="CJ52" i="37"/>
  <c r="BJ193" i="38"/>
  <c r="BK192" i="38"/>
  <c r="CI85" i="38" s="1"/>
  <c r="CN76" i="38"/>
  <c r="CB76" i="38"/>
  <c r="BZ110" i="38"/>
  <c r="BZ127" i="38" s="1"/>
  <c r="BZ129" i="38" s="1"/>
  <c r="CP110" i="38"/>
  <c r="CH86" i="38"/>
  <c r="CH88" i="38" s="1"/>
  <c r="K43" i="36"/>
  <c r="K126" i="36" s="1"/>
  <c r="K132" i="36" s="1"/>
  <c r="BL248" i="36"/>
  <c r="CL59" i="36" s="1"/>
  <c r="BK249" i="36"/>
  <c r="CL49" i="39"/>
  <c r="CP83" i="39"/>
  <c r="CG58" i="39"/>
  <c r="CG60" i="39" s="1"/>
  <c r="CB49" i="39"/>
  <c r="BX83" i="39"/>
  <c r="BX99" i="39" s="1"/>
  <c r="BX131" i="39" s="1"/>
  <c r="BL226" i="40"/>
  <c r="CF59" i="40" s="1"/>
  <c r="BK227" i="40"/>
  <c r="BV131" i="39"/>
  <c r="BT86" i="40"/>
  <c r="BT100" i="40" s="1"/>
  <c r="BT102" i="40" s="1"/>
  <c r="CE60" i="40"/>
  <c r="CE62" i="40" s="1"/>
  <c r="CH53" i="40"/>
  <c r="CP86" i="40"/>
  <c r="CB53" i="40"/>
  <c r="BK247" i="41"/>
  <c r="BL246" i="41"/>
  <c r="CM59" i="41" s="1"/>
  <c r="CB80" i="42"/>
  <c r="CP114" i="42"/>
  <c r="CG89" i="42"/>
  <c r="CG91" i="42" s="1"/>
  <c r="BX114" i="42"/>
  <c r="BX130" i="42" s="1"/>
  <c r="BX132" i="42" s="1"/>
  <c r="CL80" i="42"/>
  <c r="K126" i="41"/>
  <c r="K132" i="41" s="1"/>
  <c r="CK60" i="36"/>
  <c r="CK62" i="36" s="1"/>
  <c r="CT104" i="36"/>
  <c r="CT124" i="36" s="1"/>
  <c r="CT126" i="36" s="1"/>
  <c r="CB104" i="36"/>
  <c r="CR47" i="36"/>
  <c r="CD47" i="36"/>
  <c r="CD57" i="36" s="1"/>
  <c r="CL60" i="41"/>
  <c r="CL62" i="41" s="1"/>
  <c r="CV103" i="41"/>
  <c r="CV124" i="41" s="1"/>
  <c r="CV126" i="41" s="1"/>
  <c r="CR46" i="41"/>
  <c r="CB103" i="41"/>
  <c r="CF46" i="41"/>
  <c r="CF57" i="41" s="1"/>
  <c r="BV132" i="42"/>
  <c r="BJ182" i="39"/>
  <c r="BK181" i="39"/>
  <c r="CH57" i="39" s="1"/>
  <c r="BK182" i="42"/>
  <c r="CH88" i="42" s="1"/>
  <c r="BJ183" i="42"/>
  <c r="BR102" i="40"/>
  <c r="BJ182" i="35"/>
  <c r="BK181" i="35"/>
  <c r="CI86" i="35" s="1"/>
  <c r="BZ111" i="35"/>
  <c r="BZ128" i="35" s="1"/>
  <c r="CH87" i="35"/>
  <c r="CH89" i="35" s="1"/>
  <c r="CN77" i="35"/>
  <c r="CP111" i="35"/>
  <c r="CB77" i="35"/>
  <c r="BX130" i="35"/>
  <c r="CP108" i="37" l="1"/>
  <c r="CG60" i="37"/>
  <c r="CG62" i="37" s="1"/>
  <c r="CB51" i="37"/>
  <c r="CL51" i="37"/>
  <c r="BX108" i="37"/>
  <c r="BX124" i="37" s="1"/>
  <c r="BX126" i="37" s="1"/>
  <c r="BL257" i="37"/>
  <c r="CH59" i="37" s="1"/>
  <c r="BK258" i="37"/>
  <c r="BK193" i="38"/>
  <c r="CJ85" i="38" s="1"/>
  <c r="BJ194" i="38"/>
  <c r="CI86" i="38"/>
  <c r="CI88" i="38" s="1"/>
  <c r="CB109" i="38"/>
  <c r="CP109" i="38"/>
  <c r="CP127" i="38" s="1"/>
  <c r="CP129" i="38" s="1"/>
  <c r="K131" i="38" s="1"/>
  <c r="CB75" i="38"/>
  <c r="CP75" i="38"/>
  <c r="H42" i="38"/>
  <c r="H43" i="38" s="1"/>
  <c r="BJ184" i="42"/>
  <c r="BK183" i="42"/>
  <c r="CI88" i="42" s="1"/>
  <c r="BL227" i="40"/>
  <c r="CG59" i="40" s="1"/>
  <c r="BK228" i="40"/>
  <c r="CP113" i="42"/>
  <c r="BZ113" i="42"/>
  <c r="BZ130" i="42" s="1"/>
  <c r="CH89" i="42"/>
  <c r="CH91" i="42" s="1"/>
  <c r="CN79" i="42"/>
  <c r="CB79" i="42"/>
  <c r="CX102" i="41"/>
  <c r="CX124" i="41" s="1"/>
  <c r="CX126" i="41" s="1"/>
  <c r="CR45" i="41"/>
  <c r="CB102" i="41"/>
  <c r="CH45" i="41"/>
  <c r="CH57" i="41" s="1"/>
  <c r="CM60" i="41"/>
  <c r="CM62" i="41" s="1"/>
  <c r="CJ52" i="40"/>
  <c r="CP85" i="40"/>
  <c r="CB52" i="40"/>
  <c r="BV85" i="40"/>
  <c r="BV100" i="40" s="1"/>
  <c r="CF60" i="40"/>
  <c r="CF62" i="40" s="1"/>
  <c r="BK250" i="36"/>
  <c r="BL249" i="36"/>
  <c r="CM59" i="36" s="1"/>
  <c r="CP82" i="39"/>
  <c r="BZ82" i="39"/>
  <c r="BZ99" i="39" s="1"/>
  <c r="CH58" i="39"/>
  <c r="CH60" i="39" s="1"/>
  <c r="CN48" i="39"/>
  <c r="CB48" i="39"/>
  <c r="BL247" i="41"/>
  <c r="CN59" i="41" s="1"/>
  <c r="BK248" i="41"/>
  <c r="CB103" i="36"/>
  <c r="CR46" i="36"/>
  <c r="CF46" i="36"/>
  <c r="CF57" i="36" s="1"/>
  <c r="CV103" i="36"/>
  <c r="CV124" i="36" s="1"/>
  <c r="CV126" i="36" s="1"/>
  <c r="CL60" i="36"/>
  <c r="CL62" i="36" s="1"/>
  <c r="BK182" i="39"/>
  <c r="CI57" i="39" s="1"/>
  <c r="BJ183" i="39"/>
  <c r="BZ130" i="35"/>
  <c r="H42" i="35"/>
  <c r="H43" i="35" s="1"/>
  <c r="CB110" i="35"/>
  <c r="CI87" i="35"/>
  <c r="CI89" i="35" s="1"/>
  <c r="CB76" i="35"/>
  <c r="CP110" i="35"/>
  <c r="CP128" i="35" s="1"/>
  <c r="CP130" i="35" s="1"/>
  <c r="CP76" i="35"/>
  <c r="BJ183" i="35"/>
  <c r="BK182" i="35"/>
  <c r="CJ86" i="35" s="1"/>
  <c r="BL258" i="37" l="1"/>
  <c r="CI59" i="37" s="1"/>
  <c r="BK259" i="37"/>
  <c r="CP107" i="37"/>
  <c r="CB50" i="37"/>
  <c r="CN50" i="37"/>
  <c r="CH60" i="37"/>
  <c r="CH62" i="37" s="1"/>
  <c r="BZ107" i="37"/>
  <c r="BZ124" i="37" s="1"/>
  <c r="J42" i="38"/>
  <c r="K42" i="38"/>
  <c r="BJ195" i="38"/>
  <c r="BK194" i="38"/>
  <c r="CK85" i="38" s="1"/>
  <c r="CB108" i="38"/>
  <c r="CR108" i="38"/>
  <c r="CR127" i="38" s="1"/>
  <c r="CR129" i="38" s="1"/>
  <c r="CR74" i="38"/>
  <c r="CB74" i="38"/>
  <c r="CB83" i="38" s="1"/>
  <c r="CJ86" i="38"/>
  <c r="CJ88" i="38" s="1"/>
  <c r="CZ101" i="41"/>
  <c r="CZ124" i="41" s="1"/>
  <c r="CZ126" i="41" s="1"/>
  <c r="CN60" i="41"/>
  <c r="CN62" i="41" s="1"/>
  <c r="CR44" i="41"/>
  <c r="CB101" i="41"/>
  <c r="CB124" i="41" s="1"/>
  <c r="CJ44" i="41"/>
  <c r="CJ57" i="41" s="1"/>
  <c r="BZ131" i="39"/>
  <c r="H42" i="39"/>
  <c r="H43" i="39" s="1"/>
  <c r="CP84" i="40"/>
  <c r="CG60" i="40"/>
  <c r="CG62" i="40" s="1"/>
  <c r="CL51" i="40"/>
  <c r="BX84" i="40"/>
  <c r="BX100" i="40" s="1"/>
  <c r="BX102" i="40" s="1"/>
  <c r="CB51" i="40"/>
  <c r="BJ184" i="39"/>
  <c r="BK183" i="39"/>
  <c r="CJ57" i="39" s="1"/>
  <c r="BV102" i="40"/>
  <c r="BZ132" i="42"/>
  <c r="H44" i="42"/>
  <c r="H45" i="42" s="1"/>
  <c r="CI58" i="39"/>
  <c r="CI60" i="39" s="1"/>
  <c r="CP47" i="39"/>
  <c r="CB47" i="39"/>
  <c r="CP81" i="39"/>
  <c r="CP99" i="39" s="1"/>
  <c r="CP131" i="39" s="1"/>
  <c r="CB81" i="39"/>
  <c r="CH45" i="36"/>
  <c r="CH57" i="36" s="1"/>
  <c r="CX102" i="36"/>
  <c r="CX124" i="36" s="1"/>
  <c r="CX126" i="36" s="1"/>
  <c r="CB102" i="36"/>
  <c r="CM60" i="36"/>
  <c r="CM62" i="36" s="1"/>
  <c r="CR45" i="36"/>
  <c r="CI89" i="42"/>
  <c r="CI91" i="42" s="1"/>
  <c r="CB78" i="42"/>
  <c r="CP112" i="42"/>
  <c r="CP130" i="42" s="1"/>
  <c r="CP132" i="42" s="1"/>
  <c r="CB112" i="42"/>
  <c r="CP78" i="42"/>
  <c r="BK249" i="41"/>
  <c r="BL248" i="41"/>
  <c r="CO59" i="41" s="1"/>
  <c r="BL250" i="36"/>
  <c r="CN59" i="36" s="1"/>
  <c r="BK251" i="36"/>
  <c r="BL228" i="40"/>
  <c r="CH59" i="40" s="1"/>
  <c r="BK229" i="40"/>
  <c r="BJ185" i="42"/>
  <c r="BK184" i="42"/>
  <c r="CJ88" i="42" s="1"/>
  <c r="CJ87" i="35"/>
  <c r="CJ89" i="35" s="1"/>
  <c r="CB109" i="35"/>
  <c r="CR75" i="35"/>
  <c r="CB75" i="35"/>
  <c r="CB84" i="35" s="1"/>
  <c r="CR109" i="35"/>
  <c r="CR128" i="35" s="1"/>
  <c r="CR130" i="35" s="1"/>
  <c r="J42" i="35"/>
  <c r="K42" i="35"/>
  <c r="K131" i="35"/>
  <c r="BJ184" i="35"/>
  <c r="BK183" i="35"/>
  <c r="CK86" i="35" s="1"/>
  <c r="BK260" i="37" l="1"/>
  <c r="BL259" i="37"/>
  <c r="CJ59" i="37" s="1"/>
  <c r="BZ126" i="37"/>
  <c r="H42" i="37"/>
  <c r="H43" i="37" s="1"/>
  <c r="CB106" i="37"/>
  <c r="CP106" i="37"/>
  <c r="CP124" i="37" s="1"/>
  <c r="CP126" i="37" s="1"/>
  <c r="CI60" i="37"/>
  <c r="CI62" i="37" s="1"/>
  <c r="CB49" i="37"/>
  <c r="CP49" i="37"/>
  <c r="CK86" i="38"/>
  <c r="CK88" i="38" s="1"/>
  <c r="CB107" i="38"/>
  <c r="CR73" i="38"/>
  <c r="CT107" i="38"/>
  <c r="CT127" i="38" s="1"/>
  <c r="CT129" i="38" s="1"/>
  <c r="CD73" i="38"/>
  <c r="CD83" i="38" s="1"/>
  <c r="BJ196" i="38"/>
  <c r="BK195" i="38"/>
  <c r="CL85" i="38" s="1"/>
  <c r="K43" i="38"/>
  <c r="J43" i="38"/>
  <c r="CS100" i="41"/>
  <c r="CL43" i="41"/>
  <c r="CL57" i="41" s="1"/>
  <c r="CK100" i="41"/>
  <c r="CO60" i="41"/>
  <c r="CO62" i="41" s="1"/>
  <c r="CR43" i="41"/>
  <c r="K133" i="42"/>
  <c r="J44" i="42"/>
  <c r="K44" i="42"/>
  <c r="J42" i="39"/>
  <c r="K42" i="39"/>
  <c r="CP83" i="40"/>
  <c r="CN50" i="40"/>
  <c r="BZ83" i="40"/>
  <c r="BZ100" i="40" s="1"/>
  <c r="CH60" i="40"/>
  <c r="CH62" i="40" s="1"/>
  <c r="CB50" i="40"/>
  <c r="BL249" i="41"/>
  <c r="CP59" i="41" s="1"/>
  <c r="BK250" i="41"/>
  <c r="BL229" i="40"/>
  <c r="CI59" i="40" s="1"/>
  <c r="BK230" i="40"/>
  <c r="CR111" i="42"/>
  <c r="CR130" i="42" s="1"/>
  <c r="CR132" i="42" s="1"/>
  <c r="CB111" i="42"/>
  <c r="CR77" i="42"/>
  <c r="CB77" i="42"/>
  <c r="CB86" i="42" s="1"/>
  <c r="CJ89" i="42"/>
  <c r="CJ91" i="42" s="1"/>
  <c r="BK252" i="36"/>
  <c r="BL251" i="36"/>
  <c r="CO59" i="36" s="1"/>
  <c r="CR80" i="39"/>
  <c r="CR99" i="39" s="1"/>
  <c r="CR131" i="39" s="1"/>
  <c r="CB46" i="39"/>
  <c r="CB55" i="39" s="1"/>
  <c r="CB80" i="39"/>
  <c r="CJ58" i="39"/>
  <c r="CJ60" i="39" s="1"/>
  <c r="CR46" i="39"/>
  <c r="BK185" i="42"/>
  <c r="CK88" i="42" s="1"/>
  <c r="BJ186" i="42"/>
  <c r="CB101" i="36"/>
  <c r="CB124" i="36" s="1"/>
  <c r="CN60" i="36"/>
  <c r="CN62" i="36" s="1"/>
  <c r="CR44" i="36"/>
  <c r="CJ44" i="36"/>
  <c r="CJ57" i="36" s="1"/>
  <c r="CZ101" i="36"/>
  <c r="CZ124" i="36" s="1"/>
  <c r="CZ126" i="36" s="1"/>
  <c r="K131" i="39"/>
  <c r="BJ185" i="39"/>
  <c r="BK184" i="39"/>
  <c r="CK57" i="39" s="1"/>
  <c r="CB126" i="41"/>
  <c r="J131" i="41"/>
  <c r="J132" i="41" s="1"/>
  <c r="CB108" i="35"/>
  <c r="CR74" i="35"/>
  <c r="CT108" i="35"/>
  <c r="CT128" i="35" s="1"/>
  <c r="CT130" i="35" s="1"/>
  <c r="CK87" i="35"/>
  <c r="CK89" i="35" s="1"/>
  <c r="CD74" i="35"/>
  <c r="CD84" i="35" s="1"/>
  <c r="K43" i="35"/>
  <c r="BJ188" i="35"/>
  <c r="BK184" i="35"/>
  <c r="CL86" i="35" s="1"/>
  <c r="J43" i="35"/>
  <c r="J42" i="37" l="1"/>
  <c r="J43" i="37" s="1"/>
  <c r="K42" i="37"/>
  <c r="K43" i="37" s="1"/>
  <c r="K131" i="37"/>
  <c r="CJ60" i="37"/>
  <c r="CJ62" i="37" s="1"/>
  <c r="CB105" i="37"/>
  <c r="CB48" i="37"/>
  <c r="CB57" i="37" s="1"/>
  <c r="CR105" i="37"/>
  <c r="CR124" i="37" s="1"/>
  <c r="CR126" i="37" s="1"/>
  <c r="CR48" i="37"/>
  <c r="BK261" i="37"/>
  <c r="BL260" i="37"/>
  <c r="CK59" i="37" s="1"/>
  <c r="CF72" i="38"/>
  <c r="CF83" i="38" s="1"/>
  <c r="CB106" i="38"/>
  <c r="CV106" i="38"/>
  <c r="CV127" i="38" s="1"/>
  <c r="CV129" i="38" s="1"/>
  <c r="CL86" i="38"/>
  <c r="CL88" i="38" s="1"/>
  <c r="CR72" i="38"/>
  <c r="K126" i="38"/>
  <c r="K132" i="38" s="1"/>
  <c r="BK196" i="38"/>
  <c r="CM85" i="38" s="1"/>
  <c r="BJ197" i="38"/>
  <c r="M131" i="41"/>
  <c r="M132" i="41" s="1"/>
  <c r="CD76" i="42"/>
  <c r="CD86" i="42" s="1"/>
  <c r="CT110" i="42"/>
  <c r="CT130" i="42" s="1"/>
  <c r="CT132" i="42" s="1"/>
  <c r="CK89" i="42"/>
  <c r="CK91" i="42" s="1"/>
  <c r="CB110" i="42"/>
  <c r="CR76" i="42"/>
  <c r="BK251" i="41"/>
  <c r="BL250" i="41"/>
  <c r="CQ59" i="41" s="1"/>
  <c r="BZ102" i="40"/>
  <c r="H42" i="40"/>
  <c r="H43" i="40" s="1"/>
  <c r="J43" i="39"/>
  <c r="CR45" i="39"/>
  <c r="CT79" i="39"/>
  <c r="CT99" i="39" s="1"/>
  <c r="CT131" i="39" s="1"/>
  <c r="CK58" i="39"/>
  <c r="CK60" i="39" s="1"/>
  <c r="CD45" i="39"/>
  <c r="CD55" i="39" s="1"/>
  <c r="CB79" i="39"/>
  <c r="BL230" i="40"/>
  <c r="CJ59" i="40" s="1"/>
  <c r="BK231" i="40"/>
  <c r="CP60" i="41"/>
  <c r="CP62" i="41" s="1"/>
  <c r="CR42" i="41"/>
  <c r="CU99" i="41"/>
  <c r="CN42" i="41"/>
  <c r="CN57" i="41" s="1"/>
  <c r="CK99" i="41"/>
  <c r="K45" i="42"/>
  <c r="BK185" i="39"/>
  <c r="CL57" i="39" s="1"/>
  <c r="BJ189" i="39"/>
  <c r="CB126" i="36"/>
  <c r="J131" i="36"/>
  <c r="J132" i="36" s="1"/>
  <c r="CO60" i="36"/>
  <c r="CO62" i="36" s="1"/>
  <c r="CS100" i="36"/>
  <c r="CK100" i="36"/>
  <c r="CR43" i="36"/>
  <c r="CL43" i="36"/>
  <c r="CL57" i="36" s="1"/>
  <c r="CI60" i="40"/>
  <c r="CI62" i="40" s="1"/>
  <c r="CP49" i="40"/>
  <c r="CP82" i="40"/>
  <c r="CP100" i="40" s="1"/>
  <c r="CP102" i="40" s="1"/>
  <c r="CB49" i="40"/>
  <c r="CB82" i="40"/>
  <c r="J45" i="42"/>
  <c r="BJ190" i="42"/>
  <c r="BK186" i="42"/>
  <c r="CL88" i="42" s="1"/>
  <c r="BL252" i="36"/>
  <c r="CP59" i="36" s="1"/>
  <c r="BK253" i="36"/>
  <c r="K43" i="39"/>
  <c r="K126" i="35"/>
  <c r="K132" i="35" s="1"/>
  <c r="BK188" i="35"/>
  <c r="CM86" i="35" s="1"/>
  <c r="BJ189" i="35"/>
  <c r="CB107" i="35"/>
  <c r="CL87" i="35"/>
  <c r="CL89" i="35" s="1"/>
  <c r="CR73" i="35"/>
  <c r="CV107" i="35"/>
  <c r="CV128" i="35" s="1"/>
  <c r="CV130" i="35" s="1"/>
  <c r="CF73" i="35"/>
  <c r="CF84" i="35" s="1"/>
  <c r="CR47" i="37" l="1"/>
  <c r="CK60" i="37"/>
  <c r="CK62" i="37" s="1"/>
  <c r="CD47" i="37"/>
  <c r="CD57" i="37" s="1"/>
  <c r="CT104" i="37"/>
  <c r="CT124" i="37" s="1"/>
  <c r="CT126" i="37" s="1"/>
  <c r="CB104" i="37"/>
  <c r="BL261" i="37"/>
  <c r="CL59" i="37" s="1"/>
  <c r="BK262" i="37"/>
  <c r="K126" i="37"/>
  <c r="K132" i="37" s="1"/>
  <c r="CB105" i="38"/>
  <c r="CR71" i="38"/>
  <c r="CM86" i="38"/>
  <c r="CM88" i="38" s="1"/>
  <c r="CX105" i="38"/>
  <c r="CX127" i="38" s="1"/>
  <c r="CX129" i="38" s="1"/>
  <c r="CH71" i="38"/>
  <c r="CH83" i="38" s="1"/>
  <c r="BJ198" i="38"/>
  <c r="BK197" i="38"/>
  <c r="CN85" i="38" s="1"/>
  <c r="K128" i="42"/>
  <c r="K134" i="42" s="1"/>
  <c r="BK190" i="42"/>
  <c r="CM88" i="42" s="1"/>
  <c r="BJ191" i="42"/>
  <c r="M131" i="36"/>
  <c r="M132" i="36" s="1"/>
  <c r="CR81" i="40"/>
  <c r="CR100" i="40" s="1"/>
  <c r="CR102" i="40" s="1"/>
  <c r="CB81" i="40"/>
  <c r="CR48" i="40"/>
  <c r="CJ60" i="40"/>
  <c r="CJ62" i="40" s="1"/>
  <c r="CB48" i="40"/>
  <c r="CB57" i="40" s="1"/>
  <c r="BL251" i="41"/>
  <c r="CR59" i="41" s="1"/>
  <c r="BK252" i="41"/>
  <c r="BK254" i="36"/>
  <c r="BL253" i="36"/>
  <c r="CQ59" i="36" s="1"/>
  <c r="BJ190" i="39"/>
  <c r="BK189" i="39"/>
  <c r="CM57" i="39" s="1"/>
  <c r="J42" i="40"/>
  <c r="K42" i="40"/>
  <c r="CK99" i="36"/>
  <c r="CR42" i="36"/>
  <c r="CN42" i="36"/>
  <c r="CN57" i="36" s="1"/>
  <c r="CU99" i="36"/>
  <c r="CP60" i="36"/>
  <c r="CP62" i="36" s="1"/>
  <c r="CV78" i="39"/>
  <c r="CV99" i="39" s="1"/>
  <c r="CV131" i="39" s="1"/>
  <c r="CF44" i="39"/>
  <c r="CF55" i="39" s="1"/>
  <c r="CB78" i="39"/>
  <c r="CL58" i="39"/>
  <c r="CL60" i="39" s="1"/>
  <c r="CR44" i="39"/>
  <c r="CV109" i="42"/>
  <c r="CV130" i="42" s="1"/>
  <c r="CV132" i="42" s="1"/>
  <c r="CB109" i="42"/>
  <c r="CL89" i="42"/>
  <c r="CL91" i="42" s="1"/>
  <c r="CR75" i="42"/>
  <c r="CF75" i="42"/>
  <c r="CF86" i="42" s="1"/>
  <c r="K131" i="40"/>
  <c r="BL231" i="40"/>
  <c r="CK59" i="40" s="1"/>
  <c r="BK232" i="40"/>
  <c r="K126" i="39"/>
  <c r="K132" i="39" s="1"/>
  <c r="CW98" i="41"/>
  <c r="CP41" i="41"/>
  <c r="CP57" i="41" s="1"/>
  <c r="CK98" i="41"/>
  <c r="CQ60" i="41"/>
  <c r="CQ62" i="41" s="1"/>
  <c r="CR41" i="41"/>
  <c r="CR57" i="41" s="1"/>
  <c r="BJ190" i="35"/>
  <c r="BK189" i="35"/>
  <c r="CN86" i="35" s="1"/>
  <c r="CB106" i="35"/>
  <c r="CX106" i="35"/>
  <c r="CX128" i="35" s="1"/>
  <c r="CX130" i="35" s="1"/>
  <c r="CR72" i="35"/>
  <c r="CM87" i="35"/>
  <c r="CM89" i="35" s="1"/>
  <c r="CH72" i="35"/>
  <c r="CH84" i="35" s="1"/>
  <c r="CB103" i="37" l="1"/>
  <c r="CF46" i="37"/>
  <c r="CF57" i="37" s="1"/>
  <c r="CV103" i="37"/>
  <c r="CV124" i="37" s="1"/>
  <c r="CV126" i="37" s="1"/>
  <c r="CL60" i="37"/>
  <c r="CL62" i="37" s="1"/>
  <c r="CR46" i="37"/>
  <c r="BL262" i="37"/>
  <c r="CM59" i="37" s="1"/>
  <c r="BK263" i="37"/>
  <c r="BJ199" i="38"/>
  <c r="BK198" i="38"/>
  <c r="CO85" i="38" s="1"/>
  <c r="CN86" i="38"/>
  <c r="CN88" i="38" s="1"/>
  <c r="CB104" i="38"/>
  <c r="CB127" i="38" s="1"/>
  <c r="CZ104" i="38"/>
  <c r="CZ127" i="38" s="1"/>
  <c r="CZ129" i="38" s="1"/>
  <c r="CJ70" i="38"/>
  <c r="CJ83" i="38" s="1"/>
  <c r="CR70" i="38"/>
  <c r="BL232" i="40"/>
  <c r="CL59" i="40" s="1"/>
  <c r="BK233" i="40"/>
  <c r="CM58" i="39"/>
  <c r="CM60" i="39" s="1"/>
  <c r="CR43" i="39"/>
  <c r="CH43" i="39"/>
  <c r="CH55" i="39" s="1"/>
  <c r="CX77" i="39"/>
  <c r="CX99" i="39" s="1"/>
  <c r="CX131" i="39" s="1"/>
  <c r="CB77" i="39"/>
  <c r="CR47" i="40"/>
  <c r="CD47" i="40"/>
  <c r="CD57" i="40" s="1"/>
  <c r="CT80" i="40"/>
  <c r="CT100" i="40" s="1"/>
  <c r="CT102" i="40" s="1"/>
  <c r="CK60" i="40"/>
  <c r="CK62" i="40" s="1"/>
  <c r="CB80" i="40"/>
  <c r="BK190" i="39"/>
  <c r="CN57" i="39" s="1"/>
  <c r="BJ191" i="39"/>
  <c r="BK253" i="41"/>
  <c r="BL252" i="41"/>
  <c r="CS59" i="41" s="1"/>
  <c r="K43" i="40"/>
  <c r="CW98" i="36"/>
  <c r="CK98" i="36"/>
  <c r="CQ60" i="36"/>
  <c r="CQ62" i="36" s="1"/>
  <c r="CR41" i="36"/>
  <c r="CR57" i="36" s="1"/>
  <c r="CP41" i="36"/>
  <c r="CP57" i="36" s="1"/>
  <c r="CY97" i="41"/>
  <c r="CR60" i="41"/>
  <c r="CR62" i="41" s="1"/>
  <c r="CK97" i="41"/>
  <c r="BJ192" i="42"/>
  <c r="BK191" i="42"/>
  <c r="CN88" i="42" s="1"/>
  <c r="J43" i="40"/>
  <c r="BL254" i="36"/>
  <c r="CR59" i="36" s="1"/>
  <c r="BK255" i="36"/>
  <c r="CM89" i="42"/>
  <c r="CM91" i="42" s="1"/>
  <c r="CH74" i="42"/>
  <c r="CH86" i="42" s="1"/>
  <c r="CX108" i="42"/>
  <c r="CX130" i="42" s="1"/>
  <c r="CX132" i="42" s="1"/>
  <c r="CB108" i="42"/>
  <c r="CR74" i="42"/>
  <c r="CN87" i="35"/>
  <c r="CN89" i="35" s="1"/>
  <c r="CB105" i="35"/>
  <c r="CB128" i="35" s="1"/>
  <c r="CR71" i="35"/>
  <c r="CZ105" i="35"/>
  <c r="CZ128" i="35" s="1"/>
  <c r="CZ130" i="35" s="1"/>
  <c r="CJ71" i="35"/>
  <c r="CJ84" i="35" s="1"/>
  <c r="BJ191" i="35"/>
  <c r="BK190" i="35"/>
  <c r="CO86" i="35" s="1"/>
  <c r="CB102" i="37" l="1"/>
  <c r="CM60" i="37"/>
  <c r="CM62" i="37" s="1"/>
  <c r="CX102" i="37"/>
  <c r="CX124" i="37" s="1"/>
  <c r="CX126" i="37" s="1"/>
  <c r="CR45" i="37"/>
  <c r="CH45" i="37"/>
  <c r="CH57" i="37" s="1"/>
  <c r="BK264" i="37"/>
  <c r="BL263" i="37"/>
  <c r="CN59" i="37" s="1"/>
  <c r="CB129" i="38"/>
  <c r="M131" i="38" s="1"/>
  <c r="M132" i="38" s="1"/>
  <c r="J131" i="38"/>
  <c r="J132" i="38" s="1"/>
  <c r="CR69" i="38"/>
  <c r="CO86" i="38"/>
  <c r="CO88" i="38" s="1"/>
  <c r="CK103" i="38"/>
  <c r="CS103" i="38"/>
  <c r="CL69" i="38"/>
  <c r="CL83" i="38" s="1"/>
  <c r="BJ200" i="38"/>
  <c r="BK199" i="38"/>
  <c r="CP85" i="38" s="1"/>
  <c r="K126" i="40"/>
  <c r="K132" i="40" s="1"/>
  <c r="BJ193" i="42"/>
  <c r="BK192" i="42"/>
  <c r="CO88" i="42" s="1"/>
  <c r="CZ107" i="42"/>
  <c r="CZ130" i="42" s="1"/>
  <c r="CZ132" i="42" s="1"/>
  <c r="CB107" i="42"/>
  <c r="CB130" i="42" s="1"/>
  <c r="CR73" i="42"/>
  <c r="CJ73" i="42"/>
  <c r="CJ86" i="42" s="1"/>
  <c r="CN89" i="42"/>
  <c r="CN91" i="42" s="1"/>
  <c r="BK254" i="41"/>
  <c r="BL253" i="41"/>
  <c r="CT59" i="41" s="1"/>
  <c r="CZ76" i="39"/>
  <c r="CZ99" i="39" s="1"/>
  <c r="CZ131" i="39" s="1"/>
  <c r="CB76" i="39"/>
  <c r="CB99" i="39" s="1"/>
  <c r="CR42" i="39"/>
  <c r="CN58" i="39"/>
  <c r="CN60" i="39" s="1"/>
  <c r="CJ42" i="39"/>
  <c r="CJ55" i="39" s="1"/>
  <c r="BK256" i="36"/>
  <c r="BL255" i="36"/>
  <c r="CS59" i="36" s="1"/>
  <c r="BL233" i="40"/>
  <c r="CM59" i="40" s="1"/>
  <c r="BK234" i="40"/>
  <c r="CK97" i="36"/>
  <c r="CR60" i="36"/>
  <c r="CR62" i="36" s="1"/>
  <c r="CY97" i="36"/>
  <c r="DA96" i="41"/>
  <c r="CK96" i="41"/>
  <c r="CK124" i="41" s="1"/>
  <c r="CS60" i="41"/>
  <c r="CS62" i="41" s="1"/>
  <c r="BJ192" i="39"/>
  <c r="BK191" i="39"/>
  <c r="CO57" i="39" s="1"/>
  <c r="CV79" i="40"/>
  <c r="CV100" i="40" s="1"/>
  <c r="CV102" i="40" s="1"/>
  <c r="CF46" i="40"/>
  <c r="CF57" i="40" s="1"/>
  <c r="CB79" i="40"/>
  <c r="CL60" i="40"/>
  <c r="CL62" i="40" s="1"/>
  <c r="CR46" i="40"/>
  <c r="CK104" i="35"/>
  <c r="CR70" i="35"/>
  <c r="CO87" i="35"/>
  <c r="CO89" i="35" s="1"/>
  <c r="CL70" i="35"/>
  <c r="CL84" i="35" s="1"/>
  <c r="CS104" i="35"/>
  <c r="BJ192" i="35"/>
  <c r="BK191" i="35"/>
  <c r="CP86" i="35" s="1"/>
  <c r="CB130" i="35"/>
  <c r="J131" i="35"/>
  <c r="J132" i="35" s="1"/>
  <c r="BK265" i="37" l="1"/>
  <c r="BL264" i="37"/>
  <c r="CO59" i="37" s="1"/>
  <c r="CR44" i="37"/>
  <c r="CZ101" i="37"/>
  <c r="CZ124" i="37" s="1"/>
  <c r="CZ126" i="37" s="1"/>
  <c r="CJ44" i="37"/>
  <c r="CJ57" i="37" s="1"/>
  <c r="CN60" i="37"/>
  <c r="CN62" i="37" s="1"/>
  <c r="CB101" i="37"/>
  <c r="CB124" i="37" s="1"/>
  <c r="BJ201" i="38"/>
  <c r="BK200" i="38"/>
  <c r="CQ85" i="38" s="1"/>
  <c r="CR68" i="38"/>
  <c r="CN68" i="38"/>
  <c r="CN83" i="38" s="1"/>
  <c r="CU102" i="38"/>
  <c r="CP86" i="38"/>
  <c r="CP88" i="38" s="1"/>
  <c r="CK102" i="38"/>
  <c r="BK255" i="41"/>
  <c r="BL254" i="41"/>
  <c r="CU59" i="41" s="1"/>
  <c r="CB132" i="42"/>
  <c r="J133" i="42"/>
  <c r="J134" i="42" s="1"/>
  <c r="CK126" i="41"/>
  <c r="BL234" i="40"/>
  <c r="CN59" i="40" s="1"/>
  <c r="BK235" i="40"/>
  <c r="CS60" i="36"/>
  <c r="CS62" i="36" s="1"/>
  <c r="DA96" i="36"/>
  <c r="CK96" i="36"/>
  <c r="CK124" i="36" s="1"/>
  <c r="CB131" i="39"/>
  <c r="J131" i="39"/>
  <c r="J132" i="39" s="1"/>
  <c r="CR41" i="39"/>
  <c r="CL41" i="39"/>
  <c r="CL55" i="39" s="1"/>
  <c r="CS75" i="39"/>
  <c r="CO58" i="39"/>
  <c r="CO60" i="39" s="1"/>
  <c r="CK75" i="39"/>
  <c r="CM60" i="40"/>
  <c r="CM62" i="40" s="1"/>
  <c r="CR45" i="40"/>
  <c r="CX78" i="40"/>
  <c r="CX100" i="40" s="1"/>
  <c r="CX102" i="40" s="1"/>
  <c r="CH45" i="40"/>
  <c r="CH57" i="40" s="1"/>
  <c r="CB78" i="40"/>
  <c r="BL256" i="36"/>
  <c r="CT59" i="36" s="1"/>
  <c r="BK257" i="36"/>
  <c r="CL72" i="42"/>
  <c r="CL86" i="42" s="1"/>
  <c r="CS106" i="42"/>
  <c r="CO89" i="42"/>
  <c r="CO91" i="42" s="1"/>
  <c r="CK106" i="42"/>
  <c r="CR72" i="42"/>
  <c r="BJ193" i="39"/>
  <c r="BK192" i="39"/>
  <c r="CP57" i="39" s="1"/>
  <c r="CT60" i="41"/>
  <c r="CT62" i="41" s="1"/>
  <c r="DA95" i="41"/>
  <c r="CM95" i="41"/>
  <c r="CM124" i="41" s="1"/>
  <c r="CM126" i="41" s="1"/>
  <c r="BJ194" i="42"/>
  <c r="BK193" i="42"/>
  <c r="CP88" i="42" s="1"/>
  <c r="M131" i="35"/>
  <c r="M132" i="35" s="1"/>
  <c r="CK103" i="35"/>
  <c r="CP87" i="35"/>
  <c r="CP89" i="35" s="1"/>
  <c r="CR69" i="35"/>
  <c r="CU103" i="35"/>
  <c r="CN69" i="35"/>
  <c r="CN84" i="35" s="1"/>
  <c r="BJ193" i="35"/>
  <c r="BK192" i="35"/>
  <c r="CQ86" i="35" s="1"/>
  <c r="J131" i="37" l="1"/>
  <c r="J132" i="37" s="1"/>
  <c r="CB126" i="37"/>
  <c r="M131" i="37" s="1"/>
  <c r="M132" i="37" s="1"/>
  <c r="CR43" i="37"/>
  <c r="CO60" i="37"/>
  <c r="CO62" i="37" s="1"/>
  <c r="CL43" i="37"/>
  <c r="CL57" i="37" s="1"/>
  <c r="CS100" i="37"/>
  <c r="CK100" i="37"/>
  <c r="BK266" i="37"/>
  <c r="BL265" i="37"/>
  <c r="CP59" i="37" s="1"/>
  <c r="CK101" i="38"/>
  <c r="CR67" i="38"/>
  <c r="CR83" i="38" s="1"/>
  <c r="CW101" i="38"/>
  <c r="CP67" i="38"/>
  <c r="CP83" i="38" s="1"/>
  <c r="CQ86" i="38"/>
  <c r="CQ88" i="38" s="1"/>
  <c r="BJ202" i="38"/>
  <c r="BK201" i="38"/>
  <c r="CR85" i="38" s="1"/>
  <c r="BJ195" i="42"/>
  <c r="BK194" i="42"/>
  <c r="CQ88" i="42" s="1"/>
  <c r="M131" i="39"/>
  <c r="M132" i="39" s="1"/>
  <c r="BL235" i="40"/>
  <c r="CO59" i="40" s="1"/>
  <c r="BK236" i="40"/>
  <c r="DA94" i="41"/>
  <c r="CO94" i="41"/>
  <c r="CO124" i="41" s="1"/>
  <c r="CO126" i="41" s="1"/>
  <c r="CU60" i="41"/>
  <c r="CU62" i="41" s="1"/>
  <c r="BK258" i="36"/>
  <c r="BL257" i="36"/>
  <c r="CU59" i="36" s="1"/>
  <c r="CK126" i="36"/>
  <c r="CZ77" i="40"/>
  <c r="CZ100" i="40" s="1"/>
  <c r="CZ102" i="40" s="1"/>
  <c r="CJ44" i="40"/>
  <c r="CJ57" i="40" s="1"/>
  <c r="CB77" i="40"/>
  <c r="CB100" i="40" s="1"/>
  <c r="CN60" i="40"/>
  <c r="CN62" i="40" s="1"/>
  <c r="CR44" i="40"/>
  <c r="BK256" i="41"/>
  <c r="BL255" i="41"/>
  <c r="CV59" i="41" s="1"/>
  <c r="CU74" i="39"/>
  <c r="CK74" i="39"/>
  <c r="CP58" i="39"/>
  <c r="CP60" i="39" s="1"/>
  <c r="CR40" i="39"/>
  <c r="CN40" i="39"/>
  <c r="CN55" i="39" s="1"/>
  <c r="CM95" i="36"/>
  <c r="CM124" i="36" s="1"/>
  <c r="CM126" i="36" s="1"/>
  <c r="DA95" i="36"/>
  <c r="CT60" i="36"/>
  <c r="CT62" i="36" s="1"/>
  <c r="CU105" i="42"/>
  <c r="CK105" i="42"/>
  <c r="CP89" i="42"/>
  <c r="CP91" i="42" s="1"/>
  <c r="CR71" i="42"/>
  <c r="CN71" i="42"/>
  <c r="CN86" i="42" s="1"/>
  <c r="BJ194" i="39"/>
  <c r="BK193" i="39"/>
  <c r="CQ57" i="39" s="1"/>
  <c r="M133" i="42"/>
  <c r="M134" i="42" s="1"/>
  <c r="BK193" i="35"/>
  <c r="CR86" i="35" s="1"/>
  <c r="BJ194" i="35"/>
  <c r="CK102" i="35"/>
  <c r="CQ87" i="35"/>
  <c r="CQ89" i="35" s="1"/>
  <c r="CP68" i="35"/>
  <c r="CP84" i="35" s="1"/>
  <c r="CW102" i="35"/>
  <c r="CR68" i="35"/>
  <c r="CR84" i="35" s="1"/>
  <c r="BL266" i="37" l="1"/>
  <c r="CQ59" i="37" s="1"/>
  <c r="BK267" i="37"/>
  <c r="CU99" i="37"/>
  <c r="CR42" i="37"/>
  <c r="CK99" i="37"/>
  <c r="CN42" i="37"/>
  <c r="CN57" i="37" s="1"/>
  <c r="CP60" i="37"/>
  <c r="CP62" i="37" s="1"/>
  <c r="BK202" i="38"/>
  <c r="CS85" i="38" s="1"/>
  <c r="BJ203" i="38"/>
  <c r="CK100" i="38"/>
  <c r="CR86" i="38"/>
  <c r="CR88" i="38" s="1"/>
  <c r="CY100" i="38"/>
  <c r="BL258" i="36"/>
  <c r="CV59" i="36" s="1"/>
  <c r="BK259" i="36"/>
  <c r="BL236" i="40"/>
  <c r="CP59" i="40" s="1"/>
  <c r="BK237" i="40"/>
  <c r="CQ89" i="42"/>
  <c r="CQ91" i="42" s="1"/>
  <c r="CP70" i="42"/>
  <c r="CP86" i="42" s="1"/>
  <c r="CW104" i="42"/>
  <c r="CK104" i="42"/>
  <c r="CR70" i="42"/>
  <c r="CR86" i="42" s="1"/>
  <c r="CQ58" i="39"/>
  <c r="CQ60" i="39" s="1"/>
  <c r="CR39" i="39"/>
  <c r="CR55" i="39" s="1"/>
  <c r="CP39" i="39"/>
  <c r="CP55" i="39" s="1"/>
  <c r="CW73" i="39"/>
  <c r="CK73" i="39"/>
  <c r="BJ195" i="39"/>
  <c r="BK194" i="39"/>
  <c r="CR57" i="39" s="1"/>
  <c r="DA93" i="41"/>
  <c r="CV60" i="41"/>
  <c r="CV62" i="41" s="1"/>
  <c r="CQ93" i="41"/>
  <c r="CQ124" i="41" s="1"/>
  <c r="CB102" i="40"/>
  <c r="J131" i="40"/>
  <c r="J132" i="40" s="1"/>
  <c r="CR43" i="40"/>
  <c r="CL43" i="40"/>
  <c r="CL57" i="40" s="1"/>
  <c r="CS76" i="40"/>
  <c r="CO60" i="40"/>
  <c r="CO62" i="40" s="1"/>
  <c r="CK76" i="40"/>
  <c r="BK195" i="42"/>
  <c r="CR88" i="42" s="1"/>
  <c r="BJ196" i="42"/>
  <c r="BK257" i="41"/>
  <c r="BL256" i="41"/>
  <c r="CW59" i="41" s="1"/>
  <c r="DA94" i="36"/>
  <c r="CO94" i="36"/>
  <c r="CO124" i="36" s="1"/>
  <c r="CO126" i="36" s="1"/>
  <c r="CU60" i="36"/>
  <c r="CU62" i="36" s="1"/>
  <c r="BJ195" i="35"/>
  <c r="BK194" i="35"/>
  <c r="CS86" i="35" s="1"/>
  <c r="CR87" i="35"/>
  <c r="CR89" i="35" s="1"/>
  <c r="CK101" i="35"/>
  <c r="CY101" i="35"/>
  <c r="BL267" i="37" l="1"/>
  <c r="CR59" i="37" s="1"/>
  <c r="BK268" i="37"/>
  <c r="CR41" i="37"/>
  <c r="CR57" i="37" s="1"/>
  <c r="CP41" i="37"/>
  <c r="CP57" i="37" s="1"/>
  <c r="CQ60" i="37"/>
  <c r="CQ62" i="37" s="1"/>
  <c r="CK98" i="37"/>
  <c r="CW98" i="37"/>
  <c r="BJ204" i="38"/>
  <c r="BK203" i="38"/>
  <c r="CT85" i="38" s="1"/>
  <c r="DA99" i="38"/>
  <c r="CS86" i="38"/>
  <c r="CS88" i="38" s="1"/>
  <c r="CK99" i="38"/>
  <c r="CK127" i="38" s="1"/>
  <c r="CK129" i="38" s="1"/>
  <c r="CQ93" i="36"/>
  <c r="CQ124" i="36" s="1"/>
  <c r="CV60" i="36"/>
  <c r="CV62" i="36" s="1"/>
  <c r="DA93" i="36"/>
  <c r="BK196" i="42"/>
  <c r="CS88" i="42" s="1"/>
  <c r="BJ197" i="42"/>
  <c r="M131" i="40"/>
  <c r="M132" i="40" s="1"/>
  <c r="CY72" i="39"/>
  <c r="CK72" i="39"/>
  <c r="CR58" i="39"/>
  <c r="CR60" i="39" s="1"/>
  <c r="BL237" i="40"/>
  <c r="CQ59" i="40" s="1"/>
  <c r="BK238" i="40"/>
  <c r="DA92" i="41"/>
  <c r="CS92" i="41"/>
  <c r="CS124" i="41" s="1"/>
  <c r="CS126" i="41" s="1"/>
  <c r="CW60" i="41"/>
  <c r="CW62" i="41" s="1"/>
  <c r="CY103" i="42"/>
  <c r="CK103" i="42"/>
  <c r="CR89" i="42"/>
  <c r="CR91" i="42" s="1"/>
  <c r="CQ126" i="41"/>
  <c r="BJ196" i="39"/>
  <c r="BK195" i="39"/>
  <c r="CS57" i="39" s="1"/>
  <c r="CU75" i="40"/>
  <c r="CK75" i="40"/>
  <c r="CP60" i="40"/>
  <c r="CP62" i="40" s="1"/>
  <c r="CR42" i="40"/>
  <c r="CN42" i="40"/>
  <c r="CN57" i="40" s="1"/>
  <c r="BK258" i="41"/>
  <c r="BL257" i="41"/>
  <c r="CX59" i="41" s="1"/>
  <c r="BK260" i="36"/>
  <c r="BL259" i="36"/>
  <c r="CW59" i="36" s="1"/>
  <c r="CK100" i="35"/>
  <c r="CK128" i="35" s="1"/>
  <c r="DA100" i="35"/>
  <c r="CS87" i="35"/>
  <c r="CS89" i="35" s="1"/>
  <c r="BJ196" i="35"/>
  <c r="BK195" i="35"/>
  <c r="CT86" i="35" s="1"/>
  <c r="BK269" i="37" l="1"/>
  <c r="BL268" i="37"/>
  <c r="CS59" i="37" s="1"/>
  <c r="CY97" i="37"/>
  <c r="CK97" i="37"/>
  <c r="CR60" i="37"/>
  <c r="CR62" i="37" s="1"/>
  <c r="CT86" i="38"/>
  <c r="CT88" i="38" s="1"/>
  <c r="DA98" i="38"/>
  <c r="CM98" i="38"/>
  <c r="CM127" i="38" s="1"/>
  <c r="CM129" i="38" s="1"/>
  <c r="BK204" i="38"/>
  <c r="CU85" i="38" s="1"/>
  <c r="BJ205" i="38"/>
  <c r="CQ60" i="40"/>
  <c r="CQ62" i="40" s="1"/>
  <c r="CR41" i="40"/>
  <c r="CR57" i="40" s="1"/>
  <c r="CP41" i="40"/>
  <c r="CP57" i="40" s="1"/>
  <c r="CW74" i="40"/>
  <c r="CK74" i="40"/>
  <c r="CQ126" i="36"/>
  <c r="CX60" i="41"/>
  <c r="CX62" i="41" s="1"/>
  <c r="DA91" i="41"/>
  <c r="CU91" i="41"/>
  <c r="CU124" i="41" s="1"/>
  <c r="CW60" i="36"/>
  <c r="CW62" i="36" s="1"/>
  <c r="DA92" i="36"/>
  <c r="CS92" i="36"/>
  <c r="CS124" i="36" s="1"/>
  <c r="BK259" i="41"/>
  <c r="BL258" i="41"/>
  <c r="CY59" i="41" s="1"/>
  <c r="DA71" i="39"/>
  <c r="CS58" i="39"/>
  <c r="CS60" i="39" s="1"/>
  <c r="CK71" i="39"/>
  <c r="CK99" i="39" s="1"/>
  <c r="BJ198" i="42"/>
  <c r="BK197" i="42"/>
  <c r="CT88" i="42" s="1"/>
  <c r="BL260" i="36"/>
  <c r="CX59" i="36" s="1"/>
  <c r="BK261" i="36"/>
  <c r="BJ197" i="39"/>
  <c r="BK196" i="39"/>
  <c r="CT57" i="39" s="1"/>
  <c r="BL238" i="40"/>
  <c r="CR59" i="40" s="1"/>
  <c r="BK239" i="40"/>
  <c r="DA102" i="42"/>
  <c r="CS89" i="42"/>
  <c r="CS91" i="42" s="1"/>
  <c r="CK102" i="42"/>
  <c r="CK130" i="42" s="1"/>
  <c r="CM99" i="35"/>
  <c r="CM128" i="35" s="1"/>
  <c r="CM130" i="35" s="1"/>
  <c r="CT87" i="35"/>
  <c r="CT89" i="35" s="1"/>
  <c r="DA99" i="35"/>
  <c r="CK130" i="35"/>
  <c r="BJ197" i="35"/>
  <c r="BK196" i="35"/>
  <c r="CU86" i="35" s="1"/>
  <c r="DA96" i="37" l="1"/>
  <c r="CK96" i="37"/>
  <c r="CK124" i="37" s="1"/>
  <c r="CK126" i="37" s="1"/>
  <c r="CS60" i="37"/>
  <c r="CS62" i="37" s="1"/>
  <c r="BK270" i="37"/>
  <c r="BL269" i="37"/>
  <c r="CT59" i="37" s="1"/>
  <c r="CO97" i="38"/>
  <c r="CO127" i="38" s="1"/>
  <c r="CO129" i="38" s="1"/>
  <c r="DA97" i="38"/>
  <c r="CU86" i="38"/>
  <c r="CU88" i="38" s="1"/>
  <c r="BK205" i="38"/>
  <c r="CV85" i="38" s="1"/>
  <c r="BJ206" i="38"/>
  <c r="DA70" i="39"/>
  <c r="CM70" i="39"/>
  <c r="CM99" i="39" s="1"/>
  <c r="CM131" i="39" s="1"/>
  <c r="CT58" i="39"/>
  <c r="CT60" i="39" s="1"/>
  <c r="DA101" i="42"/>
  <c r="CM101" i="42"/>
  <c r="CM130" i="42" s="1"/>
  <c r="CM132" i="42" s="1"/>
  <c r="CT89" i="42"/>
  <c r="CT91" i="42" s="1"/>
  <c r="DA90" i="41"/>
  <c r="CW90" i="41"/>
  <c r="CW124" i="41" s="1"/>
  <c r="CW126" i="41" s="1"/>
  <c r="CY60" i="41"/>
  <c r="CY62" i="41" s="1"/>
  <c r="BJ198" i="39"/>
  <c r="BK197" i="39"/>
  <c r="CU57" i="39" s="1"/>
  <c r="BJ199" i="42"/>
  <c r="BK198" i="42"/>
  <c r="CU88" i="42" s="1"/>
  <c r="CK131" i="39"/>
  <c r="BK260" i="41"/>
  <c r="BL260" i="41" s="1"/>
  <c r="DA59" i="41" s="1"/>
  <c r="DA60" i="41" s="1"/>
  <c r="DA62" i="41" s="1"/>
  <c r="BL259" i="41"/>
  <c r="CZ59" i="41" s="1"/>
  <c r="CU126" i="41"/>
  <c r="BL239" i="40"/>
  <c r="CS59" i="40" s="1"/>
  <c r="BK240" i="40"/>
  <c r="BK262" i="36"/>
  <c r="BL261" i="36"/>
  <c r="CY59" i="36" s="1"/>
  <c r="CS126" i="36"/>
  <c r="CK132" i="42"/>
  <c r="CY73" i="40"/>
  <c r="CK73" i="40"/>
  <c r="CR60" i="40"/>
  <c r="CR62" i="40" s="1"/>
  <c r="CU91" i="36"/>
  <c r="CU124" i="36" s="1"/>
  <c r="CU126" i="36" s="1"/>
  <c r="DA91" i="36"/>
  <c r="CX60" i="36"/>
  <c r="CX62" i="36" s="1"/>
  <c r="CO98" i="35"/>
  <c r="CO128" i="35" s="1"/>
  <c r="CO130" i="35" s="1"/>
  <c r="DA98" i="35"/>
  <c r="CU87" i="35"/>
  <c r="CU89" i="35" s="1"/>
  <c r="BK197" i="35"/>
  <c r="CV86" i="35" s="1"/>
  <c r="BJ198" i="35"/>
  <c r="BL270" i="37" l="1"/>
  <c r="CU59" i="37" s="1"/>
  <c r="BK271" i="37"/>
  <c r="CM95" i="37"/>
  <c r="CM124" i="37" s="1"/>
  <c r="CM126" i="37" s="1"/>
  <c r="CT60" i="37"/>
  <c r="CT62" i="37" s="1"/>
  <c r="DA95" i="37"/>
  <c r="CQ96" i="38"/>
  <c r="CQ127" i="38" s="1"/>
  <c r="CQ129" i="38" s="1"/>
  <c r="CV86" i="38"/>
  <c r="CV88" i="38" s="1"/>
  <c r="DA96" i="38"/>
  <c r="BJ207" i="38"/>
  <c r="BK206" i="38"/>
  <c r="CW85" i="38" s="1"/>
  <c r="BL262" i="36"/>
  <c r="CZ59" i="36" s="1"/>
  <c r="BK263" i="36"/>
  <c r="BL263" i="36" s="1"/>
  <c r="DA59" i="36" s="1"/>
  <c r="DA60" i="36" s="1"/>
  <c r="DA62" i="36" s="1"/>
  <c r="DA72" i="40"/>
  <c r="CS60" i="40"/>
  <c r="CS62" i="40" s="1"/>
  <c r="CK72" i="40"/>
  <c r="CK100" i="40" s="1"/>
  <c r="BJ200" i="42"/>
  <c r="BK199" i="42"/>
  <c r="CV88" i="42" s="1"/>
  <c r="CU58" i="39"/>
  <c r="CU60" i="39" s="1"/>
  <c r="DA69" i="39"/>
  <c r="CO69" i="39"/>
  <c r="CO99" i="39" s="1"/>
  <c r="BJ199" i="39"/>
  <c r="BK198" i="39"/>
  <c r="CV57" i="39" s="1"/>
  <c r="DA90" i="36"/>
  <c r="CW90" i="36"/>
  <c r="CW124" i="36" s="1"/>
  <c r="CW126" i="36" s="1"/>
  <c r="CY60" i="36"/>
  <c r="CY62" i="36" s="1"/>
  <c r="BL240" i="40"/>
  <c r="CT59" i="40" s="1"/>
  <c r="BK241" i="40"/>
  <c r="DA89" i="41"/>
  <c r="DA124" i="41" s="1"/>
  <c r="DA126" i="41" s="1"/>
  <c r="CZ60" i="41"/>
  <c r="CZ62" i="41" s="1"/>
  <c r="BO63" i="41" s="1"/>
  <c r="CY89" i="41"/>
  <c r="CY124" i="41" s="1"/>
  <c r="CU89" i="42"/>
  <c r="CU91" i="42" s="1"/>
  <c r="DA100" i="42"/>
  <c r="CO100" i="42"/>
  <c r="CO130" i="42" s="1"/>
  <c r="BJ199" i="35"/>
  <c r="BK198" i="35"/>
  <c r="CW86" i="35" s="1"/>
  <c r="CV87" i="35"/>
  <c r="CV89" i="35" s="1"/>
  <c r="CQ97" i="35"/>
  <c r="CQ128" i="35" s="1"/>
  <c r="DA97" i="35"/>
  <c r="BL271" i="37" l="1"/>
  <c r="CV59" i="37" s="1"/>
  <c r="BK272" i="37"/>
  <c r="DA94" i="37"/>
  <c r="CO94" i="37"/>
  <c r="CO124" i="37" s="1"/>
  <c r="CO126" i="37" s="1"/>
  <c r="CU60" i="37"/>
  <c r="CU62" i="37" s="1"/>
  <c r="BM63" i="41"/>
  <c r="BN63" i="41" s="1"/>
  <c r="BK207" i="38"/>
  <c r="CX85" i="38" s="1"/>
  <c r="BJ208" i="38"/>
  <c r="DA95" i="38"/>
  <c r="CS95" i="38"/>
  <c r="CS127" i="38" s="1"/>
  <c r="CS129" i="38" s="1"/>
  <c r="CW86" i="38"/>
  <c r="CW88" i="38" s="1"/>
  <c r="CO132" i="42"/>
  <c r="DA68" i="39"/>
  <c r="CQ68" i="39"/>
  <c r="CQ99" i="39" s="1"/>
  <c r="CV58" i="39"/>
  <c r="CV60" i="39" s="1"/>
  <c r="CK102" i="40"/>
  <c r="CY89" i="36"/>
  <c r="CY124" i="36" s="1"/>
  <c r="CY126" i="36" s="1"/>
  <c r="CZ60" i="36"/>
  <c r="CZ62" i="36" s="1"/>
  <c r="BO63" i="36" s="1"/>
  <c r="DA89" i="36"/>
  <c r="DA124" i="36" s="1"/>
  <c r="CY126" i="41"/>
  <c r="L131" i="41" s="1"/>
  <c r="H47" i="41"/>
  <c r="H48" i="41" s="1"/>
  <c r="I131" i="41"/>
  <c r="I132" i="41" s="1"/>
  <c r="BL241" i="40"/>
  <c r="CU59" i="40" s="1"/>
  <c r="BK242" i="40"/>
  <c r="BJ200" i="39"/>
  <c r="BK199" i="39"/>
  <c r="CW57" i="39" s="1"/>
  <c r="DA99" i="42"/>
  <c r="CQ99" i="42"/>
  <c r="CQ130" i="42" s="1"/>
  <c r="CV89" i="42"/>
  <c r="CV91" i="42" s="1"/>
  <c r="DA71" i="40"/>
  <c r="CM71" i="40"/>
  <c r="CM100" i="40" s="1"/>
  <c r="CM102" i="40" s="1"/>
  <c r="CT60" i="40"/>
  <c r="CT62" i="40" s="1"/>
  <c r="BJ201" i="42"/>
  <c r="BK200" i="42"/>
  <c r="CW88" i="42" s="1"/>
  <c r="CO131" i="39"/>
  <c r="CS96" i="35"/>
  <c r="CS128" i="35" s="1"/>
  <c r="CS130" i="35" s="1"/>
  <c r="CW87" i="35"/>
  <c r="CW89" i="35" s="1"/>
  <c r="DA96" i="35"/>
  <c r="BK199" i="35"/>
  <c r="CX86" i="35" s="1"/>
  <c r="BJ200" i="35"/>
  <c r="CQ130" i="35"/>
  <c r="BL272" i="37" l="1"/>
  <c r="CW59" i="37" s="1"/>
  <c r="BK273" i="37"/>
  <c r="CV60" i="37"/>
  <c r="CV62" i="37" s="1"/>
  <c r="CQ93" i="37"/>
  <c r="CQ124" i="37" s="1"/>
  <c r="CQ126" i="37" s="1"/>
  <c r="DA93" i="37"/>
  <c r="BM63" i="36"/>
  <c r="BN63" i="36" s="1"/>
  <c r="BK208" i="38"/>
  <c r="CY85" i="38" s="1"/>
  <c r="BJ209" i="38"/>
  <c r="CX86" i="38"/>
  <c r="CX88" i="38" s="1"/>
  <c r="DA94" i="38"/>
  <c r="CU94" i="38"/>
  <c r="CU127" i="38" s="1"/>
  <c r="CU60" i="40"/>
  <c r="CU62" i="40" s="1"/>
  <c r="DA70" i="40"/>
  <c r="CO70" i="40"/>
  <c r="CO100" i="40" s="1"/>
  <c r="CO102" i="40" s="1"/>
  <c r="DA126" i="36"/>
  <c r="L131" i="36" s="1"/>
  <c r="I131" i="36"/>
  <c r="I132" i="36" s="1"/>
  <c r="DA67" i="39"/>
  <c r="CW58" i="39"/>
  <c r="CW60" i="39" s="1"/>
  <c r="CS67" i="39"/>
  <c r="CS99" i="39" s="1"/>
  <c r="H47" i="36"/>
  <c r="H48" i="36" s="1"/>
  <c r="DA98" i="42"/>
  <c r="CW89" i="42"/>
  <c r="CW91" i="42" s="1"/>
  <c r="CS98" i="42"/>
  <c r="CS130" i="42" s="1"/>
  <c r="CS132" i="42" s="1"/>
  <c r="BJ202" i="42"/>
  <c r="BK201" i="42"/>
  <c r="CX88" i="42" s="1"/>
  <c r="CQ132" i="42"/>
  <c r="BJ201" i="39"/>
  <c r="BK200" i="39"/>
  <c r="CX57" i="39" s="1"/>
  <c r="L48" i="41"/>
  <c r="K48" i="41"/>
  <c r="CQ131" i="39"/>
  <c r="BL242" i="40"/>
  <c r="CV59" i="40" s="1"/>
  <c r="BK243" i="40"/>
  <c r="CU95" i="35"/>
  <c r="CU128" i="35" s="1"/>
  <c r="CX87" i="35"/>
  <c r="CX89" i="35" s="1"/>
  <c r="DA95" i="35"/>
  <c r="BJ201" i="35"/>
  <c r="BK200" i="35"/>
  <c r="CY86" i="35" s="1"/>
  <c r="BL273" i="37" l="1"/>
  <c r="CX59" i="37" s="1"/>
  <c r="BK274" i="37"/>
  <c r="DA92" i="37"/>
  <c r="CS92" i="37"/>
  <c r="CS124" i="37" s="1"/>
  <c r="CS126" i="37" s="1"/>
  <c r="CW60" i="37"/>
  <c r="CW62" i="37" s="1"/>
  <c r="BK209" i="38"/>
  <c r="CZ85" i="38" s="1"/>
  <c r="BJ210" i="38"/>
  <c r="BK210" i="38" s="1"/>
  <c r="DA85" i="38" s="1"/>
  <c r="DA86" i="38" s="1"/>
  <c r="DA88" i="38" s="1"/>
  <c r="CU129" i="38"/>
  <c r="DA93" i="38"/>
  <c r="CW93" i="38"/>
  <c r="CW127" i="38" s="1"/>
  <c r="CW129" i="38" s="1"/>
  <c r="CY86" i="38"/>
  <c r="CY88" i="38" s="1"/>
  <c r="DA69" i="40"/>
  <c r="CQ69" i="40"/>
  <c r="CQ100" i="40" s="1"/>
  <c r="CV60" i="40"/>
  <c r="CV62" i="40" s="1"/>
  <c r="BL243" i="40"/>
  <c r="CW59" i="40" s="1"/>
  <c r="BK244" i="40"/>
  <c r="BJ202" i="39"/>
  <c r="BK201" i="39"/>
  <c r="CY57" i="39" s="1"/>
  <c r="BJ203" i="42"/>
  <c r="BK202" i="42"/>
  <c r="CY88" i="42" s="1"/>
  <c r="L48" i="36"/>
  <c r="K48" i="36"/>
  <c r="K49" i="41"/>
  <c r="L49" i="41"/>
  <c r="CS131" i="39"/>
  <c r="DA66" i="39"/>
  <c r="CU66" i="39"/>
  <c r="CU99" i="39" s="1"/>
  <c r="CU131" i="39" s="1"/>
  <c r="CX58" i="39"/>
  <c r="CX60" i="39" s="1"/>
  <c r="DA97" i="42"/>
  <c r="CU97" i="42"/>
  <c r="CU130" i="42" s="1"/>
  <c r="CU132" i="42" s="1"/>
  <c r="CX89" i="42"/>
  <c r="CX91" i="42" s="1"/>
  <c r="CW94" i="35"/>
  <c r="CW128" i="35" s="1"/>
  <c r="CW130" i="35" s="1"/>
  <c r="CY87" i="35"/>
  <c r="CY89" i="35" s="1"/>
  <c r="DA94" i="35"/>
  <c r="BJ202" i="35"/>
  <c r="BK202" i="35" s="1"/>
  <c r="DA86" i="35" s="1"/>
  <c r="DA87" i="35" s="1"/>
  <c r="DA89" i="35" s="1"/>
  <c r="BK201" i="35"/>
  <c r="CZ86" i="35" s="1"/>
  <c r="CU130" i="35"/>
  <c r="BL274" i="37" l="1"/>
  <c r="CY59" i="37" s="1"/>
  <c r="BK275" i="37"/>
  <c r="CU91" i="37"/>
  <c r="CU124" i="37" s="1"/>
  <c r="CU126" i="37" s="1"/>
  <c r="CX60" i="37"/>
  <c r="CX62" i="37" s="1"/>
  <c r="DA91" i="37"/>
  <c r="DA92" i="38"/>
  <c r="DA127" i="38" s="1"/>
  <c r="DA129" i="38" s="1"/>
  <c r="CY92" i="38"/>
  <c r="CY127" i="38" s="1"/>
  <c r="CZ86" i="38"/>
  <c r="CZ88" i="38" s="1"/>
  <c r="BO89" i="38" s="1"/>
  <c r="L126" i="41"/>
  <c r="L132" i="41" s="1"/>
  <c r="BO127" i="41" s="1"/>
  <c r="CY89" i="42"/>
  <c r="CY91" i="42" s="1"/>
  <c r="DA96" i="42"/>
  <c r="CW96" i="42"/>
  <c r="CW130" i="42" s="1"/>
  <c r="CW132" i="42" s="1"/>
  <c r="DA68" i="40"/>
  <c r="CW60" i="40"/>
  <c r="CW62" i="40" s="1"/>
  <c r="CS68" i="40"/>
  <c r="CS100" i="40" s="1"/>
  <c r="CS102" i="40" s="1"/>
  <c r="CQ102" i="40"/>
  <c r="BJ204" i="42"/>
  <c r="BK204" i="42" s="1"/>
  <c r="DA88" i="42" s="1"/>
  <c r="DA89" i="42" s="1"/>
  <c r="DA91" i="42" s="1"/>
  <c r="BK203" i="42"/>
  <c r="CZ88" i="42" s="1"/>
  <c r="K49" i="36"/>
  <c r="CY58" i="39"/>
  <c r="CY60" i="39" s="1"/>
  <c r="DA65" i="39"/>
  <c r="CW65" i="39"/>
  <c r="CW99" i="39" s="1"/>
  <c r="CW131" i="39" s="1"/>
  <c r="L49" i="36"/>
  <c r="BJ203" i="39"/>
  <c r="BK203" i="39" s="1"/>
  <c r="DA57" i="39" s="1"/>
  <c r="DA58" i="39" s="1"/>
  <c r="DA60" i="39" s="1"/>
  <c r="BK202" i="39"/>
  <c r="CZ57" i="39" s="1"/>
  <c r="BL244" i="40"/>
  <c r="CX59" i="40" s="1"/>
  <c r="BK245" i="40"/>
  <c r="CZ87" i="35"/>
  <c r="CZ89" i="35" s="1"/>
  <c r="BO90" i="35" s="1"/>
  <c r="CY93" i="35"/>
  <c r="CY128" i="35" s="1"/>
  <c r="DA93" i="35"/>
  <c r="DA128" i="35" s="1"/>
  <c r="BK276" i="37" l="1"/>
  <c r="BL276" i="37" s="1"/>
  <c r="DA59" i="37" s="1"/>
  <c r="DA60" i="37" s="1"/>
  <c r="DA62" i="37" s="1"/>
  <c r="BL275" i="37"/>
  <c r="CZ59" i="37" s="1"/>
  <c r="CY60" i="37"/>
  <c r="CY62" i="37" s="1"/>
  <c r="DA90" i="37"/>
  <c r="CW90" i="37"/>
  <c r="CW124" i="37" s="1"/>
  <c r="BM127" i="41"/>
  <c r="BN127" i="41" s="1"/>
  <c r="BM89" i="38"/>
  <c r="BN89" i="38" s="1"/>
  <c r="BM90" i="35"/>
  <c r="BN90" i="35" s="1"/>
  <c r="CY129" i="38"/>
  <c r="L131" i="38" s="1"/>
  <c r="I131" i="38"/>
  <c r="I132" i="38" s="1"/>
  <c r="H47" i="38"/>
  <c r="H48" i="38" s="1"/>
  <c r="DA64" i="39"/>
  <c r="DA99" i="39" s="1"/>
  <c r="DA131" i="39" s="1"/>
  <c r="CY64" i="39"/>
  <c r="CY99" i="39" s="1"/>
  <c r="CZ58" i="39"/>
  <c r="CZ60" i="39" s="1"/>
  <c r="BO61" i="39" s="1"/>
  <c r="L126" i="36"/>
  <c r="L132" i="36" s="1"/>
  <c r="BO127" i="36" s="1"/>
  <c r="DA95" i="42"/>
  <c r="DA130" i="42" s="1"/>
  <c r="CY95" i="42"/>
  <c r="CY130" i="42" s="1"/>
  <c r="CZ89" i="42"/>
  <c r="CZ91" i="42" s="1"/>
  <c r="BO92" i="42" s="1"/>
  <c r="BL245" i="40"/>
  <c r="CY59" i="40" s="1"/>
  <c r="BK246" i="40"/>
  <c r="DA67" i="40"/>
  <c r="CU67" i="40"/>
  <c r="CU100" i="40" s="1"/>
  <c r="CU102" i="40" s="1"/>
  <c r="CX60" i="40"/>
  <c r="CX62" i="40" s="1"/>
  <c r="CY130" i="35"/>
  <c r="H47" i="35"/>
  <c r="H48" i="35" s="1"/>
  <c r="DA130" i="35"/>
  <c r="I131" i="35"/>
  <c r="I132" i="35" s="1"/>
  <c r="CY89" i="37" l="1"/>
  <c r="CY124" i="37" s="1"/>
  <c r="CY126" i="37" s="1"/>
  <c r="DA89" i="37"/>
  <c r="DA124" i="37" s="1"/>
  <c r="DA126" i="37" s="1"/>
  <c r="CZ60" i="37"/>
  <c r="CZ62" i="37" s="1"/>
  <c r="BO63" i="37" s="1"/>
  <c r="BM63" i="37" s="1"/>
  <c r="BN63" i="37" s="1"/>
  <c r="CW126" i="37"/>
  <c r="BM127" i="36"/>
  <c r="BN127" i="36" s="1"/>
  <c r="BM92" i="42"/>
  <c r="BN92" i="42" s="1"/>
  <c r="BM61" i="39"/>
  <c r="BN61" i="39" s="1"/>
  <c r="I131" i="39"/>
  <c r="I132" i="39" s="1"/>
  <c r="K48" i="38"/>
  <c r="L48" i="38"/>
  <c r="DA132" i="42"/>
  <c r="I133" i="42"/>
  <c r="I134" i="42" s="1"/>
  <c r="BL246" i="40"/>
  <c r="CZ59" i="40" s="1"/>
  <c r="BK247" i="40"/>
  <c r="BL247" i="40" s="1"/>
  <c r="DA59" i="40" s="1"/>
  <c r="DA60" i="40" s="1"/>
  <c r="DA62" i="40" s="1"/>
  <c r="CY60" i="40"/>
  <c r="CY62" i="40" s="1"/>
  <c r="DA66" i="40"/>
  <c r="CW66" i="40"/>
  <c r="CW100" i="40" s="1"/>
  <c r="CY131" i="39"/>
  <c r="L131" i="39" s="1"/>
  <c r="L132" i="39" s="1"/>
  <c r="H47" i="39"/>
  <c r="H48" i="39" s="1"/>
  <c r="CY132" i="42"/>
  <c r="H49" i="42"/>
  <c r="H50" i="42" s="1"/>
  <c r="L131" i="35"/>
  <c r="L132" i="35" s="1"/>
  <c r="BO131" i="35" s="1"/>
  <c r="L48" i="35"/>
  <c r="K48" i="35"/>
  <c r="L131" i="37" l="1"/>
  <c r="H47" i="37"/>
  <c r="H48" i="37" s="1"/>
  <c r="I131" i="37"/>
  <c r="I132" i="37" s="1"/>
  <c r="BM131" i="35"/>
  <c r="BN131" i="35" s="1"/>
  <c r="BO132" i="39"/>
  <c r="L49" i="38"/>
  <c r="K49" i="38"/>
  <c r="L133" i="42"/>
  <c r="CW102" i="40"/>
  <c r="DA65" i="40"/>
  <c r="DA100" i="40" s="1"/>
  <c r="DA102" i="40" s="1"/>
  <c r="CY65" i="40"/>
  <c r="CY100" i="40" s="1"/>
  <c r="CY102" i="40" s="1"/>
  <c r="CZ60" i="40"/>
  <c r="CZ62" i="40" s="1"/>
  <c r="BO63" i="40" s="1"/>
  <c r="L50" i="42"/>
  <c r="K50" i="42"/>
  <c r="L48" i="39"/>
  <c r="K48" i="39"/>
  <c r="K49" i="35"/>
  <c r="L49" i="35"/>
  <c r="L48" i="37" l="1"/>
  <c r="L49" i="37" s="1"/>
  <c r="K48" i="37"/>
  <c r="K49" i="37" s="1"/>
  <c r="BM63" i="40"/>
  <c r="BN63" i="40" s="1"/>
  <c r="BM132" i="39"/>
  <c r="BN132" i="39" s="1"/>
  <c r="L126" i="38"/>
  <c r="L132" i="38" s="1"/>
  <c r="BO130" i="38" s="1"/>
  <c r="H47" i="40"/>
  <c r="H48" i="40" s="1"/>
  <c r="K48" i="40" s="1"/>
  <c r="L51" i="42"/>
  <c r="I131" i="40"/>
  <c r="I132" i="40" s="1"/>
  <c r="K49" i="39"/>
  <c r="L49" i="39"/>
  <c r="K51" i="42"/>
  <c r="L131" i="40"/>
  <c r="L132" i="40" s="1"/>
  <c r="L126" i="35"/>
  <c r="L126" i="37" l="1"/>
  <c r="L132" i="37" s="1"/>
  <c r="BO127" i="37" s="1"/>
  <c r="BM127" i="37" s="1"/>
  <c r="BN127" i="37" s="1"/>
  <c r="BM130" i="38"/>
  <c r="BN130" i="38" s="1"/>
  <c r="L48" i="40"/>
  <c r="L49" i="40" s="1"/>
  <c r="BO103" i="40"/>
  <c r="L126" i="39"/>
  <c r="L128" i="42"/>
  <c r="L134" i="42" s="1"/>
  <c r="K49" i="40"/>
  <c r="BM103" i="40" l="1"/>
  <c r="BN103" i="40" s="1"/>
  <c r="BO133" i="42"/>
  <c r="BM133" i="42" s="1"/>
  <c r="BN133" i="42" s="1"/>
  <c r="L126" i="40"/>
  <c r="H22" i="27"/>
  <c r="H8" i="27"/>
  <c r="H7" i="27"/>
  <c r="H22" i="28"/>
  <c r="H8" i="28"/>
  <c r="H7" i="28"/>
  <c r="H22" i="29"/>
  <c r="H8" i="29"/>
  <c r="H7" i="29"/>
  <c r="H22" i="31" l="1"/>
  <c r="H8" i="31"/>
  <c r="H7" i="31"/>
  <c r="H22" i="20" l="1"/>
  <c r="H8" i="20"/>
  <c r="H7" i="20"/>
  <c r="H22" i="25" l="1"/>
  <c r="H8" i="25"/>
  <c r="H7" i="25"/>
  <c r="H22" i="26" l="1"/>
  <c r="H8" i="26"/>
  <c r="H7" i="26"/>
  <c r="H22" i="7" l="1"/>
  <c r="H8" i="7"/>
  <c r="H7" i="7"/>
  <c r="H22" i="24"/>
  <c r="H8" i="24"/>
  <c r="H7" i="24"/>
  <c r="G139" i="24"/>
  <c r="J140" i="24"/>
  <c r="K140" i="24" s="1"/>
  <c r="L140" i="24" s="1"/>
  <c r="M140" i="24" s="1"/>
  <c r="N140" i="24" s="1"/>
  <c r="J141" i="24"/>
  <c r="K141" i="24" s="1"/>
  <c r="L141" i="24" s="1"/>
  <c r="M141" i="24" s="1"/>
  <c r="N141" i="24" s="1"/>
  <c r="J142" i="24"/>
  <c r="K142" i="24" s="1"/>
  <c r="L142" i="24" s="1"/>
  <c r="M142" i="24" s="1"/>
  <c r="N142" i="24" s="1"/>
  <c r="J143" i="24"/>
  <c r="K143" i="24" s="1"/>
  <c r="L143" i="24" s="1"/>
  <c r="M143" i="24" s="1"/>
  <c r="N143" i="24" s="1"/>
  <c r="J144" i="24"/>
  <c r="K144" i="24" s="1"/>
  <c r="L144" i="24" s="1"/>
  <c r="M144" i="24" s="1"/>
  <c r="N144" i="24" s="1"/>
  <c r="J145" i="24"/>
  <c r="K145" i="24" s="1"/>
  <c r="L145" i="24" s="1"/>
  <c r="M145" i="24" s="1"/>
  <c r="N145" i="24" s="1"/>
  <c r="J146" i="24"/>
  <c r="K146" i="24" s="1"/>
  <c r="L146" i="24" s="1"/>
  <c r="M146" i="24" s="1"/>
  <c r="N146" i="24" s="1"/>
  <c r="J147" i="24"/>
  <c r="K147" i="24" s="1"/>
  <c r="L147" i="24" s="1"/>
  <c r="M147" i="24" s="1"/>
  <c r="N147" i="24" s="1"/>
  <c r="J148" i="24"/>
  <c r="K148" i="24" s="1"/>
  <c r="L148" i="24" s="1"/>
  <c r="M148" i="24" s="1"/>
  <c r="N148" i="24" s="1"/>
  <c r="J149" i="24"/>
  <c r="K149" i="24" s="1"/>
  <c r="L149" i="24" s="1"/>
  <c r="M149" i="24" s="1"/>
  <c r="N149" i="24" s="1"/>
  <c r="J150" i="24"/>
  <c r="K150" i="24" s="1"/>
  <c r="L150" i="24" s="1"/>
  <c r="M150" i="24" s="1"/>
  <c r="N150" i="24" s="1"/>
  <c r="J151" i="24"/>
  <c r="K151" i="24" s="1"/>
  <c r="L151" i="24" s="1"/>
  <c r="M151" i="24" s="1"/>
  <c r="N151" i="24" s="1"/>
  <c r="J152" i="24"/>
  <c r="K152" i="24" s="1"/>
  <c r="L152" i="24" s="1"/>
  <c r="M152" i="24" s="1"/>
  <c r="N152" i="24" s="1"/>
  <c r="J153" i="24"/>
  <c r="K153" i="24" s="1"/>
  <c r="L153" i="24" s="1"/>
  <c r="M153" i="24" s="1"/>
  <c r="N153" i="24" s="1"/>
  <c r="J154" i="24"/>
  <c r="K154" i="24" s="1"/>
  <c r="L154" i="24" s="1"/>
  <c r="M154" i="24" s="1"/>
  <c r="N154" i="24" s="1"/>
  <c r="J155" i="24"/>
  <c r="K155" i="24" s="1"/>
  <c r="L155" i="24" s="1"/>
  <c r="M155" i="24" s="1"/>
  <c r="N155" i="24" s="1"/>
  <c r="J156" i="24"/>
  <c r="K156" i="24" s="1"/>
  <c r="L156" i="24" s="1"/>
  <c r="M156" i="24" s="1"/>
  <c r="N156" i="24" s="1"/>
  <c r="J157" i="24"/>
  <c r="K157" i="24" s="1"/>
  <c r="L157" i="24" s="1"/>
  <c r="M157" i="24" s="1"/>
  <c r="N157" i="24" s="1"/>
  <c r="J158" i="24"/>
  <c r="K158" i="24" s="1"/>
  <c r="L158" i="24" s="1"/>
  <c r="M158" i="24" s="1"/>
  <c r="N158" i="24" s="1"/>
  <c r="H22" i="23"/>
  <c r="H8" i="23"/>
  <c r="H7" i="23"/>
  <c r="H22" i="3"/>
  <c r="H8" i="3"/>
  <c r="H7" i="3"/>
  <c r="H22" i="22" l="1"/>
  <c r="H8" i="22"/>
  <c r="H7" i="22"/>
  <c r="H22" i="2" l="1"/>
  <c r="H8" i="2"/>
  <c r="H7" i="2"/>
  <c r="H22" i="30" l="1"/>
  <c r="H8" i="30"/>
  <c r="H7" i="30"/>
  <c r="C138" i="1" l="1"/>
  <c r="H22" i="1" l="1"/>
  <c r="H8" i="1"/>
  <c r="H7" i="1"/>
  <c r="AP178" i="25" l="1"/>
  <c r="J178" i="25"/>
  <c r="K178" i="25" s="1"/>
  <c r="L178" i="25" s="1"/>
  <c r="M178" i="25" s="1"/>
  <c r="N178" i="25" s="1"/>
  <c r="G178" i="25"/>
  <c r="AP177" i="25"/>
  <c r="J177" i="25"/>
  <c r="K177" i="25" s="1"/>
  <c r="L177" i="25" s="1"/>
  <c r="M177" i="25" s="1"/>
  <c r="N177" i="25" s="1"/>
  <c r="G177" i="25"/>
  <c r="AP166" i="26"/>
  <c r="J166" i="26"/>
  <c r="K166" i="26" s="1"/>
  <c r="L166" i="26" s="1"/>
  <c r="M166" i="26" s="1"/>
  <c r="N166" i="26" s="1"/>
  <c r="G166" i="26"/>
  <c r="AP165" i="26"/>
  <c r="J165" i="26"/>
  <c r="K165" i="26" s="1"/>
  <c r="L165" i="26" s="1"/>
  <c r="M165" i="26" s="1"/>
  <c r="N165" i="26" s="1"/>
  <c r="G165" i="26"/>
  <c r="AQ232" i="31" l="1"/>
  <c r="AQ231" i="31"/>
  <c r="AQ230" i="31"/>
  <c r="AQ229" i="31"/>
  <c r="AQ228" i="31"/>
  <c r="AQ227" i="31"/>
  <c r="AQ226" i="31"/>
  <c r="C17" i="31"/>
  <c r="J232" i="31"/>
  <c r="K232" i="31" s="1"/>
  <c r="L232" i="31" s="1"/>
  <c r="M232" i="31" s="1"/>
  <c r="N232" i="31" s="1"/>
  <c r="G232" i="31"/>
  <c r="J231" i="31"/>
  <c r="K231" i="31" s="1"/>
  <c r="L231" i="31" s="1"/>
  <c r="M231" i="31" s="1"/>
  <c r="N231" i="31" s="1"/>
  <c r="G231" i="31"/>
  <c r="J230" i="31"/>
  <c r="K230" i="31" s="1"/>
  <c r="L230" i="31" s="1"/>
  <c r="M230" i="31" s="1"/>
  <c r="N230" i="31" s="1"/>
  <c r="G230" i="31"/>
  <c r="J229" i="31"/>
  <c r="K229" i="31" s="1"/>
  <c r="L229" i="31" s="1"/>
  <c r="M229" i="31" s="1"/>
  <c r="N229" i="31" s="1"/>
  <c r="G229" i="31"/>
  <c r="J228" i="31"/>
  <c r="K228" i="31" s="1"/>
  <c r="L228" i="31" s="1"/>
  <c r="M228" i="31" s="1"/>
  <c r="N228" i="31" s="1"/>
  <c r="G228" i="31"/>
  <c r="J227" i="31"/>
  <c r="K227" i="31" s="1"/>
  <c r="L227" i="31" s="1"/>
  <c r="M227" i="31" s="1"/>
  <c r="N227" i="31" s="1"/>
  <c r="G227" i="31"/>
  <c r="J226" i="31"/>
  <c r="K226" i="31" s="1"/>
  <c r="L226" i="31" s="1"/>
  <c r="M226" i="31" s="1"/>
  <c r="N226" i="31" s="1"/>
  <c r="G226" i="31"/>
  <c r="AQ225" i="31"/>
  <c r="G225" i="31"/>
  <c r="AQ213" i="31"/>
  <c r="J213" i="31"/>
  <c r="K213" i="31" s="1"/>
  <c r="L213" i="31" s="1"/>
  <c r="M213" i="31" s="1"/>
  <c r="N213" i="31" s="1"/>
  <c r="AQ212" i="31"/>
  <c r="J212" i="31"/>
  <c r="K212" i="31" s="1"/>
  <c r="L212" i="31" s="1"/>
  <c r="M212" i="31" s="1"/>
  <c r="N212" i="31" s="1"/>
  <c r="AQ211" i="31"/>
  <c r="J211" i="31"/>
  <c r="K211" i="31" s="1"/>
  <c r="L211" i="31" s="1"/>
  <c r="M211" i="31" s="1"/>
  <c r="N211" i="31" s="1"/>
  <c r="AQ210" i="31"/>
  <c r="J210" i="31"/>
  <c r="K210" i="31" s="1"/>
  <c r="L210" i="31" s="1"/>
  <c r="M210" i="31" s="1"/>
  <c r="N210" i="31" s="1"/>
  <c r="AQ209" i="31"/>
  <c r="J209" i="31"/>
  <c r="K209" i="31" s="1"/>
  <c r="L209" i="31" s="1"/>
  <c r="M209" i="31" s="1"/>
  <c r="N209" i="31" s="1"/>
  <c r="AQ208" i="31"/>
  <c r="J208" i="31"/>
  <c r="K208" i="31" s="1"/>
  <c r="L208" i="31" s="1"/>
  <c r="M208" i="31" s="1"/>
  <c r="N208" i="31" s="1"/>
  <c r="AQ207" i="31"/>
  <c r="J207" i="31"/>
  <c r="K207" i="31" s="1"/>
  <c r="L207" i="31" s="1"/>
  <c r="M207" i="31" s="1"/>
  <c r="N207" i="31" s="1"/>
  <c r="AQ206" i="31"/>
  <c r="AR206" i="31" s="1"/>
  <c r="J206" i="31"/>
  <c r="K206" i="31" s="1"/>
  <c r="L206" i="31" s="1"/>
  <c r="M206" i="31" s="1"/>
  <c r="N206" i="31" s="1"/>
  <c r="AQ205" i="31"/>
  <c r="J205" i="31"/>
  <c r="K205" i="31" s="1"/>
  <c r="L205" i="31" s="1"/>
  <c r="M205" i="31" s="1"/>
  <c r="N205" i="31" s="1"/>
  <c r="AQ204" i="31"/>
  <c r="J204" i="31"/>
  <c r="K204" i="31" s="1"/>
  <c r="L204" i="31" s="1"/>
  <c r="M204" i="31" s="1"/>
  <c r="N204" i="31" s="1"/>
  <c r="AQ203" i="31"/>
  <c r="J203" i="31"/>
  <c r="K203" i="31" s="1"/>
  <c r="L203" i="31" s="1"/>
  <c r="M203" i="31" s="1"/>
  <c r="N203" i="31" s="1"/>
  <c r="AQ202" i="31"/>
  <c r="AR202" i="31" s="1"/>
  <c r="J202" i="31"/>
  <c r="K202" i="31" s="1"/>
  <c r="L202" i="31" s="1"/>
  <c r="M202" i="31" s="1"/>
  <c r="N202" i="31" s="1"/>
  <c r="AQ201" i="31"/>
  <c r="J201" i="31"/>
  <c r="K201" i="31" s="1"/>
  <c r="L201" i="31" s="1"/>
  <c r="M201" i="31" s="1"/>
  <c r="N201" i="31" s="1"/>
  <c r="AQ200" i="31"/>
  <c r="J200" i="31"/>
  <c r="K200" i="31" s="1"/>
  <c r="L200" i="31" s="1"/>
  <c r="M200" i="31" s="1"/>
  <c r="N200" i="31" s="1"/>
  <c r="AQ199" i="31"/>
  <c r="J199" i="31"/>
  <c r="K199" i="31" s="1"/>
  <c r="L199" i="31" s="1"/>
  <c r="M199" i="31" s="1"/>
  <c r="N199" i="31" s="1"/>
  <c r="AQ198" i="31"/>
  <c r="J198" i="31"/>
  <c r="K198" i="31" s="1"/>
  <c r="L198" i="31" s="1"/>
  <c r="M198" i="31" s="1"/>
  <c r="N198" i="31" s="1"/>
  <c r="AQ197" i="31"/>
  <c r="J197" i="31"/>
  <c r="K197" i="31" s="1"/>
  <c r="L197" i="31" s="1"/>
  <c r="M197" i="31" s="1"/>
  <c r="N197" i="31" s="1"/>
  <c r="AQ196" i="31"/>
  <c r="J196" i="31"/>
  <c r="K196" i="31" s="1"/>
  <c r="L196" i="31" s="1"/>
  <c r="M196" i="31" s="1"/>
  <c r="N196" i="31" s="1"/>
  <c r="AQ195" i="31"/>
  <c r="J195" i="31"/>
  <c r="K195" i="31" s="1"/>
  <c r="L195" i="31" s="1"/>
  <c r="M195" i="31" s="1"/>
  <c r="N195" i="31" s="1"/>
  <c r="AQ194" i="31"/>
  <c r="G194" i="31"/>
  <c r="F194" i="31" s="1"/>
  <c r="AQ181" i="31"/>
  <c r="AI181" i="31"/>
  <c r="AJ181" i="31" s="1"/>
  <c r="AK181" i="31" s="1"/>
  <c r="AL181" i="31" s="1"/>
  <c r="V181" i="31"/>
  <c r="AF181" i="31" s="1"/>
  <c r="J181" i="31"/>
  <c r="K181" i="31" s="1"/>
  <c r="L181" i="31" s="1"/>
  <c r="M181" i="31" s="1"/>
  <c r="N181" i="31" s="1"/>
  <c r="AQ180" i="31"/>
  <c r="AI180" i="31"/>
  <c r="AM180" i="31" s="1"/>
  <c r="AN180" i="31" s="1"/>
  <c r="AO180" i="31" s="1"/>
  <c r="V180" i="31"/>
  <c r="AE180" i="31" s="1"/>
  <c r="J180" i="31"/>
  <c r="K180" i="31" s="1"/>
  <c r="L180" i="31" s="1"/>
  <c r="M180" i="31" s="1"/>
  <c r="N180" i="31" s="1"/>
  <c r="AQ179" i="31"/>
  <c r="AI179" i="31"/>
  <c r="V179" i="31"/>
  <c r="J179" i="31"/>
  <c r="K179" i="31" s="1"/>
  <c r="L179" i="31" s="1"/>
  <c r="M179" i="31" s="1"/>
  <c r="N179" i="31" s="1"/>
  <c r="AQ178" i="31"/>
  <c r="AI178" i="31"/>
  <c r="AM178" i="31" s="1"/>
  <c r="AN178" i="31" s="1"/>
  <c r="AO178" i="31" s="1"/>
  <c r="V178" i="31"/>
  <c r="J178" i="31"/>
  <c r="K178" i="31" s="1"/>
  <c r="L178" i="31" s="1"/>
  <c r="M178" i="31" s="1"/>
  <c r="N178" i="31" s="1"/>
  <c r="AQ177" i="31"/>
  <c r="J177" i="31"/>
  <c r="K177" i="31" s="1"/>
  <c r="L177" i="31" s="1"/>
  <c r="M177" i="31" s="1"/>
  <c r="N177" i="31" s="1"/>
  <c r="AQ176" i="31"/>
  <c r="J176" i="31"/>
  <c r="K176" i="31" s="1"/>
  <c r="L176" i="31" s="1"/>
  <c r="M176" i="31" s="1"/>
  <c r="N176" i="31" s="1"/>
  <c r="AQ175" i="31"/>
  <c r="J175" i="31"/>
  <c r="K175" i="31" s="1"/>
  <c r="L175" i="31" s="1"/>
  <c r="M175" i="31" s="1"/>
  <c r="N175" i="31" s="1"/>
  <c r="AQ174" i="31"/>
  <c r="J174" i="31"/>
  <c r="K174" i="31" s="1"/>
  <c r="L174" i="31" s="1"/>
  <c r="M174" i="31" s="1"/>
  <c r="N174" i="31" s="1"/>
  <c r="AQ173" i="31"/>
  <c r="J173" i="31"/>
  <c r="K173" i="31" s="1"/>
  <c r="L173" i="31" s="1"/>
  <c r="M173" i="31" s="1"/>
  <c r="N173" i="31" s="1"/>
  <c r="AQ172" i="31"/>
  <c r="J172" i="31"/>
  <c r="K172" i="31" s="1"/>
  <c r="L172" i="31" s="1"/>
  <c r="M172" i="31" s="1"/>
  <c r="N172" i="31" s="1"/>
  <c r="AQ171" i="31"/>
  <c r="J171" i="31"/>
  <c r="K171" i="31" s="1"/>
  <c r="L171" i="31" s="1"/>
  <c r="M171" i="31" s="1"/>
  <c r="N171" i="31" s="1"/>
  <c r="AQ170" i="31"/>
  <c r="BF164" i="31"/>
  <c r="BF165" i="31" s="1"/>
  <c r="BF166" i="31" s="1"/>
  <c r="BF167" i="31" s="1"/>
  <c r="BF168" i="31" s="1"/>
  <c r="BF169" i="31" s="1"/>
  <c r="BF170" i="31" s="1"/>
  <c r="BF171" i="31" s="1"/>
  <c r="BF172" i="31" s="1"/>
  <c r="BF173" i="31" s="1"/>
  <c r="BF174" i="31" s="1"/>
  <c r="BF175" i="31" s="1"/>
  <c r="BF176" i="31" s="1"/>
  <c r="BF177" i="31" s="1"/>
  <c r="BF178" i="31" s="1"/>
  <c r="BF179" i="31" s="1"/>
  <c r="BF180" i="31" s="1"/>
  <c r="BF181" i="31" s="1"/>
  <c r="BF182" i="31" s="1"/>
  <c r="BF183" i="31" s="1"/>
  <c r="BF184" i="31" s="1"/>
  <c r="BF188" i="31" s="1"/>
  <c r="BF189" i="31" s="1"/>
  <c r="BF190" i="31" s="1"/>
  <c r="BF191" i="31" s="1"/>
  <c r="BF192" i="31" s="1"/>
  <c r="BF193" i="31" s="1"/>
  <c r="BF194" i="31" s="1"/>
  <c r="BF195" i="31" s="1"/>
  <c r="BF196" i="31" s="1"/>
  <c r="BF197" i="31" s="1"/>
  <c r="BF198" i="31" s="1"/>
  <c r="BF199" i="31" s="1"/>
  <c r="BF200" i="31" s="1"/>
  <c r="BF201" i="31" s="1"/>
  <c r="BF202" i="31" s="1"/>
  <c r="BG163" i="31"/>
  <c r="AQ157" i="31"/>
  <c r="AI157" i="31"/>
  <c r="V157" i="31"/>
  <c r="AE157" i="31" s="1"/>
  <c r="J157" i="31"/>
  <c r="K157" i="31" s="1"/>
  <c r="L157" i="31" s="1"/>
  <c r="M157" i="31" s="1"/>
  <c r="N157" i="31" s="1"/>
  <c r="AQ156" i="31"/>
  <c r="AI156" i="31"/>
  <c r="V156" i="31"/>
  <c r="J156" i="31"/>
  <c r="K156" i="31" s="1"/>
  <c r="L156" i="31" s="1"/>
  <c r="M156" i="31" s="1"/>
  <c r="N156" i="31" s="1"/>
  <c r="AQ155" i="31"/>
  <c r="AI155" i="31"/>
  <c r="V155" i="31"/>
  <c r="AE155" i="31" s="1"/>
  <c r="J155" i="31"/>
  <c r="K155" i="31" s="1"/>
  <c r="L155" i="31" s="1"/>
  <c r="M155" i="31" s="1"/>
  <c r="N155" i="31" s="1"/>
  <c r="AQ154" i="31"/>
  <c r="AI154" i="31"/>
  <c r="V154" i="31"/>
  <c r="J154" i="31"/>
  <c r="K154" i="31" s="1"/>
  <c r="L154" i="31" s="1"/>
  <c r="M154" i="31" s="1"/>
  <c r="N154" i="31" s="1"/>
  <c r="AQ153" i="31"/>
  <c r="AI153" i="31"/>
  <c r="V153" i="31"/>
  <c r="AE153" i="31" s="1"/>
  <c r="J153" i="31"/>
  <c r="K153" i="31" s="1"/>
  <c r="L153" i="31" s="1"/>
  <c r="M153" i="31" s="1"/>
  <c r="N153" i="31" s="1"/>
  <c r="AQ152" i="31"/>
  <c r="AI152" i="31"/>
  <c r="V152" i="31"/>
  <c r="AE152" i="31" s="1"/>
  <c r="J152" i="31"/>
  <c r="K152" i="31" s="1"/>
  <c r="L152" i="31" s="1"/>
  <c r="M152" i="31" s="1"/>
  <c r="N152" i="31" s="1"/>
  <c r="AQ151" i="31"/>
  <c r="AI151" i="31"/>
  <c r="V151" i="31"/>
  <c r="AE151" i="31" s="1"/>
  <c r="J151" i="31"/>
  <c r="K151" i="31" s="1"/>
  <c r="L151" i="31" s="1"/>
  <c r="M151" i="31" s="1"/>
  <c r="N151" i="31" s="1"/>
  <c r="AQ150" i="31"/>
  <c r="AI150" i="31"/>
  <c r="V150" i="31"/>
  <c r="AE150" i="31" s="1"/>
  <c r="J150" i="31"/>
  <c r="K150" i="31" s="1"/>
  <c r="L150" i="31" s="1"/>
  <c r="M150" i="31" s="1"/>
  <c r="N150" i="31" s="1"/>
  <c r="AQ149" i="31"/>
  <c r="AI149" i="31"/>
  <c r="V149" i="31"/>
  <c r="AE149" i="31" s="1"/>
  <c r="J149" i="31"/>
  <c r="K149" i="31" s="1"/>
  <c r="L149" i="31" s="1"/>
  <c r="M149" i="31" s="1"/>
  <c r="N149" i="31" s="1"/>
  <c r="AQ148" i="31"/>
  <c r="AI148" i="31"/>
  <c r="V148" i="31"/>
  <c r="J148" i="31"/>
  <c r="K148" i="31" s="1"/>
  <c r="L148" i="31" s="1"/>
  <c r="M148" i="31" s="1"/>
  <c r="N148" i="31" s="1"/>
  <c r="AQ147" i="31"/>
  <c r="J147" i="31"/>
  <c r="K147" i="31" s="1"/>
  <c r="L147" i="31" s="1"/>
  <c r="M147" i="31" s="1"/>
  <c r="N147" i="31" s="1"/>
  <c r="AQ146" i="31"/>
  <c r="J146" i="31"/>
  <c r="K146" i="31" s="1"/>
  <c r="L146" i="31" s="1"/>
  <c r="M146" i="31" s="1"/>
  <c r="N146" i="31" s="1"/>
  <c r="AQ145" i="31"/>
  <c r="J145" i="31"/>
  <c r="K145" i="31" s="1"/>
  <c r="L145" i="31" s="1"/>
  <c r="M145" i="31" s="1"/>
  <c r="N145" i="31" s="1"/>
  <c r="AQ144" i="31"/>
  <c r="J144" i="31"/>
  <c r="K144" i="31" s="1"/>
  <c r="L144" i="31" s="1"/>
  <c r="M144" i="31" s="1"/>
  <c r="N144" i="31" s="1"/>
  <c r="AQ143" i="31"/>
  <c r="J143" i="31"/>
  <c r="K143" i="31" s="1"/>
  <c r="L143" i="31" s="1"/>
  <c r="M143" i="31" s="1"/>
  <c r="N143" i="31" s="1"/>
  <c r="AQ142" i="31"/>
  <c r="J142" i="31"/>
  <c r="K142" i="31" s="1"/>
  <c r="L142" i="31" s="1"/>
  <c r="M142" i="31" s="1"/>
  <c r="N142" i="31" s="1"/>
  <c r="AQ141" i="31"/>
  <c r="J141" i="31"/>
  <c r="K141" i="31" s="1"/>
  <c r="L141" i="31" s="1"/>
  <c r="M141" i="31" s="1"/>
  <c r="N141" i="31" s="1"/>
  <c r="AQ140" i="31"/>
  <c r="J140" i="31"/>
  <c r="K140" i="31" s="1"/>
  <c r="L140" i="31" s="1"/>
  <c r="M140" i="31" s="1"/>
  <c r="N140" i="31" s="1"/>
  <c r="AQ139" i="31"/>
  <c r="J139" i="31"/>
  <c r="K139" i="31" s="1"/>
  <c r="L139" i="31" s="1"/>
  <c r="M139" i="31" s="1"/>
  <c r="N139" i="31" s="1"/>
  <c r="AQ138" i="31"/>
  <c r="G138" i="31"/>
  <c r="C138" i="31"/>
  <c r="O141" i="31" s="1"/>
  <c r="P141" i="31" s="1"/>
  <c r="AM134" i="31"/>
  <c r="AN134" i="31" s="1"/>
  <c r="AO134" i="31" s="1"/>
  <c r="CN128" i="31"/>
  <c r="CN130" i="31" s="1"/>
  <c r="CL128" i="31"/>
  <c r="CL130" i="31" s="1"/>
  <c r="CF128" i="31"/>
  <c r="CF130" i="31" s="1"/>
  <c r="CD128" i="31"/>
  <c r="CD130" i="31" s="1"/>
  <c r="CQ84" i="31"/>
  <c r="CO84" i="31"/>
  <c r="CM84" i="31"/>
  <c r="CK84" i="31"/>
  <c r="CI84" i="31"/>
  <c r="CG84" i="31"/>
  <c r="CE84" i="31"/>
  <c r="CC84" i="31"/>
  <c r="C14" i="31"/>
  <c r="C11" i="31"/>
  <c r="D4" i="31"/>
  <c r="F2" i="31"/>
  <c r="E2" i="31"/>
  <c r="D2" i="31"/>
  <c r="AR198" i="31" l="1"/>
  <c r="AR210" i="31"/>
  <c r="AR195" i="31"/>
  <c r="AR199" i="31"/>
  <c r="AR203" i="31"/>
  <c r="AR207" i="31"/>
  <c r="AR211" i="31"/>
  <c r="AR196" i="31"/>
  <c r="AR200" i="31"/>
  <c r="AR204" i="31"/>
  <c r="AR208" i="31"/>
  <c r="AR197" i="31"/>
  <c r="AR201" i="31"/>
  <c r="AR205" i="31"/>
  <c r="AR209" i="31"/>
  <c r="AR212" i="31"/>
  <c r="AR213" i="31"/>
  <c r="AR172" i="31"/>
  <c r="AR176" i="31"/>
  <c r="AR171" i="31"/>
  <c r="AR142" i="31"/>
  <c r="AR146" i="31"/>
  <c r="AR150" i="31"/>
  <c r="AR154" i="31"/>
  <c r="AR139" i="31"/>
  <c r="AR140" i="31"/>
  <c r="AR152" i="31"/>
  <c r="AR173" i="31"/>
  <c r="AR177" i="31"/>
  <c r="AR170" i="31"/>
  <c r="AR143" i="31"/>
  <c r="AR147" i="31"/>
  <c r="AR151" i="31"/>
  <c r="AR155" i="31"/>
  <c r="AR138" i="31"/>
  <c r="AR174" i="31"/>
  <c r="AR144" i="31"/>
  <c r="AR156" i="31"/>
  <c r="AR194" i="31"/>
  <c r="AR175" i="31"/>
  <c r="AR179" i="31"/>
  <c r="AR141" i="31"/>
  <c r="AR145" i="31"/>
  <c r="AR149" i="31"/>
  <c r="AR153" i="31"/>
  <c r="AR157" i="31"/>
  <c r="AR178" i="31"/>
  <c r="AR148" i="31"/>
  <c r="H11" i="31"/>
  <c r="H9" i="31"/>
  <c r="AF179" i="31"/>
  <c r="AE181" i="31"/>
  <c r="AT181" i="31"/>
  <c r="AF151" i="31"/>
  <c r="AJ178" i="31"/>
  <c r="AK178" i="31" s="1"/>
  <c r="AL178" i="31" s="1"/>
  <c r="AS178" i="31" s="1"/>
  <c r="AF156" i="31"/>
  <c r="BG164" i="31"/>
  <c r="BG165" i="31" s="1"/>
  <c r="AF180" i="31"/>
  <c r="AR180" i="31"/>
  <c r="C7" i="31"/>
  <c r="BQ54" i="31" s="1"/>
  <c r="AR181" i="31"/>
  <c r="Q141" i="31"/>
  <c r="AE179" i="31"/>
  <c r="AF154" i="31"/>
  <c r="AF157" i="31"/>
  <c r="AJ180" i="31"/>
  <c r="AK180" i="31" s="1"/>
  <c r="AL180" i="31" s="1"/>
  <c r="AS180" i="31" s="1"/>
  <c r="AM181" i="31"/>
  <c r="AN181" i="31" s="1"/>
  <c r="AO181" i="31" s="1"/>
  <c r="AS181" i="31" s="1"/>
  <c r="O140" i="31"/>
  <c r="P140" i="31" s="1"/>
  <c r="Q140" i="31" s="1"/>
  <c r="AH140" i="31"/>
  <c r="AH141" i="31"/>
  <c r="AI141" i="31" s="1"/>
  <c r="AH157" i="31"/>
  <c r="O157" i="31"/>
  <c r="P157" i="31" s="1"/>
  <c r="Q157" i="31" s="1"/>
  <c r="AH153" i="31"/>
  <c r="O153" i="31"/>
  <c r="P153" i="31" s="1"/>
  <c r="Q153" i="31" s="1"/>
  <c r="AH155" i="31"/>
  <c r="O155" i="31"/>
  <c r="P155" i="31" s="1"/>
  <c r="Q155" i="31" s="1"/>
  <c r="AH151" i="31"/>
  <c r="O151" i="31"/>
  <c r="P151" i="31" s="1"/>
  <c r="Q151" i="31" s="1"/>
  <c r="AH147" i="31"/>
  <c r="AI147" i="31" s="1"/>
  <c r="O147" i="31"/>
  <c r="P147" i="31" s="1"/>
  <c r="Q147" i="31" s="1"/>
  <c r="AH154" i="31"/>
  <c r="AH149" i="31"/>
  <c r="AH148" i="31"/>
  <c r="O146" i="31"/>
  <c r="P146" i="31" s="1"/>
  <c r="Q146" i="31" s="1"/>
  <c r="AH145" i="31"/>
  <c r="AI145" i="31" s="1"/>
  <c r="O145" i="31"/>
  <c r="P145" i="31" s="1"/>
  <c r="Q145" i="31" s="1"/>
  <c r="AH156" i="31"/>
  <c r="O152" i="31"/>
  <c r="P152" i="31" s="1"/>
  <c r="Q152" i="31" s="1"/>
  <c r="O148" i="31"/>
  <c r="P148" i="31" s="1"/>
  <c r="Q148" i="31" s="1"/>
  <c r="AH142" i="31"/>
  <c r="AI142" i="31" s="1"/>
  <c r="O142" i="31"/>
  <c r="P142" i="31" s="1"/>
  <c r="Q142" i="31" s="1"/>
  <c r="O154" i="31"/>
  <c r="P154" i="31" s="1"/>
  <c r="Q154" i="31" s="1"/>
  <c r="AH150" i="31"/>
  <c r="O149" i="31"/>
  <c r="P149" i="31" s="1"/>
  <c r="Q149" i="31" s="1"/>
  <c r="AH143" i="31"/>
  <c r="AI143" i="31" s="1"/>
  <c r="O143" i="31"/>
  <c r="P143" i="31" s="1"/>
  <c r="Q143" i="31" s="1"/>
  <c r="AH139" i="31"/>
  <c r="O139" i="31"/>
  <c r="P139" i="31" s="1"/>
  <c r="Q139" i="31" s="1"/>
  <c r="AH138" i="31"/>
  <c r="O156" i="31"/>
  <c r="P156" i="31" s="1"/>
  <c r="Q156" i="31" s="1"/>
  <c r="AH152" i="31"/>
  <c r="O150" i="31"/>
  <c r="P150" i="31" s="1"/>
  <c r="Q150" i="31" s="1"/>
  <c r="AH146" i="31"/>
  <c r="AI146" i="31" s="1"/>
  <c r="AH144" i="31"/>
  <c r="AI144" i="31" s="1"/>
  <c r="O144" i="31"/>
  <c r="P144" i="31" s="1"/>
  <c r="Q144" i="31" s="1"/>
  <c r="J138" i="31"/>
  <c r="K138" i="31" s="1"/>
  <c r="L138" i="31" s="1"/>
  <c r="M138" i="31" s="1"/>
  <c r="N138" i="31" s="1"/>
  <c r="O138" i="31"/>
  <c r="P138" i="31" s="1"/>
  <c r="AE148" i="31"/>
  <c r="AF150" i="31"/>
  <c r="AF152" i="31"/>
  <c r="AF155" i="31"/>
  <c r="AE156" i="31"/>
  <c r="AJ179" i="31"/>
  <c r="AK179" i="31" s="1"/>
  <c r="AL179" i="31" s="1"/>
  <c r="AT179" i="31" s="1"/>
  <c r="AM179" i="31"/>
  <c r="AN179" i="31" s="1"/>
  <c r="AO179" i="31" s="1"/>
  <c r="AF148" i="31"/>
  <c r="AF149" i="31"/>
  <c r="AF153" i="31"/>
  <c r="AE154" i="31"/>
  <c r="AE178" i="31"/>
  <c r="AF178" i="31"/>
  <c r="AM157" i="28"/>
  <c r="AN157" i="28" s="1"/>
  <c r="AO157" i="28" s="1"/>
  <c r="AM138" i="28"/>
  <c r="AN138" i="28" s="1"/>
  <c r="AO138" i="28" s="1"/>
  <c r="E2" i="28"/>
  <c r="AM138" i="27"/>
  <c r="AN138" i="27" s="1"/>
  <c r="AO138" i="27" s="1"/>
  <c r="E2" i="27"/>
  <c r="AL143" i="20"/>
  <c r="AM143" i="20" s="1"/>
  <c r="AN143" i="20" s="1"/>
  <c r="E2" i="20"/>
  <c r="C7" i="29"/>
  <c r="AL144" i="29"/>
  <c r="AM144" i="29" s="1"/>
  <c r="AN144" i="29" s="1"/>
  <c r="E2" i="29"/>
  <c r="AL146" i="25"/>
  <c r="AM146" i="25" s="1"/>
  <c r="AN146" i="25" s="1"/>
  <c r="E2" i="25"/>
  <c r="AL134" i="26"/>
  <c r="J56" i="31" l="1"/>
  <c r="L32" i="31"/>
  <c r="J50" i="31"/>
  <c r="L26" i="31"/>
  <c r="L44" i="31"/>
  <c r="J20" i="31"/>
  <c r="J38" i="31"/>
  <c r="L42" i="31"/>
  <c r="J48" i="31"/>
  <c r="L85" i="31"/>
  <c r="AT178" i="31"/>
  <c r="AT180" i="31"/>
  <c r="BO85" i="31"/>
  <c r="AS179" i="31"/>
  <c r="Q138" i="31"/>
  <c r="S138" i="31" s="1"/>
  <c r="T138" i="31" s="1"/>
  <c r="R139" i="31" s="1"/>
  <c r="S139" i="31" s="1"/>
  <c r="AJ146" i="31"/>
  <c r="AK146" i="31" s="1"/>
  <c r="AL146" i="31" s="1"/>
  <c r="AM146" i="31"/>
  <c r="AN146" i="31" s="1"/>
  <c r="AO146" i="31" s="1"/>
  <c r="AJ138" i="31"/>
  <c r="AK138" i="31" s="1"/>
  <c r="AL138" i="31" s="1"/>
  <c r="AI138" i="31"/>
  <c r="AM138" i="31"/>
  <c r="AN138" i="31" s="1"/>
  <c r="AO138" i="31" s="1"/>
  <c r="AM143" i="31"/>
  <c r="AN143" i="31" s="1"/>
  <c r="AO143" i="31" s="1"/>
  <c r="AJ143" i="31"/>
  <c r="AK143" i="31" s="1"/>
  <c r="AL143" i="31" s="1"/>
  <c r="AM156" i="31"/>
  <c r="AN156" i="31" s="1"/>
  <c r="AO156" i="31" s="1"/>
  <c r="AJ156" i="31"/>
  <c r="AK156" i="31" s="1"/>
  <c r="AL156" i="31" s="1"/>
  <c r="AM148" i="31"/>
  <c r="AN148" i="31" s="1"/>
  <c r="AO148" i="31" s="1"/>
  <c r="AJ148" i="31"/>
  <c r="AK148" i="31" s="1"/>
  <c r="AL148" i="31" s="1"/>
  <c r="AJ147" i="31"/>
  <c r="AK147" i="31" s="1"/>
  <c r="AL147" i="31" s="1"/>
  <c r="AM147" i="31"/>
  <c r="AN147" i="31" s="1"/>
  <c r="AO147" i="31" s="1"/>
  <c r="AJ155" i="31"/>
  <c r="AK155" i="31" s="1"/>
  <c r="AL155" i="31" s="1"/>
  <c r="AM155" i="31"/>
  <c r="AN155" i="31" s="1"/>
  <c r="AO155" i="31" s="1"/>
  <c r="AJ157" i="31"/>
  <c r="AK157" i="31" s="1"/>
  <c r="AL157" i="31" s="1"/>
  <c r="AM157" i="31"/>
  <c r="AN157" i="31" s="1"/>
  <c r="AO157" i="31" s="1"/>
  <c r="BG166" i="31"/>
  <c r="AM142" i="31"/>
  <c r="AN142" i="31" s="1"/>
  <c r="AO142" i="31" s="1"/>
  <c r="AJ142" i="31"/>
  <c r="AK142" i="31" s="1"/>
  <c r="AL142" i="31" s="1"/>
  <c r="AJ149" i="31"/>
  <c r="AK149" i="31" s="1"/>
  <c r="AL149" i="31" s="1"/>
  <c r="AM149" i="31"/>
  <c r="AN149" i="31" s="1"/>
  <c r="AO149" i="31" s="1"/>
  <c r="AM140" i="31"/>
  <c r="AN140" i="31" s="1"/>
  <c r="AO140" i="31" s="1"/>
  <c r="AI140" i="31"/>
  <c r="AJ140" i="31"/>
  <c r="AK140" i="31" s="1"/>
  <c r="AL140" i="31" s="1"/>
  <c r="AM152" i="31"/>
  <c r="AN152" i="31" s="1"/>
  <c r="AO152" i="31" s="1"/>
  <c r="AJ152" i="31"/>
  <c r="AK152" i="31" s="1"/>
  <c r="AL152" i="31" s="1"/>
  <c r="AM139" i="31"/>
  <c r="AN139" i="31" s="1"/>
  <c r="AO139" i="31" s="1"/>
  <c r="AJ139" i="31"/>
  <c r="AK139" i="31" s="1"/>
  <c r="AL139" i="31" s="1"/>
  <c r="AI139" i="31"/>
  <c r="AM150" i="31"/>
  <c r="AN150" i="31" s="1"/>
  <c r="AO150" i="31" s="1"/>
  <c r="AJ150" i="31"/>
  <c r="AK150" i="31" s="1"/>
  <c r="AL150" i="31" s="1"/>
  <c r="AJ145" i="31"/>
  <c r="AK145" i="31" s="1"/>
  <c r="AL145" i="31" s="1"/>
  <c r="AM145" i="31"/>
  <c r="AN145" i="31" s="1"/>
  <c r="AO145" i="31" s="1"/>
  <c r="AM154" i="31"/>
  <c r="AN154" i="31" s="1"/>
  <c r="AO154" i="31" s="1"/>
  <c r="AJ154" i="31"/>
  <c r="AK154" i="31" s="1"/>
  <c r="AL154" i="31" s="1"/>
  <c r="AJ151" i="31"/>
  <c r="AK151" i="31" s="1"/>
  <c r="AL151" i="31" s="1"/>
  <c r="AM151" i="31"/>
  <c r="AN151" i="31" s="1"/>
  <c r="AO151" i="31" s="1"/>
  <c r="AJ153" i="31"/>
  <c r="AK153" i="31" s="1"/>
  <c r="AL153" i="31" s="1"/>
  <c r="AM153" i="31"/>
  <c r="AN153" i="31" s="1"/>
  <c r="AO153" i="31" s="1"/>
  <c r="AJ144" i="31"/>
  <c r="AK144" i="31" s="1"/>
  <c r="AL144" i="31" s="1"/>
  <c r="AM144" i="31"/>
  <c r="AN144" i="31" s="1"/>
  <c r="AO144" i="31" s="1"/>
  <c r="AJ141" i="31"/>
  <c r="AK141" i="31" s="1"/>
  <c r="AL141" i="31" s="1"/>
  <c r="AM141" i="31"/>
  <c r="AN141" i="31" s="1"/>
  <c r="AO141" i="31" s="1"/>
  <c r="AM134" i="26"/>
  <c r="AN134" i="26" s="1"/>
  <c r="E2" i="26"/>
  <c r="AM135" i="24"/>
  <c r="AN135" i="24" s="1"/>
  <c r="AO135" i="24" s="1"/>
  <c r="E2" i="24"/>
  <c r="J49" i="31" l="1"/>
  <c r="L43" i="31"/>
  <c r="V138" i="31"/>
  <c r="AT138" i="31" s="1"/>
  <c r="AS138" i="31"/>
  <c r="C8" i="31" s="1"/>
  <c r="AS140" i="31"/>
  <c r="AS151" i="31"/>
  <c r="AT151" i="31"/>
  <c r="AS142" i="31"/>
  <c r="BG167" i="31"/>
  <c r="S140" i="31"/>
  <c r="T139" i="31"/>
  <c r="AS144" i="31"/>
  <c r="AT153" i="31"/>
  <c r="AS153" i="31"/>
  <c r="AS139" i="31"/>
  <c r="AS155" i="31"/>
  <c r="AT155" i="31"/>
  <c r="AS154" i="31"/>
  <c r="AT154" i="31"/>
  <c r="AS150" i="31"/>
  <c r="AT150" i="31"/>
  <c r="AS148" i="31"/>
  <c r="AT148" i="31"/>
  <c r="AS143" i="31"/>
  <c r="AS146" i="31"/>
  <c r="AS145" i="31"/>
  <c r="AS147" i="31"/>
  <c r="AS152" i="31"/>
  <c r="AT152" i="31"/>
  <c r="AT157" i="31"/>
  <c r="AS157" i="31"/>
  <c r="AS156" i="31"/>
  <c r="AT156" i="31"/>
  <c r="AI159" i="31"/>
  <c r="AS141" i="31"/>
  <c r="AS149" i="31"/>
  <c r="AT149" i="31"/>
  <c r="AM134" i="7"/>
  <c r="AN134" i="7" s="1"/>
  <c r="AO134" i="7" s="1"/>
  <c r="E2" i="7"/>
  <c r="AE138" i="31" l="1"/>
  <c r="AM164" i="31"/>
  <c r="AN164" i="31" s="1"/>
  <c r="AO164" i="31" s="1"/>
  <c r="AM161" i="31"/>
  <c r="AN161" i="31" s="1"/>
  <c r="AO161" i="31" s="1"/>
  <c r="X138" i="31"/>
  <c r="Z138" i="31" s="1"/>
  <c r="C170" i="31"/>
  <c r="V139" i="31"/>
  <c r="R140" i="31"/>
  <c r="T140" i="31"/>
  <c r="S141" i="31"/>
  <c r="BG168" i="31"/>
  <c r="AP164" i="31" l="1"/>
  <c r="S142" i="31"/>
  <c r="T141" i="31"/>
  <c r="AT139" i="31"/>
  <c r="AE139" i="31"/>
  <c r="BG169" i="31"/>
  <c r="R141" i="31"/>
  <c r="V140" i="31"/>
  <c r="O180" i="31"/>
  <c r="P180" i="31" s="1"/>
  <c r="Q180" i="31" s="1"/>
  <c r="O178" i="31"/>
  <c r="P178" i="31" s="1"/>
  <c r="Q178" i="31" s="1"/>
  <c r="O176" i="31"/>
  <c r="P176" i="31" s="1"/>
  <c r="Q176" i="31" s="1"/>
  <c r="O174" i="31"/>
  <c r="P174" i="31" s="1"/>
  <c r="Q174" i="31" s="1"/>
  <c r="AH180" i="31"/>
  <c r="AH178" i="31"/>
  <c r="AH176" i="31"/>
  <c r="AI176" i="31" s="1"/>
  <c r="AH174" i="31"/>
  <c r="AI174" i="31" s="1"/>
  <c r="AH172" i="31"/>
  <c r="AI172" i="31" s="1"/>
  <c r="AH170" i="31"/>
  <c r="AI170" i="31" s="1"/>
  <c r="O181" i="31"/>
  <c r="P181" i="31" s="1"/>
  <c r="Q181" i="31" s="1"/>
  <c r="AH179" i="31"/>
  <c r="AH173" i="31"/>
  <c r="AI173" i="31" s="1"/>
  <c r="O179" i="31"/>
  <c r="P179" i="31" s="1"/>
  <c r="Q179" i="31" s="1"/>
  <c r="AH175" i="31"/>
  <c r="AI175" i="31" s="1"/>
  <c r="O173" i="31"/>
  <c r="P173" i="31" s="1"/>
  <c r="Q173" i="31" s="1"/>
  <c r="J170" i="31"/>
  <c r="P170" i="31" s="1"/>
  <c r="Q170" i="31" s="1"/>
  <c r="S170" i="31" s="1"/>
  <c r="T170" i="31" s="1"/>
  <c r="AH181" i="31"/>
  <c r="O175" i="31"/>
  <c r="P175" i="31" s="1"/>
  <c r="Q175" i="31" s="1"/>
  <c r="AH171" i="31"/>
  <c r="AI171" i="31" s="1"/>
  <c r="AH177" i="31"/>
  <c r="AI177" i="31" s="1"/>
  <c r="O177" i="31"/>
  <c r="P177" i="31" s="1"/>
  <c r="Q177" i="31" s="1"/>
  <c r="O172" i="31"/>
  <c r="P172" i="31" s="1"/>
  <c r="Q172" i="31" s="1"/>
  <c r="O171" i="31"/>
  <c r="P171" i="31" s="1"/>
  <c r="Q171" i="31" s="1"/>
  <c r="AL149" i="23"/>
  <c r="AM149" i="23" s="1"/>
  <c r="AN149" i="23" s="1"/>
  <c r="E2" i="23"/>
  <c r="AM176" i="31" l="1"/>
  <c r="AN176" i="31" s="1"/>
  <c r="AO176" i="31" s="1"/>
  <c r="AJ176" i="31"/>
  <c r="AK176" i="31" s="1"/>
  <c r="AL176" i="31" s="1"/>
  <c r="AJ175" i="31"/>
  <c r="AK175" i="31" s="1"/>
  <c r="AL175" i="31" s="1"/>
  <c r="AM175" i="31"/>
  <c r="AN175" i="31" s="1"/>
  <c r="AO175" i="31" s="1"/>
  <c r="AM177" i="31"/>
  <c r="AN177" i="31" s="1"/>
  <c r="AO177" i="31" s="1"/>
  <c r="AJ177" i="31"/>
  <c r="AK177" i="31" s="1"/>
  <c r="AL177" i="31" s="1"/>
  <c r="R142" i="31"/>
  <c r="V141" i="31"/>
  <c r="AJ171" i="31"/>
  <c r="AK171" i="31" s="1"/>
  <c r="AL171" i="31" s="1"/>
  <c r="AM171" i="31"/>
  <c r="AN171" i="31" s="1"/>
  <c r="AO171" i="31" s="1"/>
  <c r="AI182" i="31"/>
  <c r="X170" i="31" s="1"/>
  <c r="Z170" i="31" s="1"/>
  <c r="AJ170" i="31"/>
  <c r="AK170" i="31" s="1"/>
  <c r="AL170" i="31" s="1"/>
  <c r="AM170" i="31"/>
  <c r="AN170" i="31" s="1"/>
  <c r="AO170" i="31" s="1"/>
  <c r="S143" i="31"/>
  <c r="T142" i="31"/>
  <c r="R171" i="31"/>
  <c r="S171" i="31" s="1"/>
  <c r="V170" i="31"/>
  <c r="AJ173" i="31"/>
  <c r="AK173" i="31" s="1"/>
  <c r="AL173" i="31" s="1"/>
  <c r="AM173" i="31"/>
  <c r="AN173" i="31" s="1"/>
  <c r="AO173" i="31" s="1"/>
  <c r="AM172" i="31"/>
  <c r="AN172" i="31" s="1"/>
  <c r="AO172" i="31" s="1"/>
  <c r="AJ172" i="31"/>
  <c r="AK172" i="31" s="1"/>
  <c r="AL172" i="31" s="1"/>
  <c r="BG170" i="31"/>
  <c r="AM174" i="31"/>
  <c r="AN174" i="31" s="1"/>
  <c r="AO174" i="31" s="1"/>
  <c r="AJ174" i="31"/>
  <c r="AK174" i="31" s="1"/>
  <c r="AL174" i="31" s="1"/>
  <c r="AT140" i="31"/>
  <c r="AE140" i="31"/>
  <c r="AL146" i="3"/>
  <c r="AM146" i="3" s="1"/>
  <c r="AN146" i="3" s="1"/>
  <c r="E2" i="3"/>
  <c r="R136" i="22"/>
  <c r="S136" i="22" s="1"/>
  <c r="T136" i="22" s="1"/>
  <c r="AS175" i="31" l="1"/>
  <c r="AS176" i="31"/>
  <c r="AS177" i="31"/>
  <c r="AS173" i="31"/>
  <c r="AS170" i="31"/>
  <c r="AE141" i="31"/>
  <c r="AT141" i="31"/>
  <c r="R143" i="31"/>
  <c r="V142" i="31"/>
  <c r="AS171" i="31"/>
  <c r="T143" i="31"/>
  <c r="S144" i="31"/>
  <c r="AI184" i="31"/>
  <c r="AT170" i="31"/>
  <c r="AE170" i="31"/>
  <c r="AS174" i="31"/>
  <c r="AS172" i="31"/>
  <c r="T171" i="31"/>
  <c r="S172" i="31"/>
  <c r="BG171" i="31"/>
  <c r="E2" i="22"/>
  <c r="Q135" i="2"/>
  <c r="R135" i="2" s="1"/>
  <c r="S135" i="2" s="1"/>
  <c r="E2" i="2"/>
  <c r="C12" i="30"/>
  <c r="BF49" i="30" s="1"/>
  <c r="AU163" i="30"/>
  <c r="AU164" i="30" s="1"/>
  <c r="AU165" i="30" s="1"/>
  <c r="AU166" i="30" s="1"/>
  <c r="AU167" i="30" s="1"/>
  <c r="AU168" i="30" s="1"/>
  <c r="AU169" i="30" s="1"/>
  <c r="AU170" i="30" s="1"/>
  <c r="AU171" i="30" s="1"/>
  <c r="AU172" i="30" s="1"/>
  <c r="AU173" i="30" s="1"/>
  <c r="AU174" i="30" s="1"/>
  <c r="AU175" i="30" s="1"/>
  <c r="AU176" i="30" s="1"/>
  <c r="AU177" i="30" s="1"/>
  <c r="AU178" i="30" s="1"/>
  <c r="AU179" i="30" s="1"/>
  <c r="AU180" i="30" s="1"/>
  <c r="AU181" i="30" s="1"/>
  <c r="AU182" i="30" s="1"/>
  <c r="AU183" i="30" s="1"/>
  <c r="AU184" i="30" s="1"/>
  <c r="AU185" i="30" s="1"/>
  <c r="AU186" i="30" s="1"/>
  <c r="AU187" i="30" s="1"/>
  <c r="AU188" i="30" s="1"/>
  <c r="AU189" i="30" s="1"/>
  <c r="AU190" i="30" s="1"/>
  <c r="AU191" i="30" s="1"/>
  <c r="AU192" i="30" s="1"/>
  <c r="AU193" i="30" s="1"/>
  <c r="AU194" i="30" s="1"/>
  <c r="AU195" i="30" s="1"/>
  <c r="AU196" i="30" s="1"/>
  <c r="AU197" i="30" s="1"/>
  <c r="AU198" i="30" s="1"/>
  <c r="AV162" i="30"/>
  <c r="AF157" i="30"/>
  <c r="J157" i="30"/>
  <c r="K157" i="30" s="1"/>
  <c r="L157" i="30" s="1"/>
  <c r="M157" i="30" s="1"/>
  <c r="N157" i="30" s="1"/>
  <c r="G157" i="30"/>
  <c r="AF156" i="30"/>
  <c r="J156" i="30"/>
  <c r="K156" i="30" s="1"/>
  <c r="L156" i="30" s="1"/>
  <c r="M156" i="30" s="1"/>
  <c r="N156" i="30" s="1"/>
  <c r="G156" i="30"/>
  <c r="AF155" i="30"/>
  <c r="J155" i="30"/>
  <c r="K155" i="30" s="1"/>
  <c r="L155" i="30" s="1"/>
  <c r="M155" i="30" s="1"/>
  <c r="N155" i="30" s="1"/>
  <c r="G155" i="30"/>
  <c r="AF154" i="30"/>
  <c r="J154" i="30"/>
  <c r="K154" i="30" s="1"/>
  <c r="L154" i="30" s="1"/>
  <c r="M154" i="30" s="1"/>
  <c r="N154" i="30" s="1"/>
  <c r="G154" i="30"/>
  <c r="AF153" i="30"/>
  <c r="J153" i="30"/>
  <c r="K153" i="30" s="1"/>
  <c r="L153" i="30" s="1"/>
  <c r="M153" i="30" s="1"/>
  <c r="N153" i="30" s="1"/>
  <c r="G153" i="30"/>
  <c r="AF152" i="30"/>
  <c r="J152" i="30"/>
  <c r="K152" i="30" s="1"/>
  <c r="L152" i="30" s="1"/>
  <c r="M152" i="30" s="1"/>
  <c r="N152" i="30" s="1"/>
  <c r="G152" i="30"/>
  <c r="AF151" i="30"/>
  <c r="J151" i="30"/>
  <c r="K151" i="30" s="1"/>
  <c r="L151" i="30" s="1"/>
  <c r="M151" i="30" s="1"/>
  <c r="N151" i="30" s="1"/>
  <c r="G151" i="30"/>
  <c r="AF150" i="30"/>
  <c r="J150" i="30"/>
  <c r="K150" i="30" s="1"/>
  <c r="L150" i="30" s="1"/>
  <c r="M150" i="30" s="1"/>
  <c r="N150" i="30" s="1"/>
  <c r="G150" i="30"/>
  <c r="AF149" i="30"/>
  <c r="J149" i="30"/>
  <c r="K149" i="30" s="1"/>
  <c r="L149" i="30" s="1"/>
  <c r="M149" i="30" s="1"/>
  <c r="N149" i="30" s="1"/>
  <c r="G149" i="30"/>
  <c r="AF148" i="30"/>
  <c r="J148" i="30"/>
  <c r="K148" i="30" s="1"/>
  <c r="L148" i="30" s="1"/>
  <c r="M148" i="30" s="1"/>
  <c r="N148" i="30" s="1"/>
  <c r="G148" i="30"/>
  <c r="AF147" i="30"/>
  <c r="J147" i="30"/>
  <c r="K147" i="30" s="1"/>
  <c r="L147" i="30" s="1"/>
  <c r="M147" i="30" s="1"/>
  <c r="N147" i="30" s="1"/>
  <c r="G147" i="30"/>
  <c r="AF146" i="30"/>
  <c r="J146" i="30"/>
  <c r="K146" i="30" s="1"/>
  <c r="L146" i="30" s="1"/>
  <c r="M146" i="30" s="1"/>
  <c r="N146" i="30" s="1"/>
  <c r="G146" i="30"/>
  <c r="AF145" i="30"/>
  <c r="J145" i="30"/>
  <c r="K145" i="30" s="1"/>
  <c r="L145" i="30" s="1"/>
  <c r="M145" i="30" s="1"/>
  <c r="N145" i="30" s="1"/>
  <c r="G145" i="30"/>
  <c r="AF144" i="30"/>
  <c r="J144" i="30"/>
  <c r="K144" i="30" s="1"/>
  <c r="L144" i="30" s="1"/>
  <c r="M144" i="30" s="1"/>
  <c r="N144" i="30" s="1"/>
  <c r="G144" i="30"/>
  <c r="AF143" i="30"/>
  <c r="J143" i="30"/>
  <c r="K143" i="30" s="1"/>
  <c r="L143" i="30" s="1"/>
  <c r="M143" i="30" s="1"/>
  <c r="N143" i="30" s="1"/>
  <c r="G143" i="30"/>
  <c r="AF142" i="30"/>
  <c r="J142" i="30"/>
  <c r="K142" i="30" s="1"/>
  <c r="L142" i="30" s="1"/>
  <c r="M142" i="30" s="1"/>
  <c r="N142" i="30" s="1"/>
  <c r="G142" i="30"/>
  <c r="AF141" i="30"/>
  <c r="J141" i="30"/>
  <c r="K141" i="30" s="1"/>
  <c r="L141" i="30" s="1"/>
  <c r="M141" i="30" s="1"/>
  <c r="N141" i="30" s="1"/>
  <c r="G141" i="30"/>
  <c r="AF140" i="30"/>
  <c r="J140" i="30"/>
  <c r="K140" i="30" s="1"/>
  <c r="L140" i="30" s="1"/>
  <c r="M140" i="30" s="1"/>
  <c r="N140" i="30" s="1"/>
  <c r="G140" i="30"/>
  <c r="AF139" i="30"/>
  <c r="J139" i="30"/>
  <c r="K139" i="30" s="1"/>
  <c r="L139" i="30" s="1"/>
  <c r="M139" i="30" s="1"/>
  <c r="N139" i="30" s="1"/>
  <c r="G139" i="30"/>
  <c r="AF138" i="30"/>
  <c r="G138" i="30"/>
  <c r="C138" i="30"/>
  <c r="Y152" i="30" s="1"/>
  <c r="R133" i="30"/>
  <c r="S133" i="30" s="1"/>
  <c r="T133" i="30" s="1"/>
  <c r="CC123" i="30"/>
  <c r="CC125" i="30" s="1"/>
  <c r="CA123" i="30"/>
  <c r="CA125" i="30" s="1"/>
  <c r="BU123" i="30"/>
  <c r="BU125" i="30" s="1"/>
  <c r="BS123" i="30"/>
  <c r="BS125" i="30" s="1"/>
  <c r="CF79" i="30"/>
  <c r="CD79" i="30"/>
  <c r="CB79" i="30"/>
  <c r="BZ79" i="30"/>
  <c r="BX79" i="30"/>
  <c r="BV79" i="30"/>
  <c r="BT79" i="30"/>
  <c r="BR79" i="30"/>
  <c r="B14" i="30"/>
  <c r="C14" i="30" s="1"/>
  <c r="D4" i="30"/>
  <c r="F2" i="30"/>
  <c r="E2" i="30"/>
  <c r="D2" i="30"/>
  <c r="J38" i="30" l="1"/>
  <c r="L26" i="30"/>
  <c r="L44" i="30"/>
  <c r="J20" i="30"/>
  <c r="J56" i="30"/>
  <c r="L32" i="30"/>
  <c r="J50" i="30"/>
  <c r="BD80" i="30"/>
  <c r="L42" i="30"/>
  <c r="J48" i="30"/>
  <c r="L85" i="30"/>
  <c r="H11" i="30"/>
  <c r="H9" i="30"/>
  <c r="R144" i="31"/>
  <c r="V143" i="31"/>
  <c r="AE142" i="31"/>
  <c r="AT142" i="31"/>
  <c r="T172" i="31"/>
  <c r="S173" i="31"/>
  <c r="R172" i="31"/>
  <c r="V171" i="31"/>
  <c r="S145" i="31"/>
  <c r="T144" i="31"/>
  <c r="BG172" i="31"/>
  <c r="C194" i="31"/>
  <c r="AM188" i="31"/>
  <c r="AN188" i="31" s="1"/>
  <c r="AO188" i="31" s="1"/>
  <c r="AM185" i="31"/>
  <c r="AN185" i="31" s="1"/>
  <c r="AO185" i="31" s="1"/>
  <c r="Y151" i="30"/>
  <c r="Z151" i="30" s="1"/>
  <c r="AA151" i="30" s="1"/>
  <c r="AB151" i="30" s="1"/>
  <c r="Y157" i="30"/>
  <c r="O157" i="30"/>
  <c r="P157" i="30" s="1"/>
  <c r="Q157" i="30" s="1"/>
  <c r="Y156" i="30"/>
  <c r="O156" i="30"/>
  <c r="P156" i="30" s="1"/>
  <c r="Q156" i="30" s="1"/>
  <c r="Y155" i="30"/>
  <c r="O155" i="30"/>
  <c r="P155" i="30" s="1"/>
  <c r="Q155" i="30" s="1"/>
  <c r="Y154" i="30"/>
  <c r="O154" i="30"/>
  <c r="P154" i="30" s="1"/>
  <c r="Q154" i="30" s="1"/>
  <c r="O151" i="30"/>
  <c r="P151" i="30" s="1"/>
  <c r="Q151" i="30" s="1"/>
  <c r="O150" i="30"/>
  <c r="P150" i="30" s="1"/>
  <c r="Q150" i="30" s="1"/>
  <c r="O149" i="30"/>
  <c r="P149" i="30" s="1"/>
  <c r="Q149" i="30" s="1"/>
  <c r="Y148" i="30"/>
  <c r="O148" i="30"/>
  <c r="P148" i="30" s="1"/>
  <c r="Q148" i="30" s="1"/>
  <c r="Y147" i="30"/>
  <c r="O147" i="30"/>
  <c r="P147" i="30" s="1"/>
  <c r="Q147" i="30" s="1"/>
  <c r="Y146" i="30"/>
  <c r="O146" i="30"/>
  <c r="P146" i="30" s="1"/>
  <c r="Q146" i="30" s="1"/>
  <c r="Y145" i="30"/>
  <c r="O145" i="30"/>
  <c r="P145" i="30" s="1"/>
  <c r="Q145" i="30" s="1"/>
  <c r="Y144" i="30"/>
  <c r="O144" i="30"/>
  <c r="P144" i="30" s="1"/>
  <c r="Q144" i="30" s="1"/>
  <c r="Y143" i="30"/>
  <c r="O143" i="30"/>
  <c r="P143" i="30" s="1"/>
  <c r="Q143" i="30" s="1"/>
  <c r="Y142" i="30"/>
  <c r="O142" i="30"/>
  <c r="P142" i="30" s="1"/>
  <c r="Q142" i="30" s="1"/>
  <c r="Y141" i="30"/>
  <c r="O141" i="30"/>
  <c r="P141" i="30" s="1"/>
  <c r="Q141" i="30" s="1"/>
  <c r="Y140" i="30"/>
  <c r="O140" i="30"/>
  <c r="P140" i="30" s="1"/>
  <c r="Q140" i="30" s="1"/>
  <c r="Y139" i="30"/>
  <c r="O139" i="30"/>
  <c r="P139" i="30" s="1"/>
  <c r="Q139" i="30" s="1"/>
  <c r="Y138" i="30"/>
  <c r="J138" i="30"/>
  <c r="K138" i="30" s="1"/>
  <c r="L138" i="30" s="1"/>
  <c r="M138" i="30" s="1"/>
  <c r="N138" i="30" s="1"/>
  <c r="Y153" i="30"/>
  <c r="O153" i="30"/>
  <c r="P153" i="30" s="1"/>
  <c r="Q153" i="30" s="1"/>
  <c r="O138" i="30"/>
  <c r="P138" i="30" s="1"/>
  <c r="Y149" i="30"/>
  <c r="Y150" i="30"/>
  <c r="O152" i="30"/>
  <c r="P152" i="30" s="1"/>
  <c r="Q152" i="30" s="1"/>
  <c r="Z152" i="30"/>
  <c r="AA152" i="30" s="1"/>
  <c r="AB152" i="30" s="1"/>
  <c r="AC152" i="30"/>
  <c r="AD152" i="30" s="1"/>
  <c r="AE152" i="30" s="1"/>
  <c r="AV163" i="30"/>
  <c r="V133" i="1"/>
  <c r="W133" i="1" s="1"/>
  <c r="X133" i="1" s="1"/>
  <c r="E2" i="1"/>
  <c r="J49" i="30" l="1"/>
  <c r="L43" i="30"/>
  <c r="AC151" i="30"/>
  <c r="AD151" i="30" s="1"/>
  <c r="AE151" i="30" s="1"/>
  <c r="AG151" i="30" s="1"/>
  <c r="R145" i="31"/>
  <c r="V144" i="31"/>
  <c r="AE143" i="31"/>
  <c r="AT143" i="31"/>
  <c r="AP188" i="31"/>
  <c r="S146" i="31"/>
  <c r="T145" i="31"/>
  <c r="R173" i="31"/>
  <c r="V172" i="31"/>
  <c r="AE171" i="31"/>
  <c r="AT171" i="31"/>
  <c r="O212" i="31"/>
  <c r="P212" i="31" s="1"/>
  <c r="Q212" i="31" s="1"/>
  <c r="AH213" i="31"/>
  <c r="AH211" i="31"/>
  <c r="AH209" i="31"/>
  <c r="AH207" i="31"/>
  <c r="AH205" i="31"/>
  <c r="AH203" i="31"/>
  <c r="AI203" i="31" s="1"/>
  <c r="O213" i="31"/>
  <c r="P213" i="31" s="1"/>
  <c r="Q213" i="31" s="1"/>
  <c r="O209" i="31"/>
  <c r="P209" i="31" s="1"/>
  <c r="Q209" i="31" s="1"/>
  <c r="O207" i="31"/>
  <c r="P207" i="31" s="1"/>
  <c r="Q207" i="31" s="1"/>
  <c r="O205" i="31"/>
  <c r="P205" i="31" s="1"/>
  <c r="Q205" i="31" s="1"/>
  <c r="AH212" i="31"/>
  <c r="O211" i="31"/>
  <c r="P211" i="31" s="1"/>
  <c r="Q211" i="31" s="1"/>
  <c r="O210" i="31"/>
  <c r="P210" i="31" s="1"/>
  <c r="Q210" i="31" s="1"/>
  <c r="O208" i="31"/>
  <c r="P208" i="31" s="1"/>
  <c r="Q208" i="31" s="1"/>
  <c r="O206" i="31"/>
  <c r="P206" i="31" s="1"/>
  <c r="Q206" i="31" s="1"/>
  <c r="O204" i="31"/>
  <c r="P204" i="31" s="1"/>
  <c r="Q204" i="31" s="1"/>
  <c r="O203" i="31"/>
  <c r="P203" i="31" s="1"/>
  <c r="Q203" i="31" s="1"/>
  <c r="O202" i="31"/>
  <c r="P202" i="31" s="1"/>
  <c r="Q202" i="31" s="1"/>
  <c r="O201" i="31"/>
  <c r="P201" i="31" s="1"/>
  <c r="Q201" i="31" s="1"/>
  <c r="O200" i="31"/>
  <c r="P200" i="31" s="1"/>
  <c r="Q200" i="31" s="1"/>
  <c r="AH206" i="31"/>
  <c r="AH202" i="31"/>
  <c r="AI202" i="31" s="1"/>
  <c r="AH208" i="31"/>
  <c r="AH194" i="31"/>
  <c r="AI194" i="31" s="1"/>
  <c r="AH204" i="31"/>
  <c r="AH200" i="31"/>
  <c r="AI200" i="31" s="1"/>
  <c r="AH199" i="31"/>
  <c r="AI199" i="31" s="1"/>
  <c r="O196" i="31"/>
  <c r="P196" i="31" s="1"/>
  <c r="Q196" i="31" s="1"/>
  <c r="AH195" i="31"/>
  <c r="AI195" i="31" s="1"/>
  <c r="AH210" i="31"/>
  <c r="AH198" i="31"/>
  <c r="AI198" i="31" s="1"/>
  <c r="O195" i="31"/>
  <c r="P195" i="31" s="1"/>
  <c r="Q195" i="31" s="1"/>
  <c r="O198" i="31"/>
  <c r="P198" i="31" s="1"/>
  <c r="Q198" i="31" s="1"/>
  <c r="AH197" i="31"/>
  <c r="AI197" i="31" s="1"/>
  <c r="O197" i="31"/>
  <c r="P197" i="31" s="1"/>
  <c r="Q197" i="31" s="1"/>
  <c r="AH196" i="31"/>
  <c r="AI196" i="31" s="1"/>
  <c r="O194" i="31"/>
  <c r="P194" i="31" s="1"/>
  <c r="AH201" i="31"/>
  <c r="AI201" i="31" s="1"/>
  <c r="J194" i="31"/>
  <c r="K194" i="31" s="1"/>
  <c r="L194" i="31" s="1"/>
  <c r="M194" i="31" s="1"/>
  <c r="N194" i="31" s="1"/>
  <c r="O199" i="31"/>
  <c r="P199" i="31" s="1"/>
  <c r="Q199" i="31" s="1"/>
  <c r="BG173" i="31"/>
  <c r="S174" i="31"/>
  <c r="T173" i="31"/>
  <c r="Q138" i="30"/>
  <c r="S138" i="30" s="1"/>
  <c r="T138" i="30" s="1"/>
  <c r="R139" i="30" s="1"/>
  <c r="S139" i="30" s="1"/>
  <c r="AC142" i="30"/>
  <c r="AD142" i="30" s="1"/>
  <c r="AE142" i="30" s="1"/>
  <c r="Z142" i="30"/>
  <c r="AA142" i="30" s="1"/>
  <c r="AB142" i="30" s="1"/>
  <c r="AV164" i="30"/>
  <c r="Z153" i="30"/>
  <c r="AA153" i="30" s="1"/>
  <c r="AB153" i="30" s="1"/>
  <c r="AC153" i="30"/>
  <c r="AD153" i="30" s="1"/>
  <c r="AE153" i="30" s="1"/>
  <c r="AC139" i="30"/>
  <c r="AD139" i="30" s="1"/>
  <c r="AE139" i="30" s="1"/>
  <c r="Z139" i="30"/>
  <c r="AA139" i="30" s="1"/>
  <c r="AB139" i="30" s="1"/>
  <c r="AC143" i="30"/>
  <c r="AD143" i="30" s="1"/>
  <c r="AE143" i="30" s="1"/>
  <c r="Z143" i="30"/>
  <c r="AA143" i="30" s="1"/>
  <c r="AB143" i="30" s="1"/>
  <c r="AC145" i="30"/>
  <c r="AD145" i="30" s="1"/>
  <c r="AE145" i="30" s="1"/>
  <c r="Z145" i="30"/>
  <c r="AA145" i="30" s="1"/>
  <c r="AB145" i="30" s="1"/>
  <c r="Z149" i="30"/>
  <c r="AA149" i="30" s="1"/>
  <c r="AB149" i="30" s="1"/>
  <c r="AC149" i="30"/>
  <c r="AD149" i="30" s="1"/>
  <c r="AE149" i="30" s="1"/>
  <c r="AC155" i="30"/>
  <c r="AD155" i="30" s="1"/>
  <c r="AE155" i="30" s="1"/>
  <c r="Z155" i="30"/>
  <c r="AA155" i="30" s="1"/>
  <c r="AB155" i="30" s="1"/>
  <c r="AC157" i="30"/>
  <c r="AD157" i="30" s="1"/>
  <c r="AE157" i="30" s="1"/>
  <c r="Z157" i="30"/>
  <c r="AA157" i="30" s="1"/>
  <c r="AB157" i="30" s="1"/>
  <c r="AC140" i="30"/>
  <c r="AD140" i="30" s="1"/>
  <c r="AE140" i="30" s="1"/>
  <c r="Z140" i="30"/>
  <c r="AA140" i="30" s="1"/>
  <c r="AB140" i="30" s="1"/>
  <c r="AG152" i="30"/>
  <c r="AC154" i="30"/>
  <c r="AD154" i="30" s="1"/>
  <c r="AE154" i="30" s="1"/>
  <c r="Z154" i="30"/>
  <c r="AA154" i="30" s="1"/>
  <c r="AB154" i="30" s="1"/>
  <c r="AC156" i="30"/>
  <c r="AD156" i="30" s="1"/>
  <c r="AE156" i="30" s="1"/>
  <c r="Z156" i="30"/>
  <c r="AA156" i="30" s="1"/>
  <c r="AB156" i="30" s="1"/>
  <c r="AC138" i="30"/>
  <c r="AD138" i="30" s="1"/>
  <c r="AE138" i="30" s="1"/>
  <c r="Z138" i="30"/>
  <c r="AA138" i="30" s="1"/>
  <c r="AB138" i="30" s="1"/>
  <c r="AC144" i="30"/>
  <c r="AD144" i="30" s="1"/>
  <c r="AE144" i="30" s="1"/>
  <c r="Z144" i="30"/>
  <c r="AA144" i="30" s="1"/>
  <c r="AB144" i="30" s="1"/>
  <c r="AC146" i="30"/>
  <c r="AD146" i="30" s="1"/>
  <c r="AE146" i="30" s="1"/>
  <c r="Z146" i="30"/>
  <c r="AA146" i="30" s="1"/>
  <c r="AB146" i="30" s="1"/>
  <c r="AC148" i="30"/>
  <c r="AD148" i="30" s="1"/>
  <c r="AE148" i="30" s="1"/>
  <c r="Z148" i="30"/>
  <c r="AA148" i="30" s="1"/>
  <c r="AB148" i="30" s="1"/>
  <c r="Z150" i="30"/>
  <c r="AA150" i="30" s="1"/>
  <c r="AB150" i="30" s="1"/>
  <c r="AC150" i="30"/>
  <c r="AD150" i="30" s="1"/>
  <c r="AE150" i="30" s="1"/>
  <c r="AC141" i="30"/>
  <c r="AD141" i="30" s="1"/>
  <c r="AE141" i="30" s="1"/>
  <c r="Z141" i="30"/>
  <c r="AA141" i="30" s="1"/>
  <c r="AB141" i="30" s="1"/>
  <c r="AC147" i="30"/>
  <c r="AD147" i="30" s="1"/>
  <c r="AE147" i="30" s="1"/>
  <c r="Z147" i="30"/>
  <c r="AA147" i="30" s="1"/>
  <c r="AB147" i="30" s="1"/>
  <c r="AP202" i="29"/>
  <c r="J202" i="29"/>
  <c r="K202" i="29" s="1"/>
  <c r="L202" i="29" s="1"/>
  <c r="M202" i="29" s="1"/>
  <c r="N202" i="29" s="1"/>
  <c r="AP201" i="29"/>
  <c r="J201" i="29"/>
  <c r="K201" i="29" s="1"/>
  <c r="L201" i="29" s="1"/>
  <c r="M201" i="29" s="1"/>
  <c r="N201" i="29" s="1"/>
  <c r="AP200" i="29"/>
  <c r="J200" i="29"/>
  <c r="K200" i="29" s="1"/>
  <c r="L200" i="29" s="1"/>
  <c r="M200" i="29" s="1"/>
  <c r="N200" i="29" s="1"/>
  <c r="AP199" i="29"/>
  <c r="J199" i="29"/>
  <c r="K199" i="29" s="1"/>
  <c r="L199" i="29" s="1"/>
  <c r="M199" i="29" s="1"/>
  <c r="N199" i="29" s="1"/>
  <c r="AP198" i="29"/>
  <c r="J198" i="29"/>
  <c r="K198" i="29" s="1"/>
  <c r="L198" i="29" s="1"/>
  <c r="M198" i="29" s="1"/>
  <c r="N198" i="29" s="1"/>
  <c r="AP197" i="29"/>
  <c r="J197" i="29"/>
  <c r="K197" i="29" s="1"/>
  <c r="L197" i="29" s="1"/>
  <c r="M197" i="29" s="1"/>
  <c r="N197" i="29" s="1"/>
  <c r="AP196" i="29"/>
  <c r="J196" i="29"/>
  <c r="K196" i="29" s="1"/>
  <c r="L196" i="29" s="1"/>
  <c r="M196" i="29" s="1"/>
  <c r="N196" i="29" s="1"/>
  <c r="AP195" i="29"/>
  <c r="J195" i="29"/>
  <c r="K195" i="29" s="1"/>
  <c r="L195" i="29" s="1"/>
  <c r="M195" i="29" s="1"/>
  <c r="N195" i="29" s="1"/>
  <c r="AP194" i="29"/>
  <c r="J194" i="29"/>
  <c r="K194" i="29" s="1"/>
  <c r="L194" i="29" s="1"/>
  <c r="M194" i="29" s="1"/>
  <c r="N194" i="29" s="1"/>
  <c r="AP193" i="29"/>
  <c r="J193" i="29"/>
  <c r="K193" i="29" s="1"/>
  <c r="L193" i="29" s="1"/>
  <c r="M193" i="29" s="1"/>
  <c r="N193" i="29" s="1"/>
  <c r="AP192" i="29"/>
  <c r="J192" i="29"/>
  <c r="K192" i="29" s="1"/>
  <c r="L192" i="29" s="1"/>
  <c r="M192" i="29" s="1"/>
  <c r="N192" i="29" s="1"/>
  <c r="AP191" i="29"/>
  <c r="J191" i="29"/>
  <c r="K191" i="29" s="1"/>
  <c r="L191" i="29" s="1"/>
  <c r="M191" i="29" s="1"/>
  <c r="N191" i="29" s="1"/>
  <c r="AP190" i="29"/>
  <c r="J190" i="29"/>
  <c r="K190" i="29" s="1"/>
  <c r="L190" i="29" s="1"/>
  <c r="M190" i="29" s="1"/>
  <c r="N190" i="29" s="1"/>
  <c r="AP189" i="29"/>
  <c r="J189" i="29"/>
  <c r="K189" i="29" s="1"/>
  <c r="L189" i="29" s="1"/>
  <c r="M189" i="29" s="1"/>
  <c r="N189" i="29" s="1"/>
  <c r="AP188" i="29"/>
  <c r="J188" i="29"/>
  <c r="K188" i="29" s="1"/>
  <c r="L188" i="29" s="1"/>
  <c r="M188" i="29" s="1"/>
  <c r="N188" i="29" s="1"/>
  <c r="AP187" i="29"/>
  <c r="J187" i="29"/>
  <c r="K187" i="29" s="1"/>
  <c r="L187" i="29" s="1"/>
  <c r="M187" i="29" s="1"/>
  <c r="N187" i="29" s="1"/>
  <c r="AP186" i="29"/>
  <c r="J186" i="29"/>
  <c r="K186" i="29" s="1"/>
  <c r="L186" i="29" s="1"/>
  <c r="M186" i="29" s="1"/>
  <c r="N186" i="29" s="1"/>
  <c r="AP185" i="29"/>
  <c r="J185" i="29"/>
  <c r="K185" i="29" s="1"/>
  <c r="L185" i="29" s="1"/>
  <c r="M185" i="29" s="1"/>
  <c r="N185" i="29" s="1"/>
  <c r="AP184" i="29"/>
  <c r="J184" i="29"/>
  <c r="K184" i="29" s="1"/>
  <c r="L184" i="29" s="1"/>
  <c r="M184" i="29" s="1"/>
  <c r="N184" i="29" s="1"/>
  <c r="AP183" i="29"/>
  <c r="J183" i="29"/>
  <c r="K183" i="29" s="1"/>
  <c r="L183" i="29" s="1"/>
  <c r="M183" i="29" s="1"/>
  <c r="N183" i="29" s="1"/>
  <c r="AP182" i="29"/>
  <c r="J182" i="29"/>
  <c r="K182" i="29" s="1"/>
  <c r="L182" i="29" s="1"/>
  <c r="M182" i="29" s="1"/>
  <c r="N182" i="29" s="1"/>
  <c r="AP181" i="29"/>
  <c r="J181" i="29"/>
  <c r="K181" i="29" s="1"/>
  <c r="L181" i="29" s="1"/>
  <c r="M181" i="29" s="1"/>
  <c r="N181" i="29" s="1"/>
  <c r="AP180" i="29"/>
  <c r="J180" i="29"/>
  <c r="K180" i="29" s="1"/>
  <c r="L180" i="29" s="1"/>
  <c r="M180" i="29" s="1"/>
  <c r="N180" i="29" s="1"/>
  <c r="AP179" i="29"/>
  <c r="G179" i="29"/>
  <c r="F179" i="29" s="1"/>
  <c r="AP167" i="29"/>
  <c r="J167" i="29"/>
  <c r="K167" i="29" s="1"/>
  <c r="L167" i="29" s="1"/>
  <c r="M167" i="29" s="1"/>
  <c r="N167" i="29" s="1"/>
  <c r="AP166" i="29"/>
  <c r="J166" i="29"/>
  <c r="K166" i="29" s="1"/>
  <c r="L166" i="29" s="1"/>
  <c r="M166" i="29" s="1"/>
  <c r="N166" i="29" s="1"/>
  <c r="AP165" i="29"/>
  <c r="J165" i="29"/>
  <c r="K165" i="29" s="1"/>
  <c r="L165" i="29" s="1"/>
  <c r="M165" i="29" s="1"/>
  <c r="N165" i="29" s="1"/>
  <c r="AP164" i="29"/>
  <c r="J164" i="29"/>
  <c r="K164" i="29" s="1"/>
  <c r="L164" i="29" s="1"/>
  <c r="M164" i="29" s="1"/>
  <c r="N164" i="29" s="1"/>
  <c r="AP163" i="29"/>
  <c r="J163" i="29"/>
  <c r="K163" i="29" s="1"/>
  <c r="L163" i="29" s="1"/>
  <c r="M163" i="29" s="1"/>
  <c r="N163" i="29" s="1"/>
  <c r="AP162" i="29"/>
  <c r="J162" i="29"/>
  <c r="K162" i="29" s="1"/>
  <c r="L162" i="29" s="1"/>
  <c r="M162" i="29" s="1"/>
  <c r="N162" i="29" s="1"/>
  <c r="AP161" i="29"/>
  <c r="J161" i="29"/>
  <c r="K161" i="29" s="1"/>
  <c r="L161" i="29" s="1"/>
  <c r="M161" i="29" s="1"/>
  <c r="N161" i="29" s="1"/>
  <c r="AP160" i="29"/>
  <c r="AQ160" i="29" s="1"/>
  <c r="J160" i="29"/>
  <c r="K160" i="29" s="1"/>
  <c r="L160" i="29" s="1"/>
  <c r="M160" i="29" s="1"/>
  <c r="N160" i="29" s="1"/>
  <c r="AP159" i="29"/>
  <c r="J159" i="29"/>
  <c r="K159" i="29" s="1"/>
  <c r="L159" i="29" s="1"/>
  <c r="M159" i="29" s="1"/>
  <c r="N159" i="29" s="1"/>
  <c r="AP158" i="29"/>
  <c r="J158" i="29"/>
  <c r="K158" i="29" s="1"/>
  <c r="L158" i="29" s="1"/>
  <c r="M158" i="29" s="1"/>
  <c r="N158" i="29" s="1"/>
  <c r="AP157" i="29"/>
  <c r="J157" i="29"/>
  <c r="K157" i="29" s="1"/>
  <c r="L157" i="29" s="1"/>
  <c r="M157" i="29" s="1"/>
  <c r="N157" i="29" s="1"/>
  <c r="AP156" i="29"/>
  <c r="AQ156" i="29" s="1"/>
  <c r="J156" i="29"/>
  <c r="K156" i="29" s="1"/>
  <c r="L156" i="29" s="1"/>
  <c r="M156" i="29" s="1"/>
  <c r="N156" i="29" s="1"/>
  <c r="AP155" i="29"/>
  <c r="J155" i="29"/>
  <c r="K155" i="29" s="1"/>
  <c r="L155" i="29" s="1"/>
  <c r="M155" i="29" s="1"/>
  <c r="N155" i="29" s="1"/>
  <c r="AP154" i="29"/>
  <c r="J154" i="29"/>
  <c r="K154" i="29" s="1"/>
  <c r="L154" i="29" s="1"/>
  <c r="M154" i="29" s="1"/>
  <c r="N154" i="29" s="1"/>
  <c r="AP153" i="29"/>
  <c r="J153" i="29"/>
  <c r="K153" i="29" s="1"/>
  <c r="L153" i="29" s="1"/>
  <c r="M153" i="29" s="1"/>
  <c r="N153" i="29" s="1"/>
  <c r="AP152" i="29"/>
  <c r="J152" i="29"/>
  <c r="K152" i="29" s="1"/>
  <c r="L152" i="29" s="1"/>
  <c r="M152" i="29" s="1"/>
  <c r="N152" i="29" s="1"/>
  <c r="AP151" i="29"/>
  <c r="J151" i="29"/>
  <c r="K151" i="29" s="1"/>
  <c r="L151" i="29" s="1"/>
  <c r="M151" i="29" s="1"/>
  <c r="N151" i="29" s="1"/>
  <c r="AP150" i="29"/>
  <c r="J150" i="29"/>
  <c r="K150" i="29" s="1"/>
  <c r="L150" i="29" s="1"/>
  <c r="M150" i="29" s="1"/>
  <c r="N150" i="29" s="1"/>
  <c r="AP149" i="29"/>
  <c r="J149" i="29"/>
  <c r="K149" i="29" s="1"/>
  <c r="L149" i="29" s="1"/>
  <c r="M149" i="29" s="1"/>
  <c r="N149" i="29" s="1"/>
  <c r="AP148" i="29"/>
  <c r="G148" i="29"/>
  <c r="C148" i="29"/>
  <c r="AG154" i="29" s="1"/>
  <c r="BG70" i="29"/>
  <c r="BG71" i="29" s="1"/>
  <c r="BG72" i="29" s="1"/>
  <c r="BG73" i="29" s="1"/>
  <c r="BG74" i="29" s="1"/>
  <c r="BG75" i="29" s="1"/>
  <c r="BG76" i="29" s="1"/>
  <c r="BG77" i="29" s="1"/>
  <c r="BG78" i="29" s="1"/>
  <c r="BG79" i="29" s="1"/>
  <c r="BG80" i="29" s="1"/>
  <c r="BG81" i="29" s="1"/>
  <c r="BG82" i="29" s="1"/>
  <c r="BG83" i="29" s="1"/>
  <c r="BG84" i="29" s="1"/>
  <c r="BG85" i="29" s="1"/>
  <c r="BG86" i="29" s="1"/>
  <c r="BG87" i="29" s="1"/>
  <c r="BG88" i="29" s="1"/>
  <c r="BG89" i="29" s="1"/>
  <c r="BG90" i="29" s="1"/>
  <c r="BG91" i="29" s="1"/>
  <c r="BG92" i="29" s="1"/>
  <c r="BG134" i="29" s="1"/>
  <c r="BG135" i="29" s="1"/>
  <c r="BG136" i="29" s="1"/>
  <c r="BG137" i="29" s="1"/>
  <c r="BG138" i="29" s="1"/>
  <c r="BG139" i="29" s="1"/>
  <c r="BG140" i="29" s="1"/>
  <c r="BG141" i="29" s="1"/>
  <c r="BG142" i="29" s="1"/>
  <c r="BG143" i="29" s="1"/>
  <c r="BG144" i="29" s="1"/>
  <c r="BG145" i="29" s="1"/>
  <c r="BG146" i="29" s="1"/>
  <c r="BH69" i="29"/>
  <c r="CR55" i="29"/>
  <c r="CP55" i="29"/>
  <c r="CN55" i="29"/>
  <c r="CL55" i="29"/>
  <c r="CJ55" i="29"/>
  <c r="CH55" i="29"/>
  <c r="CF55" i="29"/>
  <c r="CD55" i="29"/>
  <c r="CO130" i="29"/>
  <c r="CO132" i="29" s="1"/>
  <c r="CM130" i="29"/>
  <c r="CM132" i="29" s="1"/>
  <c r="CG130" i="29"/>
  <c r="CG132" i="29" s="1"/>
  <c r="CE130" i="29"/>
  <c r="CE132" i="29" s="1"/>
  <c r="BR25" i="29"/>
  <c r="D4" i="29"/>
  <c r="F2" i="29"/>
  <c r="D2" i="29"/>
  <c r="AQ164" i="29" l="1"/>
  <c r="J38" i="29"/>
  <c r="J56" i="29"/>
  <c r="L32" i="29"/>
  <c r="J50" i="29"/>
  <c r="L26" i="29"/>
  <c r="J20" i="29"/>
  <c r="L44" i="29"/>
  <c r="AI215" i="31"/>
  <c r="AX219" i="31" s="1"/>
  <c r="AQ149" i="29"/>
  <c r="AQ153" i="29"/>
  <c r="L42" i="29"/>
  <c r="L85" i="29"/>
  <c r="J48" i="29"/>
  <c r="H9" i="29"/>
  <c r="H11" i="29"/>
  <c r="AQ161" i="29"/>
  <c r="AQ154" i="29"/>
  <c r="AQ151" i="29"/>
  <c r="AQ158" i="29"/>
  <c r="AQ162" i="29"/>
  <c r="AQ166" i="29"/>
  <c r="AQ155" i="29"/>
  <c r="AQ150" i="29"/>
  <c r="AQ165" i="29"/>
  <c r="AQ148" i="29"/>
  <c r="AQ152" i="29"/>
  <c r="AQ159" i="29"/>
  <c r="AQ163" i="29"/>
  <c r="AQ167" i="29"/>
  <c r="AG165" i="29"/>
  <c r="AL165" i="29" s="1"/>
  <c r="AM165" i="29" s="1"/>
  <c r="AN165" i="29" s="1"/>
  <c r="AG150" i="29"/>
  <c r="AI150" i="29" s="1"/>
  <c r="AJ150" i="29" s="1"/>
  <c r="AK150" i="29" s="1"/>
  <c r="AE144" i="31"/>
  <c r="AT144" i="31"/>
  <c r="R146" i="31"/>
  <c r="V145" i="31"/>
  <c r="Q194" i="31"/>
  <c r="S194" i="31" s="1"/>
  <c r="T194" i="31" s="1"/>
  <c r="V194" i="31" s="1"/>
  <c r="AE194" i="31" s="1"/>
  <c r="V173" i="31"/>
  <c r="R174" i="31"/>
  <c r="S175" i="31"/>
  <c r="T174" i="31"/>
  <c r="AJ198" i="31"/>
  <c r="AK198" i="31" s="1"/>
  <c r="AL198" i="31" s="1"/>
  <c r="AM198" i="31"/>
  <c r="AN198" i="31" s="1"/>
  <c r="AO198" i="31" s="1"/>
  <c r="AJ199" i="31"/>
  <c r="AK199" i="31" s="1"/>
  <c r="AL199" i="31" s="1"/>
  <c r="AM199" i="31"/>
  <c r="AN199" i="31" s="1"/>
  <c r="AO199" i="31" s="1"/>
  <c r="AM208" i="31"/>
  <c r="AN208" i="31" s="1"/>
  <c r="AO208" i="31" s="1"/>
  <c r="AJ208" i="31"/>
  <c r="AK208" i="31" s="1"/>
  <c r="AL208" i="31" s="1"/>
  <c r="AM212" i="31"/>
  <c r="AN212" i="31" s="1"/>
  <c r="AO212" i="31" s="1"/>
  <c r="AJ212" i="31"/>
  <c r="AK212" i="31" s="1"/>
  <c r="AL212" i="31" s="1"/>
  <c r="AM209" i="31"/>
  <c r="AN209" i="31" s="1"/>
  <c r="AO209" i="31" s="1"/>
  <c r="AJ209" i="31"/>
  <c r="AK209" i="31" s="1"/>
  <c r="AL209" i="31" s="1"/>
  <c r="AT172" i="31"/>
  <c r="AE172" i="31"/>
  <c r="AJ201" i="31"/>
  <c r="AK201" i="31" s="1"/>
  <c r="AL201" i="31" s="1"/>
  <c r="AM201" i="31"/>
  <c r="AN201" i="31" s="1"/>
  <c r="AO201" i="31" s="1"/>
  <c r="AJ197" i="31"/>
  <c r="AK197" i="31" s="1"/>
  <c r="AL197" i="31" s="1"/>
  <c r="AM197" i="31"/>
  <c r="AN197" i="31" s="1"/>
  <c r="AO197" i="31" s="1"/>
  <c r="AM210" i="31"/>
  <c r="AN210" i="31" s="1"/>
  <c r="AO210" i="31" s="1"/>
  <c r="AJ210" i="31"/>
  <c r="AK210" i="31" s="1"/>
  <c r="AL210" i="31" s="1"/>
  <c r="AJ200" i="31"/>
  <c r="AK200" i="31" s="1"/>
  <c r="AL200" i="31" s="1"/>
  <c r="AM200" i="31"/>
  <c r="AN200" i="31" s="1"/>
  <c r="AO200" i="31" s="1"/>
  <c r="AJ202" i="31"/>
  <c r="AK202" i="31" s="1"/>
  <c r="AL202" i="31" s="1"/>
  <c r="AM202" i="31"/>
  <c r="AN202" i="31" s="1"/>
  <c r="AO202" i="31" s="1"/>
  <c r="AM203" i="31"/>
  <c r="AN203" i="31" s="1"/>
  <c r="AO203" i="31" s="1"/>
  <c r="AJ203" i="31"/>
  <c r="AK203" i="31" s="1"/>
  <c r="AL203" i="31" s="1"/>
  <c r="AJ211" i="31"/>
  <c r="AK211" i="31" s="1"/>
  <c r="AL211" i="31" s="1"/>
  <c r="AM211" i="31"/>
  <c r="AN211" i="31" s="1"/>
  <c r="AO211" i="31" s="1"/>
  <c r="BG174" i="31"/>
  <c r="AJ195" i="31"/>
  <c r="AK195" i="31" s="1"/>
  <c r="AL195" i="31" s="1"/>
  <c r="AM195" i="31"/>
  <c r="AN195" i="31" s="1"/>
  <c r="AO195" i="31" s="1"/>
  <c r="AM204" i="31"/>
  <c r="AN204" i="31" s="1"/>
  <c r="AO204" i="31" s="1"/>
  <c r="AJ204" i="31"/>
  <c r="AK204" i="31" s="1"/>
  <c r="AL204" i="31" s="1"/>
  <c r="AM206" i="31"/>
  <c r="AN206" i="31" s="1"/>
  <c r="AO206" i="31" s="1"/>
  <c r="AJ206" i="31"/>
  <c r="AK206" i="31" s="1"/>
  <c r="AL206" i="31" s="1"/>
  <c r="AM205" i="31"/>
  <c r="AN205" i="31" s="1"/>
  <c r="AO205" i="31" s="1"/>
  <c r="AJ205" i="31"/>
  <c r="AK205" i="31" s="1"/>
  <c r="AL205" i="31" s="1"/>
  <c r="AJ213" i="31"/>
  <c r="AK213" i="31" s="1"/>
  <c r="AL213" i="31" s="1"/>
  <c r="AM213" i="31"/>
  <c r="AN213" i="31" s="1"/>
  <c r="AO213" i="31" s="1"/>
  <c r="AJ196" i="31"/>
  <c r="AK196" i="31" s="1"/>
  <c r="AL196" i="31" s="1"/>
  <c r="AM196" i="31"/>
  <c r="AN196" i="31" s="1"/>
  <c r="AO196" i="31" s="1"/>
  <c r="AM194" i="31"/>
  <c r="AN194" i="31" s="1"/>
  <c r="AO194" i="31" s="1"/>
  <c r="AJ194" i="31"/>
  <c r="AK194" i="31" s="1"/>
  <c r="AL194" i="31" s="1"/>
  <c r="AM207" i="31"/>
  <c r="AN207" i="31" s="1"/>
  <c r="AO207" i="31" s="1"/>
  <c r="AJ207" i="31"/>
  <c r="AK207" i="31" s="1"/>
  <c r="AL207" i="31" s="1"/>
  <c r="S147" i="31"/>
  <c r="T146" i="31"/>
  <c r="O150" i="29"/>
  <c r="P150" i="29" s="1"/>
  <c r="Q150" i="29" s="1"/>
  <c r="AG156" i="29"/>
  <c r="AH156" i="29" s="1"/>
  <c r="O157" i="29"/>
  <c r="P157" i="29" s="1"/>
  <c r="Q157" i="29" s="1"/>
  <c r="AG158" i="29"/>
  <c r="AI158" i="29" s="1"/>
  <c r="AJ158" i="29" s="1"/>
  <c r="AK158" i="29" s="1"/>
  <c r="AG152" i="29"/>
  <c r="AI152" i="29" s="1"/>
  <c r="AJ152" i="29" s="1"/>
  <c r="AK152" i="29" s="1"/>
  <c r="O154" i="29"/>
  <c r="P154" i="29" s="1"/>
  <c r="Q154" i="29" s="1"/>
  <c r="AL154" i="29"/>
  <c r="AM154" i="29" s="1"/>
  <c r="AN154" i="29" s="1"/>
  <c r="AH154" i="29"/>
  <c r="J148" i="29"/>
  <c r="K148" i="29" s="1"/>
  <c r="L148" i="29" s="1"/>
  <c r="M148" i="29" s="1"/>
  <c r="N148" i="29" s="1"/>
  <c r="AG149" i="29"/>
  <c r="AL149" i="29" s="1"/>
  <c r="AM149" i="29" s="1"/>
  <c r="AN149" i="29" s="1"/>
  <c r="O153" i="29"/>
  <c r="P153" i="29" s="1"/>
  <c r="Q153" i="29" s="1"/>
  <c r="O158" i="29"/>
  <c r="P158" i="29" s="1"/>
  <c r="Q158" i="29" s="1"/>
  <c r="O160" i="29"/>
  <c r="P160" i="29" s="1"/>
  <c r="Q160" i="29" s="1"/>
  <c r="O161" i="29"/>
  <c r="P161" i="29" s="1"/>
  <c r="Q161" i="29" s="1"/>
  <c r="O148" i="29"/>
  <c r="P148" i="29" s="1"/>
  <c r="O152" i="29"/>
  <c r="P152" i="29" s="1"/>
  <c r="Q152" i="29" s="1"/>
  <c r="V138" i="30"/>
  <c r="AH138" i="30" s="1"/>
  <c r="AG140" i="30"/>
  <c r="AG142" i="30"/>
  <c r="AG141" i="30"/>
  <c r="AG143" i="30"/>
  <c r="AG147" i="30"/>
  <c r="AG149" i="30"/>
  <c r="AG145" i="30"/>
  <c r="AG139" i="30"/>
  <c r="AG150" i="30"/>
  <c r="AG148" i="30"/>
  <c r="AG144" i="30"/>
  <c r="AG154" i="30"/>
  <c r="AG157" i="30"/>
  <c r="AG153" i="30"/>
  <c r="AG146" i="30"/>
  <c r="AG138" i="30"/>
  <c r="AG156" i="30"/>
  <c r="AG155" i="30"/>
  <c r="AV165" i="30"/>
  <c r="S140" i="30"/>
  <c r="T139" i="30"/>
  <c r="AQ157" i="29"/>
  <c r="BP56" i="29"/>
  <c r="AH165" i="29"/>
  <c r="BH70" i="29"/>
  <c r="AH158" i="29"/>
  <c r="O166" i="29"/>
  <c r="P166" i="29" s="1"/>
  <c r="Q166" i="29" s="1"/>
  <c r="AG162" i="29"/>
  <c r="O162" i="29"/>
  <c r="P162" i="29" s="1"/>
  <c r="Q162" i="29" s="1"/>
  <c r="O167" i="29"/>
  <c r="P167" i="29" s="1"/>
  <c r="Q167" i="29" s="1"/>
  <c r="AG164" i="29"/>
  <c r="O164" i="29"/>
  <c r="P164" i="29" s="1"/>
  <c r="Q164" i="29" s="1"/>
  <c r="AG167" i="29"/>
  <c r="AG163" i="29"/>
  <c r="AG157" i="29"/>
  <c r="O163" i="29"/>
  <c r="P163" i="29" s="1"/>
  <c r="Q163" i="29" s="1"/>
  <c r="AG161" i="29"/>
  <c r="AG159" i="29"/>
  <c r="O159" i="29"/>
  <c r="P159" i="29" s="1"/>
  <c r="Q159" i="29" s="1"/>
  <c r="AG155" i="29"/>
  <c r="O155" i="29"/>
  <c r="P155" i="29" s="1"/>
  <c r="Q155" i="29" s="1"/>
  <c r="AG151" i="29"/>
  <c r="O151" i="29"/>
  <c r="P151" i="29" s="1"/>
  <c r="Q151" i="29" s="1"/>
  <c r="AG148" i="29"/>
  <c r="O149" i="29"/>
  <c r="P149" i="29" s="1"/>
  <c r="Q149" i="29" s="1"/>
  <c r="AG153" i="29"/>
  <c r="AI154" i="29"/>
  <c r="AJ154" i="29" s="1"/>
  <c r="AK154" i="29" s="1"/>
  <c r="O156" i="29"/>
  <c r="P156" i="29" s="1"/>
  <c r="Q156" i="29" s="1"/>
  <c r="AG160" i="29"/>
  <c r="AG166" i="29"/>
  <c r="O165" i="29"/>
  <c r="P165" i="29" s="1"/>
  <c r="Q165" i="29" s="1"/>
  <c r="AQ153" i="28"/>
  <c r="AQ152" i="28"/>
  <c r="AQ151" i="28"/>
  <c r="AQ150" i="28"/>
  <c r="AQ149" i="28"/>
  <c r="AQ148" i="28"/>
  <c r="AQ147" i="28"/>
  <c r="AQ146" i="28"/>
  <c r="AQ145" i="28"/>
  <c r="AQ144" i="28"/>
  <c r="AQ143" i="28"/>
  <c r="AQ142" i="28"/>
  <c r="C11" i="28"/>
  <c r="BG213" i="28"/>
  <c r="BG214" i="28" s="1"/>
  <c r="BG215" i="28" s="1"/>
  <c r="BG216" i="28" s="1"/>
  <c r="BG217" i="28" s="1"/>
  <c r="BG218" i="28" s="1"/>
  <c r="BG219" i="28" s="1"/>
  <c r="BG220" i="28" s="1"/>
  <c r="BG221" i="28" s="1"/>
  <c r="BG222" i="28" s="1"/>
  <c r="BG223" i="28" s="1"/>
  <c r="BG224" i="28" s="1"/>
  <c r="BG225" i="28" s="1"/>
  <c r="BG226" i="28" s="1"/>
  <c r="BG227" i="28" s="1"/>
  <c r="BG228" i="28" s="1"/>
  <c r="BG229" i="28" s="1"/>
  <c r="BG230" i="28" s="1"/>
  <c r="BG231" i="28" s="1"/>
  <c r="BG232" i="28" s="1"/>
  <c r="BG233" i="28" s="1"/>
  <c r="BG234" i="28" s="1"/>
  <c r="BG235" i="28" s="1"/>
  <c r="BG236" i="28" s="1"/>
  <c r="BG237" i="28" s="1"/>
  <c r="BG238" i="28" s="1"/>
  <c r="BG239" i="28" s="1"/>
  <c r="BG240" i="28" s="1"/>
  <c r="BG241" i="28" s="1"/>
  <c r="BG242" i="28" s="1"/>
  <c r="BG243" i="28" s="1"/>
  <c r="BG244" i="28" s="1"/>
  <c r="BG245" i="28" s="1"/>
  <c r="BG246" i="28" s="1"/>
  <c r="BG247" i="28" s="1"/>
  <c r="BG248" i="28" s="1"/>
  <c r="BH212" i="28"/>
  <c r="AQ203" i="28"/>
  <c r="J203" i="28"/>
  <c r="K203" i="28" s="1"/>
  <c r="L203" i="28" s="1"/>
  <c r="M203" i="28" s="1"/>
  <c r="N203" i="28" s="1"/>
  <c r="G203" i="28"/>
  <c r="AQ202" i="28"/>
  <c r="J202" i="28"/>
  <c r="K202" i="28" s="1"/>
  <c r="L202" i="28" s="1"/>
  <c r="M202" i="28" s="1"/>
  <c r="N202" i="28" s="1"/>
  <c r="G202" i="28"/>
  <c r="AQ201" i="28"/>
  <c r="J201" i="28"/>
  <c r="K201" i="28" s="1"/>
  <c r="L201" i="28" s="1"/>
  <c r="M201" i="28" s="1"/>
  <c r="N201" i="28" s="1"/>
  <c r="G201" i="28"/>
  <c r="AQ200" i="28"/>
  <c r="J200" i="28"/>
  <c r="K200" i="28" s="1"/>
  <c r="L200" i="28" s="1"/>
  <c r="M200" i="28" s="1"/>
  <c r="N200" i="28" s="1"/>
  <c r="G200" i="28"/>
  <c r="AQ199" i="28"/>
  <c r="J199" i="28"/>
  <c r="K199" i="28" s="1"/>
  <c r="L199" i="28" s="1"/>
  <c r="M199" i="28" s="1"/>
  <c r="N199" i="28" s="1"/>
  <c r="G199" i="28"/>
  <c r="AQ198" i="28"/>
  <c r="J198" i="28"/>
  <c r="K198" i="28" s="1"/>
  <c r="L198" i="28" s="1"/>
  <c r="M198" i="28" s="1"/>
  <c r="N198" i="28" s="1"/>
  <c r="G198" i="28"/>
  <c r="AQ197" i="28"/>
  <c r="J197" i="28"/>
  <c r="K197" i="28" s="1"/>
  <c r="L197" i="28" s="1"/>
  <c r="M197" i="28" s="1"/>
  <c r="N197" i="28" s="1"/>
  <c r="G197" i="28"/>
  <c r="AQ196" i="28"/>
  <c r="G196" i="28"/>
  <c r="AQ183" i="28"/>
  <c r="AI183" i="28"/>
  <c r="V183" i="28"/>
  <c r="AE183" i="28" s="1"/>
  <c r="J183" i="28"/>
  <c r="K183" i="28" s="1"/>
  <c r="L183" i="28" s="1"/>
  <c r="M183" i="28" s="1"/>
  <c r="N183" i="28" s="1"/>
  <c r="G183" i="28"/>
  <c r="AQ182" i="28"/>
  <c r="AI182" i="28"/>
  <c r="V182" i="28"/>
  <c r="AE182" i="28" s="1"/>
  <c r="J182" i="28"/>
  <c r="K182" i="28" s="1"/>
  <c r="L182" i="28" s="1"/>
  <c r="M182" i="28" s="1"/>
  <c r="N182" i="28" s="1"/>
  <c r="G182" i="28"/>
  <c r="AQ181" i="28"/>
  <c r="AI181" i="28"/>
  <c r="V181" i="28"/>
  <c r="J181" i="28"/>
  <c r="K181" i="28" s="1"/>
  <c r="L181" i="28" s="1"/>
  <c r="M181" i="28" s="1"/>
  <c r="N181" i="28" s="1"/>
  <c r="G181" i="28"/>
  <c r="AQ180" i="28"/>
  <c r="AI180" i="28"/>
  <c r="V180" i="28"/>
  <c r="J180" i="28"/>
  <c r="K180" i="28" s="1"/>
  <c r="L180" i="28" s="1"/>
  <c r="M180" i="28" s="1"/>
  <c r="N180" i="28" s="1"/>
  <c r="G180" i="28"/>
  <c r="AQ179" i="28"/>
  <c r="AI179" i="28"/>
  <c r="V179" i="28"/>
  <c r="J179" i="28"/>
  <c r="K179" i="28" s="1"/>
  <c r="L179" i="28" s="1"/>
  <c r="M179" i="28" s="1"/>
  <c r="N179" i="28" s="1"/>
  <c r="G179" i="28"/>
  <c r="AQ178" i="28"/>
  <c r="AI178" i="28"/>
  <c r="V178" i="28"/>
  <c r="AE178" i="28" s="1"/>
  <c r="J178" i="28"/>
  <c r="K178" i="28" s="1"/>
  <c r="L178" i="28" s="1"/>
  <c r="M178" i="28" s="1"/>
  <c r="N178" i="28" s="1"/>
  <c r="G178" i="28"/>
  <c r="AQ177" i="28"/>
  <c r="AR177" i="28" s="1"/>
  <c r="J177" i="28"/>
  <c r="K177" i="28" s="1"/>
  <c r="L177" i="28" s="1"/>
  <c r="M177" i="28" s="1"/>
  <c r="N177" i="28" s="1"/>
  <c r="G177" i="28"/>
  <c r="AQ176" i="28"/>
  <c r="J176" i="28"/>
  <c r="K176" i="28" s="1"/>
  <c r="L176" i="28" s="1"/>
  <c r="M176" i="28" s="1"/>
  <c r="N176" i="28" s="1"/>
  <c r="G176" i="28"/>
  <c r="AQ175" i="28"/>
  <c r="J175" i="28"/>
  <c r="K175" i="28" s="1"/>
  <c r="L175" i="28" s="1"/>
  <c r="M175" i="28" s="1"/>
  <c r="N175" i="28" s="1"/>
  <c r="G175" i="28"/>
  <c r="AQ174" i="28"/>
  <c r="J174" i="28"/>
  <c r="K174" i="28" s="1"/>
  <c r="L174" i="28" s="1"/>
  <c r="M174" i="28" s="1"/>
  <c r="N174" i="28" s="1"/>
  <c r="G174" i="28"/>
  <c r="AQ173" i="28"/>
  <c r="J173" i="28"/>
  <c r="K173" i="28" s="1"/>
  <c r="L173" i="28" s="1"/>
  <c r="M173" i="28" s="1"/>
  <c r="N173" i="28" s="1"/>
  <c r="G173" i="28"/>
  <c r="AQ172" i="28"/>
  <c r="J172" i="28"/>
  <c r="K172" i="28" s="1"/>
  <c r="L172" i="28" s="1"/>
  <c r="M172" i="28" s="1"/>
  <c r="N172" i="28" s="1"/>
  <c r="G172" i="28"/>
  <c r="AQ171" i="28"/>
  <c r="J171" i="28"/>
  <c r="K171" i="28" s="1"/>
  <c r="L171" i="28" s="1"/>
  <c r="M171" i="28" s="1"/>
  <c r="N171" i="28" s="1"/>
  <c r="G171" i="28"/>
  <c r="AQ170" i="28"/>
  <c r="J170" i="28"/>
  <c r="K170" i="28" s="1"/>
  <c r="L170" i="28" s="1"/>
  <c r="M170" i="28" s="1"/>
  <c r="N170" i="28" s="1"/>
  <c r="G170" i="28"/>
  <c r="AQ169" i="28"/>
  <c r="AR169" i="28" s="1"/>
  <c r="J169" i="28"/>
  <c r="K169" i="28" s="1"/>
  <c r="L169" i="28" s="1"/>
  <c r="M169" i="28" s="1"/>
  <c r="N169" i="28" s="1"/>
  <c r="G169" i="28"/>
  <c r="AQ168" i="28"/>
  <c r="J168" i="28"/>
  <c r="K168" i="28" s="1"/>
  <c r="L168" i="28" s="1"/>
  <c r="M168" i="28" s="1"/>
  <c r="N168" i="28" s="1"/>
  <c r="G168" i="28"/>
  <c r="AQ167" i="28"/>
  <c r="J167" i="28"/>
  <c r="K167" i="28" s="1"/>
  <c r="L167" i="28" s="1"/>
  <c r="M167" i="28" s="1"/>
  <c r="N167" i="28" s="1"/>
  <c r="G167" i="28"/>
  <c r="AQ166" i="28"/>
  <c r="J166" i="28"/>
  <c r="K166" i="28" s="1"/>
  <c r="L166" i="28" s="1"/>
  <c r="M166" i="28" s="1"/>
  <c r="N166" i="28" s="1"/>
  <c r="G166" i="28"/>
  <c r="AQ165" i="28"/>
  <c r="J165" i="28"/>
  <c r="K165" i="28" s="1"/>
  <c r="L165" i="28" s="1"/>
  <c r="M165" i="28" s="1"/>
  <c r="N165" i="28" s="1"/>
  <c r="G165" i="28"/>
  <c r="AQ164" i="28"/>
  <c r="G164" i="28"/>
  <c r="AI153" i="28"/>
  <c r="V153" i="28"/>
  <c r="J153" i="28"/>
  <c r="K153" i="28" s="1"/>
  <c r="L153" i="28" s="1"/>
  <c r="M153" i="28" s="1"/>
  <c r="N153" i="28" s="1"/>
  <c r="AI152" i="28"/>
  <c r="V152" i="28"/>
  <c r="AE152" i="28" s="1"/>
  <c r="J152" i="28"/>
  <c r="K152" i="28" s="1"/>
  <c r="L152" i="28" s="1"/>
  <c r="M152" i="28" s="1"/>
  <c r="N152" i="28" s="1"/>
  <c r="J151" i="28"/>
  <c r="K151" i="28" s="1"/>
  <c r="L151" i="28" s="1"/>
  <c r="M151" i="28" s="1"/>
  <c r="N151" i="28" s="1"/>
  <c r="J150" i="28"/>
  <c r="K150" i="28" s="1"/>
  <c r="L150" i="28" s="1"/>
  <c r="M150" i="28" s="1"/>
  <c r="N150" i="28" s="1"/>
  <c r="J149" i="28"/>
  <c r="K149" i="28" s="1"/>
  <c r="L149" i="28" s="1"/>
  <c r="M149" i="28" s="1"/>
  <c r="N149" i="28" s="1"/>
  <c r="J148" i="28"/>
  <c r="K148" i="28" s="1"/>
  <c r="L148" i="28" s="1"/>
  <c r="M148" i="28" s="1"/>
  <c r="N148" i="28" s="1"/>
  <c r="J147" i="28"/>
  <c r="K147" i="28" s="1"/>
  <c r="L147" i="28" s="1"/>
  <c r="M147" i="28" s="1"/>
  <c r="N147" i="28" s="1"/>
  <c r="J146" i="28"/>
  <c r="K146" i="28" s="1"/>
  <c r="L146" i="28" s="1"/>
  <c r="M146" i="28" s="1"/>
  <c r="N146" i="28" s="1"/>
  <c r="J145" i="28"/>
  <c r="K145" i="28" s="1"/>
  <c r="L145" i="28" s="1"/>
  <c r="M145" i="28" s="1"/>
  <c r="N145" i="28" s="1"/>
  <c r="J144" i="28"/>
  <c r="K144" i="28" s="1"/>
  <c r="L144" i="28" s="1"/>
  <c r="M144" i="28" s="1"/>
  <c r="N144" i="28" s="1"/>
  <c r="J143" i="28"/>
  <c r="K143" i="28" s="1"/>
  <c r="L143" i="28" s="1"/>
  <c r="M143" i="28" s="1"/>
  <c r="N143" i="28" s="1"/>
  <c r="C142" i="28"/>
  <c r="AH150" i="28" s="1"/>
  <c r="AM150" i="28" s="1"/>
  <c r="CQ57" i="28"/>
  <c r="CO57" i="28"/>
  <c r="CM57" i="28"/>
  <c r="CK57" i="28"/>
  <c r="CI57" i="28"/>
  <c r="CG57" i="28"/>
  <c r="CE57" i="28"/>
  <c r="CC57" i="28"/>
  <c r="CN100" i="28"/>
  <c r="CN102" i="28" s="1"/>
  <c r="CL100" i="28"/>
  <c r="CL102" i="28" s="1"/>
  <c r="CF100" i="28"/>
  <c r="CF102" i="28" s="1"/>
  <c r="CD100" i="28"/>
  <c r="CD102" i="28" s="1"/>
  <c r="C17" i="28"/>
  <c r="C14" i="28"/>
  <c r="D4" i="28"/>
  <c r="F2" i="28"/>
  <c r="D2" i="28"/>
  <c r="AQ205" i="27"/>
  <c r="AQ204" i="27"/>
  <c r="AQ203" i="27"/>
  <c r="AQ202" i="27"/>
  <c r="AQ201" i="27"/>
  <c r="AQ200" i="27"/>
  <c r="AQ199" i="27"/>
  <c r="AQ198" i="27"/>
  <c r="AR165" i="28" l="1"/>
  <c r="AR164" i="28"/>
  <c r="AR168" i="28"/>
  <c r="AR172" i="28"/>
  <c r="AR176" i="28"/>
  <c r="AR178" i="28"/>
  <c r="AR182" i="28"/>
  <c r="AR167" i="28"/>
  <c r="AR171" i="28"/>
  <c r="AR175" i="28"/>
  <c r="AR179" i="28"/>
  <c r="AR183" i="28"/>
  <c r="AR166" i="28"/>
  <c r="AR170" i="28"/>
  <c r="AR173" i="28"/>
  <c r="AR181" i="28"/>
  <c r="AR174" i="28"/>
  <c r="AR180" i="28"/>
  <c r="AR148" i="28"/>
  <c r="AR149" i="28"/>
  <c r="AR142" i="28"/>
  <c r="AR150" i="28"/>
  <c r="AR143" i="28"/>
  <c r="AR151" i="28"/>
  <c r="AR144" i="28"/>
  <c r="AR152" i="28"/>
  <c r="AR145" i="28"/>
  <c r="AR153" i="28"/>
  <c r="AR146" i="28"/>
  <c r="AR147" i="28"/>
  <c r="AL156" i="29"/>
  <c r="AM156" i="29" s="1"/>
  <c r="AN156" i="29" s="1"/>
  <c r="AL152" i="29"/>
  <c r="AM152" i="29" s="1"/>
  <c r="AN152" i="29" s="1"/>
  <c r="AR152" i="29" s="1"/>
  <c r="AH152" i="29"/>
  <c r="AI156" i="29"/>
  <c r="AJ156" i="29" s="1"/>
  <c r="AK156" i="29" s="1"/>
  <c r="H11" i="28"/>
  <c r="H9" i="28"/>
  <c r="J49" i="29"/>
  <c r="L43" i="29"/>
  <c r="AI165" i="29"/>
  <c r="AJ165" i="29" s="1"/>
  <c r="AK165" i="29" s="1"/>
  <c r="AR165" i="29" s="1"/>
  <c r="AL150" i="29"/>
  <c r="AM150" i="29" s="1"/>
  <c r="AN150" i="29" s="1"/>
  <c r="AR150" i="29" s="1"/>
  <c r="AH150" i="29"/>
  <c r="R147" i="31"/>
  <c r="V146" i="31"/>
  <c r="AE145" i="31"/>
  <c r="AT145" i="31"/>
  <c r="R195" i="31"/>
  <c r="S195" i="31" s="1"/>
  <c r="S196" i="31" s="1"/>
  <c r="C225" i="31"/>
  <c r="AH226" i="31" s="1"/>
  <c r="X194" i="31"/>
  <c r="Z194" i="31" s="1"/>
  <c r="AS196" i="31"/>
  <c r="AS195" i="31"/>
  <c r="AS201" i="31"/>
  <c r="AS200" i="31"/>
  <c r="AS197" i="31"/>
  <c r="S148" i="31"/>
  <c r="T147" i="31"/>
  <c r="AS194" i="31"/>
  <c r="AS206" i="31"/>
  <c r="BG175" i="31"/>
  <c r="AS203" i="31"/>
  <c r="AS199" i="31"/>
  <c r="R175" i="31"/>
  <c r="V174" i="31"/>
  <c r="AT194" i="31"/>
  <c r="AS211" i="31"/>
  <c r="AS202" i="31"/>
  <c r="AS212" i="31"/>
  <c r="S176" i="31"/>
  <c r="T175" i="31"/>
  <c r="AS207" i="31"/>
  <c r="AS205" i="31"/>
  <c r="AS204" i="31"/>
  <c r="AS210" i="31"/>
  <c r="AS198" i="31"/>
  <c r="AS213" i="31"/>
  <c r="AS209" i="31"/>
  <c r="AS208" i="31"/>
  <c r="AE173" i="31"/>
  <c r="AT173" i="31"/>
  <c r="AL158" i="29"/>
  <c r="AM158" i="29" s="1"/>
  <c r="AN158" i="29" s="1"/>
  <c r="AR158" i="29" s="1"/>
  <c r="AR154" i="29"/>
  <c r="AI149" i="29"/>
  <c r="AJ149" i="29" s="1"/>
  <c r="AK149" i="29" s="1"/>
  <c r="AR149" i="29" s="1"/>
  <c r="Q148" i="29"/>
  <c r="S148" i="29" s="1"/>
  <c r="T148" i="29" s="1"/>
  <c r="V148" i="29" s="1"/>
  <c r="AH149" i="29"/>
  <c r="R140" i="30"/>
  <c r="V139" i="30"/>
  <c r="S141" i="30"/>
  <c r="T140" i="30"/>
  <c r="AV166" i="30"/>
  <c r="AI148" i="29"/>
  <c r="AJ148" i="29" s="1"/>
  <c r="AK148" i="29" s="1"/>
  <c r="AL148" i="29"/>
  <c r="AM148" i="29" s="1"/>
  <c r="AN148" i="29" s="1"/>
  <c r="AH148" i="29"/>
  <c r="AI157" i="29"/>
  <c r="AJ157" i="29" s="1"/>
  <c r="AK157" i="29" s="1"/>
  <c r="AL157" i="29"/>
  <c r="AM157" i="29" s="1"/>
  <c r="AN157" i="29" s="1"/>
  <c r="AH157" i="29"/>
  <c r="AI164" i="29"/>
  <c r="AJ164" i="29" s="1"/>
  <c r="AK164" i="29" s="1"/>
  <c r="AH164" i="29"/>
  <c r="AL164" i="29"/>
  <c r="AM164" i="29" s="1"/>
  <c r="AN164" i="29" s="1"/>
  <c r="BH71" i="29"/>
  <c r="AH155" i="29"/>
  <c r="AI155" i="29"/>
  <c r="AJ155" i="29" s="1"/>
  <c r="AK155" i="29" s="1"/>
  <c r="AL155" i="29"/>
  <c r="AM155" i="29" s="1"/>
  <c r="AN155" i="29" s="1"/>
  <c r="AI162" i="29"/>
  <c r="AJ162" i="29" s="1"/>
  <c r="AK162" i="29" s="1"/>
  <c r="AH162" i="29"/>
  <c r="AL162" i="29"/>
  <c r="AM162" i="29" s="1"/>
  <c r="AN162" i="29" s="1"/>
  <c r="AI166" i="29"/>
  <c r="AJ166" i="29" s="1"/>
  <c r="AK166" i="29" s="1"/>
  <c r="AH166" i="29"/>
  <c r="AL166" i="29"/>
  <c r="AM166" i="29" s="1"/>
  <c r="AN166" i="29" s="1"/>
  <c r="AI153" i="29"/>
  <c r="AJ153" i="29" s="1"/>
  <c r="AK153" i="29" s="1"/>
  <c r="AL153" i="29"/>
  <c r="AM153" i="29" s="1"/>
  <c r="AN153" i="29" s="1"/>
  <c r="AH153" i="29"/>
  <c r="AI151" i="29"/>
  <c r="AJ151" i="29" s="1"/>
  <c r="AK151" i="29" s="1"/>
  <c r="AL151" i="29"/>
  <c r="AM151" i="29" s="1"/>
  <c r="AN151" i="29" s="1"/>
  <c r="AH151" i="29"/>
  <c r="AI159" i="29"/>
  <c r="AJ159" i="29" s="1"/>
  <c r="AK159" i="29" s="1"/>
  <c r="AL159" i="29"/>
  <c r="AM159" i="29" s="1"/>
  <c r="AN159" i="29" s="1"/>
  <c r="AH159" i="29"/>
  <c r="AL163" i="29"/>
  <c r="AM163" i="29" s="1"/>
  <c r="AN163" i="29" s="1"/>
  <c r="AH163" i="29"/>
  <c r="AI163" i="29"/>
  <c r="AJ163" i="29" s="1"/>
  <c r="AK163" i="29" s="1"/>
  <c r="AL160" i="29"/>
  <c r="AM160" i="29" s="1"/>
  <c r="AN160" i="29" s="1"/>
  <c r="AH160" i="29"/>
  <c r="AI160" i="29"/>
  <c r="AJ160" i="29" s="1"/>
  <c r="AK160" i="29" s="1"/>
  <c r="AL161" i="29"/>
  <c r="AM161" i="29" s="1"/>
  <c r="AN161" i="29" s="1"/>
  <c r="AH161" i="29"/>
  <c r="AI161" i="29"/>
  <c r="AJ161" i="29" s="1"/>
  <c r="AK161" i="29" s="1"/>
  <c r="AH167" i="29"/>
  <c r="AL167" i="29"/>
  <c r="AM167" i="29" s="1"/>
  <c r="AN167" i="29" s="1"/>
  <c r="AI167" i="29"/>
  <c r="AJ167" i="29" s="1"/>
  <c r="AK167" i="29" s="1"/>
  <c r="O143" i="28"/>
  <c r="P143" i="28" s="1"/>
  <c r="Q143" i="28" s="1"/>
  <c r="AH148" i="28"/>
  <c r="AM148" i="28" s="1"/>
  <c r="AN148" i="28" s="1"/>
  <c r="J142" i="28"/>
  <c r="P142" i="28" s="1"/>
  <c r="Q142" i="28" s="1"/>
  <c r="S142" i="28" s="1"/>
  <c r="T142" i="28" s="1"/>
  <c r="R143" i="28" s="1"/>
  <c r="AH143" i="28"/>
  <c r="AM143" i="28" s="1"/>
  <c r="O147" i="28"/>
  <c r="P147" i="28" s="1"/>
  <c r="Q147" i="28" s="1"/>
  <c r="O152" i="28"/>
  <c r="P152" i="28" s="1"/>
  <c r="Q152" i="28" s="1"/>
  <c r="AH142" i="28"/>
  <c r="AI142" i="28" s="1"/>
  <c r="AH147" i="28"/>
  <c r="AM147" i="28" s="1"/>
  <c r="AN147" i="28" s="1"/>
  <c r="AO147" i="28" s="1"/>
  <c r="AH144" i="28"/>
  <c r="AM144" i="28" s="1"/>
  <c r="AN144" i="28" s="1"/>
  <c r="AO144" i="28" s="1"/>
  <c r="AH153" i="28"/>
  <c r="AM153" i="28" s="1"/>
  <c r="AN153" i="28" s="1"/>
  <c r="AO153" i="28" s="1"/>
  <c r="O145" i="28"/>
  <c r="P145" i="28" s="1"/>
  <c r="Q145" i="28" s="1"/>
  <c r="O149" i="28"/>
  <c r="P149" i="28" s="1"/>
  <c r="Q149" i="28" s="1"/>
  <c r="O151" i="28"/>
  <c r="P151" i="28" s="1"/>
  <c r="Q151" i="28" s="1"/>
  <c r="O144" i="28"/>
  <c r="P144" i="28" s="1"/>
  <c r="Q144" i="28" s="1"/>
  <c r="AH145" i="28"/>
  <c r="AM145" i="28" s="1"/>
  <c r="AN145" i="28" s="1"/>
  <c r="AO145" i="28" s="1"/>
  <c r="O148" i="28"/>
  <c r="P148" i="28" s="1"/>
  <c r="Q148" i="28" s="1"/>
  <c r="AH149" i="28"/>
  <c r="AM149" i="28" s="1"/>
  <c r="AN149" i="28" s="1"/>
  <c r="AO149" i="28" s="1"/>
  <c r="AH151" i="28"/>
  <c r="AM151" i="28" s="1"/>
  <c r="AN151" i="28" s="1"/>
  <c r="AO151" i="28" s="1"/>
  <c r="AH152" i="28"/>
  <c r="AM152" i="28" s="1"/>
  <c r="AN152" i="28" s="1"/>
  <c r="O153" i="28"/>
  <c r="P153" i="28" s="1"/>
  <c r="Q153" i="28" s="1"/>
  <c r="AI150" i="28"/>
  <c r="AJ150" i="28"/>
  <c r="AK150" i="28" s="1"/>
  <c r="AF181" i="28"/>
  <c r="AF182" i="28"/>
  <c r="AF152" i="28"/>
  <c r="AN150" i="28"/>
  <c r="AO150" i="28" s="1"/>
  <c r="AE153" i="28"/>
  <c r="AF153" i="28"/>
  <c r="C7" i="28"/>
  <c r="BQ27" i="28" s="1"/>
  <c r="AE180" i="28"/>
  <c r="AF180" i="28"/>
  <c r="AF178" i="28"/>
  <c r="O146" i="28"/>
  <c r="P146" i="28" s="1"/>
  <c r="Q146" i="28" s="1"/>
  <c r="AH146" i="28"/>
  <c r="AI146" i="28" s="1"/>
  <c r="O150" i="28"/>
  <c r="P150" i="28" s="1"/>
  <c r="Q150" i="28" s="1"/>
  <c r="AF179" i="28"/>
  <c r="AE179" i="28"/>
  <c r="AE181" i="28"/>
  <c r="AF183" i="28"/>
  <c r="BH213" i="28"/>
  <c r="J38" i="28" l="1"/>
  <c r="J56" i="28"/>
  <c r="L32" i="28"/>
  <c r="J50" i="28"/>
  <c r="L26" i="28"/>
  <c r="L44" i="28"/>
  <c r="J20" i="28"/>
  <c r="AR156" i="29"/>
  <c r="R176" i="31"/>
  <c r="V175" i="31"/>
  <c r="J48" i="28"/>
  <c r="L85" i="28"/>
  <c r="L42" i="28"/>
  <c r="AR161" i="29"/>
  <c r="AR164" i="29"/>
  <c r="AR159" i="29"/>
  <c r="T195" i="31"/>
  <c r="R196" i="31" s="1"/>
  <c r="O228" i="31"/>
  <c r="P228" i="31" s="1"/>
  <c r="Q228" i="31" s="1"/>
  <c r="AH225" i="31"/>
  <c r="AM225" i="31" s="1"/>
  <c r="AN225" i="31" s="1"/>
  <c r="AO225" i="31" s="1"/>
  <c r="AH227" i="31"/>
  <c r="AM227" i="31" s="1"/>
  <c r="AN227" i="31" s="1"/>
  <c r="AO227" i="31" s="1"/>
  <c r="R148" i="31"/>
  <c r="V147" i="31"/>
  <c r="AF145" i="31" s="1"/>
  <c r="AE146" i="31"/>
  <c r="AT146" i="31"/>
  <c r="AH232" i="31"/>
  <c r="AJ232" i="31" s="1"/>
  <c r="AK232" i="31" s="1"/>
  <c r="AL232" i="31" s="1"/>
  <c r="O231" i="31"/>
  <c r="P231" i="31" s="1"/>
  <c r="Q231" i="31" s="1"/>
  <c r="AH230" i="31"/>
  <c r="AM230" i="31" s="1"/>
  <c r="AN230" i="31" s="1"/>
  <c r="AO230" i="31" s="1"/>
  <c r="O227" i="31"/>
  <c r="P227" i="31" s="1"/>
  <c r="Q227" i="31" s="1"/>
  <c r="AH231" i="31"/>
  <c r="AJ231" i="31" s="1"/>
  <c r="AK231" i="31" s="1"/>
  <c r="AL231" i="31" s="1"/>
  <c r="AH229" i="31"/>
  <c r="AM229" i="31" s="1"/>
  <c r="AN229" i="31" s="1"/>
  <c r="AO229" i="31" s="1"/>
  <c r="O232" i="31"/>
  <c r="P232" i="31" s="1"/>
  <c r="Q232" i="31" s="1"/>
  <c r="O230" i="31"/>
  <c r="P230" i="31" s="1"/>
  <c r="Q230" i="31" s="1"/>
  <c r="AH228" i="31"/>
  <c r="AJ228" i="31" s="1"/>
  <c r="AK228" i="31" s="1"/>
  <c r="AL228" i="31" s="1"/>
  <c r="O229" i="31"/>
  <c r="P229" i="31" s="1"/>
  <c r="Q229" i="31" s="1"/>
  <c r="O226" i="31"/>
  <c r="P226" i="31" s="1"/>
  <c r="Q226" i="31" s="1"/>
  <c r="O225" i="31"/>
  <c r="P225" i="31" s="1"/>
  <c r="J225" i="31"/>
  <c r="K225" i="31" s="1"/>
  <c r="L225" i="31" s="1"/>
  <c r="M225" i="31" s="1"/>
  <c r="N225" i="31" s="1"/>
  <c r="AM226" i="31"/>
  <c r="AN226" i="31" s="1"/>
  <c r="AO226" i="31" s="1"/>
  <c r="AJ226" i="31"/>
  <c r="AK226" i="31" s="1"/>
  <c r="AL226" i="31" s="1"/>
  <c r="S197" i="31"/>
  <c r="T196" i="31"/>
  <c r="S177" i="31"/>
  <c r="T176" i="31"/>
  <c r="AT174" i="31"/>
  <c r="AE174" i="31"/>
  <c r="BG176" i="31"/>
  <c r="T148" i="31"/>
  <c r="R149" i="31" s="1"/>
  <c r="S149" i="31"/>
  <c r="R149" i="29"/>
  <c r="S149" i="29" s="1"/>
  <c r="T149" i="29" s="1"/>
  <c r="AR151" i="29"/>
  <c r="AR157" i="29"/>
  <c r="AR163" i="29"/>
  <c r="AR153" i="29"/>
  <c r="AR155" i="29"/>
  <c r="AR148" i="29"/>
  <c r="C8" i="29" s="1"/>
  <c r="AR167" i="29"/>
  <c r="R141" i="30"/>
  <c r="V140" i="30"/>
  <c r="AH139" i="30"/>
  <c r="S142" i="30"/>
  <c r="T141" i="30"/>
  <c r="AV167" i="30"/>
  <c r="AR160" i="29"/>
  <c r="AR162" i="29"/>
  <c r="BH72" i="29"/>
  <c r="AH169" i="29"/>
  <c r="AS148" i="29"/>
  <c r="AE148" i="29"/>
  <c r="AR166" i="29"/>
  <c r="AJ152" i="28"/>
  <c r="AK152" i="28" s="1"/>
  <c r="AL152" i="28" s="1"/>
  <c r="AT152" i="28" s="1"/>
  <c r="AI143" i="28"/>
  <c r="AN143" i="28" s="1"/>
  <c r="AO143" i="28" s="1"/>
  <c r="AI144" i="28"/>
  <c r="AJ148" i="28"/>
  <c r="AK148" i="28" s="1"/>
  <c r="AL148" i="28" s="1"/>
  <c r="AJ144" i="28"/>
  <c r="AK144" i="28" s="1"/>
  <c r="AL144" i="28" s="1"/>
  <c r="AS144" i="28" s="1"/>
  <c r="AJ145" i="28"/>
  <c r="AK145" i="28" s="1"/>
  <c r="AL145" i="28" s="1"/>
  <c r="AI147" i="28"/>
  <c r="AJ143" i="28"/>
  <c r="AK143" i="28" s="1"/>
  <c r="AL143" i="28" s="1"/>
  <c r="AJ147" i="28"/>
  <c r="AK147" i="28" s="1"/>
  <c r="AL147" i="28" s="1"/>
  <c r="AS147" i="28" s="1"/>
  <c r="AI151" i="28"/>
  <c r="AI145" i="28"/>
  <c r="AI149" i="28"/>
  <c r="AM142" i="28"/>
  <c r="AN142" i="28" s="1"/>
  <c r="AO142" i="28" s="1"/>
  <c r="AJ142" i="28"/>
  <c r="AK142" i="28" s="1"/>
  <c r="AL142" i="28" s="1"/>
  <c r="V142" i="28"/>
  <c r="AE142" i="28" s="1"/>
  <c r="AJ153" i="28"/>
  <c r="AK153" i="28" s="1"/>
  <c r="AL153" i="28" s="1"/>
  <c r="AT153" i="28" s="1"/>
  <c r="AJ151" i="28"/>
  <c r="AK151" i="28" s="1"/>
  <c r="AL151" i="28" s="1"/>
  <c r="AS151" i="28" s="1"/>
  <c r="AI148" i="28"/>
  <c r="AJ149" i="28"/>
  <c r="AK149" i="28" s="1"/>
  <c r="AL149" i="28" s="1"/>
  <c r="AS149" i="28" s="1"/>
  <c r="AO148" i="28"/>
  <c r="AL150" i="28"/>
  <c r="AO152" i="28"/>
  <c r="S143" i="28"/>
  <c r="S144" i="28" s="1"/>
  <c r="AM146" i="28"/>
  <c r="AN146" i="28" s="1"/>
  <c r="AJ146" i="28"/>
  <c r="AK146" i="28" s="1"/>
  <c r="BH214" i="28"/>
  <c r="BO58" i="28"/>
  <c r="C142" i="27"/>
  <c r="C17" i="27"/>
  <c r="C14" i="27"/>
  <c r="AE175" i="31" l="1"/>
  <c r="AT175" i="31"/>
  <c r="R177" i="31"/>
  <c r="V176" i="31"/>
  <c r="L43" i="28"/>
  <c r="J49" i="28"/>
  <c r="S150" i="29"/>
  <c r="T150" i="29" s="1"/>
  <c r="AF142" i="31"/>
  <c r="V195" i="31"/>
  <c r="AE195" i="31" s="1"/>
  <c r="AF141" i="31"/>
  <c r="AF143" i="31"/>
  <c r="AM232" i="31"/>
  <c r="AN232" i="31" s="1"/>
  <c r="AO232" i="31" s="1"/>
  <c r="AS232" i="31" s="1"/>
  <c r="AF139" i="31"/>
  <c r="AF140" i="31"/>
  <c r="AF146" i="31"/>
  <c r="AJ227" i="31"/>
  <c r="AK227" i="31" s="1"/>
  <c r="AL227" i="31" s="1"/>
  <c r="AS227" i="31" s="1"/>
  <c r="AJ225" i="31"/>
  <c r="AK225" i="31" s="1"/>
  <c r="AL225" i="31" s="1"/>
  <c r="AS225" i="31" s="1"/>
  <c r="AF144" i="31"/>
  <c r="T134" i="31"/>
  <c r="AJ230" i="31"/>
  <c r="AK230" i="31" s="1"/>
  <c r="AL230" i="31" s="1"/>
  <c r="AS230" i="31" s="1"/>
  <c r="AJ229" i="31"/>
  <c r="AK229" i="31" s="1"/>
  <c r="AL229" i="31" s="1"/>
  <c r="AS229" i="31" s="1"/>
  <c r="AE147" i="31"/>
  <c r="AD141" i="31" s="1"/>
  <c r="AF147" i="31"/>
  <c r="AT147" i="31"/>
  <c r="AF138" i="31"/>
  <c r="AM228" i="31"/>
  <c r="AN228" i="31" s="1"/>
  <c r="AO228" i="31" s="1"/>
  <c r="AS228" i="31" s="1"/>
  <c r="AM231" i="31"/>
  <c r="AN231" i="31" s="1"/>
  <c r="AO231" i="31" s="1"/>
  <c r="AS231" i="31" s="1"/>
  <c r="Q225" i="31"/>
  <c r="S225" i="31" s="1"/>
  <c r="T225" i="31" s="1"/>
  <c r="V225" i="31" s="1"/>
  <c r="AS226" i="31"/>
  <c r="S150" i="31"/>
  <c r="T149" i="31"/>
  <c r="R150" i="31" s="1"/>
  <c r="BG177" i="31"/>
  <c r="R197" i="31"/>
  <c r="V196" i="31"/>
  <c r="AE196" i="31" s="1"/>
  <c r="S198" i="31"/>
  <c r="T197" i="31"/>
  <c r="S178" i="31"/>
  <c r="T177" i="31"/>
  <c r="C179" i="29"/>
  <c r="AL174" i="29"/>
  <c r="AM174" i="29" s="1"/>
  <c r="AN174" i="29" s="1"/>
  <c r="AL171" i="29"/>
  <c r="AM171" i="29" s="1"/>
  <c r="AN171" i="29" s="1"/>
  <c r="AV168" i="30"/>
  <c r="S143" i="30"/>
  <c r="T142" i="30"/>
  <c r="AH140" i="30"/>
  <c r="R142" i="30"/>
  <c r="V141" i="30"/>
  <c r="X148" i="29"/>
  <c r="Z148" i="29" s="1"/>
  <c r="BH73" i="29"/>
  <c r="R150" i="29"/>
  <c r="V149" i="29"/>
  <c r="AS143" i="28"/>
  <c r="AS152" i="28"/>
  <c r="T143" i="28"/>
  <c r="R144" i="28" s="1"/>
  <c r="AS153" i="28"/>
  <c r="AS148" i="28"/>
  <c r="AI155" i="28"/>
  <c r="AS142" i="28"/>
  <c r="C8" i="28" s="1"/>
  <c r="AT142" i="28"/>
  <c r="AS150" i="28"/>
  <c r="AL146" i="28"/>
  <c r="AS145" i="28"/>
  <c r="AO146" i="28"/>
  <c r="BH215" i="28"/>
  <c r="S145" i="28"/>
  <c r="T144" i="28"/>
  <c r="J205" i="27"/>
  <c r="K205" i="27" s="1"/>
  <c r="L205" i="27" s="1"/>
  <c r="M205" i="27" s="1"/>
  <c r="N205" i="27" s="1"/>
  <c r="J204" i="27"/>
  <c r="K204" i="27" s="1"/>
  <c r="L204" i="27" s="1"/>
  <c r="M204" i="27" s="1"/>
  <c r="N204" i="27" s="1"/>
  <c r="J203" i="27"/>
  <c r="K203" i="27" s="1"/>
  <c r="L203" i="27" s="1"/>
  <c r="M203" i="27" s="1"/>
  <c r="N203" i="27" s="1"/>
  <c r="J202" i="27"/>
  <c r="K202" i="27" s="1"/>
  <c r="L202" i="27" s="1"/>
  <c r="M202" i="27" s="1"/>
  <c r="N202" i="27" s="1"/>
  <c r="J201" i="27"/>
  <c r="K201" i="27" s="1"/>
  <c r="L201" i="27" s="1"/>
  <c r="M201" i="27" s="1"/>
  <c r="N201" i="27" s="1"/>
  <c r="J200" i="27"/>
  <c r="K200" i="27" s="1"/>
  <c r="L200" i="27" s="1"/>
  <c r="M200" i="27" s="1"/>
  <c r="N200" i="27" s="1"/>
  <c r="J199" i="27"/>
  <c r="K199" i="27" s="1"/>
  <c r="L199" i="27" s="1"/>
  <c r="M199" i="27" s="1"/>
  <c r="N199" i="27" s="1"/>
  <c r="G198" i="27"/>
  <c r="AQ153" i="27"/>
  <c r="J153" i="27"/>
  <c r="K153" i="27" s="1"/>
  <c r="L153" i="27" s="1"/>
  <c r="M153" i="27" s="1"/>
  <c r="N153" i="27" s="1"/>
  <c r="AQ152" i="27"/>
  <c r="J152" i="27"/>
  <c r="K152" i="27" s="1"/>
  <c r="L152" i="27" s="1"/>
  <c r="M152" i="27" s="1"/>
  <c r="N152" i="27" s="1"/>
  <c r="AQ151" i="27"/>
  <c r="J151" i="27"/>
  <c r="K151" i="27" s="1"/>
  <c r="L151" i="27" s="1"/>
  <c r="M151" i="27" s="1"/>
  <c r="N151" i="27" s="1"/>
  <c r="AQ150" i="27"/>
  <c r="J150" i="27"/>
  <c r="K150" i="27" s="1"/>
  <c r="L150" i="27" s="1"/>
  <c r="M150" i="27" s="1"/>
  <c r="N150" i="27" s="1"/>
  <c r="AQ149" i="27"/>
  <c r="J149" i="27"/>
  <c r="K149" i="27" s="1"/>
  <c r="L149" i="27" s="1"/>
  <c r="M149" i="27" s="1"/>
  <c r="N149" i="27" s="1"/>
  <c r="AQ148" i="27"/>
  <c r="J148" i="27"/>
  <c r="K148" i="27" s="1"/>
  <c r="L148" i="27" s="1"/>
  <c r="M148" i="27" s="1"/>
  <c r="N148" i="27" s="1"/>
  <c r="AQ147" i="27"/>
  <c r="J147" i="27"/>
  <c r="K147" i="27" s="1"/>
  <c r="L147" i="27" s="1"/>
  <c r="M147" i="27" s="1"/>
  <c r="N147" i="27" s="1"/>
  <c r="AQ146" i="27"/>
  <c r="J146" i="27"/>
  <c r="K146" i="27" s="1"/>
  <c r="L146" i="27" s="1"/>
  <c r="M146" i="27" s="1"/>
  <c r="N146" i="27" s="1"/>
  <c r="AQ145" i="27"/>
  <c r="J145" i="27"/>
  <c r="K145" i="27" s="1"/>
  <c r="L145" i="27" s="1"/>
  <c r="M145" i="27" s="1"/>
  <c r="N145" i="27" s="1"/>
  <c r="AQ144" i="27"/>
  <c r="J144" i="27"/>
  <c r="K144" i="27" s="1"/>
  <c r="L144" i="27" s="1"/>
  <c r="M144" i="27" s="1"/>
  <c r="N144" i="27" s="1"/>
  <c r="AQ143" i="27"/>
  <c r="J143" i="27"/>
  <c r="K143" i="27" s="1"/>
  <c r="L143" i="27" s="1"/>
  <c r="M143" i="27" s="1"/>
  <c r="N143" i="27" s="1"/>
  <c r="AQ142" i="27"/>
  <c r="AQ185" i="27"/>
  <c r="AR185" i="27" s="1"/>
  <c r="J185" i="27"/>
  <c r="K185" i="27" s="1"/>
  <c r="L185" i="27" s="1"/>
  <c r="M185" i="27" s="1"/>
  <c r="N185" i="27" s="1"/>
  <c r="AQ184" i="27"/>
  <c r="AR184" i="27" s="1"/>
  <c r="J184" i="27"/>
  <c r="K184" i="27" s="1"/>
  <c r="L184" i="27" s="1"/>
  <c r="M184" i="27" s="1"/>
  <c r="N184" i="27" s="1"/>
  <c r="AQ183" i="27"/>
  <c r="AR183" i="27" s="1"/>
  <c r="J183" i="27"/>
  <c r="K183" i="27" s="1"/>
  <c r="L183" i="27" s="1"/>
  <c r="M183" i="27" s="1"/>
  <c r="N183" i="27" s="1"/>
  <c r="AQ182" i="27"/>
  <c r="AR182" i="27" s="1"/>
  <c r="J182" i="27"/>
  <c r="K182" i="27" s="1"/>
  <c r="L182" i="27" s="1"/>
  <c r="M182" i="27" s="1"/>
  <c r="N182" i="27" s="1"/>
  <c r="AQ181" i="27"/>
  <c r="AR181" i="27" s="1"/>
  <c r="J181" i="27"/>
  <c r="K181" i="27" s="1"/>
  <c r="L181" i="27" s="1"/>
  <c r="M181" i="27" s="1"/>
  <c r="N181" i="27" s="1"/>
  <c r="AQ180" i="27"/>
  <c r="AR180" i="27" s="1"/>
  <c r="J180" i="27"/>
  <c r="K180" i="27" s="1"/>
  <c r="L180" i="27" s="1"/>
  <c r="M180" i="27" s="1"/>
  <c r="N180" i="27" s="1"/>
  <c r="AQ179" i="27"/>
  <c r="AR179" i="27" s="1"/>
  <c r="J179" i="27"/>
  <c r="K179" i="27" s="1"/>
  <c r="L179" i="27" s="1"/>
  <c r="M179" i="27" s="1"/>
  <c r="N179" i="27" s="1"/>
  <c r="AQ178" i="27"/>
  <c r="AR178" i="27" s="1"/>
  <c r="J178" i="27"/>
  <c r="K178" i="27" s="1"/>
  <c r="L178" i="27" s="1"/>
  <c r="M178" i="27" s="1"/>
  <c r="N178" i="27" s="1"/>
  <c r="AQ177" i="27"/>
  <c r="AR177" i="27" s="1"/>
  <c r="J177" i="27"/>
  <c r="K177" i="27" s="1"/>
  <c r="L177" i="27" s="1"/>
  <c r="M177" i="27" s="1"/>
  <c r="N177" i="27" s="1"/>
  <c r="AQ176" i="27"/>
  <c r="AR176" i="27" s="1"/>
  <c r="J176" i="27"/>
  <c r="K176" i="27" s="1"/>
  <c r="L176" i="27" s="1"/>
  <c r="M176" i="27" s="1"/>
  <c r="N176" i="27" s="1"/>
  <c r="AQ175" i="27"/>
  <c r="AR175" i="27" s="1"/>
  <c r="J175" i="27"/>
  <c r="K175" i="27" s="1"/>
  <c r="L175" i="27" s="1"/>
  <c r="M175" i="27" s="1"/>
  <c r="N175" i="27" s="1"/>
  <c r="AQ174" i="27"/>
  <c r="AR174" i="27" s="1"/>
  <c r="J174" i="27"/>
  <c r="K174" i="27" s="1"/>
  <c r="L174" i="27" s="1"/>
  <c r="M174" i="27" s="1"/>
  <c r="N174" i="27" s="1"/>
  <c r="AQ173" i="27"/>
  <c r="AR173" i="27" s="1"/>
  <c r="J173" i="27"/>
  <c r="K173" i="27" s="1"/>
  <c r="L173" i="27" s="1"/>
  <c r="M173" i="27" s="1"/>
  <c r="N173" i="27" s="1"/>
  <c r="AQ172" i="27"/>
  <c r="AR172" i="27" s="1"/>
  <c r="J172" i="27"/>
  <c r="K172" i="27" s="1"/>
  <c r="L172" i="27" s="1"/>
  <c r="M172" i="27" s="1"/>
  <c r="N172" i="27" s="1"/>
  <c r="AQ171" i="27"/>
  <c r="AR171" i="27" s="1"/>
  <c r="J171" i="27"/>
  <c r="K171" i="27" s="1"/>
  <c r="L171" i="27" s="1"/>
  <c r="M171" i="27" s="1"/>
  <c r="N171" i="27" s="1"/>
  <c r="AQ170" i="27"/>
  <c r="AR170" i="27" s="1"/>
  <c r="J170" i="27"/>
  <c r="K170" i="27" s="1"/>
  <c r="L170" i="27" s="1"/>
  <c r="M170" i="27" s="1"/>
  <c r="N170" i="27" s="1"/>
  <c r="BG215" i="27"/>
  <c r="BG216" i="27" s="1"/>
  <c r="BG217" i="27" s="1"/>
  <c r="BG218" i="27" s="1"/>
  <c r="BG219" i="27" s="1"/>
  <c r="BG220" i="27" s="1"/>
  <c r="BG221" i="27" s="1"/>
  <c r="BG222" i="27" s="1"/>
  <c r="BG223" i="27" s="1"/>
  <c r="BG224" i="27" s="1"/>
  <c r="BG225" i="27" s="1"/>
  <c r="BG226" i="27" s="1"/>
  <c r="BG227" i="27" s="1"/>
  <c r="BG228" i="27" s="1"/>
  <c r="BG229" i="27" s="1"/>
  <c r="BG230" i="27" s="1"/>
  <c r="BG231" i="27" s="1"/>
  <c r="BG232" i="27" s="1"/>
  <c r="BG233" i="27" s="1"/>
  <c r="BG234" i="27" s="1"/>
  <c r="BG235" i="27" s="1"/>
  <c r="BG236" i="27" s="1"/>
  <c r="BG237" i="27" s="1"/>
  <c r="BG238" i="27" s="1"/>
  <c r="BG239" i="27" s="1"/>
  <c r="BG240" i="27" s="1"/>
  <c r="BG241" i="27" s="1"/>
  <c r="BG242" i="27" s="1"/>
  <c r="BG243" i="27" s="1"/>
  <c r="BG244" i="27" s="1"/>
  <c r="BG245" i="27" s="1"/>
  <c r="BG246" i="27" s="1"/>
  <c r="BG247" i="27" s="1"/>
  <c r="BG248" i="27" s="1"/>
  <c r="BG249" i="27" s="1"/>
  <c r="BG250" i="27" s="1"/>
  <c r="AQ169" i="27"/>
  <c r="AR169" i="27" s="1"/>
  <c r="J169" i="27"/>
  <c r="K169" i="27" s="1"/>
  <c r="L169" i="27" s="1"/>
  <c r="M169" i="27" s="1"/>
  <c r="N169" i="27" s="1"/>
  <c r="BH214" i="27"/>
  <c r="BH215" i="27" s="1"/>
  <c r="AQ168" i="27"/>
  <c r="AR168" i="27" s="1"/>
  <c r="J168" i="27"/>
  <c r="K168" i="27" s="1"/>
  <c r="L168" i="27" s="1"/>
  <c r="M168" i="27" s="1"/>
  <c r="N168" i="27" s="1"/>
  <c r="AQ167" i="27"/>
  <c r="AR167" i="27" s="1"/>
  <c r="J167" i="27"/>
  <c r="K167" i="27" s="1"/>
  <c r="L167" i="27" s="1"/>
  <c r="M167" i="27" s="1"/>
  <c r="N167" i="27" s="1"/>
  <c r="AQ166" i="27"/>
  <c r="AR166" i="27" s="1"/>
  <c r="G166" i="27"/>
  <c r="CQ57" i="27"/>
  <c r="CO57" i="27"/>
  <c r="CM57" i="27"/>
  <c r="CK57" i="27"/>
  <c r="CI57" i="27"/>
  <c r="CG57" i="27"/>
  <c r="CE57" i="27"/>
  <c r="CC57" i="27"/>
  <c r="CN124" i="27"/>
  <c r="CN126" i="27" s="1"/>
  <c r="CL124" i="27"/>
  <c r="CL126" i="27" s="1"/>
  <c r="CF124" i="27"/>
  <c r="CF126" i="27" s="1"/>
  <c r="CD124" i="27"/>
  <c r="CD126" i="27" s="1"/>
  <c r="C11" i="27"/>
  <c r="C7" i="27" s="1"/>
  <c r="D4" i="27"/>
  <c r="F2" i="27"/>
  <c r="D2" i="27"/>
  <c r="AC141" i="31" l="1"/>
  <c r="AG202" i="29"/>
  <c r="AI202" i="29" s="1"/>
  <c r="AJ202" i="29" s="1"/>
  <c r="AK202" i="29" s="1"/>
  <c r="O200" i="29"/>
  <c r="P200" i="29" s="1"/>
  <c r="Q200" i="29" s="1"/>
  <c r="O196" i="29"/>
  <c r="P196" i="29" s="1"/>
  <c r="Q196" i="29" s="1"/>
  <c r="O192" i="29"/>
  <c r="P192" i="29" s="1"/>
  <c r="Q192" i="29" s="1"/>
  <c r="O188" i="29"/>
  <c r="P188" i="29" s="1"/>
  <c r="Q188" i="29" s="1"/>
  <c r="O199" i="29"/>
  <c r="P199" i="29" s="1"/>
  <c r="Q199" i="29" s="1"/>
  <c r="O195" i="29"/>
  <c r="P195" i="29" s="1"/>
  <c r="Q195" i="29" s="1"/>
  <c r="O191" i="29"/>
  <c r="P191" i="29" s="1"/>
  <c r="Q191" i="29" s="1"/>
  <c r="O187" i="29"/>
  <c r="P187" i="29" s="1"/>
  <c r="Q187" i="29" s="1"/>
  <c r="O202" i="29"/>
  <c r="P202" i="29" s="1"/>
  <c r="Q202" i="29" s="1"/>
  <c r="O198" i="29"/>
  <c r="P198" i="29" s="1"/>
  <c r="Q198" i="29" s="1"/>
  <c r="O194" i="29"/>
  <c r="P194" i="29" s="1"/>
  <c r="Q194" i="29" s="1"/>
  <c r="O190" i="29"/>
  <c r="P190" i="29" s="1"/>
  <c r="Q190" i="29" s="1"/>
  <c r="O201" i="29"/>
  <c r="P201" i="29" s="1"/>
  <c r="Q201" i="29" s="1"/>
  <c r="O197" i="29"/>
  <c r="P197" i="29" s="1"/>
  <c r="Q197" i="29" s="1"/>
  <c r="O193" i="29"/>
  <c r="P193" i="29" s="1"/>
  <c r="Q193" i="29" s="1"/>
  <c r="O189" i="29"/>
  <c r="P189" i="29" s="1"/>
  <c r="Q189" i="29" s="1"/>
  <c r="S151" i="29"/>
  <c r="S152" i="29" s="1"/>
  <c r="R178" i="31"/>
  <c r="V177" i="31"/>
  <c r="AF176" i="31" s="1"/>
  <c r="AE176" i="31"/>
  <c r="AT176" i="31"/>
  <c r="H9" i="27"/>
  <c r="H11" i="27"/>
  <c r="AG195" i="29"/>
  <c r="AI195" i="29" s="1"/>
  <c r="AJ195" i="29" s="1"/>
  <c r="AK195" i="29" s="1"/>
  <c r="AG198" i="29"/>
  <c r="AL198" i="29" s="1"/>
  <c r="AM198" i="29" s="1"/>
  <c r="AN198" i="29" s="1"/>
  <c r="AG188" i="29"/>
  <c r="AI188" i="29" s="1"/>
  <c r="AJ188" i="29" s="1"/>
  <c r="AK188" i="29" s="1"/>
  <c r="AD147" i="31"/>
  <c r="AC147" i="31" s="1"/>
  <c r="AG200" i="29"/>
  <c r="AL200" i="29" s="1"/>
  <c r="AM200" i="29" s="1"/>
  <c r="AN200" i="29" s="1"/>
  <c r="AG193" i="29"/>
  <c r="AI193" i="29" s="1"/>
  <c r="AJ193" i="29" s="1"/>
  <c r="AK193" i="29" s="1"/>
  <c r="AG187" i="29"/>
  <c r="AI187" i="29" s="1"/>
  <c r="AJ187" i="29" s="1"/>
  <c r="AK187" i="29" s="1"/>
  <c r="AG201" i="29"/>
  <c r="AI201" i="29" s="1"/>
  <c r="AJ201" i="29" s="1"/>
  <c r="AK201" i="29" s="1"/>
  <c r="AG190" i="29"/>
  <c r="AI190" i="29" s="1"/>
  <c r="AJ190" i="29" s="1"/>
  <c r="AK190" i="29" s="1"/>
  <c r="AT195" i="31"/>
  <c r="R226" i="31"/>
  <c r="S226" i="31" s="1"/>
  <c r="S227" i="31" s="1"/>
  <c r="AD144" i="31"/>
  <c r="AC144" i="31" s="1"/>
  <c r="AD157" i="31"/>
  <c r="AC157" i="31" s="1"/>
  <c r="AD150" i="31"/>
  <c r="AC150" i="31" s="1"/>
  <c r="AD140" i="31"/>
  <c r="AC140" i="31" s="1"/>
  <c r="AD145" i="31"/>
  <c r="AC145" i="31" s="1"/>
  <c r="AD149" i="31"/>
  <c r="AC149" i="31" s="1"/>
  <c r="AD138" i="31"/>
  <c r="AC138" i="31" s="1"/>
  <c r="AD142" i="31"/>
  <c r="AC142" i="31" s="1"/>
  <c r="AD152" i="31"/>
  <c r="AC152" i="31" s="1"/>
  <c r="AD153" i="31"/>
  <c r="AC153" i="31" s="1"/>
  <c r="AD143" i="31"/>
  <c r="AC143" i="31" s="1"/>
  <c r="AD154" i="31"/>
  <c r="AC154" i="31" s="1"/>
  <c r="AD146" i="31"/>
  <c r="AC146" i="31" s="1"/>
  <c r="AD139" i="31"/>
  <c r="AC139" i="31" s="1"/>
  <c r="AD148" i="31"/>
  <c r="AC148" i="31" s="1"/>
  <c r="AD156" i="31"/>
  <c r="AC156" i="31" s="1"/>
  <c r="AD151" i="31"/>
  <c r="AC151" i="31" s="1"/>
  <c r="AD155" i="31"/>
  <c r="AC155" i="31" s="1"/>
  <c r="AT225" i="31"/>
  <c r="R198" i="31"/>
  <c r="V197" i="31"/>
  <c r="AE197" i="31" s="1"/>
  <c r="T178" i="31"/>
  <c r="R179" i="31" s="1"/>
  <c r="S179" i="31"/>
  <c r="BG178" i="31"/>
  <c r="S199" i="31"/>
  <c r="T198" i="31"/>
  <c r="AT196" i="31"/>
  <c r="S151" i="31"/>
  <c r="T150" i="31"/>
  <c r="R151" i="31" s="1"/>
  <c r="AO174" i="29"/>
  <c r="C164" i="28"/>
  <c r="O182" i="28" s="1"/>
  <c r="P182" i="28" s="1"/>
  <c r="Q182" i="28" s="1"/>
  <c r="AM160" i="28"/>
  <c r="AN160" i="28" s="1"/>
  <c r="AO160" i="28" s="1"/>
  <c r="AP160" i="28" s="1"/>
  <c r="AR153" i="27"/>
  <c r="AR149" i="27"/>
  <c r="AR145" i="27"/>
  <c r="AR151" i="27"/>
  <c r="AR152" i="27"/>
  <c r="AR148" i="27"/>
  <c r="AR144" i="27"/>
  <c r="AR143" i="27"/>
  <c r="AR150" i="27"/>
  <c r="AR146" i="27"/>
  <c r="AR142" i="27"/>
  <c r="AR147" i="27"/>
  <c r="AG196" i="29"/>
  <c r="AL196" i="29" s="1"/>
  <c r="AM196" i="29" s="1"/>
  <c r="AN196" i="29" s="1"/>
  <c r="AG199" i="29"/>
  <c r="AL199" i="29" s="1"/>
  <c r="AM199" i="29" s="1"/>
  <c r="AN199" i="29" s="1"/>
  <c r="AG197" i="29"/>
  <c r="AI197" i="29" s="1"/>
  <c r="AJ197" i="29" s="1"/>
  <c r="AK197" i="29" s="1"/>
  <c r="AG194" i="29"/>
  <c r="AL194" i="29" s="1"/>
  <c r="AM194" i="29" s="1"/>
  <c r="AN194" i="29" s="1"/>
  <c r="AG191" i="29"/>
  <c r="AL191" i="29" s="1"/>
  <c r="AM191" i="29" s="1"/>
  <c r="AN191" i="29" s="1"/>
  <c r="AG189" i="29"/>
  <c r="AI189" i="29" s="1"/>
  <c r="AJ189" i="29" s="1"/>
  <c r="AK189" i="29" s="1"/>
  <c r="AG192" i="29"/>
  <c r="AL192" i="29" s="1"/>
  <c r="AM192" i="29" s="1"/>
  <c r="AN192" i="29" s="1"/>
  <c r="AV169" i="30"/>
  <c r="AH141" i="30"/>
  <c r="R143" i="30"/>
  <c r="V142" i="30"/>
  <c r="S144" i="30"/>
  <c r="T143" i="30"/>
  <c r="BH74" i="29"/>
  <c r="AE149" i="29"/>
  <c r="AS149" i="29"/>
  <c r="R151" i="29"/>
  <c r="V150" i="29"/>
  <c r="O185" i="29"/>
  <c r="P185" i="29" s="1"/>
  <c r="Q185" i="29" s="1"/>
  <c r="O183" i="29"/>
  <c r="P183" i="29" s="1"/>
  <c r="Q183" i="29" s="1"/>
  <c r="O181" i="29"/>
  <c r="P181" i="29" s="1"/>
  <c r="Q181" i="29" s="1"/>
  <c r="O186" i="29"/>
  <c r="P186" i="29" s="1"/>
  <c r="Q186" i="29" s="1"/>
  <c r="O184" i="29"/>
  <c r="P184" i="29" s="1"/>
  <c r="Q184" i="29" s="1"/>
  <c r="O182" i="29"/>
  <c r="P182" i="29" s="1"/>
  <c r="Q182" i="29" s="1"/>
  <c r="O180" i="29"/>
  <c r="P180" i="29" s="1"/>
  <c r="Q180" i="29" s="1"/>
  <c r="AG179" i="29"/>
  <c r="O179" i="29"/>
  <c r="P179" i="29" s="1"/>
  <c r="J179" i="29"/>
  <c r="K179" i="29" s="1"/>
  <c r="L179" i="29" s="1"/>
  <c r="M179" i="29" s="1"/>
  <c r="N179" i="29" s="1"/>
  <c r="AG186" i="29"/>
  <c r="AG184" i="29"/>
  <c r="AG182" i="29"/>
  <c r="AG180" i="29"/>
  <c r="AG185" i="29"/>
  <c r="AG183" i="29"/>
  <c r="AG181" i="29"/>
  <c r="T151" i="29"/>
  <c r="V143" i="28"/>
  <c r="AT143" i="28" s="1"/>
  <c r="X142" i="28"/>
  <c r="Z142" i="28" s="1"/>
  <c r="AS146" i="28"/>
  <c r="R145" i="28"/>
  <c r="V144" i="28"/>
  <c r="S146" i="28"/>
  <c r="T145" i="28"/>
  <c r="BH216" i="28"/>
  <c r="BQ27" i="27"/>
  <c r="BH216" i="27"/>
  <c r="C14" i="26"/>
  <c r="BF192" i="26"/>
  <c r="BF193" i="26" s="1"/>
  <c r="BF194" i="26" s="1"/>
  <c r="BF195" i="26" s="1"/>
  <c r="BF196" i="26" s="1"/>
  <c r="BF197" i="26" s="1"/>
  <c r="BF198" i="26" s="1"/>
  <c r="BF199" i="26" s="1"/>
  <c r="BF200" i="26" s="1"/>
  <c r="BF201" i="26" s="1"/>
  <c r="BF202" i="26" s="1"/>
  <c r="BF203" i="26" s="1"/>
  <c r="BF204" i="26" s="1"/>
  <c r="BF205" i="26" s="1"/>
  <c r="BF206" i="26" s="1"/>
  <c r="BF207" i="26" s="1"/>
  <c r="BF208" i="26" s="1"/>
  <c r="BF209" i="26" s="1"/>
  <c r="BF210" i="26" s="1"/>
  <c r="BF211" i="26" s="1"/>
  <c r="BF212" i="26" s="1"/>
  <c r="BF213" i="26" s="1"/>
  <c r="BF214" i="26" s="1"/>
  <c r="BF215" i="26" s="1"/>
  <c r="BF216" i="26" s="1"/>
  <c r="BF217" i="26" s="1"/>
  <c r="BF218" i="26" s="1"/>
  <c r="BF219" i="26" s="1"/>
  <c r="BF220" i="26" s="1"/>
  <c r="BF221" i="26" s="1"/>
  <c r="BF222" i="26" s="1"/>
  <c r="BF223" i="26" s="1"/>
  <c r="BF224" i="26" s="1"/>
  <c r="BF225" i="26" s="1"/>
  <c r="BF226" i="26" s="1"/>
  <c r="BF227" i="26" s="1"/>
  <c r="BG191" i="26"/>
  <c r="BG192" i="26" s="1"/>
  <c r="AP164" i="26"/>
  <c r="J164" i="26"/>
  <c r="K164" i="26" s="1"/>
  <c r="L164" i="26" s="1"/>
  <c r="M164" i="26" s="1"/>
  <c r="N164" i="26" s="1"/>
  <c r="G164" i="26"/>
  <c r="AP163" i="26"/>
  <c r="J163" i="26"/>
  <c r="K163" i="26" s="1"/>
  <c r="L163" i="26" s="1"/>
  <c r="M163" i="26" s="1"/>
  <c r="N163" i="26" s="1"/>
  <c r="G163" i="26"/>
  <c r="AP162" i="26"/>
  <c r="J162" i="26"/>
  <c r="K162" i="26" s="1"/>
  <c r="L162" i="26" s="1"/>
  <c r="M162" i="26" s="1"/>
  <c r="N162" i="26" s="1"/>
  <c r="G162" i="26"/>
  <c r="AP161" i="26"/>
  <c r="J161" i="26"/>
  <c r="K161" i="26" s="1"/>
  <c r="L161" i="26" s="1"/>
  <c r="M161" i="26" s="1"/>
  <c r="N161" i="26" s="1"/>
  <c r="G161" i="26"/>
  <c r="AP160" i="26"/>
  <c r="J160" i="26"/>
  <c r="K160" i="26" s="1"/>
  <c r="L160" i="26" s="1"/>
  <c r="M160" i="26" s="1"/>
  <c r="N160" i="26" s="1"/>
  <c r="G160" i="26"/>
  <c r="AP159" i="26"/>
  <c r="G159" i="26"/>
  <c r="CQ81" i="26"/>
  <c r="CO81" i="26"/>
  <c r="CM81" i="26"/>
  <c r="CK81" i="26"/>
  <c r="CI81" i="26"/>
  <c r="CG81" i="26"/>
  <c r="CE81" i="26"/>
  <c r="CC81" i="26"/>
  <c r="AP149" i="26"/>
  <c r="J149" i="26"/>
  <c r="K149" i="26" s="1"/>
  <c r="L149" i="26" s="1"/>
  <c r="M149" i="26" s="1"/>
  <c r="N149" i="26" s="1"/>
  <c r="AP148" i="26"/>
  <c r="J148" i="26"/>
  <c r="K148" i="26" s="1"/>
  <c r="L148" i="26" s="1"/>
  <c r="M148" i="26" s="1"/>
  <c r="N148" i="26" s="1"/>
  <c r="AP147" i="26"/>
  <c r="J147" i="26"/>
  <c r="K147" i="26" s="1"/>
  <c r="L147" i="26" s="1"/>
  <c r="M147" i="26" s="1"/>
  <c r="N147" i="26" s="1"/>
  <c r="AP146" i="26"/>
  <c r="J146" i="26"/>
  <c r="K146" i="26" s="1"/>
  <c r="L146" i="26" s="1"/>
  <c r="M146" i="26" s="1"/>
  <c r="N146" i="26" s="1"/>
  <c r="AP145" i="26"/>
  <c r="J145" i="26"/>
  <c r="K145" i="26" s="1"/>
  <c r="L145" i="26" s="1"/>
  <c r="M145" i="26" s="1"/>
  <c r="N145" i="26" s="1"/>
  <c r="AP144" i="26"/>
  <c r="J144" i="26"/>
  <c r="K144" i="26" s="1"/>
  <c r="L144" i="26" s="1"/>
  <c r="M144" i="26" s="1"/>
  <c r="N144" i="26" s="1"/>
  <c r="AP143" i="26"/>
  <c r="J143" i="26"/>
  <c r="K143" i="26" s="1"/>
  <c r="L143" i="26" s="1"/>
  <c r="M143" i="26" s="1"/>
  <c r="N143" i="26" s="1"/>
  <c r="AP142" i="26"/>
  <c r="J142" i="26"/>
  <c r="K142" i="26" s="1"/>
  <c r="L142" i="26" s="1"/>
  <c r="M142" i="26" s="1"/>
  <c r="N142" i="26" s="1"/>
  <c r="AP141" i="26"/>
  <c r="J141" i="26"/>
  <c r="K141" i="26" s="1"/>
  <c r="L141" i="26" s="1"/>
  <c r="M141" i="26" s="1"/>
  <c r="N141" i="26" s="1"/>
  <c r="AP140" i="26"/>
  <c r="J140" i="26"/>
  <c r="K140" i="26" s="1"/>
  <c r="L140" i="26" s="1"/>
  <c r="M140" i="26" s="1"/>
  <c r="N140" i="26" s="1"/>
  <c r="AP139" i="26"/>
  <c r="J139" i="26"/>
  <c r="K139" i="26" s="1"/>
  <c r="L139" i="26" s="1"/>
  <c r="M139" i="26" s="1"/>
  <c r="N139" i="26" s="1"/>
  <c r="AP138" i="26"/>
  <c r="C138" i="26"/>
  <c r="AG149" i="26" s="1"/>
  <c r="AL149" i="26" s="1"/>
  <c r="AM149" i="26" s="1"/>
  <c r="AN149" i="26" s="1"/>
  <c r="CN125" i="26"/>
  <c r="CN127" i="26" s="1"/>
  <c r="CL125" i="26"/>
  <c r="CL127" i="26" s="1"/>
  <c r="CF125" i="26"/>
  <c r="CF127" i="26" s="1"/>
  <c r="CD125" i="26"/>
  <c r="CD127" i="26" s="1"/>
  <c r="C11" i="26"/>
  <c r="D4" i="26"/>
  <c r="F2" i="26"/>
  <c r="D2" i="26"/>
  <c r="C14" i="25"/>
  <c r="AP150" i="25"/>
  <c r="BF182" i="25"/>
  <c r="BF183" i="25" s="1"/>
  <c r="BF184" i="25" s="1"/>
  <c r="BF185" i="25" s="1"/>
  <c r="BF186" i="25" s="1"/>
  <c r="BF187" i="25" s="1"/>
  <c r="BF188" i="25" s="1"/>
  <c r="BF189" i="25" s="1"/>
  <c r="BF190" i="25" s="1"/>
  <c r="BF191" i="25" s="1"/>
  <c r="BF192" i="25" s="1"/>
  <c r="BF193" i="25" s="1"/>
  <c r="BF194" i="25" s="1"/>
  <c r="BF195" i="25" s="1"/>
  <c r="BF196" i="25" s="1"/>
  <c r="BF197" i="25" s="1"/>
  <c r="BF198" i="25" s="1"/>
  <c r="BF199" i="25" s="1"/>
  <c r="BF200" i="25" s="1"/>
  <c r="BF201" i="25" s="1"/>
  <c r="BF202" i="25" s="1"/>
  <c r="BF203" i="25" s="1"/>
  <c r="BF204" i="25" s="1"/>
  <c r="BF205" i="25" s="1"/>
  <c r="BF206" i="25" s="1"/>
  <c r="BF207" i="25" s="1"/>
  <c r="BF208" i="25" s="1"/>
  <c r="BF209" i="25" s="1"/>
  <c r="BF210" i="25" s="1"/>
  <c r="BF211" i="25" s="1"/>
  <c r="BF212" i="25" s="1"/>
  <c r="BF213" i="25" s="1"/>
  <c r="BF214" i="25" s="1"/>
  <c r="BF215" i="25" s="1"/>
  <c r="BF216" i="25" s="1"/>
  <c r="BF217" i="25" s="1"/>
  <c r="BG181" i="25"/>
  <c r="BG182" i="25" s="1"/>
  <c r="BG183" i="25" s="1"/>
  <c r="BG184" i="25" s="1"/>
  <c r="BG185" i="25" s="1"/>
  <c r="BG186" i="25" s="1"/>
  <c r="AP176" i="25"/>
  <c r="J176" i="25"/>
  <c r="K176" i="25" s="1"/>
  <c r="L176" i="25" s="1"/>
  <c r="M176" i="25" s="1"/>
  <c r="N176" i="25" s="1"/>
  <c r="G176" i="25"/>
  <c r="AP175" i="25"/>
  <c r="J175" i="25"/>
  <c r="K175" i="25" s="1"/>
  <c r="L175" i="25" s="1"/>
  <c r="M175" i="25" s="1"/>
  <c r="N175" i="25" s="1"/>
  <c r="G175" i="25"/>
  <c r="AP174" i="25"/>
  <c r="J174" i="25"/>
  <c r="K174" i="25" s="1"/>
  <c r="L174" i="25" s="1"/>
  <c r="M174" i="25" s="1"/>
  <c r="N174" i="25" s="1"/>
  <c r="G174" i="25"/>
  <c r="AP173" i="25"/>
  <c r="J173" i="25"/>
  <c r="K173" i="25" s="1"/>
  <c r="L173" i="25" s="1"/>
  <c r="M173" i="25" s="1"/>
  <c r="N173" i="25" s="1"/>
  <c r="G173" i="25"/>
  <c r="AP172" i="25"/>
  <c r="J172" i="25"/>
  <c r="K172" i="25" s="1"/>
  <c r="L172" i="25" s="1"/>
  <c r="M172" i="25" s="1"/>
  <c r="N172" i="25" s="1"/>
  <c r="G172" i="25"/>
  <c r="AP171" i="25"/>
  <c r="G171" i="25"/>
  <c r="CQ55" i="25"/>
  <c r="CO55" i="25"/>
  <c r="CM55" i="25"/>
  <c r="CK55" i="25"/>
  <c r="CI55" i="25"/>
  <c r="CG55" i="25"/>
  <c r="CE55" i="25"/>
  <c r="CC55" i="25"/>
  <c r="AP161" i="25"/>
  <c r="J161" i="25"/>
  <c r="K161" i="25" s="1"/>
  <c r="L161" i="25" s="1"/>
  <c r="M161" i="25" s="1"/>
  <c r="N161" i="25" s="1"/>
  <c r="AP160" i="25"/>
  <c r="J160" i="25"/>
  <c r="K160" i="25" s="1"/>
  <c r="L160" i="25" s="1"/>
  <c r="M160" i="25" s="1"/>
  <c r="N160" i="25" s="1"/>
  <c r="AP159" i="25"/>
  <c r="J159" i="25"/>
  <c r="K159" i="25" s="1"/>
  <c r="L159" i="25" s="1"/>
  <c r="M159" i="25" s="1"/>
  <c r="N159" i="25" s="1"/>
  <c r="AP158" i="25"/>
  <c r="J158" i="25"/>
  <c r="K158" i="25" s="1"/>
  <c r="L158" i="25" s="1"/>
  <c r="M158" i="25" s="1"/>
  <c r="N158" i="25" s="1"/>
  <c r="AP157" i="25"/>
  <c r="J157" i="25"/>
  <c r="K157" i="25" s="1"/>
  <c r="L157" i="25" s="1"/>
  <c r="M157" i="25" s="1"/>
  <c r="N157" i="25" s="1"/>
  <c r="AP156" i="25"/>
  <c r="J156" i="25"/>
  <c r="K156" i="25" s="1"/>
  <c r="L156" i="25" s="1"/>
  <c r="M156" i="25" s="1"/>
  <c r="N156" i="25" s="1"/>
  <c r="AP155" i="25"/>
  <c r="J155" i="25"/>
  <c r="K155" i="25" s="1"/>
  <c r="L155" i="25" s="1"/>
  <c r="M155" i="25" s="1"/>
  <c r="N155" i="25" s="1"/>
  <c r="AP154" i="25"/>
  <c r="J154" i="25"/>
  <c r="K154" i="25" s="1"/>
  <c r="L154" i="25" s="1"/>
  <c r="M154" i="25" s="1"/>
  <c r="N154" i="25" s="1"/>
  <c r="AP153" i="25"/>
  <c r="J153" i="25"/>
  <c r="K153" i="25" s="1"/>
  <c r="L153" i="25" s="1"/>
  <c r="M153" i="25" s="1"/>
  <c r="N153" i="25" s="1"/>
  <c r="AP152" i="25"/>
  <c r="J152" i="25"/>
  <c r="K152" i="25" s="1"/>
  <c r="L152" i="25" s="1"/>
  <c r="M152" i="25" s="1"/>
  <c r="N152" i="25" s="1"/>
  <c r="AP151" i="25"/>
  <c r="J151" i="25"/>
  <c r="K151" i="25" s="1"/>
  <c r="L151" i="25" s="1"/>
  <c r="M151" i="25" s="1"/>
  <c r="N151" i="25" s="1"/>
  <c r="C150" i="25"/>
  <c r="O156" i="25" s="1"/>
  <c r="P156" i="25" s="1"/>
  <c r="CN138" i="25"/>
  <c r="CN140" i="25" s="1"/>
  <c r="CL138" i="25"/>
  <c r="CL140" i="25" s="1"/>
  <c r="CF138" i="25"/>
  <c r="CF140" i="25" s="1"/>
  <c r="CD138" i="25"/>
  <c r="CD140" i="25" s="1"/>
  <c r="C11" i="25"/>
  <c r="D4" i="25"/>
  <c r="F2" i="25"/>
  <c r="D2" i="25"/>
  <c r="BH109" i="20"/>
  <c r="BH110" i="20" s="1"/>
  <c r="BG110" i="20"/>
  <c r="BG111" i="20" s="1"/>
  <c r="BG112" i="20" s="1"/>
  <c r="BG113" i="20" s="1"/>
  <c r="BG114" i="20" s="1"/>
  <c r="BG115" i="20" s="1"/>
  <c r="BG116" i="20" s="1"/>
  <c r="BG117" i="20" s="1"/>
  <c r="BG118" i="20" s="1"/>
  <c r="BG119" i="20" s="1"/>
  <c r="BG120" i="20" s="1"/>
  <c r="BG121" i="20" s="1"/>
  <c r="BG122" i="20" s="1"/>
  <c r="BG123" i="20" s="1"/>
  <c r="CR55" i="20"/>
  <c r="CP55" i="20"/>
  <c r="CN55" i="20"/>
  <c r="CL55" i="20"/>
  <c r="CJ55" i="20"/>
  <c r="CH55" i="20"/>
  <c r="CF55" i="20"/>
  <c r="CD55" i="20"/>
  <c r="CO99" i="20"/>
  <c r="CO101" i="20" s="1"/>
  <c r="CM99" i="20"/>
  <c r="CM101" i="20" s="1"/>
  <c r="CG99" i="20"/>
  <c r="CG101" i="20" s="1"/>
  <c r="CE99" i="20"/>
  <c r="CE101" i="20" s="1"/>
  <c r="C7" i="20"/>
  <c r="BR25" i="20" s="1"/>
  <c r="D4" i="20"/>
  <c r="F2" i="20"/>
  <c r="D2" i="20"/>
  <c r="AP166" i="20"/>
  <c r="AP165" i="20"/>
  <c r="AP164" i="20"/>
  <c r="AP163" i="20"/>
  <c r="AP162" i="20"/>
  <c r="AP161" i="20"/>
  <c r="AP160" i="20"/>
  <c r="AP159" i="20"/>
  <c r="AP158" i="20"/>
  <c r="AP157" i="20"/>
  <c r="AP156" i="20"/>
  <c r="AP155" i="20"/>
  <c r="AP154" i="20"/>
  <c r="AP153" i="20"/>
  <c r="AP152" i="20"/>
  <c r="AP151" i="20"/>
  <c r="AP150" i="20"/>
  <c r="AP149" i="20"/>
  <c r="AP148" i="20"/>
  <c r="AP147" i="20"/>
  <c r="AQ182" i="24"/>
  <c r="AQ181" i="24"/>
  <c r="AQ180" i="24"/>
  <c r="AQ179" i="24"/>
  <c r="AQ178" i="24"/>
  <c r="AQ177" i="24"/>
  <c r="AQ176" i="24"/>
  <c r="AQ175" i="24"/>
  <c r="AQ174" i="24"/>
  <c r="AQ173" i="24"/>
  <c r="AQ172" i="24"/>
  <c r="AQ171" i="24"/>
  <c r="C11" i="24"/>
  <c r="AQ214" i="24"/>
  <c r="V214" i="24"/>
  <c r="J214" i="24"/>
  <c r="K214" i="24" s="1"/>
  <c r="L214" i="24" s="1"/>
  <c r="M214" i="24" s="1"/>
  <c r="N214" i="24" s="1"/>
  <c r="AQ213" i="24"/>
  <c r="V213" i="24"/>
  <c r="J213" i="24"/>
  <c r="K213" i="24" s="1"/>
  <c r="L213" i="24" s="1"/>
  <c r="M213" i="24" s="1"/>
  <c r="N213" i="24" s="1"/>
  <c r="AQ212" i="24"/>
  <c r="V212" i="24"/>
  <c r="J212" i="24"/>
  <c r="K212" i="24" s="1"/>
  <c r="L212" i="24" s="1"/>
  <c r="M212" i="24" s="1"/>
  <c r="N212" i="24" s="1"/>
  <c r="AQ211" i="24"/>
  <c r="V211" i="24"/>
  <c r="J211" i="24"/>
  <c r="K211" i="24" s="1"/>
  <c r="L211" i="24" s="1"/>
  <c r="M211" i="24" s="1"/>
  <c r="N211" i="24" s="1"/>
  <c r="AQ210" i="24"/>
  <c r="V210" i="24"/>
  <c r="J210" i="24"/>
  <c r="K210" i="24" s="1"/>
  <c r="L210" i="24" s="1"/>
  <c r="M210" i="24" s="1"/>
  <c r="N210" i="24" s="1"/>
  <c r="AQ209" i="24"/>
  <c r="V209" i="24"/>
  <c r="J209" i="24"/>
  <c r="K209" i="24" s="1"/>
  <c r="L209" i="24" s="1"/>
  <c r="M209" i="24" s="1"/>
  <c r="N209" i="24" s="1"/>
  <c r="AQ208" i="24"/>
  <c r="V208" i="24"/>
  <c r="J208" i="24"/>
  <c r="K208" i="24" s="1"/>
  <c r="L208" i="24" s="1"/>
  <c r="M208" i="24" s="1"/>
  <c r="N208" i="24" s="1"/>
  <c r="AQ207" i="24"/>
  <c r="V207" i="24"/>
  <c r="J207" i="24"/>
  <c r="K207" i="24" s="1"/>
  <c r="L207" i="24" s="1"/>
  <c r="M207" i="24" s="1"/>
  <c r="N207" i="24" s="1"/>
  <c r="AQ206" i="24"/>
  <c r="J206" i="24"/>
  <c r="K206" i="24" s="1"/>
  <c r="L206" i="24" s="1"/>
  <c r="M206" i="24" s="1"/>
  <c r="N206" i="24" s="1"/>
  <c r="AQ205" i="24"/>
  <c r="J205" i="24"/>
  <c r="K205" i="24" s="1"/>
  <c r="L205" i="24" s="1"/>
  <c r="M205" i="24" s="1"/>
  <c r="N205" i="24" s="1"/>
  <c r="AQ204" i="24"/>
  <c r="J204" i="24"/>
  <c r="K204" i="24" s="1"/>
  <c r="L204" i="24" s="1"/>
  <c r="M204" i="24" s="1"/>
  <c r="N204" i="24" s="1"/>
  <c r="AQ203" i="24"/>
  <c r="J203" i="24"/>
  <c r="K203" i="24" s="1"/>
  <c r="L203" i="24" s="1"/>
  <c r="M203" i="24" s="1"/>
  <c r="N203" i="24" s="1"/>
  <c r="AQ202" i="24"/>
  <c r="J202" i="24"/>
  <c r="K202" i="24" s="1"/>
  <c r="L202" i="24" s="1"/>
  <c r="M202" i="24" s="1"/>
  <c r="N202" i="24" s="1"/>
  <c r="AQ201" i="24"/>
  <c r="J201" i="24"/>
  <c r="K201" i="24" s="1"/>
  <c r="L201" i="24" s="1"/>
  <c r="M201" i="24" s="1"/>
  <c r="N201" i="24" s="1"/>
  <c r="AQ200" i="24"/>
  <c r="J200" i="24"/>
  <c r="K200" i="24" s="1"/>
  <c r="L200" i="24" s="1"/>
  <c r="M200" i="24" s="1"/>
  <c r="N200" i="24" s="1"/>
  <c r="AQ199" i="24"/>
  <c r="J199" i="24"/>
  <c r="K199" i="24" s="1"/>
  <c r="L199" i="24" s="1"/>
  <c r="M199" i="24" s="1"/>
  <c r="N199" i="24" s="1"/>
  <c r="AQ198" i="24"/>
  <c r="J198" i="24"/>
  <c r="K198" i="24" s="1"/>
  <c r="L198" i="24" s="1"/>
  <c r="M198" i="24" s="1"/>
  <c r="N198" i="24" s="1"/>
  <c r="AQ197" i="24"/>
  <c r="J197" i="24"/>
  <c r="K197" i="24" s="1"/>
  <c r="L197" i="24" s="1"/>
  <c r="M197" i="24" s="1"/>
  <c r="N197" i="24" s="1"/>
  <c r="AQ196" i="24"/>
  <c r="J196" i="24"/>
  <c r="K196" i="24" s="1"/>
  <c r="L196" i="24" s="1"/>
  <c r="M196" i="24" s="1"/>
  <c r="N196" i="24" s="1"/>
  <c r="AQ195" i="24"/>
  <c r="G195" i="24"/>
  <c r="F195" i="24" s="1"/>
  <c r="AI182" i="24"/>
  <c r="AM182" i="24" s="1"/>
  <c r="V182" i="24"/>
  <c r="AF182" i="24" s="1"/>
  <c r="J182" i="24"/>
  <c r="K182" i="24" s="1"/>
  <c r="L182" i="24" s="1"/>
  <c r="M182" i="24" s="1"/>
  <c r="N182" i="24" s="1"/>
  <c r="AI181" i="24"/>
  <c r="AJ181" i="24" s="1"/>
  <c r="V181" i="24"/>
  <c r="AE181" i="24" s="1"/>
  <c r="J181" i="24"/>
  <c r="K181" i="24" s="1"/>
  <c r="L181" i="24" s="1"/>
  <c r="M181" i="24" s="1"/>
  <c r="N181" i="24" s="1"/>
  <c r="J180" i="24"/>
  <c r="K180" i="24" s="1"/>
  <c r="L180" i="24" s="1"/>
  <c r="M180" i="24" s="1"/>
  <c r="N180" i="24" s="1"/>
  <c r="J179" i="24"/>
  <c r="K179" i="24" s="1"/>
  <c r="L179" i="24" s="1"/>
  <c r="M179" i="24" s="1"/>
  <c r="N179" i="24" s="1"/>
  <c r="J178" i="24"/>
  <c r="K178" i="24" s="1"/>
  <c r="L178" i="24" s="1"/>
  <c r="M178" i="24" s="1"/>
  <c r="N178" i="24" s="1"/>
  <c r="J177" i="24"/>
  <c r="K177" i="24" s="1"/>
  <c r="L177" i="24" s="1"/>
  <c r="M177" i="24" s="1"/>
  <c r="N177" i="24" s="1"/>
  <c r="J176" i="24"/>
  <c r="K176" i="24" s="1"/>
  <c r="L176" i="24" s="1"/>
  <c r="M176" i="24" s="1"/>
  <c r="N176" i="24" s="1"/>
  <c r="J175" i="24"/>
  <c r="K175" i="24" s="1"/>
  <c r="L175" i="24" s="1"/>
  <c r="M175" i="24" s="1"/>
  <c r="N175" i="24" s="1"/>
  <c r="J174" i="24"/>
  <c r="K174" i="24" s="1"/>
  <c r="L174" i="24" s="1"/>
  <c r="M174" i="24" s="1"/>
  <c r="N174" i="24" s="1"/>
  <c r="J173" i="24"/>
  <c r="K173" i="24" s="1"/>
  <c r="L173" i="24" s="1"/>
  <c r="M173" i="24" s="1"/>
  <c r="N173" i="24" s="1"/>
  <c r="J172" i="24"/>
  <c r="K172" i="24" s="1"/>
  <c r="L172" i="24" s="1"/>
  <c r="M172" i="24" s="1"/>
  <c r="N172" i="24" s="1"/>
  <c r="AQ158" i="24"/>
  <c r="AI158" i="24"/>
  <c r="V158" i="24"/>
  <c r="AF158" i="24" s="1"/>
  <c r="AQ157" i="24"/>
  <c r="AI157" i="24"/>
  <c r="V157" i="24"/>
  <c r="AE157" i="24" s="1"/>
  <c r="AQ156" i="24"/>
  <c r="AI156" i="24"/>
  <c r="V156" i="24"/>
  <c r="AQ155" i="24"/>
  <c r="AI155" i="24"/>
  <c r="V155" i="24"/>
  <c r="AQ154" i="24"/>
  <c r="AI154" i="24"/>
  <c r="V154" i="24"/>
  <c r="AQ153" i="24"/>
  <c r="AI153" i="24"/>
  <c r="V153" i="24"/>
  <c r="AE153" i="24" s="1"/>
  <c r="AQ152" i="24"/>
  <c r="AI152" i="24"/>
  <c r="V152" i="24"/>
  <c r="AQ151" i="24"/>
  <c r="AI151" i="24"/>
  <c r="V151" i="24"/>
  <c r="AQ150" i="24"/>
  <c r="AQ149" i="24"/>
  <c r="AQ148" i="24"/>
  <c r="AQ147" i="24"/>
  <c r="AQ146" i="24"/>
  <c r="AQ145" i="24"/>
  <c r="AQ144" i="24"/>
  <c r="AQ143" i="24"/>
  <c r="BF165" i="24"/>
  <c r="BF166" i="24" s="1"/>
  <c r="BF167" i="24" s="1"/>
  <c r="BF168" i="24" s="1"/>
  <c r="BF169" i="24" s="1"/>
  <c r="BF170" i="24" s="1"/>
  <c r="BF171" i="24" s="1"/>
  <c r="BF172" i="24" s="1"/>
  <c r="BF173" i="24" s="1"/>
  <c r="BF174" i="24" s="1"/>
  <c r="BF175" i="24" s="1"/>
  <c r="BF176" i="24" s="1"/>
  <c r="BF177" i="24" s="1"/>
  <c r="BF178" i="24" s="1"/>
  <c r="BF179" i="24" s="1"/>
  <c r="BF180" i="24" s="1"/>
  <c r="BF181" i="24" s="1"/>
  <c r="BF182" i="24" s="1"/>
  <c r="BF183" i="24" s="1"/>
  <c r="BF184" i="24" s="1"/>
  <c r="BF185" i="24" s="1"/>
  <c r="BF189" i="24" s="1"/>
  <c r="BF190" i="24" s="1"/>
  <c r="BF191" i="24" s="1"/>
  <c r="BF192" i="24" s="1"/>
  <c r="BF193" i="24" s="1"/>
  <c r="BF194" i="24" s="1"/>
  <c r="BF195" i="24" s="1"/>
  <c r="BF196" i="24" s="1"/>
  <c r="BF197" i="24" s="1"/>
  <c r="BF198" i="24" s="1"/>
  <c r="BF199" i="24" s="1"/>
  <c r="BF200" i="24" s="1"/>
  <c r="BF201" i="24" s="1"/>
  <c r="BF202" i="24" s="1"/>
  <c r="BF203" i="24" s="1"/>
  <c r="AQ142" i="24"/>
  <c r="BG164" i="24"/>
  <c r="BG165" i="24" s="1"/>
  <c r="AQ141" i="24"/>
  <c r="AQ140" i="24"/>
  <c r="AQ139" i="24"/>
  <c r="C139" i="24"/>
  <c r="CQ55" i="24"/>
  <c r="CO55" i="24"/>
  <c r="CM55" i="24"/>
  <c r="CK55" i="24"/>
  <c r="CI55" i="24"/>
  <c r="CG55" i="24"/>
  <c r="CE55" i="24"/>
  <c r="CC55" i="24"/>
  <c r="CN99" i="24"/>
  <c r="CN131" i="24" s="1"/>
  <c r="CL99" i="24"/>
  <c r="CL131" i="24" s="1"/>
  <c r="CF99" i="24"/>
  <c r="CF131" i="24" s="1"/>
  <c r="CD99" i="24"/>
  <c r="CD131" i="24" s="1"/>
  <c r="C14" i="24"/>
  <c r="D4" i="24"/>
  <c r="F2" i="24"/>
  <c r="D2" i="24"/>
  <c r="AP164" i="23"/>
  <c r="AP163" i="23"/>
  <c r="AP162" i="23"/>
  <c r="AP161" i="23"/>
  <c r="AP160" i="23"/>
  <c r="AP159" i="23"/>
  <c r="AP158" i="23"/>
  <c r="AP157" i="23"/>
  <c r="AP156" i="23"/>
  <c r="AP155" i="23"/>
  <c r="AP154" i="23"/>
  <c r="AP153" i="23"/>
  <c r="C11" i="23"/>
  <c r="AP196" i="23"/>
  <c r="J196" i="23"/>
  <c r="K196" i="23" s="1"/>
  <c r="L196" i="23" s="1"/>
  <c r="M196" i="23" s="1"/>
  <c r="N196" i="23" s="1"/>
  <c r="G196" i="23"/>
  <c r="AP195" i="23"/>
  <c r="J195" i="23"/>
  <c r="K195" i="23" s="1"/>
  <c r="L195" i="23" s="1"/>
  <c r="M195" i="23" s="1"/>
  <c r="N195" i="23" s="1"/>
  <c r="G195" i="23"/>
  <c r="AP194" i="23"/>
  <c r="J194" i="23"/>
  <c r="K194" i="23" s="1"/>
  <c r="L194" i="23" s="1"/>
  <c r="M194" i="23" s="1"/>
  <c r="N194" i="23" s="1"/>
  <c r="G194" i="23"/>
  <c r="AP193" i="23"/>
  <c r="J193" i="23"/>
  <c r="K193" i="23" s="1"/>
  <c r="L193" i="23" s="1"/>
  <c r="M193" i="23" s="1"/>
  <c r="N193" i="23" s="1"/>
  <c r="G193" i="23"/>
  <c r="AP192" i="23"/>
  <c r="J192" i="23"/>
  <c r="K192" i="23" s="1"/>
  <c r="L192" i="23" s="1"/>
  <c r="M192" i="23" s="1"/>
  <c r="N192" i="23" s="1"/>
  <c r="G192" i="23"/>
  <c r="AP191" i="23"/>
  <c r="J191" i="23"/>
  <c r="K191" i="23" s="1"/>
  <c r="L191" i="23" s="1"/>
  <c r="M191" i="23" s="1"/>
  <c r="N191" i="23" s="1"/>
  <c r="G191" i="23"/>
  <c r="AP190" i="23"/>
  <c r="J190" i="23"/>
  <c r="K190" i="23" s="1"/>
  <c r="L190" i="23" s="1"/>
  <c r="M190" i="23" s="1"/>
  <c r="N190" i="23" s="1"/>
  <c r="G190" i="23"/>
  <c r="AP189" i="23"/>
  <c r="J189" i="23"/>
  <c r="K189" i="23" s="1"/>
  <c r="L189" i="23" s="1"/>
  <c r="M189" i="23" s="1"/>
  <c r="N189" i="23" s="1"/>
  <c r="G189" i="23"/>
  <c r="AP188" i="23"/>
  <c r="J188" i="23"/>
  <c r="K188" i="23" s="1"/>
  <c r="L188" i="23" s="1"/>
  <c r="M188" i="23" s="1"/>
  <c r="N188" i="23" s="1"/>
  <c r="G188" i="23"/>
  <c r="AP187" i="23"/>
  <c r="J187" i="23"/>
  <c r="K187" i="23" s="1"/>
  <c r="L187" i="23" s="1"/>
  <c r="M187" i="23" s="1"/>
  <c r="N187" i="23" s="1"/>
  <c r="G187" i="23"/>
  <c r="AP186" i="23"/>
  <c r="J186" i="23"/>
  <c r="K186" i="23" s="1"/>
  <c r="L186" i="23" s="1"/>
  <c r="M186" i="23" s="1"/>
  <c r="N186" i="23" s="1"/>
  <c r="G186" i="23"/>
  <c r="AP185" i="23"/>
  <c r="J185" i="23"/>
  <c r="K185" i="23" s="1"/>
  <c r="L185" i="23" s="1"/>
  <c r="M185" i="23" s="1"/>
  <c r="N185" i="23" s="1"/>
  <c r="G185" i="23"/>
  <c r="BF184" i="23"/>
  <c r="BF185" i="23" s="1"/>
  <c r="BF186" i="23" s="1"/>
  <c r="BF187" i="23" s="1"/>
  <c r="BF188" i="23" s="1"/>
  <c r="BF189" i="23" s="1"/>
  <c r="BF190" i="23" s="1"/>
  <c r="BF191" i="23" s="1"/>
  <c r="BF192" i="23" s="1"/>
  <c r="BF193" i="23" s="1"/>
  <c r="BF194" i="23" s="1"/>
  <c r="BF195" i="23" s="1"/>
  <c r="BF196" i="23" s="1"/>
  <c r="BF197" i="23" s="1"/>
  <c r="BF198" i="23" s="1"/>
  <c r="BF199" i="23" s="1"/>
  <c r="BF200" i="23" s="1"/>
  <c r="BF201" i="23" s="1"/>
  <c r="BF202" i="23" s="1"/>
  <c r="BF203" i="23" s="1"/>
  <c r="BF204" i="23" s="1"/>
  <c r="BF205" i="23" s="1"/>
  <c r="BF206" i="23" s="1"/>
  <c r="BF207" i="23" s="1"/>
  <c r="BF208" i="23" s="1"/>
  <c r="BF209" i="23" s="1"/>
  <c r="BF210" i="23" s="1"/>
  <c r="BF211" i="23" s="1"/>
  <c r="BF212" i="23" s="1"/>
  <c r="BF213" i="23" s="1"/>
  <c r="BF214" i="23" s="1"/>
  <c r="BF215" i="23" s="1"/>
  <c r="BF216" i="23" s="1"/>
  <c r="BF217" i="23" s="1"/>
  <c r="BF218" i="23" s="1"/>
  <c r="BF219" i="23" s="1"/>
  <c r="AP184" i="23"/>
  <c r="J184" i="23"/>
  <c r="K184" i="23" s="1"/>
  <c r="L184" i="23" s="1"/>
  <c r="M184" i="23" s="1"/>
  <c r="N184" i="23" s="1"/>
  <c r="G184" i="23"/>
  <c r="BG183" i="23"/>
  <c r="BG184" i="23" s="1"/>
  <c r="BG185" i="23" s="1"/>
  <c r="BG186" i="23" s="1"/>
  <c r="AP183" i="23"/>
  <c r="J183" i="23"/>
  <c r="K183" i="23" s="1"/>
  <c r="L183" i="23" s="1"/>
  <c r="M183" i="23" s="1"/>
  <c r="N183" i="23" s="1"/>
  <c r="G183" i="23"/>
  <c r="AP182" i="23"/>
  <c r="J182" i="23"/>
  <c r="K182" i="23" s="1"/>
  <c r="L182" i="23" s="1"/>
  <c r="M182" i="23" s="1"/>
  <c r="N182" i="23" s="1"/>
  <c r="G182" i="23"/>
  <c r="AP181" i="23"/>
  <c r="J181" i="23"/>
  <c r="K181" i="23" s="1"/>
  <c r="L181" i="23" s="1"/>
  <c r="M181" i="23" s="1"/>
  <c r="N181" i="23" s="1"/>
  <c r="G181" i="23"/>
  <c r="AP180" i="23"/>
  <c r="J180" i="23"/>
  <c r="K180" i="23" s="1"/>
  <c r="L180" i="23" s="1"/>
  <c r="M180" i="23" s="1"/>
  <c r="N180" i="23" s="1"/>
  <c r="G180" i="23"/>
  <c r="AP179" i="23"/>
  <c r="J179" i="23"/>
  <c r="K179" i="23" s="1"/>
  <c r="L179" i="23" s="1"/>
  <c r="M179" i="23" s="1"/>
  <c r="N179" i="23" s="1"/>
  <c r="G179" i="23"/>
  <c r="AP178" i="23"/>
  <c r="J178" i="23"/>
  <c r="K178" i="23" s="1"/>
  <c r="L178" i="23" s="1"/>
  <c r="M178" i="23" s="1"/>
  <c r="N178" i="23" s="1"/>
  <c r="G178" i="23"/>
  <c r="AP177" i="23"/>
  <c r="G177" i="23"/>
  <c r="CQ55" i="23"/>
  <c r="CO55" i="23"/>
  <c r="CM55" i="23"/>
  <c r="CK55" i="23"/>
  <c r="CI55" i="23"/>
  <c r="CG55" i="23"/>
  <c r="CE55" i="23"/>
  <c r="CC55" i="23"/>
  <c r="J164" i="23"/>
  <c r="K164" i="23" s="1"/>
  <c r="L164" i="23" s="1"/>
  <c r="M164" i="23" s="1"/>
  <c r="N164" i="23" s="1"/>
  <c r="J163" i="23"/>
  <c r="K163" i="23" s="1"/>
  <c r="L163" i="23" s="1"/>
  <c r="M163" i="23" s="1"/>
  <c r="N163" i="23" s="1"/>
  <c r="J162" i="23"/>
  <c r="K162" i="23" s="1"/>
  <c r="L162" i="23" s="1"/>
  <c r="M162" i="23" s="1"/>
  <c r="N162" i="23" s="1"/>
  <c r="J161" i="23"/>
  <c r="K161" i="23" s="1"/>
  <c r="L161" i="23" s="1"/>
  <c r="M161" i="23" s="1"/>
  <c r="N161" i="23" s="1"/>
  <c r="J160" i="23"/>
  <c r="K160" i="23" s="1"/>
  <c r="L160" i="23" s="1"/>
  <c r="M160" i="23" s="1"/>
  <c r="N160" i="23" s="1"/>
  <c r="J159" i="23"/>
  <c r="K159" i="23" s="1"/>
  <c r="L159" i="23" s="1"/>
  <c r="M159" i="23" s="1"/>
  <c r="N159" i="23" s="1"/>
  <c r="J158" i="23"/>
  <c r="K158" i="23" s="1"/>
  <c r="L158" i="23" s="1"/>
  <c r="M158" i="23" s="1"/>
  <c r="N158" i="23" s="1"/>
  <c r="J157" i="23"/>
  <c r="K157" i="23" s="1"/>
  <c r="L157" i="23" s="1"/>
  <c r="M157" i="23" s="1"/>
  <c r="N157" i="23" s="1"/>
  <c r="J156" i="23"/>
  <c r="K156" i="23" s="1"/>
  <c r="L156" i="23" s="1"/>
  <c r="M156" i="23" s="1"/>
  <c r="N156" i="23" s="1"/>
  <c r="J155" i="23"/>
  <c r="K155" i="23" s="1"/>
  <c r="L155" i="23" s="1"/>
  <c r="M155" i="23" s="1"/>
  <c r="N155" i="23" s="1"/>
  <c r="J154" i="23"/>
  <c r="K154" i="23" s="1"/>
  <c r="L154" i="23" s="1"/>
  <c r="M154" i="23" s="1"/>
  <c r="N154" i="23" s="1"/>
  <c r="C153" i="23"/>
  <c r="O164" i="23" s="1"/>
  <c r="P164" i="23" s="1"/>
  <c r="CN98" i="23"/>
  <c r="CN100" i="23" s="1"/>
  <c r="CL98" i="23"/>
  <c r="CL100" i="23" s="1"/>
  <c r="CF98" i="23"/>
  <c r="CF100" i="23" s="1"/>
  <c r="CD98" i="23"/>
  <c r="CD100" i="23" s="1"/>
  <c r="C14" i="23"/>
  <c r="D4" i="23"/>
  <c r="F2" i="23"/>
  <c r="D2" i="23"/>
  <c r="C7" i="22"/>
  <c r="BC49" i="22" s="1"/>
  <c r="AF153" i="22"/>
  <c r="AF152" i="22"/>
  <c r="AF151" i="22"/>
  <c r="AF150" i="22"/>
  <c r="AF149" i="22"/>
  <c r="AF148" i="22"/>
  <c r="AF147" i="22"/>
  <c r="AF146" i="22"/>
  <c r="AF145" i="22"/>
  <c r="AF144" i="22"/>
  <c r="AF143" i="22"/>
  <c r="AF142" i="22"/>
  <c r="AR162" i="22"/>
  <c r="AR163" i="22" s="1"/>
  <c r="AR164" i="22" s="1"/>
  <c r="AR165" i="22" s="1"/>
  <c r="AR166" i="22" s="1"/>
  <c r="AR167" i="22" s="1"/>
  <c r="AR168" i="22" s="1"/>
  <c r="AR169" i="22" s="1"/>
  <c r="AR170" i="22" s="1"/>
  <c r="AR171" i="22" s="1"/>
  <c r="AR172" i="22" s="1"/>
  <c r="AR173" i="22" s="1"/>
  <c r="AR174" i="22" s="1"/>
  <c r="AR175" i="22" s="1"/>
  <c r="AR176" i="22" s="1"/>
  <c r="AR177" i="22" s="1"/>
  <c r="AR178" i="22" s="1"/>
  <c r="AR179" i="22" s="1"/>
  <c r="AR180" i="22" s="1"/>
  <c r="AR181" i="22" s="1"/>
  <c r="AR182" i="22" s="1"/>
  <c r="AR183" i="22" s="1"/>
  <c r="AR184" i="22" s="1"/>
  <c r="AR185" i="22" s="1"/>
  <c r="AR186" i="22" s="1"/>
  <c r="AR187" i="22" s="1"/>
  <c r="AR188" i="22" s="1"/>
  <c r="AR189" i="22" s="1"/>
  <c r="AR190" i="22" s="1"/>
  <c r="AR191" i="22" s="1"/>
  <c r="AR192" i="22" s="1"/>
  <c r="AR193" i="22" s="1"/>
  <c r="AR194" i="22" s="1"/>
  <c r="AR195" i="22" s="1"/>
  <c r="AR196" i="22" s="1"/>
  <c r="AR197" i="22" s="1"/>
  <c r="AS161" i="22"/>
  <c r="AS162" i="22" s="1"/>
  <c r="I153" i="22"/>
  <c r="J153" i="22" s="1"/>
  <c r="K153" i="22" s="1"/>
  <c r="L153" i="22" s="1"/>
  <c r="M153" i="22" s="1"/>
  <c r="I152" i="22"/>
  <c r="J152" i="22" s="1"/>
  <c r="K152" i="22" s="1"/>
  <c r="L152" i="22" s="1"/>
  <c r="M152" i="22" s="1"/>
  <c r="I151" i="22"/>
  <c r="J151" i="22" s="1"/>
  <c r="K151" i="22" s="1"/>
  <c r="L151" i="22" s="1"/>
  <c r="M151" i="22" s="1"/>
  <c r="I150" i="22"/>
  <c r="J150" i="22" s="1"/>
  <c r="K150" i="22" s="1"/>
  <c r="L150" i="22" s="1"/>
  <c r="M150" i="22" s="1"/>
  <c r="I149" i="22"/>
  <c r="J149" i="22" s="1"/>
  <c r="K149" i="22" s="1"/>
  <c r="L149" i="22" s="1"/>
  <c r="M149" i="22" s="1"/>
  <c r="I148" i="22"/>
  <c r="J148" i="22" s="1"/>
  <c r="K148" i="22" s="1"/>
  <c r="L148" i="22" s="1"/>
  <c r="M148" i="22" s="1"/>
  <c r="CC79" i="22"/>
  <c r="CA79" i="22"/>
  <c r="BY79" i="22"/>
  <c r="BW79" i="22"/>
  <c r="BU79" i="22"/>
  <c r="BS79" i="22"/>
  <c r="BQ79" i="22"/>
  <c r="BO79" i="22"/>
  <c r="I147" i="22"/>
  <c r="J147" i="22" s="1"/>
  <c r="K147" i="22" s="1"/>
  <c r="L147" i="22" s="1"/>
  <c r="M147" i="22" s="1"/>
  <c r="I146" i="22"/>
  <c r="J146" i="22" s="1"/>
  <c r="K146" i="22" s="1"/>
  <c r="L146" i="22" s="1"/>
  <c r="M146" i="22" s="1"/>
  <c r="I145" i="22"/>
  <c r="J145" i="22" s="1"/>
  <c r="K145" i="22" s="1"/>
  <c r="L145" i="22" s="1"/>
  <c r="M145" i="22" s="1"/>
  <c r="I144" i="22"/>
  <c r="J144" i="22" s="1"/>
  <c r="K144" i="22" s="1"/>
  <c r="L144" i="22" s="1"/>
  <c r="M144" i="22" s="1"/>
  <c r="I143" i="22"/>
  <c r="J143" i="22" s="1"/>
  <c r="K143" i="22" s="1"/>
  <c r="L143" i="22" s="1"/>
  <c r="M143" i="22" s="1"/>
  <c r="C142" i="22"/>
  <c r="Y149" i="22" s="1"/>
  <c r="AC149" i="22" s="1"/>
  <c r="BZ122" i="22"/>
  <c r="BZ124" i="22" s="1"/>
  <c r="BX122" i="22"/>
  <c r="BX124" i="22" s="1"/>
  <c r="BR122" i="22"/>
  <c r="BR124" i="22" s="1"/>
  <c r="BP122" i="22"/>
  <c r="BP124" i="22" s="1"/>
  <c r="C13" i="22"/>
  <c r="D4" i="22"/>
  <c r="F2" i="22"/>
  <c r="D2" i="22"/>
  <c r="AL202" i="29" l="1"/>
  <c r="AM202" i="29" s="1"/>
  <c r="AN202" i="29" s="1"/>
  <c r="AR202" i="29" s="1"/>
  <c r="J50" i="27"/>
  <c r="L26" i="27"/>
  <c r="L44" i="27"/>
  <c r="J56" i="27"/>
  <c r="L32" i="27"/>
  <c r="J20" i="27"/>
  <c r="J38" i="27"/>
  <c r="J56" i="20"/>
  <c r="L32" i="20"/>
  <c r="J38" i="20"/>
  <c r="J50" i="20"/>
  <c r="L26" i="20"/>
  <c r="L44" i="20"/>
  <c r="J20" i="20"/>
  <c r="L44" i="22"/>
  <c r="L26" i="22"/>
  <c r="J50" i="22"/>
  <c r="L32" i="22"/>
  <c r="J38" i="22"/>
  <c r="J56" i="22"/>
  <c r="J20" i="22"/>
  <c r="AL188" i="29"/>
  <c r="AM188" i="29" s="1"/>
  <c r="AN188" i="29" s="1"/>
  <c r="AR188" i="29" s="1"/>
  <c r="AH174" i="28"/>
  <c r="AM174" i="28" s="1"/>
  <c r="AN174" i="28" s="1"/>
  <c r="AO174" i="28" s="1"/>
  <c r="AL195" i="29"/>
  <c r="AM195" i="29" s="1"/>
  <c r="AN195" i="29" s="1"/>
  <c r="AR195" i="29" s="1"/>
  <c r="AE177" i="31"/>
  <c r="AD174" i="31" s="1"/>
  <c r="AC174" i="31" s="1"/>
  <c r="AF177" i="31"/>
  <c r="AT177" i="31"/>
  <c r="AF172" i="31"/>
  <c r="AF171" i="31"/>
  <c r="AF170" i="31"/>
  <c r="AF173" i="31"/>
  <c r="AF174" i="31"/>
  <c r="AF175" i="31"/>
  <c r="AQ140" i="26"/>
  <c r="AQ144" i="26"/>
  <c r="L85" i="27"/>
  <c r="L42" i="27"/>
  <c r="J48" i="27"/>
  <c r="AI198" i="29"/>
  <c r="AJ198" i="29" s="1"/>
  <c r="AK198" i="29" s="1"/>
  <c r="AR198" i="29" s="1"/>
  <c r="AL190" i="29"/>
  <c r="AM190" i="29" s="1"/>
  <c r="AN190" i="29" s="1"/>
  <c r="AR190" i="29" s="1"/>
  <c r="L85" i="20"/>
  <c r="L42" i="20"/>
  <c r="J48" i="20"/>
  <c r="H11" i="20"/>
  <c r="H9" i="20"/>
  <c r="BG124" i="20"/>
  <c r="BG125" i="20" s="1"/>
  <c r="H11" i="25"/>
  <c r="H9" i="25"/>
  <c r="H11" i="26"/>
  <c r="H9" i="26"/>
  <c r="H11" i="24"/>
  <c r="H9" i="24"/>
  <c r="AH149" i="24"/>
  <c r="AI149" i="24" s="1"/>
  <c r="O144" i="24"/>
  <c r="P144" i="24" s="1"/>
  <c r="Q144" i="24" s="1"/>
  <c r="O145" i="24"/>
  <c r="P145" i="24" s="1"/>
  <c r="Q145" i="24" s="1"/>
  <c r="O147" i="24"/>
  <c r="P147" i="24" s="1"/>
  <c r="Q147" i="24" s="1"/>
  <c r="O154" i="24"/>
  <c r="P154" i="24" s="1"/>
  <c r="Q154" i="24" s="1"/>
  <c r="J139" i="24"/>
  <c r="K139" i="24" s="1"/>
  <c r="L139" i="24" s="1"/>
  <c r="M139" i="24" s="1"/>
  <c r="N139" i="24" s="1"/>
  <c r="O140" i="24"/>
  <c r="P140" i="24" s="1"/>
  <c r="Q140" i="24" s="1"/>
  <c r="O141" i="24"/>
  <c r="P141" i="24" s="1"/>
  <c r="Q141" i="24" s="1"/>
  <c r="O143" i="24"/>
  <c r="P143" i="24" s="1"/>
  <c r="Q143" i="24" s="1"/>
  <c r="O150" i="24"/>
  <c r="P150" i="24" s="1"/>
  <c r="Q150" i="24" s="1"/>
  <c r="O156" i="24"/>
  <c r="P156" i="24" s="1"/>
  <c r="Q156" i="24" s="1"/>
  <c r="O157" i="24"/>
  <c r="P157" i="24" s="1"/>
  <c r="Q157" i="24" s="1"/>
  <c r="O158" i="24"/>
  <c r="P158" i="24" s="1"/>
  <c r="Q158" i="24" s="1"/>
  <c r="O139" i="24"/>
  <c r="P139" i="24" s="1"/>
  <c r="O146" i="24"/>
  <c r="P146" i="24" s="1"/>
  <c r="Q146" i="24" s="1"/>
  <c r="O152" i="24"/>
  <c r="P152" i="24" s="1"/>
  <c r="Q152" i="24" s="1"/>
  <c r="O153" i="24"/>
  <c r="P153" i="24" s="1"/>
  <c r="Q153" i="24" s="1"/>
  <c r="O155" i="24"/>
  <c r="P155" i="24" s="1"/>
  <c r="Q155" i="24" s="1"/>
  <c r="O142" i="24"/>
  <c r="P142" i="24" s="1"/>
  <c r="Q142" i="24" s="1"/>
  <c r="O148" i="24"/>
  <c r="P148" i="24" s="1"/>
  <c r="Q148" i="24" s="1"/>
  <c r="O149" i="24"/>
  <c r="P149" i="24" s="1"/>
  <c r="Q149" i="24" s="1"/>
  <c r="O151" i="24"/>
  <c r="P151" i="24" s="1"/>
  <c r="Q151" i="24" s="1"/>
  <c r="H11" i="23"/>
  <c r="H9" i="23"/>
  <c r="AQ154" i="25"/>
  <c r="L85" i="22"/>
  <c r="L42" i="22"/>
  <c r="J48" i="22"/>
  <c r="AQ158" i="25"/>
  <c r="H9" i="22"/>
  <c r="H11" i="22"/>
  <c r="AQ152" i="25"/>
  <c r="AQ156" i="25"/>
  <c r="AQ160" i="25"/>
  <c r="AH177" i="28"/>
  <c r="AM177" i="28" s="1"/>
  <c r="AN177" i="28" s="1"/>
  <c r="AO177" i="28" s="1"/>
  <c r="O175" i="28"/>
  <c r="P175" i="28" s="1"/>
  <c r="Q175" i="28" s="1"/>
  <c r="AH183" i="28"/>
  <c r="AJ183" i="28" s="1"/>
  <c r="AK183" i="28" s="1"/>
  <c r="AL183" i="28" s="1"/>
  <c r="O165" i="28"/>
  <c r="P165" i="28" s="1"/>
  <c r="Q165" i="28" s="1"/>
  <c r="O176" i="28"/>
  <c r="P176" i="28" s="1"/>
  <c r="Q176" i="28" s="1"/>
  <c r="AH180" i="28"/>
  <c r="AJ180" i="28" s="1"/>
  <c r="AK180" i="28" s="1"/>
  <c r="AL180" i="28" s="1"/>
  <c r="AH172" i="28"/>
  <c r="AI172" i="28" s="1"/>
  <c r="AH167" i="28"/>
  <c r="AM167" i="28" s="1"/>
  <c r="AN167" i="28" s="1"/>
  <c r="AO167" i="28" s="1"/>
  <c r="AQ138" i="26"/>
  <c r="O179" i="28"/>
  <c r="P179" i="28" s="1"/>
  <c r="Q179" i="28" s="1"/>
  <c r="O172" i="28"/>
  <c r="P172" i="28" s="1"/>
  <c r="Q172" i="28" s="1"/>
  <c r="O174" i="28"/>
  <c r="P174" i="28" s="1"/>
  <c r="Q174" i="28" s="1"/>
  <c r="O171" i="28"/>
  <c r="P171" i="28" s="1"/>
  <c r="Q171" i="28" s="1"/>
  <c r="AH149" i="26"/>
  <c r="AH178" i="28"/>
  <c r="AM178" i="28" s="1"/>
  <c r="AN178" i="28" s="1"/>
  <c r="AO178" i="28" s="1"/>
  <c r="AT178" i="28" s="1"/>
  <c r="O168" i="28"/>
  <c r="P168" i="28" s="1"/>
  <c r="Q168" i="28" s="1"/>
  <c r="AH168" i="28"/>
  <c r="AJ168" i="28" s="1"/>
  <c r="AK168" i="28" s="1"/>
  <c r="AL168" i="28" s="1"/>
  <c r="AH176" i="28"/>
  <c r="AM176" i="28" s="1"/>
  <c r="AN176" i="28" s="1"/>
  <c r="AO176" i="28" s="1"/>
  <c r="AH181" i="28"/>
  <c r="AM181" i="28" s="1"/>
  <c r="AN181" i="28" s="1"/>
  <c r="AO181" i="28" s="1"/>
  <c r="AT181" i="28" s="1"/>
  <c r="O180" i="28"/>
  <c r="P180" i="28" s="1"/>
  <c r="Q180" i="28" s="1"/>
  <c r="AH175" i="28"/>
  <c r="AI175" i="28" s="1"/>
  <c r="AH164" i="28"/>
  <c r="AM164" i="28" s="1"/>
  <c r="AN164" i="28" s="1"/>
  <c r="AO164" i="28" s="1"/>
  <c r="O167" i="28"/>
  <c r="P167" i="28" s="1"/>
  <c r="Q167" i="28" s="1"/>
  <c r="O178" i="28"/>
  <c r="P178" i="28" s="1"/>
  <c r="Q178" i="28" s="1"/>
  <c r="O177" i="28"/>
  <c r="P177" i="28" s="1"/>
  <c r="Q177" i="28" s="1"/>
  <c r="O173" i="28"/>
  <c r="P173" i="28" s="1"/>
  <c r="Q173" i="28" s="1"/>
  <c r="AH173" i="28"/>
  <c r="AM173" i="28" s="1"/>
  <c r="AN173" i="28" s="1"/>
  <c r="AO173" i="28" s="1"/>
  <c r="O169" i="28"/>
  <c r="P169" i="28" s="1"/>
  <c r="Q169" i="28" s="1"/>
  <c r="AH182" i="28"/>
  <c r="AJ182" i="28" s="1"/>
  <c r="AK182" i="28" s="1"/>
  <c r="AL182" i="28" s="1"/>
  <c r="AH165" i="28"/>
  <c r="O181" i="28"/>
  <c r="P181" i="28" s="1"/>
  <c r="Q181" i="28" s="1"/>
  <c r="AH166" i="28"/>
  <c r="AJ166" i="28" s="1"/>
  <c r="AK166" i="28" s="1"/>
  <c r="AL166" i="28" s="1"/>
  <c r="AL193" i="29"/>
  <c r="AM193" i="29" s="1"/>
  <c r="AN193" i="29" s="1"/>
  <c r="AI200" i="29"/>
  <c r="AJ200" i="29" s="1"/>
  <c r="AK200" i="29" s="1"/>
  <c r="AR200" i="29" s="1"/>
  <c r="AR171" i="24"/>
  <c r="AR179" i="24"/>
  <c r="AR142" i="24"/>
  <c r="T226" i="31"/>
  <c r="R227" i="31" s="1"/>
  <c r="AR175" i="24"/>
  <c r="AQ142" i="26"/>
  <c r="AQ146" i="26"/>
  <c r="AE143" i="28"/>
  <c r="AI199" i="29"/>
  <c r="AJ199" i="29" s="1"/>
  <c r="AK199" i="29" s="1"/>
  <c r="AR199" i="29" s="1"/>
  <c r="AL201" i="29"/>
  <c r="AM201" i="29" s="1"/>
  <c r="AN201" i="29" s="1"/>
  <c r="AR201" i="29" s="1"/>
  <c r="AL189" i="29"/>
  <c r="AM189" i="29" s="1"/>
  <c r="AN189" i="29" s="1"/>
  <c r="AL187" i="29"/>
  <c r="AM187" i="29" s="1"/>
  <c r="AN187" i="29" s="1"/>
  <c r="AR187" i="29" s="1"/>
  <c r="AI192" i="29"/>
  <c r="AJ192" i="29" s="1"/>
  <c r="AK192" i="29" s="1"/>
  <c r="AR192" i="29" s="1"/>
  <c r="AL197" i="29"/>
  <c r="AM197" i="29" s="1"/>
  <c r="AN197" i="29" s="1"/>
  <c r="AC137" i="31"/>
  <c r="AA138" i="31" s="1"/>
  <c r="S228" i="31"/>
  <c r="T227" i="31"/>
  <c r="AT197" i="31"/>
  <c r="BG179" i="31"/>
  <c r="T151" i="31"/>
  <c r="R152" i="31" s="1"/>
  <c r="S152" i="31"/>
  <c r="R199" i="31"/>
  <c r="V198" i="31"/>
  <c r="AE198" i="31" s="1"/>
  <c r="S180" i="31"/>
  <c r="T179" i="31"/>
  <c r="R180" i="31" s="1"/>
  <c r="S200" i="31"/>
  <c r="T199" i="31"/>
  <c r="AR140" i="24"/>
  <c r="AR143" i="24"/>
  <c r="AR145" i="24"/>
  <c r="AR147" i="24"/>
  <c r="AR149" i="24"/>
  <c r="AR174" i="24"/>
  <c r="AR178" i="24"/>
  <c r="AR182" i="24"/>
  <c r="AR139" i="24"/>
  <c r="AR141" i="24"/>
  <c r="AR144" i="24"/>
  <c r="AR146" i="24"/>
  <c r="AR148" i="24"/>
  <c r="AR150" i="24"/>
  <c r="AR151" i="24"/>
  <c r="AR152" i="24"/>
  <c r="AR153" i="24"/>
  <c r="AR154" i="24"/>
  <c r="AR155" i="24"/>
  <c r="AR156" i="24"/>
  <c r="AR157" i="24"/>
  <c r="AR158" i="24"/>
  <c r="AR172" i="24"/>
  <c r="AR176" i="24"/>
  <c r="AR180" i="24"/>
  <c r="AR173" i="24"/>
  <c r="AR177" i="24"/>
  <c r="AR181" i="24"/>
  <c r="AH179" i="28"/>
  <c r="J164" i="28"/>
  <c r="K164" i="28" s="1"/>
  <c r="L164" i="28" s="1"/>
  <c r="M164" i="28" s="1"/>
  <c r="N164" i="28" s="1"/>
  <c r="AH169" i="28"/>
  <c r="O166" i="28"/>
  <c r="P166" i="28" s="1"/>
  <c r="Q166" i="28" s="1"/>
  <c r="O170" i="28"/>
  <c r="P170" i="28" s="1"/>
  <c r="Q170" i="28" s="1"/>
  <c r="O164" i="28"/>
  <c r="P164" i="28" s="1"/>
  <c r="AH170" i="28"/>
  <c r="AM170" i="28" s="1"/>
  <c r="AN170" i="28" s="1"/>
  <c r="AO170" i="28" s="1"/>
  <c r="AH171" i="28"/>
  <c r="AM171" i="28" s="1"/>
  <c r="AN171" i="28" s="1"/>
  <c r="AO171" i="28" s="1"/>
  <c r="O183" i="28"/>
  <c r="P183" i="28" s="1"/>
  <c r="Q183" i="28" s="1"/>
  <c r="AI196" i="29"/>
  <c r="AJ196" i="29" s="1"/>
  <c r="AK196" i="29" s="1"/>
  <c r="AR196" i="29" s="1"/>
  <c r="AI194" i="29"/>
  <c r="AJ194" i="29" s="1"/>
  <c r="AK194" i="29" s="1"/>
  <c r="AR194" i="29" s="1"/>
  <c r="AI191" i="29"/>
  <c r="AJ191" i="29" s="1"/>
  <c r="AK191" i="29" s="1"/>
  <c r="AR191" i="29" s="1"/>
  <c r="AQ151" i="25"/>
  <c r="AQ153" i="25"/>
  <c r="AQ155" i="25"/>
  <c r="AQ157" i="25"/>
  <c r="AQ159" i="25"/>
  <c r="AQ161" i="25"/>
  <c r="AQ150" i="25"/>
  <c r="AQ139" i="26"/>
  <c r="AQ141" i="26"/>
  <c r="AQ143" i="26"/>
  <c r="AQ145" i="26"/>
  <c r="AQ147" i="26"/>
  <c r="AQ148" i="26"/>
  <c r="AQ149" i="26"/>
  <c r="Q164" i="23"/>
  <c r="S145" i="30"/>
  <c r="T144" i="30"/>
  <c r="AH142" i="30"/>
  <c r="R144" i="30"/>
  <c r="V143" i="30"/>
  <c r="AV170" i="30"/>
  <c r="Q179" i="29"/>
  <c r="S179" i="29" s="1"/>
  <c r="T179" i="29" s="1"/>
  <c r="R180" i="29" s="1"/>
  <c r="S180" i="29" s="1"/>
  <c r="T152" i="29"/>
  <c r="S153" i="29"/>
  <c r="AI180" i="29"/>
  <c r="AJ180" i="29" s="1"/>
  <c r="AK180" i="29" s="1"/>
  <c r="AL180" i="29"/>
  <c r="AM180" i="29" s="1"/>
  <c r="AN180" i="29" s="1"/>
  <c r="AI185" i="29"/>
  <c r="AJ185" i="29" s="1"/>
  <c r="AK185" i="29" s="1"/>
  <c r="AL185" i="29"/>
  <c r="AM185" i="29" s="1"/>
  <c r="AN185" i="29" s="1"/>
  <c r="AI181" i="29"/>
  <c r="AJ181" i="29" s="1"/>
  <c r="AK181" i="29" s="1"/>
  <c r="AL181" i="29"/>
  <c r="AM181" i="29" s="1"/>
  <c r="AN181" i="29" s="1"/>
  <c r="AI182" i="29"/>
  <c r="AJ182" i="29" s="1"/>
  <c r="AK182" i="29" s="1"/>
  <c r="AL182" i="29"/>
  <c r="AM182" i="29" s="1"/>
  <c r="AN182" i="29" s="1"/>
  <c r="BH75" i="29"/>
  <c r="V151" i="29"/>
  <c r="R152" i="29"/>
  <c r="AI186" i="29"/>
  <c r="AJ186" i="29" s="1"/>
  <c r="AK186" i="29" s="1"/>
  <c r="AL186" i="29"/>
  <c r="AM186" i="29" s="1"/>
  <c r="AN186" i="29" s="1"/>
  <c r="AI183" i="29"/>
  <c r="AJ183" i="29" s="1"/>
  <c r="AK183" i="29" s="1"/>
  <c r="AL183" i="29"/>
  <c r="AM183" i="29" s="1"/>
  <c r="AN183" i="29" s="1"/>
  <c r="AI184" i="29"/>
  <c r="AJ184" i="29" s="1"/>
  <c r="AK184" i="29" s="1"/>
  <c r="AL184" i="29"/>
  <c r="AM184" i="29" s="1"/>
  <c r="AN184" i="29" s="1"/>
  <c r="AL179" i="29"/>
  <c r="AM179" i="29" s="1"/>
  <c r="AN179" i="29" s="1"/>
  <c r="AI179" i="29"/>
  <c r="AJ179" i="29" s="1"/>
  <c r="AK179" i="29" s="1"/>
  <c r="AE150" i="29"/>
  <c r="AS150" i="29"/>
  <c r="C7" i="24"/>
  <c r="BQ25" i="24" s="1"/>
  <c r="R146" i="28"/>
  <c r="V145" i="28"/>
  <c r="AG159" i="25"/>
  <c r="AH159" i="25" s="1"/>
  <c r="AL159" i="25" s="1"/>
  <c r="AM159" i="25" s="1"/>
  <c r="AN159" i="25" s="1"/>
  <c r="O154" i="25"/>
  <c r="P154" i="25" s="1"/>
  <c r="Q154" i="25" s="1"/>
  <c r="J150" i="25"/>
  <c r="P150" i="25" s="1"/>
  <c r="Q150" i="25" s="1"/>
  <c r="S150" i="25" s="1"/>
  <c r="T150" i="25" s="1"/>
  <c r="R151" i="25" s="1"/>
  <c r="C7" i="25"/>
  <c r="BQ25" i="25" s="1"/>
  <c r="C7" i="26"/>
  <c r="BQ51" i="26" s="1"/>
  <c r="O140" i="26"/>
  <c r="P140" i="26" s="1"/>
  <c r="Q140" i="26" s="1"/>
  <c r="J138" i="26"/>
  <c r="P138" i="26" s="1"/>
  <c r="Q138" i="26" s="1"/>
  <c r="S138" i="26" s="1"/>
  <c r="T138" i="26" s="1"/>
  <c r="R139" i="26" s="1"/>
  <c r="AG141" i="26"/>
  <c r="AQ162" i="23"/>
  <c r="AF213" i="24"/>
  <c r="AF209" i="24"/>
  <c r="AQ156" i="23"/>
  <c r="AQ160" i="23"/>
  <c r="AQ155" i="23"/>
  <c r="AQ159" i="23"/>
  <c r="AQ163" i="23"/>
  <c r="AQ153" i="23"/>
  <c r="AQ157" i="23"/>
  <c r="AQ161" i="23"/>
  <c r="C7" i="23"/>
  <c r="BQ25" i="23" s="1"/>
  <c r="AQ158" i="23"/>
  <c r="O155" i="23"/>
  <c r="P155" i="23" s="1"/>
  <c r="Q155" i="23" s="1"/>
  <c r="AQ154" i="23"/>
  <c r="I142" i="22"/>
  <c r="O142" i="22" s="1"/>
  <c r="P142" i="22" s="1"/>
  <c r="R142" i="22" s="1"/>
  <c r="S142" i="22" s="1"/>
  <c r="V142" i="22" s="1"/>
  <c r="Z149" i="22"/>
  <c r="AA149" i="22" s="1"/>
  <c r="AB149" i="22" s="1"/>
  <c r="AM181" i="24"/>
  <c r="AF152" i="24"/>
  <c r="AF210" i="24"/>
  <c r="AF154" i="24"/>
  <c r="AF211" i="24"/>
  <c r="AF156" i="24"/>
  <c r="AF207" i="24"/>
  <c r="AF208" i="24"/>
  <c r="AJ182" i="24"/>
  <c r="AE151" i="24"/>
  <c r="AF153" i="24"/>
  <c r="BH217" i="28"/>
  <c r="T146" i="28"/>
  <c r="S147" i="28"/>
  <c r="AT144" i="28"/>
  <c r="AE144" i="28"/>
  <c r="BO58" i="27"/>
  <c r="BH217" i="27"/>
  <c r="O142" i="26"/>
  <c r="P142" i="26" s="1"/>
  <c r="Q142" i="26" s="1"/>
  <c r="O144" i="26"/>
  <c r="P144" i="26" s="1"/>
  <c r="Q144" i="26" s="1"/>
  <c r="AG145" i="26"/>
  <c r="AH145" i="26" s="1"/>
  <c r="O146" i="26"/>
  <c r="P146" i="26" s="1"/>
  <c r="Q146" i="26" s="1"/>
  <c r="AI149" i="26"/>
  <c r="AJ149" i="26" s="1"/>
  <c r="AK149" i="26" s="1"/>
  <c r="AR149" i="26" s="1"/>
  <c r="AG147" i="26"/>
  <c r="AG139" i="26"/>
  <c r="AH139" i="26" s="1"/>
  <c r="AG143" i="26"/>
  <c r="O148" i="26"/>
  <c r="P148" i="26" s="1"/>
  <c r="Q148" i="26" s="1"/>
  <c r="AG140" i="26"/>
  <c r="AH140" i="26" s="1"/>
  <c r="O141" i="26"/>
  <c r="P141" i="26" s="1"/>
  <c r="Q141" i="26" s="1"/>
  <c r="AG144" i="26"/>
  <c r="AH144" i="26" s="1"/>
  <c r="O145" i="26"/>
  <c r="P145" i="26" s="1"/>
  <c r="Q145" i="26" s="1"/>
  <c r="AG148" i="26"/>
  <c r="AH148" i="26" s="1"/>
  <c r="O149" i="26"/>
  <c r="P149" i="26" s="1"/>
  <c r="Q149" i="26" s="1"/>
  <c r="BG193" i="26"/>
  <c r="AG138" i="26"/>
  <c r="O139" i="26"/>
  <c r="P139" i="26" s="1"/>
  <c r="Q139" i="26" s="1"/>
  <c r="AG142" i="26"/>
  <c r="AH142" i="26" s="1"/>
  <c r="O143" i="26"/>
  <c r="P143" i="26" s="1"/>
  <c r="Q143" i="26" s="1"/>
  <c r="AG146" i="26"/>
  <c r="AH146" i="26" s="1"/>
  <c r="O147" i="26"/>
  <c r="P147" i="26" s="1"/>
  <c r="Q147" i="26" s="1"/>
  <c r="AG153" i="25"/>
  <c r="AH153" i="25" s="1"/>
  <c r="AL153" i="25" s="1"/>
  <c r="AM153" i="25" s="1"/>
  <c r="AN153" i="25" s="1"/>
  <c r="AG155" i="25"/>
  <c r="AH155" i="25" s="1"/>
  <c r="AL155" i="25" s="1"/>
  <c r="AM155" i="25" s="1"/>
  <c r="AN155" i="25" s="1"/>
  <c r="O161" i="25"/>
  <c r="P161" i="25" s="1"/>
  <c r="Q161" i="25" s="1"/>
  <c r="AG160" i="25"/>
  <c r="AH160" i="25" s="1"/>
  <c r="O157" i="25"/>
  <c r="P157" i="25" s="1"/>
  <c r="Q157" i="25" s="1"/>
  <c r="AG156" i="25"/>
  <c r="AH156" i="25" s="1"/>
  <c r="O153" i="25"/>
  <c r="P153" i="25" s="1"/>
  <c r="Q153" i="25" s="1"/>
  <c r="AG152" i="25"/>
  <c r="AH152" i="25" s="1"/>
  <c r="AG161" i="25"/>
  <c r="AH161" i="25" s="1"/>
  <c r="O158" i="25"/>
  <c r="P158" i="25" s="1"/>
  <c r="Q158" i="25" s="1"/>
  <c r="AG157" i="25"/>
  <c r="AH157" i="25" s="1"/>
  <c r="O159" i="25"/>
  <c r="P159" i="25" s="1"/>
  <c r="Q159" i="25" s="1"/>
  <c r="AG158" i="25"/>
  <c r="AH158" i="25" s="1"/>
  <c r="O155" i="25"/>
  <c r="P155" i="25" s="1"/>
  <c r="Q155" i="25" s="1"/>
  <c r="AG154" i="25"/>
  <c r="AH154" i="25" s="1"/>
  <c r="O151" i="25"/>
  <c r="P151" i="25" s="1"/>
  <c r="Q151" i="25" s="1"/>
  <c r="AG150" i="25"/>
  <c r="AH150" i="25" s="1"/>
  <c r="AG151" i="25"/>
  <c r="AH151" i="25" s="1"/>
  <c r="O152" i="25"/>
  <c r="P152" i="25" s="1"/>
  <c r="Q152" i="25" s="1"/>
  <c r="O160" i="25"/>
  <c r="P160" i="25" s="1"/>
  <c r="Q160" i="25" s="1"/>
  <c r="Q156" i="25"/>
  <c r="BG187" i="25"/>
  <c r="BP56" i="20"/>
  <c r="BH111" i="20"/>
  <c r="BG166" i="24"/>
  <c r="AH145" i="24"/>
  <c r="AI145" i="24" s="1"/>
  <c r="AH155" i="24"/>
  <c r="AH151" i="24"/>
  <c r="AH158" i="24"/>
  <c r="AH154" i="24"/>
  <c r="AH150" i="24"/>
  <c r="AI150" i="24" s="1"/>
  <c r="AH157" i="24"/>
  <c r="AH153" i="24"/>
  <c r="AH156" i="24"/>
  <c r="AH152" i="24"/>
  <c r="AH141" i="24"/>
  <c r="AH142" i="24"/>
  <c r="AI142" i="24" s="1"/>
  <c r="AH146" i="24"/>
  <c r="AI146" i="24" s="1"/>
  <c r="AH139" i="24"/>
  <c r="AH140" i="24"/>
  <c r="AH143" i="24"/>
  <c r="AI143" i="24" s="1"/>
  <c r="AH147" i="24"/>
  <c r="AI147" i="24" s="1"/>
  <c r="AH144" i="24"/>
  <c r="AI144" i="24" s="1"/>
  <c r="AH148" i="24"/>
  <c r="AI148" i="24" s="1"/>
  <c r="AF151" i="24"/>
  <c r="AE154" i="24"/>
  <c r="AF157" i="24"/>
  <c r="AE158" i="24"/>
  <c r="AE155" i="24"/>
  <c r="AE152" i="24"/>
  <c r="AF155" i="24"/>
  <c r="AE156" i="24"/>
  <c r="AF181" i="24"/>
  <c r="AE182" i="24"/>
  <c r="AF212" i="24"/>
  <c r="AF214" i="24"/>
  <c r="AG163" i="23"/>
  <c r="AH163" i="23" s="1"/>
  <c r="O160" i="23"/>
  <c r="P160" i="23" s="1"/>
  <c r="Q160" i="23" s="1"/>
  <c r="O161" i="23"/>
  <c r="P161" i="23" s="1"/>
  <c r="Q161" i="23" s="1"/>
  <c r="AG160" i="23"/>
  <c r="AH160" i="23" s="1"/>
  <c r="AG164" i="23"/>
  <c r="AH164" i="23" s="1"/>
  <c r="O162" i="23"/>
  <c r="P162" i="23" s="1"/>
  <c r="Q162" i="23" s="1"/>
  <c r="AG161" i="23"/>
  <c r="AH161" i="23" s="1"/>
  <c r="O158" i="23"/>
  <c r="P158" i="23" s="1"/>
  <c r="Q158" i="23" s="1"/>
  <c r="AG157" i="23"/>
  <c r="AH157" i="23" s="1"/>
  <c r="O154" i="23"/>
  <c r="P154" i="23" s="1"/>
  <c r="Q154" i="23" s="1"/>
  <c r="AG153" i="23"/>
  <c r="J153" i="23"/>
  <c r="P153" i="23" s="1"/>
  <c r="Q153" i="23" s="1"/>
  <c r="S153" i="23" s="1"/>
  <c r="T153" i="23" s="1"/>
  <c r="AG156" i="23"/>
  <c r="AH156" i="23" s="1"/>
  <c r="AG158" i="23"/>
  <c r="AH158" i="23" s="1"/>
  <c r="AG162" i="23"/>
  <c r="AH162" i="23" s="1"/>
  <c r="AG155" i="23"/>
  <c r="AH155" i="23" s="1"/>
  <c r="O157" i="23"/>
  <c r="P157" i="23" s="1"/>
  <c r="Q157" i="23" s="1"/>
  <c r="AG154" i="23"/>
  <c r="AH154" i="23" s="1"/>
  <c r="O156" i="23"/>
  <c r="P156" i="23" s="1"/>
  <c r="Q156" i="23" s="1"/>
  <c r="O159" i="23"/>
  <c r="P159" i="23" s="1"/>
  <c r="Q159" i="23" s="1"/>
  <c r="AG159" i="23"/>
  <c r="AH159" i="23" s="1"/>
  <c r="O163" i="23"/>
  <c r="P163" i="23" s="1"/>
  <c r="Q163" i="23" s="1"/>
  <c r="AQ164" i="23"/>
  <c r="BG187" i="23"/>
  <c r="BA80" i="22"/>
  <c r="AD149" i="22"/>
  <c r="AE149" i="22" s="1"/>
  <c r="Y147" i="22"/>
  <c r="Y148" i="22"/>
  <c r="N149" i="22"/>
  <c r="O149" i="22" s="1"/>
  <c r="P149" i="22" s="1"/>
  <c r="Y152" i="22"/>
  <c r="N152" i="22"/>
  <c r="O152" i="22" s="1"/>
  <c r="P152" i="22" s="1"/>
  <c r="Y151" i="22"/>
  <c r="N151" i="22"/>
  <c r="O151" i="22" s="1"/>
  <c r="P151" i="22" s="1"/>
  <c r="Y153" i="22"/>
  <c r="Y150" i="22"/>
  <c r="N150" i="22"/>
  <c r="O150" i="22" s="1"/>
  <c r="P150" i="22" s="1"/>
  <c r="N153" i="22"/>
  <c r="O153" i="22" s="1"/>
  <c r="P153" i="22" s="1"/>
  <c r="Y146" i="22"/>
  <c r="N146" i="22"/>
  <c r="O146" i="22" s="1"/>
  <c r="P146" i="22" s="1"/>
  <c r="Y145" i="22"/>
  <c r="N145" i="22"/>
  <c r="O145" i="22" s="1"/>
  <c r="P145" i="22" s="1"/>
  <c r="Y142" i="22"/>
  <c r="N143" i="22"/>
  <c r="O143" i="22" s="1"/>
  <c r="P143" i="22" s="1"/>
  <c r="Y143" i="22"/>
  <c r="N144" i="22"/>
  <c r="O144" i="22" s="1"/>
  <c r="P144" i="22" s="1"/>
  <c r="Y144" i="22"/>
  <c r="N147" i="22"/>
  <c r="O147" i="22" s="1"/>
  <c r="P147" i="22" s="1"/>
  <c r="N148" i="22"/>
  <c r="O148" i="22" s="1"/>
  <c r="P148" i="22" s="1"/>
  <c r="AS163" i="22"/>
  <c r="BG174" i="7"/>
  <c r="BG175" i="7" s="1"/>
  <c r="BF175" i="7"/>
  <c r="BF176" i="7" s="1"/>
  <c r="BF177" i="7" s="1"/>
  <c r="BF178" i="7" s="1"/>
  <c r="BF179" i="7" s="1"/>
  <c r="BF180" i="7" s="1"/>
  <c r="BF181" i="7" s="1"/>
  <c r="BF182" i="7" s="1"/>
  <c r="BF183" i="7" s="1"/>
  <c r="BF184" i="7" s="1"/>
  <c r="BF185" i="7" s="1"/>
  <c r="BF186" i="7" s="1"/>
  <c r="BF187" i="7" s="1"/>
  <c r="BF188" i="7" s="1"/>
  <c r="BF189" i="7" s="1"/>
  <c r="BF190" i="7" s="1"/>
  <c r="BF191" i="7" s="1"/>
  <c r="BF192" i="7" s="1"/>
  <c r="BF193" i="7" s="1"/>
  <c r="BF194" i="7" s="1"/>
  <c r="BF195" i="7" s="1"/>
  <c r="BF196" i="7" s="1"/>
  <c r="BF197" i="7" s="1"/>
  <c r="BF198" i="7" s="1"/>
  <c r="BF199" i="7" s="1"/>
  <c r="BF200" i="7" s="1"/>
  <c r="BF201" i="7" s="1"/>
  <c r="BF202" i="7" s="1"/>
  <c r="BF203" i="7" s="1"/>
  <c r="BF204" i="7" s="1"/>
  <c r="BF205" i="7" s="1"/>
  <c r="BF206" i="7" s="1"/>
  <c r="BF207" i="7" s="1"/>
  <c r="BF208" i="7" s="1"/>
  <c r="BF209" i="7" s="1"/>
  <c r="BF210" i="7" s="1"/>
  <c r="CQ83" i="7"/>
  <c r="CO83" i="7"/>
  <c r="CM83" i="7"/>
  <c r="CK83" i="7"/>
  <c r="CI83" i="7"/>
  <c r="CG83" i="7"/>
  <c r="CE83" i="7"/>
  <c r="CC83" i="7"/>
  <c r="CN127" i="7"/>
  <c r="CN129" i="7" s="1"/>
  <c r="CL127" i="7"/>
  <c r="CL129" i="7" s="1"/>
  <c r="CF127" i="7"/>
  <c r="CF129" i="7" s="1"/>
  <c r="CD127" i="7"/>
  <c r="CD129" i="7" s="1"/>
  <c r="AQ214" i="7"/>
  <c r="AQ213" i="7"/>
  <c r="AQ212" i="7"/>
  <c r="AQ211" i="7"/>
  <c r="AQ210" i="7"/>
  <c r="AQ209" i="7"/>
  <c r="AQ208" i="7"/>
  <c r="AQ207" i="7"/>
  <c r="AQ206" i="7"/>
  <c r="AQ205" i="7"/>
  <c r="AQ204" i="7"/>
  <c r="AQ203" i="7"/>
  <c r="AQ202" i="7"/>
  <c r="AQ201" i="7"/>
  <c r="AQ200" i="7"/>
  <c r="AQ199" i="7"/>
  <c r="AQ198" i="7"/>
  <c r="AQ197" i="7"/>
  <c r="AQ196" i="7"/>
  <c r="AQ195" i="7"/>
  <c r="AQ157" i="7"/>
  <c r="AQ156" i="7"/>
  <c r="AQ155" i="7"/>
  <c r="AQ154" i="7"/>
  <c r="AQ153" i="7"/>
  <c r="AQ152" i="7"/>
  <c r="AQ151" i="7"/>
  <c r="AQ150" i="7"/>
  <c r="AQ149" i="7"/>
  <c r="AQ148" i="7"/>
  <c r="AQ147" i="7"/>
  <c r="AQ146" i="7"/>
  <c r="AQ145" i="7"/>
  <c r="AQ144" i="7"/>
  <c r="AQ143" i="7"/>
  <c r="AQ142" i="7"/>
  <c r="AQ141" i="7"/>
  <c r="AQ140" i="7"/>
  <c r="AQ139" i="7"/>
  <c r="AQ138" i="7"/>
  <c r="C14" i="7"/>
  <c r="C11" i="7"/>
  <c r="D4" i="7"/>
  <c r="F2" i="7"/>
  <c r="D2" i="7"/>
  <c r="BG181" i="3"/>
  <c r="BF182" i="3"/>
  <c r="BF183" i="3" s="1"/>
  <c r="BF184" i="3" s="1"/>
  <c r="BF185" i="3" s="1"/>
  <c r="BF186" i="3" s="1"/>
  <c r="BF187" i="3" s="1"/>
  <c r="BF188" i="3" s="1"/>
  <c r="BF189" i="3" s="1"/>
  <c r="BF190" i="3" s="1"/>
  <c r="BF191" i="3" s="1"/>
  <c r="BF192" i="3" s="1"/>
  <c r="BF193" i="3" s="1"/>
  <c r="BF194" i="3" s="1"/>
  <c r="BF195" i="3" s="1"/>
  <c r="BF196" i="3" s="1"/>
  <c r="BF197" i="3" s="1"/>
  <c r="BF198" i="3" s="1"/>
  <c r="BF199" i="3" s="1"/>
  <c r="BF200" i="3" s="1"/>
  <c r="BF201" i="3" s="1"/>
  <c r="BF202" i="3" s="1"/>
  <c r="BF203" i="3" s="1"/>
  <c r="BF204" i="3" s="1"/>
  <c r="BF205" i="3" s="1"/>
  <c r="BF206" i="3" s="1"/>
  <c r="BF207" i="3" s="1"/>
  <c r="BF208" i="3" s="1"/>
  <c r="BF209" i="3" s="1"/>
  <c r="BF210" i="3" s="1"/>
  <c r="BF211" i="3" s="1"/>
  <c r="BF212" i="3" s="1"/>
  <c r="BF213" i="3" s="1"/>
  <c r="BF214" i="3" s="1"/>
  <c r="BF215" i="3" s="1"/>
  <c r="BF216" i="3" s="1"/>
  <c r="BF217" i="3" s="1"/>
  <c r="CQ55" i="3"/>
  <c r="CO55" i="3"/>
  <c r="CM55" i="3"/>
  <c r="CK55" i="3"/>
  <c r="CI55" i="3"/>
  <c r="CG55" i="3"/>
  <c r="CE55" i="3"/>
  <c r="CC55" i="3"/>
  <c r="CN97" i="3"/>
  <c r="CN101" i="3" s="1"/>
  <c r="CL97" i="3"/>
  <c r="CL101" i="3" s="1"/>
  <c r="CF97" i="3"/>
  <c r="CF101" i="3" s="1"/>
  <c r="CD97" i="3"/>
  <c r="CD101" i="3" s="1"/>
  <c r="AP194" i="3"/>
  <c r="AP193" i="3"/>
  <c r="AP192" i="3"/>
  <c r="AP191" i="3"/>
  <c r="AP190" i="3"/>
  <c r="AP189" i="3"/>
  <c r="AP188" i="3"/>
  <c r="AP187" i="3"/>
  <c r="AP186" i="3"/>
  <c r="AP185" i="3"/>
  <c r="AP184" i="3"/>
  <c r="AP183" i="3"/>
  <c r="AP182" i="3"/>
  <c r="AP181" i="3"/>
  <c r="AP180" i="3"/>
  <c r="AP179" i="3"/>
  <c r="AP178" i="3"/>
  <c r="AP177" i="3"/>
  <c r="AP176" i="3"/>
  <c r="AP175" i="3"/>
  <c r="C14" i="3"/>
  <c r="C11" i="3"/>
  <c r="F2" i="3"/>
  <c r="AS160" i="2"/>
  <c r="AS161" i="2" s="1"/>
  <c r="AS162" i="2" s="1"/>
  <c r="AR161" i="2"/>
  <c r="AR162" i="2" s="1"/>
  <c r="AR163" i="2" s="1"/>
  <c r="AR164" i="2" s="1"/>
  <c r="AR165" i="2" s="1"/>
  <c r="AR166" i="2" s="1"/>
  <c r="AR167" i="2" s="1"/>
  <c r="AR168" i="2" s="1"/>
  <c r="AR169" i="2" s="1"/>
  <c r="AR170" i="2" s="1"/>
  <c r="AR171" i="2" s="1"/>
  <c r="AR172" i="2" s="1"/>
  <c r="AR173" i="2" s="1"/>
  <c r="AR174" i="2" s="1"/>
  <c r="AR175" i="2" s="1"/>
  <c r="AR176" i="2" s="1"/>
  <c r="AR177" i="2" s="1"/>
  <c r="AR178" i="2" s="1"/>
  <c r="AR179" i="2" s="1"/>
  <c r="AR180" i="2" s="1"/>
  <c r="AR181" i="2" s="1"/>
  <c r="AR182" i="2" s="1"/>
  <c r="AR183" i="2" s="1"/>
  <c r="AR184" i="2" s="1"/>
  <c r="AR185" i="2" s="1"/>
  <c r="AR186" i="2" s="1"/>
  <c r="AR187" i="2" s="1"/>
  <c r="AR188" i="2" s="1"/>
  <c r="AR189" i="2" s="1"/>
  <c r="AR190" i="2" s="1"/>
  <c r="AR191" i="2" s="1"/>
  <c r="AR192" i="2" s="1"/>
  <c r="AR193" i="2" s="1"/>
  <c r="AR194" i="2" s="1"/>
  <c r="AR195" i="2" s="1"/>
  <c r="AR196" i="2" s="1"/>
  <c r="AM175" i="28" l="1"/>
  <c r="AN175" i="28" s="1"/>
  <c r="AO175" i="28" s="1"/>
  <c r="L44" i="25"/>
  <c r="J20" i="25"/>
  <c r="J38" i="25"/>
  <c r="J56" i="25"/>
  <c r="L32" i="25"/>
  <c r="J50" i="25"/>
  <c r="L26" i="25"/>
  <c r="L44" i="26"/>
  <c r="J20" i="26"/>
  <c r="J38" i="26"/>
  <c r="J56" i="26"/>
  <c r="L32" i="26"/>
  <c r="J50" i="26"/>
  <c r="L26" i="26"/>
  <c r="L44" i="24"/>
  <c r="J20" i="24"/>
  <c r="J56" i="24"/>
  <c r="L32" i="24"/>
  <c r="J50" i="24"/>
  <c r="L26" i="24"/>
  <c r="J38" i="24"/>
  <c r="J38" i="23"/>
  <c r="J20" i="23"/>
  <c r="J56" i="23"/>
  <c r="L32" i="23"/>
  <c r="J50" i="23"/>
  <c r="L26" i="23"/>
  <c r="L44" i="23"/>
  <c r="AI168" i="28"/>
  <c r="AJ175" i="28"/>
  <c r="AK175" i="28" s="1"/>
  <c r="AL175" i="28" s="1"/>
  <c r="AM168" i="28"/>
  <c r="AN168" i="28" s="1"/>
  <c r="AO168" i="28" s="1"/>
  <c r="AS168" i="28" s="1"/>
  <c r="AM182" i="28"/>
  <c r="AN182" i="28" s="1"/>
  <c r="AO182" i="28" s="1"/>
  <c r="AT182" i="28" s="1"/>
  <c r="AJ176" i="28"/>
  <c r="AK176" i="28" s="1"/>
  <c r="AL176" i="28" s="1"/>
  <c r="AS176" i="28" s="1"/>
  <c r="AI176" i="28"/>
  <c r="AJ177" i="28"/>
  <c r="AK177" i="28" s="1"/>
  <c r="AL177" i="28" s="1"/>
  <c r="AS177" i="28" s="1"/>
  <c r="AI177" i="28"/>
  <c r="AJ181" i="28"/>
  <c r="AK181" i="28" s="1"/>
  <c r="AL181" i="28" s="1"/>
  <c r="AS181" i="28" s="1"/>
  <c r="AI173" i="28"/>
  <c r="AM183" i="28"/>
  <c r="AN183" i="28" s="1"/>
  <c r="AO183" i="28" s="1"/>
  <c r="AS183" i="28" s="1"/>
  <c r="AJ173" i="28"/>
  <c r="AK173" i="28" s="1"/>
  <c r="AL173" i="28" s="1"/>
  <c r="AS173" i="28" s="1"/>
  <c r="AI174" i="28"/>
  <c r="AJ172" i="28"/>
  <c r="AK172" i="28" s="1"/>
  <c r="AL172" i="28" s="1"/>
  <c r="AJ174" i="28"/>
  <c r="AK174" i="28" s="1"/>
  <c r="AL174" i="28" s="1"/>
  <c r="AS174" i="28" s="1"/>
  <c r="AJ178" i="28"/>
  <c r="AK178" i="28" s="1"/>
  <c r="AL178" i="28" s="1"/>
  <c r="AS178" i="28" s="1"/>
  <c r="AI171" i="28"/>
  <c r="AG170" i="31"/>
  <c r="AD171" i="31"/>
  <c r="AC171" i="31" s="1"/>
  <c r="AD180" i="31"/>
  <c r="AC180" i="31" s="1"/>
  <c r="AD178" i="31"/>
  <c r="AC178" i="31" s="1"/>
  <c r="AD173" i="31"/>
  <c r="AC173" i="31" s="1"/>
  <c r="AD170" i="31"/>
  <c r="AC170" i="31" s="1"/>
  <c r="AD179" i="31"/>
  <c r="AC179" i="31" s="1"/>
  <c r="AD181" i="31"/>
  <c r="AC181" i="31" s="1"/>
  <c r="AD175" i="31"/>
  <c r="AC175" i="31" s="1"/>
  <c r="AD176" i="31"/>
  <c r="AC176" i="31" s="1"/>
  <c r="AD172" i="31"/>
  <c r="AC172" i="31" s="1"/>
  <c r="AD177" i="31"/>
  <c r="AC177" i="31" s="1"/>
  <c r="L43" i="27"/>
  <c r="J49" i="27"/>
  <c r="AI166" i="28"/>
  <c r="AI167" i="28"/>
  <c r="BO56" i="25"/>
  <c r="L85" i="25"/>
  <c r="J48" i="25"/>
  <c r="L42" i="25"/>
  <c r="J48" i="26"/>
  <c r="L85" i="26"/>
  <c r="L42" i="26"/>
  <c r="L85" i="24"/>
  <c r="J48" i="24"/>
  <c r="L42" i="24"/>
  <c r="AR193" i="29"/>
  <c r="J49" i="20"/>
  <c r="L43" i="20"/>
  <c r="BG126" i="20"/>
  <c r="BG127" i="20" s="1"/>
  <c r="BG128" i="20" s="1"/>
  <c r="BG129" i="20" s="1"/>
  <c r="BG130" i="20" s="1"/>
  <c r="BG131" i="20" s="1"/>
  <c r="BG132" i="20" s="1"/>
  <c r="BG133" i="20" s="1"/>
  <c r="BG134" i="20" s="1"/>
  <c r="BG135" i="20" s="1"/>
  <c r="BG136" i="20" s="1"/>
  <c r="BG137" i="20" s="1"/>
  <c r="BG138" i="20" s="1"/>
  <c r="BG139" i="20" s="1"/>
  <c r="BG140" i="20" s="1"/>
  <c r="BG141" i="20" s="1"/>
  <c r="BG142" i="20" s="1"/>
  <c r="BG143" i="20" s="1"/>
  <c r="BG144" i="20" s="1"/>
  <c r="BG145" i="20" s="1"/>
  <c r="H9" i="7"/>
  <c r="H11" i="7"/>
  <c r="AM149" i="24"/>
  <c r="AN149" i="24" s="1"/>
  <c r="AO149" i="24" s="1"/>
  <c r="AJ149" i="24"/>
  <c r="AK149" i="24" s="1"/>
  <c r="AL149" i="24" s="1"/>
  <c r="BO56" i="23"/>
  <c r="J48" i="23"/>
  <c r="L85" i="23"/>
  <c r="L42" i="23"/>
  <c r="AM180" i="28"/>
  <c r="AN180" i="28" s="1"/>
  <c r="AO180" i="28" s="1"/>
  <c r="AS180" i="28" s="1"/>
  <c r="AJ171" i="28"/>
  <c r="AK171" i="28" s="1"/>
  <c r="AL171" i="28" s="1"/>
  <c r="AS171" i="28" s="1"/>
  <c r="AJ164" i="28"/>
  <c r="AK164" i="28" s="1"/>
  <c r="AL164" i="28" s="1"/>
  <c r="AS164" i="28" s="1"/>
  <c r="J49" i="22"/>
  <c r="L43" i="22"/>
  <c r="AI164" i="28"/>
  <c r="AJ167" i="28"/>
  <c r="AK167" i="28" s="1"/>
  <c r="AL167" i="28" s="1"/>
  <c r="AS167" i="28" s="1"/>
  <c r="AM165" i="28"/>
  <c r="AN165" i="28" s="1"/>
  <c r="AO165" i="28" s="1"/>
  <c r="AI165" i="28"/>
  <c r="AM166" i="28"/>
  <c r="AN166" i="28" s="1"/>
  <c r="AO166" i="28" s="1"/>
  <c r="AS166" i="28" s="1"/>
  <c r="AM172" i="28"/>
  <c r="AN172" i="28" s="1"/>
  <c r="AO172" i="28" s="1"/>
  <c r="AJ165" i="28"/>
  <c r="AK165" i="28" s="1"/>
  <c r="AL165" i="28" s="1"/>
  <c r="V226" i="31"/>
  <c r="AT226" i="31" s="1"/>
  <c r="AR189" i="29"/>
  <c r="AR197" i="29"/>
  <c r="T228" i="31"/>
  <c r="S229" i="31"/>
  <c r="R228" i="31"/>
  <c r="V227" i="31"/>
  <c r="S201" i="31"/>
  <c r="T200" i="31"/>
  <c r="S153" i="31"/>
  <c r="T152" i="31"/>
  <c r="R153" i="31" s="1"/>
  <c r="S181" i="31"/>
  <c r="T181" i="31" s="1"/>
  <c r="T180" i="31"/>
  <c r="R181" i="31" s="1"/>
  <c r="V199" i="31"/>
  <c r="AE199" i="31" s="1"/>
  <c r="R200" i="31"/>
  <c r="AT198" i="31"/>
  <c r="BG180" i="31"/>
  <c r="V150" i="25"/>
  <c r="AE150" i="25" s="1"/>
  <c r="AJ170" i="28"/>
  <c r="AK170" i="28" s="1"/>
  <c r="AL170" i="28" s="1"/>
  <c r="AS170" i="28" s="1"/>
  <c r="AI170" i="28"/>
  <c r="Q164" i="28"/>
  <c r="S164" i="28" s="1"/>
  <c r="T164" i="28" s="1"/>
  <c r="AI169" i="28"/>
  <c r="AM169" i="28"/>
  <c r="AN169" i="28" s="1"/>
  <c r="AO169" i="28" s="1"/>
  <c r="AJ169" i="28"/>
  <c r="AK169" i="28" s="1"/>
  <c r="AL169" i="28" s="1"/>
  <c r="AM179" i="28"/>
  <c r="AN179" i="28" s="1"/>
  <c r="AO179" i="28" s="1"/>
  <c r="AJ179" i="28"/>
  <c r="AK179" i="28" s="1"/>
  <c r="AL179" i="28" s="1"/>
  <c r="V179" i="29"/>
  <c r="R145" i="30"/>
  <c r="V144" i="30"/>
  <c r="AV171" i="30"/>
  <c r="S146" i="30"/>
  <c r="T145" i="30"/>
  <c r="AH143" i="30"/>
  <c r="AR183" i="29"/>
  <c r="AR181" i="29"/>
  <c r="AR180" i="29"/>
  <c r="AR184" i="29"/>
  <c r="AR186" i="29"/>
  <c r="BH76" i="29"/>
  <c r="AR182" i="29"/>
  <c r="AR185" i="29"/>
  <c r="S154" i="29"/>
  <c r="T153" i="29"/>
  <c r="R153" i="29"/>
  <c r="V152" i="29"/>
  <c r="AR179" i="29"/>
  <c r="AS151" i="29"/>
  <c r="AE151" i="29"/>
  <c r="S181" i="29"/>
  <c r="T180" i="29"/>
  <c r="BO56" i="24"/>
  <c r="BO82" i="26"/>
  <c r="V138" i="26"/>
  <c r="AE138" i="26" s="1"/>
  <c r="AE145" i="28"/>
  <c r="AT145" i="28"/>
  <c r="R147" i="28"/>
  <c r="V146" i="28"/>
  <c r="AI159" i="25"/>
  <c r="AJ159" i="25" s="1"/>
  <c r="AK159" i="25" s="1"/>
  <c r="AR159" i="25" s="1"/>
  <c r="AL147" i="26"/>
  <c r="AM147" i="26" s="1"/>
  <c r="AN147" i="26" s="1"/>
  <c r="AH147" i="26"/>
  <c r="AL143" i="26"/>
  <c r="AM143" i="26" s="1"/>
  <c r="AN143" i="26" s="1"/>
  <c r="AH143" i="26"/>
  <c r="AL141" i="26"/>
  <c r="AM141" i="26" s="1"/>
  <c r="AN141" i="26" s="1"/>
  <c r="AH141" i="26"/>
  <c r="AI147" i="26"/>
  <c r="AJ147" i="26" s="1"/>
  <c r="AK147" i="26" s="1"/>
  <c r="AI141" i="26"/>
  <c r="AJ141" i="26" s="1"/>
  <c r="AK141" i="26" s="1"/>
  <c r="Q139" i="24"/>
  <c r="S139" i="24" s="1"/>
  <c r="T139" i="24" s="1"/>
  <c r="R140" i="24" s="1"/>
  <c r="S140" i="24" s="1"/>
  <c r="AL159" i="23"/>
  <c r="AM159" i="23" s="1"/>
  <c r="AN159" i="23" s="1"/>
  <c r="AI159" i="23"/>
  <c r="AJ159" i="23" s="1"/>
  <c r="AK159" i="23" s="1"/>
  <c r="AL156" i="23"/>
  <c r="AM156" i="23" s="1"/>
  <c r="AN156" i="23" s="1"/>
  <c r="AI156" i="23"/>
  <c r="AJ156" i="23" s="1"/>
  <c r="AK156" i="23" s="1"/>
  <c r="AL164" i="23"/>
  <c r="AM164" i="23" s="1"/>
  <c r="AN164" i="23" s="1"/>
  <c r="AI164" i="23"/>
  <c r="AJ164" i="23" s="1"/>
  <c r="AK164" i="23" s="1"/>
  <c r="AI160" i="23"/>
  <c r="AJ160" i="23" s="1"/>
  <c r="AK160" i="23" s="1"/>
  <c r="AL160" i="23"/>
  <c r="AM160" i="23" s="1"/>
  <c r="AN160" i="23" s="1"/>
  <c r="AI162" i="23"/>
  <c r="AJ162" i="23" s="1"/>
  <c r="AK162" i="23" s="1"/>
  <c r="AL162" i="23"/>
  <c r="AM162" i="23" s="1"/>
  <c r="AN162" i="23" s="1"/>
  <c r="AL161" i="23"/>
  <c r="AM161" i="23" s="1"/>
  <c r="AN161" i="23" s="1"/>
  <c r="AI161" i="23"/>
  <c r="AJ161" i="23" s="1"/>
  <c r="AK161" i="23" s="1"/>
  <c r="AL157" i="23"/>
  <c r="AM157" i="23" s="1"/>
  <c r="AN157" i="23" s="1"/>
  <c r="AI157" i="23"/>
  <c r="AJ157" i="23" s="1"/>
  <c r="AK157" i="23" s="1"/>
  <c r="AL163" i="23"/>
  <c r="AM163" i="23" s="1"/>
  <c r="AN163" i="23" s="1"/>
  <c r="AI163" i="23"/>
  <c r="AJ163" i="23" s="1"/>
  <c r="AK163" i="23" s="1"/>
  <c r="AL155" i="23"/>
  <c r="AM155" i="23" s="1"/>
  <c r="AN155" i="23" s="1"/>
  <c r="AI155" i="23"/>
  <c r="AJ155" i="23" s="1"/>
  <c r="AK155" i="23" s="1"/>
  <c r="AI154" i="23"/>
  <c r="AJ154" i="23" s="1"/>
  <c r="AK154" i="23" s="1"/>
  <c r="AL154" i="23"/>
  <c r="AM154" i="23" s="1"/>
  <c r="AN154" i="23" s="1"/>
  <c r="AI158" i="23"/>
  <c r="AJ158" i="23" s="1"/>
  <c r="AK158" i="23" s="1"/>
  <c r="AL158" i="23"/>
  <c r="AM158" i="23" s="1"/>
  <c r="AN158" i="23" s="1"/>
  <c r="Q143" i="22"/>
  <c r="R143" i="22" s="1"/>
  <c r="AC143" i="22"/>
  <c r="AD143" i="22" s="1"/>
  <c r="AE143" i="22" s="1"/>
  <c r="Z143" i="22"/>
  <c r="AA143" i="22" s="1"/>
  <c r="AB143" i="22" s="1"/>
  <c r="AC145" i="22"/>
  <c r="AD145" i="22" s="1"/>
  <c r="AE145" i="22" s="1"/>
  <c r="Z145" i="22"/>
  <c r="AA145" i="22" s="1"/>
  <c r="AB145" i="22" s="1"/>
  <c r="Z151" i="22"/>
  <c r="AA151" i="22" s="1"/>
  <c r="AB151" i="22" s="1"/>
  <c r="AC151" i="22"/>
  <c r="AD151" i="22" s="1"/>
  <c r="AE151" i="22" s="1"/>
  <c r="AC148" i="22"/>
  <c r="AD148" i="22" s="1"/>
  <c r="AE148" i="22" s="1"/>
  <c r="Z148" i="22"/>
  <c r="AA148" i="22" s="1"/>
  <c r="AB148" i="22" s="1"/>
  <c r="Z150" i="22"/>
  <c r="AA150" i="22" s="1"/>
  <c r="AB150" i="22" s="1"/>
  <c r="AC150" i="22"/>
  <c r="AD150" i="22" s="1"/>
  <c r="AE150" i="22" s="1"/>
  <c r="AC147" i="22"/>
  <c r="AD147" i="22" s="1"/>
  <c r="AE147" i="22" s="1"/>
  <c r="Z147" i="22"/>
  <c r="AA147" i="22" s="1"/>
  <c r="AB147" i="22" s="1"/>
  <c r="AC144" i="22"/>
  <c r="AD144" i="22" s="1"/>
  <c r="AE144" i="22" s="1"/>
  <c r="Z144" i="22"/>
  <c r="AA144" i="22" s="1"/>
  <c r="AB144" i="22" s="1"/>
  <c r="Z142" i="22"/>
  <c r="AA142" i="22" s="1"/>
  <c r="AC142" i="22"/>
  <c r="AD142" i="22" s="1"/>
  <c r="AE142" i="22" s="1"/>
  <c r="AC146" i="22"/>
  <c r="AD146" i="22" s="1"/>
  <c r="AE146" i="22" s="1"/>
  <c r="Z146" i="22"/>
  <c r="AA146" i="22" s="1"/>
  <c r="AB146" i="22" s="1"/>
  <c r="AC153" i="22"/>
  <c r="AD153" i="22" s="1"/>
  <c r="AE153" i="22" s="1"/>
  <c r="Z153" i="22"/>
  <c r="AA153" i="22" s="1"/>
  <c r="AB153" i="22" s="1"/>
  <c r="AC152" i="22"/>
  <c r="AD152" i="22" s="1"/>
  <c r="AE152" i="22" s="1"/>
  <c r="Z152" i="22"/>
  <c r="AA152" i="22" s="1"/>
  <c r="AB152" i="22" s="1"/>
  <c r="BH218" i="28"/>
  <c r="T147" i="28"/>
  <c r="S148" i="28"/>
  <c r="BH218" i="27"/>
  <c r="AI143" i="26"/>
  <c r="AJ143" i="26" s="1"/>
  <c r="AK143" i="26" s="1"/>
  <c r="AL145" i="26"/>
  <c r="AM145" i="26" s="1"/>
  <c r="AN145" i="26" s="1"/>
  <c r="AI145" i="26"/>
  <c r="AJ145" i="26" s="1"/>
  <c r="AK145" i="26" s="1"/>
  <c r="AL139" i="26"/>
  <c r="AM139" i="26" s="1"/>
  <c r="AN139" i="26" s="1"/>
  <c r="AI139" i="26"/>
  <c r="AJ139" i="26" s="1"/>
  <c r="AK139" i="26" s="1"/>
  <c r="AI148" i="26"/>
  <c r="AJ148" i="26" s="1"/>
  <c r="AK148" i="26" s="1"/>
  <c r="AL148" i="26"/>
  <c r="AM148" i="26" s="1"/>
  <c r="AN148" i="26" s="1"/>
  <c r="AI140" i="26"/>
  <c r="AJ140" i="26" s="1"/>
  <c r="AK140" i="26" s="1"/>
  <c r="AL140" i="26"/>
  <c r="AM140" i="26" s="1"/>
  <c r="AN140" i="26" s="1"/>
  <c r="AI142" i="26"/>
  <c r="AJ142" i="26" s="1"/>
  <c r="AK142" i="26" s="1"/>
  <c r="AL142" i="26"/>
  <c r="AM142" i="26" s="1"/>
  <c r="AN142" i="26" s="1"/>
  <c r="BG194" i="26"/>
  <c r="S139" i="26"/>
  <c r="AI144" i="26"/>
  <c r="AJ144" i="26" s="1"/>
  <c r="AK144" i="26" s="1"/>
  <c r="AL144" i="26"/>
  <c r="AM144" i="26" s="1"/>
  <c r="AN144" i="26" s="1"/>
  <c r="AL146" i="26"/>
  <c r="AM146" i="26" s="1"/>
  <c r="AN146" i="26" s="1"/>
  <c r="AI146" i="26"/>
  <c r="AJ146" i="26" s="1"/>
  <c r="AK146" i="26" s="1"/>
  <c r="AI138" i="26"/>
  <c r="AJ138" i="26" s="1"/>
  <c r="AK138" i="26" s="1"/>
  <c r="AL138" i="26"/>
  <c r="AM138" i="26" s="1"/>
  <c r="AN138" i="26" s="1"/>
  <c r="AH138" i="26"/>
  <c r="AI153" i="25"/>
  <c r="AJ153" i="25" s="1"/>
  <c r="AK153" i="25" s="1"/>
  <c r="AR153" i="25" s="1"/>
  <c r="AI155" i="25"/>
  <c r="AJ155" i="25" s="1"/>
  <c r="AK155" i="25" s="1"/>
  <c r="AR155" i="25" s="1"/>
  <c r="BG188" i="25"/>
  <c r="AI160" i="25"/>
  <c r="AJ160" i="25" s="1"/>
  <c r="AK160" i="25" s="1"/>
  <c r="AL160" i="25"/>
  <c r="AM160" i="25" s="1"/>
  <c r="AN160" i="25" s="1"/>
  <c r="AI154" i="25"/>
  <c r="AJ154" i="25" s="1"/>
  <c r="AK154" i="25" s="1"/>
  <c r="AL154" i="25"/>
  <c r="AM154" i="25" s="1"/>
  <c r="AN154" i="25" s="1"/>
  <c r="AH162" i="25"/>
  <c r="AW165" i="25" s="1"/>
  <c r="AL150" i="25"/>
  <c r="AM150" i="25" s="1"/>
  <c r="AN150" i="25" s="1"/>
  <c r="AI150" i="25"/>
  <c r="AJ150" i="25" s="1"/>
  <c r="AK150" i="25" s="1"/>
  <c r="AI158" i="25"/>
  <c r="AJ158" i="25" s="1"/>
  <c r="AK158" i="25" s="1"/>
  <c r="AL158" i="25"/>
  <c r="AM158" i="25" s="1"/>
  <c r="AN158" i="25" s="1"/>
  <c r="AL161" i="25"/>
  <c r="AM161" i="25" s="1"/>
  <c r="AN161" i="25" s="1"/>
  <c r="AI161" i="25"/>
  <c r="AJ161" i="25" s="1"/>
  <c r="AK161" i="25" s="1"/>
  <c r="S151" i="25"/>
  <c r="AL157" i="25"/>
  <c r="AM157" i="25" s="1"/>
  <c r="AN157" i="25" s="1"/>
  <c r="AI157" i="25"/>
  <c r="AJ157" i="25" s="1"/>
  <c r="AK157" i="25" s="1"/>
  <c r="AI152" i="25"/>
  <c r="AJ152" i="25" s="1"/>
  <c r="AK152" i="25" s="1"/>
  <c r="AL152" i="25"/>
  <c r="AM152" i="25" s="1"/>
  <c r="AN152" i="25" s="1"/>
  <c r="AL151" i="25"/>
  <c r="AM151" i="25" s="1"/>
  <c r="AN151" i="25" s="1"/>
  <c r="AI151" i="25"/>
  <c r="AJ151" i="25" s="1"/>
  <c r="AK151" i="25" s="1"/>
  <c r="AI156" i="25"/>
  <c r="AJ156" i="25" s="1"/>
  <c r="AK156" i="25" s="1"/>
  <c r="AL156" i="25"/>
  <c r="AM156" i="25" s="1"/>
  <c r="AN156" i="25" s="1"/>
  <c r="BH112" i="20"/>
  <c r="AJ141" i="24"/>
  <c r="AK141" i="24" s="1"/>
  <c r="AL141" i="24" s="1"/>
  <c r="AM141" i="24"/>
  <c r="AN141" i="24" s="1"/>
  <c r="AO141" i="24" s="1"/>
  <c r="AI141" i="24"/>
  <c r="AM154" i="24"/>
  <c r="AN154" i="24" s="1"/>
  <c r="AO154" i="24" s="1"/>
  <c r="AJ154" i="24"/>
  <c r="AK154" i="24" s="1"/>
  <c r="AL154" i="24" s="1"/>
  <c r="AJ155" i="24"/>
  <c r="AK155" i="24" s="1"/>
  <c r="AL155" i="24" s="1"/>
  <c r="AM155" i="24"/>
  <c r="AN155" i="24" s="1"/>
  <c r="AO155" i="24" s="1"/>
  <c r="AJ148" i="24"/>
  <c r="AK148" i="24" s="1"/>
  <c r="AL148" i="24" s="1"/>
  <c r="AM148" i="24"/>
  <c r="AN148" i="24" s="1"/>
  <c r="AO148" i="24" s="1"/>
  <c r="AM143" i="24"/>
  <c r="AN143" i="24" s="1"/>
  <c r="AO143" i="24" s="1"/>
  <c r="AJ143" i="24"/>
  <c r="AK143" i="24" s="1"/>
  <c r="AL143" i="24" s="1"/>
  <c r="AM139" i="24"/>
  <c r="AN139" i="24" s="1"/>
  <c r="AO139" i="24" s="1"/>
  <c r="AI139" i="24"/>
  <c r="AJ139" i="24"/>
  <c r="AK139" i="24" s="1"/>
  <c r="AL139" i="24" s="1"/>
  <c r="AJ146" i="24"/>
  <c r="AK146" i="24" s="1"/>
  <c r="AL146" i="24" s="1"/>
  <c r="AM146" i="24"/>
  <c r="AN146" i="24" s="1"/>
  <c r="AO146" i="24" s="1"/>
  <c r="AJ156" i="24"/>
  <c r="AK156" i="24" s="1"/>
  <c r="AL156" i="24" s="1"/>
  <c r="AM156" i="24"/>
  <c r="AN156" i="24" s="1"/>
  <c r="AO156" i="24" s="1"/>
  <c r="AJ153" i="24"/>
  <c r="AK153" i="24" s="1"/>
  <c r="AL153" i="24" s="1"/>
  <c r="AM153" i="24"/>
  <c r="AN153" i="24" s="1"/>
  <c r="AO153" i="24" s="1"/>
  <c r="BG167" i="24"/>
  <c r="AM147" i="24"/>
  <c r="AN147" i="24" s="1"/>
  <c r="AO147" i="24" s="1"/>
  <c r="AJ147" i="24"/>
  <c r="AK147" i="24" s="1"/>
  <c r="AL147" i="24" s="1"/>
  <c r="AJ142" i="24"/>
  <c r="AK142" i="24" s="1"/>
  <c r="AL142" i="24" s="1"/>
  <c r="AM142" i="24"/>
  <c r="AN142" i="24" s="1"/>
  <c r="AO142" i="24" s="1"/>
  <c r="AM150" i="24"/>
  <c r="AN150" i="24" s="1"/>
  <c r="AO150" i="24" s="1"/>
  <c r="AJ150" i="24"/>
  <c r="AK150" i="24" s="1"/>
  <c r="AL150" i="24" s="1"/>
  <c r="AM158" i="24"/>
  <c r="AN158" i="24" s="1"/>
  <c r="AO158" i="24" s="1"/>
  <c r="AJ158" i="24"/>
  <c r="AK158" i="24" s="1"/>
  <c r="AL158" i="24" s="1"/>
  <c r="AM151" i="24"/>
  <c r="AN151" i="24" s="1"/>
  <c r="AO151" i="24" s="1"/>
  <c r="AJ151" i="24"/>
  <c r="AK151" i="24" s="1"/>
  <c r="AL151" i="24" s="1"/>
  <c r="AJ145" i="24"/>
  <c r="AK145" i="24" s="1"/>
  <c r="AL145" i="24" s="1"/>
  <c r="AM145" i="24"/>
  <c r="AN145" i="24" s="1"/>
  <c r="AO145" i="24" s="1"/>
  <c r="AJ144" i="24"/>
  <c r="AK144" i="24" s="1"/>
  <c r="AL144" i="24" s="1"/>
  <c r="AM144" i="24"/>
  <c r="AN144" i="24" s="1"/>
  <c r="AO144" i="24" s="1"/>
  <c r="AM140" i="24"/>
  <c r="AN140" i="24" s="1"/>
  <c r="AO140" i="24" s="1"/>
  <c r="AI140" i="24"/>
  <c r="AJ140" i="24"/>
  <c r="AK140" i="24" s="1"/>
  <c r="AL140" i="24" s="1"/>
  <c r="AJ152" i="24"/>
  <c r="AK152" i="24" s="1"/>
  <c r="AL152" i="24" s="1"/>
  <c r="AM152" i="24"/>
  <c r="AN152" i="24" s="1"/>
  <c r="AO152" i="24" s="1"/>
  <c r="AJ157" i="24"/>
  <c r="AK157" i="24" s="1"/>
  <c r="AL157" i="24" s="1"/>
  <c r="AM157" i="24"/>
  <c r="AN157" i="24" s="1"/>
  <c r="AO157" i="24" s="1"/>
  <c r="BG188" i="23"/>
  <c r="AH153" i="23"/>
  <c r="V153" i="23"/>
  <c r="R154" i="23"/>
  <c r="S154" i="23" s="1"/>
  <c r="AG149" i="22"/>
  <c r="AS164" i="22"/>
  <c r="BG176" i="7"/>
  <c r="C7" i="7"/>
  <c r="BQ53" i="7" s="1"/>
  <c r="BG182" i="3"/>
  <c r="BG183" i="3" s="1"/>
  <c r="C7" i="3"/>
  <c r="AS163" i="2"/>
  <c r="CC79" i="2"/>
  <c r="CA79" i="2"/>
  <c r="BY79" i="2"/>
  <c r="BW79" i="2"/>
  <c r="BU79" i="2"/>
  <c r="BS79" i="2"/>
  <c r="BQ79" i="2"/>
  <c r="BO79" i="2"/>
  <c r="BZ123" i="2"/>
  <c r="BZ125" i="2" s="1"/>
  <c r="BX123" i="2"/>
  <c r="BX125" i="2" s="1"/>
  <c r="BR123" i="2"/>
  <c r="BR125" i="2" s="1"/>
  <c r="BP123" i="2"/>
  <c r="BP125" i="2" s="1"/>
  <c r="C7" i="2"/>
  <c r="BC49" i="2" s="1"/>
  <c r="F2" i="2"/>
  <c r="D2" i="2"/>
  <c r="AS175" i="28" l="1"/>
  <c r="J38" i="7"/>
  <c r="J56" i="7"/>
  <c r="L32" i="7"/>
  <c r="J50" i="7"/>
  <c r="L26" i="7"/>
  <c r="L44" i="7"/>
  <c r="J20" i="7"/>
  <c r="J56" i="2"/>
  <c r="L44" i="2"/>
  <c r="J20" i="2"/>
  <c r="J38" i="2"/>
  <c r="L32" i="2"/>
  <c r="J50" i="2"/>
  <c r="L26" i="2"/>
  <c r="AS150" i="25"/>
  <c r="AS182" i="28"/>
  <c r="AS179" i="29"/>
  <c r="AT183" i="28"/>
  <c r="AS172" i="28"/>
  <c r="AC169" i="31"/>
  <c r="AA170" i="31" s="1"/>
  <c r="L43" i="25"/>
  <c r="J49" i="25"/>
  <c r="L43" i="26"/>
  <c r="J49" i="26"/>
  <c r="J48" i="7"/>
  <c r="L85" i="7"/>
  <c r="L42" i="7"/>
  <c r="AS149" i="24"/>
  <c r="J49" i="24"/>
  <c r="L43" i="24"/>
  <c r="L43" i="23"/>
  <c r="J49" i="23"/>
  <c r="AT180" i="28"/>
  <c r="L42" i="2"/>
  <c r="L85" i="2"/>
  <c r="J48" i="2"/>
  <c r="H11" i="2"/>
  <c r="H9" i="2"/>
  <c r="AS165" i="28"/>
  <c r="AT227" i="31"/>
  <c r="T229" i="31"/>
  <c r="S230" i="31"/>
  <c r="R229" i="31"/>
  <c r="V228" i="31"/>
  <c r="AT199" i="31"/>
  <c r="S154" i="31"/>
  <c r="T153" i="31"/>
  <c r="R154" i="31" s="1"/>
  <c r="BG181" i="31"/>
  <c r="V200" i="31"/>
  <c r="AE200" i="31" s="1"/>
  <c r="R201" i="31"/>
  <c r="S202" i="31"/>
  <c r="T201" i="31"/>
  <c r="R165" i="28"/>
  <c r="S165" i="28" s="1"/>
  <c r="V164" i="28"/>
  <c r="AI186" i="28"/>
  <c r="AT179" i="28"/>
  <c r="AS179" i="28"/>
  <c r="AS169" i="28"/>
  <c r="AV172" i="30"/>
  <c r="R146" i="30"/>
  <c r="V145" i="30"/>
  <c r="AH144" i="30"/>
  <c r="S147" i="30"/>
  <c r="T146" i="30"/>
  <c r="BH77" i="29"/>
  <c r="S182" i="29"/>
  <c r="T181" i="29"/>
  <c r="R154" i="29"/>
  <c r="V153" i="29"/>
  <c r="AS152" i="29"/>
  <c r="AE152" i="29"/>
  <c r="S155" i="29"/>
  <c r="T154" i="29"/>
  <c r="V180" i="29"/>
  <c r="R181" i="29"/>
  <c r="V139" i="24"/>
  <c r="AE139" i="24" s="1"/>
  <c r="AR138" i="26"/>
  <c r="C8" i="26" s="1"/>
  <c r="R148" i="28"/>
  <c r="V147" i="28"/>
  <c r="AE146" i="28"/>
  <c r="AT146" i="28"/>
  <c r="AH150" i="26"/>
  <c r="AR143" i="26"/>
  <c r="AR141" i="26"/>
  <c r="AR147" i="26"/>
  <c r="AH165" i="23"/>
  <c r="AL153" i="23"/>
  <c r="AM153" i="23" s="1"/>
  <c r="AN153" i="23" s="1"/>
  <c r="AS153" i="23" s="1"/>
  <c r="AI153" i="23"/>
  <c r="AJ153" i="23" s="1"/>
  <c r="AK153" i="23" s="1"/>
  <c r="AB142" i="22"/>
  <c r="AH142" i="22" s="1"/>
  <c r="AS141" i="24"/>
  <c r="T148" i="28"/>
  <c r="S149" i="28"/>
  <c r="BH219" i="28"/>
  <c r="BH219" i="27"/>
  <c r="AR145" i="26"/>
  <c r="AR139" i="26"/>
  <c r="S140" i="26"/>
  <c r="T139" i="26"/>
  <c r="AS138" i="26"/>
  <c r="AR148" i="26"/>
  <c r="BG195" i="26"/>
  <c r="AR146" i="26"/>
  <c r="AR144" i="26"/>
  <c r="AR142" i="26"/>
  <c r="AR140" i="26"/>
  <c r="AR158" i="25"/>
  <c r="AR151" i="25"/>
  <c r="AR157" i="25"/>
  <c r="AR160" i="25"/>
  <c r="AR152" i="25"/>
  <c r="AR161" i="25"/>
  <c r="AR150" i="25"/>
  <c r="C171" i="25"/>
  <c r="X150" i="25"/>
  <c r="Z150" i="25" s="1"/>
  <c r="AR156" i="25"/>
  <c r="S152" i="25"/>
  <c r="T151" i="25"/>
  <c r="AR154" i="25"/>
  <c r="BG189" i="25"/>
  <c r="BH113" i="20"/>
  <c r="AS140" i="24"/>
  <c r="T140" i="24"/>
  <c r="S141" i="24"/>
  <c r="AS158" i="24"/>
  <c r="AT158" i="24"/>
  <c r="AS144" i="24"/>
  <c r="AS145" i="24"/>
  <c r="AS156" i="24"/>
  <c r="AT156" i="24"/>
  <c r="AS143" i="24"/>
  <c r="AS151" i="24"/>
  <c r="AT151" i="24"/>
  <c r="AS150" i="24"/>
  <c r="AS147" i="24"/>
  <c r="AI160" i="24"/>
  <c r="AS155" i="24"/>
  <c r="AT155" i="24"/>
  <c r="AT157" i="24"/>
  <c r="AS157" i="24"/>
  <c r="AS152" i="24"/>
  <c r="AT152" i="24"/>
  <c r="AS142" i="24"/>
  <c r="BG168" i="24"/>
  <c r="AT153" i="24"/>
  <c r="AS153" i="24"/>
  <c r="AS146" i="24"/>
  <c r="AS139" i="24"/>
  <c r="AS148" i="24"/>
  <c r="AS154" i="24"/>
  <c r="AT154" i="24"/>
  <c r="AR161" i="23"/>
  <c r="AR154" i="23"/>
  <c r="AR162" i="23"/>
  <c r="AR163" i="23"/>
  <c r="AR156" i="23"/>
  <c r="T154" i="23"/>
  <c r="S155" i="23"/>
  <c r="AR157" i="23"/>
  <c r="AR160" i="23"/>
  <c r="AE153" i="23"/>
  <c r="AR158" i="23"/>
  <c r="AR164" i="23"/>
  <c r="AR155" i="23"/>
  <c r="AR159" i="23"/>
  <c r="BG189" i="23"/>
  <c r="AG153" i="22"/>
  <c r="AG147" i="22"/>
  <c r="AG150" i="22"/>
  <c r="AG145" i="22"/>
  <c r="AG152" i="22"/>
  <c r="AS165" i="22"/>
  <c r="AG146" i="22"/>
  <c r="AG144" i="22"/>
  <c r="R144" i="22"/>
  <c r="S143" i="22"/>
  <c r="AG143" i="22"/>
  <c r="AG148" i="22"/>
  <c r="AG151" i="22"/>
  <c r="BO84" i="7"/>
  <c r="BG177" i="7"/>
  <c r="BQ25" i="3"/>
  <c r="BG184" i="3"/>
  <c r="AS164" i="2"/>
  <c r="BA80" i="2"/>
  <c r="X164" i="28" l="1"/>
  <c r="Z164" i="28" s="1"/>
  <c r="AX190" i="28"/>
  <c r="C159" i="26"/>
  <c r="AG166" i="26" s="1"/>
  <c r="AW153" i="26"/>
  <c r="J56" i="3"/>
  <c r="L32" i="3"/>
  <c r="L44" i="3"/>
  <c r="J20" i="3"/>
  <c r="J50" i="3"/>
  <c r="J38" i="3"/>
  <c r="L26" i="3"/>
  <c r="J49" i="7"/>
  <c r="L43" i="7"/>
  <c r="BO56" i="3"/>
  <c r="J48" i="3"/>
  <c r="L42" i="3"/>
  <c r="L85" i="3"/>
  <c r="J49" i="2"/>
  <c r="L43" i="2"/>
  <c r="AG178" i="25"/>
  <c r="AG177" i="25"/>
  <c r="O178" i="25"/>
  <c r="P178" i="25" s="1"/>
  <c r="Q178" i="25" s="1"/>
  <c r="O177" i="25"/>
  <c r="P177" i="25" s="1"/>
  <c r="Q177" i="25" s="1"/>
  <c r="AT228" i="31"/>
  <c r="T230" i="31"/>
  <c r="S231" i="31"/>
  <c r="R230" i="31"/>
  <c r="V229" i="31"/>
  <c r="V201" i="31"/>
  <c r="R202" i="31"/>
  <c r="S203" i="31"/>
  <c r="T202" i="31"/>
  <c r="BG182" i="31"/>
  <c r="AT200" i="31"/>
  <c r="T154" i="31"/>
  <c r="R155" i="31" s="1"/>
  <c r="S155" i="31"/>
  <c r="C196" i="28"/>
  <c r="O198" i="28" s="1"/>
  <c r="P198" i="28" s="1"/>
  <c r="Q198" i="28" s="1"/>
  <c r="AE164" i="28"/>
  <c r="AT164" i="28"/>
  <c r="T165" i="28"/>
  <c r="S166" i="28"/>
  <c r="AT139" i="24"/>
  <c r="AM165" i="24"/>
  <c r="AN165" i="24" s="1"/>
  <c r="AO165" i="24" s="1"/>
  <c r="AM162" i="24"/>
  <c r="AN162" i="24" s="1"/>
  <c r="AO162" i="24" s="1"/>
  <c r="AL171" i="23"/>
  <c r="AM171" i="23" s="1"/>
  <c r="AN171" i="23" s="1"/>
  <c r="AL168" i="23"/>
  <c r="AM168" i="23" s="1"/>
  <c r="AN168" i="23" s="1"/>
  <c r="X153" i="23"/>
  <c r="Z153" i="23" s="1"/>
  <c r="S148" i="30"/>
  <c r="T147" i="30"/>
  <c r="AH145" i="30"/>
  <c r="AV173" i="30"/>
  <c r="R147" i="30"/>
  <c r="V146" i="30"/>
  <c r="AS180" i="29"/>
  <c r="V154" i="29"/>
  <c r="R155" i="29"/>
  <c r="T155" i="29"/>
  <c r="S156" i="29"/>
  <c r="V181" i="29"/>
  <c r="R182" i="29"/>
  <c r="AE153" i="29"/>
  <c r="AS153" i="29"/>
  <c r="S183" i="29"/>
  <c r="T182" i="29"/>
  <c r="BH78" i="29"/>
  <c r="AG142" i="22"/>
  <c r="C8" i="22" s="1"/>
  <c r="R149" i="28"/>
  <c r="V148" i="28"/>
  <c r="AE147" i="28"/>
  <c r="AT147" i="28"/>
  <c r="C177" i="23"/>
  <c r="AG194" i="23" s="1"/>
  <c r="X138" i="26"/>
  <c r="Z138" i="26" s="1"/>
  <c r="R140" i="26"/>
  <c r="V139" i="26"/>
  <c r="AR153" i="23"/>
  <c r="C8" i="23" s="1"/>
  <c r="BH220" i="28"/>
  <c r="T149" i="28"/>
  <c r="S150" i="28"/>
  <c r="AH152" i="27"/>
  <c r="AI152" i="27" s="1"/>
  <c r="AH147" i="27"/>
  <c r="AI147" i="27" s="1"/>
  <c r="AH145" i="27"/>
  <c r="AI145" i="27" s="1"/>
  <c r="AH143" i="27"/>
  <c r="AI143" i="27" s="1"/>
  <c r="AH149" i="27"/>
  <c r="AI149" i="27" s="1"/>
  <c r="O149" i="27"/>
  <c r="P149" i="27" s="1"/>
  <c r="Q149" i="27" s="1"/>
  <c r="O153" i="27"/>
  <c r="P153" i="27" s="1"/>
  <c r="Q153" i="27" s="1"/>
  <c r="AH150" i="27"/>
  <c r="AI150" i="27" s="1"/>
  <c r="O150" i="27"/>
  <c r="P150" i="27" s="1"/>
  <c r="Q150" i="27" s="1"/>
  <c r="AH142" i="27"/>
  <c r="AI142" i="27" s="1"/>
  <c r="AH153" i="27"/>
  <c r="AI153" i="27" s="1"/>
  <c r="O152" i="27"/>
  <c r="P152" i="27" s="1"/>
  <c r="Q152" i="27" s="1"/>
  <c r="AH148" i="27"/>
  <c r="AI148" i="27" s="1"/>
  <c r="O148" i="27"/>
  <c r="P148" i="27" s="1"/>
  <c r="Q148" i="27" s="1"/>
  <c r="O147" i="27"/>
  <c r="P147" i="27" s="1"/>
  <c r="Q147" i="27" s="1"/>
  <c r="AH146" i="27"/>
  <c r="AI146" i="27" s="1"/>
  <c r="O146" i="27"/>
  <c r="P146" i="27" s="1"/>
  <c r="Q146" i="27" s="1"/>
  <c r="O145" i="27"/>
  <c r="P145" i="27" s="1"/>
  <c r="Q145" i="27" s="1"/>
  <c r="AH144" i="27"/>
  <c r="AI144" i="27" s="1"/>
  <c r="O144" i="27"/>
  <c r="P144" i="27" s="1"/>
  <c r="Q144" i="27" s="1"/>
  <c r="O143" i="27"/>
  <c r="P143" i="27" s="1"/>
  <c r="Q143" i="27" s="1"/>
  <c r="J142" i="27"/>
  <c r="P142" i="27" s="1"/>
  <c r="Q142" i="27" s="1"/>
  <c r="S142" i="27" s="1"/>
  <c r="T142" i="27" s="1"/>
  <c r="O151" i="27"/>
  <c r="P151" i="27" s="1"/>
  <c r="Q151" i="27" s="1"/>
  <c r="AH151" i="27"/>
  <c r="AI151" i="27" s="1"/>
  <c r="BH220" i="27"/>
  <c r="T140" i="26"/>
  <c r="S141" i="26"/>
  <c r="BG196" i="26"/>
  <c r="S153" i="25"/>
  <c r="T152" i="25"/>
  <c r="BG190" i="25"/>
  <c r="O175" i="25"/>
  <c r="P175" i="25" s="1"/>
  <c r="Q175" i="25" s="1"/>
  <c r="O176" i="25"/>
  <c r="P176" i="25" s="1"/>
  <c r="Q176" i="25" s="1"/>
  <c r="AG174" i="25"/>
  <c r="AG173" i="25"/>
  <c r="AG172" i="25"/>
  <c r="AG171" i="25"/>
  <c r="O171" i="25"/>
  <c r="P171" i="25" s="1"/>
  <c r="AG175" i="25"/>
  <c r="O174" i="25"/>
  <c r="P174" i="25" s="1"/>
  <c r="Q174" i="25" s="1"/>
  <c r="AG176" i="25"/>
  <c r="O173" i="25"/>
  <c r="P173" i="25" s="1"/>
  <c r="Q173" i="25" s="1"/>
  <c r="O172" i="25"/>
  <c r="P172" i="25" s="1"/>
  <c r="Q172" i="25" s="1"/>
  <c r="J171" i="25"/>
  <c r="K171" i="25" s="1"/>
  <c r="L171" i="25" s="1"/>
  <c r="M171" i="25" s="1"/>
  <c r="N171" i="25" s="1"/>
  <c r="R152" i="25"/>
  <c r="V151" i="25"/>
  <c r="C8" i="25"/>
  <c r="BH114" i="20"/>
  <c r="C8" i="24"/>
  <c r="C171" i="24"/>
  <c r="X139" i="24"/>
  <c r="Z139" i="24" s="1"/>
  <c r="T141" i="24"/>
  <c r="S142" i="24"/>
  <c r="BG169" i="24"/>
  <c r="R141" i="24"/>
  <c r="V140" i="24"/>
  <c r="R155" i="23"/>
  <c r="V154" i="23"/>
  <c r="T155" i="23"/>
  <c r="S156" i="23"/>
  <c r="BG190" i="23"/>
  <c r="R145" i="22"/>
  <c r="S144" i="22"/>
  <c r="AS166" i="22"/>
  <c r="Q144" i="22"/>
  <c r="V143" i="22"/>
  <c r="BG178" i="7"/>
  <c r="BG185" i="3"/>
  <c r="AS165" i="2"/>
  <c r="C12" i="1"/>
  <c r="BG49" i="1" s="1"/>
  <c r="BT123" i="1"/>
  <c r="BT125" i="1" s="1"/>
  <c r="CG79" i="1"/>
  <c r="CE79" i="1"/>
  <c r="CC79" i="1"/>
  <c r="CA79" i="1"/>
  <c r="BY79" i="1"/>
  <c r="BW79" i="1"/>
  <c r="BU79" i="1"/>
  <c r="BS79" i="1"/>
  <c r="O164" i="26" l="1"/>
  <c r="P164" i="26" s="1"/>
  <c r="Q164" i="26" s="1"/>
  <c r="AG164" i="26"/>
  <c r="AI164" i="26" s="1"/>
  <c r="AJ164" i="26" s="1"/>
  <c r="AK164" i="26" s="1"/>
  <c r="AG159" i="26"/>
  <c r="AL159" i="26" s="1"/>
  <c r="AM159" i="26" s="1"/>
  <c r="AN159" i="26" s="1"/>
  <c r="J159" i="26"/>
  <c r="K159" i="26" s="1"/>
  <c r="L159" i="26" s="1"/>
  <c r="M159" i="26" s="1"/>
  <c r="N159" i="26" s="1"/>
  <c r="O161" i="26"/>
  <c r="P161" i="26" s="1"/>
  <c r="Q161" i="26" s="1"/>
  <c r="AG163" i="26"/>
  <c r="AI163" i="26" s="1"/>
  <c r="AJ163" i="26" s="1"/>
  <c r="AK163" i="26" s="1"/>
  <c r="AG165" i="26"/>
  <c r="AL165" i="26" s="1"/>
  <c r="AM165" i="26" s="1"/>
  <c r="AN165" i="26" s="1"/>
  <c r="AG162" i="26"/>
  <c r="AI162" i="26" s="1"/>
  <c r="AJ162" i="26" s="1"/>
  <c r="AK162" i="26" s="1"/>
  <c r="O160" i="26"/>
  <c r="P160" i="26" s="1"/>
  <c r="Q160" i="26" s="1"/>
  <c r="O162" i="26"/>
  <c r="P162" i="26" s="1"/>
  <c r="Q162" i="26" s="1"/>
  <c r="O166" i="26"/>
  <c r="P166" i="26" s="1"/>
  <c r="Q166" i="26" s="1"/>
  <c r="O165" i="26"/>
  <c r="P165" i="26" s="1"/>
  <c r="Q165" i="26" s="1"/>
  <c r="O159" i="26"/>
  <c r="P159" i="26" s="1"/>
  <c r="AG160" i="26"/>
  <c r="AI160" i="26" s="1"/>
  <c r="AJ160" i="26" s="1"/>
  <c r="AK160" i="26" s="1"/>
  <c r="AG161" i="26"/>
  <c r="AL161" i="26" s="1"/>
  <c r="AM161" i="26" s="1"/>
  <c r="AN161" i="26" s="1"/>
  <c r="O163" i="26"/>
  <c r="P163" i="26" s="1"/>
  <c r="Q163" i="26" s="1"/>
  <c r="L32" i="1"/>
  <c r="J38" i="1"/>
  <c r="L44" i="1"/>
  <c r="J50" i="1"/>
  <c r="J56" i="1"/>
  <c r="L26" i="1"/>
  <c r="J20" i="1"/>
  <c r="L43" i="3"/>
  <c r="J49" i="3"/>
  <c r="O196" i="28"/>
  <c r="P196" i="28" s="1"/>
  <c r="BE80" i="1"/>
  <c r="L85" i="1"/>
  <c r="AH198" i="28"/>
  <c r="AJ198" i="28" s="1"/>
  <c r="AK198" i="28" s="1"/>
  <c r="AL198" i="28" s="1"/>
  <c r="AH200" i="28"/>
  <c r="AM200" i="28" s="1"/>
  <c r="AN200" i="28" s="1"/>
  <c r="AO200" i="28" s="1"/>
  <c r="L42" i="1"/>
  <c r="L43" i="1" s="1"/>
  <c r="J48" i="1"/>
  <c r="AH197" i="28"/>
  <c r="AM197" i="28" s="1"/>
  <c r="AN197" i="28" s="1"/>
  <c r="AO197" i="28" s="1"/>
  <c r="O202" i="28"/>
  <c r="P202" i="28" s="1"/>
  <c r="Q202" i="28" s="1"/>
  <c r="AH201" i="28"/>
  <c r="AM201" i="28" s="1"/>
  <c r="AN201" i="28" s="1"/>
  <c r="AO201" i="28" s="1"/>
  <c r="AH202" i="28"/>
  <c r="AJ202" i="28" s="1"/>
  <c r="AK202" i="28" s="1"/>
  <c r="AL202" i="28" s="1"/>
  <c r="AH203" i="28"/>
  <c r="AJ203" i="28" s="1"/>
  <c r="AK203" i="28" s="1"/>
  <c r="AL203" i="28" s="1"/>
  <c r="O203" i="28"/>
  <c r="P203" i="28" s="1"/>
  <c r="Q203" i="28" s="1"/>
  <c r="O197" i="28"/>
  <c r="P197" i="28" s="1"/>
  <c r="Q197" i="28" s="1"/>
  <c r="AH199" i="28"/>
  <c r="AM199" i="28" s="1"/>
  <c r="AN199" i="28" s="1"/>
  <c r="AO199" i="28" s="1"/>
  <c r="O200" i="28"/>
  <c r="P200" i="28" s="1"/>
  <c r="Q200" i="28" s="1"/>
  <c r="O201" i="28"/>
  <c r="P201" i="28" s="1"/>
  <c r="Q201" i="28" s="1"/>
  <c r="J196" i="28"/>
  <c r="K196" i="28" s="1"/>
  <c r="L196" i="28" s="1"/>
  <c r="M196" i="28" s="1"/>
  <c r="N196" i="28" s="1"/>
  <c r="AI177" i="25"/>
  <c r="AJ177" i="25" s="1"/>
  <c r="AK177" i="25" s="1"/>
  <c r="AL177" i="25"/>
  <c r="AM177" i="25" s="1"/>
  <c r="AN177" i="25" s="1"/>
  <c r="AI178" i="25"/>
  <c r="AJ178" i="25" s="1"/>
  <c r="AK178" i="25" s="1"/>
  <c r="AL178" i="25"/>
  <c r="AM178" i="25" s="1"/>
  <c r="AN178" i="25" s="1"/>
  <c r="AI165" i="26"/>
  <c r="AJ165" i="26" s="1"/>
  <c r="AK165" i="26" s="1"/>
  <c r="AI166" i="26"/>
  <c r="AJ166" i="26" s="1"/>
  <c r="AK166" i="26" s="1"/>
  <c r="AL166" i="26"/>
  <c r="AM166" i="26" s="1"/>
  <c r="AN166" i="26" s="1"/>
  <c r="R203" i="31"/>
  <c r="V202" i="31"/>
  <c r="AE201" i="31"/>
  <c r="T231" i="31"/>
  <c r="S232" i="31"/>
  <c r="T232" i="31" s="1"/>
  <c r="V232" i="31" s="1"/>
  <c r="R231" i="31"/>
  <c r="V230" i="31"/>
  <c r="AT229" i="31"/>
  <c r="S156" i="31"/>
  <c r="T155" i="31"/>
  <c r="R156" i="31" s="1"/>
  <c r="BG183" i="31"/>
  <c r="S204" i="31"/>
  <c r="T203" i="31"/>
  <c r="AT201" i="31"/>
  <c r="AH196" i="28"/>
  <c r="O199" i="28"/>
  <c r="P199" i="28" s="1"/>
  <c r="Q199" i="28" s="1"/>
  <c r="T166" i="28"/>
  <c r="S167" i="28"/>
  <c r="V165" i="28"/>
  <c r="R166" i="28"/>
  <c r="AP165" i="24"/>
  <c r="AO171" i="23"/>
  <c r="AH146" i="30"/>
  <c r="R148" i="30"/>
  <c r="V147" i="30"/>
  <c r="S149" i="30"/>
  <c r="T148" i="30"/>
  <c r="AV174" i="30"/>
  <c r="AS181" i="29"/>
  <c r="AS154" i="29"/>
  <c r="AE154" i="29"/>
  <c r="V182" i="29"/>
  <c r="R183" i="29"/>
  <c r="T156" i="29"/>
  <c r="S157" i="29"/>
  <c r="R156" i="29"/>
  <c r="V155" i="29"/>
  <c r="BH79" i="29"/>
  <c r="S184" i="29"/>
  <c r="T183" i="29"/>
  <c r="AJ152" i="27"/>
  <c r="AK152" i="27" s="1"/>
  <c r="AL152" i="27" s="1"/>
  <c r="AM152" i="27"/>
  <c r="AN152" i="27" s="1"/>
  <c r="AO152" i="27" s="1"/>
  <c r="AJ153" i="27"/>
  <c r="AK153" i="27" s="1"/>
  <c r="AL153" i="27" s="1"/>
  <c r="AM153" i="27"/>
  <c r="AN153" i="27" s="1"/>
  <c r="AO153" i="27" s="1"/>
  <c r="O183" i="23"/>
  <c r="P183" i="23" s="1"/>
  <c r="Q183" i="23" s="1"/>
  <c r="O192" i="23"/>
  <c r="P192" i="23" s="1"/>
  <c r="Q192" i="23" s="1"/>
  <c r="AG180" i="23"/>
  <c r="AL180" i="23" s="1"/>
  <c r="AM180" i="23" s="1"/>
  <c r="AN180" i="23" s="1"/>
  <c r="AG183" i="23"/>
  <c r="AL183" i="23" s="1"/>
  <c r="AM183" i="23" s="1"/>
  <c r="AN183" i="23" s="1"/>
  <c r="AG181" i="23"/>
  <c r="AL181" i="23" s="1"/>
  <c r="AM181" i="23" s="1"/>
  <c r="AN181" i="23" s="1"/>
  <c r="AG195" i="23"/>
  <c r="AI195" i="23" s="1"/>
  <c r="AJ195" i="23" s="1"/>
  <c r="AK195" i="23" s="1"/>
  <c r="AG177" i="23"/>
  <c r="AI177" i="23" s="1"/>
  <c r="AJ177" i="23" s="1"/>
  <c r="AK177" i="23" s="1"/>
  <c r="O194" i="23"/>
  <c r="P194" i="23" s="1"/>
  <c r="Q194" i="23" s="1"/>
  <c r="O182" i="23"/>
  <c r="P182" i="23" s="1"/>
  <c r="Q182" i="23" s="1"/>
  <c r="AG191" i="23"/>
  <c r="AL191" i="23" s="1"/>
  <c r="AM191" i="23" s="1"/>
  <c r="AN191" i="23" s="1"/>
  <c r="AG196" i="23"/>
  <c r="AL196" i="23" s="1"/>
  <c r="AM196" i="23" s="1"/>
  <c r="AN196" i="23" s="1"/>
  <c r="AE148" i="28"/>
  <c r="AT148" i="28"/>
  <c r="R150" i="28"/>
  <c r="V149" i="28"/>
  <c r="J177" i="23"/>
  <c r="K177" i="23" s="1"/>
  <c r="L177" i="23" s="1"/>
  <c r="M177" i="23" s="1"/>
  <c r="N177" i="23" s="1"/>
  <c r="O181" i="23"/>
  <c r="P181" i="23" s="1"/>
  <c r="Q181" i="23" s="1"/>
  <c r="AG186" i="23"/>
  <c r="AL186" i="23" s="1"/>
  <c r="AM186" i="23" s="1"/>
  <c r="AN186" i="23" s="1"/>
  <c r="O190" i="23"/>
  <c r="P190" i="23" s="1"/>
  <c r="Q190" i="23" s="1"/>
  <c r="O193" i="23"/>
  <c r="P193" i="23" s="1"/>
  <c r="Q193" i="23" s="1"/>
  <c r="O177" i="23"/>
  <c r="P177" i="23" s="1"/>
  <c r="AG184" i="23"/>
  <c r="AI184" i="23" s="1"/>
  <c r="AJ184" i="23" s="1"/>
  <c r="AK184" i="23" s="1"/>
  <c r="AG187" i="23"/>
  <c r="AL187" i="23" s="1"/>
  <c r="AM187" i="23" s="1"/>
  <c r="AN187" i="23" s="1"/>
  <c r="AG193" i="23"/>
  <c r="AI193" i="23" s="1"/>
  <c r="AJ193" i="23" s="1"/>
  <c r="AK193" i="23" s="1"/>
  <c r="O195" i="23"/>
  <c r="P195" i="23" s="1"/>
  <c r="Q195" i="23" s="1"/>
  <c r="AG178" i="23"/>
  <c r="AI178" i="23" s="1"/>
  <c r="AJ178" i="23" s="1"/>
  <c r="AK178" i="23" s="1"/>
  <c r="O178" i="23"/>
  <c r="P178" i="23" s="1"/>
  <c r="Q178" i="23" s="1"/>
  <c r="O179" i="23"/>
  <c r="P179" i="23" s="1"/>
  <c r="Q179" i="23" s="1"/>
  <c r="O187" i="23"/>
  <c r="P187" i="23" s="1"/>
  <c r="Q187" i="23" s="1"/>
  <c r="O185" i="23"/>
  <c r="P185" i="23" s="1"/>
  <c r="Q185" i="23" s="1"/>
  <c r="O189" i="23"/>
  <c r="P189" i="23" s="1"/>
  <c r="Q189" i="23" s="1"/>
  <c r="O186" i="23"/>
  <c r="P186" i="23" s="1"/>
  <c r="Q186" i="23" s="1"/>
  <c r="AG188" i="23"/>
  <c r="AI188" i="23" s="1"/>
  <c r="AJ188" i="23" s="1"/>
  <c r="AK188" i="23" s="1"/>
  <c r="O196" i="23"/>
  <c r="P196" i="23" s="1"/>
  <c r="Q196" i="23" s="1"/>
  <c r="AG192" i="23"/>
  <c r="AL192" i="23" s="1"/>
  <c r="AM192" i="23" s="1"/>
  <c r="AN192" i="23" s="1"/>
  <c r="AG182" i="23"/>
  <c r="AI182" i="23" s="1"/>
  <c r="AJ182" i="23" s="1"/>
  <c r="AK182" i="23" s="1"/>
  <c r="O184" i="23"/>
  <c r="P184" i="23" s="1"/>
  <c r="Q184" i="23" s="1"/>
  <c r="O180" i="23"/>
  <c r="P180" i="23" s="1"/>
  <c r="Q180" i="23" s="1"/>
  <c r="AG179" i="23"/>
  <c r="AL179" i="23" s="1"/>
  <c r="AM179" i="23" s="1"/>
  <c r="AN179" i="23" s="1"/>
  <c r="AG185" i="23"/>
  <c r="AI185" i="23" s="1"/>
  <c r="AJ185" i="23" s="1"/>
  <c r="AK185" i="23" s="1"/>
  <c r="AG189" i="23"/>
  <c r="AI189" i="23" s="1"/>
  <c r="AJ189" i="23" s="1"/>
  <c r="AK189" i="23" s="1"/>
  <c r="O188" i="23"/>
  <c r="P188" i="23" s="1"/>
  <c r="Q188" i="23" s="1"/>
  <c r="AG190" i="23"/>
  <c r="AI190" i="23" s="1"/>
  <c r="AJ190" i="23" s="1"/>
  <c r="AK190" i="23" s="1"/>
  <c r="O191" i="23"/>
  <c r="P191" i="23" s="1"/>
  <c r="Q191" i="23" s="1"/>
  <c r="AJ151" i="27"/>
  <c r="AK151" i="27" s="1"/>
  <c r="AL151" i="27" s="1"/>
  <c r="AM151" i="27"/>
  <c r="AN151" i="27" s="1"/>
  <c r="AO151" i="27" s="1"/>
  <c r="AJ146" i="27"/>
  <c r="AK146" i="27" s="1"/>
  <c r="AL146" i="27" s="1"/>
  <c r="AM146" i="27"/>
  <c r="AN146" i="27" s="1"/>
  <c r="AO146" i="27" s="1"/>
  <c r="AJ150" i="27"/>
  <c r="AK150" i="27" s="1"/>
  <c r="AL150" i="27" s="1"/>
  <c r="AM150" i="27"/>
  <c r="AN150" i="27" s="1"/>
  <c r="AO150" i="27" s="1"/>
  <c r="AM145" i="27"/>
  <c r="AN145" i="27" s="1"/>
  <c r="AO145" i="27" s="1"/>
  <c r="AJ145" i="27"/>
  <c r="AK145" i="27" s="1"/>
  <c r="AL145" i="27" s="1"/>
  <c r="AM147" i="27"/>
  <c r="AN147" i="27" s="1"/>
  <c r="AO147" i="27" s="1"/>
  <c r="AJ147" i="27"/>
  <c r="AK147" i="27" s="1"/>
  <c r="AL147" i="27" s="1"/>
  <c r="AJ148" i="27"/>
  <c r="AK148" i="27" s="1"/>
  <c r="AL148" i="27" s="1"/>
  <c r="AM148" i="27"/>
  <c r="AN148" i="27" s="1"/>
  <c r="AO148" i="27" s="1"/>
  <c r="AJ149" i="27"/>
  <c r="AK149" i="27" s="1"/>
  <c r="AL149" i="27" s="1"/>
  <c r="AM149" i="27"/>
  <c r="AN149" i="27" s="1"/>
  <c r="AO149" i="27" s="1"/>
  <c r="AE139" i="26"/>
  <c r="AS139" i="26"/>
  <c r="R141" i="26"/>
  <c r="V140" i="26"/>
  <c r="BH221" i="28"/>
  <c r="T150" i="28"/>
  <c r="S151" i="28"/>
  <c r="AJ143" i="27"/>
  <c r="AK143" i="27" s="1"/>
  <c r="AL143" i="27" s="1"/>
  <c r="AM143" i="27"/>
  <c r="AN143" i="27" s="1"/>
  <c r="AO143" i="27" s="1"/>
  <c r="AM144" i="27"/>
  <c r="AN144" i="27" s="1"/>
  <c r="AO144" i="27" s="1"/>
  <c r="AJ144" i="27"/>
  <c r="AK144" i="27" s="1"/>
  <c r="AL144" i="27" s="1"/>
  <c r="BH221" i="27"/>
  <c r="R143" i="27"/>
  <c r="S143" i="27" s="1"/>
  <c r="V142" i="27"/>
  <c r="AM142" i="27"/>
  <c r="AN142" i="27" s="1"/>
  <c r="AO142" i="27" s="1"/>
  <c r="AI155" i="27"/>
  <c r="AJ142" i="27"/>
  <c r="AK142" i="27" s="1"/>
  <c r="AL142" i="27" s="1"/>
  <c r="S142" i="26"/>
  <c r="T141" i="26"/>
  <c r="AL164" i="26"/>
  <c r="AM164" i="26" s="1"/>
  <c r="AN164" i="26" s="1"/>
  <c r="BG197" i="26"/>
  <c r="Q171" i="25"/>
  <c r="S171" i="25" s="1"/>
  <c r="T171" i="25" s="1"/>
  <c r="V152" i="25"/>
  <c r="R153" i="25"/>
  <c r="AL172" i="25"/>
  <c r="AM172" i="25" s="1"/>
  <c r="AN172" i="25" s="1"/>
  <c r="AI172" i="25"/>
  <c r="AJ172" i="25" s="1"/>
  <c r="AK172" i="25" s="1"/>
  <c r="BG191" i="25"/>
  <c r="AS151" i="25"/>
  <c r="AE151" i="25"/>
  <c r="AI176" i="25"/>
  <c r="AJ176" i="25" s="1"/>
  <c r="AK176" i="25" s="1"/>
  <c r="AL176" i="25"/>
  <c r="AM176" i="25" s="1"/>
  <c r="AN176" i="25" s="1"/>
  <c r="AL174" i="25"/>
  <c r="AM174" i="25" s="1"/>
  <c r="AN174" i="25" s="1"/>
  <c r="AI174" i="25"/>
  <c r="AJ174" i="25" s="1"/>
  <c r="AK174" i="25" s="1"/>
  <c r="AI175" i="25"/>
  <c r="AJ175" i="25" s="1"/>
  <c r="AK175" i="25" s="1"/>
  <c r="AL175" i="25"/>
  <c r="AM175" i="25" s="1"/>
  <c r="AN175" i="25" s="1"/>
  <c r="AL173" i="25"/>
  <c r="AM173" i="25" s="1"/>
  <c r="AN173" i="25" s="1"/>
  <c r="AI173" i="25"/>
  <c r="AJ173" i="25" s="1"/>
  <c r="AK173" i="25" s="1"/>
  <c r="AL171" i="25"/>
  <c r="AM171" i="25" s="1"/>
  <c r="AN171" i="25" s="1"/>
  <c r="AI171" i="25"/>
  <c r="AJ171" i="25" s="1"/>
  <c r="AK171" i="25" s="1"/>
  <c r="S154" i="25"/>
  <c r="T153" i="25"/>
  <c r="BH115" i="20"/>
  <c r="S143" i="24"/>
  <c r="T142" i="24"/>
  <c r="O182" i="24"/>
  <c r="P182" i="24" s="1"/>
  <c r="Q182" i="24" s="1"/>
  <c r="AH182" i="24"/>
  <c r="AH176" i="24"/>
  <c r="AI176" i="24" s="1"/>
  <c r="AH174" i="24"/>
  <c r="AI174" i="24" s="1"/>
  <c r="AH172" i="24"/>
  <c r="AI172" i="24" s="1"/>
  <c r="AH180" i="24"/>
  <c r="AI180" i="24" s="1"/>
  <c r="O180" i="24"/>
  <c r="P180" i="24" s="1"/>
  <c r="Q180" i="24" s="1"/>
  <c r="O179" i="24"/>
  <c r="P179" i="24" s="1"/>
  <c r="Q179" i="24" s="1"/>
  <c r="O178" i="24"/>
  <c r="P178" i="24" s="1"/>
  <c r="Q178" i="24" s="1"/>
  <c r="O177" i="24"/>
  <c r="P177" i="24" s="1"/>
  <c r="Q177" i="24" s="1"/>
  <c r="O175" i="24"/>
  <c r="P175" i="24" s="1"/>
  <c r="Q175" i="24" s="1"/>
  <c r="AH181" i="24"/>
  <c r="O181" i="24"/>
  <c r="P181" i="24" s="1"/>
  <c r="Q181" i="24" s="1"/>
  <c r="AH179" i="24"/>
  <c r="AI179" i="24" s="1"/>
  <c r="AH178" i="24"/>
  <c r="AI178" i="24" s="1"/>
  <c r="AH177" i="24"/>
  <c r="AI177" i="24" s="1"/>
  <c r="AH175" i="24"/>
  <c r="AI175" i="24" s="1"/>
  <c r="AH173" i="24"/>
  <c r="AI173" i="24" s="1"/>
  <c r="O176" i="24"/>
  <c r="P176" i="24" s="1"/>
  <c r="Q176" i="24" s="1"/>
  <c r="O174" i="24"/>
  <c r="P174" i="24" s="1"/>
  <c r="Q174" i="24" s="1"/>
  <c r="O173" i="24"/>
  <c r="P173" i="24" s="1"/>
  <c r="Q173" i="24" s="1"/>
  <c r="J171" i="24"/>
  <c r="P171" i="24" s="1"/>
  <c r="Q171" i="24" s="1"/>
  <c r="S171" i="24" s="1"/>
  <c r="T171" i="24" s="1"/>
  <c r="O172" i="24"/>
  <c r="P172" i="24" s="1"/>
  <c r="Q172" i="24" s="1"/>
  <c r="AH171" i="24"/>
  <c r="V141" i="24"/>
  <c r="R142" i="24"/>
  <c r="AT140" i="24"/>
  <c r="AE140" i="24"/>
  <c r="BG170" i="24"/>
  <c r="AE154" i="23"/>
  <c r="AS154" i="23"/>
  <c r="R156" i="23"/>
  <c r="V155" i="23"/>
  <c r="BG191" i="23"/>
  <c r="AL194" i="23"/>
  <c r="AM194" i="23" s="1"/>
  <c r="AN194" i="23" s="1"/>
  <c r="AI194" i="23"/>
  <c r="AJ194" i="23" s="1"/>
  <c r="AK194" i="23" s="1"/>
  <c r="T156" i="23"/>
  <c r="S157" i="23"/>
  <c r="R146" i="22"/>
  <c r="S145" i="22"/>
  <c r="AH143" i="22"/>
  <c r="AS167" i="22"/>
  <c r="Q145" i="22"/>
  <c r="V144" i="22"/>
  <c r="BG179" i="7"/>
  <c r="BG186" i="3"/>
  <c r="AS166" i="2"/>
  <c r="AV163" i="1"/>
  <c r="AV164" i="1" s="1"/>
  <c r="AV165" i="1" s="1"/>
  <c r="AV166" i="1" s="1"/>
  <c r="AV167" i="1" s="1"/>
  <c r="AV168" i="1" s="1"/>
  <c r="AV169" i="1" s="1"/>
  <c r="AV170" i="1" s="1"/>
  <c r="AV171" i="1" s="1"/>
  <c r="AV172" i="1" s="1"/>
  <c r="AV173" i="1" s="1"/>
  <c r="AV174" i="1" s="1"/>
  <c r="AV175" i="1" s="1"/>
  <c r="AV176" i="1" s="1"/>
  <c r="AV177" i="1" s="1"/>
  <c r="AV178" i="1" s="1"/>
  <c r="AV179" i="1" s="1"/>
  <c r="AV180" i="1" s="1"/>
  <c r="AV181" i="1" s="1"/>
  <c r="AV182" i="1" s="1"/>
  <c r="AV183" i="1" s="1"/>
  <c r="AV184" i="1" s="1"/>
  <c r="AV185" i="1" s="1"/>
  <c r="AV186" i="1" s="1"/>
  <c r="AV187" i="1" s="1"/>
  <c r="AV188" i="1" s="1"/>
  <c r="AV189" i="1" s="1"/>
  <c r="AV190" i="1" s="1"/>
  <c r="AV191" i="1" s="1"/>
  <c r="AV192" i="1" s="1"/>
  <c r="AV193" i="1" s="1"/>
  <c r="AV194" i="1" s="1"/>
  <c r="AV195" i="1" s="1"/>
  <c r="AV196" i="1" s="1"/>
  <c r="AV197" i="1" s="1"/>
  <c r="AV198" i="1" s="1"/>
  <c r="AL162" i="26" l="1"/>
  <c r="AM162" i="26" s="1"/>
  <c r="AN162" i="26" s="1"/>
  <c r="AL163" i="26"/>
  <c r="AM163" i="26" s="1"/>
  <c r="AN163" i="26" s="1"/>
  <c r="AR163" i="26" s="1"/>
  <c r="AL160" i="26"/>
  <c r="AM160" i="26" s="1"/>
  <c r="AN160" i="26" s="1"/>
  <c r="AR160" i="26" s="1"/>
  <c r="AI159" i="26"/>
  <c r="AJ159" i="26" s="1"/>
  <c r="AK159" i="26" s="1"/>
  <c r="AI161" i="26"/>
  <c r="AJ161" i="26" s="1"/>
  <c r="AK161" i="26" s="1"/>
  <c r="AR161" i="26" s="1"/>
  <c r="Q159" i="26"/>
  <c r="S159" i="26" s="1"/>
  <c r="T159" i="26" s="1"/>
  <c r="R160" i="26" s="1"/>
  <c r="S160" i="26" s="1"/>
  <c r="S161" i="26" s="1"/>
  <c r="Q196" i="28"/>
  <c r="S196" i="28" s="1"/>
  <c r="T196" i="28" s="1"/>
  <c r="R197" i="28" s="1"/>
  <c r="S197" i="28" s="1"/>
  <c r="AJ200" i="28"/>
  <c r="AK200" i="28" s="1"/>
  <c r="AL200" i="28" s="1"/>
  <c r="AS200" i="28" s="1"/>
  <c r="AM202" i="28"/>
  <c r="AN202" i="28" s="1"/>
  <c r="AO202" i="28" s="1"/>
  <c r="AS202" i="28" s="1"/>
  <c r="AM203" i="28"/>
  <c r="AN203" i="28" s="1"/>
  <c r="AO203" i="28" s="1"/>
  <c r="AM198" i="28"/>
  <c r="AN198" i="28" s="1"/>
  <c r="AO198" i="28" s="1"/>
  <c r="AJ197" i="28"/>
  <c r="AK197" i="28" s="1"/>
  <c r="AL197" i="28" s="1"/>
  <c r="AS197" i="28" s="1"/>
  <c r="AR165" i="26"/>
  <c r="AJ201" i="28"/>
  <c r="AK201" i="28" s="1"/>
  <c r="AL201" i="28" s="1"/>
  <c r="AS201" i="28" s="1"/>
  <c r="J49" i="1"/>
  <c r="AJ199" i="28"/>
  <c r="AK199" i="28" s="1"/>
  <c r="AL199" i="28" s="1"/>
  <c r="AS199" i="28" s="1"/>
  <c r="AR177" i="25"/>
  <c r="AR178" i="25"/>
  <c r="AR166" i="26"/>
  <c r="R204" i="31"/>
  <c r="V203" i="31"/>
  <c r="AE202" i="31"/>
  <c r="AT202" i="31"/>
  <c r="AF232" i="31"/>
  <c r="AT232" i="31"/>
  <c r="R232" i="31"/>
  <c r="V231" i="31"/>
  <c r="AF225" i="31" s="1"/>
  <c r="AT230" i="31"/>
  <c r="BG184" i="31"/>
  <c r="S157" i="31"/>
  <c r="T157" i="31" s="1"/>
  <c r="T156" i="31"/>
  <c r="R157" i="31" s="1"/>
  <c r="T204" i="31"/>
  <c r="S205" i="31"/>
  <c r="AJ196" i="28"/>
  <c r="AK196" i="28" s="1"/>
  <c r="AL196" i="28" s="1"/>
  <c r="AM196" i="28"/>
  <c r="AN196" i="28" s="1"/>
  <c r="AO196" i="28" s="1"/>
  <c r="S168" i="28"/>
  <c r="T167" i="28"/>
  <c r="AT165" i="28"/>
  <c r="AE165" i="28"/>
  <c r="R167" i="28"/>
  <c r="V166" i="28"/>
  <c r="AM158" i="27"/>
  <c r="AN158" i="27" s="1"/>
  <c r="AO158" i="27" s="1"/>
  <c r="AM161" i="27"/>
  <c r="AN161" i="27" s="1"/>
  <c r="AO161" i="27" s="1"/>
  <c r="AS152" i="27"/>
  <c r="AH147" i="30"/>
  <c r="R149" i="30"/>
  <c r="V148" i="30"/>
  <c r="T149" i="30"/>
  <c r="S150" i="30"/>
  <c r="AV175" i="30"/>
  <c r="AS182" i="29"/>
  <c r="BH80" i="29"/>
  <c r="V183" i="29"/>
  <c r="R184" i="29"/>
  <c r="AS155" i="29"/>
  <c r="AE155" i="29"/>
  <c r="T157" i="29"/>
  <c r="S158" i="29"/>
  <c r="S185" i="29"/>
  <c r="T184" i="29"/>
  <c r="R157" i="29"/>
  <c r="V156" i="29"/>
  <c r="AJ177" i="24"/>
  <c r="AK177" i="24" s="1"/>
  <c r="AM177" i="24"/>
  <c r="AN177" i="24" s="1"/>
  <c r="AO177" i="24" s="1"/>
  <c r="AM178" i="24"/>
  <c r="AN178" i="24" s="1"/>
  <c r="AJ178" i="24"/>
  <c r="AK178" i="24" s="1"/>
  <c r="AM176" i="24"/>
  <c r="AN176" i="24" s="1"/>
  <c r="AO176" i="24" s="1"/>
  <c r="AJ176" i="24"/>
  <c r="AK176" i="24" s="1"/>
  <c r="AM179" i="24"/>
  <c r="AN179" i="24" s="1"/>
  <c r="AJ179" i="24"/>
  <c r="AK179" i="24" s="1"/>
  <c r="AM180" i="24"/>
  <c r="AN180" i="24" s="1"/>
  <c r="AO180" i="24" s="1"/>
  <c r="AJ180" i="24"/>
  <c r="AK180" i="24" s="1"/>
  <c r="AS153" i="27"/>
  <c r="AM174" i="24"/>
  <c r="AN174" i="24" s="1"/>
  <c r="AO174" i="24" s="1"/>
  <c r="AJ174" i="24"/>
  <c r="AK174" i="24" s="1"/>
  <c r="AM175" i="24"/>
  <c r="AN175" i="24" s="1"/>
  <c r="AO175" i="24" s="1"/>
  <c r="AJ175" i="24"/>
  <c r="AK175" i="24" s="1"/>
  <c r="AJ172" i="24"/>
  <c r="AK172" i="24" s="1"/>
  <c r="AM172" i="24"/>
  <c r="AN172" i="24" s="1"/>
  <c r="R143" i="24"/>
  <c r="V142" i="24"/>
  <c r="AJ173" i="24"/>
  <c r="AK173" i="24" s="1"/>
  <c r="AM173" i="24"/>
  <c r="AN173" i="24" s="1"/>
  <c r="AO173" i="24" s="1"/>
  <c r="AI196" i="23"/>
  <c r="AJ196" i="23" s="1"/>
  <c r="AK196" i="23" s="1"/>
  <c r="AR196" i="23" s="1"/>
  <c r="AI180" i="23"/>
  <c r="AJ180" i="23" s="1"/>
  <c r="AK180" i="23" s="1"/>
  <c r="AR180" i="23" s="1"/>
  <c r="AI181" i="23"/>
  <c r="AJ181" i="23" s="1"/>
  <c r="AK181" i="23" s="1"/>
  <c r="AR181" i="23" s="1"/>
  <c r="AL189" i="23"/>
  <c r="AM189" i="23" s="1"/>
  <c r="AN189" i="23" s="1"/>
  <c r="AR189" i="23" s="1"/>
  <c r="AI183" i="23"/>
  <c r="AJ183" i="23" s="1"/>
  <c r="AK183" i="23" s="1"/>
  <c r="AR183" i="23" s="1"/>
  <c r="AL193" i="23"/>
  <c r="AM193" i="23" s="1"/>
  <c r="AN193" i="23" s="1"/>
  <c r="AR193" i="23" s="1"/>
  <c r="AL182" i="23"/>
  <c r="AM182" i="23" s="1"/>
  <c r="AN182" i="23" s="1"/>
  <c r="AR182" i="23" s="1"/>
  <c r="AL195" i="23"/>
  <c r="AM195" i="23" s="1"/>
  <c r="AN195" i="23" s="1"/>
  <c r="AR195" i="23" s="1"/>
  <c r="AL185" i="23"/>
  <c r="AM185" i="23" s="1"/>
  <c r="AN185" i="23" s="1"/>
  <c r="AR185" i="23" s="1"/>
  <c r="AI191" i="23"/>
  <c r="AJ191" i="23" s="1"/>
  <c r="AK191" i="23" s="1"/>
  <c r="AR191" i="23" s="1"/>
  <c r="AL177" i="23"/>
  <c r="AM177" i="23" s="1"/>
  <c r="AN177" i="23" s="1"/>
  <c r="AR177" i="23" s="1"/>
  <c r="AL184" i="23"/>
  <c r="AM184" i="23" s="1"/>
  <c r="AN184" i="23" s="1"/>
  <c r="AR184" i="23" s="1"/>
  <c r="Q177" i="23"/>
  <c r="S177" i="23" s="1"/>
  <c r="T177" i="23" s="1"/>
  <c r="R178" i="23" s="1"/>
  <c r="S178" i="23" s="1"/>
  <c r="S179" i="23" s="1"/>
  <c r="AI187" i="23"/>
  <c r="AJ187" i="23" s="1"/>
  <c r="AK187" i="23" s="1"/>
  <c r="AR187" i="23" s="1"/>
  <c r="AL188" i="23"/>
  <c r="AM188" i="23" s="1"/>
  <c r="AN188" i="23" s="1"/>
  <c r="AR188" i="23" s="1"/>
  <c r="AI179" i="23"/>
  <c r="AJ179" i="23" s="1"/>
  <c r="AK179" i="23" s="1"/>
  <c r="AR179" i="23" s="1"/>
  <c r="AT149" i="28"/>
  <c r="AE149" i="28"/>
  <c r="R151" i="28"/>
  <c r="V150" i="28"/>
  <c r="AL178" i="23"/>
  <c r="AM178" i="23" s="1"/>
  <c r="AN178" i="23" s="1"/>
  <c r="AR178" i="23" s="1"/>
  <c r="AI186" i="23"/>
  <c r="AJ186" i="23" s="1"/>
  <c r="AK186" i="23" s="1"/>
  <c r="AR186" i="23" s="1"/>
  <c r="AI192" i="23"/>
  <c r="AJ192" i="23" s="1"/>
  <c r="AK192" i="23" s="1"/>
  <c r="AR192" i="23" s="1"/>
  <c r="AL190" i="23"/>
  <c r="AM190" i="23" s="1"/>
  <c r="AN190" i="23" s="1"/>
  <c r="AR190" i="23" s="1"/>
  <c r="AS149" i="27"/>
  <c r="AS150" i="27"/>
  <c r="AS145" i="27"/>
  <c r="AS151" i="27"/>
  <c r="AS147" i="27"/>
  <c r="AS148" i="27"/>
  <c r="AS146" i="27"/>
  <c r="AS144" i="27"/>
  <c r="R142" i="26"/>
  <c r="V141" i="26"/>
  <c r="AE140" i="26"/>
  <c r="AS140" i="26"/>
  <c r="T151" i="28"/>
  <c r="S152" i="28"/>
  <c r="BH222" i="28"/>
  <c r="AS143" i="27"/>
  <c r="X142" i="27"/>
  <c r="Z142" i="27" s="1"/>
  <c r="C166" i="27"/>
  <c r="AS142" i="27"/>
  <c r="C8" i="27" s="1"/>
  <c r="BH222" i="27"/>
  <c r="AE142" i="27"/>
  <c r="AT142" i="27"/>
  <c r="S144" i="27"/>
  <c r="T143" i="27"/>
  <c r="AR162" i="26"/>
  <c r="AR164" i="26"/>
  <c r="AR159" i="26"/>
  <c r="S143" i="26"/>
  <c r="T142" i="26"/>
  <c r="BG198" i="26"/>
  <c r="AR173" i="25"/>
  <c r="AR174" i="25"/>
  <c r="AR175" i="25"/>
  <c r="R154" i="25"/>
  <c r="V153" i="25"/>
  <c r="AS152" i="25"/>
  <c r="AE152" i="25"/>
  <c r="T154" i="25"/>
  <c r="S155" i="25"/>
  <c r="BG192" i="25"/>
  <c r="AR172" i="25"/>
  <c r="AR171" i="25"/>
  <c r="AR176" i="25"/>
  <c r="R172" i="25"/>
  <c r="S172" i="25" s="1"/>
  <c r="V171" i="25"/>
  <c r="BH116" i="20"/>
  <c r="R172" i="24"/>
  <c r="S172" i="24" s="1"/>
  <c r="V171" i="24"/>
  <c r="AN182" i="24"/>
  <c r="AO182" i="24" s="1"/>
  <c r="AK182" i="24"/>
  <c r="AE141" i="24"/>
  <c r="AT141" i="24"/>
  <c r="BG171" i="24"/>
  <c r="AI171" i="24"/>
  <c r="AK181" i="24"/>
  <c r="AN181" i="24"/>
  <c r="AO181" i="24" s="1"/>
  <c r="S144" i="24"/>
  <c r="T143" i="24"/>
  <c r="AE155" i="23"/>
  <c r="AS155" i="23"/>
  <c r="R157" i="23"/>
  <c r="V156" i="23"/>
  <c r="S158" i="23"/>
  <c r="T157" i="23"/>
  <c r="AR194" i="23"/>
  <c r="BG192" i="23"/>
  <c r="AH144" i="22"/>
  <c r="R147" i="22"/>
  <c r="S146" i="22"/>
  <c r="AS168" i="22"/>
  <c r="Q146" i="22"/>
  <c r="V145" i="22"/>
  <c r="BG180" i="7"/>
  <c r="BG187" i="3"/>
  <c r="AS167" i="2"/>
  <c r="AG157" i="1"/>
  <c r="AG156" i="1"/>
  <c r="AG155" i="1"/>
  <c r="AG154" i="1"/>
  <c r="AG153" i="1"/>
  <c r="AG152" i="1"/>
  <c r="AG151" i="1"/>
  <c r="AG150" i="1"/>
  <c r="AG149" i="1"/>
  <c r="AG148" i="1"/>
  <c r="AG147" i="1"/>
  <c r="AG146" i="1"/>
  <c r="AG145" i="1"/>
  <c r="AG144" i="1"/>
  <c r="AG143" i="1"/>
  <c r="AG142" i="1"/>
  <c r="AG141" i="1"/>
  <c r="AG140" i="1"/>
  <c r="AG139" i="1"/>
  <c r="AG138" i="1"/>
  <c r="V196" i="28" l="1"/>
  <c r="AT196" i="28" s="1"/>
  <c r="V159" i="26"/>
  <c r="AS159" i="26" s="1"/>
  <c r="T160" i="26"/>
  <c r="V160" i="26" s="1"/>
  <c r="AS203" i="28"/>
  <c r="AS198" i="28"/>
  <c r="AS196" i="28"/>
  <c r="R205" i="31"/>
  <c r="V204" i="31"/>
  <c r="AE203" i="31"/>
  <c r="AT203" i="31"/>
  <c r="AF226" i="31"/>
  <c r="AV226" i="31" s="1"/>
  <c r="AX226" i="31" s="1"/>
  <c r="AZ226" i="31" s="1"/>
  <c r="AF227" i="31"/>
  <c r="AV227" i="31" s="1"/>
  <c r="AW227" i="31" s="1"/>
  <c r="AY227" i="31" s="1"/>
  <c r="BA227" i="31" s="1"/>
  <c r="AF230" i="31"/>
  <c r="AV230" i="31" s="1"/>
  <c r="AW230" i="31" s="1"/>
  <c r="AY230" i="31" s="1"/>
  <c r="BA230" i="31" s="1"/>
  <c r="AV225" i="31"/>
  <c r="T221" i="31"/>
  <c r="AV232" i="31"/>
  <c r="AF231" i="31"/>
  <c r="AT231" i="31"/>
  <c r="AF229" i="31"/>
  <c r="AV229" i="31" s="1"/>
  <c r="AF228" i="31"/>
  <c r="AV228" i="31" s="1"/>
  <c r="T205" i="31"/>
  <c r="S206" i="31"/>
  <c r="BG188" i="31"/>
  <c r="T168" i="28"/>
  <c r="S169" i="28"/>
  <c r="AE166" i="28"/>
  <c r="AT166" i="28"/>
  <c r="V167" i="28"/>
  <c r="R168" i="28"/>
  <c r="R144" i="24"/>
  <c r="V143" i="24"/>
  <c r="T197" i="28"/>
  <c r="S198" i="28"/>
  <c r="AP161" i="27"/>
  <c r="AH148" i="30"/>
  <c r="T150" i="30"/>
  <c r="S151" i="30"/>
  <c r="AV176" i="30"/>
  <c r="V149" i="30"/>
  <c r="R150" i="30"/>
  <c r="V184" i="29"/>
  <c r="R185" i="29"/>
  <c r="T158" i="29"/>
  <c r="S159" i="29"/>
  <c r="AS183" i="29"/>
  <c r="S186" i="29"/>
  <c r="T185" i="29"/>
  <c r="R158" i="29"/>
  <c r="V157" i="29"/>
  <c r="BH81" i="29"/>
  <c r="AS156" i="29"/>
  <c r="AE156" i="29"/>
  <c r="AE142" i="24"/>
  <c r="AT142" i="24"/>
  <c r="V177" i="23"/>
  <c r="AS177" i="23" s="1"/>
  <c r="T178" i="23"/>
  <c r="V178" i="23" s="1"/>
  <c r="AE150" i="28"/>
  <c r="AT150" i="28"/>
  <c r="R152" i="28"/>
  <c r="V151" i="28"/>
  <c r="AF144" i="28" s="1"/>
  <c r="R143" i="26"/>
  <c r="V142" i="26"/>
  <c r="AE141" i="26"/>
  <c r="AS141" i="26"/>
  <c r="AL181" i="24"/>
  <c r="AT181" i="24" s="1"/>
  <c r="AL172" i="24"/>
  <c r="AL178" i="24"/>
  <c r="AM171" i="24"/>
  <c r="AN171" i="24" s="1"/>
  <c r="AO171" i="24" s="1"/>
  <c r="AJ171" i="24"/>
  <c r="AK171" i="24" s="1"/>
  <c r="AL171" i="24" s="1"/>
  <c r="AT171" i="24" s="1"/>
  <c r="AL175" i="24"/>
  <c r="AS175" i="24" s="1"/>
  <c r="AL182" i="24"/>
  <c r="AS182" i="24" s="1"/>
  <c r="AO179" i="24"/>
  <c r="AO172" i="24"/>
  <c r="AL179" i="24"/>
  <c r="AL176" i="24"/>
  <c r="AS176" i="24" s="1"/>
  <c r="AO178" i="24"/>
  <c r="AL174" i="24"/>
  <c r="AL177" i="24"/>
  <c r="AL180" i="24"/>
  <c r="AS180" i="24" s="1"/>
  <c r="AL173" i="24"/>
  <c r="AS173" i="24" s="1"/>
  <c r="BH223" i="28"/>
  <c r="T152" i="28"/>
  <c r="R153" i="28" s="1"/>
  <c r="S153" i="28"/>
  <c r="T153" i="28" s="1"/>
  <c r="R144" i="27"/>
  <c r="V143" i="27"/>
  <c r="O166" i="27"/>
  <c r="P166" i="27" s="1"/>
  <c r="O178" i="27"/>
  <c r="P178" i="27" s="1"/>
  <c r="Q178" i="27" s="1"/>
  <c r="AH167" i="27"/>
  <c r="O174" i="27"/>
  <c r="P174" i="27" s="1"/>
  <c r="Q174" i="27" s="1"/>
  <c r="O185" i="27"/>
  <c r="P185" i="27" s="1"/>
  <c r="Q185" i="27" s="1"/>
  <c r="O177" i="27"/>
  <c r="P177" i="27" s="1"/>
  <c r="Q177" i="27" s="1"/>
  <c r="AH169" i="27"/>
  <c r="AI169" i="27" s="1"/>
  <c r="AH170" i="27"/>
  <c r="AI170" i="27" s="1"/>
  <c r="O172" i="27"/>
  <c r="P172" i="27" s="1"/>
  <c r="Q172" i="27" s="1"/>
  <c r="O183" i="27"/>
  <c r="P183" i="27" s="1"/>
  <c r="Q183" i="27" s="1"/>
  <c r="O181" i="27"/>
  <c r="P181" i="27" s="1"/>
  <c r="Q181" i="27" s="1"/>
  <c r="AH173" i="27"/>
  <c r="AI173" i="27" s="1"/>
  <c r="O175" i="27"/>
  <c r="P175" i="27" s="1"/>
  <c r="Q175" i="27" s="1"/>
  <c r="AH175" i="27"/>
  <c r="AI175" i="27" s="1"/>
  <c r="O170" i="27"/>
  <c r="P170" i="27" s="1"/>
  <c r="Q170" i="27" s="1"/>
  <c r="AH174" i="27"/>
  <c r="AI174" i="27" s="1"/>
  <c r="O182" i="27"/>
  <c r="P182" i="27" s="1"/>
  <c r="Q182" i="27" s="1"/>
  <c r="AH184" i="27"/>
  <c r="AI184" i="27" s="1"/>
  <c r="AH181" i="27"/>
  <c r="AI181" i="27" s="1"/>
  <c r="O168" i="27"/>
  <c r="P168" i="27" s="1"/>
  <c r="Q168" i="27" s="1"/>
  <c r="O173" i="27"/>
  <c r="P173" i="27" s="1"/>
  <c r="Q173" i="27" s="1"/>
  <c r="AH171" i="27"/>
  <c r="AI171" i="27" s="1"/>
  <c r="AH182" i="27"/>
  <c r="AI182" i="27" s="1"/>
  <c r="AH183" i="27"/>
  <c r="AI183" i="27" s="1"/>
  <c r="O184" i="27"/>
  <c r="P184" i="27" s="1"/>
  <c r="Q184" i="27" s="1"/>
  <c r="J166" i="27"/>
  <c r="K166" i="27" s="1"/>
  <c r="L166" i="27" s="1"/>
  <c r="M166" i="27" s="1"/>
  <c r="N166" i="27" s="1"/>
  <c r="O171" i="27"/>
  <c r="P171" i="27" s="1"/>
  <c r="Q171" i="27" s="1"/>
  <c r="O167" i="27"/>
  <c r="P167" i="27" s="1"/>
  <c r="Q167" i="27" s="1"/>
  <c r="AH176" i="27"/>
  <c r="AI176" i="27" s="1"/>
  <c r="AH172" i="27"/>
  <c r="AI172" i="27" s="1"/>
  <c r="O180" i="27"/>
  <c r="P180" i="27" s="1"/>
  <c r="Q180" i="27" s="1"/>
  <c r="AH185" i="27"/>
  <c r="AI185" i="27" s="1"/>
  <c r="AH177" i="27"/>
  <c r="AI177" i="27" s="1"/>
  <c r="O169" i="27"/>
  <c r="P169" i="27" s="1"/>
  <c r="Q169" i="27" s="1"/>
  <c r="O176" i="27"/>
  <c r="P176" i="27" s="1"/>
  <c r="Q176" i="27" s="1"/>
  <c r="AH180" i="27"/>
  <c r="AI180" i="27" s="1"/>
  <c r="AH179" i="27"/>
  <c r="AI179" i="27" s="1"/>
  <c r="AH166" i="27"/>
  <c r="AH178" i="27"/>
  <c r="AI178" i="27" s="1"/>
  <c r="AH168" i="27"/>
  <c r="O179" i="27"/>
  <c r="P179" i="27" s="1"/>
  <c r="Q179" i="27" s="1"/>
  <c r="BH223" i="27"/>
  <c r="T144" i="27"/>
  <c r="S145" i="27"/>
  <c r="BG199" i="26"/>
  <c r="T143" i="26"/>
  <c r="S144" i="26"/>
  <c r="S162" i="26"/>
  <c r="T161" i="26"/>
  <c r="R161" i="26"/>
  <c r="T155" i="25"/>
  <c r="S156" i="25"/>
  <c r="AS153" i="25"/>
  <c r="AE153" i="25"/>
  <c r="R155" i="25"/>
  <c r="V154" i="25"/>
  <c r="AS171" i="25"/>
  <c r="BG193" i="25"/>
  <c r="T172" i="25"/>
  <c r="S173" i="25"/>
  <c r="BH117" i="20"/>
  <c r="S145" i="24"/>
  <c r="T144" i="24"/>
  <c r="AI183" i="24"/>
  <c r="X171" i="24" s="1"/>
  <c r="Z171" i="24" s="1"/>
  <c r="BG172" i="24"/>
  <c r="AE171" i="24"/>
  <c r="S173" i="24"/>
  <c r="T172" i="24"/>
  <c r="R158" i="23"/>
  <c r="V157" i="23"/>
  <c r="AE156" i="23"/>
  <c r="AS156" i="23"/>
  <c r="T179" i="23"/>
  <c r="S180" i="23"/>
  <c r="BG193" i="23"/>
  <c r="T158" i="23"/>
  <c r="S159" i="23"/>
  <c r="AH145" i="22"/>
  <c r="Q147" i="22"/>
  <c r="V146" i="22"/>
  <c r="AS169" i="22"/>
  <c r="S147" i="22"/>
  <c r="R148" i="22"/>
  <c r="BG181" i="7"/>
  <c r="BG188" i="3"/>
  <c r="AS168" i="2"/>
  <c r="F2" i="1"/>
  <c r="D2" i="1"/>
  <c r="AX225" i="31" l="1"/>
  <c r="AY219" i="31" s="1"/>
  <c r="AZ225" i="31" s="1"/>
  <c r="R198" i="28"/>
  <c r="V197" i="28"/>
  <c r="AT197" i="28" s="1"/>
  <c r="H9" i="1"/>
  <c r="H11" i="1"/>
  <c r="AE204" i="31"/>
  <c r="AT204" i="31"/>
  <c r="R206" i="31"/>
  <c r="V205" i="31"/>
  <c r="AW226" i="31"/>
  <c r="AY226" i="31" s="1"/>
  <c r="BA226" i="31" s="1"/>
  <c r="AX227" i="31"/>
  <c r="AZ227" i="31" s="1"/>
  <c r="AB227" i="31" s="1"/>
  <c r="AX230" i="31"/>
  <c r="AZ230" i="31" s="1"/>
  <c r="AB230" i="31" s="1"/>
  <c r="AX232" i="31"/>
  <c r="AZ232" i="31" s="1"/>
  <c r="AW232" i="31"/>
  <c r="AY232" i="31" s="1"/>
  <c r="BA232" i="31" s="1"/>
  <c r="BB226" i="31"/>
  <c r="AB226" i="31"/>
  <c r="AV231" i="31"/>
  <c r="AW228" i="31"/>
  <c r="AY228" i="31" s="1"/>
  <c r="BA228" i="31" s="1"/>
  <c r="AX228" i="31"/>
  <c r="AZ228" i="31" s="1"/>
  <c r="AW225" i="31"/>
  <c r="AY225" i="31" s="1"/>
  <c r="BA225" i="31" s="1"/>
  <c r="AX229" i="31"/>
  <c r="AZ229" i="31" s="1"/>
  <c r="AW229" i="31"/>
  <c r="AY229" i="31" s="1"/>
  <c r="BA229" i="31" s="1"/>
  <c r="BG189" i="31"/>
  <c r="T206" i="31"/>
  <c r="S207" i="31"/>
  <c r="AT167" i="28"/>
  <c r="AE167" i="28"/>
  <c r="S170" i="28"/>
  <c r="T169" i="28"/>
  <c r="V168" i="28"/>
  <c r="R169" i="28"/>
  <c r="R145" i="24"/>
  <c r="V144" i="24"/>
  <c r="AE143" i="24"/>
  <c r="AT143" i="24"/>
  <c r="S199" i="28"/>
  <c r="T198" i="28"/>
  <c r="AH149" i="30"/>
  <c r="V150" i="30"/>
  <c r="R151" i="30"/>
  <c r="T151" i="30"/>
  <c r="S152" i="30"/>
  <c r="AV177" i="30"/>
  <c r="T186" i="29"/>
  <c r="S187" i="29"/>
  <c r="AS157" i="29"/>
  <c r="AE157" i="29"/>
  <c r="AS184" i="29"/>
  <c r="BH82" i="29"/>
  <c r="V185" i="29"/>
  <c r="R186" i="29"/>
  <c r="S160" i="29"/>
  <c r="T159" i="29"/>
  <c r="V158" i="29"/>
  <c r="R159" i="29"/>
  <c r="R173" i="24"/>
  <c r="V172" i="24"/>
  <c r="AT172" i="24" s="1"/>
  <c r="R179" i="23"/>
  <c r="AF143" i="28"/>
  <c r="AF150" i="28"/>
  <c r="AE151" i="28"/>
  <c r="AD146" i="28" s="1"/>
  <c r="AC146" i="28" s="1"/>
  <c r="AF151" i="28"/>
  <c r="AT151" i="28"/>
  <c r="AF145" i="28"/>
  <c r="AF147" i="28"/>
  <c r="AF149" i="28"/>
  <c r="AF148" i="28"/>
  <c r="AF142" i="28"/>
  <c r="AF146" i="28"/>
  <c r="AE142" i="26"/>
  <c r="AS142" i="26"/>
  <c r="R144" i="26"/>
  <c r="V143" i="26"/>
  <c r="AS177" i="24"/>
  <c r="AS181" i="24"/>
  <c r="AS179" i="24"/>
  <c r="AS178" i="24"/>
  <c r="AS171" i="24"/>
  <c r="AS172" i="24"/>
  <c r="AI185" i="24"/>
  <c r="AT182" i="24"/>
  <c r="AS174" i="24"/>
  <c r="BH224" i="28"/>
  <c r="AE143" i="27"/>
  <c r="AT143" i="27"/>
  <c r="R145" i="27"/>
  <c r="V144" i="27"/>
  <c r="AJ178" i="27"/>
  <c r="AK178" i="27" s="1"/>
  <c r="AL178" i="27" s="1"/>
  <c r="AM178" i="27"/>
  <c r="AN178" i="27" s="1"/>
  <c r="AO178" i="27" s="1"/>
  <c r="AM181" i="27"/>
  <c r="AN181" i="27" s="1"/>
  <c r="AO181" i="27" s="1"/>
  <c r="AJ181" i="27"/>
  <c r="AK181" i="27" s="1"/>
  <c r="AL181" i="27" s="1"/>
  <c r="AM170" i="27"/>
  <c r="AN170" i="27" s="1"/>
  <c r="AO170" i="27" s="1"/>
  <c r="AJ170" i="27"/>
  <c r="AK170" i="27" s="1"/>
  <c r="AL170" i="27" s="1"/>
  <c r="AM168" i="27"/>
  <c r="AN168" i="27" s="1"/>
  <c r="AO168" i="27" s="1"/>
  <c r="AI168" i="27"/>
  <c r="AJ168" i="27"/>
  <c r="AK168" i="27" s="1"/>
  <c r="AL168" i="27" s="1"/>
  <c r="AJ180" i="27"/>
  <c r="AK180" i="27" s="1"/>
  <c r="AL180" i="27" s="1"/>
  <c r="AM180" i="27"/>
  <c r="AN180" i="27" s="1"/>
  <c r="AO180" i="27" s="1"/>
  <c r="AJ185" i="27"/>
  <c r="AK185" i="27" s="1"/>
  <c r="AL185" i="27" s="1"/>
  <c r="AM185" i="27"/>
  <c r="AN185" i="27" s="1"/>
  <c r="AO185" i="27" s="1"/>
  <c r="AJ183" i="27"/>
  <c r="AK183" i="27" s="1"/>
  <c r="AL183" i="27" s="1"/>
  <c r="AM183" i="27"/>
  <c r="AN183" i="27" s="1"/>
  <c r="AO183" i="27" s="1"/>
  <c r="AI167" i="27"/>
  <c r="AM167" i="27"/>
  <c r="AN167" i="27" s="1"/>
  <c r="AO167" i="27" s="1"/>
  <c r="AJ167" i="27"/>
  <c r="AK167" i="27" s="1"/>
  <c r="AL167" i="27" s="1"/>
  <c r="AM173" i="27"/>
  <c r="AN173" i="27" s="1"/>
  <c r="AO173" i="27" s="1"/>
  <c r="AJ173" i="27"/>
  <c r="AK173" i="27" s="1"/>
  <c r="AL173" i="27" s="1"/>
  <c r="AM166" i="27"/>
  <c r="AN166" i="27" s="1"/>
  <c r="AO166" i="27" s="1"/>
  <c r="AJ166" i="27"/>
  <c r="AK166" i="27" s="1"/>
  <c r="AL166" i="27" s="1"/>
  <c r="AI166" i="27"/>
  <c r="AJ176" i="27"/>
  <c r="AK176" i="27" s="1"/>
  <c r="AL176" i="27" s="1"/>
  <c r="AM176" i="27"/>
  <c r="AN176" i="27" s="1"/>
  <c r="AO176" i="27" s="1"/>
  <c r="AJ171" i="27"/>
  <c r="AK171" i="27" s="1"/>
  <c r="AL171" i="27" s="1"/>
  <c r="AM171" i="27"/>
  <c r="AN171" i="27" s="1"/>
  <c r="AO171" i="27" s="1"/>
  <c r="AM169" i="27"/>
  <c r="AN169" i="27" s="1"/>
  <c r="AO169" i="27" s="1"/>
  <c r="AJ169" i="27"/>
  <c r="AK169" i="27" s="1"/>
  <c r="AL169" i="27" s="1"/>
  <c r="Q166" i="27"/>
  <c r="S166" i="27" s="1"/>
  <c r="T166" i="27" s="1"/>
  <c r="AJ172" i="27"/>
  <c r="AK172" i="27" s="1"/>
  <c r="AL172" i="27" s="1"/>
  <c r="AM172" i="27"/>
  <c r="AN172" i="27" s="1"/>
  <c r="AO172" i="27" s="1"/>
  <c r="AJ182" i="27"/>
  <c r="AK182" i="27" s="1"/>
  <c r="AL182" i="27" s="1"/>
  <c r="AM182" i="27"/>
  <c r="AN182" i="27" s="1"/>
  <c r="AO182" i="27" s="1"/>
  <c r="AJ174" i="27"/>
  <c r="AK174" i="27" s="1"/>
  <c r="AL174" i="27" s="1"/>
  <c r="AM174" i="27"/>
  <c r="AN174" i="27" s="1"/>
  <c r="AO174" i="27" s="1"/>
  <c r="AJ179" i="27"/>
  <c r="AK179" i="27" s="1"/>
  <c r="AL179" i="27" s="1"/>
  <c r="AM179" i="27"/>
  <c r="AN179" i="27" s="1"/>
  <c r="AO179" i="27" s="1"/>
  <c r="AJ177" i="27"/>
  <c r="AK177" i="27" s="1"/>
  <c r="AL177" i="27" s="1"/>
  <c r="AM177" i="27"/>
  <c r="AN177" i="27" s="1"/>
  <c r="AO177" i="27" s="1"/>
  <c r="AM184" i="27"/>
  <c r="AN184" i="27" s="1"/>
  <c r="AO184" i="27" s="1"/>
  <c r="AJ184" i="27"/>
  <c r="AK184" i="27" s="1"/>
  <c r="AL184" i="27" s="1"/>
  <c r="AJ175" i="27"/>
  <c r="AK175" i="27" s="1"/>
  <c r="AL175" i="27" s="1"/>
  <c r="AM175" i="27"/>
  <c r="AN175" i="27" s="1"/>
  <c r="AO175" i="27" s="1"/>
  <c r="S146" i="27"/>
  <c r="T145" i="27"/>
  <c r="BH224" i="27"/>
  <c r="T144" i="26"/>
  <c r="S145" i="26"/>
  <c r="V161" i="26"/>
  <c r="R162" i="26"/>
  <c r="S163" i="26"/>
  <c r="T162" i="26"/>
  <c r="AS160" i="26"/>
  <c r="BG200" i="26"/>
  <c r="BG194" i="25"/>
  <c r="S157" i="25"/>
  <c r="T156" i="25"/>
  <c r="AE154" i="25"/>
  <c r="AS154" i="25"/>
  <c r="T173" i="25"/>
  <c r="S174" i="25"/>
  <c r="R156" i="25"/>
  <c r="V155" i="25"/>
  <c r="R173" i="25"/>
  <c r="V172" i="25"/>
  <c r="BH118" i="20"/>
  <c r="T173" i="24"/>
  <c r="S174" i="24"/>
  <c r="BG173" i="24"/>
  <c r="S146" i="24"/>
  <c r="T145" i="24"/>
  <c r="R159" i="23"/>
  <c r="V158" i="23"/>
  <c r="AE157" i="23"/>
  <c r="AS157" i="23"/>
  <c r="T180" i="23"/>
  <c r="S181" i="23"/>
  <c r="S160" i="23"/>
  <c r="T159" i="23"/>
  <c r="BG194" i="23"/>
  <c r="AS178" i="23"/>
  <c r="V179" i="23"/>
  <c r="R180" i="23"/>
  <c r="AS170" i="22"/>
  <c r="R149" i="22"/>
  <c r="S148" i="22"/>
  <c r="Q148" i="22"/>
  <c r="V147" i="22"/>
  <c r="AH146" i="22"/>
  <c r="BG182" i="7"/>
  <c r="BG189" i="3"/>
  <c r="AS169" i="2"/>
  <c r="AD152" i="28" l="1"/>
  <c r="AC152" i="28" s="1"/>
  <c r="R199" i="28"/>
  <c r="V198" i="28"/>
  <c r="AT198" i="28" s="1"/>
  <c r="R207" i="31"/>
  <c r="V206" i="31"/>
  <c r="AE205" i="31"/>
  <c r="AT205" i="31"/>
  <c r="BB227" i="31"/>
  <c r="BB230" i="31"/>
  <c r="BB229" i="31"/>
  <c r="AB229" i="31"/>
  <c r="BB228" i="31"/>
  <c r="AB228" i="31"/>
  <c r="BB225" i="31"/>
  <c r="AB225" i="31"/>
  <c r="AW231" i="31"/>
  <c r="AY231" i="31" s="1"/>
  <c r="BA231" i="31" s="1"/>
  <c r="AX231" i="31"/>
  <c r="AZ231" i="31" s="1"/>
  <c r="BB232" i="31"/>
  <c r="AB232" i="31"/>
  <c r="T207" i="31"/>
  <c r="S208" i="31"/>
  <c r="BG190" i="31"/>
  <c r="V169" i="28"/>
  <c r="R170" i="28"/>
  <c r="T170" i="28"/>
  <c r="S171" i="28"/>
  <c r="AE168" i="28"/>
  <c r="AT168" i="28"/>
  <c r="AE144" i="24"/>
  <c r="AT144" i="24"/>
  <c r="R146" i="24"/>
  <c r="V145" i="24"/>
  <c r="T199" i="28"/>
  <c r="S200" i="28"/>
  <c r="C195" i="24"/>
  <c r="O213" i="24" s="1"/>
  <c r="P213" i="24" s="1"/>
  <c r="Q213" i="24" s="1"/>
  <c r="AM189" i="24"/>
  <c r="AN189" i="24" s="1"/>
  <c r="AO189" i="24" s="1"/>
  <c r="AM186" i="24"/>
  <c r="AN186" i="24" s="1"/>
  <c r="AO186" i="24" s="1"/>
  <c r="AV178" i="30"/>
  <c r="T152" i="30"/>
  <c r="S153" i="30"/>
  <c r="AH150" i="30"/>
  <c r="V151" i="30"/>
  <c r="R152" i="30"/>
  <c r="S188" i="29"/>
  <c r="T187" i="29"/>
  <c r="V186" i="29"/>
  <c r="R187" i="29"/>
  <c r="AS185" i="29"/>
  <c r="R160" i="29"/>
  <c r="V159" i="29"/>
  <c r="BH83" i="29"/>
  <c r="AS158" i="29"/>
  <c r="AE158" i="29"/>
  <c r="S161" i="29"/>
  <c r="T160" i="29"/>
  <c r="AE172" i="24"/>
  <c r="R174" i="24"/>
  <c r="V173" i="24"/>
  <c r="AD144" i="28"/>
  <c r="AC144" i="28" s="1"/>
  <c r="AD142" i="28"/>
  <c r="AC142" i="28" s="1"/>
  <c r="AD145" i="28"/>
  <c r="AC145" i="28" s="1"/>
  <c r="AD143" i="28"/>
  <c r="AC143" i="28" s="1"/>
  <c r="AD151" i="28"/>
  <c r="AC151" i="28" s="1"/>
  <c r="AD148" i="28"/>
  <c r="AC148" i="28" s="1"/>
  <c r="AD147" i="28"/>
  <c r="AC147" i="28" s="1"/>
  <c r="AD149" i="28"/>
  <c r="AC149" i="28" s="1"/>
  <c r="AD153" i="28"/>
  <c r="AC153" i="28" s="1"/>
  <c r="AD150" i="28"/>
  <c r="AC150" i="28" s="1"/>
  <c r="R146" i="27"/>
  <c r="V145" i="27"/>
  <c r="R145" i="26"/>
  <c r="V144" i="26"/>
  <c r="AE143" i="26"/>
  <c r="AS143" i="26"/>
  <c r="BH225" i="28"/>
  <c r="AE144" i="27"/>
  <c r="AT144" i="27"/>
  <c r="AS166" i="27"/>
  <c r="AS168" i="27"/>
  <c r="AS171" i="27"/>
  <c r="AS177" i="27"/>
  <c r="AS179" i="27"/>
  <c r="AS182" i="27"/>
  <c r="V166" i="27"/>
  <c r="R167" i="27"/>
  <c r="S167" i="27" s="1"/>
  <c r="AS183" i="27"/>
  <c r="AS180" i="27"/>
  <c r="AS181" i="27"/>
  <c r="AS184" i="27"/>
  <c r="AS174" i="27"/>
  <c r="AS169" i="27"/>
  <c r="AS178" i="27"/>
  <c r="AS175" i="27"/>
  <c r="AS172" i="27"/>
  <c r="AS176" i="27"/>
  <c r="AI188" i="27"/>
  <c r="AX192" i="27" s="1"/>
  <c r="AS173" i="27"/>
  <c r="AS167" i="27"/>
  <c r="AS185" i="27"/>
  <c r="AS170" i="27"/>
  <c r="T146" i="27"/>
  <c r="S147" i="27"/>
  <c r="BH225" i="27"/>
  <c r="V162" i="26"/>
  <c r="R163" i="26"/>
  <c r="S146" i="26"/>
  <c r="T145" i="26"/>
  <c r="BG201" i="26"/>
  <c r="AS161" i="26"/>
  <c r="S164" i="26"/>
  <c r="S165" i="26" s="1"/>
  <c r="T163" i="26"/>
  <c r="S175" i="25"/>
  <c r="T174" i="25"/>
  <c r="R174" i="25"/>
  <c r="V173" i="25"/>
  <c r="S158" i="25"/>
  <c r="T157" i="25"/>
  <c r="BG195" i="25"/>
  <c r="AS172" i="25"/>
  <c r="AE155" i="25"/>
  <c r="AS155" i="25"/>
  <c r="R157" i="25"/>
  <c r="V156" i="25"/>
  <c r="BH119" i="20"/>
  <c r="BG174" i="24"/>
  <c r="S175" i="24"/>
  <c r="T174" i="24"/>
  <c r="S147" i="24"/>
  <c r="T146" i="24"/>
  <c r="R160" i="23"/>
  <c r="V159" i="23"/>
  <c r="AE158" i="23"/>
  <c r="AS158" i="23"/>
  <c r="AS179" i="23"/>
  <c r="S161" i="23"/>
  <c r="T160" i="23"/>
  <c r="BG195" i="23"/>
  <c r="T181" i="23"/>
  <c r="S182" i="23"/>
  <c r="V180" i="23"/>
  <c r="R181" i="23"/>
  <c r="AS171" i="22"/>
  <c r="Q149" i="22"/>
  <c r="V148" i="22"/>
  <c r="AH147" i="22"/>
  <c r="R150" i="22"/>
  <c r="S149" i="22"/>
  <c r="BG183" i="7"/>
  <c r="BG190" i="3"/>
  <c r="AS170" i="2"/>
  <c r="R188" i="29" l="1"/>
  <c r="V187" i="29"/>
  <c r="AS187" i="29" s="1"/>
  <c r="R200" i="28"/>
  <c r="V199" i="28"/>
  <c r="AT199" i="28" s="1"/>
  <c r="T165" i="26"/>
  <c r="S166" i="26"/>
  <c r="T166" i="26" s="1"/>
  <c r="V166" i="26" s="1"/>
  <c r="R208" i="31"/>
  <c r="V207" i="31"/>
  <c r="AE206" i="31"/>
  <c r="AT206" i="31"/>
  <c r="BB231" i="31"/>
  <c r="AB231" i="31"/>
  <c r="BG191" i="31"/>
  <c r="T208" i="31"/>
  <c r="S209" i="31"/>
  <c r="O210" i="24"/>
  <c r="P210" i="24" s="1"/>
  <c r="Q210" i="24" s="1"/>
  <c r="R171" i="28"/>
  <c r="V170" i="28"/>
  <c r="T171" i="28"/>
  <c r="S172" i="28"/>
  <c r="AE169" i="28"/>
  <c r="AT169" i="28"/>
  <c r="AH212" i="24"/>
  <c r="AJ212" i="24" s="1"/>
  <c r="AK212" i="24" s="1"/>
  <c r="AL212" i="24" s="1"/>
  <c r="O207" i="24"/>
  <c r="P207" i="24" s="1"/>
  <c r="Q207" i="24" s="1"/>
  <c r="O204" i="24"/>
  <c r="P204" i="24" s="1"/>
  <c r="Q204" i="24" s="1"/>
  <c r="AH203" i="24"/>
  <c r="AJ203" i="24" s="1"/>
  <c r="AK203" i="24" s="1"/>
  <c r="AL203" i="24" s="1"/>
  <c r="R147" i="24"/>
  <c r="V146" i="24"/>
  <c r="AE145" i="24"/>
  <c r="AT145" i="24"/>
  <c r="AH209" i="24"/>
  <c r="AJ209" i="24" s="1"/>
  <c r="AK209" i="24" s="1"/>
  <c r="AL209" i="24" s="1"/>
  <c r="O197" i="24"/>
  <c r="P197" i="24" s="1"/>
  <c r="Q197" i="24" s="1"/>
  <c r="AH208" i="24"/>
  <c r="AM208" i="24" s="1"/>
  <c r="AN208" i="24" s="1"/>
  <c r="AO208" i="24" s="1"/>
  <c r="AT208" i="24" s="1"/>
  <c r="AV208" i="24" s="1"/>
  <c r="AH205" i="24"/>
  <c r="AM205" i="24" s="1"/>
  <c r="AN205" i="24" s="1"/>
  <c r="AO205" i="24" s="1"/>
  <c r="AH196" i="24"/>
  <c r="AM196" i="24" s="1"/>
  <c r="AN196" i="24" s="1"/>
  <c r="AO196" i="24" s="1"/>
  <c r="AH211" i="24"/>
  <c r="AJ211" i="24" s="1"/>
  <c r="AK211" i="24" s="1"/>
  <c r="AL211" i="24" s="1"/>
  <c r="J195" i="24"/>
  <c r="K195" i="24" s="1"/>
  <c r="L195" i="24" s="1"/>
  <c r="M195" i="24" s="1"/>
  <c r="N195" i="24" s="1"/>
  <c r="O196" i="24"/>
  <c r="P196" i="24" s="1"/>
  <c r="Q196" i="24" s="1"/>
  <c r="O203" i="24"/>
  <c r="P203" i="24" s="1"/>
  <c r="Q203" i="24" s="1"/>
  <c r="O211" i="24"/>
  <c r="P211" i="24" s="1"/>
  <c r="Q211" i="24" s="1"/>
  <c r="O208" i="24"/>
  <c r="P208" i="24" s="1"/>
  <c r="Q208" i="24" s="1"/>
  <c r="O195" i="24"/>
  <c r="P195" i="24" s="1"/>
  <c r="O214" i="24"/>
  <c r="P214" i="24" s="1"/>
  <c r="Q214" i="24" s="1"/>
  <c r="O205" i="24"/>
  <c r="P205" i="24" s="1"/>
  <c r="Q205" i="24" s="1"/>
  <c r="AH199" i="24"/>
  <c r="AM199" i="24" s="1"/>
  <c r="AN199" i="24" s="1"/>
  <c r="AO199" i="24" s="1"/>
  <c r="AH200" i="24"/>
  <c r="AJ200" i="24" s="1"/>
  <c r="AK200" i="24" s="1"/>
  <c r="AL200" i="24" s="1"/>
  <c r="AH195" i="24"/>
  <c r="AJ195" i="24" s="1"/>
  <c r="AK195" i="24" s="1"/>
  <c r="AL195" i="24" s="1"/>
  <c r="O201" i="24"/>
  <c r="P201" i="24" s="1"/>
  <c r="Q201" i="24" s="1"/>
  <c r="AH210" i="24"/>
  <c r="AM210" i="24" s="1"/>
  <c r="AN210" i="24" s="1"/>
  <c r="AO210" i="24" s="1"/>
  <c r="AT210" i="24" s="1"/>
  <c r="AV210" i="24" s="1"/>
  <c r="AH197" i="24"/>
  <c r="AJ197" i="24" s="1"/>
  <c r="AK197" i="24" s="1"/>
  <c r="AL197" i="24" s="1"/>
  <c r="AH207" i="24"/>
  <c r="AM207" i="24" s="1"/>
  <c r="AN207" i="24" s="1"/>
  <c r="AO207" i="24" s="1"/>
  <c r="AT207" i="24" s="1"/>
  <c r="AV207" i="24" s="1"/>
  <c r="AH202" i="24"/>
  <c r="AM202" i="24" s="1"/>
  <c r="AN202" i="24" s="1"/>
  <c r="AO202" i="24" s="1"/>
  <c r="O212" i="24"/>
  <c r="P212" i="24" s="1"/>
  <c r="Q212" i="24" s="1"/>
  <c r="AH198" i="24"/>
  <c r="AJ198" i="24" s="1"/>
  <c r="AK198" i="24" s="1"/>
  <c r="AL198" i="24" s="1"/>
  <c r="AH206" i="24"/>
  <c r="AM206" i="24" s="1"/>
  <c r="AN206" i="24" s="1"/>
  <c r="AO206" i="24" s="1"/>
  <c r="AH204" i="24"/>
  <c r="AM204" i="24" s="1"/>
  <c r="AN204" i="24" s="1"/>
  <c r="AO204" i="24" s="1"/>
  <c r="O198" i="24"/>
  <c r="P198" i="24" s="1"/>
  <c r="Q198" i="24" s="1"/>
  <c r="AH214" i="24"/>
  <c r="AJ214" i="24" s="1"/>
  <c r="AK214" i="24" s="1"/>
  <c r="AL214" i="24" s="1"/>
  <c r="O206" i="24"/>
  <c r="P206" i="24" s="1"/>
  <c r="Q206" i="24" s="1"/>
  <c r="O199" i="24"/>
  <c r="P199" i="24" s="1"/>
  <c r="Q199" i="24" s="1"/>
  <c r="O209" i="24"/>
  <c r="P209" i="24" s="1"/>
  <c r="Q209" i="24" s="1"/>
  <c r="AH201" i="24"/>
  <c r="AJ201" i="24" s="1"/>
  <c r="AK201" i="24" s="1"/>
  <c r="AL201" i="24" s="1"/>
  <c r="AH213" i="24"/>
  <c r="AJ213" i="24" s="1"/>
  <c r="AK213" i="24" s="1"/>
  <c r="AL213" i="24" s="1"/>
  <c r="O200" i="24"/>
  <c r="P200" i="24" s="1"/>
  <c r="Q200" i="24" s="1"/>
  <c r="O202" i="24"/>
  <c r="P202" i="24" s="1"/>
  <c r="Q202" i="24" s="1"/>
  <c r="AP189" i="24"/>
  <c r="S201" i="28"/>
  <c r="T200" i="28"/>
  <c r="AH151" i="30"/>
  <c r="S154" i="30"/>
  <c r="T153" i="30"/>
  <c r="V152" i="30"/>
  <c r="R153" i="30"/>
  <c r="AV179" i="30"/>
  <c r="T175" i="29"/>
  <c r="AS186" i="29"/>
  <c r="S189" i="29"/>
  <c r="T188" i="29"/>
  <c r="R161" i="29"/>
  <c r="V160" i="29"/>
  <c r="S162" i="29"/>
  <c r="T161" i="29"/>
  <c r="BH84" i="29"/>
  <c r="AE159" i="29"/>
  <c r="AS159" i="29"/>
  <c r="R175" i="24"/>
  <c r="V174" i="24"/>
  <c r="AE173" i="24"/>
  <c r="AT173" i="24"/>
  <c r="AC141" i="28"/>
  <c r="AA142" i="28" s="1"/>
  <c r="AE145" i="27"/>
  <c r="AT145" i="27"/>
  <c r="R147" i="27"/>
  <c r="V146" i="27"/>
  <c r="R146" i="26"/>
  <c r="V145" i="26"/>
  <c r="AE144" i="26"/>
  <c r="AS144" i="26"/>
  <c r="BH226" i="28"/>
  <c r="C198" i="27"/>
  <c r="O201" i="27" s="1"/>
  <c r="P201" i="27" s="1"/>
  <c r="Q201" i="27" s="1"/>
  <c r="X166" i="27"/>
  <c r="Z166" i="27" s="1"/>
  <c r="S168" i="27"/>
  <c r="T167" i="27"/>
  <c r="AT166" i="27"/>
  <c r="AE166" i="27"/>
  <c r="BH226" i="27"/>
  <c r="S148" i="27"/>
  <c r="T147" i="27"/>
  <c r="V163" i="26"/>
  <c r="R164" i="26"/>
  <c r="S147" i="26"/>
  <c r="T146" i="26"/>
  <c r="T164" i="26"/>
  <c r="R165" i="26" s="1"/>
  <c r="BG202" i="26"/>
  <c r="AS162" i="26"/>
  <c r="V174" i="25"/>
  <c r="R175" i="25"/>
  <c r="T158" i="25"/>
  <c r="S159" i="25"/>
  <c r="BG196" i="25"/>
  <c r="R158" i="25"/>
  <c r="V157" i="25"/>
  <c r="T175" i="25"/>
  <c r="S176" i="25"/>
  <c r="S177" i="25" s="1"/>
  <c r="AS156" i="25"/>
  <c r="AE156" i="25"/>
  <c r="AS173" i="25"/>
  <c r="BH120" i="20"/>
  <c r="T175" i="24"/>
  <c r="S176" i="24"/>
  <c r="BG175" i="24"/>
  <c r="S148" i="24"/>
  <c r="T147" i="24"/>
  <c r="AE159" i="23"/>
  <c r="AS159" i="23"/>
  <c r="R161" i="23"/>
  <c r="V160" i="23"/>
  <c r="AS180" i="23"/>
  <c r="T161" i="23"/>
  <c r="S162" i="23"/>
  <c r="BG196" i="23"/>
  <c r="S183" i="23"/>
  <c r="T182" i="23"/>
  <c r="R182" i="23"/>
  <c r="V181" i="23"/>
  <c r="AH148" i="22"/>
  <c r="Q150" i="22"/>
  <c r="V149" i="22"/>
  <c r="R151" i="22"/>
  <c r="S150" i="22"/>
  <c r="AS172" i="22"/>
  <c r="BG184" i="7"/>
  <c r="BG191" i="3"/>
  <c r="AS171" i="2"/>
  <c r="R189" i="29" l="1"/>
  <c r="V188" i="29"/>
  <c r="AS188" i="29" s="1"/>
  <c r="R201" i="28"/>
  <c r="V200" i="28"/>
  <c r="AJ202" i="24"/>
  <c r="AK202" i="24" s="1"/>
  <c r="AL202" i="24" s="1"/>
  <c r="AS202" i="24" s="1"/>
  <c r="AM209" i="24"/>
  <c r="AN209" i="24" s="1"/>
  <c r="AO209" i="24" s="1"/>
  <c r="AS209" i="24" s="1"/>
  <c r="T177" i="25"/>
  <c r="S178" i="25"/>
  <c r="T178" i="25" s="1"/>
  <c r="V178" i="25" s="1"/>
  <c r="AF166" i="26"/>
  <c r="AS166" i="26"/>
  <c r="V165" i="26"/>
  <c r="R166" i="26"/>
  <c r="AE207" i="31"/>
  <c r="AT207" i="31"/>
  <c r="R209" i="31"/>
  <c r="V208" i="31"/>
  <c r="T209" i="31"/>
  <c r="S210" i="31"/>
  <c r="BG192" i="31"/>
  <c r="AM203" i="24"/>
  <c r="AN203" i="24" s="1"/>
  <c r="AO203" i="24" s="1"/>
  <c r="AS203" i="24" s="1"/>
  <c r="AJ196" i="24"/>
  <c r="AK196" i="24" s="1"/>
  <c r="AL196" i="24" s="1"/>
  <c r="AS196" i="24" s="1"/>
  <c r="AM212" i="24"/>
  <c r="AN212" i="24" s="1"/>
  <c r="AO212" i="24" s="1"/>
  <c r="AT212" i="24" s="1"/>
  <c r="AV212" i="24" s="1"/>
  <c r="AM195" i="24"/>
  <c r="AN195" i="24" s="1"/>
  <c r="AO195" i="24" s="1"/>
  <c r="AS195" i="24" s="1"/>
  <c r="AJ206" i="24"/>
  <c r="AK206" i="24" s="1"/>
  <c r="AL206" i="24" s="1"/>
  <c r="AS206" i="24" s="1"/>
  <c r="AE170" i="28"/>
  <c r="AT170" i="28"/>
  <c r="S173" i="28"/>
  <c r="T172" i="28"/>
  <c r="R172" i="28"/>
  <c r="V171" i="28"/>
  <c r="AJ208" i="24"/>
  <c r="AK208" i="24" s="1"/>
  <c r="AL208" i="24" s="1"/>
  <c r="AS208" i="24" s="1"/>
  <c r="AW208" i="24" s="1"/>
  <c r="AY208" i="24" s="1"/>
  <c r="BA208" i="24" s="1"/>
  <c r="R148" i="24"/>
  <c r="V147" i="24"/>
  <c r="AM213" i="24"/>
  <c r="AN213" i="24" s="1"/>
  <c r="AO213" i="24" s="1"/>
  <c r="AS213" i="24" s="1"/>
  <c r="AM211" i="24"/>
  <c r="AN211" i="24" s="1"/>
  <c r="AO211" i="24" s="1"/>
  <c r="AS211" i="24" s="1"/>
  <c r="AJ204" i="24"/>
  <c r="AK204" i="24" s="1"/>
  <c r="AL204" i="24" s="1"/>
  <c r="AS204" i="24" s="1"/>
  <c r="AE146" i="24"/>
  <c r="AT146" i="24"/>
  <c r="AM214" i="24"/>
  <c r="AN214" i="24" s="1"/>
  <c r="AO214" i="24" s="1"/>
  <c r="AS214" i="24" s="1"/>
  <c r="AJ205" i="24"/>
  <c r="AK205" i="24" s="1"/>
  <c r="AL205" i="24" s="1"/>
  <c r="AS205" i="24" s="1"/>
  <c r="AM200" i="24"/>
  <c r="AN200" i="24" s="1"/>
  <c r="AO200" i="24" s="1"/>
  <c r="AS200" i="24" s="1"/>
  <c r="AJ199" i="24"/>
  <c r="AK199" i="24" s="1"/>
  <c r="AL199" i="24" s="1"/>
  <c r="AS199" i="24" s="1"/>
  <c r="AJ207" i="24"/>
  <c r="AK207" i="24" s="1"/>
  <c r="AL207" i="24" s="1"/>
  <c r="AS207" i="24" s="1"/>
  <c r="AX207" i="24" s="1"/>
  <c r="AZ207" i="24" s="1"/>
  <c r="Q195" i="24"/>
  <c r="S195" i="24" s="1"/>
  <c r="T195" i="24" s="1"/>
  <c r="V195" i="24" s="1"/>
  <c r="AM201" i="24"/>
  <c r="AN201" i="24" s="1"/>
  <c r="AO201" i="24" s="1"/>
  <c r="AS201" i="24" s="1"/>
  <c r="AM197" i="24"/>
  <c r="AN197" i="24" s="1"/>
  <c r="AO197" i="24" s="1"/>
  <c r="AS197" i="24" s="1"/>
  <c r="AJ210" i="24"/>
  <c r="AK210" i="24" s="1"/>
  <c r="AL210" i="24" s="1"/>
  <c r="AS210" i="24" s="1"/>
  <c r="AW210" i="24" s="1"/>
  <c r="AY210" i="24" s="1"/>
  <c r="BA210" i="24" s="1"/>
  <c r="AM198" i="24"/>
  <c r="AN198" i="24" s="1"/>
  <c r="AO198" i="24" s="1"/>
  <c r="AS198" i="24" s="1"/>
  <c r="S202" i="28"/>
  <c r="T201" i="28"/>
  <c r="AH152" i="30"/>
  <c r="AV180" i="30"/>
  <c r="R154" i="30"/>
  <c r="V153" i="30"/>
  <c r="S155" i="30"/>
  <c r="T154" i="30"/>
  <c r="T189" i="29"/>
  <c r="S190" i="29"/>
  <c r="R162" i="29"/>
  <c r="V161" i="29"/>
  <c r="S163" i="29"/>
  <c r="T162" i="29"/>
  <c r="AE160" i="29"/>
  <c r="AS160" i="29"/>
  <c r="BH85" i="29"/>
  <c r="AE174" i="24"/>
  <c r="AT174" i="24"/>
  <c r="R176" i="24"/>
  <c r="V175" i="24"/>
  <c r="R148" i="27"/>
  <c r="V147" i="27"/>
  <c r="AE146" i="27"/>
  <c r="AT146" i="27"/>
  <c r="AE145" i="26"/>
  <c r="AS145" i="26"/>
  <c r="R147" i="26"/>
  <c r="V146" i="26"/>
  <c r="BH227" i="28"/>
  <c r="O204" i="27"/>
  <c r="P204" i="27" s="1"/>
  <c r="Q204" i="27" s="1"/>
  <c r="O199" i="27"/>
  <c r="P199" i="27" s="1"/>
  <c r="Q199" i="27" s="1"/>
  <c r="AH199" i="27"/>
  <c r="AH201" i="27"/>
  <c r="AH205" i="27"/>
  <c r="AH200" i="27"/>
  <c r="O205" i="27"/>
  <c r="P205" i="27" s="1"/>
  <c r="Q205" i="27" s="1"/>
  <c r="O198" i="27"/>
  <c r="P198" i="27" s="1"/>
  <c r="O203" i="27"/>
  <c r="P203" i="27" s="1"/>
  <c r="Q203" i="27" s="1"/>
  <c r="J198" i="27"/>
  <c r="K198" i="27" s="1"/>
  <c r="L198" i="27" s="1"/>
  <c r="M198" i="27" s="1"/>
  <c r="N198" i="27" s="1"/>
  <c r="AH198" i="27"/>
  <c r="O200" i="27"/>
  <c r="P200" i="27" s="1"/>
  <c r="Q200" i="27" s="1"/>
  <c r="AH204" i="27"/>
  <c r="AH202" i="27"/>
  <c r="AH203" i="27"/>
  <c r="O202" i="27"/>
  <c r="P202" i="27" s="1"/>
  <c r="Q202" i="27" s="1"/>
  <c r="R168" i="27"/>
  <c r="V167" i="27"/>
  <c r="S169" i="27"/>
  <c r="T168" i="27"/>
  <c r="BH227" i="27"/>
  <c r="T148" i="27"/>
  <c r="S149" i="27"/>
  <c r="AS163" i="26"/>
  <c r="BG203" i="26"/>
  <c r="T147" i="26"/>
  <c r="S148" i="26"/>
  <c r="V164" i="26"/>
  <c r="T176" i="25"/>
  <c r="R177" i="25" s="1"/>
  <c r="BG197" i="25"/>
  <c r="R176" i="25"/>
  <c r="V175" i="25"/>
  <c r="T159" i="25"/>
  <c r="S160" i="25"/>
  <c r="AS174" i="25"/>
  <c r="AS157" i="25"/>
  <c r="AE157" i="25"/>
  <c r="V158" i="25"/>
  <c r="R159" i="25"/>
  <c r="BH121" i="20"/>
  <c r="S149" i="24"/>
  <c r="T148" i="24"/>
  <c r="BG176" i="24"/>
  <c r="S177" i="24"/>
  <c r="T176" i="24"/>
  <c r="R162" i="23"/>
  <c r="V161" i="23"/>
  <c r="AE160" i="23"/>
  <c r="AS160" i="23"/>
  <c r="T162" i="23"/>
  <c r="S163" i="23"/>
  <c r="BG197" i="23"/>
  <c r="AS181" i="23"/>
  <c r="R183" i="23"/>
  <c r="V182" i="23"/>
  <c r="T183" i="23"/>
  <c r="S184" i="23"/>
  <c r="AH149" i="22"/>
  <c r="Q151" i="22"/>
  <c r="V150" i="22"/>
  <c r="AS173" i="22"/>
  <c r="R152" i="22"/>
  <c r="S151" i="22"/>
  <c r="BG185" i="7"/>
  <c r="BG192" i="3"/>
  <c r="AS172" i="2"/>
  <c r="AP185" i="20"/>
  <c r="J185" i="20"/>
  <c r="K185" i="20" s="1"/>
  <c r="L185" i="20" s="1"/>
  <c r="M185" i="20" s="1"/>
  <c r="N185" i="20" s="1"/>
  <c r="AP184" i="20"/>
  <c r="J184" i="20"/>
  <c r="K184" i="20" s="1"/>
  <c r="L184" i="20" s="1"/>
  <c r="M184" i="20" s="1"/>
  <c r="N184" i="20" s="1"/>
  <c r="AP183" i="20"/>
  <c r="J183" i="20"/>
  <c r="K183" i="20" s="1"/>
  <c r="L183" i="20" s="1"/>
  <c r="M183" i="20" s="1"/>
  <c r="N183" i="20" s="1"/>
  <c r="AP182" i="20"/>
  <c r="J182" i="20"/>
  <c r="K182" i="20" s="1"/>
  <c r="L182" i="20" s="1"/>
  <c r="M182" i="20" s="1"/>
  <c r="N182" i="20" s="1"/>
  <c r="AP181" i="20"/>
  <c r="J181" i="20"/>
  <c r="K181" i="20" s="1"/>
  <c r="L181" i="20" s="1"/>
  <c r="M181" i="20" s="1"/>
  <c r="N181" i="20" s="1"/>
  <c r="AP180" i="20"/>
  <c r="J180" i="20"/>
  <c r="K180" i="20" s="1"/>
  <c r="L180" i="20" s="1"/>
  <c r="M180" i="20" s="1"/>
  <c r="N180" i="20" s="1"/>
  <c r="AP179" i="20"/>
  <c r="J179" i="20"/>
  <c r="K179" i="20" s="1"/>
  <c r="L179" i="20" s="1"/>
  <c r="M179" i="20" s="1"/>
  <c r="N179" i="20" s="1"/>
  <c r="AP178" i="20"/>
  <c r="G178" i="20"/>
  <c r="F178" i="20" s="1"/>
  <c r="J166" i="20"/>
  <c r="K166" i="20" s="1"/>
  <c r="L166" i="20" s="1"/>
  <c r="M166" i="20" s="1"/>
  <c r="N166" i="20" s="1"/>
  <c r="J165" i="20"/>
  <c r="K165" i="20" s="1"/>
  <c r="L165" i="20" s="1"/>
  <c r="M165" i="20" s="1"/>
  <c r="N165" i="20" s="1"/>
  <c r="J164" i="20"/>
  <c r="K164" i="20" s="1"/>
  <c r="L164" i="20" s="1"/>
  <c r="M164" i="20" s="1"/>
  <c r="N164" i="20" s="1"/>
  <c r="J163" i="20"/>
  <c r="K163" i="20" s="1"/>
  <c r="L163" i="20" s="1"/>
  <c r="M163" i="20" s="1"/>
  <c r="N163" i="20" s="1"/>
  <c r="J162" i="20"/>
  <c r="K162" i="20" s="1"/>
  <c r="L162" i="20" s="1"/>
  <c r="M162" i="20" s="1"/>
  <c r="N162" i="20" s="1"/>
  <c r="J161" i="20"/>
  <c r="K161" i="20" s="1"/>
  <c r="L161" i="20" s="1"/>
  <c r="M161" i="20" s="1"/>
  <c r="N161" i="20" s="1"/>
  <c r="J160" i="20"/>
  <c r="K160" i="20" s="1"/>
  <c r="L160" i="20" s="1"/>
  <c r="M160" i="20" s="1"/>
  <c r="N160" i="20" s="1"/>
  <c r="J159" i="20"/>
  <c r="K159" i="20" s="1"/>
  <c r="L159" i="20" s="1"/>
  <c r="M159" i="20" s="1"/>
  <c r="N159" i="20" s="1"/>
  <c r="J158" i="20"/>
  <c r="K158" i="20" s="1"/>
  <c r="L158" i="20" s="1"/>
  <c r="M158" i="20" s="1"/>
  <c r="N158" i="20" s="1"/>
  <c r="J157" i="20"/>
  <c r="K157" i="20" s="1"/>
  <c r="L157" i="20" s="1"/>
  <c r="M157" i="20" s="1"/>
  <c r="N157" i="20" s="1"/>
  <c r="J156" i="20"/>
  <c r="K156" i="20" s="1"/>
  <c r="L156" i="20" s="1"/>
  <c r="M156" i="20" s="1"/>
  <c r="N156" i="20" s="1"/>
  <c r="J155" i="20"/>
  <c r="K155" i="20" s="1"/>
  <c r="L155" i="20" s="1"/>
  <c r="M155" i="20" s="1"/>
  <c r="N155" i="20" s="1"/>
  <c r="J154" i="20"/>
  <c r="K154" i="20" s="1"/>
  <c r="L154" i="20" s="1"/>
  <c r="M154" i="20" s="1"/>
  <c r="N154" i="20" s="1"/>
  <c r="J153" i="20"/>
  <c r="K153" i="20" s="1"/>
  <c r="L153" i="20" s="1"/>
  <c r="M153" i="20" s="1"/>
  <c r="N153" i="20" s="1"/>
  <c r="J152" i="20"/>
  <c r="K152" i="20" s="1"/>
  <c r="L152" i="20" s="1"/>
  <c r="M152" i="20" s="1"/>
  <c r="N152" i="20" s="1"/>
  <c r="J151" i="20"/>
  <c r="K151" i="20" s="1"/>
  <c r="L151" i="20" s="1"/>
  <c r="M151" i="20" s="1"/>
  <c r="N151" i="20" s="1"/>
  <c r="J150" i="20"/>
  <c r="K150" i="20" s="1"/>
  <c r="L150" i="20" s="1"/>
  <c r="M150" i="20" s="1"/>
  <c r="N150" i="20" s="1"/>
  <c r="J149" i="20"/>
  <c r="K149" i="20" s="1"/>
  <c r="L149" i="20" s="1"/>
  <c r="M149" i="20" s="1"/>
  <c r="N149" i="20" s="1"/>
  <c r="J148" i="20"/>
  <c r="K148" i="20" s="1"/>
  <c r="L148" i="20" s="1"/>
  <c r="M148" i="20" s="1"/>
  <c r="N148" i="20" s="1"/>
  <c r="G147" i="20"/>
  <c r="C147" i="20"/>
  <c r="AF159" i="26" l="1"/>
  <c r="AF160" i="26"/>
  <c r="AS212" i="24"/>
  <c r="AQ152" i="20"/>
  <c r="AQ163" i="20"/>
  <c r="AQ158" i="20"/>
  <c r="AQ154" i="20"/>
  <c r="AQ160" i="20"/>
  <c r="AQ148" i="20"/>
  <c r="AQ166" i="20"/>
  <c r="AQ155" i="20"/>
  <c r="AQ153" i="20"/>
  <c r="AQ156" i="20"/>
  <c r="AQ151" i="20"/>
  <c r="AQ150" i="20"/>
  <c r="AQ161" i="20"/>
  <c r="AQ164" i="20"/>
  <c r="AQ159" i="20"/>
  <c r="AQ149" i="20"/>
  <c r="AQ162" i="20"/>
  <c r="AQ157" i="20"/>
  <c r="AQ147" i="20"/>
  <c r="AQ165" i="20"/>
  <c r="R190" i="29"/>
  <c r="V189" i="29"/>
  <c r="AS189" i="29" s="1"/>
  <c r="AW212" i="24"/>
  <c r="AY212" i="24" s="1"/>
  <c r="BA212" i="24" s="1"/>
  <c r="R202" i="28"/>
  <c r="V201" i="28"/>
  <c r="AT200" i="28"/>
  <c r="R155" i="30"/>
  <c r="V154" i="30"/>
  <c r="AT209" i="24"/>
  <c r="AV209" i="24" s="1"/>
  <c r="AX209" i="24" s="1"/>
  <c r="AZ209" i="24" s="1"/>
  <c r="AB209" i="24" s="1"/>
  <c r="AF178" i="25"/>
  <c r="AS178" i="25"/>
  <c r="R178" i="25"/>
  <c r="V177" i="25"/>
  <c r="AF165" i="26"/>
  <c r="AS165" i="26"/>
  <c r="AU166" i="26"/>
  <c r="R210" i="31"/>
  <c r="V209" i="31"/>
  <c r="AE208" i="31"/>
  <c r="AT208" i="31"/>
  <c r="S211" i="31"/>
  <c r="T210" i="31"/>
  <c r="BG193" i="31"/>
  <c r="AX208" i="24"/>
  <c r="AZ208" i="24" s="1"/>
  <c r="AB208" i="24" s="1"/>
  <c r="AT195" i="24"/>
  <c r="AE171" i="28"/>
  <c r="AT171" i="28"/>
  <c r="V172" i="28"/>
  <c r="R173" i="28"/>
  <c r="T173" i="28"/>
  <c r="S174" i="28"/>
  <c r="AT214" i="24"/>
  <c r="AV214" i="24" s="1"/>
  <c r="AW214" i="24" s="1"/>
  <c r="AY214" i="24" s="1"/>
  <c r="BA214" i="24" s="1"/>
  <c r="AW207" i="24"/>
  <c r="AY207" i="24" s="1"/>
  <c r="BA207" i="24" s="1"/>
  <c r="AX210" i="24"/>
  <c r="AZ210" i="24" s="1"/>
  <c r="AB210" i="24" s="1"/>
  <c r="AT213" i="24"/>
  <c r="AV213" i="24" s="1"/>
  <c r="AX213" i="24" s="1"/>
  <c r="AZ213" i="24" s="1"/>
  <c r="AB213" i="24" s="1"/>
  <c r="R196" i="24"/>
  <c r="S196" i="24" s="1"/>
  <c r="S197" i="24" s="1"/>
  <c r="S198" i="24" s="1"/>
  <c r="AE147" i="24"/>
  <c r="AT147" i="24"/>
  <c r="R149" i="24"/>
  <c r="V148" i="24"/>
  <c r="AT211" i="24"/>
  <c r="AV211" i="24" s="1"/>
  <c r="AX211" i="24" s="1"/>
  <c r="AZ211" i="24" s="1"/>
  <c r="AB211" i="24" s="1"/>
  <c r="T202" i="28"/>
  <c r="S203" i="28"/>
  <c r="T203" i="28" s="1"/>
  <c r="V203" i="28" s="1"/>
  <c r="AX212" i="24"/>
  <c r="AZ212" i="24" s="1"/>
  <c r="AB212" i="24" s="1"/>
  <c r="AH153" i="30"/>
  <c r="S156" i="30"/>
  <c r="T155" i="30"/>
  <c r="AV181" i="30"/>
  <c r="T190" i="29"/>
  <c r="S191" i="29"/>
  <c r="T163" i="29"/>
  <c r="S164" i="29"/>
  <c r="BH86" i="29"/>
  <c r="AE161" i="29"/>
  <c r="AS161" i="29"/>
  <c r="R163" i="29"/>
  <c r="V162" i="29"/>
  <c r="R177" i="24"/>
  <c r="V176" i="24"/>
  <c r="BB207" i="24"/>
  <c r="AB207" i="24"/>
  <c r="AE175" i="24"/>
  <c r="AT175" i="24"/>
  <c r="AE147" i="27"/>
  <c r="AT147" i="27"/>
  <c r="R149" i="27"/>
  <c r="V148" i="27"/>
  <c r="R148" i="26"/>
  <c r="V147" i="26"/>
  <c r="AE146" i="26"/>
  <c r="AS146" i="26"/>
  <c r="BC207" i="24"/>
  <c r="G207" i="24" s="1"/>
  <c r="F207" i="24" s="1"/>
  <c r="BH228" i="28"/>
  <c r="AM203" i="27"/>
  <c r="AN203" i="27" s="1"/>
  <c r="AO203" i="27" s="1"/>
  <c r="AJ203" i="27"/>
  <c r="AK203" i="27" s="1"/>
  <c r="AL203" i="27" s="1"/>
  <c r="AM198" i="27"/>
  <c r="AN198" i="27" s="1"/>
  <c r="AO198" i="27" s="1"/>
  <c r="AJ198" i="27"/>
  <c r="AK198" i="27" s="1"/>
  <c r="AJ199" i="27"/>
  <c r="AK199" i="27" s="1"/>
  <c r="AL199" i="27" s="1"/>
  <c r="AM199" i="27"/>
  <c r="AN199" i="27" s="1"/>
  <c r="AO199" i="27" s="1"/>
  <c r="AM202" i="27"/>
  <c r="AN202" i="27" s="1"/>
  <c r="AJ202" i="27"/>
  <c r="AK202" i="27" s="1"/>
  <c r="AL202" i="27" s="1"/>
  <c r="AM200" i="27"/>
  <c r="AN200" i="27" s="1"/>
  <c r="AO200" i="27" s="1"/>
  <c r="AJ200" i="27"/>
  <c r="AK200" i="27" s="1"/>
  <c r="AL200" i="27" s="1"/>
  <c r="AM204" i="27"/>
  <c r="AN204" i="27" s="1"/>
  <c r="AO204" i="27" s="1"/>
  <c r="AJ204" i="27"/>
  <c r="AK204" i="27" s="1"/>
  <c r="AL204" i="27" s="1"/>
  <c r="AM205" i="27"/>
  <c r="AN205" i="27" s="1"/>
  <c r="AO205" i="27" s="1"/>
  <c r="AJ205" i="27"/>
  <c r="AK205" i="27" s="1"/>
  <c r="AL205" i="27" s="1"/>
  <c r="AM201" i="27"/>
  <c r="AN201" i="27" s="1"/>
  <c r="AO201" i="27" s="1"/>
  <c r="AJ201" i="27"/>
  <c r="AK201" i="27" s="1"/>
  <c r="AL201" i="27" s="1"/>
  <c r="Q198" i="27"/>
  <c r="S198" i="27" s="1"/>
  <c r="T198" i="27" s="1"/>
  <c r="S170" i="27"/>
  <c r="T169" i="27"/>
  <c r="AT167" i="27"/>
  <c r="AE167" i="27"/>
  <c r="R169" i="27"/>
  <c r="V168" i="27"/>
  <c r="BH228" i="27"/>
  <c r="T149" i="27"/>
  <c r="S150" i="27"/>
  <c r="T148" i="26"/>
  <c r="S149" i="26"/>
  <c r="T149" i="26" s="1"/>
  <c r="V149" i="26" s="1"/>
  <c r="BG204" i="26"/>
  <c r="AS164" i="26"/>
  <c r="BG198" i="25"/>
  <c r="AS175" i="25"/>
  <c r="V176" i="25"/>
  <c r="AE158" i="25"/>
  <c r="AS158" i="25"/>
  <c r="S161" i="25"/>
  <c r="T161" i="25" s="1"/>
  <c r="V161" i="25" s="1"/>
  <c r="T160" i="25"/>
  <c r="R160" i="25"/>
  <c r="V159" i="25"/>
  <c r="BH122" i="20"/>
  <c r="AG150" i="20"/>
  <c r="AH150" i="20" s="1"/>
  <c r="T177" i="24"/>
  <c r="S178" i="24"/>
  <c r="S150" i="24"/>
  <c r="T149" i="24"/>
  <c r="BG177" i="24"/>
  <c r="AE161" i="23"/>
  <c r="AS161" i="23"/>
  <c r="R163" i="23"/>
  <c r="V162" i="23"/>
  <c r="BG198" i="23"/>
  <c r="S185" i="23"/>
  <c r="T184" i="23"/>
  <c r="S164" i="23"/>
  <c r="T164" i="23" s="1"/>
  <c r="V164" i="23" s="1"/>
  <c r="T163" i="23"/>
  <c r="V183" i="23"/>
  <c r="R184" i="23"/>
  <c r="AS182" i="23"/>
  <c r="AS174" i="22"/>
  <c r="V151" i="22"/>
  <c r="Q152" i="22"/>
  <c r="AH150" i="22"/>
  <c r="S152" i="22"/>
  <c r="R153" i="22"/>
  <c r="S153" i="22" s="1"/>
  <c r="V153" i="22" s="1"/>
  <c r="J147" i="20"/>
  <c r="K147" i="20" s="1"/>
  <c r="L147" i="20" s="1"/>
  <c r="M147" i="20" s="1"/>
  <c r="N147" i="20" s="1"/>
  <c r="O154" i="20"/>
  <c r="P154" i="20" s="1"/>
  <c r="Q154" i="20" s="1"/>
  <c r="BG186" i="7"/>
  <c r="BG193" i="3"/>
  <c r="AS173" i="2"/>
  <c r="O148" i="20"/>
  <c r="P148" i="20" s="1"/>
  <c r="Q148" i="20" s="1"/>
  <c r="O152" i="20"/>
  <c r="P152" i="20" s="1"/>
  <c r="Q152" i="20" s="1"/>
  <c r="AG154" i="20"/>
  <c r="O158" i="20"/>
  <c r="P158" i="20" s="1"/>
  <c r="Q158" i="20" s="1"/>
  <c r="AG148" i="20"/>
  <c r="O150" i="20"/>
  <c r="P150" i="20" s="1"/>
  <c r="Q150" i="20" s="1"/>
  <c r="O156" i="20"/>
  <c r="P156" i="20" s="1"/>
  <c r="Q156" i="20" s="1"/>
  <c r="AG147" i="20"/>
  <c r="AH147" i="20" s="1"/>
  <c r="AG152" i="20"/>
  <c r="AG156" i="20"/>
  <c r="AG158" i="20"/>
  <c r="O160" i="20"/>
  <c r="P160" i="20" s="1"/>
  <c r="Q160" i="20" s="1"/>
  <c r="AG160" i="20"/>
  <c r="O162" i="20"/>
  <c r="P162" i="20" s="1"/>
  <c r="Q162" i="20" s="1"/>
  <c r="AG162" i="20"/>
  <c r="AH162" i="20" s="1"/>
  <c r="O163" i="20"/>
  <c r="P163" i="20" s="1"/>
  <c r="Q163" i="20" s="1"/>
  <c r="O165" i="20"/>
  <c r="P165" i="20" s="1"/>
  <c r="Q165" i="20" s="1"/>
  <c r="AG163" i="20"/>
  <c r="AH163" i="20" s="1"/>
  <c r="O164" i="20"/>
  <c r="P164" i="20" s="1"/>
  <c r="Q164" i="20" s="1"/>
  <c r="AG165" i="20"/>
  <c r="AH165" i="20" s="1"/>
  <c r="O166" i="20"/>
  <c r="P166" i="20" s="1"/>
  <c r="Q166" i="20" s="1"/>
  <c r="O147" i="20"/>
  <c r="P147" i="20" s="1"/>
  <c r="O149" i="20"/>
  <c r="P149" i="20" s="1"/>
  <c r="Q149" i="20" s="1"/>
  <c r="AG149" i="20"/>
  <c r="O151" i="20"/>
  <c r="P151" i="20" s="1"/>
  <c r="Q151" i="20" s="1"/>
  <c r="AG151" i="20"/>
  <c r="O153" i="20"/>
  <c r="P153" i="20" s="1"/>
  <c r="Q153" i="20" s="1"/>
  <c r="AG153" i="20"/>
  <c r="O155" i="20"/>
  <c r="P155" i="20" s="1"/>
  <c r="Q155" i="20" s="1"/>
  <c r="AG155" i="20"/>
  <c r="O157" i="20"/>
  <c r="P157" i="20" s="1"/>
  <c r="Q157" i="20" s="1"/>
  <c r="AG157" i="20"/>
  <c r="O159" i="20"/>
  <c r="P159" i="20" s="1"/>
  <c r="Q159" i="20" s="1"/>
  <c r="AG159" i="20"/>
  <c r="O161" i="20"/>
  <c r="P161" i="20" s="1"/>
  <c r="Q161" i="20" s="1"/>
  <c r="AG161" i="20"/>
  <c r="AG164" i="20"/>
  <c r="AH164" i="20" s="1"/>
  <c r="AG166" i="20"/>
  <c r="AH166" i="20" s="1"/>
  <c r="AF203" i="28" l="1"/>
  <c r="AT203" i="28"/>
  <c r="R203" i="28"/>
  <c r="V202" i="28"/>
  <c r="AF199" i="28" s="1"/>
  <c r="AV199" i="28" s="1"/>
  <c r="AX199" i="28" s="1"/>
  <c r="AZ199" i="28" s="1"/>
  <c r="AF172" i="25"/>
  <c r="AF171" i="25"/>
  <c r="BB209" i="24"/>
  <c r="AT201" i="28"/>
  <c r="AW209" i="24"/>
  <c r="AY209" i="24" s="1"/>
  <c r="BA209" i="24" s="1"/>
  <c r="BC209" i="24"/>
  <c r="G209" i="24" s="1"/>
  <c r="F209" i="24" s="1"/>
  <c r="AF149" i="26"/>
  <c r="AE149" i="26"/>
  <c r="AS149" i="26"/>
  <c r="R149" i="26"/>
  <c r="V148" i="26"/>
  <c r="AF146" i="26" s="1"/>
  <c r="AU146" i="26" s="1"/>
  <c r="R156" i="30"/>
  <c r="V155" i="30"/>
  <c r="AH154" i="30"/>
  <c r="AU178" i="25"/>
  <c r="AW178" i="25" s="1"/>
  <c r="AY178" i="25" s="1"/>
  <c r="AF177" i="25"/>
  <c r="AS177" i="25"/>
  <c r="AU165" i="26"/>
  <c r="AW165" i="26" s="1"/>
  <c r="AY165" i="26" s="1"/>
  <c r="AW166" i="26"/>
  <c r="AY166" i="26" s="1"/>
  <c r="AV166" i="26"/>
  <c r="AX166" i="26" s="1"/>
  <c r="AZ166" i="26" s="1"/>
  <c r="BC208" i="24"/>
  <c r="G208" i="24" s="1"/>
  <c r="F208" i="24" s="1"/>
  <c r="BB208" i="24"/>
  <c r="AE209" i="31"/>
  <c r="AT209" i="31"/>
  <c r="R211" i="31"/>
  <c r="V210" i="31"/>
  <c r="BG194" i="31"/>
  <c r="S212" i="31"/>
  <c r="T211" i="31"/>
  <c r="AX214" i="24"/>
  <c r="AZ214" i="24" s="1"/>
  <c r="BB214" i="24" s="1"/>
  <c r="BC210" i="24"/>
  <c r="G210" i="24" s="1"/>
  <c r="F210" i="24" s="1"/>
  <c r="AE172" i="28"/>
  <c r="AT172" i="28"/>
  <c r="T174" i="28"/>
  <c r="S175" i="28"/>
  <c r="V173" i="28"/>
  <c r="R174" i="28"/>
  <c r="T197" i="24"/>
  <c r="V197" i="24" s="1"/>
  <c r="BB213" i="24"/>
  <c r="AW213" i="24"/>
  <c r="AY213" i="24" s="1"/>
  <c r="BA213" i="24" s="1"/>
  <c r="BC213" i="24"/>
  <c r="G213" i="24" s="1"/>
  <c r="F213" i="24" s="1"/>
  <c r="BC212" i="24"/>
  <c r="G212" i="24" s="1"/>
  <c r="F212" i="24" s="1"/>
  <c r="BC211" i="24"/>
  <c r="G211" i="24" s="1"/>
  <c r="F211" i="24" s="1"/>
  <c r="AW211" i="24"/>
  <c r="AY211" i="24" s="1"/>
  <c r="BA211" i="24" s="1"/>
  <c r="BB210" i="24"/>
  <c r="BB211" i="24"/>
  <c r="T196" i="24"/>
  <c r="BB212" i="24"/>
  <c r="R150" i="24"/>
  <c r="V149" i="24"/>
  <c r="AE148" i="24"/>
  <c r="AT148" i="24"/>
  <c r="S157" i="30"/>
  <c r="T157" i="30" s="1"/>
  <c r="V157" i="30" s="1"/>
  <c r="T156" i="30"/>
  <c r="AV182" i="30"/>
  <c r="S192" i="29"/>
  <c r="T191" i="29"/>
  <c r="V190" i="29"/>
  <c r="R191" i="29"/>
  <c r="R164" i="29"/>
  <c r="V163" i="29"/>
  <c r="AS162" i="29"/>
  <c r="AE162" i="29"/>
  <c r="BH87" i="29"/>
  <c r="T164" i="29"/>
  <c r="S165" i="29"/>
  <c r="R178" i="24"/>
  <c r="V177" i="24"/>
  <c r="AE176" i="24"/>
  <c r="AT176" i="24"/>
  <c r="R170" i="27"/>
  <c r="V169" i="27"/>
  <c r="AE148" i="27"/>
  <c r="AT148" i="27"/>
  <c r="R150" i="27"/>
  <c r="V149" i="27"/>
  <c r="AS203" i="27"/>
  <c r="AS201" i="27"/>
  <c r="AS204" i="27"/>
  <c r="AS199" i="27"/>
  <c r="AE147" i="26"/>
  <c r="AS147" i="26"/>
  <c r="BH229" i="28"/>
  <c r="AS200" i="27"/>
  <c r="AS205" i="27"/>
  <c r="AO202" i="27"/>
  <c r="AS202" i="27" s="1"/>
  <c r="AL198" i="27"/>
  <c r="AS198" i="27" s="1"/>
  <c r="V198" i="27"/>
  <c r="AT198" i="27" s="1"/>
  <c r="R199" i="27"/>
  <c r="S199" i="27" s="1"/>
  <c r="AE168" i="27"/>
  <c r="AT168" i="27"/>
  <c r="S171" i="27"/>
  <c r="T170" i="27"/>
  <c r="T150" i="27"/>
  <c r="S151" i="27"/>
  <c r="BH229" i="27"/>
  <c r="BG205" i="26"/>
  <c r="AS161" i="25"/>
  <c r="AF161" i="25"/>
  <c r="AE161" i="25"/>
  <c r="AE159" i="25"/>
  <c r="AS159" i="25"/>
  <c r="AS176" i="25"/>
  <c r="R161" i="25"/>
  <c r="V160" i="25"/>
  <c r="AF159" i="25" s="1"/>
  <c r="BG199" i="25"/>
  <c r="BH123" i="20"/>
  <c r="AL163" i="20"/>
  <c r="AM163" i="20" s="1"/>
  <c r="AN163" i="20" s="1"/>
  <c r="AI163" i="20"/>
  <c r="AJ163" i="20" s="1"/>
  <c r="AK163" i="20" s="1"/>
  <c r="AL162" i="20"/>
  <c r="AM162" i="20" s="1"/>
  <c r="AN162" i="20" s="1"/>
  <c r="AI162" i="20"/>
  <c r="AJ162" i="20" s="1"/>
  <c r="AK162" i="20" s="1"/>
  <c r="AL158" i="20"/>
  <c r="AM158" i="20" s="1"/>
  <c r="AN158" i="20" s="1"/>
  <c r="AI158" i="20"/>
  <c r="AJ158" i="20" s="1"/>
  <c r="AL154" i="20"/>
  <c r="AM154" i="20" s="1"/>
  <c r="AI154" i="20"/>
  <c r="AJ154" i="20" s="1"/>
  <c r="AK154" i="20" s="1"/>
  <c r="AL166" i="20"/>
  <c r="AM166" i="20" s="1"/>
  <c r="AN166" i="20" s="1"/>
  <c r="AI166" i="20"/>
  <c r="AJ166" i="20" s="1"/>
  <c r="AK166" i="20" s="1"/>
  <c r="AL161" i="20"/>
  <c r="AM161" i="20" s="1"/>
  <c r="AI161" i="20"/>
  <c r="AJ161" i="20" s="1"/>
  <c r="AK161" i="20" s="1"/>
  <c r="AL157" i="20"/>
  <c r="AM157" i="20" s="1"/>
  <c r="AN157" i="20" s="1"/>
  <c r="AI157" i="20"/>
  <c r="AJ157" i="20" s="1"/>
  <c r="AK157" i="20" s="1"/>
  <c r="AL153" i="20"/>
  <c r="AM153" i="20" s="1"/>
  <c r="AN153" i="20" s="1"/>
  <c r="AI153" i="20"/>
  <c r="AJ153" i="20" s="1"/>
  <c r="AK153" i="20" s="1"/>
  <c r="AL149" i="20"/>
  <c r="AM149" i="20" s="1"/>
  <c r="AN149" i="20" s="1"/>
  <c r="AI149" i="20"/>
  <c r="AJ149" i="20" s="1"/>
  <c r="AK149" i="20" s="1"/>
  <c r="AL156" i="20"/>
  <c r="AM156" i="20" s="1"/>
  <c r="AN156" i="20" s="1"/>
  <c r="AI156" i="20"/>
  <c r="AJ156" i="20" s="1"/>
  <c r="AK156" i="20" s="1"/>
  <c r="AL165" i="20"/>
  <c r="AM165" i="20" s="1"/>
  <c r="AN165" i="20" s="1"/>
  <c r="AI165" i="20"/>
  <c r="AJ165" i="20" s="1"/>
  <c r="AK165" i="20" s="1"/>
  <c r="AL160" i="20"/>
  <c r="AM160" i="20" s="1"/>
  <c r="AN160" i="20" s="1"/>
  <c r="AI160" i="20"/>
  <c r="AJ160" i="20" s="1"/>
  <c r="AK160" i="20" s="1"/>
  <c r="AL152" i="20"/>
  <c r="AM152" i="20" s="1"/>
  <c r="AN152" i="20" s="1"/>
  <c r="AI152" i="20"/>
  <c r="AJ152" i="20" s="1"/>
  <c r="AL148" i="20"/>
  <c r="AM148" i="20" s="1"/>
  <c r="AN148" i="20" s="1"/>
  <c r="AI148" i="20"/>
  <c r="AJ148" i="20" s="1"/>
  <c r="AL164" i="20"/>
  <c r="AM164" i="20" s="1"/>
  <c r="AN164" i="20" s="1"/>
  <c r="AI164" i="20"/>
  <c r="AJ164" i="20" s="1"/>
  <c r="AK164" i="20" s="1"/>
  <c r="AL159" i="20"/>
  <c r="AM159" i="20" s="1"/>
  <c r="AN159" i="20" s="1"/>
  <c r="AI159" i="20"/>
  <c r="AJ159" i="20" s="1"/>
  <c r="AK159" i="20" s="1"/>
  <c r="AL155" i="20"/>
  <c r="AM155" i="20" s="1"/>
  <c r="AN155" i="20" s="1"/>
  <c r="AI155" i="20"/>
  <c r="AJ155" i="20" s="1"/>
  <c r="AK155" i="20" s="1"/>
  <c r="AL151" i="20"/>
  <c r="AM151" i="20" s="1"/>
  <c r="AN151" i="20" s="1"/>
  <c r="AI151" i="20"/>
  <c r="AJ151" i="20" s="1"/>
  <c r="AK151" i="20" s="1"/>
  <c r="AL147" i="20"/>
  <c r="AM147" i="20" s="1"/>
  <c r="AN147" i="20" s="1"/>
  <c r="AI147" i="20"/>
  <c r="AJ147" i="20" s="1"/>
  <c r="AK147" i="20" s="1"/>
  <c r="AL150" i="20"/>
  <c r="AM150" i="20" s="1"/>
  <c r="AI150" i="20"/>
  <c r="AJ150" i="20" s="1"/>
  <c r="AK150" i="20" s="1"/>
  <c r="Q147" i="20"/>
  <c r="S147" i="20" s="1"/>
  <c r="T147" i="20" s="1"/>
  <c r="R148" i="20" s="1"/>
  <c r="S148" i="20" s="1"/>
  <c r="BG178" i="24"/>
  <c r="S151" i="24"/>
  <c r="T150" i="24"/>
  <c r="T178" i="24"/>
  <c r="S179" i="24"/>
  <c r="S199" i="24"/>
  <c r="T198" i="24"/>
  <c r="AF164" i="23"/>
  <c r="AE164" i="23"/>
  <c r="AS164" i="23"/>
  <c r="AE162" i="23"/>
  <c r="AS162" i="23"/>
  <c r="R164" i="23"/>
  <c r="V163" i="23"/>
  <c r="AS183" i="23"/>
  <c r="S186" i="23"/>
  <c r="T185" i="23"/>
  <c r="BG199" i="23"/>
  <c r="V184" i="23"/>
  <c r="R185" i="23"/>
  <c r="AS175" i="22"/>
  <c r="AH153" i="22"/>
  <c r="X153" i="22"/>
  <c r="Q153" i="22"/>
  <c r="V152" i="22"/>
  <c r="AH151" i="22"/>
  <c r="AH154" i="20"/>
  <c r="BG187" i="7"/>
  <c r="BG194" i="3"/>
  <c r="AS174" i="2"/>
  <c r="AH152" i="20"/>
  <c r="AH156" i="20"/>
  <c r="AH148" i="20"/>
  <c r="AH158" i="20"/>
  <c r="AH153" i="20"/>
  <c r="AH161" i="20"/>
  <c r="AH157" i="20"/>
  <c r="AH149" i="20"/>
  <c r="AH159" i="20"/>
  <c r="AH155" i="20"/>
  <c r="AH151" i="20"/>
  <c r="AH160" i="20"/>
  <c r="AF197" i="28" l="1"/>
  <c r="AV197" i="28" s="1"/>
  <c r="T192" i="28"/>
  <c r="AF196" i="28"/>
  <c r="AV196" i="28" s="1"/>
  <c r="AW196" i="28" s="1"/>
  <c r="AY196" i="28" s="1"/>
  <c r="BA196" i="28" s="1"/>
  <c r="AF198" i="28"/>
  <c r="AV198" i="28" s="1"/>
  <c r="AW198" i="28" s="1"/>
  <c r="AY198" i="28" s="1"/>
  <c r="BA198" i="28" s="1"/>
  <c r="AF201" i="28"/>
  <c r="AV201" i="28" s="1"/>
  <c r="AV203" i="28"/>
  <c r="AF202" i="28"/>
  <c r="AT202" i="28"/>
  <c r="AF200" i="28"/>
  <c r="AV200" i="28" s="1"/>
  <c r="AX200" i="28" s="1"/>
  <c r="AZ200" i="28" s="1"/>
  <c r="AW199" i="28"/>
  <c r="AY199" i="28" s="1"/>
  <c r="BA199" i="28" s="1"/>
  <c r="R192" i="29"/>
  <c r="V191" i="29"/>
  <c r="AB199" i="28"/>
  <c r="BB199" i="28"/>
  <c r="AX197" i="28"/>
  <c r="AZ197" i="28" s="1"/>
  <c r="AW197" i="28"/>
  <c r="AY197" i="28" s="1"/>
  <c r="BA197" i="28" s="1"/>
  <c r="AF139" i="26"/>
  <c r="AU139" i="26" s="1"/>
  <c r="AF144" i="26"/>
  <c r="AU144" i="26" s="1"/>
  <c r="AF138" i="26"/>
  <c r="AU138" i="26" s="1"/>
  <c r="AF141" i="26"/>
  <c r="AU141" i="26" s="1"/>
  <c r="AF140" i="26"/>
  <c r="AU140" i="26" s="1"/>
  <c r="AF143" i="26"/>
  <c r="AU143" i="26" s="1"/>
  <c r="AF145" i="26"/>
  <c r="AU145" i="26" s="1"/>
  <c r="AF147" i="26"/>
  <c r="AU147" i="26" s="1"/>
  <c r="AF142" i="26"/>
  <c r="AU142" i="26" s="1"/>
  <c r="AU149" i="26"/>
  <c r="AF148" i="26"/>
  <c r="AE148" i="26"/>
  <c r="AD144" i="26" s="1"/>
  <c r="AC144" i="26" s="1"/>
  <c r="AS148" i="26"/>
  <c r="X157" i="30"/>
  <c r="AH157" i="30"/>
  <c r="R157" i="30"/>
  <c r="V156" i="30"/>
  <c r="X143" i="30" s="1"/>
  <c r="AI143" i="30" s="1"/>
  <c r="AH155" i="30"/>
  <c r="AV178" i="25"/>
  <c r="AX178" i="25" s="1"/>
  <c r="AZ178" i="25" s="1"/>
  <c r="R198" i="24"/>
  <c r="AV165" i="26"/>
  <c r="AX165" i="26" s="1"/>
  <c r="AZ165" i="26" s="1"/>
  <c r="AB178" i="25"/>
  <c r="BA178" i="25"/>
  <c r="AU177" i="25"/>
  <c r="AB165" i="26"/>
  <c r="BA165" i="26"/>
  <c r="AB166" i="26"/>
  <c r="BA166" i="26"/>
  <c r="AB214" i="24"/>
  <c r="AE210" i="31"/>
  <c r="AT210" i="31"/>
  <c r="R212" i="31"/>
  <c r="V211" i="31"/>
  <c r="T212" i="31"/>
  <c r="S213" i="31"/>
  <c r="T213" i="31" s="1"/>
  <c r="V213" i="31" s="1"/>
  <c r="BG195" i="31"/>
  <c r="BC214" i="24"/>
  <c r="G214" i="24" s="1"/>
  <c r="F214" i="24" s="1"/>
  <c r="S176" i="28"/>
  <c r="T175" i="28"/>
  <c r="R175" i="28"/>
  <c r="V174" i="28"/>
  <c r="AT173" i="28"/>
  <c r="AE173" i="28"/>
  <c r="V196" i="24"/>
  <c r="AT196" i="24" s="1"/>
  <c r="R197" i="24"/>
  <c r="AE149" i="24"/>
  <c r="AT149" i="24"/>
  <c r="R151" i="24"/>
  <c r="V150" i="24"/>
  <c r="AF145" i="24" s="1"/>
  <c r="AV183" i="30"/>
  <c r="AS190" i="29"/>
  <c r="T192" i="29"/>
  <c r="S193" i="29"/>
  <c r="T165" i="29"/>
  <c r="S166" i="29"/>
  <c r="R165" i="29"/>
  <c r="V164" i="29"/>
  <c r="AS163" i="29"/>
  <c r="AE163" i="29"/>
  <c r="BH88" i="29"/>
  <c r="R179" i="24"/>
  <c r="V178" i="24"/>
  <c r="AE177" i="24"/>
  <c r="AT177" i="24"/>
  <c r="R171" i="27"/>
  <c r="V170" i="27"/>
  <c r="AE169" i="27"/>
  <c r="AT169" i="27"/>
  <c r="R151" i="27"/>
  <c r="V150" i="27"/>
  <c r="AE149" i="27"/>
  <c r="AT149" i="27"/>
  <c r="V147" i="20"/>
  <c r="AS147" i="20" s="1"/>
  <c r="BH230" i="28"/>
  <c r="T199" i="27"/>
  <c r="S200" i="27"/>
  <c r="S172" i="27"/>
  <c r="T171" i="27"/>
  <c r="BH230" i="27"/>
  <c r="T151" i="27"/>
  <c r="S152" i="27"/>
  <c r="BG206" i="26"/>
  <c r="AF155" i="25"/>
  <c r="AU155" i="25" s="1"/>
  <c r="AF152" i="25"/>
  <c r="AU152" i="25" s="1"/>
  <c r="AF151" i="25"/>
  <c r="AU151" i="25" s="1"/>
  <c r="AF158" i="25"/>
  <c r="AU158" i="25" s="1"/>
  <c r="AU159" i="25"/>
  <c r="BG200" i="25"/>
  <c r="AS160" i="25"/>
  <c r="AF160" i="25"/>
  <c r="AE160" i="25"/>
  <c r="AD158" i="25" s="1"/>
  <c r="AC158" i="25" s="1"/>
  <c r="AF156" i="25"/>
  <c r="AF157" i="25"/>
  <c r="AF154" i="25"/>
  <c r="AF150" i="25"/>
  <c r="AU161" i="25"/>
  <c r="AF153" i="25"/>
  <c r="BH124" i="20"/>
  <c r="AR156" i="20"/>
  <c r="AR147" i="20"/>
  <c r="C8" i="20" s="1"/>
  <c r="AK152" i="20"/>
  <c r="AR152" i="20" s="1"/>
  <c r="AN161" i="20"/>
  <c r="AR161" i="20" s="1"/>
  <c r="AN150" i="20"/>
  <c r="AR150" i="20" s="1"/>
  <c r="AK148" i="20"/>
  <c r="AR148" i="20" s="1"/>
  <c r="AN154" i="20"/>
  <c r="AR154" i="20" s="1"/>
  <c r="AK158" i="20"/>
  <c r="AR158" i="20" s="1"/>
  <c r="AT197" i="24"/>
  <c r="S152" i="24"/>
  <c r="T151" i="24"/>
  <c r="R152" i="24" s="1"/>
  <c r="R199" i="24"/>
  <c r="V198" i="24"/>
  <c r="T179" i="24"/>
  <c r="S180" i="24"/>
  <c r="S200" i="24"/>
  <c r="T199" i="24"/>
  <c r="BG179" i="24"/>
  <c r="AF163" i="23"/>
  <c r="AE163" i="23"/>
  <c r="AD158" i="23" s="1"/>
  <c r="AS163" i="23"/>
  <c r="AF159" i="23"/>
  <c r="AU159" i="23" s="1"/>
  <c r="AF158" i="23"/>
  <c r="AU158" i="23" s="1"/>
  <c r="AF156" i="23"/>
  <c r="AU156" i="23" s="1"/>
  <c r="AF160" i="23"/>
  <c r="AU160" i="23" s="1"/>
  <c r="AF155" i="23"/>
  <c r="AU155" i="23" s="1"/>
  <c r="AF154" i="23"/>
  <c r="AU154" i="23" s="1"/>
  <c r="AF161" i="23"/>
  <c r="AU161" i="23" s="1"/>
  <c r="AF162" i="23"/>
  <c r="AU162" i="23" s="1"/>
  <c r="AU164" i="23"/>
  <c r="AF157" i="23"/>
  <c r="AU157" i="23" s="1"/>
  <c r="AF153" i="23"/>
  <c r="AU153" i="23" s="1"/>
  <c r="S187" i="23"/>
  <c r="T186" i="23"/>
  <c r="BG200" i="23"/>
  <c r="AS184" i="23"/>
  <c r="V185" i="23"/>
  <c r="R186" i="23"/>
  <c r="AI153" i="22"/>
  <c r="AJ153" i="22" s="1"/>
  <c r="AL153" i="22" s="1"/>
  <c r="AN153" i="22" s="1"/>
  <c r="AH152" i="22"/>
  <c r="X152" i="22"/>
  <c r="X150" i="22"/>
  <c r="AI150" i="22" s="1"/>
  <c r="X146" i="22"/>
  <c r="AI146" i="22" s="1"/>
  <c r="X142" i="22"/>
  <c r="X136" i="22" s="1"/>
  <c r="C10" i="22" s="1"/>
  <c r="X143" i="22"/>
  <c r="AI143" i="22" s="1"/>
  <c r="X145" i="22"/>
  <c r="AI145" i="22" s="1"/>
  <c r="AS176" i="22"/>
  <c r="X147" i="22"/>
  <c r="AI147" i="22" s="1"/>
  <c r="X149" i="22"/>
  <c r="AI149" i="22" s="1"/>
  <c r="X151" i="22"/>
  <c r="AI151" i="22" s="1"/>
  <c r="X144" i="22"/>
  <c r="AI144" i="22" s="1"/>
  <c r="X148" i="22"/>
  <c r="AI148" i="22" s="1"/>
  <c r="AR151" i="20"/>
  <c r="BG188" i="7"/>
  <c r="BG195" i="3"/>
  <c r="AS175" i="2"/>
  <c r="AH168" i="20"/>
  <c r="AR160" i="20"/>
  <c r="AR157" i="20"/>
  <c r="AR159" i="20"/>
  <c r="AR149" i="20"/>
  <c r="AR153" i="20"/>
  <c r="AR155" i="20"/>
  <c r="AR165" i="20"/>
  <c r="AR166" i="20"/>
  <c r="S149" i="20"/>
  <c r="T148" i="20"/>
  <c r="AR164" i="20"/>
  <c r="AR162" i="20"/>
  <c r="AR163" i="20"/>
  <c r="AX196" i="28" l="1"/>
  <c r="AY190" i="28" s="1"/>
  <c r="AZ196" i="28" s="1"/>
  <c r="BB196" i="28" s="1"/>
  <c r="AX198" i="28"/>
  <c r="AZ198" i="28" s="1"/>
  <c r="AB198" i="28" s="1"/>
  <c r="AW200" i="28"/>
  <c r="AY200" i="28" s="1"/>
  <c r="BA200" i="28" s="1"/>
  <c r="AV202" i="28"/>
  <c r="AW203" i="28"/>
  <c r="AY203" i="28" s="1"/>
  <c r="BA203" i="28" s="1"/>
  <c r="AX203" i="28"/>
  <c r="AZ203" i="28" s="1"/>
  <c r="X147" i="20"/>
  <c r="Z147" i="20" s="1"/>
  <c r="AW172" i="20"/>
  <c r="AD142" i="26"/>
  <c r="AC142" i="26" s="1"/>
  <c r="AD141" i="26"/>
  <c r="AC141" i="26" s="1"/>
  <c r="R193" i="29"/>
  <c r="V192" i="29"/>
  <c r="AS191" i="29"/>
  <c r="AD140" i="26"/>
  <c r="AC140" i="26" s="1"/>
  <c r="AD149" i="26"/>
  <c r="AC149" i="26" s="1"/>
  <c r="AD145" i="26"/>
  <c r="AC145" i="26" s="1"/>
  <c r="AD139" i="26"/>
  <c r="AC139" i="26" s="1"/>
  <c r="AD143" i="26"/>
  <c r="AC143" i="26" s="1"/>
  <c r="AD138" i="26"/>
  <c r="AC138" i="26" s="1"/>
  <c r="AD148" i="26"/>
  <c r="AC148" i="26" s="1"/>
  <c r="AD146" i="26"/>
  <c r="AC146" i="26" s="1"/>
  <c r="AD147" i="26"/>
  <c r="AC147" i="26" s="1"/>
  <c r="AC158" i="23"/>
  <c r="AX201" i="28"/>
  <c r="AZ201" i="28" s="1"/>
  <c r="AW201" i="28"/>
  <c r="AY201" i="28" s="1"/>
  <c r="BA201" i="28" s="1"/>
  <c r="AB197" i="28"/>
  <c r="BB197" i="28"/>
  <c r="BB200" i="28"/>
  <c r="AB200" i="28"/>
  <c r="AU148" i="26"/>
  <c r="X149" i="30"/>
  <c r="AI149" i="30" s="1"/>
  <c r="AK149" i="30" s="1"/>
  <c r="AM149" i="30" s="1"/>
  <c r="X150" i="30"/>
  <c r="AI150" i="30" s="1"/>
  <c r="AK150" i="30" s="1"/>
  <c r="AM150" i="30" s="1"/>
  <c r="AI157" i="30"/>
  <c r="AK157" i="30" s="1"/>
  <c r="AM157" i="30" s="1"/>
  <c r="AJ143" i="30"/>
  <c r="AL143" i="30" s="1"/>
  <c r="AN143" i="30" s="1"/>
  <c r="AK143" i="30"/>
  <c r="AM143" i="30" s="1"/>
  <c r="X146" i="30"/>
  <c r="AI146" i="30" s="1"/>
  <c r="X152" i="30"/>
  <c r="AI152" i="30" s="1"/>
  <c r="X139" i="30"/>
  <c r="AI139" i="30" s="1"/>
  <c r="X145" i="30"/>
  <c r="AI145" i="30" s="1"/>
  <c r="X155" i="30"/>
  <c r="AI155" i="30" s="1"/>
  <c r="X156" i="30"/>
  <c r="AH156" i="30"/>
  <c r="X138" i="30"/>
  <c r="X147" i="30"/>
  <c r="AI147" i="30" s="1"/>
  <c r="X151" i="30"/>
  <c r="AI151" i="30" s="1"/>
  <c r="X141" i="30"/>
  <c r="AI141" i="30" s="1"/>
  <c r="X144" i="30"/>
  <c r="AI144" i="30" s="1"/>
  <c r="X148" i="30"/>
  <c r="AI148" i="30" s="1"/>
  <c r="X142" i="30"/>
  <c r="AI142" i="30" s="1"/>
  <c r="X153" i="30"/>
  <c r="AI153" i="30" s="1"/>
  <c r="X140" i="30"/>
  <c r="AI140" i="30" s="1"/>
  <c r="X154" i="30"/>
  <c r="AI154" i="30" s="1"/>
  <c r="AD164" i="23"/>
  <c r="AC164" i="23" s="1"/>
  <c r="AW177" i="25"/>
  <c r="AY177" i="25" s="1"/>
  <c r="AV177" i="25"/>
  <c r="AX177" i="25" s="1"/>
  <c r="AZ177" i="25" s="1"/>
  <c r="AF213" i="31"/>
  <c r="AE213" i="31"/>
  <c r="AT213" i="31"/>
  <c r="R213" i="31"/>
  <c r="V212" i="31"/>
  <c r="AF209" i="31" s="1"/>
  <c r="AE211" i="31"/>
  <c r="AT211" i="31"/>
  <c r="BG196" i="31"/>
  <c r="AF144" i="24"/>
  <c r="R176" i="28"/>
  <c r="V175" i="28"/>
  <c r="AE174" i="28"/>
  <c r="AT174" i="28"/>
  <c r="T176" i="28"/>
  <c r="S177" i="28"/>
  <c r="AF139" i="24"/>
  <c r="AF147" i="24"/>
  <c r="AE150" i="24"/>
  <c r="AD156" i="24" s="1"/>
  <c r="AC156" i="24" s="1"/>
  <c r="AF150" i="24"/>
  <c r="AT150" i="24"/>
  <c r="T135" i="24"/>
  <c r="AF142" i="24"/>
  <c r="AF141" i="24"/>
  <c r="AF146" i="24"/>
  <c r="AF143" i="24"/>
  <c r="AF148" i="24"/>
  <c r="AF140" i="24"/>
  <c r="AF149" i="24"/>
  <c r="AV184" i="30"/>
  <c r="S194" i="29"/>
  <c r="T193" i="29"/>
  <c r="AE164" i="29"/>
  <c r="AS164" i="29"/>
  <c r="T166" i="29"/>
  <c r="S167" i="29"/>
  <c r="T167" i="29" s="1"/>
  <c r="V167" i="29" s="1"/>
  <c r="BH89" i="29"/>
  <c r="R166" i="29"/>
  <c r="V165" i="29"/>
  <c r="R180" i="24"/>
  <c r="V179" i="24"/>
  <c r="AE178" i="24"/>
  <c r="AT178" i="24"/>
  <c r="R172" i="27"/>
  <c r="V171" i="27"/>
  <c r="AE170" i="27"/>
  <c r="AT170" i="27"/>
  <c r="R152" i="27"/>
  <c r="V151" i="27"/>
  <c r="AE150" i="27"/>
  <c r="AT150" i="27"/>
  <c r="AE147" i="20"/>
  <c r="AD157" i="23"/>
  <c r="AC157" i="23" s="1"/>
  <c r="AD155" i="23"/>
  <c r="AC155" i="23" s="1"/>
  <c r="AD161" i="23"/>
  <c r="AC161" i="23" s="1"/>
  <c r="AD160" i="23"/>
  <c r="AC160" i="23" s="1"/>
  <c r="AD162" i="23"/>
  <c r="AC162" i="23" s="1"/>
  <c r="AD156" i="23"/>
  <c r="AC156" i="23" s="1"/>
  <c r="AD159" i="23"/>
  <c r="AC159" i="23" s="1"/>
  <c r="AD163" i="23"/>
  <c r="AC163" i="23" s="1"/>
  <c r="AU163" i="23"/>
  <c r="AK153" i="22"/>
  <c r="AM153" i="22" s="1"/>
  <c r="BH231" i="28"/>
  <c r="T200" i="27"/>
  <c r="S201" i="27"/>
  <c r="V199" i="27"/>
  <c r="AT199" i="27" s="1"/>
  <c r="R200" i="27"/>
  <c r="S173" i="27"/>
  <c r="T172" i="27"/>
  <c r="BH231" i="27"/>
  <c r="T152" i="27"/>
  <c r="S153" i="27"/>
  <c r="T153" i="27" s="1"/>
  <c r="V153" i="27" s="1"/>
  <c r="BG207" i="26"/>
  <c r="AD151" i="25"/>
  <c r="AC151" i="25" s="1"/>
  <c r="AD152" i="25"/>
  <c r="AC152" i="25" s="1"/>
  <c r="AD154" i="25"/>
  <c r="AC154" i="25" s="1"/>
  <c r="AD161" i="25"/>
  <c r="AC161" i="25" s="1"/>
  <c r="AU160" i="25"/>
  <c r="AU153" i="25"/>
  <c r="AD156" i="25"/>
  <c r="AC156" i="25" s="1"/>
  <c r="AD150" i="25"/>
  <c r="AC150" i="25" s="1"/>
  <c r="AD153" i="25"/>
  <c r="AC153" i="25" s="1"/>
  <c r="AU156" i="25"/>
  <c r="AD159" i="25"/>
  <c r="AC159" i="25" s="1"/>
  <c r="BG201" i="25"/>
  <c r="AD157" i="25"/>
  <c r="AC157" i="25" s="1"/>
  <c r="AU154" i="25"/>
  <c r="AD155" i="25"/>
  <c r="AC155" i="25" s="1"/>
  <c r="AD160" i="25"/>
  <c r="AC160" i="25" s="1"/>
  <c r="AU150" i="25"/>
  <c r="AU157" i="25"/>
  <c r="BH125" i="20"/>
  <c r="C178" i="20"/>
  <c r="O182" i="20" s="1"/>
  <c r="P182" i="20" s="1"/>
  <c r="Q182" i="20" s="1"/>
  <c r="V199" i="24"/>
  <c r="R200" i="24"/>
  <c r="S153" i="24"/>
  <c r="T152" i="24"/>
  <c r="R153" i="24" s="1"/>
  <c r="T200" i="24"/>
  <c r="S201" i="24"/>
  <c r="AT198" i="24"/>
  <c r="BG180" i="24"/>
  <c r="T180" i="24"/>
  <c r="S181" i="24"/>
  <c r="AD153" i="23"/>
  <c r="AC153" i="23" s="1"/>
  <c r="AD154" i="23"/>
  <c r="AC154" i="23" s="1"/>
  <c r="BG201" i="23"/>
  <c r="R187" i="23"/>
  <c r="V186" i="23"/>
  <c r="AS185" i="23"/>
  <c r="S188" i="23"/>
  <c r="T187" i="23"/>
  <c r="AI152" i="22"/>
  <c r="AK152" i="22" s="1"/>
  <c r="AM152" i="22" s="1"/>
  <c r="AK146" i="22"/>
  <c r="AM146" i="22" s="1"/>
  <c r="AJ146" i="22"/>
  <c r="AL146" i="22" s="1"/>
  <c r="AN146" i="22" s="1"/>
  <c r="AK144" i="22"/>
  <c r="AM144" i="22" s="1"/>
  <c r="AJ144" i="22"/>
  <c r="AL144" i="22" s="1"/>
  <c r="AN144" i="22" s="1"/>
  <c r="AS177" i="22"/>
  <c r="AK145" i="22"/>
  <c r="AM145" i="22" s="1"/>
  <c r="AJ145" i="22"/>
  <c r="AL145" i="22" s="1"/>
  <c r="AN145" i="22" s="1"/>
  <c r="AK150" i="22"/>
  <c r="AM150" i="22" s="1"/>
  <c r="AJ150" i="22"/>
  <c r="AL150" i="22" s="1"/>
  <c r="AN150" i="22" s="1"/>
  <c r="AK151" i="22"/>
  <c r="AM151" i="22" s="1"/>
  <c r="AJ151" i="22"/>
  <c r="AL151" i="22" s="1"/>
  <c r="AN151" i="22" s="1"/>
  <c r="AK143" i="22"/>
  <c r="AM143" i="22" s="1"/>
  <c r="AJ143" i="22"/>
  <c r="AL143" i="22" s="1"/>
  <c r="AN143" i="22" s="1"/>
  <c r="AK148" i="22"/>
  <c r="AM148" i="22" s="1"/>
  <c r="AJ148" i="22"/>
  <c r="AL148" i="22" s="1"/>
  <c r="AN148" i="22" s="1"/>
  <c r="AK147" i="22"/>
  <c r="AM147" i="22" s="1"/>
  <c r="AJ147" i="22"/>
  <c r="AL147" i="22" s="1"/>
  <c r="AN147" i="22" s="1"/>
  <c r="AK149" i="22"/>
  <c r="AM149" i="22" s="1"/>
  <c r="AJ149" i="22"/>
  <c r="AL149" i="22" s="1"/>
  <c r="AN149" i="22" s="1"/>
  <c r="AI142" i="22"/>
  <c r="BG189" i="7"/>
  <c r="BG196" i="3"/>
  <c r="AS176" i="2"/>
  <c r="S150" i="20"/>
  <c r="T149" i="20"/>
  <c r="V148" i="20"/>
  <c r="R149" i="20"/>
  <c r="AB196" i="28" l="1"/>
  <c r="AD151" i="24"/>
  <c r="AC151" i="24" s="1"/>
  <c r="BB198" i="28"/>
  <c r="BB203" i="28"/>
  <c r="AB203" i="28"/>
  <c r="AW202" i="28"/>
  <c r="AY202" i="28" s="1"/>
  <c r="BA202" i="28" s="1"/>
  <c r="AX202" i="28"/>
  <c r="AZ202" i="28" s="1"/>
  <c r="AC137" i="26"/>
  <c r="AA138" i="26" s="1"/>
  <c r="R194" i="29"/>
  <c r="V193" i="29"/>
  <c r="AS192" i="29"/>
  <c r="BB201" i="28"/>
  <c r="AB201" i="28"/>
  <c r="R177" i="28"/>
  <c r="V176" i="28"/>
  <c r="AJ149" i="30"/>
  <c r="AL149" i="30" s="1"/>
  <c r="AN149" i="30" s="1"/>
  <c r="AJ150" i="30"/>
  <c r="AL150" i="30" s="1"/>
  <c r="AN150" i="30" s="1"/>
  <c r="AJ157" i="30"/>
  <c r="AL157" i="30" s="1"/>
  <c r="AN157" i="30" s="1"/>
  <c r="AJ155" i="30"/>
  <c r="AL155" i="30" s="1"/>
  <c r="AN155" i="30" s="1"/>
  <c r="AK155" i="30"/>
  <c r="AM155" i="30" s="1"/>
  <c r="AK153" i="30"/>
  <c r="AM153" i="30" s="1"/>
  <c r="AJ153" i="30"/>
  <c r="AL153" i="30" s="1"/>
  <c r="AN153" i="30" s="1"/>
  <c r="AJ141" i="30"/>
  <c r="AL141" i="30" s="1"/>
  <c r="AN141" i="30" s="1"/>
  <c r="AK141" i="30"/>
  <c r="AM141" i="30" s="1"/>
  <c r="F149" i="30"/>
  <c r="AO149" i="30"/>
  <c r="AK151" i="30"/>
  <c r="AM151" i="30" s="1"/>
  <c r="AJ151" i="30"/>
  <c r="AL151" i="30" s="1"/>
  <c r="AN151" i="30" s="1"/>
  <c r="AK145" i="30"/>
  <c r="AM145" i="30" s="1"/>
  <c r="AJ145" i="30"/>
  <c r="AL145" i="30" s="1"/>
  <c r="AN145" i="30" s="1"/>
  <c r="AJ142" i="30"/>
  <c r="AL142" i="30" s="1"/>
  <c r="AN142" i="30" s="1"/>
  <c r="AK142" i="30"/>
  <c r="AM142" i="30" s="1"/>
  <c r="AK139" i="30"/>
  <c r="AM139" i="30" s="1"/>
  <c r="AJ139" i="30"/>
  <c r="AL139" i="30" s="1"/>
  <c r="AN139" i="30" s="1"/>
  <c r="AJ148" i="30"/>
  <c r="AL148" i="30" s="1"/>
  <c r="AN148" i="30" s="1"/>
  <c r="AK148" i="30"/>
  <c r="AM148" i="30" s="1"/>
  <c r="AK147" i="30"/>
  <c r="AM147" i="30" s="1"/>
  <c r="AJ147" i="30"/>
  <c r="AL147" i="30" s="1"/>
  <c r="AN147" i="30" s="1"/>
  <c r="AJ152" i="30"/>
  <c r="AL152" i="30" s="1"/>
  <c r="AN152" i="30" s="1"/>
  <c r="AK152" i="30"/>
  <c r="AM152" i="30" s="1"/>
  <c r="F150" i="30"/>
  <c r="AO150" i="30"/>
  <c r="X133" i="30"/>
  <c r="C15" i="30" s="1"/>
  <c r="AI138" i="30"/>
  <c r="AJ146" i="30"/>
  <c r="AL146" i="30" s="1"/>
  <c r="AN146" i="30" s="1"/>
  <c r="AK146" i="30"/>
  <c r="AM146" i="30" s="1"/>
  <c r="AK154" i="30"/>
  <c r="AM154" i="30" s="1"/>
  <c r="AJ154" i="30"/>
  <c r="AL154" i="30" s="1"/>
  <c r="AN154" i="30" s="1"/>
  <c r="F157" i="30"/>
  <c r="AO157" i="30"/>
  <c r="AI156" i="30"/>
  <c r="AO143" i="30"/>
  <c r="F143" i="30"/>
  <c r="AK140" i="30"/>
  <c r="AM140" i="30" s="1"/>
  <c r="AJ140" i="30"/>
  <c r="AL140" i="30" s="1"/>
  <c r="AN140" i="30" s="1"/>
  <c r="AK144" i="30"/>
  <c r="AM144" i="30" s="1"/>
  <c r="AJ144" i="30"/>
  <c r="AL144" i="30" s="1"/>
  <c r="AN144" i="30" s="1"/>
  <c r="BA177" i="25"/>
  <c r="AB177" i="25"/>
  <c r="AE212" i="31"/>
  <c r="AD197" i="31" s="1"/>
  <c r="AC197" i="31" s="1"/>
  <c r="AF212" i="31"/>
  <c r="AT212" i="31"/>
  <c r="AF204" i="31"/>
  <c r="AF206" i="31"/>
  <c r="AF203" i="31"/>
  <c r="T190" i="31"/>
  <c r="AF195" i="31"/>
  <c r="AF211" i="31"/>
  <c r="AF202" i="31"/>
  <c r="AF198" i="31"/>
  <c r="AF194" i="31"/>
  <c r="AF210" i="31"/>
  <c r="AF197" i="31"/>
  <c r="AF201" i="31"/>
  <c r="AF205" i="31"/>
  <c r="AF207" i="31"/>
  <c r="AF199" i="31"/>
  <c r="AF200" i="31"/>
  <c r="AF196" i="31"/>
  <c r="AF208" i="31"/>
  <c r="BG197" i="31"/>
  <c r="AT175" i="28"/>
  <c r="AE175" i="28"/>
  <c r="T177" i="28"/>
  <c r="S178" i="28"/>
  <c r="AD146" i="24"/>
  <c r="AC146" i="24" s="1"/>
  <c r="AD153" i="24"/>
  <c r="AC153" i="24" s="1"/>
  <c r="AD140" i="24"/>
  <c r="AC140" i="24" s="1"/>
  <c r="AD145" i="24"/>
  <c r="AC145" i="24" s="1"/>
  <c r="AD155" i="24"/>
  <c r="AC155" i="24" s="1"/>
  <c r="AD149" i="24"/>
  <c r="AC149" i="24" s="1"/>
  <c r="AD148" i="24"/>
  <c r="AC148" i="24" s="1"/>
  <c r="AD142" i="24"/>
  <c r="AC142" i="24" s="1"/>
  <c r="AD158" i="24"/>
  <c r="AC158" i="24" s="1"/>
  <c r="AD139" i="24"/>
  <c r="AC139" i="24" s="1"/>
  <c r="AD141" i="24"/>
  <c r="AC141" i="24" s="1"/>
  <c r="AD154" i="24"/>
  <c r="AC154" i="24" s="1"/>
  <c r="AD150" i="24"/>
  <c r="AC150" i="24" s="1"/>
  <c r="AD157" i="24"/>
  <c r="AC157" i="24" s="1"/>
  <c r="AD152" i="24"/>
  <c r="AC152" i="24" s="1"/>
  <c r="AD144" i="24"/>
  <c r="AC144" i="24" s="1"/>
  <c r="AD143" i="24"/>
  <c r="AC143" i="24" s="1"/>
  <c r="AD147" i="24"/>
  <c r="AC147" i="24" s="1"/>
  <c r="J178" i="20"/>
  <c r="K178" i="20" s="1"/>
  <c r="L178" i="20" s="1"/>
  <c r="M178" i="20" s="1"/>
  <c r="N178" i="20" s="1"/>
  <c r="AV185" i="30"/>
  <c r="S195" i="29"/>
  <c r="T194" i="29"/>
  <c r="R167" i="29"/>
  <c r="V166" i="29"/>
  <c r="AF159" i="29" s="1"/>
  <c r="BH90" i="29"/>
  <c r="AF167" i="29"/>
  <c r="AS167" i="29"/>
  <c r="AE167" i="29"/>
  <c r="AS165" i="29"/>
  <c r="AE165" i="29"/>
  <c r="R181" i="24"/>
  <c r="V180" i="24"/>
  <c r="AF179" i="24" s="1"/>
  <c r="AE179" i="24"/>
  <c r="AT179" i="24"/>
  <c r="AO146" i="22"/>
  <c r="U146" i="22"/>
  <c r="AO148" i="22"/>
  <c r="U148" i="22"/>
  <c r="AO151" i="22"/>
  <c r="U151" i="22"/>
  <c r="AO143" i="22"/>
  <c r="U143" i="22"/>
  <c r="AO150" i="22"/>
  <c r="U150" i="22"/>
  <c r="AO152" i="22"/>
  <c r="U152" i="22"/>
  <c r="AO149" i="22"/>
  <c r="U149" i="22"/>
  <c r="AO145" i="22"/>
  <c r="U145" i="22"/>
  <c r="AO147" i="22"/>
  <c r="U147" i="22"/>
  <c r="AO144" i="22"/>
  <c r="U144" i="22"/>
  <c r="AO153" i="22"/>
  <c r="U153" i="22"/>
  <c r="AF153" i="27"/>
  <c r="AT153" i="27"/>
  <c r="AE153" i="27"/>
  <c r="R153" i="27"/>
  <c r="V152" i="27"/>
  <c r="AF142" i="27" s="1"/>
  <c r="R173" i="27"/>
  <c r="V172" i="27"/>
  <c r="AE171" i="27"/>
  <c r="AT171" i="27"/>
  <c r="AG178" i="20"/>
  <c r="AL178" i="20" s="1"/>
  <c r="AM178" i="20" s="1"/>
  <c r="AN178" i="20" s="1"/>
  <c r="AE151" i="27"/>
  <c r="AT151" i="27"/>
  <c r="AJ152" i="22"/>
  <c r="AL152" i="22" s="1"/>
  <c r="AN152" i="22" s="1"/>
  <c r="BH232" i="28"/>
  <c r="T201" i="27"/>
  <c r="S202" i="27"/>
  <c r="R201" i="27"/>
  <c r="V200" i="27"/>
  <c r="AT200" i="27" s="1"/>
  <c r="S174" i="27"/>
  <c r="T173" i="27"/>
  <c r="BH232" i="27"/>
  <c r="BG208" i="26"/>
  <c r="BG202" i="25"/>
  <c r="AC149" i="25"/>
  <c r="AA150" i="25" s="1"/>
  <c r="AG180" i="20"/>
  <c r="AL180" i="20" s="1"/>
  <c r="AM180" i="20" s="1"/>
  <c r="AN180" i="20" s="1"/>
  <c r="AG185" i="20"/>
  <c r="AI185" i="20" s="1"/>
  <c r="AJ185" i="20" s="1"/>
  <c r="AK185" i="20" s="1"/>
  <c r="O178" i="20"/>
  <c r="P178" i="20" s="1"/>
  <c r="O179" i="20"/>
  <c r="P179" i="20" s="1"/>
  <c r="Q179" i="20" s="1"/>
  <c r="AG179" i="20"/>
  <c r="AI179" i="20" s="1"/>
  <c r="AJ179" i="20" s="1"/>
  <c r="AK179" i="20" s="1"/>
  <c r="O185" i="20"/>
  <c r="P185" i="20" s="1"/>
  <c r="Q185" i="20" s="1"/>
  <c r="BH126" i="20"/>
  <c r="AG183" i="20"/>
  <c r="AL183" i="20" s="1"/>
  <c r="AM183" i="20" s="1"/>
  <c r="AN183" i="20" s="1"/>
  <c r="O181" i="20"/>
  <c r="P181" i="20" s="1"/>
  <c r="Q181" i="20" s="1"/>
  <c r="O180" i="20"/>
  <c r="P180" i="20" s="1"/>
  <c r="Q180" i="20" s="1"/>
  <c r="AG181" i="20"/>
  <c r="AL181" i="20" s="1"/>
  <c r="AM181" i="20" s="1"/>
  <c r="AN181" i="20" s="1"/>
  <c r="O183" i="20"/>
  <c r="P183" i="20" s="1"/>
  <c r="Q183" i="20" s="1"/>
  <c r="AG182" i="20"/>
  <c r="AI182" i="20" s="1"/>
  <c r="AJ182" i="20" s="1"/>
  <c r="AK182" i="20" s="1"/>
  <c r="O184" i="20"/>
  <c r="P184" i="20" s="1"/>
  <c r="Q184" i="20" s="1"/>
  <c r="AG184" i="20"/>
  <c r="AL184" i="20" s="1"/>
  <c r="AM184" i="20" s="1"/>
  <c r="AN184" i="20" s="1"/>
  <c r="S154" i="24"/>
  <c r="T153" i="24"/>
  <c r="R154" i="24" s="1"/>
  <c r="BG181" i="24"/>
  <c r="S202" i="24"/>
  <c r="T201" i="24"/>
  <c r="S182" i="24"/>
  <c r="T182" i="24" s="1"/>
  <c r="T181" i="24"/>
  <c r="R182" i="24" s="1"/>
  <c r="R201" i="24"/>
  <c r="V200" i="24"/>
  <c r="AT199" i="24"/>
  <c r="AC152" i="23"/>
  <c r="AA153" i="23" s="1"/>
  <c r="AS186" i="23"/>
  <c r="V187" i="23"/>
  <c r="R188" i="23"/>
  <c r="T188" i="23"/>
  <c r="S189" i="23"/>
  <c r="BG202" i="23"/>
  <c r="C3" i="22"/>
  <c r="C18" i="22"/>
  <c r="D3" i="22"/>
  <c r="C5" i="22"/>
  <c r="B18" i="22"/>
  <c r="AK142" i="22"/>
  <c r="AM142" i="22" s="1"/>
  <c r="AJ142" i="22"/>
  <c r="AL142" i="22" s="1"/>
  <c r="AN142" i="22" s="1"/>
  <c r="AS178" i="22"/>
  <c r="BG190" i="7"/>
  <c r="BG197" i="3"/>
  <c r="AS177" i="2"/>
  <c r="AE148" i="20"/>
  <c r="AS148" i="20"/>
  <c r="R150" i="20"/>
  <c r="V149" i="20"/>
  <c r="S151" i="20"/>
  <c r="T150" i="20"/>
  <c r="AB202" i="28" l="1"/>
  <c r="BB202" i="28"/>
  <c r="AS193" i="29"/>
  <c r="R195" i="29"/>
  <c r="V194" i="29"/>
  <c r="R178" i="28"/>
  <c r="V177" i="28"/>
  <c r="AF176" i="28" s="1"/>
  <c r="AE176" i="28"/>
  <c r="AT176" i="28"/>
  <c r="J54" i="22"/>
  <c r="L54" i="22"/>
  <c r="AT177" i="22"/>
  <c r="AU177" i="22" s="1"/>
  <c r="Q178" i="20"/>
  <c r="S178" i="20" s="1"/>
  <c r="T178" i="20" s="1"/>
  <c r="V178" i="20" s="1"/>
  <c r="AS178" i="20" s="1"/>
  <c r="AO139" i="30"/>
  <c r="F139" i="30"/>
  <c r="AO144" i="30"/>
  <c r="F144" i="30"/>
  <c r="F152" i="30"/>
  <c r="AO152" i="30"/>
  <c r="AO142" i="30"/>
  <c r="F142" i="30"/>
  <c r="AO141" i="30"/>
  <c r="F141" i="30"/>
  <c r="AO140" i="30"/>
  <c r="F140" i="30"/>
  <c r="AO146" i="30"/>
  <c r="F146" i="30"/>
  <c r="AO147" i="30"/>
  <c r="F147" i="30"/>
  <c r="AO145" i="30"/>
  <c r="F145" i="30"/>
  <c r="F153" i="30"/>
  <c r="AO153" i="30"/>
  <c r="AK138" i="30"/>
  <c r="AM138" i="30" s="1"/>
  <c r="AJ138" i="30"/>
  <c r="AL138" i="30" s="1"/>
  <c r="AN138" i="30" s="1"/>
  <c r="F148" i="30"/>
  <c r="AO148" i="30"/>
  <c r="AO155" i="30"/>
  <c r="F155" i="30"/>
  <c r="AO154" i="30"/>
  <c r="F154" i="30"/>
  <c r="AK156" i="30"/>
  <c r="AM156" i="30" s="1"/>
  <c r="AJ156" i="30"/>
  <c r="AL156" i="30" s="1"/>
  <c r="AN156" i="30" s="1"/>
  <c r="C10" i="30"/>
  <c r="D3" i="30"/>
  <c r="C3" i="30"/>
  <c r="C5" i="30"/>
  <c r="D10" i="30"/>
  <c r="F151" i="30"/>
  <c r="AO151" i="30"/>
  <c r="AD194" i="31"/>
  <c r="AC194" i="31" s="1"/>
  <c r="AI183" i="20"/>
  <c r="AJ183" i="20" s="1"/>
  <c r="AK183" i="20" s="1"/>
  <c r="AR183" i="20" s="1"/>
  <c r="AD199" i="31"/>
  <c r="AC199" i="31" s="1"/>
  <c r="AD205" i="31"/>
  <c r="AC205" i="31" s="1"/>
  <c r="AD206" i="31"/>
  <c r="AC206" i="31" s="1"/>
  <c r="AD208" i="31"/>
  <c r="AC208" i="31" s="1"/>
  <c r="AD201" i="31"/>
  <c r="AC201" i="31" s="1"/>
  <c r="AD196" i="31"/>
  <c r="AC196" i="31" s="1"/>
  <c r="AD207" i="31"/>
  <c r="AC207" i="31" s="1"/>
  <c r="AD213" i="31"/>
  <c r="AC213" i="31" s="1"/>
  <c r="AD204" i="31"/>
  <c r="AC204" i="31" s="1"/>
  <c r="AD200" i="31"/>
  <c r="AC200" i="31" s="1"/>
  <c r="AD209" i="31"/>
  <c r="AC209" i="31" s="1"/>
  <c r="AD198" i="31"/>
  <c r="AC198" i="31" s="1"/>
  <c r="AG194" i="31"/>
  <c r="AD195" i="31"/>
  <c r="AC195" i="31" s="1"/>
  <c r="AD211" i="31"/>
  <c r="AC211" i="31" s="1"/>
  <c r="AD210" i="31"/>
  <c r="AC210" i="31" s="1"/>
  <c r="AD203" i="31"/>
  <c r="AC203" i="31" s="1"/>
  <c r="AD202" i="31"/>
  <c r="AC202" i="31" s="1"/>
  <c r="AD212" i="31"/>
  <c r="AC212" i="31" s="1"/>
  <c r="BG198" i="31"/>
  <c r="S179" i="28"/>
  <c r="T178" i="28"/>
  <c r="R179" i="28" s="1"/>
  <c r="AC138" i="24"/>
  <c r="AA139" i="24" s="1"/>
  <c r="AF151" i="27"/>
  <c r="AF147" i="27"/>
  <c r="AF143" i="27"/>
  <c r="AF151" i="29"/>
  <c r="AF156" i="29"/>
  <c r="AF161" i="29"/>
  <c r="AF158" i="29"/>
  <c r="AF152" i="29"/>
  <c r="AF148" i="29"/>
  <c r="AF157" i="29"/>
  <c r="AF150" i="29"/>
  <c r="AF165" i="29"/>
  <c r="AF153" i="29"/>
  <c r="T144" i="29"/>
  <c r="AF160" i="29"/>
  <c r="AF155" i="29"/>
  <c r="AF172" i="24"/>
  <c r="AF177" i="24"/>
  <c r="AV186" i="30"/>
  <c r="S196" i="29"/>
  <c r="T195" i="29"/>
  <c r="AF149" i="29"/>
  <c r="AF154" i="29"/>
  <c r="AF163" i="29"/>
  <c r="AF164" i="29"/>
  <c r="AE166" i="29"/>
  <c r="AD156" i="29" s="1"/>
  <c r="AC156" i="29" s="1"/>
  <c r="AF166" i="29"/>
  <c r="AS166" i="29"/>
  <c r="AF162" i="29"/>
  <c r="BH91" i="29"/>
  <c r="AI178" i="20"/>
  <c r="AJ178" i="20" s="1"/>
  <c r="AK178" i="20" s="1"/>
  <c r="AR178" i="20" s="1"/>
  <c r="AF173" i="24"/>
  <c r="AE180" i="24"/>
  <c r="AD173" i="24" s="1"/>
  <c r="AF180" i="24"/>
  <c r="AT180" i="24"/>
  <c r="AF171" i="24"/>
  <c r="AF176" i="24"/>
  <c r="AF178" i="24"/>
  <c r="AF174" i="24"/>
  <c r="AF175" i="24"/>
  <c r="AO142" i="22"/>
  <c r="AY80" i="22" s="1"/>
  <c r="AZ80" i="22" s="1"/>
  <c r="U142" i="22"/>
  <c r="AF148" i="27"/>
  <c r="AF144" i="27"/>
  <c r="AF145" i="27"/>
  <c r="AF150" i="27"/>
  <c r="AF149" i="27"/>
  <c r="AE152" i="27"/>
  <c r="AD151" i="27" s="1"/>
  <c r="AC151" i="27" s="1"/>
  <c r="AF152" i="27"/>
  <c r="AT152" i="27"/>
  <c r="AF146" i="27"/>
  <c r="R174" i="27"/>
  <c r="V173" i="27"/>
  <c r="AE172" i="27"/>
  <c r="AT172" i="27"/>
  <c r="AL185" i="20"/>
  <c r="AM185" i="20" s="1"/>
  <c r="AN185" i="20" s="1"/>
  <c r="BH233" i="28"/>
  <c r="T202" i="27"/>
  <c r="S203" i="27"/>
  <c r="V201" i="27"/>
  <c r="AT201" i="27" s="1"/>
  <c r="R202" i="27"/>
  <c r="T174" i="27"/>
  <c r="S175" i="27"/>
  <c r="BH233" i="27"/>
  <c r="BG209" i="26"/>
  <c r="BG203" i="25"/>
  <c r="AL182" i="20"/>
  <c r="AM182" i="20" s="1"/>
  <c r="AN182" i="20" s="1"/>
  <c r="AR182" i="20" s="1"/>
  <c r="AI180" i="20"/>
  <c r="AJ180" i="20" s="1"/>
  <c r="AK180" i="20" s="1"/>
  <c r="AR180" i="20" s="1"/>
  <c r="AL179" i="20"/>
  <c r="AM179" i="20" s="1"/>
  <c r="AN179" i="20" s="1"/>
  <c r="AR179" i="20" s="1"/>
  <c r="BH127" i="20"/>
  <c r="AI181" i="20"/>
  <c r="AJ181" i="20" s="1"/>
  <c r="AK181" i="20" s="1"/>
  <c r="AR181" i="20" s="1"/>
  <c r="AI184" i="20"/>
  <c r="AJ184" i="20" s="1"/>
  <c r="AK184" i="20" s="1"/>
  <c r="AR184" i="20" s="1"/>
  <c r="BG182" i="24"/>
  <c r="AT200" i="24"/>
  <c r="V201" i="24"/>
  <c r="R202" i="24"/>
  <c r="T202" i="24"/>
  <c r="S203" i="24"/>
  <c r="S155" i="24"/>
  <c r="T154" i="24"/>
  <c r="R155" i="24" s="1"/>
  <c r="S190" i="23"/>
  <c r="T189" i="23"/>
  <c r="BG203" i="23"/>
  <c r="AS187" i="23"/>
  <c r="R189" i="23"/>
  <c r="V188" i="23"/>
  <c r="D5" i="22"/>
  <c r="CC57" i="22"/>
  <c r="CL54" i="22"/>
  <c r="L14" i="22" s="1"/>
  <c r="BN57" i="22"/>
  <c r="BN54" i="22"/>
  <c r="AT162" i="22"/>
  <c r="AU162" i="22" s="1"/>
  <c r="AT161" i="22"/>
  <c r="AY131" i="22" s="1"/>
  <c r="H23" i="22" s="1"/>
  <c r="AT163" i="22"/>
  <c r="AU163" i="22" s="1"/>
  <c r="AT164" i="22"/>
  <c r="AU164" i="22" s="1"/>
  <c r="AT165" i="22"/>
  <c r="AU165" i="22" s="1"/>
  <c r="AT166" i="22"/>
  <c r="AU166" i="22" s="1"/>
  <c r="AT167" i="22"/>
  <c r="AU167" i="22" s="1"/>
  <c r="AT168" i="22"/>
  <c r="AU168" i="22" s="1"/>
  <c r="AT169" i="22"/>
  <c r="AU169" i="22" s="1"/>
  <c r="AT170" i="22"/>
  <c r="AU170" i="22" s="1"/>
  <c r="AT171" i="22"/>
  <c r="AU171" i="22" s="1"/>
  <c r="AT172" i="22"/>
  <c r="AU172" i="22" s="1"/>
  <c r="AT173" i="22"/>
  <c r="AU173" i="22" s="1"/>
  <c r="AT174" i="22"/>
  <c r="AU174" i="22" s="1"/>
  <c r="AT175" i="22"/>
  <c r="AU175" i="22" s="1"/>
  <c r="AT176" i="22"/>
  <c r="AU176" i="22" s="1"/>
  <c r="AS179" i="22"/>
  <c r="AT178" i="22"/>
  <c r="AU178" i="22" s="1"/>
  <c r="BG191" i="7"/>
  <c r="BG198" i="3"/>
  <c r="AS178" i="2"/>
  <c r="S152" i="20"/>
  <c r="T151" i="20"/>
  <c r="V150" i="20"/>
  <c r="R151" i="20"/>
  <c r="AS149" i="20"/>
  <c r="AE149" i="20"/>
  <c r="J12" i="22" l="1"/>
  <c r="J14" i="22"/>
  <c r="R196" i="29"/>
  <c r="V195" i="29"/>
  <c r="AS194" i="29"/>
  <c r="AF174" i="28"/>
  <c r="AE177" i="28"/>
  <c r="AF177" i="28"/>
  <c r="AT177" i="28"/>
  <c r="AF170" i="28"/>
  <c r="AF165" i="28"/>
  <c r="AF171" i="28"/>
  <c r="AF167" i="28"/>
  <c r="T160" i="28"/>
  <c r="AF166" i="28"/>
  <c r="AF175" i="28"/>
  <c r="AF172" i="28"/>
  <c r="AF168" i="28"/>
  <c r="AF164" i="28"/>
  <c r="AG164" i="28" s="1"/>
  <c r="AF173" i="28"/>
  <c r="AF169" i="28"/>
  <c r="R179" i="20"/>
  <c r="S179" i="20" s="1"/>
  <c r="T179" i="20" s="1"/>
  <c r="R180" i="20" s="1"/>
  <c r="L54" i="30"/>
  <c r="J54" i="30"/>
  <c r="J13" i="22"/>
  <c r="L12" i="22"/>
  <c r="K12" i="22"/>
  <c r="J55" i="22"/>
  <c r="L55" i="22"/>
  <c r="AW185" i="30"/>
  <c r="AX185" i="30" s="1"/>
  <c r="AC173" i="24"/>
  <c r="AG171" i="24"/>
  <c r="AW182" i="30"/>
  <c r="AX182" i="30" s="1"/>
  <c r="AW163" i="30"/>
  <c r="AX163" i="30" s="1"/>
  <c r="AW171" i="30"/>
  <c r="AX171" i="30" s="1"/>
  <c r="AW179" i="30"/>
  <c r="AX179" i="30" s="1"/>
  <c r="AW164" i="30"/>
  <c r="AX164" i="30" s="1"/>
  <c r="AW176" i="30"/>
  <c r="AX176" i="30" s="1"/>
  <c r="CF57" i="30"/>
  <c r="AW165" i="30"/>
  <c r="AX165" i="30" s="1"/>
  <c r="AW173" i="30"/>
  <c r="AX173" i="30" s="1"/>
  <c r="AW181" i="30"/>
  <c r="AX181" i="30" s="1"/>
  <c r="AW168" i="30"/>
  <c r="AX168" i="30" s="1"/>
  <c r="BQ54" i="30"/>
  <c r="AW166" i="30"/>
  <c r="AX166" i="30" s="1"/>
  <c r="AW174" i="30"/>
  <c r="AX174" i="30" s="1"/>
  <c r="AW183" i="30"/>
  <c r="AX183" i="30" s="1"/>
  <c r="D5" i="30"/>
  <c r="AW167" i="30"/>
  <c r="AX167" i="30" s="1"/>
  <c r="AW175" i="30"/>
  <c r="AX175" i="30" s="1"/>
  <c r="CO54" i="30"/>
  <c r="L14" i="30" s="1"/>
  <c r="AW169" i="30"/>
  <c r="AX169" i="30" s="1"/>
  <c r="AW177" i="30"/>
  <c r="AX177" i="30" s="1"/>
  <c r="AW172" i="30"/>
  <c r="AX172" i="30" s="1"/>
  <c r="AW162" i="30"/>
  <c r="AW170" i="30"/>
  <c r="AX170" i="30" s="1"/>
  <c r="AW178" i="30"/>
  <c r="AX178" i="30" s="1"/>
  <c r="AW180" i="30"/>
  <c r="AX180" i="30" s="1"/>
  <c r="BQ57" i="30"/>
  <c r="AW184" i="30"/>
  <c r="AX184" i="30" s="1"/>
  <c r="F156" i="30"/>
  <c r="AO156" i="30"/>
  <c r="AO138" i="30"/>
  <c r="F138" i="30"/>
  <c r="AC193" i="31"/>
  <c r="AA194" i="31" s="1"/>
  <c r="AG225" i="31" s="1"/>
  <c r="AP209" i="31" s="1"/>
  <c r="AU209" i="31" s="1"/>
  <c r="BG199" i="31"/>
  <c r="S180" i="28"/>
  <c r="T179" i="28"/>
  <c r="R180" i="28" s="1"/>
  <c r="AD178" i="24"/>
  <c r="AC178" i="24" s="1"/>
  <c r="AD167" i="29"/>
  <c r="AC167" i="29" s="1"/>
  <c r="AD158" i="29"/>
  <c r="AC158" i="29" s="1"/>
  <c r="AD182" i="24"/>
  <c r="AC182" i="24" s="1"/>
  <c r="AD174" i="24"/>
  <c r="AC174" i="24" s="1"/>
  <c r="AD171" i="24"/>
  <c r="AC171" i="24" s="1"/>
  <c r="AD180" i="24"/>
  <c r="AC180" i="24" s="1"/>
  <c r="AD181" i="24"/>
  <c r="AC181" i="24" s="1"/>
  <c r="AD179" i="24"/>
  <c r="AC179" i="24" s="1"/>
  <c r="AV187" i="30"/>
  <c r="AW186" i="30"/>
  <c r="AX186" i="30" s="1"/>
  <c r="AD148" i="29"/>
  <c r="AC148" i="29" s="1"/>
  <c r="AD154" i="29"/>
  <c r="AC154" i="29" s="1"/>
  <c r="AD152" i="29"/>
  <c r="AC152" i="29" s="1"/>
  <c r="S197" i="29"/>
  <c r="T196" i="29"/>
  <c r="BH92" i="29"/>
  <c r="AD151" i="29"/>
  <c r="AC151" i="29" s="1"/>
  <c r="AD161" i="29"/>
  <c r="AC161" i="29" s="1"/>
  <c r="AD166" i="29"/>
  <c r="AC166" i="29" s="1"/>
  <c r="AD165" i="29"/>
  <c r="AC165" i="29" s="1"/>
  <c r="AD163" i="29"/>
  <c r="AC163" i="29" s="1"/>
  <c r="AD160" i="29"/>
  <c r="AC160" i="29" s="1"/>
  <c r="AD155" i="29"/>
  <c r="AC155" i="29" s="1"/>
  <c r="AD164" i="29"/>
  <c r="AC164" i="29" s="1"/>
  <c r="AD153" i="29"/>
  <c r="AC153" i="29" s="1"/>
  <c r="AD157" i="29"/>
  <c r="AC157" i="29" s="1"/>
  <c r="AD159" i="29"/>
  <c r="AC159" i="29" s="1"/>
  <c r="AD162" i="29"/>
  <c r="AC162" i="29" s="1"/>
  <c r="AD149" i="29"/>
  <c r="AC149" i="29" s="1"/>
  <c r="AD150" i="29"/>
  <c r="AC150" i="29" s="1"/>
  <c r="AD145" i="27"/>
  <c r="AC145" i="27" s="1"/>
  <c r="AD148" i="27"/>
  <c r="AC148" i="27" s="1"/>
  <c r="AD150" i="27"/>
  <c r="AC150" i="27" s="1"/>
  <c r="AR185" i="20"/>
  <c r="AD172" i="24"/>
  <c r="AC172" i="24" s="1"/>
  <c r="AD177" i="24"/>
  <c r="AC177" i="24" s="1"/>
  <c r="AD176" i="24"/>
  <c r="AC176" i="24" s="1"/>
  <c r="AD175" i="24"/>
  <c r="AC175" i="24" s="1"/>
  <c r="AD149" i="27"/>
  <c r="AC149" i="27" s="1"/>
  <c r="AD152" i="27"/>
  <c r="AC152" i="27" s="1"/>
  <c r="AD153" i="27"/>
  <c r="AC153" i="27" s="1"/>
  <c r="AD142" i="27"/>
  <c r="AC142" i="27" s="1"/>
  <c r="AD146" i="27"/>
  <c r="AC146" i="27" s="1"/>
  <c r="AD144" i="27"/>
  <c r="AC144" i="27" s="1"/>
  <c r="AD143" i="27"/>
  <c r="AC143" i="27" s="1"/>
  <c r="AD147" i="27"/>
  <c r="AC147" i="27" s="1"/>
  <c r="R175" i="27"/>
  <c r="V174" i="27"/>
  <c r="AE173" i="27"/>
  <c r="AT173" i="27"/>
  <c r="AY53" i="22"/>
  <c r="AZ53" i="22" s="1"/>
  <c r="AY56" i="22"/>
  <c r="AZ56" i="22" s="1"/>
  <c r="BH234" i="28"/>
  <c r="T203" i="27"/>
  <c r="S204" i="27"/>
  <c r="R203" i="27"/>
  <c r="V202" i="27"/>
  <c r="AT202" i="27" s="1"/>
  <c r="S176" i="27"/>
  <c r="T175" i="27"/>
  <c r="BH234" i="27"/>
  <c r="BG210" i="26"/>
  <c r="BG204" i="25"/>
  <c r="BH128" i="20"/>
  <c r="S204" i="24"/>
  <c r="T203" i="24"/>
  <c r="R203" i="24"/>
  <c r="V202" i="24"/>
  <c r="S156" i="24"/>
  <c r="T155" i="24"/>
  <c r="R156" i="24" s="1"/>
  <c r="AT201" i="24"/>
  <c r="BG183" i="24"/>
  <c r="S191" i="23"/>
  <c r="T190" i="23"/>
  <c r="V189" i="23"/>
  <c r="R190" i="23"/>
  <c r="AS188" i="23"/>
  <c r="BG204" i="23"/>
  <c r="BA57" i="22"/>
  <c r="AY57" i="22" s="1"/>
  <c r="AZ57" i="22" s="1"/>
  <c r="CA51" i="22"/>
  <c r="BC51" i="22"/>
  <c r="J8" i="22" s="1"/>
  <c r="AU161" i="22"/>
  <c r="AT179" i="22"/>
  <c r="AU179" i="22" s="1"/>
  <c r="AS180" i="22"/>
  <c r="BG192" i="7"/>
  <c r="BG199" i="3"/>
  <c r="AS179" i="2"/>
  <c r="AE150" i="20"/>
  <c r="AS150" i="20"/>
  <c r="R152" i="20"/>
  <c r="V151" i="20"/>
  <c r="S153" i="20"/>
  <c r="T152" i="20"/>
  <c r="L6" i="22" l="1"/>
  <c r="L7" i="22" s="1"/>
  <c r="L8" i="22"/>
  <c r="J12" i="30"/>
  <c r="J13" i="30" s="1"/>
  <c r="J14" i="30"/>
  <c r="AX209" i="31"/>
  <c r="AZ209" i="31" s="1"/>
  <c r="AW209" i="31"/>
  <c r="AY209" i="31" s="1"/>
  <c r="BA209" i="31" s="1"/>
  <c r="R197" i="29"/>
  <c r="V196" i="29"/>
  <c r="AS195" i="29"/>
  <c r="AD173" i="28"/>
  <c r="AC173" i="28" s="1"/>
  <c r="AD180" i="28"/>
  <c r="AC180" i="28" s="1"/>
  <c r="AD170" i="28"/>
  <c r="AC170" i="28" s="1"/>
  <c r="AD182" i="28"/>
  <c r="AC182" i="28" s="1"/>
  <c r="AD174" i="28"/>
  <c r="AC174" i="28" s="1"/>
  <c r="AD175" i="28"/>
  <c r="AC175" i="28" s="1"/>
  <c r="AD169" i="28"/>
  <c r="AC169" i="28" s="1"/>
  <c r="AD165" i="28"/>
  <c r="AC165" i="28" s="1"/>
  <c r="AD172" i="28"/>
  <c r="AC172" i="28" s="1"/>
  <c r="AD177" i="28"/>
  <c r="AC177" i="28" s="1"/>
  <c r="AD183" i="28"/>
  <c r="AC183" i="28" s="1"/>
  <c r="AD166" i="28"/>
  <c r="AC166" i="28" s="1"/>
  <c r="AD179" i="28"/>
  <c r="AC179" i="28" s="1"/>
  <c r="AD167" i="28"/>
  <c r="AC167" i="28" s="1"/>
  <c r="AD178" i="28"/>
  <c r="AC178" i="28" s="1"/>
  <c r="AD168" i="28"/>
  <c r="AC168" i="28" s="1"/>
  <c r="AD176" i="28"/>
  <c r="AC176" i="28" s="1"/>
  <c r="AD181" i="28"/>
  <c r="AC181" i="28" s="1"/>
  <c r="AD171" i="28"/>
  <c r="AC171" i="28" s="1"/>
  <c r="AD164" i="28"/>
  <c r="AC164" i="28" s="1"/>
  <c r="V179" i="20"/>
  <c r="S180" i="20"/>
  <c r="S181" i="20" s="1"/>
  <c r="T181" i="20" s="1"/>
  <c r="BD57" i="30"/>
  <c r="BB57" i="30" s="1"/>
  <c r="BC57" i="30" s="1"/>
  <c r="K13" i="22"/>
  <c r="L13" i="22"/>
  <c r="H16" i="22"/>
  <c r="J6" i="22"/>
  <c r="K6" i="22"/>
  <c r="M126" i="22"/>
  <c r="L12" i="30"/>
  <c r="K12" i="30"/>
  <c r="J55" i="30"/>
  <c r="L55" i="30"/>
  <c r="BB53" i="30"/>
  <c r="BC53" i="30" s="1"/>
  <c r="CD51" i="30"/>
  <c r="BF51" i="30"/>
  <c r="AX162" i="30"/>
  <c r="BA131" i="30"/>
  <c r="H23" i="30" s="1"/>
  <c r="BB56" i="30"/>
  <c r="BC56" i="30" s="1"/>
  <c r="BB80" i="30"/>
  <c r="BC80" i="30" s="1"/>
  <c r="AP170" i="31"/>
  <c r="AT188" i="31" s="1"/>
  <c r="AP196" i="31"/>
  <c r="AU196" i="31" s="1"/>
  <c r="AP155" i="31"/>
  <c r="AU155" i="31" s="1"/>
  <c r="AX155" i="31" s="1"/>
  <c r="AZ155" i="31" s="1"/>
  <c r="AP181" i="31"/>
  <c r="AU181" i="31" s="1"/>
  <c r="AX181" i="31" s="1"/>
  <c r="AZ181" i="31" s="1"/>
  <c r="BB181" i="31" s="1"/>
  <c r="AP157" i="31"/>
  <c r="AU157" i="31" s="1"/>
  <c r="AW157" i="31" s="1"/>
  <c r="AY157" i="31" s="1"/>
  <c r="BA157" i="31" s="1"/>
  <c r="AP178" i="31"/>
  <c r="AU178" i="31" s="1"/>
  <c r="AW178" i="31" s="1"/>
  <c r="AY178" i="31" s="1"/>
  <c r="BA178" i="31" s="1"/>
  <c r="AP198" i="31"/>
  <c r="AU198" i="31" s="1"/>
  <c r="AP145" i="31"/>
  <c r="AU145" i="31" s="1"/>
  <c r="AW145" i="31" s="1"/>
  <c r="AY145" i="31" s="1"/>
  <c r="BA145" i="31" s="1"/>
  <c r="AP171" i="31"/>
  <c r="AU171" i="31" s="1"/>
  <c r="AX171" i="31" s="1"/>
  <c r="AZ171" i="31" s="1"/>
  <c r="BB171" i="31" s="1"/>
  <c r="AP195" i="31"/>
  <c r="AU195" i="31" s="1"/>
  <c r="AP152" i="31"/>
  <c r="AU152" i="31" s="1"/>
  <c r="AW152" i="31" s="1"/>
  <c r="AY152" i="31" s="1"/>
  <c r="BA152" i="31" s="1"/>
  <c r="AP143" i="31"/>
  <c r="AU143" i="31" s="1"/>
  <c r="AW143" i="31" s="1"/>
  <c r="AY143" i="31" s="1"/>
  <c r="BA143" i="31" s="1"/>
  <c r="AP150" i="31"/>
  <c r="AU150" i="31" s="1"/>
  <c r="AW150" i="31" s="1"/>
  <c r="AY150" i="31" s="1"/>
  <c r="BA150" i="31" s="1"/>
  <c r="AP197" i="31"/>
  <c r="AU197" i="31" s="1"/>
  <c r="AP212" i="31"/>
  <c r="AU212" i="31" s="1"/>
  <c r="AP144" i="31"/>
  <c r="AU144" i="31" s="1"/>
  <c r="AX144" i="31" s="1"/>
  <c r="AZ144" i="31" s="1"/>
  <c r="AP147" i="31"/>
  <c r="AU147" i="31" s="1"/>
  <c r="AW147" i="31" s="1"/>
  <c r="AY147" i="31" s="1"/>
  <c r="BA147" i="31" s="1"/>
  <c r="AP156" i="31"/>
  <c r="AU156" i="31" s="1"/>
  <c r="AX156" i="31" s="1"/>
  <c r="AZ156" i="31" s="1"/>
  <c r="AP194" i="31"/>
  <c r="AU194" i="31" s="1"/>
  <c r="AP211" i="31"/>
  <c r="AU211" i="31" s="1"/>
  <c r="AP206" i="31"/>
  <c r="AU206" i="31" s="1"/>
  <c r="AP175" i="31"/>
  <c r="AU175" i="31" s="1"/>
  <c r="AX175" i="31" s="1"/>
  <c r="AZ175" i="31" s="1"/>
  <c r="BB175" i="31" s="1"/>
  <c r="AP141" i="31"/>
  <c r="AU141" i="31" s="1"/>
  <c r="AW141" i="31" s="1"/>
  <c r="AY141" i="31" s="1"/>
  <c r="BA141" i="31" s="1"/>
  <c r="AP142" i="31"/>
  <c r="AU142" i="31" s="1"/>
  <c r="AX142" i="31" s="1"/>
  <c r="AZ142" i="31" s="1"/>
  <c r="AP176" i="31"/>
  <c r="AU176" i="31" s="1"/>
  <c r="AW176" i="31" s="1"/>
  <c r="AY176" i="31" s="1"/>
  <c r="BA176" i="31" s="1"/>
  <c r="AP153" i="31"/>
  <c r="AU153" i="31" s="1"/>
  <c r="AX153" i="31" s="1"/>
  <c r="AZ153" i="31" s="1"/>
  <c r="AP199" i="31"/>
  <c r="AU199" i="31" s="1"/>
  <c r="AP207" i="31"/>
  <c r="AU207" i="31" s="1"/>
  <c r="AP200" i="31"/>
  <c r="AU200" i="31" s="1"/>
  <c r="AP210" i="31"/>
  <c r="AU210" i="31" s="1"/>
  <c r="AP149" i="31"/>
  <c r="AU149" i="31" s="1"/>
  <c r="AX149" i="31" s="1"/>
  <c r="AZ149" i="31" s="1"/>
  <c r="AP148" i="31"/>
  <c r="AU148" i="31" s="1"/>
  <c r="AX148" i="31" s="1"/>
  <c r="AZ148" i="31" s="1"/>
  <c r="AP173" i="31"/>
  <c r="AU173" i="31" s="1"/>
  <c r="AW173" i="31" s="1"/>
  <c r="AY173" i="31" s="1"/>
  <c r="BA173" i="31" s="1"/>
  <c r="AP146" i="31"/>
  <c r="AU146" i="31" s="1"/>
  <c r="AX146" i="31" s="1"/>
  <c r="AZ146" i="31" s="1"/>
  <c r="AP154" i="31"/>
  <c r="AU154" i="31" s="1"/>
  <c r="AX154" i="31" s="1"/>
  <c r="AZ154" i="31" s="1"/>
  <c r="AP174" i="31"/>
  <c r="AU174" i="31" s="1"/>
  <c r="AW174" i="31" s="1"/>
  <c r="AY174" i="31" s="1"/>
  <c r="BA174" i="31" s="1"/>
  <c r="AP202" i="31"/>
  <c r="AU202" i="31" s="1"/>
  <c r="AP203" i="31"/>
  <c r="AU203" i="31" s="1"/>
  <c r="AP213" i="31"/>
  <c r="AU213" i="31" s="1"/>
  <c r="AP201" i="31"/>
  <c r="AU201" i="31" s="1"/>
  <c r="AP204" i="31"/>
  <c r="AU204" i="31" s="1"/>
  <c r="AP140" i="31"/>
  <c r="AU140" i="31" s="1"/>
  <c r="AX140" i="31" s="1"/>
  <c r="AZ140" i="31" s="1"/>
  <c r="AP139" i="31"/>
  <c r="AU139" i="31" s="1"/>
  <c r="AX139" i="31" s="1"/>
  <c r="AZ139" i="31" s="1"/>
  <c r="AP172" i="31"/>
  <c r="AU172" i="31" s="1"/>
  <c r="AX172" i="31" s="1"/>
  <c r="AZ172" i="31" s="1"/>
  <c r="BB172" i="31" s="1"/>
  <c r="AP151" i="31"/>
  <c r="AU151" i="31" s="1"/>
  <c r="AX151" i="31" s="1"/>
  <c r="AZ151" i="31" s="1"/>
  <c r="AP179" i="31"/>
  <c r="AU179" i="31" s="1"/>
  <c r="AX179" i="31" s="1"/>
  <c r="AZ179" i="31" s="1"/>
  <c r="BB179" i="31" s="1"/>
  <c r="AP177" i="31"/>
  <c r="AU177" i="31" s="1"/>
  <c r="AX177" i="31" s="1"/>
  <c r="AZ177" i="31" s="1"/>
  <c r="BB177" i="31" s="1"/>
  <c r="AP138" i="31"/>
  <c r="AP134" i="31" s="1"/>
  <c r="AP180" i="31"/>
  <c r="AU180" i="31" s="1"/>
  <c r="AX180" i="31" s="1"/>
  <c r="AZ180" i="31" s="1"/>
  <c r="BB180" i="31" s="1"/>
  <c r="AP208" i="31"/>
  <c r="AU208" i="31" s="1"/>
  <c r="AP205" i="31"/>
  <c r="AU205" i="31" s="1"/>
  <c r="BG200" i="31"/>
  <c r="T180" i="28"/>
  <c r="R181" i="28" s="1"/>
  <c r="S181" i="28"/>
  <c r="AC170" i="24"/>
  <c r="AA171" i="24" s="1"/>
  <c r="AW187" i="30"/>
  <c r="AX187" i="30" s="1"/>
  <c r="AV188" i="30"/>
  <c r="T197" i="29"/>
  <c r="S198" i="29"/>
  <c r="AC147" i="29"/>
  <c r="AA148" i="29" s="1"/>
  <c r="BH134" i="29"/>
  <c r="AC141" i="27"/>
  <c r="AA142" i="27" s="1"/>
  <c r="AE174" i="27"/>
  <c r="AT174" i="27"/>
  <c r="R176" i="27"/>
  <c r="V175" i="27"/>
  <c r="AY50" i="22"/>
  <c r="AZ50" i="22" s="1"/>
  <c r="BH235" i="28"/>
  <c r="S205" i="27"/>
  <c r="T204" i="27"/>
  <c r="R204" i="27"/>
  <c r="V203" i="27"/>
  <c r="AT203" i="27" s="1"/>
  <c r="S177" i="27"/>
  <c r="T176" i="27"/>
  <c r="BH235" i="27"/>
  <c r="BG211" i="26"/>
  <c r="BG205" i="25"/>
  <c r="BH129" i="20"/>
  <c r="AT202" i="24"/>
  <c r="BG184" i="24"/>
  <c r="V203" i="24"/>
  <c r="R204" i="24"/>
  <c r="S157" i="24"/>
  <c r="T156" i="24"/>
  <c r="R157" i="24" s="1"/>
  <c r="T204" i="24"/>
  <c r="S205" i="24"/>
  <c r="V190" i="23"/>
  <c r="R191" i="23"/>
  <c r="S192" i="23"/>
  <c r="T191" i="23"/>
  <c r="BG205" i="23"/>
  <c r="AS189" i="23"/>
  <c r="AS181" i="22"/>
  <c r="AT180" i="22"/>
  <c r="AU180" i="22" s="1"/>
  <c r="D135" i="22"/>
  <c r="D133" i="22"/>
  <c r="BG193" i="7"/>
  <c r="BG200" i="3"/>
  <c r="AS180" i="2"/>
  <c r="V152" i="20"/>
  <c r="R153" i="20"/>
  <c r="T153" i="20"/>
  <c r="S154" i="20"/>
  <c r="AS151" i="20"/>
  <c r="AE151" i="20"/>
  <c r="S182" i="20" l="1"/>
  <c r="T182" i="20" s="1"/>
  <c r="K6" i="30"/>
  <c r="J8" i="30"/>
  <c r="L6" i="30"/>
  <c r="L7" i="30" s="1"/>
  <c r="L8" i="30"/>
  <c r="AW199" i="31"/>
  <c r="AY199" i="31" s="1"/>
  <c r="BA199" i="31" s="1"/>
  <c r="AX199" i="31"/>
  <c r="AZ199" i="31" s="1"/>
  <c r="AB199" i="31" s="1"/>
  <c r="AW198" i="31"/>
  <c r="AY198" i="31" s="1"/>
  <c r="BA198" i="31" s="1"/>
  <c r="AX198" i="31"/>
  <c r="AZ198" i="31" s="1"/>
  <c r="AW208" i="31"/>
  <c r="AY208" i="31" s="1"/>
  <c r="BA208" i="31" s="1"/>
  <c r="AX208" i="31"/>
  <c r="AZ208" i="31" s="1"/>
  <c r="BB208" i="31" s="1"/>
  <c r="AW203" i="31"/>
  <c r="AY203" i="31" s="1"/>
  <c r="BA203" i="31" s="1"/>
  <c r="AX203" i="31"/>
  <c r="AZ203" i="31" s="1"/>
  <c r="BC203" i="31" s="1"/>
  <c r="G203" i="31" s="1"/>
  <c r="F203" i="31" s="1"/>
  <c r="AW210" i="31"/>
  <c r="AY210" i="31" s="1"/>
  <c r="BA210" i="31" s="1"/>
  <c r="AX210" i="31"/>
  <c r="AZ210" i="31" s="1"/>
  <c r="BB210" i="31" s="1"/>
  <c r="AX197" i="31"/>
  <c r="AZ197" i="31" s="1"/>
  <c r="AW197" i="31"/>
  <c r="AY197" i="31" s="1"/>
  <c r="BA197" i="31" s="1"/>
  <c r="AW196" i="31"/>
  <c r="AY196" i="31" s="1"/>
  <c r="BA196" i="31" s="1"/>
  <c r="AX196" i="31"/>
  <c r="AZ196" i="31" s="1"/>
  <c r="BC196" i="31" s="1"/>
  <c r="G196" i="31" s="1"/>
  <c r="F196" i="31" s="1"/>
  <c r="AX205" i="31"/>
  <c r="AZ205" i="31" s="1"/>
  <c r="BB205" i="31" s="1"/>
  <c r="AW205" i="31"/>
  <c r="AY205" i="31" s="1"/>
  <c r="BA205" i="31" s="1"/>
  <c r="AW212" i="31"/>
  <c r="AY212" i="31" s="1"/>
  <c r="BA212" i="31" s="1"/>
  <c r="AX212" i="31"/>
  <c r="AZ212" i="31" s="1"/>
  <c r="BC212" i="31" s="1"/>
  <c r="G212" i="31" s="1"/>
  <c r="F212" i="31" s="1"/>
  <c r="AX204" i="31"/>
  <c r="AZ204" i="31" s="1"/>
  <c r="BC204" i="31" s="1"/>
  <c r="G204" i="31" s="1"/>
  <c r="F204" i="31" s="1"/>
  <c r="AW204" i="31"/>
  <c r="AY204" i="31" s="1"/>
  <c r="BA204" i="31" s="1"/>
  <c r="AX202" i="31"/>
  <c r="AZ202" i="31" s="1"/>
  <c r="AW202" i="31"/>
  <c r="AY202" i="31" s="1"/>
  <c r="BA202" i="31" s="1"/>
  <c r="AW200" i="31"/>
  <c r="AY200" i="31" s="1"/>
  <c r="BA200" i="31" s="1"/>
  <c r="AX200" i="31"/>
  <c r="AZ200" i="31" s="1"/>
  <c r="AX206" i="31"/>
  <c r="AZ206" i="31" s="1"/>
  <c r="AW206" i="31"/>
  <c r="AY206" i="31" s="1"/>
  <c r="BA206" i="31" s="1"/>
  <c r="AX213" i="31"/>
  <c r="AZ213" i="31" s="1"/>
  <c r="AW213" i="31"/>
  <c r="AY213" i="31" s="1"/>
  <c r="BA213" i="31" s="1"/>
  <c r="AX201" i="31"/>
  <c r="AZ201" i="31" s="1"/>
  <c r="AW201" i="31"/>
  <c r="AY201" i="31" s="1"/>
  <c r="BA201" i="31" s="1"/>
  <c r="AW207" i="31"/>
  <c r="AY207" i="31" s="1"/>
  <c r="BA207" i="31" s="1"/>
  <c r="AX207" i="31"/>
  <c r="AZ207" i="31" s="1"/>
  <c r="AW211" i="31"/>
  <c r="AY211" i="31" s="1"/>
  <c r="BA211" i="31" s="1"/>
  <c r="AX211" i="31"/>
  <c r="AZ211" i="31" s="1"/>
  <c r="BB211" i="31" s="1"/>
  <c r="AW195" i="31"/>
  <c r="AY195" i="31" s="1"/>
  <c r="BA195" i="31" s="1"/>
  <c r="AX195" i="31"/>
  <c r="AZ195" i="31" s="1"/>
  <c r="BC195" i="31" s="1"/>
  <c r="G195" i="31" s="1"/>
  <c r="F195" i="31" s="1"/>
  <c r="AX194" i="31"/>
  <c r="AZ194" i="31" s="1"/>
  <c r="BB194" i="31" s="1"/>
  <c r="AW194" i="31"/>
  <c r="AY194" i="31" s="1"/>
  <c r="BA194" i="31" s="1"/>
  <c r="AU138" i="31"/>
  <c r="AW138" i="31" s="1"/>
  <c r="AY138" i="31" s="1"/>
  <c r="BA138" i="31" s="1"/>
  <c r="C9" i="31"/>
  <c r="C24" i="31" s="1"/>
  <c r="AS196" i="29"/>
  <c r="R198" i="29"/>
  <c r="V197" i="29"/>
  <c r="AS179" i="20"/>
  <c r="AC163" i="28"/>
  <c r="AA164" i="28" s="1"/>
  <c r="T180" i="20"/>
  <c r="V180" i="20" s="1"/>
  <c r="BA54" i="22"/>
  <c r="AY54" i="22" s="1"/>
  <c r="AZ54" i="22" s="1"/>
  <c r="K7" i="22"/>
  <c r="J7" i="22"/>
  <c r="J36" i="22"/>
  <c r="J18" i="22"/>
  <c r="K18" i="22"/>
  <c r="K36" i="22"/>
  <c r="K30" i="22"/>
  <c r="L30" i="22"/>
  <c r="L24" i="22"/>
  <c r="K24" i="22"/>
  <c r="H16" i="30"/>
  <c r="K13" i="30"/>
  <c r="L13" i="30"/>
  <c r="J6" i="30"/>
  <c r="M126" i="30"/>
  <c r="BB50" i="30"/>
  <c r="BC50" i="30" s="1"/>
  <c r="D133" i="30"/>
  <c r="D131" i="30"/>
  <c r="AU170" i="31"/>
  <c r="AX170" i="31" s="1"/>
  <c r="AZ170" i="31" s="1"/>
  <c r="BB170" i="31" s="1"/>
  <c r="AX145" i="31"/>
  <c r="AZ145" i="31" s="1"/>
  <c r="BB145" i="31" s="1"/>
  <c r="AX157" i="31"/>
  <c r="AZ157" i="31" s="1"/>
  <c r="AB157" i="31" s="1"/>
  <c r="AW181" i="31"/>
  <c r="AY181" i="31" s="1"/>
  <c r="BA181" i="31" s="1"/>
  <c r="AW172" i="31"/>
  <c r="AY172" i="31" s="1"/>
  <c r="BA172" i="31" s="1"/>
  <c r="AW142" i="31"/>
  <c r="AY142" i="31" s="1"/>
  <c r="BA142" i="31" s="1"/>
  <c r="AW144" i="31"/>
  <c r="AY144" i="31" s="1"/>
  <c r="BA144" i="31" s="1"/>
  <c r="AX143" i="31"/>
  <c r="AZ143" i="31" s="1"/>
  <c r="BC143" i="31" s="1"/>
  <c r="G143" i="31" s="1"/>
  <c r="AW171" i="31"/>
  <c r="AY171" i="31" s="1"/>
  <c r="BA171" i="31" s="1"/>
  <c r="AW155" i="31"/>
  <c r="AY155" i="31" s="1"/>
  <c r="BA155" i="31" s="1"/>
  <c r="AX152" i="31"/>
  <c r="AZ152" i="31" s="1"/>
  <c r="BC152" i="31" s="1"/>
  <c r="G152" i="31" s="1"/>
  <c r="AX141" i="31"/>
  <c r="AZ141" i="31" s="1"/>
  <c r="AB141" i="31" s="1"/>
  <c r="AW149" i="31"/>
  <c r="AY149" i="31" s="1"/>
  <c r="BA149" i="31" s="1"/>
  <c r="AX150" i="31"/>
  <c r="AZ150" i="31" s="1"/>
  <c r="BC150" i="31" s="1"/>
  <c r="G150" i="31" s="1"/>
  <c r="AW175" i="31"/>
  <c r="AY175" i="31" s="1"/>
  <c r="BA175" i="31" s="1"/>
  <c r="AX147" i="31"/>
  <c r="AZ147" i="31" s="1"/>
  <c r="BC147" i="31" s="1"/>
  <c r="G147" i="31" s="1"/>
  <c r="AX178" i="31"/>
  <c r="AZ178" i="31" s="1"/>
  <c r="BB178" i="31" s="1"/>
  <c r="AW156" i="31"/>
  <c r="AY156" i="31" s="1"/>
  <c r="BA156" i="31" s="1"/>
  <c r="AW140" i="31"/>
  <c r="AY140" i="31" s="1"/>
  <c r="BA140" i="31" s="1"/>
  <c r="AW146" i="31"/>
  <c r="AY146" i="31" s="1"/>
  <c r="BA146" i="31" s="1"/>
  <c r="AW153" i="31"/>
  <c r="AY153" i="31" s="1"/>
  <c r="BA153" i="31" s="1"/>
  <c r="AW154" i="31"/>
  <c r="AY154" i="31" s="1"/>
  <c r="BA154" i="31" s="1"/>
  <c r="AW139" i="31"/>
  <c r="AY139" i="31" s="1"/>
  <c r="BA139" i="31" s="1"/>
  <c r="AX176" i="31"/>
  <c r="AZ176" i="31" s="1"/>
  <c r="BB176" i="31" s="1"/>
  <c r="AX174" i="31"/>
  <c r="AZ174" i="31" s="1"/>
  <c r="BB174" i="31" s="1"/>
  <c r="AX173" i="31"/>
  <c r="AZ173" i="31" s="1"/>
  <c r="BB173" i="31" s="1"/>
  <c r="AW148" i="31"/>
  <c r="AY148" i="31" s="1"/>
  <c r="BA148" i="31" s="1"/>
  <c r="AW177" i="31"/>
  <c r="AY177" i="31" s="1"/>
  <c r="BA177" i="31" s="1"/>
  <c r="AW179" i="31"/>
  <c r="AY179" i="31" s="1"/>
  <c r="BA179" i="31" s="1"/>
  <c r="AW180" i="31"/>
  <c r="AY180" i="31" s="1"/>
  <c r="BA180" i="31" s="1"/>
  <c r="AW151" i="31"/>
  <c r="AY151" i="31" s="1"/>
  <c r="BA151" i="31" s="1"/>
  <c r="BB146" i="31"/>
  <c r="BC146" i="31"/>
  <c r="G146" i="31" s="1"/>
  <c r="AB146" i="31"/>
  <c r="AB149" i="31"/>
  <c r="BC149" i="31"/>
  <c r="G149" i="31" s="1"/>
  <c r="BB149" i="31"/>
  <c r="BB144" i="31"/>
  <c r="BC144" i="31"/>
  <c r="G144" i="31" s="1"/>
  <c r="AB144" i="31"/>
  <c r="BB156" i="31"/>
  <c r="AB156" i="31"/>
  <c r="BC156" i="31"/>
  <c r="G156" i="31" s="1"/>
  <c r="BC151" i="31"/>
  <c r="G151" i="31" s="1"/>
  <c r="BB151" i="31"/>
  <c r="AB151" i="31"/>
  <c r="AB139" i="31"/>
  <c r="BC139" i="31"/>
  <c r="G139" i="31" s="1"/>
  <c r="BB139" i="31"/>
  <c r="BB154" i="31"/>
  <c r="BC154" i="31"/>
  <c r="G154" i="31" s="1"/>
  <c r="AB154" i="31"/>
  <c r="AB148" i="31"/>
  <c r="BC148" i="31"/>
  <c r="G148" i="31" s="1"/>
  <c r="BB148" i="31"/>
  <c r="BC140" i="31"/>
  <c r="G140" i="31" s="1"/>
  <c r="AB140" i="31"/>
  <c r="BB140" i="31"/>
  <c r="BB142" i="31"/>
  <c r="AB142" i="31"/>
  <c r="BC142" i="31"/>
  <c r="G142" i="31" s="1"/>
  <c r="BB155" i="31"/>
  <c r="BC155" i="31"/>
  <c r="G155" i="31" s="1"/>
  <c r="AB155" i="31"/>
  <c r="BB209" i="31"/>
  <c r="BC209" i="31"/>
  <c r="G209" i="31" s="1"/>
  <c r="F209" i="31" s="1"/>
  <c r="AB209" i="31"/>
  <c r="AB153" i="31"/>
  <c r="BB153" i="31"/>
  <c r="BC153" i="31"/>
  <c r="G153" i="31" s="1"/>
  <c r="BG201" i="31"/>
  <c r="T181" i="28"/>
  <c r="R182" i="28" s="1"/>
  <c r="S182" i="28"/>
  <c r="AV189" i="30"/>
  <c r="AW188" i="30"/>
  <c r="AX188" i="30" s="1"/>
  <c r="T198" i="29"/>
  <c r="S199" i="29"/>
  <c r="BH135" i="29"/>
  <c r="R177" i="27"/>
  <c r="V176" i="27"/>
  <c r="AE175" i="27"/>
  <c r="AT175" i="27"/>
  <c r="R182" i="20"/>
  <c r="V181" i="20"/>
  <c r="BH236" i="28"/>
  <c r="T205" i="27"/>
  <c r="R205" i="27"/>
  <c r="V204" i="27"/>
  <c r="AT204" i="27" s="1"/>
  <c r="T177" i="27"/>
  <c r="S178" i="27"/>
  <c r="BH236" i="27"/>
  <c r="BG212" i="26"/>
  <c r="BG206" i="25"/>
  <c r="BH130" i="20"/>
  <c r="AT203" i="24"/>
  <c r="S158" i="24"/>
  <c r="T157" i="24"/>
  <c r="R158" i="24" s="1"/>
  <c r="S206" i="24"/>
  <c r="T205" i="24"/>
  <c r="BG185" i="24"/>
  <c r="R205" i="24"/>
  <c r="V204" i="24"/>
  <c r="R192" i="23"/>
  <c r="V191" i="23"/>
  <c r="T192" i="23"/>
  <c r="S193" i="23"/>
  <c r="BG206" i="23"/>
  <c r="AS190" i="23"/>
  <c r="AT181" i="22"/>
  <c r="AU181" i="22" s="1"/>
  <c r="AS182" i="22"/>
  <c r="BG194" i="7"/>
  <c r="BG201" i="3"/>
  <c r="AS181" i="2"/>
  <c r="AE152" i="20"/>
  <c r="AS152" i="20"/>
  <c r="S155" i="20"/>
  <c r="T154" i="20"/>
  <c r="R154" i="20"/>
  <c r="V153" i="20"/>
  <c r="S183" i="20" l="1"/>
  <c r="AX138" i="31"/>
  <c r="AZ138" i="31" s="1"/>
  <c r="BB138" i="31" s="1"/>
  <c r="BC198" i="31"/>
  <c r="G198" i="31" s="1"/>
  <c r="F198" i="31" s="1"/>
  <c r="BB198" i="31"/>
  <c r="BB206" i="31"/>
  <c r="BC206" i="31"/>
  <c r="G206" i="31" s="1"/>
  <c r="F206" i="31" s="1"/>
  <c r="BC211" i="31"/>
  <c r="G211" i="31" s="1"/>
  <c r="F211" i="31" s="1"/>
  <c r="AB198" i="31"/>
  <c r="BB201" i="31"/>
  <c r="AB201" i="31"/>
  <c r="BC201" i="31"/>
  <c r="G201" i="31" s="1"/>
  <c r="F201" i="31" s="1"/>
  <c r="BC207" i="31"/>
  <c r="G207" i="31" s="1"/>
  <c r="F207" i="31" s="1"/>
  <c r="AB207" i="31"/>
  <c r="BB207" i="31"/>
  <c r="AB202" i="31"/>
  <c r="BC202" i="31"/>
  <c r="G202" i="31" s="1"/>
  <c r="F202" i="31" s="1"/>
  <c r="BB202" i="31"/>
  <c r="AB197" i="31"/>
  <c r="BC197" i="31"/>
  <c r="G197" i="31" s="1"/>
  <c r="F197" i="31" s="1"/>
  <c r="BB197" i="31"/>
  <c r="AB213" i="31"/>
  <c r="BC213" i="31"/>
  <c r="G213" i="31" s="1"/>
  <c r="F213" i="31" s="1"/>
  <c r="BB213" i="31"/>
  <c r="BC200" i="31"/>
  <c r="G200" i="31" s="1"/>
  <c r="F200" i="31" s="1"/>
  <c r="BB200" i="31"/>
  <c r="AB200" i="31"/>
  <c r="AB206" i="31"/>
  <c r="BC199" i="31"/>
  <c r="G199" i="31" s="1"/>
  <c r="F199" i="31" s="1"/>
  <c r="AB211" i="31"/>
  <c r="BB199" i="31"/>
  <c r="AW170" i="31"/>
  <c r="AY170" i="31" s="1"/>
  <c r="BA170" i="31" s="1"/>
  <c r="AS197" i="29"/>
  <c r="R199" i="29"/>
  <c r="V198" i="29"/>
  <c r="AS180" i="20"/>
  <c r="R181" i="20"/>
  <c r="R206" i="24"/>
  <c r="V205" i="24"/>
  <c r="AG196" i="28"/>
  <c r="AP168" i="28"/>
  <c r="AU168" i="28" s="1"/>
  <c r="AP164" i="28"/>
  <c r="AU164" i="28" s="1"/>
  <c r="AP165" i="28"/>
  <c r="AU165" i="28" s="1"/>
  <c r="AP171" i="28"/>
  <c r="AU171" i="28" s="1"/>
  <c r="AP175" i="28"/>
  <c r="AU175" i="28" s="1"/>
  <c r="AP177" i="28"/>
  <c r="AU177" i="28" s="1"/>
  <c r="AP169" i="28"/>
  <c r="AU169" i="28" s="1"/>
  <c r="AP167" i="28"/>
  <c r="AU167" i="28" s="1"/>
  <c r="AP176" i="28"/>
  <c r="AU176" i="28" s="1"/>
  <c r="AP166" i="28"/>
  <c r="AU166" i="28" s="1"/>
  <c r="AP179" i="28"/>
  <c r="AU179" i="28" s="1"/>
  <c r="AP174" i="28"/>
  <c r="AU174" i="28" s="1"/>
  <c r="AP178" i="28"/>
  <c r="AU178" i="28" s="1"/>
  <c r="AP182" i="28"/>
  <c r="AU182" i="28" s="1"/>
  <c r="AP170" i="28"/>
  <c r="AU170" i="28" s="1"/>
  <c r="AP173" i="28"/>
  <c r="AU173" i="28" s="1"/>
  <c r="AP172" i="28"/>
  <c r="AU172" i="28" s="1"/>
  <c r="AP183" i="28"/>
  <c r="AU183" i="28" s="1"/>
  <c r="AP181" i="28"/>
  <c r="AU181" i="28" s="1"/>
  <c r="AP180" i="28"/>
  <c r="AU180" i="28" s="1"/>
  <c r="BA51" i="22"/>
  <c r="AY51" i="22" s="1"/>
  <c r="AZ51" i="22" s="1"/>
  <c r="BD54" i="30"/>
  <c r="BB54" i="30" s="1"/>
  <c r="BC54" i="30" s="1"/>
  <c r="K19" i="22"/>
  <c r="K25" i="22"/>
  <c r="K37" i="22"/>
  <c r="L31" i="22"/>
  <c r="J19" i="22"/>
  <c r="L25" i="22"/>
  <c r="K31" i="22"/>
  <c r="J37" i="22"/>
  <c r="J36" i="30"/>
  <c r="J18" i="30"/>
  <c r="K36" i="30"/>
  <c r="K18" i="30"/>
  <c r="L24" i="30"/>
  <c r="L30" i="30"/>
  <c r="K30" i="30"/>
  <c r="K24" i="30"/>
  <c r="K7" i="30"/>
  <c r="J7" i="30"/>
  <c r="BC145" i="31"/>
  <c r="G145" i="31" s="1"/>
  <c r="AB145" i="31"/>
  <c r="BB157" i="31"/>
  <c r="BC141" i="31"/>
  <c r="G141" i="31" s="1"/>
  <c r="BC157" i="31"/>
  <c r="G157" i="31" s="1"/>
  <c r="D3" i="31"/>
  <c r="C5" i="31"/>
  <c r="AB194" i="31"/>
  <c r="BB143" i="31"/>
  <c r="AB150" i="31"/>
  <c r="AB143" i="31"/>
  <c r="AB195" i="31"/>
  <c r="D24" i="31"/>
  <c r="C3" i="31"/>
  <c r="AB152" i="31"/>
  <c r="BB196" i="31"/>
  <c r="BB152" i="31"/>
  <c r="AB212" i="31"/>
  <c r="BB150" i="31"/>
  <c r="BB212" i="31"/>
  <c r="BB195" i="31"/>
  <c r="BB141" i="31"/>
  <c r="AB147" i="31"/>
  <c r="AB196" i="31"/>
  <c r="BB147" i="31"/>
  <c r="AB210" i="31"/>
  <c r="BC205" i="31"/>
  <c r="G205" i="31" s="1"/>
  <c r="F205" i="31" s="1"/>
  <c r="BB203" i="31"/>
  <c r="AB203" i="31"/>
  <c r="BC210" i="31"/>
  <c r="G210" i="31" s="1"/>
  <c r="F210" i="31" s="1"/>
  <c r="AB205" i="31"/>
  <c r="BB204" i="31"/>
  <c r="AB208" i="31"/>
  <c r="AB204" i="31"/>
  <c r="BC208" i="31"/>
  <c r="G208" i="31" s="1"/>
  <c r="F208" i="31" s="1"/>
  <c r="BG202" i="31"/>
  <c r="T182" i="28"/>
  <c r="R183" i="28" s="1"/>
  <c r="S183" i="28"/>
  <c r="T183" i="28" s="1"/>
  <c r="AW189" i="30"/>
  <c r="AX189" i="30" s="1"/>
  <c r="AV190" i="30"/>
  <c r="T199" i="29"/>
  <c r="S200" i="29"/>
  <c r="BH136" i="29"/>
  <c r="R178" i="27"/>
  <c r="V177" i="27"/>
  <c r="AE176" i="27"/>
  <c r="AT176" i="27"/>
  <c r="R183" i="20"/>
  <c r="V182" i="20"/>
  <c r="AS181" i="20"/>
  <c r="BH237" i="28"/>
  <c r="V205" i="27"/>
  <c r="AT205" i="27" s="1"/>
  <c r="T178" i="27"/>
  <c r="S179" i="27"/>
  <c r="BH237" i="27"/>
  <c r="BG213" i="26"/>
  <c r="BG207" i="25"/>
  <c r="BH131" i="20"/>
  <c r="T206" i="24"/>
  <c r="S207" i="24"/>
  <c r="BG189" i="24"/>
  <c r="AT204" i="24"/>
  <c r="T158" i="24"/>
  <c r="T193" i="23"/>
  <c r="S194" i="23"/>
  <c r="R193" i="23"/>
  <c r="V192" i="23"/>
  <c r="BG207" i="23"/>
  <c r="AS191" i="23"/>
  <c r="AS183" i="22"/>
  <c r="AT182" i="22"/>
  <c r="AU182" i="22" s="1"/>
  <c r="BG195" i="7"/>
  <c r="BG202" i="3"/>
  <c r="AS182" i="2"/>
  <c r="T183" i="20"/>
  <c r="S184" i="20"/>
  <c r="T155" i="20"/>
  <c r="S156" i="20"/>
  <c r="AS153" i="20"/>
  <c r="AE153" i="20"/>
  <c r="V154" i="20"/>
  <c r="R155" i="20"/>
  <c r="AB138" i="31" l="1"/>
  <c r="BM85" i="31"/>
  <c r="BN85" i="31" s="1"/>
  <c r="AS198" i="29"/>
  <c r="R200" i="29"/>
  <c r="V199" i="29"/>
  <c r="R207" i="24"/>
  <c r="V206" i="24"/>
  <c r="AF205" i="24" s="1"/>
  <c r="AT205" i="24"/>
  <c r="AX175" i="28"/>
  <c r="AZ175" i="28" s="1"/>
  <c r="AW175" i="28"/>
  <c r="AY175" i="28" s="1"/>
  <c r="BA175" i="28" s="1"/>
  <c r="AX170" i="28"/>
  <c r="AZ170" i="28" s="1"/>
  <c r="AW170" i="28"/>
  <c r="AY170" i="28" s="1"/>
  <c r="BA170" i="28" s="1"/>
  <c r="AW169" i="28"/>
  <c r="AY169" i="28" s="1"/>
  <c r="BA169" i="28" s="1"/>
  <c r="AX169" i="28"/>
  <c r="AZ169" i="28" s="1"/>
  <c r="AW182" i="28"/>
  <c r="AY182" i="28" s="1"/>
  <c r="BA182" i="28" s="1"/>
  <c r="AX182" i="28"/>
  <c r="AZ182" i="28" s="1"/>
  <c r="AX177" i="28"/>
  <c r="AZ177" i="28" s="1"/>
  <c r="AW177" i="28"/>
  <c r="AY177" i="28" s="1"/>
  <c r="BA177" i="28" s="1"/>
  <c r="AX171" i="28"/>
  <c r="AZ171" i="28" s="1"/>
  <c r="AW171" i="28"/>
  <c r="AY171" i="28" s="1"/>
  <c r="BA171" i="28" s="1"/>
  <c r="AW181" i="28"/>
  <c r="AY181" i="28" s="1"/>
  <c r="BA181" i="28" s="1"/>
  <c r="AX181" i="28"/>
  <c r="AZ181" i="28" s="1"/>
  <c r="AW179" i="28"/>
  <c r="AY179" i="28" s="1"/>
  <c r="BA179" i="28" s="1"/>
  <c r="AX179" i="28"/>
  <c r="AZ179" i="28" s="1"/>
  <c r="AX165" i="28"/>
  <c r="AZ165" i="28" s="1"/>
  <c r="AW165" i="28"/>
  <c r="AY165" i="28" s="1"/>
  <c r="BA165" i="28" s="1"/>
  <c r="AW178" i="28"/>
  <c r="AY178" i="28" s="1"/>
  <c r="BA178" i="28" s="1"/>
  <c r="AX178" i="28"/>
  <c r="AZ178" i="28" s="1"/>
  <c r="AX174" i="28"/>
  <c r="AZ174" i="28" s="1"/>
  <c r="AW174" i="28"/>
  <c r="AY174" i="28" s="1"/>
  <c r="BA174" i="28" s="1"/>
  <c r="AW183" i="28"/>
  <c r="AY183" i="28" s="1"/>
  <c r="BA183" i="28" s="1"/>
  <c r="AX183" i="28"/>
  <c r="AZ183" i="28" s="1"/>
  <c r="AW166" i="28"/>
  <c r="AY166" i="28" s="1"/>
  <c r="BA166" i="28" s="1"/>
  <c r="AX166" i="28"/>
  <c r="AZ166" i="28" s="1"/>
  <c r="AW164" i="28"/>
  <c r="AY164" i="28" s="1"/>
  <c r="BA164" i="28" s="1"/>
  <c r="AX164" i="28"/>
  <c r="AZ164" i="28" s="1"/>
  <c r="AX172" i="28"/>
  <c r="AZ172" i="28" s="1"/>
  <c r="AW172" i="28"/>
  <c r="AY172" i="28" s="1"/>
  <c r="BA172" i="28" s="1"/>
  <c r="AX176" i="28"/>
  <c r="AZ176" i="28" s="1"/>
  <c r="AW176" i="28"/>
  <c r="AY176" i="28" s="1"/>
  <c r="BA176" i="28" s="1"/>
  <c r="AX168" i="28"/>
  <c r="AZ168" i="28" s="1"/>
  <c r="AW168" i="28"/>
  <c r="AY168" i="28" s="1"/>
  <c r="BA168" i="28" s="1"/>
  <c r="AW180" i="28"/>
  <c r="AY180" i="28" s="1"/>
  <c r="BA180" i="28" s="1"/>
  <c r="AX180" i="28"/>
  <c r="AZ180" i="28" s="1"/>
  <c r="AX173" i="28"/>
  <c r="AZ173" i="28" s="1"/>
  <c r="AW173" i="28"/>
  <c r="AY173" i="28" s="1"/>
  <c r="BA173" i="28" s="1"/>
  <c r="AX167" i="28"/>
  <c r="AZ167" i="28" s="1"/>
  <c r="AW167" i="28"/>
  <c r="AY167" i="28" s="1"/>
  <c r="BA167" i="28" s="1"/>
  <c r="AP150" i="28"/>
  <c r="AU150" i="28" s="1"/>
  <c r="AP152" i="28"/>
  <c r="AU152" i="28" s="1"/>
  <c r="AP148" i="28"/>
  <c r="AU148" i="28" s="1"/>
  <c r="AP144" i="28"/>
  <c r="AU144" i="28" s="1"/>
  <c r="AP153" i="28"/>
  <c r="AU153" i="28" s="1"/>
  <c r="AP143" i="28"/>
  <c r="AU143" i="28" s="1"/>
  <c r="AP147" i="28"/>
  <c r="AU147" i="28" s="1"/>
  <c r="AP149" i="28"/>
  <c r="AU149" i="28" s="1"/>
  <c r="AP151" i="28"/>
  <c r="AU151" i="28" s="1"/>
  <c r="AP146" i="28"/>
  <c r="AU146" i="28" s="1"/>
  <c r="AP142" i="28"/>
  <c r="AP138" i="28" s="1"/>
  <c r="AP145" i="28"/>
  <c r="AU145" i="28" s="1"/>
  <c r="L54" i="31"/>
  <c r="J54" i="31"/>
  <c r="BH200" i="31"/>
  <c r="BI200" i="31" s="1"/>
  <c r="BD51" i="30"/>
  <c r="BB51" i="30" s="1"/>
  <c r="BC51" i="30" s="1"/>
  <c r="K85" i="22"/>
  <c r="J126" i="22"/>
  <c r="M85" i="22"/>
  <c r="I126" i="22"/>
  <c r="K19" i="30"/>
  <c r="K31" i="30"/>
  <c r="K37" i="30"/>
  <c r="L31" i="30"/>
  <c r="J19" i="30"/>
  <c r="K25" i="30"/>
  <c r="L25" i="30"/>
  <c r="J37" i="30"/>
  <c r="CQ62" i="31"/>
  <c r="D5" i="31"/>
  <c r="CO56" i="31" s="1"/>
  <c r="BH171" i="31"/>
  <c r="BI171" i="31" s="1"/>
  <c r="BH193" i="31"/>
  <c r="BI193" i="31" s="1"/>
  <c r="BH180" i="31"/>
  <c r="BI180" i="31" s="1"/>
  <c r="BH202" i="31"/>
  <c r="DD138" i="31" s="1"/>
  <c r="BH197" i="31"/>
  <c r="BI197" i="31" s="1"/>
  <c r="BH176" i="31"/>
  <c r="BI176" i="31" s="1"/>
  <c r="BH165" i="31"/>
  <c r="BI165" i="31" s="1"/>
  <c r="BH184" i="31"/>
  <c r="BI184" i="31" s="1"/>
  <c r="BH173" i="31"/>
  <c r="BI173" i="31" s="1"/>
  <c r="BH198" i="31"/>
  <c r="BI198" i="31" s="1"/>
  <c r="CB59" i="31"/>
  <c r="BH168" i="31"/>
  <c r="BI168" i="31" s="1"/>
  <c r="BH172" i="31"/>
  <c r="BI172" i="31" s="1"/>
  <c r="BH194" i="31"/>
  <c r="BI194" i="31" s="1"/>
  <c r="BH170" i="31"/>
  <c r="BI170" i="31" s="1"/>
  <c r="BH178" i="31"/>
  <c r="BI178" i="31" s="1"/>
  <c r="BH174" i="31"/>
  <c r="BI174" i="31" s="1"/>
  <c r="BH196" i="31"/>
  <c r="BI196" i="31" s="1"/>
  <c r="BH192" i="31"/>
  <c r="BI192" i="31" s="1"/>
  <c r="BH177" i="31"/>
  <c r="BI177" i="31" s="1"/>
  <c r="BH175" i="31"/>
  <c r="BI175" i="31" s="1"/>
  <c r="BH181" i="31"/>
  <c r="BI181" i="31" s="1"/>
  <c r="BH163" i="31"/>
  <c r="BI163" i="31" s="1"/>
  <c r="BH169" i="31"/>
  <c r="BI169" i="31" s="1"/>
  <c r="BH167" i="31"/>
  <c r="BI167" i="31" s="1"/>
  <c r="BH166" i="31"/>
  <c r="BI166" i="31" s="1"/>
  <c r="BH201" i="31"/>
  <c r="BI201" i="31" s="1"/>
  <c r="BH199" i="31"/>
  <c r="BI199" i="31" s="1"/>
  <c r="BH195" i="31"/>
  <c r="BI195" i="31" s="1"/>
  <c r="BH191" i="31"/>
  <c r="BI191" i="31" s="1"/>
  <c r="BH182" i="31"/>
  <c r="BI182" i="31" s="1"/>
  <c r="BH164" i="31"/>
  <c r="BI164" i="31" s="1"/>
  <c r="CZ59" i="31"/>
  <c r="L14" i="31" s="1"/>
  <c r="BH179" i="31"/>
  <c r="BI179" i="31" s="1"/>
  <c r="BH188" i="31"/>
  <c r="BI188" i="31" s="1"/>
  <c r="BH183" i="31"/>
  <c r="BI183" i="31" s="1"/>
  <c r="CB62" i="31"/>
  <c r="BH190" i="31"/>
  <c r="BI190" i="31" s="1"/>
  <c r="BH189" i="31"/>
  <c r="BI189" i="31" s="1"/>
  <c r="AV191" i="30"/>
  <c r="AW190" i="30"/>
  <c r="AX190" i="30" s="1"/>
  <c r="S201" i="29"/>
  <c r="T200" i="29"/>
  <c r="BH137" i="29"/>
  <c r="R184" i="20"/>
  <c r="V183" i="20"/>
  <c r="R179" i="27"/>
  <c r="V178" i="27"/>
  <c r="AE177" i="27"/>
  <c r="AT177" i="27"/>
  <c r="AS182" i="20"/>
  <c r="BH238" i="28"/>
  <c r="T179" i="27"/>
  <c r="S180" i="27"/>
  <c r="BH238" i="27"/>
  <c r="BG214" i="26"/>
  <c r="BG208" i="25"/>
  <c r="BH132" i="20"/>
  <c r="BG190" i="24"/>
  <c r="S208" i="24"/>
  <c r="T207" i="24"/>
  <c r="R208" i="24" s="1"/>
  <c r="T194" i="23"/>
  <c r="S195" i="23"/>
  <c r="BG208" i="23"/>
  <c r="R194" i="23"/>
  <c r="V193" i="23"/>
  <c r="AS192" i="23"/>
  <c r="AT183" i="22"/>
  <c r="AU183" i="22" s="1"/>
  <c r="AS184" i="22"/>
  <c r="BG196" i="7"/>
  <c r="BG203" i="3"/>
  <c r="AS183" i="2"/>
  <c r="S157" i="20"/>
  <c r="T156" i="20"/>
  <c r="T184" i="20"/>
  <c r="S185" i="20"/>
  <c r="AE154" i="20"/>
  <c r="AS154" i="20"/>
  <c r="R156" i="20"/>
  <c r="V155" i="20"/>
  <c r="L6" i="31" l="1"/>
  <c r="L7" i="31" s="1"/>
  <c r="L8" i="31"/>
  <c r="J12" i="31"/>
  <c r="J13" i="31" s="1"/>
  <c r="J14" i="31"/>
  <c r="AS199" i="29"/>
  <c r="R201" i="29"/>
  <c r="V200" i="29"/>
  <c r="AF206" i="24"/>
  <c r="AT206" i="24"/>
  <c r="AF200" i="24"/>
  <c r="AV200" i="24" s="1"/>
  <c r="AF199" i="24"/>
  <c r="AV199" i="24" s="1"/>
  <c r="AF204" i="24"/>
  <c r="AV204" i="24" s="1"/>
  <c r="AW204" i="24" s="1"/>
  <c r="AY204" i="24" s="1"/>
  <c r="BA204" i="24" s="1"/>
  <c r="AF202" i="24"/>
  <c r="AV202" i="24" s="1"/>
  <c r="AF195" i="24"/>
  <c r="AF203" i="24"/>
  <c r="AV203" i="24" s="1"/>
  <c r="AF198" i="24"/>
  <c r="AV198" i="24" s="1"/>
  <c r="AF197" i="24"/>
  <c r="AV197" i="24" s="1"/>
  <c r="T191" i="24"/>
  <c r="AF196" i="24"/>
  <c r="AV196" i="24" s="1"/>
  <c r="AV205" i="24"/>
  <c r="AF201" i="24"/>
  <c r="AV201" i="24" s="1"/>
  <c r="AX143" i="28"/>
  <c r="AZ143" i="28" s="1"/>
  <c r="BB143" i="28" s="1"/>
  <c r="AW143" i="28"/>
  <c r="AY143" i="28" s="1"/>
  <c r="BA143" i="28" s="1"/>
  <c r="BB172" i="28"/>
  <c r="AB172" i="28"/>
  <c r="AX149" i="28"/>
  <c r="AZ149" i="28" s="1"/>
  <c r="BB149" i="28" s="1"/>
  <c r="AW149" i="28"/>
  <c r="AY149" i="28" s="1"/>
  <c r="BA149" i="28" s="1"/>
  <c r="AB183" i="28"/>
  <c r="BB183" i="28"/>
  <c r="AB179" i="28"/>
  <c r="BB179" i="28"/>
  <c r="AB182" i="28"/>
  <c r="BB182" i="28"/>
  <c r="AB181" i="28"/>
  <c r="BB181" i="28"/>
  <c r="AW153" i="28"/>
  <c r="AY153" i="28" s="1"/>
  <c r="BA153" i="28" s="1"/>
  <c r="AX153" i="28"/>
  <c r="AZ153" i="28" s="1"/>
  <c r="BB153" i="28" s="1"/>
  <c r="AW147" i="28"/>
  <c r="AY147" i="28" s="1"/>
  <c r="BA147" i="28" s="1"/>
  <c r="AX147" i="28"/>
  <c r="AZ147" i="28" s="1"/>
  <c r="BB147" i="28" s="1"/>
  <c r="BB167" i="28"/>
  <c r="AB167" i="28"/>
  <c r="AB176" i="28"/>
  <c r="BB176" i="28"/>
  <c r="AX145" i="28"/>
  <c r="AZ145" i="28" s="1"/>
  <c r="BB145" i="28" s="1"/>
  <c r="AW145" i="28"/>
  <c r="AY145" i="28" s="1"/>
  <c r="BA145" i="28" s="1"/>
  <c r="AW144" i="28"/>
  <c r="AY144" i="28" s="1"/>
  <c r="BA144" i="28" s="1"/>
  <c r="AX144" i="28"/>
  <c r="AZ144" i="28" s="1"/>
  <c r="BB144" i="28" s="1"/>
  <c r="AB180" i="28"/>
  <c r="BB180" i="28"/>
  <c r="AB164" i="28"/>
  <c r="BB164" i="28"/>
  <c r="AB178" i="28"/>
  <c r="BB178" i="28"/>
  <c r="AB169" i="28"/>
  <c r="BB169" i="28"/>
  <c r="AB174" i="28"/>
  <c r="BB174" i="28"/>
  <c r="C9" i="28"/>
  <c r="AU142" i="28"/>
  <c r="AX148" i="28"/>
  <c r="AZ148" i="28" s="1"/>
  <c r="BB148" i="28" s="1"/>
  <c r="AW148" i="28"/>
  <c r="AY148" i="28" s="1"/>
  <c r="BA148" i="28" s="1"/>
  <c r="AB171" i="28"/>
  <c r="BB171" i="28"/>
  <c r="BB170" i="28"/>
  <c r="AB170" i="28"/>
  <c r="AW146" i="28"/>
  <c r="AY146" i="28" s="1"/>
  <c r="BA146" i="28" s="1"/>
  <c r="AX146" i="28"/>
  <c r="AZ146" i="28" s="1"/>
  <c r="BB146" i="28" s="1"/>
  <c r="AW152" i="28"/>
  <c r="AY152" i="28" s="1"/>
  <c r="BA152" i="28" s="1"/>
  <c r="AX152" i="28"/>
  <c r="AZ152" i="28" s="1"/>
  <c r="BB152" i="28" s="1"/>
  <c r="AB166" i="28"/>
  <c r="BB166" i="28"/>
  <c r="AB173" i="28"/>
  <c r="BB173" i="28"/>
  <c r="AX151" i="28"/>
  <c r="AZ151" i="28" s="1"/>
  <c r="BB151" i="28" s="1"/>
  <c r="AW151" i="28"/>
  <c r="AY151" i="28" s="1"/>
  <c r="BA151" i="28" s="1"/>
  <c r="AW150" i="28"/>
  <c r="AY150" i="28" s="1"/>
  <c r="BA150" i="28" s="1"/>
  <c r="AX150" i="28"/>
  <c r="AZ150" i="28" s="1"/>
  <c r="BB150" i="28" s="1"/>
  <c r="AB168" i="28"/>
  <c r="BB168" i="28"/>
  <c r="AB165" i="28"/>
  <c r="BB165" i="28"/>
  <c r="AB177" i="28"/>
  <c r="BB177" i="28"/>
  <c r="BB175" i="28"/>
  <c r="AB175" i="28"/>
  <c r="L12" i="31"/>
  <c r="K12" i="31"/>
  <c r="J55" i="31"/>
  <c r="L55" i="31"/>
  <c r="K85" i="30"/>
  <c r="J126" i="30"/>
  <c r="BQ56" i="31"/>
  <c r="J8" i="31" s="1"/>
  <c r="M85" i="30"/>
  <c r="I126" i="30"/>
  <c r="BM61" i="31"/>
  <c r="BN61" i="31" s="1"/>
  <c r="BM58" i="31"/>
  <c r="BN58" i="31" s="1"/>
  <c r="BI202" i="31"/>
  <c r="BJ163" i="31" s="1"/>
  <c r="BJ164" i="31" s="1"/>
  <c r="BO62" i="31"/>
  <c r="BL138" i="31"/>
  <c r="H23" i="31" s="1"/>
  <c r="D132" i="31"/>
  <c r="D130" i="31"/>
  <c r="AW191" i="30"/>
  <c r="AX191" i="30" s="1"/>
  <c r="AV192" i="30"/>
  <c r="T201" i="29"/>
  <c r="S202" i="29"/>
  <c r="T202" i="29" s="1"/>
  <c r="V202" i="29" s="1"/>
  <c r="BH138" i="29"/>
  <c r="R185" i="20"/>
  <c r="V184" i="20"/>
  <c r="AS183" i="20"/>
  <c r="R180" i="27"/>
  <c r="V179" i="27"/>
  <c r="AE178" i="27"/>
  <c r="AT178" i="27"/>
  <c r="BH239" i="28"/>
  <c r="T194" i="27"/>
  <c r="T180" i="27"/>
  <c r="S181" i="27"/>
  <c r="BH239" i="27"/>
  <c r="BG215" i="26"/>
  <c r="BG209" i="25"/>
  <c r="BH133" i="20"/>
  <c r="T208" i="24"/>
  <c r="R209" i="24" s="1"/>
  <c r="S209" i="24"/>
  <c r="BG191" i="24"/>
  <c r="BG209" i="23"/>
  <c r="AS193" i="23"/>
  <c r="S196" i="23"/>
  <c r="T196" i="23" s="1"/>
  <c r="V196" i="23" s="1"/>
  <c r="T195" i="23"/>
  <c r="R195" i="23"/>
  <c r="V194" i="23"/>
  <c r="AS185" i="22"/>
  <c r="AT184" i="22"/>
  <c r="AU184" i="22" s="1"/>
  <c r="BG197" i="7"/>
  <c r="BG204" i="3"/>
  <c r="AS184" i="2"/>
  <c r="AS155" i="20"/>
  <c r="AE155" i="20"/>
  <c r="V156" i="20"/>
  <c r="R157" i="20"/>
  <c r="S158" i="20"/>
  <c r="T157" i="20"/>
  <c r="T185" i="20"/>
  <c r="V185" i="20" s="1"/>
  <c r="AF185" i="20" s="1"/>
  <c r="BM62" i="31" l="1"/>
  <c r="BN62" i="31" s="1"/>
  <c r="AX204" i="24"/>
  <c r="AZ204" i="24" s="1"/>
  <c r="AF179" i="20"/>
  <c r="AU179" i="20" s="1"/>
  <c r="AF184" i="20"/>
  <c r="AF181" i="20"/>
  <c r="AU181" i="20" s="1"/>
  <c r="AF180" i="20"/>
  <c r="AU180" i="20" s="1"/>
  <c r="AF182" i="20"/>
  <c r="AU182" i="20" s="1"/>
  <c r="AW182" i="20" s="1"/>
  <c r="AY182" i="20" s="1"/>
  <c r="AF183" i="20"/>
  <c r="AU183" i="20" s="1"/>
  <c r="AF202" i="29"/>
  <c r="AS202" i="29"/>
  <c r="R202" i="29"/>
  <c r="V201" i="29"/>
  <c r="AF186" i="29" s="1"/>
  <c r="AU186" i="29" s="1"/>
  <c r="AS200" i="29"/>
  <c r="AV206" i="24"/>
  <c r="AW206" i="24" s="1"/>
  <c r="AY206" i="24" s="1"/>
  <c r="BA206" i="24" s="1"/>
  <c r="AW199" i="24"/>
  <c r="AY199" i="24" s="1"/>
  <c r="BA199" i="24" s="1"/>
  <c r="AX199" i="24"/>
  <c r="AZ199" i="24" s="1"/>
  <c r="AG195" i="24"/>
  <c r="AV195" i="24"/>
  <c r="AP174" i="24"/>
  <c r="AU174" i="24" s="1"/>
  <c r="AP176" i="24"/>
  <c r="AU176" i="24" s="1"/>
  <c r="AP171" i="24"/>
  <c r="AP181" i="24"/>
  <c r="AU181" i="24" s="1"/>
  <c r="AP172" i="24"/>
  <c r="AU172" i="24" s="1"/>
  <c r="AP177" i="24"/>
  <c r="AU177" i="24" s="1"/>
  <c r="AP173" i="24"/>
  <c r="AU173" i="24" s="1"/>
  <c r="AP179" i="24"/>
  <c r="AU179" i="24" s="1"/>
  <c r="AP182" i="24"/>
  <c r="AU182" i="24" s="1"/>
  <c r="AP175" i="24"/>
  <c r="AU175" i="24" s="1"/>
  <c r="AP180" i="24"/>
  <c r="AU180" i="24" s="1"/>
  <c r="AP178" i="24"/>
  <c r="AU178" i="24" s="1"/>
  <c r="AX200" i="24"/>
  <c r="AZ200" i="24" s="1"/>
  <c r="AW200" i="24"/>
  <c r="AY200" i="24" s="1"/>
  <c r="BA200" i="24" s="1"/>
  <c r="AX203" i="24"/>
  <c r="AZ203" i="24" s="1"/>
  <c r="AW203" i="24"/>
  <c r="AY203" i="24" s="1"/>
  <c r="BA203" i="24" s="1"/>
  <c r="AW201" i="24"/>
  <c r="AY201" i="24" s="1"/>
  <c r="BA201" i="24" s="1"/>
  <c r="AX201" i="24"/>
  <c r="AZ201" i="24" s="1"/>
  <c r="AW197" i="24"/>
  <c r="AY197" i="24" s="1"/>
  <c r="BA197" i="24" s="1"/>
  <c r="AX197" i="24"/>
  <c r="AZ197" i="24" s="1"/>
  <c r="AX202" i="24"/>
  <c r="AZ202" i="24" s="1"/>
  <c r="AW202" i="24"/>
  <c r="AY202" i="24" s="1"/>
  <c r="BA202" i="24" s="1"/>
  <c r="AX196" i="24"/>
  <c r="AZ196" i="24" s="1"/>
  <c r="AW196" i="24"/>
  <c r="AY196" i="24" s="1"/>
  <c r="BA196" i="24" s="1"/>
  <c r="AW205" i="24"/>
  <c r="AY205" i="24" s="1"/>
  <c r="BA205" i="24" s="1"/>
  <c r="AX205" i="24"/>
  <c r="AZ205" i="24" s="1"/>
  <c r="AW198" i="24"/>
  <c r="AY198" i="24" s="1"/>
  <c r="BA198" i="24" s="1"/>
  <c r="AX198" i="24"/>
  <c r="AZ198" i="24" s="1"/>
  <c r="AX142" i="28"/>
  <c r="AZ142" i="28" s="1"/>
  <c r="BB142" i="28" s="1"/>
  <c r="AW142" i="28"/>
  <c r="AY142" i="28" s="1"/>
  <c r="BA142" i="28" s="1"/>
  <c r="D3" i="28"/>
  <c r="BI239" i="28" s="1"/>
  <c r="BJ239" i="28" s="1"/>
  <c r="C24" i="28"/>
  <c r="D24" i="28"/>
  <c r="C3" i="28"/>
  <c r="C5" i="28"/>
  <c r="D129" i="31"/>
  <c r="H16" i="31"/>
  <c r="BM55" i="31"/>
  <c r="BN55" i="31" s="1"/>
  <c r="K6" i="31"/>
  <c r="J6" i="31"/>
  <c r="K13" i="31"/>
  <c r="L13" i="31"/>
  <c r="M126" i="31"/>
  <c r="D131" i="31"/>
  <c r="BK163" i="31"/>
  <c r="BQ86" i="31" s="1"/>
  <c r="BQ87" i="31" s="1"/>
  <c r="BQ89" i="31" s="1"/>
  <c r="BJ165" i="31"/>
  <c r="BK164" i="31"/>
  <c r="BR86" i="31" s="1"/>
  <c r="AV193" i="30"/>
  <c r="AW192" i="30"/>
  <c r="AX192" i="30" s="1"/>
  <c r="BH139" i="29"/>
  <c r="AS185" i="20"/>
  <c r="AS184" i="20"/>
  <c r="T174" i="20"/>
  <c r="AF178" i="20"/>
  <c r="AU178" i="20" s="1"/>
  <c r="BB204" i="24"/>
  <c r="AB204" i="24"/>
  <c r="R181" i="27"/>
  <c r="V180" i="27"/>
  <c r="AE179" i="27"/>
  <c r="AT179" i="27"/>
  <c r="BC204" i="24"/>
  <c r="G204" i="24" s="1"/>
  <c r="F204" i="24" s="1"/>
  <c r="BH240" i="28"/>
  <c r="AF199" i="27"/>
  <c r="AV199" i="27" s="1"/>
  <c r="AX199" i="27" s="1"/>
  <c r="AZ199" i="27" s="1"/>
  <c r="AF201" i="27"/>
  <c r="AV201" i="27" s="1"/>
  <c r="AX201" i="27" s="1"/>
  <c r="AZ201" i="27" s="1"/>
  <c r="AF205" i="27"/>
  <c r="AV205" i="27" s="1"/>
  <c r="AW205" i="27" s="1"/>
  <c r="AY205" i="27" s="1"/>
  <c r="BA205" i="27" s="1"/>
  <c r="AF203" i="27"/>
  <c r="AV203" i="27" s="1"/>
  <c r="AF200" i="27"/>
  <c r="AV200" i="27" s="1"/>
  <c r="AF204" i="27"/>
  <c r="AV204" i="27" s="1"/>
  <c r="AF198" i="27"/>
  <c r="AF202" i="27"/>
  <c r="AV202" i="27" s="1"/>
  <c r="T181" i="27"/>
  <c r="S182" i="27"/>
  <c r="BH240" i="27"/>
  <c r="BG216" i="26"/>
  <c r="T155" i="26"/>
  <c r="BG210" i="25"/>
  <c r="BH134" i="20"/>
  <c r="BG192" i="24"/>
  <c r="T209" i="24"/>
  <c r="R210" i="24" s="1"/>
  <c r="S210" i="24"/>
  <c r="AS194" i="23"/>
  <c r="AF196" i="23"/>
  <c r="AS196" i="23"/>
  <c r="BG210" i="23"/>
  <c r="V195" i="23"/>
  <c r="AF181" i="23" s="1"/>
  <c r="AU181" i="23" s="1"/>
  <c r="R196" i="23"/>
  <c r="AT185" i="22"/>
  <c r="AU185" i="22" s="1"/>
  <c r="AS186" i="22"/>
  <c r="BG198" i="7"/>
  <c r="BG205" i="3"/>
  <c r="AS185" i="2"/>
  <c r="S159" i="20"/>
  <c r="T158" i="20"/>
  <c r="AE156" i="20"/>
  <c r="AS156" i="20"/>
  <c r="R158" i="20"/>
  <c r="V157" i="20"/>
  <c r="BM58" i="28" l="1"/>
  <c r="BN58" i="28" s="1"/>
  <c r="AX206" i="24"/>
  <c r="AZ206" i="24" s="1"/>
  <c r="BC206" i="24" s="1"/>
  <c r="G206" i="24" s="1"/>
  <c r="F206" i="24" s="1"/>
  <c r="AF179" i="29"/>
  <c r="AF198" i="29"/>
  <c r="AU198" i="29" s="1"/>
  <c r="AV198" i="29" s="1"/>
  <c r="AX198" i="29" s="1"/>
  <c r="AZ198" i="29" s="1"/>
  <c r="AF182" i="29"/>
  <c r="AU182" i="29" s="1"/>
  <c r="AV182" i="29" s="1"/>
  <c r="AX182" i="29" s="1"/>
  <c r="AZ182" i="29" s="1"/>
  <c r="AF196" i="29"/>
  <c r="AU196" i="29" s="1"/>
  <c r="AW196" i="29" s="1"/>
  <c r="AY196" i="29" s="1"/>
  <c r="AF195" i="29"/>
  <c r="AU195" i="29" s="1"/>
  <c r="AW195" i="29" s="1"/>
  <c r="AY195" i="29" s="1"/>
  <c r="AF193" i="29"/>
  <c r="AU193" i="29" s="1"/>
  <c r="AV193" i="29" s="1"/>
  <c r="AX193" i="29" s="1"/>
  <c r="AZ193" i="29" s="1"/>
  <c r="AF200" i="29"/>
  <c r="AU200" i="29" s="1"/>
  <c r="AF191" i="29"/>
  <c r="AU191" i="29" s="1"/>
  <c r="AW191" i="29" s="1"/>
  <c r="AY191" i="29" s="1"/>
  <c r="AF197" i="29"/>
  <c r="AU197" i="29" s="1"/>
  <c r="AV197" i="29" s="1"/>
  <c r="AX197" i="29" s="1"/>
  <c r="AZ197" i="29" s="1"/>
  <c r="AW186" i="29"/>
  <c r="AY186" i="29" s="1"/>
  <c r="AV186" i="29"/>
  <c r="AX186" i="29" s="1"/>
  <c r="AZ186" i="29" s="1"/>
  <c r="AF187" i="29"/>
  <c r="AU187" i="29" s="1"/>
  <c r="AF192" i="29"/>
  <c r="AU192" i="29" s="1"/>
  <c r="AF183" i="29"/>
  <c r="AU183" i="29" s="1"/>
  <c r="AF181" i="29"/>
  <c r="AU181" i="29" s="1"/>
  <c r="AU202" i="29"/>
  <c r="AF201" i="29"/>
  <c r="AS201" i="29"/>
  <c r="AF184" i="29"/>
  <c r="AU184" i="29" s="1"/>
  <c r="AF185" i="29"/>
  <c r="AU185" i="29" s="1"/>
  <c r="AF188" i="29"/>
  <c r="AU188" i="29" s="1"/>
  <c r="AF189" i="29"/>
  <c r="AU189" i="29" s="1"/>
  <c r="AF190" i="29"/>
  <c r="AU190" i="29" s="1"/>
  <c r="AF194" i="29"/>
  <c r="AU194" i="29" s="1"/>
  <c r="AF180" i="29"/>
  <c r="AU180" i="29" s="1"/>
  <c r="AF199" i="29"/>
  <c r="AU199" i="29" s="1"/>
  <c r="BB206" i="24"/>
  <c r="AB206" i="24"/>
  <c r="AX178" i="24"/>
  <c r="AZ178" i="24" s="1"/>
  <c r="BB178" i="24" s="1"/>
  <c r="AW178" i="24"/>
  <c r="AY178" i="24" s="1"/>
  <c r="BA178" i="24" s="1"/>
  <c r="AW195" i="24"/>
  <c r="AY195" i="24" s="1"/>
  <c r="BA195" i="24" s="1"/>
  <c r="AX195" i="24"/>
  <c r="AZ195" i="24" s="1"/>
  <c r="AB203" i="24"/>
  <c r="BC203" i="24"/>
  <c r="G203" i="24" s="1"/>
  <c r="F203" i="24" s="1"/>
  <c r="BB203" i="24"/>
  <c r="AW180" i="24"/>
  <c r="AY180" i="24" s="1"/>
  <c r="BA180" i="24" s="1"/>
  <c r="AX180" i="24"/>
  <c r="AZ180" i="24" s="1"/>
  <c r="BB180" i="24" s="1"/>
  <c r="AX173" i="24"/>
  <c r="AZ173" i="24" s="1"/>
  <c r="BB173" i="24" s="1"/>
  <c r="AW173" i="24"/>
  <c r="AY173" i="24" s="1"/>
  <c r="BA173" i="24" s="1"/>
  <c r="AU171" i="24"/>
  <c r="AT189" i="24"/>
  <c r="AP156" i="24"/>
  <c r="AU156" i="24" s="1"/>
  <c r="AP150" i="24"/>
  <c r="AU150" i="24" s="1"/>
  <c r="AP144" i="24"/>
  <c r="AU144" i="24" s="1"/>
  <c r="AP157" i="24"/>
  <c r="AU157" i="24" s="1"/>
  <c r="AP153" i="24"/>
  <c r="AU153" i="24" s="1"/>
  <c r="AP149" i="24"/>
  <c r="AU149" i="24" s="1"/>
  <c r="AP155" i="24"/>
  <c r="AU155" i="24" s="1"/>
  <c r="AP148" i="24"/>
  <c r="AU148" i="24" s="1"/>
  <c r="AP145" i="24"/>
  <c r="AU145" i="24" s="1"/>
  <c r="AP141" i="24"/>
  <c r="AU141" i="24" s="1"/>
  <c r="AP146" i="24"/>
  <c r="AU146" i="24" s="1"/>
  <c r="AP152" i="24"/>
  <c r="AU152" i="24" s="1"/>
  <c r="AP154" i="24"/>
  <c r="AU154" i="24" s="1"/>
  <c r="AP147" i="24"/>
  <c r="AU147" i="24" s="1"/>
  <c r="AP143" i="24"/>
  <c r="AU143" i="24" s="1"/>
  <c r="AP158" i="24"/>
  <c r="AU158" i="24" s="1"/>
  <c r="AP142" i="24"/>
  <c r="AU142" i="24" s="1"/>
  <c r="AP151" i="24"/>
  <c r="AU151" i="24" s="1"/>
  <c r="AP140" i="24"/>
  <c r="AU140" i="24" s="1"/>
  <c r="AP139" i="24"/>
  <c r="AP135" i="24" s="1"/>
  <c r="AX181" i="24"/>
  <c r="AZ181" i="24" s="1"/>
  <c r="BB181" i="24" s="1"/>
  <c r="AW181" i="24"/>
  <c r="AY181" i="24" s="1"/>
  <c r="BA181" i="24" s="1"/>
  <c r="BB198" i="24"/>
  <c r="BC198" i="24"/>
  <c r="G198" i="24" s="1"/>
  <c r="F198" i="24" s="1"/>
  <c r="AB198" i="24"/>
  <c r="AB201" i="24"/>
  <c r="BC201" i="24"/>
  <c r="G201" i="24" s="1"/>
  <c r="F201" i="24" s="1"/>
  <c r="BB201" i="24"/>
  <c r="AX175" i="24"/>
  <c r="AZ175" i="24" s="1"/>
  <c r="BB175" i="24" s="1"/>
  <c r="AW175" i="24"/>
  <c r="AY175" i="24" s="1"/>
  <c r="BA175" i="24" s="1"/>
  <c r="AW177" i="24"/>
  <c r="AY177" i="24" s="1"/>
  <c r="BA177" i="24" s="1"/>
  <c r="AX177" i="24"/>
  <c r="AZ177" i="24" s="1"/>
  <c r="BB177" i="24" s="1"/>
  <c r="AW176" i="24"/>
  <c r="AY176" i="24" s="1"/>
  <c r="BA176" i="24" s="1"/>
  <c r="AX176" i="24"/>
  <c r="AZ176" i="24" s="1"/>
  <c r="BB176" i="24" s="1"/>
  <c r="AB199" i="24"/>
  <c r="BB199" i="24"/>
  <c r="BC199" i="24"/>
  <c r="G199" i="24" s="1"/>
  <c r="F199" i="24" s="1"/>
  <c r="AB205" i="24"/>
  <c r="BB205" i="24"/>
  <c r="BC205" i="24"/>
  <c r="G205" i="24" s="1"/>
  <c r="F205" i="24" s="1"/>
  <c r="AB197" i="24"/>
  <c r="BC197" i="24"/>
  <c r="G197" i="24" s="1"/>
  <c r="F197" i="24" s="1"/>
  <c r="BB197" i="24"/>
  <c r="AW179" i="24"/>
  <c r="AY179" i="24" s="1"/>
  <c r="BA179" i="24" s="1"/>
  <c r="AX179" i="24"/>
  <c r="AZ179" i="24" s="1"/>
  <c r="BB179" i="24" s="1"/>
  <c r="AB196" i="24"/>
  <c r="BC196" i="24"/>
  <c r="G196" i="24" s="1"/>
  <c r="F196" i="24" s="1"/>
  <c r="BB196" i="24"/>
  <c r="AB202" i="24"/>
  <c r="BC202" i="24"/>
  <c r="G202" i="24" s="1"/>
  <c r="F202" i="24" s="1"/>
  <c r="BB202" i="24"/>
  <c r="AB200" i="24"/>
  <c r="BB200" i="24"/>
  <c r="BC200" i="24"/>
  <c r="G200" i="24" s="1"/>
  <c r="F200" i="24" s="1"/>
  <c r="AW182" i="24"/>
  <c r="AY182" i="24" s="1"/>
  <c r="BA182" i="24" s="1"/>
  <c r="AX182" i="24"/>
  <c r="AZ182" i="24" s="1"/>
  <c r="BB182" i="24" s="1"/>
  <c r="AX172" i="24"/>
  <c r="AZ172" i="24" s="1"/>
  <c r="BB172" i="24" s="1"/>
  <c r="AW172" i="24"/>
  <c r="AY172" i="24" s="1"/>
  <c r="BA172" i="24" s="1"/>
  <c r="AX174" i="24"/>
  <c r="AZ174" i="24" s="1"/>
  <c r="BB174" i="24" s="1"/>
  <c r="AW174" i="24"/>
  <c r="AY174" i="24" s="1"/>
  <c r="BA174" i="24" s="1"/>
  <c r="BI237" i="28"/>
  <c r="BJ237" i="28" s="1"/>
  <c r="BI224" i="28"/>
  <c r="BJ224" i="28" s="1"/>
  <c r="BI212" i="28"/>
  <c r="BI222" i="28"/>
  <c r="BJ222" i="28" s="1"/>
  <c r="BI215" i="28"/>
  <c r="BJ215" i="28" s="1"/>
  <c r="L54" i="28"/>
  <c r="BI228" i="28"/>
  <c r="BJ228" i="28" s="1"/>
  <c r="BI231" i="28"/>
  <c r="BJ231" i="28" s="1"/>
  <c r="BI233" i="28"/>
  <c r="BJ233" i="28" s="1"/>
  <c r="BI213" i="28"/>
  <c r="BJ213" i="28" s="1"/>
  <c r="BI218" i="28"/>
  <c r="BJ218" i="28" s="1"/>
  <c r="J54" i="28"/>
  <c r="BI219" i="28"/>
  <c r="BJ219" i="28" s="1"/>
  <c r="CB35" i="28"/>
  <c r="CB32" i="28"/>
  <c r="J14" i="28" s="1"/>
  <c r="BI235" i="28"/>
  <c r="BJ235" i="28" s="1"/>
  <c r="D5" i="28"/>
  <c r="CZ32" i="28"/>
  <c r="L14" i="28" s="1"/>
  <c r="BI223" i="28"/>
  <c r="BJ223" i="28" s="1"/>
  <c r="BI230" i="28"/>
  <c r="BJ230" i="28" s="1"/>
  <c r="BI236" i="28"/>
  <c r="BJ236" i="28" s="1"/>
  <c r="BI216" i="28"/>
  <c r="BJ216" i="28" s="1"/>
  <c r="CQ35" i="28"/>
  <c r="BI234" i="28"/>
  <c r="BJ234" i="28" s="1"/>
  <c r="BI226" i="28"/>
  <c r="BJ226" i="28" s="1"/>
  <c r="BI225" i="28"/>
  <c r="BJ225" i="28" s="1"/>
  <c r="BI238" i="28"/>
  <c r="BJ238" i="28" s="1"/>
  <c r="BI229" i="28"/>
  <c r="BJ229" i="28" s="1"/>
  <c r="BI221" i="28"/>
  <c r="BJ221" i="28" s="1"/>
  <c r="BI227" i="28"/>
  <c r="BJ227" i="28" s="1"/>
  <c r="BI217" i="28"/>
  <c r="BJ217" i="28" s="1"/>
  <c r="BI214" i="28"/>
  <c r="BJ214" i="28" s="1"/>
  <c r="BI220" i="28"/>
  <c r="BJ220" i="28" s="1"/>
  <c r="BI232" i="28"/>
  <c r="BJ232" i="28" s="1"/>
  <c r="BO59" i="31"/>
  <c r="J7" i="31"/>
  <c r="J36" i="31"/>
  <c r="J18" i="31"/>
  <c r="K36" i="31"/>
  <c r="K18" i="31"/>
  <c r="K7" i="31"/>
  <c r="L30" i="31"/>
  <c r="L24" i="31"/>
  <c r="K30" i="31"/>
  <c r="K24" i="31"/>
  <c r="BJ166" i="31"/>
  <c r="BK165" i="31"/>
  <c r="BS86" i="31" s="1"/>
  <c r="BQ127" i="31"/>
  <c r="BR87" i="31"/>
  <c r="BR89" i="31" s="1"/>
  <c r="BS127" i="31"/>
  <c r="AU185" i="20"/>
  <c r="AW185" i="20" s="1"/>
  <c r="AY185" i="20" s="1"/>
  <c r="AV182" i="20"/>
  <c r="AX182" i="20" s="1"/>
  <c r="AZ182" i="20" s="1"/>
  <c r="AU184" i="20"/>
  <c r="AV184" i="20" s="1"/>
  <c r="AX184" i="20" s="1"/>
  <c r="AZ184" i="20" s="1"/>
  <c r="AW193" i="30"/>
  <c r="AX193" i="30" s="1"/>
  <c r="AV194" i="30"/>
  <c r="BH140" i="29"/>
  <c r="AW178" i="20"/>
  <c r="AV178" i="20"/>
  <c r="AX178" i="20" s="1"/>
  <c r="AZ178" i="20" s="1"/>
  <c r="AW179" i="20"/>
  <c r="AY179" i="20" s="1"/>
  <c r="AV179" i="20"/>
  <c r="AX179" i="20" s="1"/>
  <c r="AZ179" i="20" s="1"/>
  <c r="AW181" i="20"/>
  <c r="AY181" i="20" s="1"/>
  <c r="AV181" i="20"/>
  <c r="AX181" i="20" s="1"/>
  <c r="AZ181" i="20" s="1"/>
  <c r="AV180" i="20"/>
  <c r="AX180" i="20" s="1"/>
  <c r="AZ180" i="20" s="1"/>
  <c r="AW180" i="20"/>
  <c r="AY180" i="20" s="1"/>
  <c r="AV183" i="20"/>
  <c r="AX183" i="20" s="1"/>
  <c r="AZ183" i="20" s="1"/>
  <c r="AW183" i="20"/>
  <c r="AY183" i="20" s="1"/>
  <c r="R182" i="27"/>
  <c r="V181" i="27"/>
  <c r="AE180" i="27"/>
  <c r="AT180" i="27"/>
  <c r="BA182" i="20"/>
  <c r="AB182" i="20"/>
  <c r="BB182" i="20"/>
  <c r="G182" i="20" s="1"/>
  <c r="F182" i="20" s="1"/>
  <c r="AU196" i="23"/>
  <c r="AW196" i="23" s="1"/>
  <c r="AY196" i="23" s="1"/>
  <c r="AB196" i="23" s="1"/>
  <c r="AF185" i="23"/>
  <c r="AU185" i="23" s="1"/>
  <c r="AV185" i="23" s="1"/>
  <c r="AX185" i="23" s="1"/>
  <c r="AZ185" i="23" s="1"/>
  <c r="T173" i="23"/>
  <c r="BI240" i="28"/>
  <c r="BJ240" i="28" s="1"/>
  <c r="BH241" i="28"/>
  <c r="AW199" i="27"/>
  <c r="AY199" i="27" s="1"/>
  <c r="BA199" i="27" s="1"/>
  <c r="AW201" i="27"/>
  <c r="AY201" i="27" s="1"/>
  <c r="BA201" i="27" s="1"/>
  <c r="AX205" i="27"/>
  <c r="AZ205" i="27" s="1"/>
  <c r="BB205" i="27" s="1"/>
  <c r="AX202" i="27"/>
  <c r="AZ202" i="27" s="1"/>
  <c r="AW202" i="27"/>
  <c r="AY202" i="27" s="1"/>
  <c r="BA202" i="27" s="1"/>
  <c r="AW200" i="27"/>
  <c r="AY200" i="27" s="1"/>
  <c r="BA200" i="27" s="1"/>
  <c r="AX200" i="27"/>
  <c r="AZ200" i="27" s="1"/>
  <c r="BB201" i="27"/>
  <c r="G201" i="27"/>
  <c r="AB201" i="27"/>
  <c r="AX204" i="27"/>
  <c r="AZ204" i="27" s="1"/>
  <c r="AW204" i="27"/>
  <c r="AY204" i="27" s="1"/>
  <c r="BA204" i="27" s="1"/>
  <c r="BB199" i="27"/>
  <c r="AB199" i="27"/>
  <c r="G199" i="27"/>
  <c r="AV198" i="27"/>
  <c r="AX203" i="27"/>
  <c r="AZ203" i="27" s="1"/>
  <c r="AW203" i="27"/>
  <c r="AY203" i="27" s="1"/>
  <c r="BA203" i="27" s="1"/>
  <c r="T182" i="27"/>
  <c r="S183" i="27"/>
  <c r="BH241" i="27"/>
  <c r="AF161" i="26"/>
  <c r="AU161" i="26" s="1"/>
  <c r="AV161" i="26" s="1"/>
  <c r="AX161" i="26" s="1"/>
  <c r="AZ161" i="26" s="1"/>
  <c r="AF163" i="26"/>
  <c r="AU163" i="26" s="1"/>
  <c r="AW163" i="26" s="1"/>
  <c r="AY163" i="26" s="1"/>
  <c r="AB163" i="26" s="1"/>
  <c r="AU159" i="26"/>
  <c r="AW159" i="26" s="1"/>
  <c r="AX153" i="26" s="1"/>
  <c r="AO147" i="26"/>
  <c r="AT147" i="26" s="1"/>
  <c r="AO149" i="26"/>
  <c r="AT149" i="26" s="1"/>
  <c r="AO142" i="26"/>
  <c r="AT142" i="26" s="1"/>
  <c r="AO145" i="26"/>
  <c r="AT145" i="26" s="1"/>
  <c r="AO144" i="26"/>
  <c r="AT144" i="26" s="1"/>
  <c r="AO148" i="26"/>
  <c r="AT148" i="26" s="1"/>
  <c r="AO146" i="26"/>
  <c r="AT146" i="26" s="1"/>
  <c r="AO143" i="26"/>
  <c r="AT143" i="26" s="1"/>
  <c r="AO140" i="26"/>
  <c r="AT140" i="26" s="1"/>
  <c r="AO139" i="26"/>
  <c r="AT139" i="26" s="1"/>
  <c r="AO141" i="26"/>
  <c r="AT141" i="26" s="1"/>
  <c r="AO138" i="26"/>
  <c r="AO134" i="26" s="1"/>
  <c r="C9" i="26" s="1"/>
  <c r="BG217" i="26"/>
  <c r="AF162" i="26"/>
  <c r="AU162" i="26" s="1"/>
  <c r="AF164" i="26"/>
  <c r="AU164" i="26" s="1"/>
  <c r="AU160" i="26"/>
  <c r="AF173" i="25"/>
  <c r="AU173" i="25" s="1"/>
  <c r="BG211" i="25"/>
  <c r="T167" i="25"/>
  <c r="BH135" i="20"/>
  <c r="BG193" i="24"/>
  <c r="S211" i="24"/>
  <c r="T210" i="24"/>
  <c r="R211" i="24" s="1"/>
  <c r="AF192" i="23"/>
  <c r="AU192" i="23" s="1"/>
  <c r="AV192" i="23" s="1"/>
  <c r="AX192" i="23" s="1"/>
  <c r="AZ192" i="23" s="1"/>
  <c r="AF193" i="23"/>
  <c r="AU193" i="23" s="1"/>
  <c r="AW193" i="23" s="1"/>
  <c r="AY193" i="23" s="1"/>
  <c r="AB193" i="23" s="1"/>
  <c r="AF195" i="23"/>
  <c r="AS195" i="23"/>
  <c r="AF188" i="23"/>
  <c r="AU188" i="23" s="1"/>
  <c r="AF187" i="23"/>
  <c r="AU187" i="23" s="1"/>
  <c r="AF182" i="23"/>
  <c r="AU182" i="23" s="1"/>
  <c r="AF178" i="23"/>
  <c r="AU178" i="23" s="1"/>
  <c r="BG211" i="23"/>
  <c r="AF191" i="23"/>
  <c r="AU191" i="23" s="1"/>
  <c r="AF184" i="23"/>
  <c r="AU184" i="23" s="1"/>
  <c r="AF180" i="23"/>
  <c r="AU180" i="23" s="1"/>
  <c r="AF177" i="23"/>
  <c r="AF190" i="23"/>
  <c r="AU190" i="23" s="1"/>
  <c r="AW181" i="23"/>
  <c r="AY181" i="23" s="1"/>
  <c r="AB181" i="23" s="1"/>
  <c r="AV181" i="23"/>
  <c r="AX181" i="23" s="1"/>
  <c r="AZ181" i="23" s="1"/>
  <c r="AF194" i="23"/>
  <c r="AU194" i="23" s="1"/>
  <c r="AF189" i="23"/>
  <c r="AU189" i="23" s="1"/>
  <c r="AF186" i="23"/>
  <c r="AU186" i="23" s="1"/>
  <c r="AF183" i="23"/>
  <c r="AU183" i="23" s="1"/>
  <c r="AF179" i="23"/>
  <c r="AU179" i="23" s="1"/>
  <c r="AS187" i="22"/>
  <c r="AT186" i="22"/>
  <c r="AU186" i="22" s="1"/>
  <c r="BG199" i="7"/>
  <c r="BG206" i="3"/>
  <c r="AS186" i="2"/>
  <c r="V158" i="20"/>
  <c r="R159" i="20"/>
  <c r="S160" i="20"/>
  <c r="T159" i="20"/>
  <c r="AS157" i="20"/>
  <c r="AE157" i="20"/>
  <c r="AX172" i="20" l="1"/>
  <c r="BM59" i="31"/>
  <c r="BN59" i="31" s="1"/>
  <c r="AW193" i="29"/>
  <c r="AY193" i="29" s="1"/>
  <c r="BB193" i="29" s="1"/>
  <c r="G193" i="29" s="1"/>
  <c r="F193" i="29" s="1"/>
  <c r="AW198" i="29"/>
  <c r="AY198" i="29" s="1"/>
  <c r="AB198" i="29" s="1"/>
  <c r="AW182" i="29"/>
  <c r="AY182" i="29" s="1"/>
  <c r="AB182" i="29" s="1"/>
  <c r="AV195" i="29"/>
  <c r="AX195" i="29" s="1"/>
  <c r="AZ195" i="29" s="1"/>
  <c r="AV196" i="29"/>
  <c r="AX196" i="29" s="1"/>
  <c r="AZ196" i="29" s="1"/>
  <c r="AV191" i="29"/>
  <c r="AX191" i="29" s="1"/>
  <c r="AZ191" i="29" s="1"/>
  <c r="AW197" i="29"/>
  <c r="AY197" i="29" s="1"/>
  <c r="AB197" i="29" s="1"/>
  <c r="AW180" i="29"/>
  <c r="AY180" i="29" s="1"/>
  <c r="AV180" i="29"/>
  <c r="AX180" i="29" s="1"/>
  <c r="AZ180" i="29" s="1"/>
  <c r="AW185" i="29"/>
  <c r="AY185" i="29" s="1"/>
  <c r="AV185" i="29"/>
  <c r="AX185" i="29" s="1"/>
  <c r="AZ185" i="29" s="1"/>
  <c r="BB191" i="29"/>
  <c r="G191" i="29" s="1"/>
  <c r="F191" i="29" s="1"/>
  <c r="AB191" i="29"/>
  <c r="BA191" i="29"/>
  <c r="AV194" i="29"/>
  <c r="AX194" i="29" s="1"/>
  <c r="AZ194" i="29" s="1"/>
  <c r="AW194" i="29"/>
  <c r="AY194" i="29" s="1"/>
  <c r="AB195" i="29"/>
  <c r="BB195" i="29"/>
  <c r="G195" i="29" s="1"/>
  <c r="F195" i="29" s="1"/>
  <c r="BA195" i="29"/>
  <c r="AW184" i="29"/>
  <c r="AY184" i="29" s="1"/>
  <c r="AV184" i="29"/>
  <c r="AX184" i="29" s="1"/>
  <c r="AZ184" i="29" s="1"/>
  <c r="BB196" i="29"/>
  <c r="G196" i="29" s="1"/>
  <c r="F196" i="29" s="1"/>
  <c r="BA196" i="29"/>
  <c r="AB196" i="29"/>
  <c r="AV183" i="29"/>
  <c r="AX183" i="29" s="1"/>
  <c r="AZ183" i="29" s="1"/>
  <c r="AW183" i="29"/>
  <c r="AY183" i="29" s="1"/>
  <c r="AV181" i="29"/>
  <c r="AX181" i="29" s="1"/>
  <c r="AZ181" i="29" s="1"/>
  <c r="AW181" i="29"/>
  <c r="AY181" i="29" s="1"/>
  <c r="AV200" i="29"/>
  <c r="AX200" i="29" s="1"/>
  <c r="AZ200" i="29" s="1"/>
  <c r="AW200" i="29"/>
  <c r="AY200" i="29" s="1"/>
  <c r="BA193" i="29"/>
  <c r="AV189" i="29"/>
  <c r="AX189" i="29" s="1"/>
  <c r="AZ189" i="29" s="1"/>
  <c r="AW189" i="29"/>
  <c r="AY189" i="29" s="1"/>
  <c r="AU179" i="29"/>
  <c r="AO159" i="29"/>
  <c r="AT159" i="29" s="1"/>
  <c r="AO151" i="29"/>
  <c r="AT151" i="29" s="1"/>
  <c r="AO157" i="29"/>
  <c r="AT157" i="29" s="1"/>
  <c r="AO167" i="29"/>
  <c r="AT167" i="29" s="1"/>
  <c r="AO153" i="29"/>
  <c r="AT153" i="29" s="1"/>
  <c r="AO156" i="29"/>
  <c r="AT156" i="29" s="1"/>
  <c r="AO154" i="29"/>
  <c r="AT154" i="29" s="1"/>
  <c r="AO150" i="29"/>
  <c r="AT150" i="29" s="1"/>
  <c r="AO165" i="29"/>
  <c r="AT165" i="29" s="1"/>
  <c r="AO148" i="29"/>
  <c r="AO144" i="29" s="1"/>
  <c r="AO160" i="29"/>
  <c r="AT160" i="29" s="1"/>
  <c r="AO166" i="29"/>
  <c r="AT166" i="29" s="1"/>
  <c r="AO155" i="29"/>
  <c r="AT155" i="29" s="1"/>
  <c r="AO152" i="29"/>
  <c r="AT152" i="29" s="1"/>
  <c r="AO162" i="29"/>
  <c r="AT162" i="29" s="1"/>
  <c r="AO163" i="29"/>
  <c r="AT163" i="29" s="1"/>
  <c r="AO158" i="29"/>
  <c r="AT158" i="29" s="1"/>
  <c r="AO164" i="29"/>
  <c r="AT164" i="29" s="1"/>
  <c r="AO161" i="29"/>
  <c r="AT161" i="29" s="1"/>
  <c r="AO149" i="29"/>
  <c r="AT149" i="29" s="1"/>
  <c r="AV192" i="29"/>
  <c r="AX192" i="29" s="1"/>
  <c r="AZ192" i="29" s="1"/>
  <c r="AW192" i="29"/>
  <c r="AY192" i="29" s="1"/>
  <c r="AW199" i="29"/>
  <c r="AY199" i="29" s="1"/>
  <c r="AV199" i="29"/>
  <c r="AX199" i="29" s="1"/>
  <c r="AZ199" i="29" s="1"/>
  <c r="AV190" i="29"/>
  <c r="AX190" i="29" s="1"/>
  <c r="AZ190" i="29" s="1"/>
  <c r="AW190" i="29"/>
  <c r="AY190" i="29" s="1"/>
  <c r="AV188" i="29"/>
  <c r="AX188" i="29" s="1"/>
  <c r="AZ188" i="29" s="1"/>
  <c r="AW188" i="29"/>
  <c r="AY188" i="29" s="1"/>
  <c r="AU201" i="29"/>
  <c r="AV202" i="29"/>
  <c r="AX202" i="29" s="1"/>
  <c r="AZ202" i="29" s="1"/>
  <c r="AW202" i="29"/>
  <c r="AY202" i="29" s="1"/>
  <c r="AW187" i="29"/>
  <c r="AY187" i="29" s="1"/>
  <c r="AV187" i="29"/>
  <c r="AX187" i="29" s="1"/>
  <c r="AZ187" i="29" s="1"/>
  <c r="BB186" i="29"/>
  <c r="G186" i="29" s="1"/>
  <c r="F186" i="29" s="1"/>
  <c r="BA186" i="29"/>
  <c r="AB186" i="29"/>
  <c r="AW152" i="24"/>
  <c r="AY152" i="24" s="1"/>
  <c r="BA152" i="24" s="1"/>
  <c r="AX152" i="24"/>
  <c r="AZ152" i="24" s="1"/>
  <c r="AX140" i="24"/>
  <c r="AZ140" i="24" s="1"/>
  <c r="AW140" i="24"/>
  <c r="AY140" i="24" s="1"/>
  <c r="BA140" i="24" s="1"/>
  <c r="AX143" i="24"/>
  <c r="AZ143" i="24" s="1"/>
  <c r="AW143" i="24"/>
  <c r="AY143" i="24" s="1"/>
  <c r="BA143" i="24" s="1"/>
  <c r="AX146" i="24"/>
  <c r="AZ146" i="24" s="1"/>
  <c r="AW146" i="24"/>
  <c r="AY146" i="24" s="1"/>
  <c r="BA146" i="24" s="1"/>
  <c r="AW155" i="24"/>
  <c r="AY155" i="24" s="1"/>
  <c r="BA155" i="24" s="1"/>
  <c r="AX155" i="24"/>
  <c r="AZ155" i="24" s="1"/>
  <c r="AX144" i="24"/>
  <c r="AZ144" i="24" s="1"/>
  <c r="AW144" i="24"/>
  <c r="AY144" i="24" s="1"/>
  <c r="BA144" i="24" s="1"/>
  <c r="AX171" i="24"/>
  <c r="AZ171" i="24" s="1"/>
  <c r="BB171" i="24" s="1"/>
  <c r="AW171" i="24"/>
  <c r="AY171" i="24" s="1"/>
  <c r="BA171" i="24" s="1"/>
  <c r="AB195" i="24"/>
  <c r="BB195" i="24"/>
  <c r="AW158" i="24"/>
  <c r="AY158" i="24" s="1"/>
  <c r="BA158" i="24" s="1"/>
  <c r="AX158" i="24"/>
  <c r="AZ158" i="24" s="1"/>
  <c r="AX157" i="24"/>
  <c r="AZ157" i="24" s="1"/>
  <c r="AW157" i="24"/>
  <c r="AY157" i="24" s="1"/>
  <c r="BA157" i="24" s="1"/>
  <c r="AX151" i="24"/>
  <c r="AZ151" i="24" s="1"/>
  <c r="AW151" i="24"/>
  <c r="AY151" i="24" s="1"/>
  <c r="BA151" i="24" s="1"/>
  <c r="AX147" i="24"/>
  <c r="AZ147" i="24" s="1"/>
  <c r="AW147" i="24"/>
  <c r="AY147" i="24" s="1"/>
  <c r="BA147" i="24" s="1"/>
  <c r="AW141" i="24"/>
  <c r="AY141" i="24" s="1"/>
  <c r="BA141" i="24" s="1"/>
  <c r="AX141" i="24"/>
  <c r="AZ141" i="24" s="1"/>
  <c r="AX149" i="24"/>
  <c r="AZ149" i="24" s="1"/>
  <c r="AW149" i="24"/>
  <c r="AY149" i="24" s="1"/>
  <c r="BA149" i="24" s="1"/>
  <c r="AX150" i="24"/>
  <c r="AZ150" i="24" s="1"/>
  <c r="AW150" i="24"/>
  <c r="AY150" i="24" s="1"/>
  <c r="BA150" i="24" s="1"/>
  <c r="C9" i="24"/>
  <c r="AU139" i="24"/>
  <c r="AX148" i="24"/>
  <c r="AZ148" i="24" s="1"/>
  <c r="AW148" i="24"/>
  <c r="AY148" i="24" s="1"/>
  <c r="BA148" i="24" s="1"/>
  <c r="AX142" i="24"/>
  <c r="AZ142" i="24" s="1"/>
  <c r="AW142" i="24"/>
  <c r="AY142" i="24" s="1"/>
  <c r="BA142" i="24" s="1"/>
  <c r="AX154" i="24"/>
  <c r="AZ154" i="24" s="1"/>
  <c r="AW154" i="24"/>
  <c r="AY154" i="24" s="1"/>
  <c r="BA154" i="24" s="1"/>
  <c r="AX145" i="24"/>
  <c r="AZ145" i="24" s="1"/>
  <c r="AW145" i="24"/>
  <c r="AY145" i="24" s="1"/>
  <c r="BA145" i="24" s="1"/>
  <c r="AW153" i="24"/>
  <c r="AY153" i="24" s="1"/>
  <c r="BA153" i="24" s="1"/>
  <c r="AX153" i="24"/>
  <c r="AZ153" i="24" s="1"/>
  <c r="AW156" i="24"/>
  <c r="AY156" i="24" s="1"/>
  <c r="BA156" i="24" s="1"/>
  <c r="AX156" i="24"/>
  <c r="AZ156" i="24" s="1"/>
  <c r="BM34" i="28"/>
  <c r="BN34" i="28" s="1"/>
  <c r="BO35" i="28"/>
  <c r="J12" i="28"/>
  <c r="BM31" i="28"/>
  <c r="BN31" i="28" s="1"/>
  <c r="J55" i="28"/>
  <c r="BJ212" i="28"/>
  <c r="BL106" i="28"/>
  <c r="H23" i="28" s="1"/>
  <c r="L55" i="28"/>
  <c r="L12" i="28"/>
  <c r="K12" i="28"/>
  <c r="BQ29" i="28"/>
  <c r="J8" i="28" s="1"/>
  <c r="CO29" i="28"/>
  <c r="BO56" i="31"/>
  <c r="K31" i="31"/>
  <c r="J37" i="31"/>
  <c r="L25" i="31"/>
  <c r="L31" i="31"/>
  <c r="K37" i="31"/>
  <c r="K19" i="31"/>
  <c r="K25" i="31"/>
  <c r="J19" i="31"/>
  <c r="AW184" i="20"/>
  <c r="AY184" i="20" s="1"/>
  <c r="AB184" i="20" s="1"/>
  <c r="AV185" i="20"/>
  <c r="AX185" i="20" s="1"/>
  <c r="AZ185" i="20" s="1"/>
  <c r="BJ167" i="31"/>
  <c r="BK166" i="31"/>
  <c r="BT86" i="31" s="1"/>
  <c r="BS87" i="31"/>
  <c r="BS89" i="31" s="1"/>
  <c r="BQ126" i="31"/>
  <c r="BU126" i="31"/>
  <c r="AV195" i="30"/>
  <c r="AW194" i="30"/>
  <c r="AX194" i="30" s="1"/>
  <c r="BH141" i="29"/>
  <c r="BB180" i="20"/>
  <c r="G180" i="20" s="1"/>
  <c r="F180" i="20" s="1"/>
  <c r="AB180" i="20"/>
  <c r="BA180" i="20"/>
  <c r="AB179" i="20"/>
  <c r="BB179" i="20"/>
  <c r="G179" i="20" s="1"/>
  <c r="F179" i="20" s="1"/>
  <c r="BA179" i="20"/>
  <c r="AB183" i="20"/>
  <c r="BB183" i="20"/>
  <c r="G183" i="20" s="1"/>
  <c r="F183" i="20" s="1"/>
  <c r="BA183" i="20"/>
  <c r="AB181" i="20"/>
  <c r="BB181" i="20"/>
  <c r="G181" i="20" s="1"/>
  <c r="F181" i="20" s="1"/>
  <c r="BA181" i="20"/>
  <c r="AB185" i="20"/>
  <c r="BB185" i="20"/>
  <c r="G185" i="20" s="1"/>
  <c r="F185" i="20" s="1"/>
  <c r="BA185" i="20"/>
  <c r="R183" i="27"/>
  <c r="V182" i="27"/>
  <c r="AE181" i="27"/>
  <c r="AT181" i="27"/>
  <c r="AW161" i="26"/>
  <c r="AY161" i="26" s="1"/>
  <c r="AV163" i="26"/>
  <c r="AX163" i="26" s="1"/>
  <c r="AZ163" i="26" s="1"/>
  <c r="AW185" i="23"/>
  <c r="AY185" i="23" s="1"/>
  <c r="AW192" i="23"/>
  <c r="AY192" i="23" s="1"/>
  <c r="AV196" i="23"/>
  <c r="AX196" i="23" s="1"/>
  <c r="AZ196" i="23" s="1"/>
  <c r="AV193" i="23"/>
  <c r="AX193" i="23" s="1"/>
  <c r="AZ193" i="23" s="1"/>
  <c r="BH242" i="28"/>
  <c r="BI241" i="28"/>
  <c r="BJ241" i="28" s="1"/>
  <c r="G205" i="27"/>
  <c r="AB205" i="27"/>
  <c r="AW198" i="27"/>
  <c r="AY198" i="27" s="1"/>
  <c r="BA198" i="27" s="1"/>
  <c r="AX198" i="27"/>
  <c r="AY192" i="27" s="1"/>
  <c r="AZ198" i="27" s="1"/>
  <c r="BB204" i="27"/>
  <c r="G204" i="27"/>
  <c r="AB204" i="27"/>
  <c r="AB200" i="27"/>
  <c r="BB200" i="27"/>
  <c r="G200" i="27"/>
  <c r="AB202" i="27"/>
  <c r="G202" i="27"/>
  <c r="BB202" i="27"/>
  <c r="G203" i="27"/>
  <c r="AB203" i="27"/>
  <c r="BB203" i="27"/>
  <c r="S184" i="27"/>
  <c r="T183" i="27"/>
  <c r="BH242" i="27"/>
  <c r="AW139" i="26"/>
  <c r="AY139" i="26" s="1"/>
  <c r="BA139" i="26" s="1"/>
  <c r="AV139" i="26"/>
  <c r="AX139" i="26" s="1"/>
  <c r="AZ139" i="26" s="1"/>
  <c r="AW149" i="26"/>
  <c r="AY149" i="26" s="1"/>
  <c r="BA149" i="26" s="1"/>
  <c r="AV149" i="26"/>
  <c r="AX149" i="26" s="1"/>
  <c r="AZ149" i="26" s="1"/>
  <c r="AW160" i="26"/>
  <c r="AY160" i="26" s="1"/>
  <c r="AV160" i="26"/>
  <c r="AX160" i="26" s="1"/>
  <c r="AZ160" i="26" s="1"/>
  <c r="AW140" i="26"/>
  <c r="AY140" i="26" s="1"/>
  <c r="BA140" i="26" s="1"/>
  <c r="AV140" i="26"/>
  <c r="AX140" i="26" s="1"/>
  <c r="AZ140" i="26" s="1"/>
  <c r="AW144" i="26"/>
  <c r="AY144" i="26" s="1"/>
  <c r="BA144" i="26" s="1"/>
  <c r="AV144" i="26"/>
  <c r="AX144" i="26" s="1"/>
  <c r="AZ144" i="26" s="1"/>
  <c r="AW147" i="26"/>
  <c r="AY147" i="26" s="1"/>
  <c r="BA147" i="26" s="1"/>
  <c r="AV147" i="26"/>
  <c r="AX147" i="26" s="1"/>
  <c r="AZ147" i="26" s="1"/>
  <c r="AW164" i="26"/>
  <c r="AY164" i="26" s="1"/>
  <c r="AB164" i="26" s="1"/>
  <c r="AV164" i="26"/>
  <c r="AX164" i="26" s="1"/>
  <c r="AZ164" i="26" s="1"/>
  <c r="AT138" i="26"/>
  <c r="AW143" i="26"/>
  <c r="AY143" i="26" s="1"/>
  <c r="BA143" i="26" s="1"/>
  <c r="AV143" i="26"/>
  <c r="AX143" i="26" s="1"/>
  <c r="AZ143" i="26" s="1"/>
  <c r="AW145" i="26"/>
  <c r="AY145" i="26" s="1"/>
  <c r="BA145" i="26" s="1"/>
  <c r="AV145" i="26"/>
  <c r="AX145" i="26" s="1"/>
  <c r="AZ145" i="26" s="1"/>
  <c r="AY159" i="26"/>
  <c r="AV159" i="26"/>
  <c r="AX159" i="26" s="1"/>
  <c r="AZ159" i="26" s="1"/>
  <c r="AW141" i="26"/>
  <c r="AY141" i="26" s="1"/>
  <c r="BA141" i="26" s="1"/>
  <c r="AV141" i="26"/>
  <c r="AX141" i="26" s="1"/>
  <c r="AZ141" i="26" s="1"/>
  <c r="AW146" i="26"/>
  <c r="AY146" i="26" s="1"/>
  <c r="BA146" i="26" s="1"/>
  <c r="AV146" i="26"/>
  <c r="AX146" i="26" s="1"/>
  <c r="AZ146" i="26" s="1"/>
  <c r="AW142" i="26"/>
  <c r="AY142" i="26" s="1"/>
  <c r="BA142" i="26" s="1"/>
  <c r="AV142" i="26"/>
  <c r="AX142" i="26" s="1"/>
  <c r="AZ142" i="26" s="1"/>
  <c r="AW162" i="26"/>
  <c r="AY162" i="26" s="1"/>
  <c r="AB162" i="26" s="1"/>
  <c r="AV162" i="26"/>
  <c r="AX162" i="26" s="1"/>
  <c r="AZ162" i="26" s="1"/>
  <c r="BG218" i="26"/>
  <c r="AW148" i="26"/>
  <c r="AY148" i="26" s="1"/>
  <c r="BA148" i="26" s="1"/>
  <c r="AV148" i="26"/>
  <c r="AX148" i="26" s="1"/>
  <c r="AZ148" i="26" s="1"/>
  <c r="BA163" i="26"/>
  <c r="AF174" i="25"/>
  <c r="AU174" i="25" s="1"/>
  <c r="AW174" i="25" s="1"/>
  <c r="AY174" i="25" s="1"/>
  <c r="AB174" i="25" s="1"/>
  <c r="AF175" i="25"/>
  <c r="AU175" i="25" s="1"/>
  <c r="AV175" i="25" s="1"/>
  <c r="AX175" i="25" s="1"/>
  <c r="AZ175" i="25" s="1"/>
  <c r="BG212" i="25"/>
  <c r="AW173" i="25"/>
  <c r="AY173" i="25" s="1"/>
  <c r="AB173" i="25" s="1"/>
  <c r="AV173" i="25"/>
  <c r="AX173" i="25" s="1"/>
  <c r="AZ173" i="25" s="1"/>
  <c r="AF176" i="25"/>
  <c r="AU176" i="25" s="1"/>
  <c r="AU172" i="25"/>
  <c r="BH136" i="20"/>
  <c r="S212" i="24"/>
  <c r="T211" i="24"/>
  <c r="R212" i="24" s="1"/>
  <c r="BG194" i="24"/>
  <c r="AW186" i="23"/>
  <c r="AY186" i="23" s="1"/>
  <c r="AB186" i="23" s="1"/>
  <c r="AV186" i="23"/>
  <c r="AX186" i="23" s="1"/>
  <c r="AZ186" i="23" s="1"/>
  <c r="AW184" i="23"/>
  <c r="AY184" i="23" s="1"/>
  <c r="AB184" i="23" s="1"/>
  <c r="AV184" i="23"/>
  <c r="AX184" i="23" s="1"/>
  <c r="AZ184" i="23" s="1"/>
  <c r="AW179" i="23"/>
  <c r="AY179" i="23" s="1"/>
  <c r="AB179" i="23" s="1"/>
  <c r="AV179" i="23"/>
  <c r="AX179" i="23" s="1"/>
  <c r="AZ179" i="23" s="1"/>
  <c r="AW194" i="23"/>
  <c r="AY194" i="23" s="1"/>
  <c r="AB194" i="23" s="1"/>
  <c r="AV194" i="23"/>
  <c r="AX194" i="23" s="1"/>
  <c r="AZ194" i="23" s="1"/>
  <c r="AU177" i="23"/>
  <c r="AO164" i="23"/>
  <c r="AT164" i="23" s="1"/>
  <c r="AO155" i="23"/>
  <c r="AT155" i="23" s="1"/>
  <c r="AO162" i="23"/>
  <c r="AT162" i="23" s="1"/>
  <c r="AO157" i="23"/>
  <c r="AT157" i="23" s="1"/>
  <c r="AO159" i="23"/>
  <c r="AT159" i="23" s="1"/>
  <c r="AO156" i="23"/>
  <c r="AT156" i="23" s="1"/>
  <c r="AO163" i="23"/>
  <c r="AT163" i="23" s="1"/>
  <c r="AO158" i="23"/>
  <c r="AT158" i="23" s="1"/>
  <c r="AO160" i="23"/>
  <c r="AT160" i="23" s="1"/>
  <c r="AO161" i="23"/>
  <c r="AT161" i="23" s="1"/>
  <c r="AO154" i="23"/>
  <c r="AT154" i="23" s="1"/>
  <c r="AO153" i="23"/>
  <c r="AO149" i="23" s="1"/>
  <c r="AW187" i="23"/>
  <c r="AY187" i="23" s="1"/>
  <c r="AB187" i="23" s="1"/>
  <c r="AV187" i="23"/>
  <c r="AX187" i="23" s="1"/>
  <c r="AZ187" i="23" s="1"/>
  <c r="AW183" i="23"/>
  <c r="AY183" i="23" s="1"/>
  <c r="AB183" i="23" s="1"/>
  <c r="AV183" i="23"/>
  <c r="AX183" i="23" s="1"/>
  <c r="AZ183" i="23" s="1"/>
  <c r="AW180" i="23"/>
  <c r="AY180" i="23" s="1"/>
  <c r="AB180" i="23" s="1"/>
  <c r="AV180" i="23"/>
  <c r="AX180" i="23" s="1"/>
  <c r="AZ180" i="23" s="1"/>
  <c r="BG212" i="23"/>
  <c r="BA196" i="23"/>
  <c r="AW188" i="23"/>
  <c r="AY188" i="23" s="1"/>
  <c r="AB188" i="23" s="1"/>
  <c r="AV188" i="23"/>
  <c r="AX188" i="23" s="1"/>
  <c r="AZ188" i="23" s="1"/>
  <c r="AW178" i="23"/>
  <c r="AY178" i="23" s="1"/>
  <c r="AB178" i="23" s="1"/>
  <c r="AV178" i="23"/>
  <c r="AX178" i="23" s="1"/>
  <c r="AZ178" i="23" s="1"/>
  <c r="BA181" i="23"/>
  <c r="AW189" i="23"/>
  <c r="AY189" i="23" s="1"/>
  <c r="AB189" i="23" s="1"/>
  <c r="AV189" i="23"/>
  <c r="AX189" i="23" s="1"/>
  <c r="AZ189" i="23" s="1"/>
  <c r="AW190" i="23"/>
  <c r="AY190" i="23" s="1"/>
  <c r="AB190" i="23" s="1"/>
  <c r="AV190" i="23"/>
  <c r="AX190" i="23" s="1"/>
  <c r="AZ190" i="23" s="1"/>
  <c r="AW191" i="23"/>
  <c r="AY191" i="23" s="1"/>
  <c r="AB191" i="23" s="1"/>
  <c r="AV191" i="23"/>
  <c r="AX191" i="23" s="1"/>
  <c r="AZ191" i="23" s="1"/>
  <c r="BA193" i="23"/>
  <c r="AW182" i="23"/>
  <c r="AY182" i="23" s="1"/>
  <c r="AB182" i="23" s="1"/>
  <c r="AV182" i="23"/>
  <c r="AX182" i="23" s="1"/>
  <c r="AZ182" i="23" s="1"/>
  <c r="AU195" i="23"/>
  <c r="AT187" i="22"/>
  <c r="AU187" i="22" s="1"/>
  <c r="AS188" i="22"/>
  <c r="BG200" i="7"/>
  <c r="BG207" i="3"/>
  <c r="AS187" i="2"/>
  <c r="AE158" i="20"/>
  <c r="AS158" i="20"/>
  <c r="V159" i="20"/>
  <c r="R160" i="20"/>
  <c r="S161" i="20"/>
  <c r="T160" i="20"/>
  <c r="BA198" i="29" l="1"/>
  <c r="AB193" i="29"/>
  <c r="BB198" i="29"/>
  <c r="G198" i="29" s="1"/>
  <c r="F198" i="29" s="1"/>
  <c r="AY178" i="20"/>
  <c r="BA178" i="20" s="1"/>
  <c r="AB159" i="26"/>
  <c r="BM56" i="31"/>
  <c r="BN56" i="31" s="1"/>
  <c r="BM35" i="28"/>
  <c r="BN35" i="28" s="1"/>
  <c r="L6" i="28"/>
  <c r="L7" i="28" s="1"/>
  <c r="L8" i="28"/>
  <c r="BB182" i="29"/>
  <c r="G182" i="29" s="1"/>
  <c r="F182" i="29" s="1"/>
  <c r="BA182" i="29"/>
  <c r="BB197" i="29"/>
  <c r="G197" i="29" s="1"/>
  <c r="F197" i="29" s="1"/>
  <c r="BA197" i="29"/>
  <c r="AW158" i="29"/>
  <c r="AY158" i="29" s="1"/>
  <c r="AV158" i="29"/>
  <c r="AX158" i="29" s="1"/>
  <c r="AZ158" i="29" s="1"/>
  <c r="AW153" i="29"/>
  <c r="AY153" i="29" s="1"/>
  <c r="AV153" i="29"/>
  <c r="AX153" i="29" s="1"/>
  <c r="AZ153" i="29" s="1"/>
  <c r="AB188" i="29"/>
  <c r="BB188" i="29"/>
  <c r="G188" i="29" s="1"/>
  <c r="F188" i="29" s="1"/>
  <c r="BA188" i="29"/>
  <c r="AW149" i="29"/>
  <c r="AY149" i="29" s="1"/>
  <c r="AV149" i="29"/>
  <c r="AX149" i="29" s="1"/>
  <c r="AZ149" i="29" s="1"/>
  <c r="AV163" i="29"/>
  <c r="AX163" i="29" s="1"/>
  <c r="AZ163" i="29" s="1"/>
  <c r="AW163" i="29"/>
  <c r="AY163" i="29" s="1"/>
  <c r="AV166" i="29"/>
  <c r="AX166" i="29" s="1"/>
  <c r="AZ166" i="29" s="1"/>
  <c r="AW166" i="29"/>
  <c r="AY166" i="29" s="1"/>
  <c r="AV150" i="29"/>
  <c r="AX150" i="29" s="1"/>
  <c r="AZ150" i="29" s="1"/>
  <c r="AW150" i="29"/>
  <c r="AY150" i="29" s="1"/>
  <c r="AW167" i="29"/>
  <c r="AY167" i="29" s="1"/>
  <c r="AV167" i="29"/>
  <c r="AX167" i="29" s="1"/>
  <c r="AZ167" i="29" s="1"/>
  <c r="AW179" i="29"/>
  <c r="AY179" i="29" s="1"/>
  <c r="AV179" i="29"/>
  <c r="AX179" i="29" s="1"/>
  <c r="AZ179" i="29" s="1"/>
  <c r="BB181" i="29"/>
  <c r="G181" i="29" s="1"/>
  <c r="F181" i="29" s="1"/>
  <c r="BA181" i="29"/>
  <c r="AB181" i="29"/>
  <c r="BA185" i="29"/>
  <c r="BB185" i="29"/>
  <c r="G185" i="29" s="1"/>
  <c r="F185" i="29" s="1"/>
  <c r="AB185" i="29"/>
  <c r="AW201" i="29"/>
  <c r="AY201" i="29" s="1"/>
  <c r="AV201" i="29"/>
  <c r="AX201" i="29" s="1"/>
  <c r="AZ201" i="29" s="1"/>
  <c r="AV155" i="29"/>
  <c r="AX155" i="29" s="1"/>
  <c r="AZ155" i="29" s="1"/>
  <c r="AW155" i="29"/>
  <c r="AY155" i="29" s="1"/>
  <c r="AW159" i="29"/>
  <c r="AY159" i="29" s="1"/>
  <c r="AV159" i="29"/>
  <c r="AX159" i="29" s="1"/>
  <c r="AZ159" i="29" s="1"/>
  <c r="BA187" i="29"/>
  <c r="AB187" i="29"/>
  <c r="BB187" i="29"/>
  <c r="G187" i="29" s="1"/>
  <c r="F187" i="29" s="1"/>
  <c r="AB199" i="29"/>
  <c r="BB199" i="29"/>
  <c r="G199" i="29" s="1"/>
  <c r="F199" i="29" s="1"/>
  <c r="BA199" i="29"/>
  <c r="AW161" i="29"/>
  <c r="AY161" i="29" s="1"/>
  <c r="AV161" i="29"/>
  <c r="AX161" i="29" s="1"/>
  <c r="AZ161" i="29" s="1"/>
  <c r="AV162" i="29"/>
  <c r="AX162" i="29" s="1"/>
  <c r="AZ162" i="29" s="1"/>
  <c r="AW162" i="29"/>
  <c r="AY162" i="29" s="1"/>
  <c r="AW160" i="29"/>
  <c r="AY160" i="29" s="1"/>
  <c r="AV160" i="29"/>
  <c r="AX160" i="29" s="1"/>
  <c r="AZ160" i="29" s="1"/>
  <c r="AV154" i="29"/>
  <c r="AX154" i="29" s="1"/>
  <c r="AZ154" i="29" s="1"/>
  <c r="AW154" i="29"/>
  <c r="AY154" i="29" s="1"/>
  <c r="AW157" i="29"/>
  <c r="AY157" i="29" s="1"/>
  <c r="AV157" i="29"/>
  <c r="AX157" i="29" s="1"/>
  <c r="AZ157" i="29" s="1"/>
  <c r="BB189" i="29"/>
  <c r="G189" i="29" s="1"/>
  <c r="F189" i="29" s="1"/>
  <c r="AB189" i="29"/>
  <c r="BA189" i="29"/>
  <c r="AW165" i="29"/>
  <c r="AY165" i="29" s="1"/>
  <c r="AV165" i="29"/>
  <c r="AX165" i="29" s="1"/>
  <c r="AZ165" i="29" s="1"/>
  <c r="BB184" i="29"/>
  <c r="G184" i="29" s="1"/>
  <c r="F184" i="29" s="1"/>
  <c r="BA184" i="29"/>
  <c r="AB184" i="29"/>
  <c r="BB202" i="29"/>
  <c r="G202" i="29" s="1"/>
  <c r="F202" i="29" s="1"/>
  <c r="BA202" i="29"/>
  <c r="AB202" i="29"/>
  <c r="AB190" i="29"/>
  <c r="BA190" i="29"/>
  <c r="BB190" i="29"/>
  <c r="G190" i="29" s="1"/>
  <c r="F190" i="29" s="1"/>
  <c r="AB192" i="29"/>
  <c r="BA192" i="29"/>
  <c r="BB192" i="29"/>
  <c r="G192" i="29" s="1"/>
  <c r="F192" i="29" s="1"/>
  <c r="AW164" i="29"/>
  <c r="AY164" i="29" s="1"/>
  <c r="AV164" i="29"/>
  <c r="AX164" i="29" s="1"/>
  <c r="AZ164" i="29" s="1"/>
  <c r="AW152" i="29"/>
  <c r="AY152" i="29" s="1"/>
  <c r="AV152" i="29"/>
  <c r="AX152" i="29" s="1"/>
  <c r="AZ152" i="29" s="1"/>
  <c r="AT148" i="29"/>
  <c r="C9" i="29"/>
  <c r="AW156" i="29"/>
  <c r="AY156" i="29" s="1"/>
  <c r="AV156" i="29"/>
  <c r="AX156" i="29" s="1"/>
  <c r="AZ156" i="29" s="1"/>
  <c r="AV151" i="29"/>
  <c r="AX151" i="29" s="1"/>
  <c r="AZ151" i="29" s="1"/>
  <c r="AW151" i="29"/>
  <c r="AY151" i="29" s="1"/>
  <c r="AB200" i="29"/>
  <c r="BA200" i="29"/>
  <c r="BB200" i="29"/>
  <c r="G200" i="29" s="1"/>
  <c r="F200" i="29" s="1"/>
  <c r="AB183" i="29"/>
  <c r="BA183" i="29"/>
  <c r="BB183" i="29"/>
  <c r="G183" i="29" s="1"/>
  <c r="F183" i="29" s="1"/>
  <c r="AB194" i="29"/>
  <c r="BB194" i="29"/>
  <c r="G194" i="29" s="1"/>
  <c r="F194" i="29" s="1"/>
  <c r="BA194" i="29"/>
  <c r="BB180" i="29"/>
  <c r="G180" i="29" s="1"/>
  <c r="F180" i="29" s="1"/>
  <c r="AB180" i="29"/>
  <c r="BA180" i="29"/>
  <c r="AX139" i="24"/>
  <c r="AZ139" i="24" s="1"/>
  <c r="AW139" i="24"/>
  <c r="AY139" i="24" s="1"/>
  <c r="BA139" i="24" s="1"/>
  <c r="AB145" i="24"/>
  <c r="BB145" i="24"/>
  <c r="BC145" i="24"/>
  <c r="G145" i="24" s="1"/>
  <c r="AB142" i="24"/>
  <c r="BC142" i="24"/>
  <c r="G142" i="24" s="1"/>
  <c r="BB142" i="24"/>
  <c r="D3" i="24"/>
  <c r="BH194" i="24" s="1"/>
  <c r="BI194" i="24" s="1"/>
  <c r="C22" i="24"/>
  <c r="C3" i="24"/>
  <c r="D22" i="24"/>
  <c r="C5" i="24"/>
  <c r="AB149" i="24"/>
  <c r="BB149" i="24"/>
  <c r="BC149" i="24"/>
  <c r="G149" i="24" s="1"/>
  <c r="AB147" i="24"/>
  <c r="BC147" i="24"/>
  <c r="G147" i="24" s="1"/>
  <c r="BB147" i="24"/>
  <c r="AB157" i="24"/>
  <c r="BC157" i="24"/>
  <c r="G157" i="24" s="1"/>
  <c r="BB157" i="24"/>
  <c r="AB144" i="24"/>
  <c r="BC144" i="24"/>
  <c r="G144" i="24" s="1"/>
  <c r="BB144" i="24"/>
  <c r="AB146" i="24"/>
  <c r="BB146" i="24"/>
  <c r="BC146" i="24"/>
  <c r="G146" i="24" s="1"/>
  <c r="AB140" i="24"/>
  <c r="BB140" i="24"/>
  <c r="BC140" i="24"/>
  <c r="G140" i="24" s="1"/>
  <c r="AB156" i="24"/>
  <c r="BC156" i="24"/>
  <c r="G156" i="24" s="1"/>
  <c r="BB156" i="24"/>
  <c r="AB153" i="24"/>
  <c r="BB153" i="24"/>
  <c r="BC153" i="24"/>
  <c r="G153" i="24" s="1"/>
  <c r="AB141" i="24"/>
  <c r="BB141" i="24"/>
  <c r="BC141" i="24"/>
  <c r="G141" i="24" s="1"/>
  <c r="AB158" i="24"/>
  <c r="BB158" i="24"/>
  <c r="BC158" i="24"/>
  <c r="G158" i="24" s="1"/>
  <c r="AB155" i="24"/>
  <c r="BB155" i="24"/>
  <c r="BC155" i="24"/>
  <c r="G155" i="24" s="1"/>
  <c r="AB152" i="24"/>
  <c r="BB152" i="24"/>
  <c r="BC152" i="24"/>
  <c r="G152" i="24" s="1"/>
  <c r="AB154" i="24"/>
  <c r="BC154" i="24"/>
  <c r="G154" i="24" s="1"/>
  <c r="BB154" i="24"/>
  <c r="AB148" i="24"/>
  <c r="BC148" i="24"/>
  <c r="G148" i="24" s="1"/>
  <c r="BB148" i="24"/>
  <c r="AB150" i="24"/>
  <c r="BB150" i="24"/>
  <c r="BC150" i="24"/>
  <c r="G150" i="24" s="1"/>
  <c r="AB151" i="24"/>
  <c r="BB151" i="24"/>
  <c r="BC151" i="24"/>
  <c r="G151" i="24" s="1"/>
  <c r="AB143" i="24"/>
  <c r="BC143" i="24"/>
  <c r="G143" i="24" s="1"/>
  <c r="BB143" i="24"/>
  <c r="H16" i="28"/>
  <c r="D131" i="28"/>
  <c r="D129" i="28"/>
  <c r="K6" i="28"/>
  <c r="J6" i="28"/>
  <c r="BM28" i="28"/>
  <c r="BN28" i="28" s="1"/>
  <c r="M126" i="28"/>
  <c r="K13" i="28"/>
  <c r="L13" i="28"/>
  <c r="J13" i="28"/>
  <c r="K85" i="31"/>
  <c r="M85" i="31"/>
  <c r="I126" i="31"/>
  <c r="J126" i="31"/>
  <c r="BB184" i="20"/>
  <c r="G184" i="20" s="1"/>
  <c r="F184" i="20" s="1"/>
  <c r="BA184" i="20"/>
  <c r="BJ168" i="31"/>
  <c r="BK167" i="31"/>
  <c r="BU86" i="31" s="1"/>
  <c r="BQ125" i="31"/>
  <c r="BT87" i="31"/>
  <c r="BT89" i="31" s="1"/>
  <c r="BW125" i="31"/>
  <c r="C9" i="23"/>
  <c r="AW195" i="30"/>
  <c r="AX195" i="30" s="1"/>
  <c r="AV196" i="30"/>
  <c r="BH142" i="29"/>
  <c r="BA160" i="26"/>
  <c r="AB160" i="26"/>
  <c r="BA161" i="26"/>
  <c r="AB161" i="26"/>
  <c r="R184" i="27"/>
  <c r="V183" i="27"/>
  <c r="AE182" i="27"/>
  <c r="AT182" i="27"/>
  <c r="BA185" i="23"/>
  <c r="AB185" i="23"/>
  <c r="BA192" i="23"/>
  <c r="AB192" i="23"/>
  <c r="BI242" i="28"/>
  <c r="BJ242" i="28" s="1"/>
  <c r="BH243" i="28"/>
  <c r="BB198" i="27"/>
  <c r="AB198" i="27"/>
  <c r="S185" i="27"/>
  <c r="T184" i="27"/>
  <c r="BH243" i="27"/>
  <c r="BA164" i="26"/>
  <c r="BG219" i="26"/>
  <c r="BA159" i="26"/>
  <c r="BA162" i="26"/>
  <c r="D3" i="26"/>
  <c r="C3" i="26"/>
  <c r="D22" i="26"/>
  <c r="C5" i="26"/>
  <c r="C22" i="26"/>
  <c r="AW138" i="26"/>
  <c r="AY138" i="26" s="1"/>
  <c r="BA138" i="26" s="1"/>
  <c r="AV138" i="26"/>
  <c r="AX138" i="26" s="1"/>
  <c r="AZ138" i="26" s="1"/>
  <c r="AW175" i="25"/>
  <c r="AY175" i="25" s="1"/>
  <c r="AV174" i="25"/>
  <c r="AX174" i="25" s="1"/>
  <c r="AZ174" i="25" s="1"/>
  <c r="AW172" i="25"/>
  <c r="AY172" i="25" s="1"/>
  <c r="AB172" i="25" s="1"/>
  <c r="AV172" i="25"/>
  <c r="AX172" i="25" s="1"/>
  <c r="AZ172" i="25" s="1"/>
  <c r="BA173" i="25"/>
  <c r="AU171" i="25"/>
  <c r="AO158" i="25"/>
  <c r="AT158" i="25" s="1"/>
  <c r="AO159" i="25"/>
  <c r="AT159" i="25" s="1"/>
  <c r="AO161" i="25"/>
  <c r="AT161" i="25" s="1"/>
  <c r="AO155" i="25"/>
  <c r="AT155" i="25" s="1"/>
  <c r="AO151" i="25"/>
  <c r="AT151" i="25" s="1"/>
  <c r="AO152" i="25"/>
  <c r="AT152" i="25" s="1"/>
  <c r="AO154" i="25"/>
  <c r="AT154" i="25" s="1"/>
  <c r="AO153" i="25"/>
  <c r="AT153" i="25" s="1"/>
  <c r="AO157" i="25"/>
  <c r="AT157" i="25" s="1"/>
  <c r="AO160" i="25"/>
  <c r="AT160" i="25" s="1"/>
  <c r="AO156" i="25"/>
  <c r="AT156" i="25" s="1"/>
  <c r="AO150" i="25"/>
  <c r="AO146" i="25" s="1"/>
  <c r="C9" i="25" s="1"/>
  <c r="AW176" i="25"/>
  <c r="AY176" i="25" s="1"/>
  <c r="AB176" i="25" s="1"/>
  <c r="AV176" i="25"/>
  <c r="AX176" i="25" s="1"/>
  <c r="AZ176" i="25" s="1"/>
  <c r="BA174" i="25"/>
  <c r="BG213" i="25"/>
  <c r="BH137" i="20"/>
  <c r="S213" i="24"/>
  <c r="T212" i="24"/>
  <c r="R213" i="24" s="1"/>
  <c r="BG195" i="24"/>
  <c r="AW154" i="23"/>
  <c r="AY154" i="23" s="1"/>
  <c r="BA154" i="23" s="1"/>
  <c r="AV154" i="23"/>
  <c r="AX154" i="23" s="1"/>
  <c r="AZ154" i="23" s="1"/>
  <c r="AW162" i="23"/>
  <c r="AY162" i="23" s="1"/>
  <c r="BA162" i="23" s="1"/>
  <c r="AV162" i="23"/>
  <c r="AX162" i="23" s="1"/>
  <c r="AZ162" i="23" s="1"/>
  <c r="AW195" i="23"/>
  <c r="AY195" i="23" s="1"/>
  <c r="AB195" i="23" s="1"/>
  <c r="AV195" i="23"/>
  <c r="AX195" i="23" s="1"/>
  <c r="AZ195" i="23" s="1"/>
  <c r="BA190" i="23"/>
  <c r="BA188" i="23"/>
  <c r="BA183" i="23"/>
  <c r="BA187" i="23"/>
  <c r="AW160" i="23"/>
  <c r="AY160" i="23" s="1"/>
  <c r="BA160" i="23" s="1"/>
  <c r="AV160" i="23"/>
  <c r="AX160" i="23" s="1"/>
  <c r="AZ160" i="23" s="1"/>
  <c r="AW159" i="23"/>
  <c r="AY159" i="23" s="1"/>
  <c r="BA159" i="23" s="1"/>
  <c r="AV159" i="23"/>
  <c r="AX159" i="23" s="1"/>
  <c r="AZ159" i="23" s="1"/>
  <c r="AW164" i="23"/>
  <c r="AY164" i="23" s="1"/>
  <c r="BA164" i="23" s="1"/>
  <c r="AV164" i="23"/>
  <c r="AX164" i="23" s="1"/>
  <c r="AZ164" i="23" s="1"/>
  <c r="BA182" i="23"/>
  <c r="BA189" i="23"/>
  <c r="AT153" i="23"/>
  <c r="AW158" i="23"/>
  <c r="AY158" i="23" s="1"/>
  <c r="BA158" i="23" s="1"/>
  <c r="AV158" i="23"/>
  <c r="AX158" i="23" s="1"/>
  <c r="AZ158" i="23" s="1"/>
  <c r="AW157" i="23"/>
  <c r="AY157" i="23" s="1"/>
  <c r="BA157" i="23" s="1"/>
  <c r="AV157" i="23"/>
  <c r="AX157" i="23" s="1"/>
  <c r="AZ157" i="23" s="1"/>
  <c r="AW177" i="23"/>
  <c r="AY177" i="23" s="1"/>
  <c r="AB177" i="23" s="1"/>
  <c r="AV177" i="23"/>
  <c r="AX177" i="23" s="1"/>
  <c r="AZ177" i="23" s="1"/>
  <c r="BA194" i="23"/>
  <c r="BA184" i="23"/>
  <c r="BA180" i="23"/>
  <c r="BA191" i="23"/>
  <c r="BA178" i="23"/>
  <c r="AW163" i="23"/>
  <c r="AY163" i="23" s="1"/>
  <c r="BA163" i="23" s="1"/>
  <c r="AV163" i="23"/>
  <c r="AX163" i="23" s="1"/>
  <c r="AZ163" i="23" s="1"/>
  <c r="BG213" i="23"/>
  <c r="AW161" i="23"/>
  <c r="AY161" i="23" s="1"/>
  <c r="BA161" i="23" s="1"/>
  <c r="AV161" i="23"/>
  <c r="AX161" i="23" s="1"/>
  <c r="AZ161" i="23" s="1"/>
  <c r="AW156" i="23"/>
  <c r="AY156" i="23" s="1"/>
  <c r="BA156" i="23" s="1"/>
  <c r="AV156" i="23"/>
  <c r="AX156" i="23" s="1"/>
  <c r="AZ156" i="23" s="1"/>
  <c r="AW155" i="23"/>
  <c r="AY155" i="23" s="1"/>
  <c r="BA155" i="23" s="1"/>
  <c r="AV155" i="23"/>
  <c r="AX155" i="23" s="1"/>
  <c r="AZ155" i="23" s="1"/>
  <c r="BA179" i="23"/>
  <c r="BA186" i="23"/>
  <c r="AS189" i="22"/>
  <c r="AT188" i="22"/>
  <c r="AU188" i="22" s="1"/>
  <c r="BG201" i="7"/>
  <c r="BG208" i="3"/>
  <c r="AS188" i="2"/>
  <c r="V160" i="20"/>
  <c r="R161" i="20"/>
  <c r="S162" i="20"/>
  <c r="T161" i="20"/>
  <c r="AS159" i="20"/>
  <c r="AE159" i="20"/>
  <c r="AB178" i="20" l="1"/>
  <c r="BM82" i="26"/>
  <c r="BN82" i="26" s="1"/>
  <c r="BA156" i="29"/>
  <c r="BB156" i="29"/>
  <c r="G156" i="29" s="1"/>
  <c r="AB156" i="29"/>
  <c r="AB152" i="29"/>
  <c r="BB152" i="29"/>
  <c r="G152" i="29" s="1"/>
  <c r="BA152" i="29"/>
  <c r="AB165" i="29"/>
  <c r="BA165" i="29"/>
  <c r="BB165" i="29"/>
  <c r="G165" i="29" s="1"/>
  <c r="BA150" i="29"/>
  <c r="BB150" i="29"/>
  <c r="G150" i="29" s="1"/>
  <c r="AB150" i="29"/>
  <c r="BA163" i="29"/>
  <c r="BB163" i="29"/>
  <c r="G163" i="29" s="1"/>
  <c r="AB163" i="29"/>
  <c r="BB153" i="29"/>
  <c r="G153" i="29" s="1"/>
  <c r="AB153" i="29"/>
  <c r="BA153" i="29"/>
  <c r="AB167" i="29"/>
  <c r="BB167" i="29"/>
  <c r="G167" i="29" s="1"/>
  <c r="BA167" i="29"/>
  <c r="BB149" i="29"/>
  <c r="G149" i="29" s="1"/>
  <c r="BA149" i="29"/>
  <c r="AB149" i="29"/>
  <c r="BB151" i="29"/>
  <c r="G151" i="29" s="1"/>
  <c r="AB151" i="29"/>
  <c r="BA151" i="29"/>
  <c r="D3" i="29"/>
  <c r="F15" i="29"/>
  <c r="C5" i="29"/>
  <c r="C3" i="29"/>
  <c r="D15" i="29"/>
  <c r="BA157" i="29"/>
  <c r="AB157" i="29"/>
  <c r="BB157" i="29"/>
  <c r="G157" i="29" s="1"/>
  <c r="BB160" i="29"/>
  <c r="G160" i="29" s="1"/>
  <c r="BA160" i="29"/>
  <c r="AB160" i="29"/>
  <c r="AB161" i="29"/>
  <c r="BB161" i="29"/>
  <c r="G161" i="29" s="1"/>
  <c r="BA161" i="29"/>
  <c r="BB159" i="29"/>
  <c r="G159" i="29" s="1"/>
  <c r="AB159" i="29"/>
  <c r="BA159" i="29"/>
  <c r="BA201" i="29"/>
  <c r="AB201" i="29"/>
  <c r="BB201" i="29"/>
  <c r="G201" i="29" s="1"/>
  <c r="F201" i="29" s="1"/>
  <c r="AB179" i="29"/>
  <c r="BA179" i="29"/>
  <c r="AV148" i="29"/>
  <c r="AX148" i="29" s="1"/>
  <c r="AZ148" i="29" s="1"/>
  <c r="AW148" i="29"/>
  <c r="AY148" i="29" s="1"/>
  <c r="BA164" i="29"/>
  <c r="AB164" i="29"/>
  <c r="BB164" i="29"/>
  <c r="G164" i="29" s="1"/>
  <c r="AB154" i="29"/>
  <c r="BA154" i="29"/>
  <c r="BB154" i="29"/>
  <c r="G154" i="29" s="1"/>
  <c r="BB162" i="29"/>
  <c r="G162" i="29" s="1"/>
  <c r="BA162" i="29"/>
  <c r="AB162" i="29"/>
  <c r="AB155" i="29"/>
  <c r="BA155" i="29"/>
  <c r="BB155" i="29"/>
  <c r="G155" i="29" s="1"/>
  <c r="AB166" i="29"/>
  <c r="BB166" i="29"/>
  <c r="G166" i="29" s="1"/>
  <c r="BA166" i="29"/>
  <c r="BB158" i="29"/>
  <c r="G158" i="29" s="1"/>
  <c r="BA158" i="29"/>
  <c r="AB158" i="29"/>
  <c r="L54" i="24"/>
  <c r="D5" i="24"/>
  <c r="CB30" i="24"/>
  <c r="J14" i="24" s="1"/>
  <c r="BH167" i="24"/>
  <c r="BI167" i="24" s="1"/>
  <c r="BH171" i="24"/>
  <c r="BI171" i="24" s="1"/>
  <c r="BH175" i="24"/>
  <c r="BI175" i="24" s="1"/>
  <c r="BH179" i="24"/>
  <c r="BI179" i="24" s="1"/>
  <c r="BH183" i="24"/>
  <c r="BI183" i="24" s="1"/>
  <c r="BH190" i="24"/>
  <c r="BI190" i="24" s="1"/>
  <c r="BH166" i="24"/>
  <c r="BI166" i="24" s="1"/>
  <c r="BH178" i="24"/>
  <c r="BI178" i="24" s="1"/>
  <c r="J54" i="24"/>
  <c r="CQ33" i="24"/>
  <c r="BH164" i="24"/>
  <c r="BH168" i="24"/>
  <c r="BI168" i="24" s="1"/>
  <c r="BH172" i="24"/>
  <c r="BI172" i="24" s="1"/>
  <c r="BH176" i="24"/>
  <c r="BI176" i="24" s="1"/>
  <c r="BH180" i="24"/>
  <c r="BI180" i="24" s="1"/>
  <c r="BH184" i="24"/>
  <c r="BI184" i="24" s="1"/>
  <c r="BH191" i="24"/>
  <c r="BI191" i="24" s="1"/>
  <c r="BH193" i="24"/>
  <c r="BI193" i="24" s="1"/>
  <c r="CB33" i="24"/>
  <c r="BH174" i="24"/>
  <c r="BI174" i="24" s="1"/>
  <c r="BH189" i="24"/>
  <c r="BI189" i="24" s="1"/>
  <c r="CZ30" i="24"/>
  <c r="L14" i="24" s="1"/>
  <c r="BH165" i="24"/>
  <c r="BI165" i="24" s="1"/>
  <c r="BH169" i="24"/>
  <c r="BI169" i="24" s="1"/>
  <c r="BH173" i="24"/>
  <c r="BI173" i="24" s="1"/>
  <c r="BH177" i="24"/>
  <c r="BI177" i="24" s="1"/>
  <c r="BH181" i="24"/>
  <c r="BI181" i="24" s="1"/>
  <c r="BH185" i="24"/>
  <c r="BI185" i="24" s="1"/>
  <c r="BH192" i="24"/>
  <c r="BI192" i="24" s="1"/>
  <c r="BH170" i="24"/>
  <c r="BI170" i="24" s="1"/>
  <c r="BH182" i="24"/>
  <c r="BI182" i="24" s="1"/>
  <c r="AB139" i="24"/>
  <c r="BB139" i="24"/>
  <c r="BO32" i="28"/>
  <c r="J7" i="28"/>
  <c r="K7" i="28"/>
  <c r="K18" i="28"/>
  <c r="J36" i="28"/>
  <c r="J18" i="28"/>
  <c r="K36" i="28"/>
  <c r="L30" i="28"/>
  <c r="L24" i="28"/>
  <c r="K30" i="28"/>
  <c r="K24" i="28"/>
  <c r="L54" i="26"/>
  <c r="J54" i="26"/>
  <c r="BH218" i="26"/>
  <c r="BI218" i="26" s="1"/>
  <c r="BJ169" i="31"/>
  <c r="BK168" i="31"/>
  <c r="BV86" i="31" s="1"/>
  <c r="BY124" i="31"/>
  <c r="BQ124" i="31"/>
  <c r="BU87" i="31"/>
  <c r="BU89" i="31" s="1"/>
  <c r="AV197" i="30"/>
  <c r="AW196" i="30"/>
  <c r="AX196" i="30" s="1"/>
  <c r="BH143" i="29"/>
  <c r="BA175" i="25"/>
  <c r="AB175" i="25"/>
  <c r="R185" i="27"/>
  <c r="V184" i="27"/>
  <c r="AE183" i="27"/>
  <c r="AT183" i="27"/>
  <c r="BH244" i="28"/>
  <c r="BI243" i="28"/>
  <c r="BJ243" i="28" s="1"/>
  <c r="G184" i="27"/>
  <c r="G185" i="27"/>
  <c r="G169" i="27"/>
  <c r="G178" i="27"/>
  <c r="G168" i="27"/>
  <c r="G167" i="27"/>
  <c r="G183" i="27"/>
  <c r="G182" i="27"/>
  <c r="G172" i="27"/>
  <c r="G177" i="27"/>
  <c r="G179" i="27"/>
  <c r="G175" i="27"/>
  <c r="G173" i="27"/>
  <c r="G176" i="27"/>
  <c r="G180" i="27"/>
  <c r="G171" i="27"/>
  <c r="G181" i="27"/>
  <c r="G170" i="27"/>
  <c r="G174" i="27"/>
  <c r="T185" i="27"/>
  <c r="V185" i="27" s="1"/>
  <c r="BH244" i="27"/>
  <c r="BH191" i="26"/>
  <c r="CZ56" i="26"/>
  <c r="L14" i="26" s="1"/>
  <c r="CB56" i="26"/>
  <c r="D5" i="26"/>
  <c r="CQ59" i="26"/>
  <c r="CB59" i="26"/>
  <c r="BH192" i="26"/>
  <c r="BI192" i="26" s="1"/>
  <c r="BH193" i="26"/>
  <c r="BI193" i="26" s="1"/>
  <c r="BH194" i="26"/>
  <c r="BI194" i="26" s="1"/>
  <c r="BH195" i="26"/>
  <c r="BI195" i="26" s="1"/>
  <c r="BH196" i="26"/>
  <c r="BI196" i="26" s="1"/>
  <c r="BH197" i="26"/>
  <c r="BI197" i="26" s="1"/>
  <c r="BH198" i="26"/>
  <c r="BI198" i="26" s="1"/>
  <c r="BH199" i="26"/>
  <c r="BI199" i="26" s="1"/>
  <c r="BH200" i="26"/>
  <c r="BI200" i="26" s="1"/>
  <c r="BH201" i="26"/>
  <c r="BI201" i="26" s="1"/>
  <c r="BH202" i="26"/>
  <c r="BI202" i="26" s="1"/>
  <c r="BH203" i="26"/>
  <c r="BI203" i="26" s="1"/>
  <c r="BH204" i="26"/>
  <c r="BI204" i="26" s="1"/>
  <c r="BH205" i="26"/>
  <c r="BI205" i="26" s="1"/>
  <c r="BH206" i="26"/>
  <c r="BI206" i="26" s="1"/>
  <c r="BH207" i="26"/>
  <c r="BI207" i="26" s="1"/>
  <c r="BH208" i="26"/>
  <c r="BI208" i="26" s="1"/>
  <c r="BH209" i="26"/>
  <c r="BI209" i="26" s="1"/>
  <c r="BH210" i="26"/>
  <c r="BI210" i="26" s="1"/>
  <c r="BH211" i="26"/>
  <c r="BI211" i="26" s="1"/>
  <c r="BH212" i="26"/>
  <c r="BI212" i="26" s="1"/>
  <c r="BH213" i="26"/>
  <c r="BI213" i="26" s="1"/>
  <c r="BH214" i="26"/>
  <c r="BI214" i="26" s="1"/>
  <c r="BH215" i="26"/>
  <c r="BI215" i="26" s="1"/>
  <c r="BH216" i="26"/>
  <c r="BI216" i="26" s="1"/>
  <c r="BH217" i="26"/>
  <c r="BI217" i="26" s="1"/>
  <c r="BH219" i="26"/>
  <c r="BI219" i="26" s="1"/>
  <c r="BG220" i="26"/>
  <c r="AW160" i="25"/>
  <c r="AY160" i="25" s="1"/>
  <c r="BA160" i="25" s="1"/>
  <c r="AV160" i="25"/>
  <c r="AX160" i="25" s="1"/>
  <c r="AZ160" i="25" s="1"/>
  <c r="AW152" i="25"/>
  <c r="AY152" i="25" s="1"/>
  <c r="BA152" i="25" s="1"/>
  <c r="AV152" i="25"/>
  <c r="AX152" i="25" s="1"/>
  <c r="AZ152" i="25" s="1"/>
  <c r="AW159" i="25"/>
  <c r="AY159" i="25" s="1"/>
  <c r="BA159" i="25" s="1"/>
  <c r="AV159" i="25"/>
  <c r="AX159" i="25" s="1"/>
  <c r="AZ159" i="25" s="1"/>
  <c r="BG214" i="25"/>
  <c r="AW157" i="25"/>
  <c r="AY157" i="25" s="1"/>
  <c r="BA157" i="25" s="1"/>
  <c r="AV157" i="25"/>
  <c r="AX157" i="25" s="1"/>
  <c r="AZ157" i="25" s="1"/>
  <c r="AW151" i="25"/>
  <c r="AY151" i="25" s="1"/>
  <c r="BA151" i="25" s="1"/>
  <c r="AV151" i="25"/>
  <c r="AX151" i="25" s="1"/>
  <c r="AZ151" i="25" s="1"/>
  <c r="AW158" i="25"/>
  <c r="AY158" i="25" s="1"/>
  <c r="BA158" i="25" s="1"/>
  <c r="AV158" i="25"/>
  <c r="AX158" i="25" s="1"/>
  <c r="AZ158" i="25" s="1"/>
  <c r="BA172" i="25"/>
  <c r="AW153" i="25"/>
  <c r="AY153" i="25" s="1"/>
  <c r="BA153" i="25" s="1"/>
  <c r="AV153" i="25"/>
  <c r="AX153" i="25" s="1"/>
  <c r="AZ153" i="25" s="1"/>
  <c r="AW171" i="25"/>
  <c r="AX165" i="25" s="1"/>
  <c r="AY171" i="25" s="1"/>
  <c r="AV171" i="25"/>
  <c r="AX171" i="25" s="1"/>
  <c r="AZ171" i="25" s="1"/>
  <c r="AT150" i="25"/>
  <c r="AW155" i="25"/>
  <c r="AY155" i="25" s="1"/>
  <c r="BA155" i="25" s="1"/>
  <c r="AV155" i="25"/>
  <c r="AX155" i="25" s="1"/>
  <c r="AZ155" i="25" s="1"/>
  <c r="BA176" i="25"/>
  <c r="AW156" i="25"/>
  <c r="AY156" i="25" s="1"/>
  <c r="BA156" i="25" s="1"/>
  <c r="AV156" i="25"/>
  <c r="AX156" i="25" s="1"/>
  <c r="AZ156" i="25" s="1"/>
  <c r="AW154" i="25"/>
  <c r="AY154" i="25" s="1"/>
  <c r="BA154" i="25" s="1"/>
  <c r="AV154" i="25"/>
  <c r="AX154" i="25" s="1"/>
  <c r="AZ154" i="25" s="1"/>
  <c r="AW161" i="25"/>
  <c r="AY161" i="25" s="1"/>
  <c r="BA161" i="25" s="1"/>
  <c r="AV161" i="25"/>
  <c r="AX161" i="25" s="1"/>
  <c r="AZ161" i="25" s="1"/>
  <c r="BH138" i="20"/>
  <c r="BG196" i="24"/>
  <c r="BH195" i="24"/>
  <c r="BI195" i="24" s="1"/>
  <c r="S214" i="24"/>
  <c r="T213" i="24"/>
  <c r="R214" i="24" s="1"/>
  <c r="D3" i="23"/>
  <c r="C3" i="23"/>
  <c r="D22" i="23"/>
  <c r="C5" i="23"/>
  <c r="C22" i="23"/>
  <c r="BA177" i="23"/>
  <c r="BG214" i="23"/>
  <c r="AW153" i="23"/>
  <c r="AY153" i="23" s="1"/>
  <c r="BA153" i="23" s="1"/>
  <c r="AV153" i="23"/>
  <c r="AX153" i="23" s="1"/>
  <c r="AZ153" i="23" s="1"/>
  <c r="BA195" i="23"/>
  <c r="AT189" i="22"/>
  <c r="AU189" i="22" s="1"/>
  <c r="AS190" i="22"/>
  <c r="BG202" i="7"/>
  <c r="BG209" i="3"/>
  <c r="AS189" i="2"/>
  <c r="V161" i="20"/>
  <c r="R162" i="20"/>
  <c r="T162" i="20"/>
  <c r="S163" i="20"/>
  <c r="AE160" i="20"/>
  <c r="AS160" i="20"/>
  <c r="BM56" i="23" l="1"/>
  <c r="AB171" i="25"/>
  <c r="BM32" i="28"/>
  <c r="BN32" i="28" s="1"/>
  <c r="BM56" i="24"/>
  <c r="BN56" i="24" s="1"/>
  <c r="J12" i="26"/>
  <c r="J13" i="26" s="1"/>
  <c r="J14" i="26"/>
  <c r="J54" i="29"/>
  <c r="CC30" i="29"/>
  <c r="J14" i="29" s="1"/>
  <c r="BI71" i="29"/>
  <c r="BJ71" i="29" s="1"/>
  <c r="BI75" i="29"/>
  <c r="BJ75" i="29" s="1"/>
  <c r="BI79" i="29"/>
  <c r="BJ79" i="29" s="1"/>
  <c r="BI83" i="29"/>
  <c r="BJ83" i="29" s="1"/>
  <c r="BI87" i="29"/>
  <c r="BJ87" i="29" s="1"/>
  <c r="BI91" i="29"/>
  <c r="BJ91" i="29" s="1"/>
  <c r="BI136" i="29"/>
  <c r="BJ136" i="29" s="1"/>
  <c r="BI78" i="29"/>
  <c r="BJ78" i="29" s="1"/>
  <c r="BI86" i="29"/>
  <c r="BJ86" i="29" s="1"/>
  <c r="DA30" i="29"/>
  <c r="L14" i="29" s="1"/>
  <c r="CC33" i="29"/>
  <c r="BI72" i="29"/>
  <c r="BJ72" i="29" s="1"/>
  <c r="BI76" i="29"/>
  <c r="BJ76" i="29" s="1"/>
  <c r="BI80" i="29"/>
  <c r="BJ80" i="29" s="1"/>
  <c r="BI84" i="29"/>
  <c r="BJ84" i="29" s="1"/>
  <c r="BI88" i="29"/>
  <c r="BJ88" i="29" s="1"/>
  <c r="BI92" i="29"/>
  <c r="BJ92" i="29" s="1"/>
  <c r="BI70" i="29"/>
  <c r="BJ70" i="29" s="1"/>
  <c r="BI82" i="29"/>
  <c r="BJ82" i="29" s="1"/>
  <c r="BI135" i="29"/>
  <c r="BJ135" i="29" s="1"/>
  <c r="D5" i="29"/>
  <c r="BI69" i="29"/>
  <c r="BI73" i="29"/>
  <c r="BJ73" i="29" s="1"/>
  <c r="BI77" i="29"/>
  <c r="BJ77" i="29" s="1"/>
  <c r="BI81" i="29"/>
  <c r="BJ81" i="29" s="1"/>
  <c r="BI85" i="29"/>
  <c r="BJ85" i="29" s="1"/>
  <c r="BI89" i="29"/>
  <c r="BJ89" i="29" s="1"/>
  <c r="BI134" i="29"/>
  <c r="BJ134" i="29" s="1"/>
  <c r="L54" i="29"/>
  <c r="CR33" i="29"/>
  <c r="BI74" i="29"/>
  <c r="BJ74" i="29" s="1"/>
  <c r="BI90" i="29"/>
  <c r="BJ90" i="29" s="1"/>
  <c r="BI137" i="29"/>
  <c r="BJ137" i="29" s="1"/>
  <c r="BI138" i="29"/>
  <c r="BJ138" i="29" s="1"/>
  <c r="BI139" i="29"/>
  <c r="BJ139" i="29" s="1"/>
  <c r="BI140" i="29"/>
  <c r="BJ140" i="29" s="1"/>
  <c r="BI141" i="29"/>
  <c r="BJ141" i="29" s="1"/>
  <c r="BA148" i="29"/>
  <c r="AB148" i="29"/>
  <c r="BI142" i="29"/>
  <c r="BJ142" i="29" s="1"/>
  <c r="J12" i="24"/>
  <c r="BM29" i="24"/>
  <c r="BN29" i="24" s="1"/>
  <c r="BM32" i="24"/>
  <c r="BN32" i="24" s="1"/>
  <c r="BO33" i="24"/>
  <c r="BI164" i="24"/>
  <c r="BL139" i="24"/>
  <c r="CO27" i="24"/>
  <c r="BQ27" i="24"/>
  <c r="J8" i="24" s="1"/>
  <c r="J55" i="24"/>
  <c r="K12" i="24"/>
  <c r="L12" i="24"/>
  <c r="L55" i="24"/>
  <c r="J19" i="28"/>
  <c r="J37" i="28"/>
  <c r="K19" i="28"/>
  <c r="K25" i="28"/>
  <c r="K31" i="28"/>
  <c r="L25" i="28"/>
  <c r="BO29" i="28"/>
  <c r="L31" i="28"/>
  <c r="K37" i="28"/>
  <c r="L12" i="26"/>
  <c r="K12" i="26"/>
  <c r="L55" i="26"/>
  <c r="J55" i="26"/>
  <c r="BH213" i="23"/>
  <c r="BI213" i="23" s="1"/>
  <c r="L54" i="23"/>
  <c r="J54" i="23"/>
  <c r="BJ170" i="31"/>
  <c r="BK169" i="31"/>
  <c r="BW86" i="31" s="1"/>
  <c r="BQ123" i="31"/>
  <c r="BV87" i="31"/>
  <c r="BV89" i="31" s="1"/>
  <c r="CA123" i="31"/>
  <c r="R163" i="20"/>
  <c r="V162" i="20"/>
  <c r="AW197" i="30"/>
  <c r="AX197" i="30" s="1"/>
  <c r="AV198" i="30"/>
  <c r="AW198" i="30" s="1"/>
  <c r="BH144" i="29"/>
  <c r="BI143" i="29"/>
  <c r="BJ143" i="29" s="1"/>
  <c r="BM55" i="26"/>
  <c r="BN55" i="26" s="1"/>
  <c r="AF169" i="27"/>
  <c r="AF173" i="27"/>
  <c r="AF174" i="27"/>
  <c r="AF177" i="27"/>
  <c r="AF171" i="27"/>
  <c r="AF167" i="27"/>
  <c r="AE184" i="27"/>
  <c r="AF184" i="27"/>
  <c r="AT184" i="27"/>
  <c r="AF166" i="27"/>
  <c r="AF172" i="27"/>
  <c r="AF182" i="27"/>
  <c r="AF180" i="27"/>
  <c r="AF178" i="27"/>
  <c r="AF175" i="27"/>
  <c r="AF179" i="27"/>
  <c r="T162" i="27"/>
  <c r="AF183" i="27"/>
  <c r="AF185" i="27"/>
  <c r="AE185" i="27"/>
  <c r="AT185" i="27"/>
  <c r="AF176" i="27"/>
  <c r="AF170" i="27"/>
  <c r="AF181" i="27"/>
  <c r="AF168" i="27"/>
  <c r="BM58" i="26"/>
  <c r="BN58" i="26" s="1"/>
  <c r="BI244" i="28"/>
  <c r="BJ244" i="28" s="1"/>
  <c r="BH245" i="28"/>
  <c r="BH245" i="27"/>
  <c r="BO59" i="26"/>
  <c r="BG221" i="26"/>
  <c r="BH220" i="26"/>
  <c r="BI220" i="26" s="1"/>
  <c r="BI191" i="26"/>
  <c r="BL131" i="26"/>
  <c r="H23" i="26" s="1"/>
  <c r="CO53" i="26"/>
  <c r="BQ53" i="26"/>
  <c r="J8" i="26" s="1"/>
  <c r="AW150" i="25"/>
  <c r="AY150" i="25" s="1"/>
  <c r="BA150" i="25" s="1"/>
  <c r="AV150" i="25"/>
  <c r="AX150" i="25" s="1"/>
  <c r="AZ150" i="25" s="1"/>
  <c r="BG215" i="25"/>
  <c r="D3" i="25"/>
  <c r="C3" i="25"/>
  <c r="D22" i="25"/>
  <c r="C5" i="25"/>
  <c r="C22" i="25"/>
  <c r="BH139" i="20"/>
  <c r="T214" i="24"/>
  <c r="BH196" i="24"/>
  <c r="BI196" i="24" s="1"/>
  <c r="BG197" i="24"/>
  <c r="BN56" i="23"/>
  <c r="BG215" i="23"/>
  <c r="BH214" i="23"/>
  <c r="BI214" i="23" s="1"/>
  <c r="BH183" i="23"/>
  <c r="CB30" i="23"/>
  <c r="D5" i="23"/>
  <c r="CZ30" i="23"/>
  <c r="L14" i="23" s="1"/>
  <c r="CQ33" i="23"/>
  <c r="BH185" i="23"/>
  <c r="BI185" i="23" s="1"/>
  <c r="BH184" i="23"/>
  <c r="BI184" i="23" s="1"/>
  <c r="CB33" i="23"/>
  <c r="BH186" i="23"/>
  <c r="BI186" i="23" s="1"/>
  <c r="BH187" i="23"/>
  <c r="BI187" i="23" s="1"/>
  <c r="BH188" i="23"/>
  <c r="BI188" i="23" s="1"/>
  <c r="BH189" i="23"/>
  <c r="BI189" i="23" s="1"/>
  <c r="BH190" i="23"/>
  <c r="BI190" i="23" s="1"/>
  <c r="BH191" i="23"/>
  <c r="BI191" i="23" s="1"/>
  <c r="BH192" i="23"/>
  <c r="BI192" i="23" s="1"/>
  <c r="BH193" i="23"/>
  <c r="BI193" i="23" s="1"/>
  <c r="BH194" i="23"/>
  <c r="BI194" i="23" s="1"/>
  <c r="BH195" i="23"/>
  <c r="BI195" i="23" s="1"/>
  <c r="BH196" i="23"/>
  <c r="BI196" i="23" s="1"/>
  <c r="BH197" i="23"/>
  <c r="BI197" i="23" s="1"/>
  <c r="BH198" i="23"/>
  <c r="BI198" i="23" s="1"/>
  <c r="BH199" i="23"/>
  <c r="BI199" i="23" s="1"/>
  <c r="BH200" i="23"/>
  <c r="BI200" i="23" s="1"/>
  <c r="BH201" i="23"/>
  <c r="BI201" i="23" s="1"/>
  <c r="BH202" i="23"/>
  <c r="BI202" i="23" s="1"/>
  <c r="BH203" i="23"/>
  <c r="BI203" i="23" s="1"/>
  <c r="BH204" i="23"/>
  <c r="BI204" i="23" s="1"/>
  <c r="BH205" i="23"/>
  <c r="BI205" i="23" s="1"/>
  <c r="BH206" i="23"/>
  <c r="BI206" i="23" s="1"/>
  <c r="BH207" i="23"/>
  <c r="BI207" i="23" s="1"/>
  <c r="BH208" i="23"/>
  <c r="BI208" i="23" s="1"/>
  <c r="BH209" i="23"/>
  <c r="BI209" i="23" s="1"/>
  <c r="BH210" i="23"/>
  <c r="BI210" i="23" s="1"/>
  <c r="BH211" i="23"/>
  <c r="BI211" i="23" s="1"/>
  <c r="BH212" i="23"/>
  <c r="BI212" i="23" s="1"/>
  <c r="AS191" i="22"/>
  <c r="AT190" i="22"/>
  <c r="AU190" i="22" s="1"/>
  <c r="BG203" i="7"/>
  <c r="BG210" i="3"/>
  <c r="AS190" i="2"/>
  <c r="T163" i="20"/>
  <c r="S164" i="20"/>
  <c r="AS161" i="20"/>
  <c r="AE161" i="20"/>
  <c r="BA171" i="25" l="1"/>
  <c r="BM56" i="25" s="1"/>
  <c r="BN56" i="25" s="1"/>
  <c r="BM29" i="28"/>
  <c r="BN29" i="28" s="1"/>
  <c r="BN56" i="29"/>
  <c r="BO56" i="29" s="1"/>
  <c r="BM33" i="24"/>
  <c r="BN33" i="24" s="1"/>
  <c r="L6" i="26"/>
  <c r="L7" i="26" s="1"/>
  <c r="L8" i="26"/>
  <c r="BM59" i="26"/>
  <c r="BN59" i="26" s="1"/>
  <c r="J12" i="23"/>
  <c r="J13" i="23" s="1"/>
  <c r="J14" i="23"/>
  <c r="L6" i="24"/>
  <c r="L7" i="24" s="1"/>
  <c r="L8" i="24"/>
  <c r="BN67" i="29"/>
  <c r="BJ69" i="29"/>
  <c r="L55" i="29"/>
  <c r="CP27" i="29"/>
  <c r="BR27" i="29"/>
  <c r="J8" i="29" s="1"/>
  <c r="J12" i="29"/>
  <c r="BN29" i="29"/>
  <c r="BO29" i="29" s="1"/>
  <c r="L12" i="29"/>
  <c r="K12" i="29"/>
  <c r="BN32" i="29"/>
  <c r="BO32" i="29" s="1"/>
  <c r="BP33" i="29"/>
  <c r="J55" i="29"/>
  <c r="J6" i="24"/>
  <c r="K6" i="24"/>
  <c r="BM26" i="24"/>
  <c r="BN26" i="24" s="1"/>
  <c r="K13" i="24"/>
  <c r="M126" i="24"/>
  <c r="H23" i="24"/>
  <c r="H16" i="24"/>
  <c r="D130" i="24"/>
  <c r="D132" i="24"/>
  <c r="L13" i="24"/>
  <c r="J13" i="24"/>
  <c r="M85" i="28"/>
  <c r="J126" i="28"/>
  <c r="I126" i="28"/>
  <c r="K85" i="28"/>
  <c r="L54" i="25"/>
  <c r="J54" i="25"/>
  <c r="CA128" i="31"/>
  <c r="CA130" i="31" s="1"/>
  <c r="BH214" i="25"/>
  <c r="BI214" i="25" s="1"/>
  <c r="M126" i="26"/>
  <c r="J6" i="26"/>
  <c r="K6" i="26"/>
  <c r="K13" i="26"/>
  <c r="L13" i="26"/>
  <c r="D131" i="26"/>
  <c r="H16" i="26"/>
  <c r="J55" i="23"/>
  <c r="L12" i="23"/>
  <c r="K12" i="23"/>
  <c r="L55" i="23"/>
  <c r="BJ171" i="31"/>
  <c r="BK170" i="31"/>
  <c r="BX86" i="31" s="1"/>
  <c r="BQ122" i="31"/>
  <c r="BW87" i="31"/>
  <c r="BW89" i="31" s="1"/>
  <c r="CC122" i="31"/>
  <c r="CC128" i="31" s="1"/>
  <c r="CC130" i="31" s="1"/>
  <c r="AE162" i="20"/>
  <c r="AS162" i="20"/>
  <c r="R164" i="20"/>
  <c r="V163" i="20"/>
  <c r="AX198" i="30"/>
  <c r="AY162" i="30" s="1"/>
  <c r="CS131" i="30"/>
  <c r="BH145" i="29"/>
  <c r="BI144" i="29"/>
  <c r="BJ144" i="29" s="1"/>
  <c r="AD172" i="27"/>
  <c r="AC172" i="27" s="1"/>
  <c r="AD180" i="27"/>
  <c r="AC180" i="27" s="1"/>
  <c r="AD170" i="27"/>
  <c r="AC170" i="27" s="1"/>
  <c r="AD166" i="27"/>
  <c r="AC166" i="27" s="1"/>
  <c r="AD173" i="27"/>
  <c r="AC173" i="27" s="1"/>
  <c r="AD171" i="27"/>
  <c r="AC171" i="27" s="1"/>
  <c r="AD182" i="27"/>
  <c r="AC182" i="27" s="1"/>
  <c r="AD177" i="27"/>
  <c r="AC177" i="27" s="1"/>
  <c r="AG166" i="27"/>
  <c r="AD167" i="27"/>
  <c r="AC167" i="27" s="1"/>
  <c r="AD174" i="27"/>
  <c r="AC174" i="27" s="1"/>
  <c r="AD184" i="27"/>
  <c r="AC184" i="27" s="1"/>
  <c r="AD169" i="27"/>
  <c r="AC169" i="27" s="1"/>
  <c r="AD183" i="27"/>
  <c r="AC183" i="27" s="1"/>
  <c r="AD175" i="27"/>
  <c r="AC175" i="27" s="1"/>
  <c r="AD179" i="27"/>
  <c r="AC179" i="27" s="1"/>
  <c r="AD178" i="27"/>
  <c r="AC178" i="27" s="1"/>
  <c r="AD168" i="27"/>
  <c r="AC168" i="27" s="1"/>
  <c r="AD181" i="27"/>
  <c r="AC181" i="27" s="1"/>
  <c r="AD176" i="27"/>
  <c r="AC176" i="27" s="1"/>
  <c r="AD185" i="27"/>
  <c r="AC185" i="27" s="1"/>
  <c r="BM52" i="26"/>
  <c r="BN52" i="26" s="1"/>
  <c r="BM29" i="23"/>
  <c r="BN29" i="23" s="1"/>
  <c r="BM32" i="23"/>
  <c r="BN32" i="23" s="1"/>
  <c r="BH246" i="28"/>
  <c r="BI245" i="28"/>
  <c r="BJ245" i="28" s="1"/>
  <c r="BH246" i="27"/>
  <c r="D129" i="26"/>
  <c r="BH221" i="26"/>
  <c r="BI221" i="26" s="1"/>
  <c r="BG222" i="26"/>
  <c r="BG216" i="25"/>
  <c r="BH215" i="25"/>
  <c r="BI215" i="25" s="1"/>
  <c r="BH184" i="25"/>
  <c r="BI184" i="25" s="1"/>
  <c r="BH181" i="25"/>
  <c r="BH185" i="25"/>
  <c r="BI185" i="25" s="1"/>
  <c r="BH182" i="25"/>
  <c r="BI182" i="25" s="1"/>
  <c r="CB30" i="25"/>
  <c r="CQ33" i="25"/>
  <c r="D5" i="25"/>
  <c r="CZ30" i="25"/>
  <c r="L14" i="25" s="1"/>
  <c r="CB33" i="25"/>
  <c r="BH183" i="25"/>
  <c r="BI183" i="25" s="1"/>
  <c r="BH186" i="25"/>
  <c r="BI186" i="25" s="1"/>
  <c r="BH187" i="25"/>
  <c r="BI187" i="25" s="1"/>
  <c r="BH188" i="25"/>
  <c r="BI188" i="25" s="1"/>
  <c r="BH189" i="25"/>
  <c r="BI189" i="25" s="1"/>
  <c r="BH190" i="25"/>
  <c r="BI190" i="25" s="1"/>
  <c r="BH191" i="25"/>
  <c r="BI191" i="25" s="1"/>
  <c r="BH192" i="25"/>
  <c r="BI192" i="25" s="1"/>
  <c r="BH193" i="25"/>
  <c r="BI193" i="25" s="1"/>
  <c r="BH194" i="25"/>
  <c r="BI194" i="25" s="1"/>
  <c r="BH195" i="25"/>
  <c r="BI195" i="25" s="1"/>
  <c r="BH196" i="25"/>
  <c r="BI196" i="25" s="1"/>
  <c r="BH197" i="25"/>
  <c r="BI197" i="25" s="1"/>
  <c r="BH198" i="25"/>
  <c r="BI198" i="25" s="1"/>
  <c r="BH199" i="25"/>
  <c r="BI199" i="25" s="1"/>
  <c r="BH200" i="25"/>
  <c r="BI200" i="25" s="1"/>
  <c r="BH201" i="25"/>
  <c r="BI201" i="25" s="1"/>
  <c r="BH202" i="25"/>
  <c r="BI202" i="25" s="1"/>
  <c r="BH203" i="25"/>
  <c r="BI203" i="25" s="1"/>
  <c r="BH204" i="25"/>
  <c r="BI204" i="25" s="1"/>
  <c r="BH205" i="25"/>
  <c r="BI205" i="25" s="1"/>
  <c r="BH206" i="25"/>
  <c r="BI206" i="25" s="1"/>
  <c r="BH207" i="25"/>
  <c r="BI207" i="25" s="1"/>
  <c r="BH208" i="25"/>
  <c r="BI208" i="25" s="1"/>
  <c r="BH209" i="25"/>
  <c r="BI209" i="25" s="1"/>
  <c r="BH210" i="25"/>
  <c r="BI210" i="25" s="1"/>
  <c r="BH211" i="25"/>
  <c r="BI211" i="25" s="1"/>
  <c r="BH212" i="25"/>
  <c r="BI212" i="25" s="1"/>
  <c r="BH213" i="25"/>
  <c r="BI213" i="25" s="1"/>
  <c r="BH140" i="20"/>
  <c r="BG198" i="24"/>
  <c r="BH197" i="24"/>
  <c r="BI197" i="24" s="1"/>
  <c r="BI183" i="23"/>
  <c r="BL107" i="23"/>
  <c r="H23" i="23" s="1"/>
  <c r="BQ27" i="23"/>
  <c r="J8" i="23" s="1"/>
  <c r="CO27" i="23"/>
  <c r="BH215" i="23"/>
  <c r="BI215" i="23" s="1"/>
  <c r="BG216" i="23"/>
  <c r="BO33" i="23"/>
  <c r="AT191" i="22"/>
  <c r="AU191" i="22" s="1"/>
  <c r="AS192" i="22"/>
  <c r="BG204" i="7"/>
  <c r="BG211" i="3"/>
  <c r="AS191" i="2"/>
  <c r="T164" i="20"/>
  <c r="S165" i="20"/>
  <c r="BM33" i="23" l="1"/>
  <c r="BN33" i="23" s="1"/>
  <c r="BN33" i="29"/>
  <c r="BO33" i="29" s="1"/>
  <c r="J12" i="25"/>
  <c r="J13" i="25" s="1"/>
  <c r="J14" i="25"/>
  <c r="L6" i="23"/>
  <c r="L8" i="23"/>
  <c r="L6" i="29"/>
  <c r="L7" i="29" s="1"/>
  <c r="L8" i="29"/>
  <c r="J13" i="29"/>
  <c r="M126" i="29"/>
  <c r="K13" i="29"/>
  <c r="J6" i="29"/>
  <c r="BN26" i="29"/>
  <c r="BO26" i="29" s="1"/>
  <c r="K6" i="29"/>
  <c r="L13" i="29"/>
  <c r="H23" i="29"/>
  <c r="H16" i="29"/>
  <c r="D134" i="29"/>
  <c r="D136" i="29"/>
  <c r="BO30" i="24"/>
  <c r="J36" i="24"/>
  <c r="K36" i="24"/>
  <c r="J18" i="24"/>
  <c r="K18" i="24"/>
  <c r="K7" i="24"/>
  <c r="L30" i="24"/>
  <c r="K24" i="24"/>
  <c r="L24" i="24"/>
  <c r="K30" i="24"/>
  <c r="J7" i="24"/>
  <c r="L12" i="25"/>
  <c r="K12" i="25"/>
  <c r="BO56" i="26"/>
  <c r="J36" i="26"/>
  <c r="K36" i="26"/>
  <c r="L30" i="26"/>
  <c r="K30" i="26"/>
  <c r="L55" i="25"/>
  <c r="J55" i="25"/>
  <c r="J18" i="26"/>
  <c r="K18" i="26"/>
  <c r="L24" i="26"/>
  <c r="K24" i="26"/>
  <c r="K7" i="26"/>
  <c r="J7" i="26"/>
  <c r="M126" i="23"/>
  <c r="K6" i="23"/>
  <c r="J6" i="23"/>
  <c r="L7" i="23"/>
  <c r="K13" i="23"/>
  <c r="D146" i="23"/>
  <c r="H16" i="23"/>
  <c r="L13" i="23"/>
  <c r="BJ172" i="31"/>
  <c r="BK171" i="31"/>
  <c r="BY86" i="31" s="1"/>
  <c r="BQ121" i="31"/>
  <c r="BX87" i="31"/>
  <c r="BX89" i="31" s="1"/>
  <c r="CE121" i="31"/>
  <c r="CE128" i="31" s="1"/>
  <c r="CE130" i="31" s="1"/>
  <c r="AE163" i="20"/>
  <c r="AS163" i="20"/>
  <c r="R165" i="20"/>
  <c r="V164" i="20"/>
  <c r="D134" i="30"/>
  <c r="D132" i="30"/>
  <c r="AY163" i="30"/>
  <c r="AZ162" i="30"/>
  <c r="BF81" i="30" s="1"/>
  <c r="BF82" i="30" s="1"/>
  <c r="BF84" i="30" s="1"/>
  <c r="BI145" i="29"/>
  <c r="BJ145" i="29" s="1"/>
  <c r="BH146" i="29"/>
  <c r="BI146" i="29" s="1"/>
  <c r="AC165" i="27"/>
  <c r="AA166" i="27" s="1"/>
  <c r="AG198" i="27" s="1"/>
  <c r="BM32" i="25"/>
  <c r="BN32" i="25" s="1"/>
  <c r="BM29" i="25"/>
  <c r="BN29" i="25" s="1"/>
  <c r="BM26" i="23"/>
  <c r="BN26" i="23" s="1"/>
  <c r="BI246" i="28"/>
  <c r="BJ246" i="28" s="1"/>
  <c r="BH247" i="28"/>
  <c r="BH247" i="27"/>
  <c r="BG223" i="26"/>
  <c r="BH222" i="26"/>
  <c r="BI222" i="26" s="1"/>
  <c r="BO33" i="25"/>
  <c r="CO27" i="25"/>
  <c r="BQ27" i="25"/>
  <c r="J8" i="25" s="1"/>
  <c r="BG217" i="25"/>
  <c r="BH217" i="25" s="1"/>
  <c r="BH216" i="25"/>
  <c r="BI216" i="25" s="1"/>
  <c r="BL179" i="25"/>
  <c r="H23" i="25" s="1"/>
  <c r="BI181" i="25"/>
  <c r="BH141" i="20"/>
  <c r="BH198" i="24"/>
  <c r="BI198" i="24" s="1"/>
  <c r="BG199" i="24"/>
  <c r="BG217" i="23"/>
  <c r="BH216" i="23"/>
  <c r="BI216" i="23" s="1"/>
  <c r="D144" i="23"/>
  <c r="AS193" i="22"/>
  <c r="AT192" i="22"/>
  <c r="AU192" i="22" s="1"/>
  <c r="BG205" i="7"/>
  <c r="BG212" i="3"/>
  <c r="AS192" i="2"/>
  <c r="T165" i="20"/>
  <c r="S166" i="20"/>
  <c r="BM33" i="25" l="1"/>
  <c r="BN33" i="25" s="1"/>
  <c r="BM30" i="24"/>
  <c r="BN30" i="24" s="1"/>
  <c r="L6" i="25"/>
  <c r="L7" i="25" s="1"/>
  <c r="L8" i="25"/>
  <c r="BM56" i="26"/>
  <c r="BN56" i="26" s="1"/>
  <c r="K7" i="29"/>
  <c r="K36" i="29"/>
  <c r="K18" i="29"/>
  <c r="J18" i="29"/>
  <c r="J36" i="29"/>
  <c r="J7" i="29"/>
  <c r="BP30" i="29"/>
  <c r="K24" i="29"/>
  <c r="L30" i="29"/>
  <c r="L24" i="29"/>
  <c r="K30" i="29"/>
  <c r="BO27" i="24"/>
  <c r="K19" i="24"/>
  <c r="L31" i="24"/>
  <c r="J19" i="24"/>
  <c r="K25" i="24"/>
  <c r="K31" i="24"/>
  <c r="K37" i="24"/>
  <c r="L25" i="24"/>
  <c r="J37" i="24"/>
  <c r="L13" i="25"/>
  <c r="D143" i="25"/>
  <c r="H16" i="25"/>
  <c r="K13" i="25"/>
  <c r="K6" i="25"/>
  <c r="J6" i="25"/>
  <c r="BO53" i="26"/>
  <c r="M126" i="25"/>
  <c r="K31" i="26"/>
  <c r="K37" i="26"/>
  <c r="L31" i="26"/>
  <c r="J37" i="26"/>
  <c r="K25" i="26"/>
  <c r="K19" i="26"/>
  <c r="L25" i="26"/>
  <c r="J19" i="26"/>
  <c r="BO30" i="23"/>
  <c r="K36" i="23"/>
  <c r="K18" i="23"/>
  <c r="J36" i="23"/>
  <c r="J18" i="23"/>
  <c r="J7" i="23"/>
  <c r="L30" i="23"/>
  <c r="L24" i="23"/>
  <c r="K30" i="23"/>
  <c r="K24" i="23"/>
  <c r="K7" i="23"/>
  <c r="CG120" i="31"/>
  <c r="BQ120" i="31"/>
  <c r="BQ128" i="31" s="1"/>
  <c r="BY87" i="31"/>
  <c r="BY89" i="31" s="1"/>
  <c r="BK172" i="31"/>
  <c r="BZ86" i="31" s="1"/>
  <c r="BJ173" i="31"/>
  <c r="R166" i="20"/>
  <c r="V165" i="20"/>
  <c r="AE164" i="20"/>
  <c r="AS164" i="20"/>
  <c r="AY164" i="30"/>
  <c r="AZ163" i="30"/>
  <c r="BG81" i="30" s="1"/>
  <c r="DE67" i="29"/>
  <c r="BJ146" i="29"/>
  <c r="BK69" i="29" s="1"/>
  <c r="AP166" i="27"/>
  <c r="AU166" i="27" s="1"/>
  <c r="AX166" i="27" s="1"/>
  <c r="AZ166" i="27" s="1"/>
  <c r="AB166" i="27" s="1"/>
  <c r="AP183" i="27"/>
  <c r="AU183" i="27" s="1"/>
  <c r="AX183" i="27" s="1"/>
  <c r="AZ183" i="27" s="1"/>
  <c r="AP180" i="27"/>
  <c r="AU180" i="27" s="1"/>
  <c r="AW180" i="27" s="1"/>
  <c r="AY180" i="27" s="1"/>
  <c r="BA180" i="27" s="1"/>
  <c r="AP146" i="27"/>
  <c r="AU146" i="27" s="1"/>
  <c r="AX146" i="27" s="1"/>
  <c r="AZ146" i="27" s="1"/>
  <c r="BB146" i="27" s="1"/>
  <c r="AP144" i="27"/>
  <c r="AU144" i="27" s="1"/>
  <c r="AW144" i="27" s="1"/>
  <c r="AY144" i="27" s="1"/>
  <c r="BA144" i="27" s="1"/>
  <c r="AP145" i="27"/>
  <c r="AU145" i="27" s="1"/>
  <c r="AX145" i="27" s="1"/>
  <c r="AZ145" i="27" s="1"/>
  <c r="BB145" i="27" s="1"/>
  <c r="AP150" i="27"/>
  <c r="AU150" i="27" s="1"/>
  <c r="AX150" i="27" s="1"/>
  <c r="AZ150" i="27" s="1"/>
  <c r="BB150" i="27" s="1"/>
  <c r="AP184" i="27"/>
  <c r="AU184" i="27" s="1"/>
  <c r="AW184" i="27" s="1"/>
  <c r="AY184" i="27" s="1"/>
  <c r="BA184" i="27" s="1"/>
  <c r="AP177" i="27"/>
  <c r="AU177" i="27" s="1"/>
  <c r="AX177" i="27" s="1"/>
  <c r="AZ177" i="27" s="1"/>
  <c r="AP178" i="27"/>
  <c r="AU178" i="27" s="1"/>
  <c r="AW178" i="27" s="1"/>
  <c r="AY178" i="27" s="1"/>
  <c r="BA178" i="27" s="1"/>
  <c r="AP181" i="27"/>
  <c r="AU181" i="27" s="1"/>
  <c r="AW181" i="27" s="1"/>
  <c r="AY181" i="27" s="1"/>
  <c r="BA181" i="27" s="1"/>
  <c r="AP185" i="27"/>
  <c r="AU185" i="27" s="1"/>
  <c r="AX185" i="27" s="1"/>
  <c r="AZ185" i="27" s="1"/>
  <c r="AP169" i="27"/>
  <c r="AU169" i="27" s="1"/>
  <c r="AW169" i="27" s="1"/>
  <c r="AY169" i="27" s="1"/>
  <c r="BA169" i="27" s="1"/>
  <c r="AP171" i="27"/>
  <c r="AU171" i="27" s="1"/>
  <c r="AX171" i="27" s="1"/>
  <c r="AZ171" i="27" s="1"/>
  <c r="AP170" i="27"/>
  <c r="AU170" i="27" s="1"/>
  <c r="AX170" i="27" s="1"/>
  <c r="AZ170" i="27" s="1"/>
  <c r="AP174" i="27"/>
  <c r="AU174" i="27" s="1"/>
  <c r="AW174" i="27" s="1"/>
  <c r="AY174" i="27" s="1"/>
  <c r="BA174" i="27" s="1"/>
  <c r="AP172" i="27"/>
  <c r="AU172" i="27" s="1"/>
  <c r="AW172" i="27" s="1"/>
  <c r="AY172" i="27" s="1"/>
  <c r="BA172" i="27" s="1"/>
  <c r="AP182" i="27"/>
  <c r="AU182" i="27" s="1"/>
  <c r="AW182" i="27" s="1"/>
  <c r="AY182" i="27" s="1"/>
  <c r="BA182" i="27" s="1"/>
  <c r="AP173" i="27"/>
  <c r="AU173" i="27" s="1"/>
  <c r="AW173" i="27" s="1"/>
  <c r="AY173" i="27" s="1"/>
  <c r="BA173" i="27" s="1"/>
  <c r="AP179" i="27"/>
  <c r="AU179" i="27" s="1"/>
  <c r="AW179" i="27" s="1"/>
  <c r="AY179" i="27" s="1"/>
  <c r="BA179" i="27" s="1"/>
  <c r="AP176" i="27"/>
  <c r="AU176" i="27" s="1"/>
  <c r="AX176" i="27" s="1"/>
  <c r="AZ176" i="27" s="1"/>
  <c r="AP168" i="27"/>
  <c r="AU168" i="27" s="1"/>
  <c r="AW168" i="27" s="1"/>
  <c r="AY168" i="27" s="1"/>
  <c r="BA168" i="27" s="1"/>
  <c r="AP175" i="27"/>
  <c r="AU175" i="27" s="1"/>
  <c r="AX175" i="27" s="1"/>
  <c r="AZ175" i="27" s="1"/>
  <c r="AP167" i="27"/>
  <c r="AU167" i="27" s="1"/>
  <c r="AW167" i="27" s="1"/>
  <c r="AY167" i="27" s="1"/>
  <c r="BA167" i="27" s="1"/>
  <c r="AP149" i="27"/>
  <c r="AU149" i="27" s="1"/>
  <c r="AP147" i="27"/>
  <c r="AU147" i="27" s="1"/>
  <c r="AP152" i="27"/>
  <c r="AU152" i="27" s="1"/>
  <c r="AP142" i="27"/>
  <c r="AP148" i="27"/>
  <c r="AU148" i="27" s="1"/>
  <c r="AP153" i="27"/>
  <c r="AU153" i="27" s="1"/>
  <c r="AP151" i="27"/>
  <c r="AU151" i="27" s="1"/>
  <c r="AP143" i="27"/>
  <c r="AU143" i="27" s="1"/>
  <c r="BM26" i="25"/>
  <c r="BN26" i="25" s="1"/>
  <c r="BH248" i="28"/>
  <c r="BI248" i="28" s="1"/>
  <c r="BI247" i="28"/>
  <c r="BJ247" i="28" s="1"/>
  <c r="BH248" i="27"/>
  <c r="BH223" i="26"/>
  <c r="BI223" i="26" s="1"/>
  <c r="BG224" i="26"/>
  <c r="BI217" i="25"/>
  <c r="BJ181" i="25" s="1"/>
  <c r="DD145" i="25"/>
  <c r="D144" i="25" s="1"/>
  <c r="D141" i="25"/>
  <c r="BH142" i="20"/>
  <c r="BH199" i="24"/>
  <c r="BI199" i="24" s="1"/>
  <c r="BG200" i="24"/>
  <c r="BH217" i="23"/>
  <c r="BI217" i="23" s="1"/>
  <c r="BG218" i="23"/>
  <c r="AT193" i="22"/>
  <c r="AU193" i="22" s="1"/>
  <c r="AS194" i="22"/>
  <c r="BG206" i="7"/>
  <c r="BG213" i="3"/>
  <c r="AS193" i="2"/>
  <c r="T166" i="20"/>
  <c r="V166" i="20" s="1"/>
  <c r="BM30" i="23" l="1"/>
  <c r="BN30" i="23" s="1"/>
  <c r="BN30" i="29"/>
  <c r="BO30" i="29" s="1"/>
  <c r="BM27" i="24"/>
  <c r="BN27" i="24" s="1"/>
  <c r="BM53" i="26"/>
  <c r="BN53" i="26" s="1"/>
  <c r="AP138" i="27"/>
  <c r="C9" i="27" s="1"/>
  <c r="K19" i="29"/>
  <c r="L31" i="29"/>
  <c r="BP27" i="29"/>
  <c r="K37" i="29"/>
  <c r="L25" i="29"/>
  <c r="K25" i="29"/>
  <c r="J37" i="29"/>
  <c r="K31" i="29"/>
  <c r="J19" i="29"/>
  <c r="K85" i="24"/>
  <c r="J126" i="24"/>
  <c r="M85" i="24"/>
  <c r="I126" i="24"/>
  <c r="BO30" i="25"/>
  <c r="BQ130" i="31"/>
  <c r="J7" i="25"/>
  <c r="K7" i="25"/>
  <c r="L30" i="25"/>
  <c r="L24" i="25"/>
  <c r="K30" i="25"/>
  <c r="K24" i="25"/>
  <c r="J36" i="25"/>
  <c r="J18" i="25"/>
  <c r="K18" i="25"/>
  <c r="K36" i="25"/>
  <c r="I126" i="26"/>
  <c r="AF162" i="20"/>
  <c r="J126" i="26"/>
  <c r="M85" i="26"/>
  <c r="K85" i="26"/>
  <c r="BO27" i="23"/>
  <c r="L25" i="23"/>
  <c r="J19" i="23"/>
  <c r="L31" i="23"/>
  <c r="J37" i="23"/>
  <c r="K25" i="23"/>
  <c r="K19" i="23"/>
  <c r="K31" i="23"/>
  <c r="K37" i="23"/>
  <c r="BJ174" i="31"/>
  <c r="BK173" i="31"/>
  <c r="CA86" i="31" s="1"/>
  <c r="BS119" i="31"/>
  <c r="BS128" i="31" s="1"/>
  <c r="BS130" i="31" s="1"/>
  <c r="BZ87" i="31"/>
  <c r="BZ89" i="31" s="1"/>
  <c r="CG119" i="31"/>
  <c r="AF155" i="20"/>
  <c r="AF161" i="20"/>
  <c r="AF148" i="20"/>
  <c r="AE166" i="20"/>
  <c r="AF166" i="20"/>
  <c r="AS166" i="20"/>
  <c r="AF147" i="20"/>
  <c r="AF163" i="20"/>
  <c r="AF158" i="20"/>
  <c r="AE165" i="20"/>
  <c r="AF165" i="20"/>
  <c r="AS165" i="20"/>
  <c r="AF160" i="20"/>
  <c r="AF151" i="20"/>
  <c r="AF159" i="20"/>
  <c r="AF154" i="20"/>
  <c r="AF153" i="20"/>
  <c r="AF157" i="20"/>
  <c r="AF149" i="20"/>
  <c r="AF150" i="20"/>
  <c r="AF164" i="20"/>
  <c r="AF152" i="20"/>
  <c r="T143" i="20"/>
  <c r="AF156" i="20"/>
  <c r="BH122" i="30"/>
  <c r="BF122" i="30"/>
  <c r="BG82" i="30"/>
  <c r="BG84" i="30" s="1"/>
  <c r="AZ164" i="30"/>
  <c r="BH81" i="30" s="1"/>
  <c r="AY165" i="30"/>
  <c r="AW166" i="27"/>
  <c r="AY166" i="27" s="1"/>
  <c r="BA166" i="27" s="1"/>
  <c r="D135" i="29"/>
  <c r="D137" i="29"/>
  <c r="BK70" i="29"/>
  <c r="BL69" i="29"/>
  <c r="BR57" i="29" s="1"/>
  <c r="BR58" i="29" s="1"/>
  <c r="BR60" i="29" s="1"/>
  <c r="AX180" i="27"/>
  <c r="AZ180" i="27" s="1"/>
  <c r="AB180" i="27" s="1"/>
  <c r="AW175" i="27"/>
  <c r="AY175" i="27" s="1"/>
  <c r="BA175" i="27" s="1"/>
  <c r="AX144" i="27"/>
  <c r="AZ144" i="27" s="1"/>
  <c r="BB144" i="27" s="1"/>
  <c r="AX178" i="27"/>
  <c r="AZ178" i="27" s="1"/>
  <c r="BB178" i="27" s="1"/>
  <c r="AW171" i="27"/>
  <c r="AY171" i="27" s="1"/>
  <c r="BA171" i="27" s="1"/>
  <c r="AX169" i="27"/>
  <c r="AZ169" i="27" s="1"/>
  <c r="AB169" i="27" s="1"/>
  <c r="AW177" i="27"/>
  <c r="AY177" i="27" s="1"/>
  <c r="BA177" i="27" s="1"/>
  <c r="AX172" i="27"/>
  <c r="AZ172" i="27" s="1"/>
  <c r="BB172" i="27" s="1"/>
  <c r="AW176" i="27"/>
  <c r="AY176" i="27" s="1"/>
  <c r="BA176" i="27" s="1"/>
  <c r="AW145" i="27"/>
  <c r="AY145" i="27" s="1"/>
  <c r="BA145" i="27" s="1"/>
  <c r="AX182" i="27"/>
  <c r="AZ182" i="27" s="1"/>
  <c r="BB182" i="27" s="1"/>
  <c r="AW183" i="27"/>
  <c r="AY183" i="27" s="1"/>
  <c r="BA183" i="27" s="1"/>
  <c r="AX168" i="27"/>
  <c r="AZ168" i="27" s="1"/>
  <c r="AB168" i="27" s="1"/>
  <c r="AX174" i="27"/>
  <c r="AZ174" i="27" s="1"/>
  <c r="AB174" i="27" s="1"/>
  <c r="AX173" i="27"/>
  <c r="AZ173" i="27" s="1"/>
  <c r="AB173" i="27" s="1"/>
  <c r="AW170" i="27"/>
  <c r="AY170" i="27" s="1"/>
  <c r="BA170" i="27" s="1"/>
  <c r="AW185" i="27"/>
  <c r="AY185" i="27" s="1"/>
  <c r="BA185" i="27" s="1"/>
  <c r="AW150" i="27"/>
  <c r="AY150" i="27" s="1"/>
  <c r="BA150" i="27" s="1"/>
  <c r="AX184" i="27"/>
  <c r="AZ184" i="27" s="1"/>
  <c r="AB184" i="27" s="1"/>
  <c r="AX181" i="27"/>
  <c r="AZ181" i="27" s="1"/>
  <c r="AB181" i="27" s="1"/>
  <c r="AX167" i="27"/>
  <c r="AZ167" i="27" s="1"/>
  <c r="AB167" i="27" s="1"/>
  <c r="AX179" i="27"/>
  <c r="AZ179" i="27" s="1"/>
  <c r="AB179" i="27" s="1"/>
  <c r="AW146" i="27"/>
  <c r="AY146" i="27" s="1"/>
  <c r="BA146" i="27" s="1"/>
  <c r="BB166" i="27"/>
  <c r="AW148" i="27"/>
  <c r="AY148" i="27" s="1"/>
  <c r="BA148" i="27" s="1"/>
  <c r="AX148" i="27"/>
  <c r="AZ148" i="27" s="1"/>
  <c r="BB148" i="27" s="1"/>
  <c r="AB171" i="27"/>
  <c r="BB171" i="27"/>
  <c r="AB170" i="27"/>
  <c r="BB170" i="27"/>
  <c r="AX147" i="27"/>
  <c r="AZ147" i="27" s="1"/>
  <c r="BB147" i="27" s="1"/>
  <c r="AW147" i="27"/>
  <c r="AY147" i="27" s="1"/>
  <c r="BA147" i="27" s="1"/>
  <c r="AX143" i="27"/>
  <c r="AZ143" i="27" s="1"/>
  <c r="BB143" i="27" s="1"/>
  <c r="AW143" i="27"/>
  <c r="AY143" i="27" s="1"/>
  <c r="BA143" i="27" s="1"/>
  <c r="AW153" i="27"/>
  <c r="AY153" i="27" s="1"/>
  <c r="BA153" i="27" s="1"/>
  <c r="AX153" i="27"/>
  <c r="AZ153" i="27" s="1"/>
  <c r="BB153" i="27" s="1"/>
  <c r="AB176" i="27"/>
  <c r="BB176" i="27"/>
  <c r="AB177" i="27"/>
  <c r="BB177" i="27"/>
  <c r="AU142" i="27"/>
  <c r="AB185" i="27"/>
  <c r="BB185" i="27"/>
  <c r="AW149" i="27"/>
  <c r="AY149" i="27" s="1"/>
  <c r="BA149" i="27" s="1"/>
  <c r="AX149" i="27"/>
  <c r="AZ149" i="27" s="1"/>
  <c r="BB149" i="27" s="1"/>
  <c r="AX151" i="27"/>
  <c r="AZ151" i="27" s="1"/>
  <c r="BB151" i="27" s="1"/>
  <c r="AW151" i="27"/>
  <c r="AY151" i="27" s="1"/>
  <c r="BA151" i="27" s="1"/>
  <c r="AB175" i="27"/>
  <c r="BB175" i="27"/>
  <c r="AX152" i="27"/>
  <c r="AZ152" i="27" s="1"/>
  <c r="BB152" i="27" s="1"/>
  <c r="AW152" i="27"/>
  <c r="AY152" i="27" s="1"/>
  <c r="BA152" i="27" s="1"/>
  <c r="AB183" i="27"/>
  <c r="BB183" i="27"/>
  <c r="BJ248" i="28"/>
  <c r="BK212" i="28" s="1"/>
  <c r="DD106" i="28"/>
  <c r="BH249" i="27"/>
  <c r="BG225" i="26"/>
  <c r="BH224" i="26"/>
  <c r="BI224" i="26" s="1"/>
  <c r="BK181" i="25"/>
  <c r="BQ57" i="25" s="1"/>
  <c r="BQ58" i="25" s="1"/>
  <c r="BQ60" i="25" s="1"/>
  <c r="BJ182" i="25"/>
  <c r="D142" i="25"/>
  <c r="BH143" i="20"/>
  <c r="BH200" i="24"/>
  <c r="BI200" i="24" s="1"/>
  <c r="BG201" i="24"/>
  <c r="BG219" i="23"/>
  <c r="BH219" i="23" s="1"/>
  <c r="BH218" i="23"/>
  <c r="BI218" i="23" s="1"/>
  <c r="AS195" i="22"/>
  <c r="AT194" i="22"/>
  <c r="AU194" i="22" s="1"/>
  <c r="BG207" i="7"/>
  <c r="BG214" i="3"/>
  <c r="AS194" i="2"/>
  <c r="BM27" i="23" l="1"/>
  <c r="BN27" i="23" s="1"/>
  <c r="BM30" i="25"/>
  <c r="BN30" i="25" s="1"/>
  <c r="BN27" i="29"/>
  <c r="BO27" i="29" s="1"/>
  <c r="J126" i="29"/>
  <c r="I126" i="29"/>
  <c r="M85" i="29"/>
  <c r="K85" i="29"/>
  <c r="BO27" i="25"/>
  <c r="J19" i="25"/>
  <c r="L25" i="25"/>
  <c r="K19" i="25"/>
  <c r="J37" i="25"/>
  <c r="L31" i="25"/>
  <c r="K31" i="25"/>
  <c r="K37" i="25"/>
  <c r="K25" i="25"/>
  <c r="I126" i="23"/>
  <c r="M85" i="23"/>
  <c r="J126" i="23"/>
  <c r="K85" i="23"/>
  <c r="AD151" i="20"/>
  <c r="AC151" i="20" s="1"/>
  <c r="AB178" i="27"/>
  <c r="CG118" i="31"/>
  <c r="BU118" i="31"/>
  <c r="BU128" i="31" s="1"/>
  <c r="BU130" i="31" s="1"/>
  <c r="CA87" i="31"/>
  <c r="CA89" i="31" s="1"/>
  <c r="BK174" i="31"/>
  <c r="CB86" i="31" s="1"/>
  <c r="BJ175" i="31"/>
  <c r="AD156" i="20"/>
  <c r="AC156" i="20" s="1"/>
  <c r="AD153" i="20"/>
  <c r="AC153" i="20" s="1"/>
  <c r="AD154" i="20"/>
  <c r="AC154" i="20" s="1"/>
  <c r="BB180" i="27"/>
  <c r="AD159" i="20"/>
  <c r="AC159" i="20" s="1"/>
  <c r="AD148" i="20"/>
  <c r="AC148" i="20" s="1"/>
  <c r="AD162" i="20"/>
  <c r="AC162" i="20" s="1"/>
  <c r="AD160" i="20"/>
  <c r="AC160" i="20" s="1"/>
  <c r="AD166" i="20"/>
  <c r="AC166" i="20" s="1"/>
  <c r="AD150" i="20"/>
  <c r="AC150" i="20" s="1"/>
  <c r="AD152" i="20"/>
  <c r="AC152" i="20" s="1"/>
  <c r="AD165" i="20"/>
  <c r="AC165" i="20" s="1"/>
  <c r="AD158" i="20"/>
  <c r="AC158" i="20" s="1"/>
  <c r="AD149" i="20"/>
  <c r="AC149" i="20" s="1"/>
  <c r="AD155" i="20"/>
  <c r="AC155" i="20" s="1"/>
  <c r="AD161" i="20"/>
  <c r="AC161" i="20" s="1"/>
  <c r="AD147" i="20"/>
  <c r="AC147" i="20" s="1"/>
  <c r="AD157" i="20"/>
  <c r="AC157" i="20" s="1"/>
  <c r="AD164" i="20"/>
  <c r="AC164" i="20" s="1"/>
  <c r="AD163" i="20"/>
  <c r="AC163" i="20" s="1"/>
  <c r="BF121" i="30"/>
  <c r="BJ121" i="30"/>
  <c r="BH82" i="30"/>
  <c r="BH84" i="30" s="1"/>
  <c r="AY166" i="30"/>
  <c r="AZ165" i="30"/>
  <c r="BI81" i="30" s="1"/>
  <c r="BK71" i="29"/>
  <c r="BL70" i="29"/>
  <c r="BS57" i="29" s="1"/>
  <c r="AB172" i="27"/>
  <c r="BB167" i="27"/>
  <c r="AB182" i="27"/>
  <c r="BB169" i="27"/>
  <c r="BB179" i="27"/>
  <c r="BB174" i="27"/>
  <c r="BB184" i="27"/>
  <c r="BB173" i="27"/>
  <c r="BB168" i="27"/>
  <c r="BB181" i="27"/>
  <c r="AW142" i="27"/>
  <c r="AY142" i="27" s="1"/>
  <c r="BA142" i="27" s="1"/>
  <c r="AX142" i="27"/>
  <c r="AZ142" i="27" s="1"/>
  <c r="BB142" i="27" s="1"/>
  <c r="D3" i="27"/>
  <c r="C3" i="27"/>
  <c r="D24" i="27"/>
  <c r="C24" i="27"/>
  <c r="C5" i="27"/>
  <c r="D132" i="28"/>
  <c r="D130" i="28"/>
  <c r="BK213" i="28"/>
  <c r="BL212" i="28"/>
  <c r="BQ59" i="28" s="1"/>
  <c r="BQ60" i="28" s="1"/>
  <c r="BQ62" i="28" s="1"/>
  <c r="BH250" i="27"/>
  <c r="BH225" i="26"/>
  <c r="BI225" i="26" s="1"/>
  <c r="BG226" i="26"/>
  <c r="BK182" i="25"/>
  <c r="BR57" i="25" s="1"/>
  <c r="BJ183" i="25"/>
  <c r="BH144" i="20"/>
  <c r="BH145" i="20" s="1"/>
  <c r="BG202" i="24"/>
  <c r="BH201" i="24"/>
  <c r="BI201" i="24" s="1"/>
  <c r="BI219" i="23"/>
  <c r="BJ183" i="23" s="1"/>
  <c r="DD107" i="23"/>
  <c r="D147" i="23" s="1"/>
  <c r="AT195" i="22"/>
  <c r="AU195" i="22" s="1"/>
  <c r="AS196" i="22"/>
  <c r="BG208" i="7"/>
  <c r="BG215" i="3"/>
  <c r="AS195" i="2"/>
  <c r="BM58" i="27" l="1"/>
  <c r="BN58" i="27" s="1"/>
  <c r="BM27" i="25"/>
  <c r="BN27" i="25" s="1"/>
  <c r="K85" i="25"/>
  <c r="M85" i="25"/>
  <c r="I126" i="25"/>
  <c r="J126" i="25"/>
  <c r="BI249" i="27"/>
  <c r="BJ249" i="27" s="1"/>
  <c r="J54" i="27"/>
  <c r="L54" i="27"/>
  <c r="BJ176" i="31"/>
  <c r="BK175" i="31"/>
  <c r="CC86" i="31" s="1"/>
  <c r="BW117" i="31"/>
  <c r="BW128" i="31" s="1"/>
  <c r="BW130" i="31" s="1"/>
  <c r="CG117" i="31"/>
  <c r="CB87" i="31"/>
  <c r="CB89" i="31" s="1"/>
  <c r="AC146" i="20"/>
  <c r="AA147" i="20" s="1"/>
  <c r="AY167" i="30"/>
  <c r="AZ166" i="30"/>
  <c r="BJ81" i="30" s="1"/>
  <c r="BI82" i="30"/>
  <c r="BI84" i="30" s="1"/>
  <c r="BL120" i="30"/>
  <c r="BF120" i="30"/>
  <c r="BK72" i="29"/>
  <c r="BL71" i="29"/>
  <c r="BT57" i="29" s="1"/>
  <c r="BR129" i="29"/>
  <c r="BT129" i="29"/>
  <c r="BS58" i="29"/>
  <c r="BS60" i="29" s="1"/>
  <c r="BI250" i="27"/>
  <c r="BJ250" i="27" s="1"/>
  <c r="BI243" i="27"/>
  <c r="BJ243" i="27" s="1"/>
  <c r="BI216" i="27"/>
  <c r="BJ216" i="27" s="1"/>
  <c r="BI234" i="27"/>
  <c r="BJ234" i="27" s="1"/>
  <c r="BI239" i="27"/>
  <c r="BJ239" i="27" s="1"/>
  <c r="BI235" i="27"/>
  <c r="BJ235" i="27" s="1"/>
  <c r="CB32" i="27"/>
  <c r="BI233" i="27"/>
  <c r="BJ233" i="27" s="1"/>
  <c r="BI218" i="27"/>
  <c r="BJ218" i="27" s="1"/>
  <c r="CZ32" i="27"/>
  <c r="L14" i="27" s="1"/>
  <c r="BI245" i="27"/>
  <c r="BJ245" i="27" s="1"/>
  <c r="BI229" i="27"/>
  <c r="BJ229" i="27" s="1"/>
  <c r="BI240" i="27"/>
  <c r="BJ240" i="27" s="1"/>
  <c r="BI236" i="27"/>
  <c r="BJ236" i="27" s="1"/>
  <c r="BI224" i="27"/>
  <c r="BJ224" i="27" s="1"/>
  <c r="BI230" i="27"/>
  <c r="BJ230" i="27" s="1"/>
  <c r="BI246" i="27"/>
  <c r="BJ246" i="27" s="1"/>
  <c r="BI238" i="27"/>
  <c r="BJ238" i="27" s="1"/>
  <c r="BI241" i="27"/>
  <c r="BJ241" i="27" s="1"/>
  <c r="CB35" i="27"/>
  <c r="BI232" i="27"/>
  <c r="BJ232" i="27" s="1"/>
  <c r="BI221" i="27"/>
  <c r="BJ221" i="27" s="1"/>
  <c r="BI244" i="27"/>
  <c r="BJ244" i="27" s="1"/>
  <c r="BI217" i="27"/>
  <c r="BJ217" i="27" s="1"/>
  <c r="BI215" i="27"/>
  <c r="BJ215" i="27" s="1"/>
  <c r="BI231" i="27"/>
  <c r="BJ231" i="27" s="1"/>
  <c r="BI214" i="27"/>
  <c r="BI237" i="27"/>
  <c r="BJ237" i="27" s="1"/>
  <c r="BI242" i="27"/>
  <c r="BJ242" i="27" s="1"/>
  <c r="BI219" i="27"/>
  <c r="BJ219" i="27" s="1"/>
  <c r="CQ35" i="27"/>
  <c r="BI220" i="27"/>
  <c r="BJ220" i="27" s="1"/>
  <c r="BI222" i="27"/>
  <c r="BJ222" i="27" s="1"/>
  <c r="BI227" i="27"/>
  <c r="BJ227" i="27" s="1"/>
  <c r="BI228" i="27"/>
  <c r="BJ228" i="27" s="1"/>
  <c r="BI223" i="27"/>
  <c r="BJ223" i="27" s="1"/>
  <c r="BI226" i="27"/>
  <c r="BJ226" i="27" s="1"/>
  <c r="BI225" i="27"/>
  <c r="BJ225" i="27" s="1"/>
  <c r="D5" i="27"/>
  <c r="BI247" i="27"/>
  <c r="BJ247" i="27" s="1"/>
  <c r="BI248" i="27"/>
  <c r="BJ248" i="27" s="1"/>
  <c r="BK214" i="28"/>
  <c r="BL213" i="28"/>
  <c r="BR59" i="28" s="1"/>
  <c r="BG227" i="26"/>
  <c r="BH227" i="26" s="1"/>
  <c r="BH226" i="26"/>
  <c r="BI226" i="26" s="1"/>
  <c r="BK183" i="25"/>
  <c r="BS57" i="25" s="1"/>
  <c r="BJ184" i="25"/>
  <c r="BR58" i="25"/>
  <c r="BR60" i="25" s="1"/>
  <c r="BS137" i="25"/>
  <c r="BQ137" i="25"/>
  <c r="BH202" i="24"/>
  <c r="BI202" i="24" s="1"/>
  <c r="BG203" i="24"/>
  <c r="BH203" i="24" s="1"/>
  <c r="D145" i="23"/>
  <c r="BJ184" i="23"/>
  <c r="BK183" i="23"/>
  <c r="BQ57" i="23" s="1"/>
  <c r="BQ58" i="23" s="1"/>
  <c r="BQ60" i="23" s="1"/>
  <c r="AS197" i="22"/>
  <c r="AT197" i="22" s="1"/>
  <c r="AT196" i="22"/>
  <c r="AU196" i="22" s="1"/>
  <c r="BG209" i="7"/>
  <c r="BG216" i="3"/>
  <c r="AS196" i="2"/>
  <c r="J12" i="27" l="1"/>
  <c r="J13" i="27" s="1"/>
  <c r="J14" i="27"/>
  <c r="L12" i="27"/>
  <c r="K12" i="27"/>
  <c r="L55" i="27"/>
  <c r="J55" i="27"/>
  <c r="CB82" i="31"/>
  <c r="CG116" i="31"/>
  <c r="CG128" i="31" s="1"/>
  <c r="CG130" i="31" s="1"/>
  <c r="CC87" i="31"/>
  <c r="CC89" i="31" s="1"/>
  <c r="CD82" i="31"/>
  <c r="BY116" i="31"/>
  <c r="BY128" i="31" s="1"/>
  <c r="BY130" i="31" s="1"/>
  <c r="BK176" i="31"/>
  <c r="CD86" i="31" s="1"/>
  <c r="BJ177" i="31"/>
  <c r="AO155" i="20"/>
  <c r="AT155" i="20" s="1"/>
  <c r="AO148" i="20"/>
  <c r="AT148" i="20" s="1"/>
  <c r="AO162" i="20"/>
  <c r="AT162" i="20" s="1"/>
  <c r="AO161" i="20"/>
  <c r="AT161" i="20" s="1"/>
  <c r="AO149" i="20"/>
  <c r="AT149" i="20" s="1"/>
  <c r="AO166" i="20"/>
  <c r="AT166" i="20" s="1"/>
  <c r="AO147" i="20"/>
  <c r="AO143" i="20" s="1"/>
  <c r="C9" i="20" s="1"/>
  <c r="AO153" i="20"/>
  <c r="AT153" i="20" s="1"/>
  <c r="AO154" i="20"/>
  <c r="AT154" i="20" s="1"/>
  <c r="AO159" i="20"/>
  <c r="AT159" i="20" s="1"/>
  <c r="AO164" i="20"/>
  <c r="AT164" i="20" s="1"/>
  <c r="AO163" i="20"/>
  <c r="AT163" i="20" s="1"/>
  <c r="AO152" i="20"/>
  <c r="AT152" i="20" s="1"/>
  <c r="AO160" i="20"/>
  <c r="AT160" i="20" s="1"/>
  <c r="AO157" i="20"/>
  <c r="AT157" i="20" s="1"/>
  <c r="AO156" i="20"/>
  <c r="AT156" i="20" s="1"/>
  <c r="AO151" i="20"/>
  <c r="AT151" i="20" s="1"/>
  <c r="AO165" i="20"/>
  <c r="AT165" i="20" s="1"/>
  <c r="AO158" i="20"/>
  <c r="AT158" i="20" s="1"/>
  <c r="AO150" i="20"/>
  <c r="AT150" i="20" s="1"/>
  <c r="BF119" i="30"/>
  <c r="BN119" i="30"/>
  <c r="BJ82" i="30"/>
  <c r="BJ84" i="30" s="1"/>
  <c r="AY168" i="30"/>
  <c r="AZ167" i="30"/>
  <c r="BK81" i="30" s="1"/>
  <c r="BK73" i="29"/>
  <c r="BL72" i="29"/>
  <c r="BU57" i="29" s="1"/>
  <c r="BT58" i="29"/>
  <c r="BT60" i="29" s="1"/>
  <c r="BV128" i="29"/>
  <c r="BR128" i="29"/>
  <c r="BM34" i="27"/>
  <c r="BN34" i="27" s="1"/>
  <c r="BM31" i="27"/>
  <c r="BN31" i="27" s="1"/>
  <c r="DD66" i="27"/>
  <c r="D130" i="27" s="1"/>
  <c r="BO35" i="27"/>
  <c r="BL66" i="27"/>
  <c r="H23" i="27" s="1"/>
  <c r="BJ214" i="27"/>
  <c r="BK214" i="27" s="1"/>
  <c r="BQ29" i="27"/>
  <c r="J8" i="27" s="1"/>
  <c r="CO29" i="27"/>
  <c r="BQ99" i="28"/>
  <c r="BR60" i="28"/>
  <c r="BR62" i="28" s="1"/>
  <c r="BS99" i="28"/>
  <c r="BK215" i="28"/>
  <c r="BL214" i="28"/>
  <c r="BS59" i="28" s="1"/>
  <c r="BI227" i="26"/>
  <c r="BJ191" i="26" s="1"/>
  <c r="DD133" i="26"/>
  <c r="D132" i="26" s="1"/>
  <c r="BK184" i="25"/>
  <c r="BT57" i="25" s="1"/>
  <c r="BJ185" i="25"/>
  <c r="BS58" i="25"/>
  <c r="BS60" i="25" s="1"/>
  <c r="BQ136" i="25"/>
  <c r="BU136" i="25"/>
  <c r="BI203" i="24"/>
  <c r="BJ164" i="24" s="1"/>
  <c r="DD139" i="24"/>
  <c r="BJ185" i="23"/>
  <c r="BK184" i="23"/>
  <c r="BR57" i="23" s="1"/>
  <c r="CP131" i="22"/>
  <c r="AU197" i="22"/>
  <c r="AV161" i="22" s="1"/>
  <c r="BG210" i="7"/>
  <c r="BG217" i="3"/>
  <c r="BM35" i="27" l="1"/>
  <c r="BN35" i="27" s="1"/>
  <c r="L6" i="27"/>
  <c r="L7" i="27" s="1"/>
  <c r="L8" i="27"/>
  <c r="M126" i="27"/>
  <c r="J6" i="27"/>
  <c r="K6" i="27"/>
  <c r="K13" i="27"/>
  <c r="H16" i="27"/>
  <c r="L13" i="27"/>
  <c r="BJ178" i="31"/>
  <c r="BK177" i="31"/>
  <c r="CE86" i="31" s="1"/>
  <c r="BR115" i="31"/>
  <c r="BR128" i="31" s="1"/>
  <c r="CD87" i="31"/>
  <c r="CD89" i="31" s="1"/>
  <c r="CB81" i="31"/>
  <c r="CP115" i="31"/>
  <c r="CF81" i="31"/>
  <c r="AW152" i="20"/>
  <c r="AY152" i="20" s="1"/>
  <c r="AV152" i="20"/>
  <c r="AX152" i="20" s="1"/>
  <c r="AZ152" i="20" s="1"/>
  <c r="AV149" i="20"/>
  <c r="AX149" i="20" s="1"/>
  <c r="AZ149" i="20" s="1"/>
  <c r="AW149" i="20"/>
  <c r="AY149" i="20" s="1"/>
  <c r="AW156" i="20"/>
  <c r="AY156" i="20" s="1"/>
  <c r="AV156" i="20"/>
  <c r="AX156" i="20" s="1"/>
  <c r="AZ156" i="20" s="1"/>
  <c r="AW161" i="20"/>
  <c r="AY161" i="20" s="1"/>
  <c r="AV161" i="20"/>
  <c r="AX161" i="20" s="1"/>
  <c r="AZ161" i="20" s="1"/>
  <c r="AW158" i="20"/>
  <c r="AY158" i="20" s="1"/>
  <c r="AV158" i="20"/>
  <c r="AX158" i="20" s="1"/>
  <c r="AZ158" i="20" s="1"/>
  <c r="AW157" i="20"/>
  <c r="AY157" i="20" s="1"/>
  <c r="AV157" i="20"/>
  <c r="AX157" i="20" s="1"/>
  <c r="AZ157" i="20" s="1"/>
  <c r="AV164" i="20"/>
  <c r="AX164" i="20" s="1"/>
  <c r="AZ164" i="20" s="1"/>
  <c r="AW164" i="20"/>
  <c r="AY164" i="20" s="1"/>
  <c r="AT147" i="20"/>
  <c r="AW162" i="20"/>
  <c r="AY162" i="20" s="1"/>
  <c r="AV162" i="20"/>
  <c r="AX162" i="20" s="1"/>
  <c r="AZ162" i="20" s="1"/>
  <c r="AW151" i="20"/>
  <c r="AY151" i="20" s="1"/>
  <c r="AV151" i="20"/>
  <c r="AX151" i="20" s="1"/>
  <c r="AZ151" i="20" s="1"/>
  <c r="AW154" i="20"/>
  <c r="AY154" i="20" s="1"/>
  <c r="AV154" i="20"/>
  <c r="AX154" i="20" s="1"/>
  <c r="AZ154" i="20" s="1"/>
  <c r="AW155" i="20"/>
  <c r="AY155" i="20" s="1"/>
  <c r="AV155" i="20"/>
  <c r="AX155" i="20" s="1"/>
  <c r="AZ155" i="20" s="1"/>
  <c r="AW150" i="20"/>
  <c r="AY150" i="20" s="1"/>
  <c r="AV150" i="20"/>
  <c r="AX150" i="20" s="1"/>
  <c r="AZ150" i="20" s="1"/>
  <c r="AW163" i="20"/>
  <c r="AY163" i="20" s="1"/>
  <c r="AV163" i="20"/>
  <c r="AX163" i="20" s="1"/>
  <c r="AZ163" i="20" s="1"/>
  <c r="AV153" i="20"/>
  <c r="AX153" i="20" s="1"/>
  <c r="AZ153" i="20" s="1"/>
  <c r="AW153" i="20"/>
  <c r="AY153" i="20" s="1"/>
  <c r="AW165" i="20"/>
  <c r="AY165" i="20" s="1"/>
  <c r="AV165" i="20"/>
  <c r="AX165" i="20" s="1"/>
  <c r="AZ165" i="20" s="1"/>
  <c r="AW160" i="20"/>
  <c r="AY160" i="20" s="1"/>
  <c r="AV160" i="20"/>
  <c r="AX160" i="20" s="1"/>
  <c r="AZ160" i="20" s="1"/>
  <c r="AW159" i="20"/>
  <c r="AY159" i="20" s="1"/>
  <c r="AV159" i="20"/>
  <c r="AX159" i="20" s="1"/>
  <c r="AZ159" i="20" s="1"/>
  <c r="AW166" i="20"/>
  <c r="AY166" i="20" s="1"/>
  <c r="AV166" i="20"/>
  <c r="AX166" i="20" s="1"/>
  <c r="AZ166" i="20" s="1"/>
  <c r="AW148" i="20"/>
  <c r="AY148" i="20" s="1"/>
  <c r="AV148" i="20"/>
  <c r="AX148" i="20" s="1"/>
  <c r="AZ148" i="20" s="1"/>
  <c r="BP118" i="30"/>
  <c r="BP123" i="30" s="1"/>
  <c r="BP125" i="30" s="1"/>
  <c r="BF118" i="30"/>
  <c r="BK82" i="30"/>
  <c r="BK84" i="30" s="1"/>
  <c r="AZ168" i="30"/>
  <c r="BL81" i="30" s="1"/>
  <c r="AY169" i="30"/>
  <c r="BK74" i="29"/>
  <c r="BL73" i="29"/>
  <c r="BV57" i="29" s="1"/>
  <c r="BR127" i="29"/>
  <c r="BU58" i="29"/>
  <c r="BU60" i="29" s="1"/>
  <c r="BX127" i="29"/>
  <c r="BM28" i="27"/>
  <c r="BN28" i="27" s="1"/>
  <c r="D132" i="27"/>
  <c r="BL214" i="27"/>
  <c r="BQ59" i="27" s="1"/>
  <c r="BQ60" i="27" s="1"/>
  <c r="BQ62" i="27" s="1"/>
  <c r="BK215" i="27"/>
  <c r="BK216" i="27" s="1"/>
  <c r="D131" i="27"/>
  <c r="D129" i="27"/>
  <c r="BK216" i="28"/>
  <c r="BL215" i="28"/>
  <c r="BT59" i="28" s="1"/>
  <c r="BU98" i="28"/>
  <c r="BS60" i="28"/>
  <c r="BS62" i="28" s="1"/>
  <c r="BQ98" i="28"/>
  <c r="D130" i="26"/>
  <c r="BK191" i="26"/>
  <c r="BQ83" i="26" s="1"/>
  <c r="BQ84" i="26" s="1"/>
  <c r="BQ86" i="26" s="1"/>
  <c r="BJ192" i="26"/>
  <c r="BK185" i="25"/>
  <c r="BU57" i="25" s="1"/>
  <c r="BJ186" i="25"/>
  <c r="BT58" i="25"/>
  <c r="BT60" i="25" s="1"/>
  <c r="BW135" i="25"/>
  <c r="BQ135" i="25"/>
  <c r="D133" i="24"/>
  <c r="D131" i="24"/>
  <c r="BJ165" i="24"/>
  <c r="BK164" i="24"/>
  <c r="BQ57" i="24" s="1"/>
  <c r="BQ58" i="24" s="1"/>
  <c r="BQ60" i="24" s="1"/>
  <c r="BR58" i="23"/>
  <c r="BR60" i="23" s="1"/>
  <c r="BS97" i="23"/>
  <c r="BQ97" i="23"/>
  <c r="BK185" i="23"/>
  <c r="BS57" i="23" s="1"/>
  <c r="BJ186" i="23"/>
  <c r="AW161" i="22"/>
  <c r="BC81" i="22" s="1"/>
  <c r="BC82" i="22" s="1"/>
  <c r="BC84" i="22" s="1"/>
  <c r="AV162" i="22"/>
  <c r="D136" i="22"/>
  <c r="D134" i="22"/>
  <c r="BO32" i="27" l="1"/>
  <c r="BR130" i="31"/>
  <c r="J36" i="27"/>
  <c r="J18" i="27"/>
  <c r="K18" i="27"/>
  <c r="K36" i="27"/>
  <c r="K7" i="27"/>
  <c r="L24" i="27"/>
  <c r="L30" i="27"/>
  <c r="K24" i="27"/>
  <c r="K30" i="27"/>
  <c r="J7" i="27"/>
  <c r="CB80" i="31"/>
  <c r="CE87" i="31"/>
  <c r="CE89" i="31" s="1"/>
  <c r="BT114" i="31"/>
  <c r="BT128" i="31" s="1"/>
  <c r="BT130" i="31" s="1"/>
  <c r="CH80" i="31"/>
  <c r="CP114" i="31"/>
  <c r="BK178" i="31"/>
  <c r="CF86" i="31" s="1"/>
  <c r="BJ179" i="31"/>
  <c r="AB166" i="20"/>
  <c r="BA166" i="20"/>
  <c r="BB166" i="20"/>
  <c r="G166" i="20" s="1"/>
  <c r="AB162" i="20"/>
  <c r="BB162" i="20"/>
  <c r="G162" i="20" s="1"/>
  <c r="BA162" i="20"/>
  <c r="AB156" i="20"/>
  <c r="BB156" i="20"/>
  <c r="G156" i="20" s="1"/>
  <c r="BA156" i="20"/>
  <c r="D15" i="20"/>
  <c r="C5" i="20"/>
  <c r="F15" i="20"/>
  <c r="D3" i="20"/>
  <c r="C3" i="20"/>
  <c r="AB149" i="20"/>
  <c r="BB149" i="20"/>
  <c r="G149" i="20" s="1"/>
  <c r="BA149" i="20"/>
  <c r="AB148" i="20"/>
  <c r="BB148" i="20"/>
  <c r="G148" i="20" s="1"/>
  <c r="BA148" i="20"/>
  <c r="AB159" i="20"/>
  <c r="BA159" i="20"/>
  <c r="BB159" i="20"/>
  <c r="G159" i="20" s="1"/>
  <c r="AB165" i="20"/>
  <c r="BB165" i="20"/>
  <c r="G165" i="20" s="1"/>
  <c r="BA165" i="20"/>
  <c r="AB163" i="20"/>
  <c r="BB163" i="20"/>
  <c r="G163" i="20" s="1"/>
  <c r="BA163" i="20"/>
  <c r="AB155" i="20"/>
  <c r="BB155" i="20"/>
  <c r="G155" i="20" s="1"/>
  <c r="BA155" i="20"/>
  <c r="AB151" i="20"/>
  <c r="BB151" i="20"/>
  <c r="G151" i="20" s="1"/>
  <c r="BA151" i="20"/>
  <c r="AW147" i="20"/>
  <c r="AY147" i="20" s="1"/>
  <c r="AV147" i="20"/>
  <c r="AX147" i="20" s="1"/>
  <c r="AZ147" i="20" s="1"/>
  <c r="AB157" i="20"/>
  <c r="BB157" i="20"/>
  <c r="G157" i="20" s="1"/>
  <c r="BA157" i="20"/>
  <c r="AB161" i="20"/>
  <c r="BB161" i="20"/>
  <c r="G161" i="20" s="1"/>
  <c r="BA161" i="20"/>
  <c r="AB160" i="20"/>
  <c r="BB160" i="20"/>
  <c r="G160" i="20" s="1"/>
  <c r="BA160" i="20"/>
  <c r="AB150" i="20"/>
  <c r="BB150" i="20"/>
  <c r="G150" i="20" s="1"/>
  <c r="BA150" i="20"/>
  <c r="AB154" i="20"/>
  <c r="BA154" i="20"/>
  <c r="BB154" i="20"/>
  <c r="G154" i="20" s="1"/>
  <c r="AB158" i="20"/>
  <c r="BB158" i="20"/>
  <c r="G158" i="20" s="1"/>
  <c r="BA158" i="20"/>
  <c r="AB153" i="20"/>
  <c r="BB153" i="20"/>
  <c r="G153" i="20" s="1"/>
  <c r="BA153" i="20"/>
  <c r="AB164" i="20"/>
  <c r="BB164" i="20"/>
  <c r="G164" i="20" s="1"/>
  <c r="BA164" i="20"/>
  <c r="AB152" i="20"/>
  <c r="BA152" i="20"/>
  <c r="BB152" i="20"/>
  <c r="G152" i="20" s="1"/>
  <c r="BF117" i="30"/>
  <c r="BR117" i="30"/>
  <c r="BR123" i="30" s="1"/>
  <c r="BR125" i="30" s="1"/>
  <c r="BL82" i="30"/>
  <c r="BL84" i="30" s="1"/>
  <c r="AY170" i="30"/>
  <c r="AZ169" i="30"/>
  <c r="BM81" i="30" s="1"/>
  <c r="BK75" i="29"/>
  <c r="BL74" i="29"/>
  <c r="BW57" i="29" s="1"/>
  <c r="BV58" i="29"/>
  <c r="BV60" i="29" s="1"/>
  <c r="BZ126" i="29"/>
  <c r="BR126" i="29"/>
  <c r="BL215" i="27"/>
  <c r="BR59" i="27" s="1"/>
  <c r="BQ123" i="27" s="1"/>
  <c r="BQ97" i="28"/>
  <c r="BT60" i="28"/>
  <c r="BT62" i="28" s="1"/>
  <c r="BW97" i="28"/>
  <c r="BK217" i="28"/>
  <c r="BL216" i="28"/>
  <c r="BU59" i="28" s="1"/>
  <c r="BK217" i="27"/>
  <c r="BL216" i="27"/>
  <c r="BS59" i="27" s="1"/>
  <c r="BK192" i="26"/>
  <c r="BR83" i="26" s="1"/>
  <c r="BJ193" i="26"/>
  <c r="BJ187" i="25"/>
  <c r="BK186" i="25"/>
  <c r="BV57" i="25" s="1"/>
  <c r="BY134" i="25"/>
  <c r="BQ134" i="25"/>
  <c r="BU58" i="25"/>
  <c r="BU60" i="25" s="1"/>
  <c r="BJ166" i="24"/>
  <c r="BK165" i="24"/>
  <c r="BR57" i="24" s="1"/>
  <c r="BS58" i="23"/>
  <c r="BS60" i="23" s="1"/>
  <c r="BQ96" i="23"/>
  <c r="BU96" i="23"/>
  <c r="BJ187" i="23"/>
  <c r="BK186" i="23"/>
  <c r="BT57" i="23" s="1"/>
  <c r="AV163" i="22"/>
  <c r="AW162" i="22"/>
  <c r="BD81" i="22" s="1"/>
  <c r="BM32" i="27" l="1"/>
  <c r="BN32" i="27" s="1"/>
  <c r="BO29" i="27"/>
  <c r="L25" i="27"/>
  <c r="K19" i="27"/>
  <c r="L31" i="27"/>
  <c r="K31" i="27"/>
  <c r="J19" i="27"/>
  <c r="K37" i="27"/>
  <c r="K25" i="27"/>
  <c r="J37" i="27"/>
  <c r="L54" i="20"/>
  <c r="J54" i="20"/>
  <c r="BJ180" i="31"/>
  <c r="BK179" i="31"/>
  <c r="CG86" i="31" s="1"/>
  <c r="BV113" i="31"/>
  <c r="BV128" i="31" s="1"/>
  <c r="CP113" i="31"/>
  <c r="CJ79" i="31"/>
  <c r="CF87" i="31"/>
  <c r="CF89" i="31" s="1"/>
  <c r="CB79" i="31"/>
  <c r="AB147" i="20"/>
  <c r="BA147" i="20"/>
  <c r="BN56" i="20" s="1"/>
  <c r="BI143" i="20"/>
  <c r="BJ143" i="20" s="1"/>
  <c r="BI111" i="20"/>
  <c r="BJ111" i="20" s="1"/>
  <c r="BI115" i="20"/>
  <c r="BJ115" i="20" s="1"/>
  <c r="BI119" i="20"/>
  <c r="BJ119" i="20" s="1"/>
  <c r="BI123" i="20"/>
  <c r="BI127" i="20"/>
  <c r="BJ127" i="20" s="1"/>
  <c r="BI131" i="20"/>
  <c r="BJ131" i="20" s="1"/>
  <c r="BI135" i="20"/>
  <c r="BJ135" i="20" s="1"/>
  <c r="BI139" i="20"/>
  <c r="BJ139" i="20" s="1"/>
  <c r="BI144" i="20"/>
  <c r="BJ144" i="20" s="1"/>
  <c r="CC33" i="20"/>
  <c r="BI145" i="20"/>
  <c r="BI113" i="20"/>
  <c r="BJ113" i="20" s="1"/>
  <c r="BI117" i="20"/>
  <c r="BJ117" i="20" s="1"/>
  <c r="BI125" i="20"/>
  <c r="BI129" i="20"/>
  <c r="BJ129" i="20" s="1"/>
  <c r="BI141" i="20"/>
  <c r="BJ141" i="20" s="1"/>
  <c r="BI122" i="20"/>
  <c r="BJ122" i="20" s="1"/>
  <c r="BI134" i="20"/>
  <c r="BJ134" i="20" s="1"/>
  <c r="BI142" i="20"/>
  <c r="BJ142" i="20" s="1"/>
  <c r="CC30" i="20"/>
  <c r="D5" i="20"/>
  <c r="BI112" i="20"/>
  <c r="BJ112" i="20" s="1"/>
  <c r="BI116" i="20"/>
  <c r="BJ116" i="20" s="1"/>
  <c r="BI120" i="20"/>
  <c r="BJ120" i="20" s="1"/>
  <c r="BI124" i="20"/>
  <c r="BJ124" i="20" s="1"/>
  <c r="BI128" i="20"/>
  <c r="BJ128" i="20" s="1"/>
  <c r="BI132" i="20"/>
  <c r="BJ132" i="20" s="1"/>
  <c r="BI136" i="20"/>
  <c r="BJ136" i="20" s="1"/>
  <c r="BI140" i="20"/>
  <c r="BJ140" i="20" s="1"/>
  <c r="CR33" i="20"/>
  <c r="BI110" i="20"/>
  <c r="BJ110" i="20" s="1"/>
  <c r="BI121" i="20"/>
  <c r="BJ121" i="20" s="1"/>
  <c r="BI133" i="20"/>
  <c r="BJ133" i="20" s="1"/>
  <c r="BI137" i="20"/>
  <c r="BJ137" i="20" s="1"/>
  <c r="DA30" i="20"/>
  <c r="L14" i="20" s="1"/>
  <c r="BI109" i="20"/>
  <c r="BI114" i="20"/>
  <c r="BJ114" i="20" s="1"/>
  <c r="BI118" i="20"/>
  <c r="BJ118" i="20" s="1"/>
  <c r="BI126" i="20"/>
  <c r="BJ126" i="20" s="1"/>
  <c r="BI130" i="20"/>
  <c r="BJ130" i="20" s="1"/>
  <c r="BI138" i="20"/>
  <c r="BJ138" i="20" s="1"/>
  <c r="BM82" i="30"/>
  <c r="BM84" i="30" s="1"/>
  <c r="BT116" i="30"/>
  <c r="BT123" i="30" s="1"/>
  <c r="BT125" i="30" s="1"/>
  <c r="BF116" i="30"/>
  <c r="AY171" i="30"/>
  <c r="AZ170" i="30"/>
  <c r="BN81" i="30" s="1"/>
  <c r="BK76" i="29"/>
  <c r="BL75" i="29"/>
  <c r="BX57" i="29" s="1"/>
  <c r="BR125" i="29"/>
  <c r="BW58" i="29"/>
  <c r="BW60" i="29" s="1"/>
  <c r="CB125" i="29"/>
  <c r="CB130" i="29" s="1"/>
  <c r="CB132" i="29" s="1"/>
  <c r="BS123" i="27"/>
  <c r="BR60" i="27"/>
  <c r="BR62" i="27" s="1"/>
  <c r="BK218" i="28"/>
  <c r="BL217" i="28"/>
  <c r="BV59" i="28" s="1"/>
  <c r="BY96" i="28"/>
  <c r="BQ96" i="28"/>
  <c r="BU60" i="28"/>
  <c r="BU62" i="28" s="1"/>
  <c r="BK218" i="27"/>
  <c r="BL217" i="27"/>
  <c r="BT59" i="27" s="1"/>
  <c r="BQ122" i="27"/>
  <c r="BS60" i="27"/>
  <c r="BS62" i="27" s="1"/>
  <c r="BU122" i="27"/>
  <c r="BK193" i="26"/>
  <c r="BS83" i="26" s="1"/>
  <c r="BJ194" i="26"/>
  <c r="BR84" i="26"/>
  <c r="BR86" i="26" s="1"/>
  <c r="BS124" i="26"/>
  <c r="BQ124" i="26"/>
  <c r="BV58" i="25"/>
  <c r="BV60" i="25" s="1"/>
  <c r="CA133" i="25"/>
  <c r="CA138" i="25" s="1"/>
  <c r="CA140" i="25" s="1"/>
  <c r="BQ133" i="25"/>
  <c r="BK187" i="25"/>
  <c r="BW57" i="25" s="1"/>
  <c r="BJ188" i="25"/>
  <c r="BR58" i="24"/>
  <c r="BR60" i="24" s="1"/>
  <c r="BS98" i="24"/>
  <c r="BQ98" i="24"/>
  <c r="BJ167" i="24"/>
  <c r="BK166" i="24"/>
  <c r="BS57" i="24" s="1"/>
  <c r="BK187" i="23"/>
  <c r="BU57" i="23" s="1"/>
  <c r="BJ188" i="23"/>
  <c r="BT58" i="23"/>
  <c r="BT60" i="23" s="1"/>
  <c r="BW95" i="23"/>
  <c r="BQ95" i="23"/>
  <c r="BE121" i="22"/>
  <c r="BD82" i="22"/>
  <c r="BD84" i="22" s="1"/>
  <c r="BC121" i="22"/>
  <c r="AW163" i="22"/>
  <c r="BE81" i="22" s="1"/>
  <c r="AV164" i="22"/>
  <c r="BM29" i="27" l="1"/>
  <c r="BN29" i="27" s="1"/>
  <c r="J12" i="20"/>
  <c r="J13" i="20" s="1"/>
  <c r="J14" i="20"/>
  <c r="M85" i="27"/>
  <c r="J126" i="27"/>
  <c r="I126" i="27"/>
  <c r="BV130" i="31"/>
  <c r="K85" i="27"/>
  <c r="J55" i="20"/>
  <c r="L12" i="20"/>
  <c r="K12" i="20"/>
  <c r="L55" i="20"/>
  <c r="BJ123" i="20"/>
  <c r="BJ125" i="20"/>
  <c r="BO56" i="20"/>
  <c r="CB78" i="31"/>
  <c r="CG87" i="31"/>
  <c r="CG89" i="31" s="1"/>
  <c r="CP112" i="31"/>
  <c r="BX112" i="31"/>
  <c r="BX128" i="31" s="1"/>
  <c r="CL78" i="31"/>
  <c r="BK180" i="31"/>
  <c r="CH86" i="31" s="1"/>
  <c r="BJ181" i="31"/>
  <c r="BP33" i="20"/>
  <c r="BN32" i="20"/>
  <c r="BO32" i="20" s="1"/>
  <c r="CP27" i="20"/>
  <c r="BR27" i="20"/>
  <c r="J8" i="20" s="1"/>
  <c r="BM107" i="20"/>
  <c r="H23" i="20" s="1"/>
  <c r="BJ109" i="20"/>
  <c r="BN29" i="20"/>
  <c r="BO29" i="20" s="1"/>
  <c r="BJ145" i="20"/>
  <c r="DE107" i="20"/>
  <c r="BF115" i="30"/>
  <c r="BF123" i="30" s="1"/>
  <c r="BV115" i="30"/>
  <c r="BN82" i="30"/>
  <c r="BN84" i="30" s="1"/>
  <c r="AY172" i="30"/>
  <c r="AZ171" i="30"/>
  <c r="BO81" i="30" s="1"/>
  <c r="BK77" i="29"/>
  <c r="BL76" i="29"/>
  <c r="BY57" i="29" s="1"/>
  <c r="BX58" i="29"/>
  <c r="BX60" i="29" s="1"/>
  <c r="BR124" i="29"/>
  <c r="CD124" i="29"/>
  <c r="CD130" i="29" s="1"/>
  <c r="CD132" i="29" s="1"/>
  <c r="BQ95" i="28"/>
  <c r="CA95" i="28"/>
  <c r="CA100" i="28" s="1"/>
  <c r="CA102" i="28" s="1"/>
  <c r="BV60" i="28"/>
  <c r="BV62" i="28" s="1"/>
  <c r="BK219" i="28"/>
  <c r="BL218" i="28"/>
  <c r="BW59" i="28" s="1"/>
  <c r="BT60" i="27"/>
  <c r="BT62" i="27" s="1"/>
  <c r="BQ121" i="27"/>
  <c r="BW121" i="27"/>
  <c r="BK219" i="27"/>
  <c r="BL218" i="27"/>
  <c r="BU59" i="27" s="1"/>
  <c r="BK194" i="26"/>
  <c r="BT83" i="26" s="1"/>
  <c r="BJ195" i="26"/>
  <c r="BS84" i="26"/>
  <c r="BS86" i="26" s="1"/>
  <c r="BQ123" i="26"/>
  <c r="BU123" i="26"/>
  <c r="BW58" i="25"/>
  <c r="BW60" i="25" s="1"/>
  <c r="BQ132" i="25"/>
  <c r="CC132" i="25"/>
  <c r="CC138" i="25" s="1"/>
  <c r="CC140" i="25" s="1"/>
  <c r="BJ189" i="25"/>
  <c r="BK188" i="25"/>
  <c r="BX57" i="25" s="1"/>
  <c r="BS58" i="24"/>
  <c r="BS60" i="24" s="1"/>
  <c r="BU97" i="24"/>
  <c r="BQ97" i="24"/>
  <c r="BJ168" i="24"/>
  <c r="BK167" i="24"/>
  <c r="BT57" i="24" s="1"/>
  <c r="BJ189" i="23"/>
  <c r="BK188" i="23"/>
  <c r="BV57" i="23" s="1"/>
  <c r="BU58" i="23"/>
  <c r="BU60" i="23" s="1"/>
  <c r="BQ94" i="23"/>
  <c r="BY94" i="23"/>
  <c r="BE82" i="22"/>
  <c r="BE84" i="22" s="1"/>
  <c r="BG120" i="22"/>
  <c r="BC120" i="22"/>
  <c r="AV165" i="22"/>
  <c r="AW164" i="22"/>
  <c r="BF81" i="22" s="1"/>
  <c r="BN33" i="20" l="1"/>
  <c r="BO33" i="20" s="1"/>
  <c r="L6" i="20"/>
  <c r="L7" i="20" s="1"/>
  <c r="L8" i="20"/>
  <c r="BX130" i="31"/>
  <c r="K13" i="20"/>
  <c r="L13" i="20"/>
  <c r="J6" i="20"/>
  <c r="K6" i="20"/>
  <c r="M126" i="20"/>
  <c r="H16" i="20"/>
  <c r="BF125" i="30"/>
  <c r="BJ182" i="31"/>
  <c r="BK181" i="31"/>
  <c r="CI86" i="31" s="1"/>
  <c r="BZ111" i="31"/>
  <c r="BZ128" i="31" s="1"/>
  <c r="CH87" i="31"/>
  <c r="CH89" i="31" s="1"/>
  <c r="CB77" i="31"/>
  <c r="CP111" i="31"/>
  <c r="CN77" i="31"/>
  <c r="BK109" i="20"/>
  <c r="BL109" i="20" s="1"/>
  <c r="BR57" i="20" s="1"/>
  <c r="BR58" i="20" s="1"/>
  <c r="BR60" i="20" s="1"/>
  <c r="BN26" i="20"/>
  <c r="BO26" i="20" s="1"/>
  <c r="D134" i="20"/>
  <c r="D136" i="20"/>
  <c r="D135" i="20"/>
  <c r="D133" i="20"/>
  <c r="BV114" i="30"/>
  <c r="BO82" i="30"/>
  <c r="BO84" i="30" s="1"/>
  <c r="BH114" i="30"/>
  <c r="BH123" i="30" s="1"/>
  <c r="BH125" i="30" s="1"/>
  <c r="AZ172" i="30"/>
  <c r="BP81" i="30" s="1"/>
  <c r="AY173" i="30"/>
  <c r="BK78" i="29"/>
  <c r="BL77" i="29"/>
  <c r="BZ57" i="29" s="1"/>
  <c r="BR123" i="29"/>
  <c r="BY58" i="29"/>
  <c r="BY60" i="29" s="1"/>
  <c r="CF123" i="29"/>
  <c r="BK220" i="28"/>
  <c r="BL219" i="28"/>
  <c r="BX59" i="28" s="1"/>
  <c r="BW60" i="28"/>
  <c r="BW62" i="28" s="1"/>
  <c r="BQ94" i="28"/>
  <c r="CC94" i="28"/>
  <c r="CC100" i="28" s="1"/>
  <c r="CC102" i="28" s="1"/>
  <c r="BU60" i="27"/>
  <c r="BU62" i="27" s="1"/>
  <c r="BQ120" i="27"/>
  <c r="BY120" i="27"/>
  <c r="BK220" i="27"/>
  <c r="BL219" i="27"/>
  <c r="BV59" i="27" s="1"/>
  <c r="BK195" i="26"/>
  <c r="BU83" i="26" s="1"/>
  <c r="BJ196" i="26"/>
  <c r="BT84" i="26"/>
  <c r="BT86" i="26" s="1"/>
  <c r="BW122" i="26"/>
  <c r="BQ122" i="26"/>
  <c r="BK189" i="25"/>
  <c r="BY57" i="25" s="1"/>
  <c r="BJ190" i="25"/>
  <c r="BX58" i="25"/>
  <c r="BX60" i="25" s="1"/>
  <c r="CE131" i="25"/>
  <c r="CE138" i="25" s="1"/>
  <c r="CE140" i="25" s="1"/>
  <c r="BQ131" i="25"/>
  <c r="BJ169" i="24"/>
  <c r="BK168" i="24"/>
  <c r="BU57" i="24" s="1"/>
  <c r="BT58" i="24"/>
  <c r="BT60" i="24" s="1"/>
  <c r="BW96" i="24"/>
  <c r="BQ96" i="24"/>
  <c r="BV58" i="23"/>
  <c r="BV60" i="23" s="1"/>
  <c r="CA93" i="23"/>
  <c r="CA98" i="23" s="1"/>
  <c r="CA100" i="23" s="1"/>
  <c r="BQ93" i="23"/>
  <c r="BJ190" i="23"/>
  <c r="BK189" i="23"/>
  <c r="BW57" i="23" s="1"/>
  <c r="AW165" i="22"/>
  <c r="BG81" i="22" s="1"/>
  <c r="AV166" i="22"/>
  <c r="BF82" i="22"/>
  <c r="BF84" i="22" s="1"/>
  <c r="BI119" i="22"/>
  <c r="BC119" i="22"/>
  <c r="BZ130" i="31" l="1"/>
  <c r="H42" i="31"/>
  <c r="H43" i="31" s="1"/>
  <c r="CF130" i="29"/>
  <c r="CF132" i="29" s="1"/>
  <c r="BP30" i="20"/>
  <c r="J36" i="20"/>
  <c r="J18" i="20"/>
  <c r="K36" i="20"/>
  <c r="K18" i="20"/>
  <c r="L30" i="20"/>
  <c r="L24" i="20"/>
  <c r="K30" i="20"/>
  <c r="K24" i="20"/>
  <c r="J7" i="20"/>
  <c r="K7" i="20"/>
  <c r="CB76" i="31"/>
  <c r="CI87" i="31"/>
  <c r="CI89" i="31" s="1"/>
  <c r="CB110" i="31"/>
  <c r="CP76" i="31"/>
  <c r="CP110" i="31"/>
  <c r="CP128" i="31" s="1"/>
  <c r="CP130" i="31" s="1"/>
  <c r="BJ183" i="31"/>
  <c r="BK182" i="31"/>
  <c r="CJ86" i="31" s="1"/>
  <c r="BK110" i="20"/>
  <c r="BL110" i="20" s="1"/>
  <c r="BS57" i="20" s="1"/>
  <c r="BJ113" i="30"/>
  <c r="BJ123" i="30" s="1"/>
  <c r="BJ125" i="30" s="1"/>
  <c r="BV113" i="30"/>
  <c r="BP82" i="30"/>
  <c r="BP84" i="30" s="1"/>
  <c r="AY174" i="30"/>
  <c r="AZ173" i="30"/>
  <c r="BQ81" i="30" s="1"/>
  <c r="BK79" i="29"/>
  <c r="BL78" i="29"/>
  <c r="CA57" i="29" s="1"/>
  <c r="BZ58" i="29"/>
  <c r="BZ60" i="29" s="1"/>
  <c r="BR122" i="29"/>
  <c r="BR130" i="29" s="1"/>
  <c r="CH122" i="29"/>
  <c r="BX60" i="28"/>
  <c r="BX62" i="28" s="1"/>
  <c r="BQ93" i="28"/>
  <c r="CE93" i="28"/>
  <c r="CE100" i="28" s="1"/>
  <c r="CE102" i="28" s="1"/>
  <c r="BL220" i="28"/>
  <c r="BY59" i="28" s="1"/>
  <c r="BK221" i="28"/>
  <c r="BL220" i="27"/>
  <c r="BW59" i="27" s="1"/>
  <c r="BK221" i="27"/>
  <c r="BQ119" i="27"/>
  <c r="BV60" i="27"/>
  <c r="BV62" i="27" s="1"/>
  <c r="CA119" i="27"/>
  <c r="CA124" i="27" s="1"/>
  <c r="CA126" i="27" s="1"/>
  <c r="BK196" i="26"/>
  <c r="BV83" i="26" s="1"/>
  <c r="BJ197" i="26"/>
  <c r="BU84" i="26"/>
  <c r="BU86" i="26" s="1"/>
  <c r="BQ121" i="26"/>
  <c r="BY121" i="26"/>
  <c r="BJ191" i="25"/>
  <c r="BK190" i="25"/>
  <c r="BZ57" i="25" s="1"/>
  <c r="BY58" i="25"/>
  <c r="BY60" i="25" s="1"/>
  <c r="CG130" i="25"/>
  <c r="BQ130" i="25"/>
  <c r="BQ138" i="25" s="1"/>
  <c r="BU58" i="24"/>
  <c r="BU60" i="24" s="1"/>
  <c r="BY95" i="24"/>
  <c r="BQ95" i="24"/>
  <c r="BJ170" i="24"/>
  <c r="BK169" i="24"/>
  <c r="BV57" i="24" s="1"/>
  <c r="BJ191" i="23"/>
  <c r="BK190" i="23"/>
  <c r="BX57" i="23" s="1"/>
  <c r="BW58" i="23"/>
  <c r="BW60" i="23" s="1"/>
  <c r="BQ92" i="23"/>
  <c r="CC92" i="23"/>
  <c r="CC98" i="23" s="1"/>
  <c r="CC100" i="23" s="1"/>
  <c r="AV167" i="22"/>
  <c r="AW166" i="22"/>
  <c r="BH81" i="22" s="1"/>
  <c r="BG82" i="22"/>
  <c r="BG84" i="22" s="1"/>
  <c r="BK118" i="22"/>
  <c r="BC118" i="22"/>
  <c r="BN30" i="20" l="1"/>
  <c r="BO30" i="20" s="1"/>
  <c r="BR132" i="29"/>
  <c r="J42" i="31"/>
  <c r="K42" i="31"/>
  <c r="K131" i="31"/>
  <c r="BQ140" i="25"/>
  <c r="K19" i="20"/>
  <c r="K31" i="20"/>
  <c r="K37" i="20"/>
  <c r="K25" i="20"/>
  <c r="BP27" i="20"/>
  <c r="L25" i="20"/>
  <c r="J19" i="20"/>
  <c r="L31" i="20"/>
  <c r="J37" i="20"/>
  <c r="CB109" i="31"/>
  <c r="CR109" i="31"/>
  <c r="CR128" i="31" s="1"/>
  <c r="CR130" i="31" s="1"/>
  <c r="CB75" i="31"/>
  <c r="CB84" i="31" s="1"/>
  <c r="CJ87" i="31"/>
  <c r="CJ89" i="31" s="1"/>
  <c r="CR75" i="31"/>
  <c r="BJ184" i="31"/>
  <c r="BK183" i="31"/>
  <c r="CK86" i="31" s="1"/>
  <c r="BK111" i="20"/>
  <c r="BL111" i="20" s="1"/>
  <c r="BT57" i="20" s="1"/>
  <c r="BT98" i="20"/>
  <c r="BR98" i="20"/>
  <c r="BS58" i="20"/>
  <c r="BS60" i="20" s="1"/>
  <c r="AY175" i="30"/>
  <c r="AZ174" i="30"/>
  <c r="BR81" i="30" s="1"/>
  <c r="BQ82" i="30"/>
  <c r="BQ84" i="30" s="1"/>
  <c r="BV112" i="30"/>
  <c r="BL112" i="30"/>
  <c r="BL123" i="30" s="1"/>
  <c r="BL125" i="30" s="1"/>
  <c r="BK80" i="29"/>
  <c r="BL79" i="29"/>
  <c r="CB57" i="29" s="1"/>
  <c r="BT121" i="29"/>
  <c r="BT130" i="29" s="1"/>
  <c r="BT132" i="29" s="1"/>
  <c r="CH121" i="29"/>
  <c r="CA58" i="29"/>
  <c r="CA60" i="29" s="1"/>
  <c r="CG92" i="28"/>
  <c r="BY60" i="28"/>
  <c r="BY62" i="28" s="1"/>
  <c r="BQ92" i="28"/>
  <c r="BQ100" i="28" s="1"/>
  <c r="BL221" i="28"/>
  <c r="BZ59" i="28" s="1"/>
  <c r="BK222" i="28"/>
  <c r="BK222" i="27"/>
  <c r="BL221" i="27"/>
  <c r="BX59" i="27" s="1"/>
  <c r="BW60" i="27"/>
  <c r="BW62" i="27" s="1"/>
  <c r="CC118" i="27"/>
  <c r="CC124" i="27" s="1"/>
  <c r="CC126" i="27" s="1"/>
  <c r="BQ118" i="27"/>
  <c r="BK197" i="26"/>
  <c r="BW83" i="26" s="1"/>
  <c r="BJ198" i="26"/>
  <c r="BV84" i="26"/>
  <c r="BV86" i="26" s="1"/>
  <c r="CA120" i="26"/>
  <c r="CA125" i="26" s="1"/>
  <c r="CA127" i="26" s="1"/>
  <c r="BQ120" i="26"/>
  <c r="BZ58" i="25"/>
  <c r="BZ60" i="25" s="1"/>
  <c r="CG129" i="25"/>
  <c r="BS129" i="25"/>
  <c r="BS138" i="25" s="1"/>
  <c r="BS140" i="25" s="1"/>
  <c r="BK191" i="25"/>
  <c r="CA57" i="25" s="1"/>
  <c r="BJ192" i="25"/>
  <c r="BJ171" i="24"/>
  <c r="BK170" i="24"/>
  <c r="BW57" i="24" s="1"/>
  <c r="BV58" i="24"/>
  <c r="BV60" i="24" s="1"/>
  <c r="CA94" i="24"/>
  <c r="CA99" i="24" s="1"/>
  <c r="CA131" i="24" s="1"/>
  <c r="BQ94" i="24"/>
  <c r="BX58" i="23"/>
  <c r="BX60" i="23" s="1"/>
  <c r="BQ91" i="23"/>
  <c r="CE91" i="23"/>
  <c r="CE98" i="23" s="1"/>
  <c r="CE100" i="23" s="1"/>
  <c r="BJ192" i="23"/>
  <c r="BK191" i="23"/>
  <c r="BY57" i="23" s="1"/>
  <c r="BH82" i="22"/>
  <c r="BH84" i="22" s="1"/>
  <c r="BM117" i="22"/>
  <c r="BM122" i="22" s="1"/>
  <c r="BM124" i="22" s="1"/>
  <c r="BC117" i="22"/>
  <c r="AW167" i="22"/>
  <c r="BI81" i="22" s="1"/>
  <c r="AV168" i="22"/>
  <c r="BN27" i="20" l="1"/>
  <c r="BO27" i="20" s="1"/>
  <c r="BQ102" i="28"/>
  <c r="K43" i="31"/>
  <c r="J43" i="31"/>
  <c r="M85" i="20"/>
  <c r="I126" i="20"/>
  <c r="J126" i="20"/>
  <c r="K85" i="20"/>
  <c r="BK112" i="20"/>
  <c r="BL112" i="20" s="1"/>
  <c r="BU57" i="20" s="1"/>
  <c r="CD74" i="31"/>
  <c r="CD84" i="31" s="1"/>
  <c r="CT108" i="31"/>
  <c r="CT128" i="31" s="1"/>
  <c r="CT130" i="31" s="1"/>
  <c r="CB108" i="31"/>
  <c r="CR74" i="31"/>
  <c r="CK87" i="31"/>
  <c r="CK89" i="31" s="1"/>
  <c r="BJ188" i="31"/>
  <c r="BK184" i="31"/>
  <c r="CL86" i="31" s="1"/>
  <c r="BT58" i="20"/>
  <c r="BT60" i="20" s="1"/>
  <c r="BR97" i="20"/>
  <c r="BV97" i="20"/>
  <c r="BN111" i="30"/>
  <c r="BN123" i="30" s="1"/>
  <c r="BN125" i="30" s="1"/>
  <c r="BV111" i="30"/>
  <c r="BV123" i="30" s="1"/>
  <c r="BV125" i="30" s="1"/>
  <c r="BS77" i="30"/>
  <c r="BR82" i="30"/>
  <c r="BR84" i="30" s="1"/>
  <c r="BQ77" i="30"/>
  <c r="AY176" i="30"/>
  <c r="AZ175" i="30"/>
  <c r="BS81" i="30" s="1"/>
  <c r="BK81" i="29"/>
  <c r="BL80" i="29"/>
  <c r="CC57" i="29" s="1"/>
  <c r="CB58" i="29"/>
  <c r="CB60" i="29" s="1"/>
  <c r="CH120" i="29"/>
  <c r="BV120" i="29"/>
  <c r="BV130" i="29" s="1"/>
  <c r="BV132" i="29" s="1"/>
  <c r="BS91" i="28"/>
  <c r="BS100" i="28" s="1"/>
  <c r="BS102" i="28" s="1"/>
  <c r="CG91" i="28"/>
  <c r="BZ60" i="28"/>
  <c r="BZ62" i="28" s="1"/>
  <c r="BL222" i="28"/>
  <c r="CA59" i="28" s="1"/>
  <c r="BK223" i="28"/>
  <c r="BX60" i="27"/>
  <c r="BX62" i="27" s="1"/>
  <c r="BQ117" i="27"/>
  <c r="CE117" i="27"/>
  <c r="CE124" i="27" s="1"/>
  <c r="CE126" i="27" s="1"/>
  <c r="BK223" i="27"/>
  <c r="BL222" i="27"/>
  <c r="BY59" i="27" s="1"/>
  <c r="BJ199" i="26"/>
  <c r="BK198" i="26"/>
  <c r="BX83" i="26" s="1"/>
  <c r="BW84" i="26"/>
  <c r="BW86" i="26" s="1"/>
  <c r="BQ119" i="26"/>
  <c r="CC119" i="26"/>
  <c r="CC125" i="26" s="1"/>
  <c r="CC127" i="26" s="1"/>
  <c r="CA58" i="25"/>
  <c r="CA60" i="25" s="1"/>
  <c r="BU128" i="25"/>
  <c r="BU138" i="25" s="1"/>
  <c r="BU140" i="25" s="1"/>
  <c r="CG128" i="25"/>
  <c r="BK192" i="25"/>
  <c r="CB57" i="25" s="1"/>
  <c r="BJ193" i="25"/>
  <c r="BW58" i="24"/>
  <c r="BW60" i="24" s="1"/>
  <c r="CC93" i="24"/>
  <c r="CC99" i="24" s="1"/>
  <c r="CC131" i="24" s="1"/>
  <c r="BQ93" i="24"/>
  <c r="BJ172" i="24"/>
  <c r="BK171" i="24"/>
  <c r="BX57" i="24" s="1"/>
  <c r="BJ193" i="23"/>
  <c r="BK192" i="23"/>
  <c r="BZ57" i="23" s="1"/>
  <c r="BY58" i="23"/>
  <c r="BY60" i="23" s="1"/>
  <c r="BQ90" i="23"/>
  <c r="BQ98" i="23" s="1"/>
  <c r="CG90" i="23"/>
  <c r="BI82" i="22"/>
  <c r="BI84" i="22" s="1"/>
  <c r="BC116" i="22"/>
  <c r="BO116" i="22"/>
  <c r="BO122" i="22" s="1"/>
  <c r="BO124" i="22" s="1"/>
  <c r="AV169" i="22"/>
  <c r="AW168" i="22"/>
  <c r="BJ81" i="22" s="1"/>
  <c r="K126" i="31" l="1"/>
  <c r="K132" i="31" s="1"/>
  <c r="BQ100" i="23"/>
  <c r="BK113" i="20"/>
  <c r="BL113" i="20" s="1"/>
  <c r="BV57" i="20" s="1"/>
  <c r="CB107" i="31"/>
  <c r="CL87" i="31"/>
  <c r="CL89" i="31" s="1"/>
  <c r="CF73" i="31"/>
  <c r="CF84" i="31" s="1"/>
  <c r="CV107" i="31"/>
  <c r="CV128" i="31" s="1"/>
  <c r="CV130" i="31" s="1"/>
  <c r="CR73" i="31"/>
  <c r="BJ189" i="31"/>
  <c r="BK188" i="31"/>
  <c r="CM86" i="31" s="1"/>
  <c r="BU58" i="20"/>
  <c r="BU60" i="20" s="1"/>
  <c r="BR96" i="20"/>
  <c r="BX96" i="20"/>
  <c r="CE110" i="30"/>
  <c r="BS82" i="30"/>
  <c r="BS84" i="30" s="1"/>
  <c r="BU76" i="30"/>
  <c r="BG110" i="30"/>
  <c r="BG123" i="30" s="1"/>
  <c r="BQ76" i="30"/>
  <c r="AZ176" i="30"/>
  <c r="BT81" i="30" s="1"/>
  <c r="AY177" i="30"/>
  <c r="BK82" i="29"/>
  <c r="BL81" i="29"/>
  <c r="CD57" i="29" s="1"/>
  <c r="BX119" i="29"/>
  <c r="BX130" i="29" s="1"/>
  <c r="BX132" i="29" s="1"/>
  <c r="CH119" i="29"/>
  <c r="CC58" i="29"/>
  <c r="CC60" i="29" s="1"/>
  <c r="BU90" i="28"/>
  <c r="BU100" i="28" s="1"/>
  <c r="BU102" i="28" s="1"/>
  <c r="CA60" i="28"/>
  <c r="CA62" i="28" s="1"/>
  <c r="CG90" i="28"/>
  <c r="BK224" i="28"/>
  <c r="BL223" i="28"/>
  <c r="CB59" i="28" s="1"/>
  <c r="CG116" i="27"/>
  <c r="BY60" i="27"/>
  <c r="BY62" i="27" s="1"/>
  <c r="BQ116" i="27"/>
  <c r="BQ124" i="27" s="1"/>
  <c r="BQ126" i="27" s="1"/>
  <c r="BL223" i="27"/>
  <c r="BZ59" i="27" s="1"/>
  <c r="BK224" i="27"/>
  <c r="BX84" i="26"/>
  <c r="BX86" i="26" s="1"/>
  <c r="CE118" i="26"/>
  <c r="CE125" i="26" s="1"/>
  <c r="CE127" i="26" s="1"/>
  <c r="BQ118" i="26"/>
  <c r="BK199" i="26"/>
  <c r="BY83" i="26" s="1"/>
  <c r="BJ200" i="26"/>
  <c r="CB58" i="25"/>
  <c r="CB60" i="25" s="1"/>
  <c r="CG127" i="25"/>
  <c r="BW127" i="25"/>
  <c r="BW138" i="25" s="1"/>
  <c r="BW140" i="25" s="1"/>
  <c r="BK193" i="25"/>
  <c r="CC57" i="25" s="1"/>
  <c r="BJ194" i="25"/>
  <c r="BJ173" i="24"/>
  <c r="BK172" i="24"/>
  <c r="BY57" i="24" s="1"/>
  <c r="BX58" i="24"/>
  <c r="BX60" i="24" s="1"/>
  <c r="CE92" i="24"/>
  <c r="CE99" i="24" s="1"/>
  <c r="CE131" i="24" s="1"/>
  <c r="BQ92" i="24"/>
  <c r="BZ58" i="23"/>
  <c r="BZ60" i="23" s="1"/>
  <c r="BS89" i="23"/>
  <c r="BS98" i="23" s="1"/>
  <c r="BS100" i="23" s="1"/>
  <c r="CG89" i="23"/>
  <c r="BK193" i="23"/>
  <c r="CA57" i="23" s="1"/>
  <c r="BJ194" i="23"/>
  <c r="AW169" i="22"/>
  <c r="BK81" i="22" s="1"/>
  <c r="AV170" i="22"/>
  <c r="BJ82" i="22"/>
  <c r="BJ84" i="22" s="1"/>
  <c r="BQ115" i="22"/>
  <c r="BQ122" i="22" s="1"/>
  <c r="BQ124" i="22" s="1"/>
  <c r="BC115" i="22"/>
  <c r="BK114" i="20" l="1"/>
  <c r="BK115" i="20" s="1"/>
  <c r="BG125" i="30"/>
  <c r="CH72" i="31"/>
  <c r="CH84" i="31" s="1"/>
  <c r="CM87" i="31"/>
  <c r="CM89" i="31" s="1"/>
  <c r="CB106" i="31"/>
  <c r="CR72" i="31"/>
  <c r="CX106" i="31"/>
  <c r="CX128" i="31" s="1"/>
  <c r="CX130" i="31" s="1"/>
  <c r="BK189" i="31"/>
  <c r="CN86" i="31" s="1"/>
  <c r="BJ190" i="31"/>
  <c r="BZ95" i="20"/>
  <c r="BV58" i="20"/>
  <c r="BV60" i="20" s="1"/>
  <c r="BR95" i="20"/>
  <c r="BI109" i="30"/>
  <c r="BI123" i="30" s="1"/>
  <c r="BI125" i="30" s="1"/>
  <c r="BT82" i="30"/>
  <c r="BT84" i="30" s="1"/>
  <c r="BW75" i="30"/>
  <c r="CE109" i="30"/>
  <c r="BQ75" i="30"/>
  <c r="AY178" i="30"/>
  <c r="AZ177" i="30"/>
  <c r="BU81" i="30" s="1"/>
  <c r="BK83" i="29"/>
  <c r="BL82" i="29"/>
  <c r="CE57" i="29" s="1"/>
  <c r="CD58" i="29"/>
  <c r="CD60" i="29" s="1"/>
  <c r="CC53" i="29"/>
  <c r="CE53" i="29"/>
  <c r="CH118" i="29"/>
  <c r="CH130" i="29" s="1"/>
  <c r="CH132" i="29" s="1"/>
  <c r="BZ118" i="29"/>
  <c r="BZ130" i="29" s="1"/>
  <c r="BZ132" i="29" s="1"/>
  <c r="BL224" i="28"/>
  <c r="CC59" i="28" s="1"/>
  <c r="BK225" i="28"/>
  <c r="BW89" i="28"/>
  <c r="BW100" i="28" s="1"/>
  <c r="BW102" i="28" s="1"/>
  <c r="CB60" i="28"/>
  <c r="CB62" i="28" s="1"/>
  <c r="CG89" i="28"/>
  <c r="BL224" i="27"/>
  <c r="CA59" i="27" s="1"/>
  <c r="BK225" i="27"/>
  <c r="BS115" i="27"/>
  <c r="BS124" i="27" s="1"/>
  <c r="BS126" i="27" s="1"/>
  <c r="BZ60" i="27"/>
  <c r="BZ62" i="27" s="1"/>
  <c r="CG115" i="27"/>
  <c r="BK200" i="26"/>
  <c r="BZ83" i="26" s="1"/>
  <c r="BJ201" i="26"/>
  <c r="BQ117" i="26"/>
  <c r="BQ125" i="26" s="1"/>
  <c r="CG117" i="26"/>
  <c r="BY84" i="26"/>
  <c r="BY86" i="26" s="1"/>
  <c r="CB53" i="25"/>
  <c r="CC58" i="25"/>
  <c r="CC60" i="25" s="1"/>
  <c r="CG126" i="25"/>
  <c r="CG138" i="25" s="1"/>
  <c r="CG140" i="25" s="1"/>
  <c r="CD53" i="25"/>
  <c r="BY126" i="25"/>
  <c r="BY138" i="25" s="1"/>
  <c r="BY140" i="25" s="1"/>
  <c r="BK194" i="25"/>
  <c r="CD57" i="25" s="1"/>
  <c r="BJ195" i="25"/>
  <c r="BY58" i="24"/>
  <c r="BY60" i="24" s="1"/>
  <c r="CG91" i="24"/>
  <c r="BQ91" i="24"/>
  <c r="BQ99" i="24" s="1"/>
  <c r="BJ174" i="24"/>
  <c r="BK173" i="24"/>
  <c r="BZ57" i="24" s="1"/>
  <c r="CA58" i="23"/>
  <c r="CA60" i="23" s="1"/>
  <c r="BU88" i="23"/>
  <c r="BU98" i="23" s="1"/>
  <c r="BU100" i="23" s="1"/>
  <c r="CG88" i="23"/>
  <c r="BJ195" i="23"/>
  <c r="BK194" i="23"/>
  <c r="CB57" i="23" s="1"/>
  <c r="AV171" i="22"/>
  <c r="AW170" i="22"/>
  <c r="BL81" i="22" s="1"/>
  <c r="BK82" i="22"/>
  <c r="BK84" i="22" s="1"/>
  <c r="BS114" i="22"/>
  <c r="BC114" i="22"/>
  <c r="BC122" i="22" s="1"/>
  <c r="BL114" i="20" l="1"/>
  <c r="BW57" i="20" s="1"/>
  <c r="CB94" i="20" s="1"/>
  <c r="CB99" i="20" s="1"/>
  <c r="CB101" i="20" s="1"/>
  <c r="BQ127" i="26"/>
  <c r="BQ131" i="24"/>
  <c r="BC124" i="22"/>
  <c r="BK190" i="31"/>
  <c r="CO86" i="31" s="1"/>
  <c r="BJ191" i="31"/>
  <c r="CB105" i="31"/>
  <c r="CB128" i="31" s="1"/>
  <c r="CN87" i="31"/>
  <c r="CN89" i="31" s="1"/>
  <c r="CZ105" i="31"/>
  <c r="CZ128" i="31" s="1"/>
  <c r="CZ130" i="31" s="1"/>
  <c r="CJ71" i="31"/>
  <c r="CJ84" i="31" s="1"/>
  <c r="CR71" i="31"/>
  <c r="BL115" i="20"/>
  <c r="BX57" i="20" s="1"/>
  <c r="BK116" i="20"/>
  <c r="AY179" i="30"/>
  <c r="AZ178" i="30"/>
  <c r="BV81" i="30" s="1"/>
  <c r="BU82" i="30"/>
  <c r="BU84" i="30" s="1"/>
  <c r="CE108" i="30"/>
  <c r="BK108" i="30"/>
  <c r="BK123" i="30" s="1"/>
  <c r="BK125" i="30" s="1"/>
  <c r="BY74" i="30"/>
  <c r="BQ74" i="30"/>
  <c r="BK84" i="29"/>
  <c r="BL83" i="29"/>
  <c r="CF57" i="29" s="1"/>
  <c r="CG52" i="29"/>
  <c r="BS117" i="29"/>
  <c r="BS130" i="29" s="1"/>
  <c r="CE58" i="29"/>
  <c r="CE60" i="29" s="1"/>
  <c r="CC52" i="29"/>
  <c r="CQ117" i="29"/>
  <c r="BK226" i="28"/>
  <c r="BL225" i="28"/>
  <c r="CD59" i="28" s="1"/>
  <c r="CG88" i="28"/>
  <c r="CG100" i="28" s="1"/>
  <c r="CG102" i="28" s="1"/>
  <c r="CD55" i="28"/>
  <c r="CC60" i="28"/>
  <c r="CC62" i="28" s="1"/>
  <c r="BY88" i="28"/>
  <c r="BY100" i="28" s="1"/>
  <c r="BY102" i="28" s="1"/>
  <c r="CB55" i="28"/>
  <c r="BK226" i="27"/>
  <c r="BL225" i="27"/>
  <c r="CB59" i="27" s="1"/>
  <c r="CA60" i="27"/>
  <c r="CA62" i="27" s="1"/>
  <c r="CG114" i="27"/>
  <c r="BU114" i="27"/>
  <c r="BU124" i="27" s="1"/>
  <c r="BU126" i="27" s="1"/>
  <c r="BK201" i="26"/>
  <c r="CA83" i="26" s="1"/>
  <c r="BJ202" i="26"/>
  <c r="BZ84" i="26"/>
  <c r="BZ86" i="26" s="1"/>
  <c r="CG116" i="26"/>
  <c r="BS116" i="26"/>
  <c r="BS125" i="26" s="1"/>
  <c r="BS127" i="26" s="1"/>
  <c r="CD58" i="25"/>
  <c r="CD60" i="25" s="1"/>
  <c r="CF52" i="25"/>
  <c r="CP125" i="25"/>
  <c r="BR125" i="25"/>
  <c r="CB52" i="25"/>
  <c r="BK195" i="25"/>
  <c r="CE57" i="25" s="1"/>
  <c r="BJ196" i="25"/>
  <c r="BJ175" i="24"/>
  <c r="BK174" i="24"/>
  <c r="CA57" i="24" s="1"/>
  <c r="BZ58" i="24"/>
  <c r="BZ60" i="24" s="1"/>
  <c r="CG90" i="24"/>
  <c r="BS90" i="24"/>
  <c r="BS99" i="24" s="1"/>
  <c r="BS131" i="24" s="1"/>
  <c r="BK195" i="23"/>
  <c r="CC57" i="23" s="1"/>
  <c r="BJ196" i="23"/>
  <c r="CB58" i="23"/>
  <c r="CB60" i="23" s="1"/>
  <c r="CG87" i="23"/>
  <c r="BW87" i="23"/>
  <c r="BW98" i="23" s="1"/>
  <c r="BW100" i="23" s="1"/>
  <c r="BL82" i="22"/>
  <c r="BL84" i="22" s="1"/>
  <c r="BS113" i="22"/>
  <c r="BE113" i="22"/>
  <c r="BE122" i="22" s="1"/>
  <c r="BE124" i="22" s="1"/>
  <c r="AW171" i="22"/>
  <c r="BM81" i="22" s="1"/>
  <c r="AV172" i="22"/>
  <c r="BR94" i="20" l="1"/>
  <c r="BW58" i="20"/>
  <c r="BW60" i="20" s="1"/>
  <c r="BS132" i="29"/>
  <c r="CB130" i="31"/>
  <c r="J131" i="31"/>
  <c r="J132" i="31" s="1"/>
  <c r="BR138" i="25"/>
  <c r="CL70" i="31"/>
  <c r="CL84" i="31" s="1"/>
  <c r="CO87" i="31"/>
  <c r="CO89" i="31" s="1"/>
  <c r="CS104" i="31"/>
  <c r="CK104" i="31"/>
  <c r="CR70" i="31"/>
  <c r="BK191" i="31"/>
  <c r="CP86" i="31" s="1"/>
  <c r="BJ192" i="31"/>
  <c r="BL116" i="20"/>
  <c r="BY57" i="20" s="1"/>
  <c r="BK117" i="20"/>
  <c r="BX58" i="20"/>
  <c r="BX60" i="20" s="1"/>
  <c r="BR93" i="20"/>
  <c r="CD93" i="20"/>
  <c r="CD99" i="20" s="1"/>
  <c r="CD101" i="20" s="1"/>
  <c r="BM107" i="30"/>
  <c r="BM123" i="30" s="1"/>
  <c r="BM125" i="30" s="1"/>
  <c r="CE107" i="30"/>
  <c r="CA73" i="30"/>
  <c r="BV82" i="30"/>
  <c r="BV84" i="30" s="1"/>
  <c r="BQ73" i="30"/>
  <c r="AY180" i="30"/>
  <c r="AZ179" i="30"/>
  <c r="BW81" i="30" s="1"/>
  <c r="CF58" i="29"/>
  <c r="CF60" i="29" s="1"/>
  <c r="BU116" i="29"/>
  <c r="BU130" i="29" s="1"/>
  <c r="BU132" i="29" s="1"/>
  <c r="CC51" i="29"/>
  <c r="CQ116" i="29"/>
  <c r="CI51" i="29"/>
  <c r="BK85" i="29"/>
  <c r="BL84" i="29"/>
  <c r="CG57" i="29" s="1"/>
  <c r="CB54" i="28"/>
  <c r="CF54" i="28"/>
  <c r="BR87" i="28"/>
  <c r="BR100" i="28" s="1"/>
  <c r="CD60" i="28"/>
  <c r="CD62" i="28" s="1"/>
  <c r="CP87" i="28"/>
  <c r="BL226" i="28"/>
  <c r="CE59" i="28" s="1"/>
  <c r="BK227" i="28"/>
  <c r="CB60" i="27"/>
  <c r="CB62" i="27" s="1"/>
  <c r="BW113" i="27"/>
  <c r="BW124" i="27" s="1"/>
  <c r="BW126" i="27" s="1"/>
  <c r="CG113" i="27"/>
  <c r="BL226" i="27"/>
  <c r="CC59" i="27" s="1"/>
  <c r="BK227" i="27"/>
  <c r="BJ203" i="26"/>
  <c r="BK202" i="26"/>
  <c r="CB83" i="26" s="1"/>
  <c r="CA84" i="26"/>
  <c r="CA86" i="26" s="1"/>
  <c r="BU115" i="26"/>
  <c r="BU125" i="26" s="1"/>
  <c r="BU127" i="26" s="1"/>
  <c r="CG115" i="26"/>
  <c r="BK196" i="25"/>
  <c r="CF57" i="25" s="1"/>
  <c r="BJ197" i="25"/>
  <c r="CE58" i="25"/>
  <c r="CE60" i="25" s="1"/>
  <c r="CH51" i="25"/>
  <c r="CB51" i="25"/>
  <c r="CP124" i="25"/>
  <c r="BT124" i="25"/>
  <c r="BT138" i="25" s="1"/>
  <c r="BT140" i="25" s="1"/>
  <c r="CA58" i="24"/>
  <c r="CA60" i="24" s="1"/>
  <c r="CG89" i="24"/>
  <c r="BU89" i="24"/>
  <c r="BU99" i="24" s="1"/>
  <c r="BU131" i="24" s="1"/>
  <c r="BJ176" i="24"/>
  <c r="BK175" i="24"/>
  <c r="CB57" i="24" s="1"/>
  <c r="BJ197" i="23"/>
  <c r="BK196" i="23"/>
  <c r="CD57" i="23" s="1"/>
  <c r="CC58" i="23"/>
  <c r="CC60" i="23" s="1"/>
  <c r="CD53" i="23"/>
  <c r="CB53" i="23"/>
  <c r="BY86" i="23"/>
  <c r="BY98" i="23" s="1"/>
  <c r="BY100" i="23" s="1"/>
  <c r="CG86" i="23"/>
  <c r="CG98" i="23" s="1"/>
  <c r="CG100" i="23" s="1"/>
  <c r="BM82" i="22"/>
  <c r="BM84" i="22" s="1"/>
  <c r="BS112" i="22"/>
  <c r="BG112" i="22"/>
  <c r="BG122" i="22" s="1"/>
  <c r="BG124" i="22" s="1"/>
  <c r="AV173" i="22"/>
  <c r="AW172" i="22"/>
  <c r="BN81" i="22" s="1"/>
  <c r="BR102" i="28" l="1"/>
  <c r="M131" i="31"/>
  <c r="M132" i="31" s="1"/>
  <c r="BR140" i="25"/>
  <c r="BK192" i="31"/>
  <c r="CQ86" i="31" s="1"/>
  <c r="BJ193" i="31"/>
  <c r="CK103" i="31"/>
  <c r="CP87" i="31"/>
  <c r="CP89" i="31" s="1"/>
  <c r="CU103" i="31"/>
  <c r="CR69" i="31"/>
  <c r="CN69" i="31"/>
  <c r="CN84" i="31" s="1"/>
  <c r="BK118" i="20"/>
  <c r="BL117" i="20"/>
  <c r="BZ57" i="20" s="1"/>
  <c r="BR92" i="20"/>
  <c r="BY58" i="20"/>
  <c r="BY60" i="20" s="1"/>
  <c r="CF92" i="20"/>
  <c r="CF99" i="20" s="1"/>
  <c r="CF101" i="20" s="1"/>
  <c r="AZ180" i="30"/>
  <c r="BX81" i="30" s="1"/>
  <c r="AY181" i="30"/>
  <c r="CE106" i="30"/>
  <c r="BW82" i="30"/>
  <c r="BW84" i="30" s="1"/>
  <c r="CC72" i="30"/>
  <c r="BO106" i="30"/>
  <c r="BO123" i="30" s="1"/>
  <c r="BO125" i="30" s="1"/>
  <c r="BQ72" i="30"/>
  <c r="CK50" i="29"/>
  <c r="BW115" i="29"/>
  <c r="BW130" i="29" s="1"/>
  <c r="CG58" i="29"/>
  <c r="CG60" i="29" s="1"/>
  <c r="CC50" i="29"/>
  <c r="CQ115" i="29"/>
  <c r="BK86" i="29"/>
  <c r="BL85" i="29"/>
  <c r="CH57" i="29" s="1"/>
  <c r="BK228" i="28"/>
  <c r="BL227" i="28"/>
  <c r="CF59" i="28" s="1"/>
  <c r="CE60" i="28"/>
  <c r="CE62" i="28" s="1"/>
  <c r="CH53" i="28"/>
  <c r="BT86" i="28"/>
  <c r="BT100" i="28" s="1"/>
  <c r="BT102" i="28" s="1"/>
  <c r="CP86" i="28"/>
  <c r="CB53" i="28"/>
  <c r="CC60" i="27"/>
  <c r="CC62" i="27" s="1"/>
  <c r="CB55" i="27"/>
  <c r="BY112" i="27"/>
  <c r="BY124" i="27" s="1"/>
  <c r="BY126" i="27" s="1"/>
  <c r="CD55" i="27"/>
  <c r="CG112" i="27"/>
  <c r="CG124" i="27" s="1"/>
  <c r="CG126" i="27" s="1"/>
  <c r="BL227" i="27"/>
  <c r="CD59" i="27" s="1"/>
  <c r="BK228" i="27"/>
  <c r="BK203" i="26"/>
  <c r="CC83" i="26" s="1"/>
  <c r="BJ204" i="26"/>
  <c r="CB84" i="26"/>
  <c r="CB86" i="26" s="1"/>
  <c r="CG114" i="26"/>
  <c r="BW114" i="26"/>
  <c r="BW125" i="26" s="1"/>
  <c r="BW127" i="26" s="1"/>
  <c r="BK197" i="25"/>
  <c r="CG57" i="25" s="1"/>
  <c r="BJ198" i="25"/>
  <c r="CJ50" i="25"/>
  <c r="CB50" i="25"/>
  <c r="CF58" i="25"/>
  <c r="CF60" i="25" s="1"/>
  <c r="CP123" i="25"/>
  <c r="BV123" i="25"/>
  <c r="BJ177" i="24"/>
  <c r="BK176" i="24"/>
  <c r="CC57" i="24" s="1"/>
  <c r="CB58" i="24"/>
  <c r="CB60" i="24" s="1"/>
  <c r="CG88" i="24"/>
  <c r="BW88" i="24"/>
  <c r="BW99" i="24" s="1"/>
  <c r="BW131" i="24" s="1"/>
  <c r="CF52" i="23"/>
  <c r="CB52" i="23"/>
  <c r="BR85" i="23"/>
  <c r="BR98" i="23" s="1"/>
  <c r="CD58" i="23"/>
  <c r="CD60" i="23" s="1"/>
  <c r="CP85" i="23"/>
  <c r="BK197" i="23"/>
  <c r="CE57" i="23" s="1"/>
  <c r="BJ198" i="23"/>
  <c r="AW173" i="22"/>
  <c r="BO81" i="22" s="1"/>
  <c r="AV174" i="22"/>
  <c r="BN82" i="22"/>
  <c r="BN84" i="22" s="1"/>
  <c r="BS111" i="22"/>
  <c r="BI111" i="22"/>
  <c r="BI122" i="22" s="1"/>
  <c r="BI124" i="22" s="1"/>
  <c r="BW132" i="29" l="1"/>
  <c r="BV138" i="25"/>
  <c r="BR100" i="23"/>
  <c r="H42" i="30"/>
  <c r="BJ194" i="31"/>
  <c r="BK193" i="31"/>
  <c r="CR86" i="31" s="1"/>
  <c r="CP68" i="31"/>
  <c r="CP84" i="31" s="1"/>
  <c r="CK102" i="31"/>
  <c r="CQ87" i="31"/>
  <c r="CQ89" i="31" s="1"/>
  <c r="CR68" i="31"/>
  <c r="CR84" i="31" s="1"/>
  <c r="CW102" i="31"/>
  <c r="BR91" i="20"/>
  <c r="BR99" i="20" s="1"/>
  <c r="CH91" i="20"/>
  <c r="BZ58" i="20"/>
  <c r="BZ60" i="20" s="1"/>
  <c r="BL118" i="20"/>
  <c r="CA57" i="20" s="1"/>
  <c r="BK119" i="20"/>
  <c r="AY182" i="30"/>
  <c r="AZ181" i="30"/>
  <c r="BY81" i="30" s="1"/>
  <c r="BQ105" i="30"/>
  <c r="CE71" i="30"/>
  <c r="CE105" i="30"/>
  <c r="CE123" i="30" s="1"/>
  <c r="CE125" i="30" s="1"/>
  <c r="BQ71" i="30"/>
  <c r="BX82" i="30"/>
  <c r="BX84" i="30" s="1"/>
  <c r="CH58" i="29"/>
  <c r="CH60" i="29" s="1"/>
  <c r="BY114" i="29"/>
  <c r="BY130" i="29" s="1"/>
  <c r="BY132" i="29" s="1"/>
  <c r="CM49" i="29"/>
  <c r="CC49" i="29"/>
  <c r="CQ114" i="29"/>
  <c r="BK87" i="29"/>
  <c r="BL86" i="29"/>
  <c r="CI57" i="29" s="1"/>
  <c r="CJ52" i="28"/>
  <c r="BV85" i="28"/>
  <c r="BV100" i="28" s="1"/>
  <c r="CF60" i="28"/>
  <c r="CF62" i="28" s="1"/>
  <c r="CB52" i="28"/>
  <c r="CP85" i="28"/>
  <c r="BL228" i="28"/>
  <c r="CG59" i="28" s="1"/>
  <c r="BK229" i="28"/>
  <c r="CF54" i="27"/>
  <c r="BR111" i="27"/>
  <c r="BR124" i="27" s="1"/>
  <c r="BR126" i="27" s="1"/>
  <c r="CD60" i="27"/>
  <c r="CD62" i="27" s="1"/>
  <c r="CB54" i="27"/>
  <c r="CP111" i="27"/>
  <c r="BK229" i="27"/>
  <c r="BL228" i="27"/>
  <c r="CE59" i="27" s="1"/>
  <c r="BK204" i="26"/>
  <c r="CD83" i="26" s="1"/>
  <c r="BJ205" i="26"/>
  <c r="CC84" i="26"/>
  <c r="CC86" i="26" s="1"/>
  <c r="CB79" i="26"/>
  <c r="BY113" i="26"/>
  <c r="BY125" i="26" s="1"/>
  <c r="BY127" i="26" s="1"/>
  <c r="CD79" i="26"/>
  <c r="CG113" i="26"/>
  <c r="CG125" i="26" s="1"/>
  <c r="CG127" i="26" s="1"/>
  <c r="BK198" i="25"/>
  <c r="CH57" i="25" s="1"/>
  <c r="BJ199" i="25"/>
  <c r="CB49" i="25"/>
  <c r="CG58" i="25"/>
  <c r="CG60" i="25" s="1"/>
  <c r="CL49" i="25"/>
  <c r="BX122" i="25"/>
  <c r="BX138" i="25" s="1"/>
  <c r="BX140" i="25" s="1"/>
  <c r="CP122" i="25"/>
  <c r="CC58" i="24"/>
  <c r="CC60" i="24" s="1"/>
  <c r="CB53" i="24"/>
  <c r="CD53" i="24"/>
  <c r="CG87" i="24"/>
  <c r="CG99" i="24" s="1"/>
  <c r="CG131" i="24" s="1"/>
  <c r="BY87" i="24"/>
  <c r="BY99" i="24" s="1"/>
  <c r="BY131" i="24" s="1"/>
  <c r="BJ178" i="24"/>
  <c r="BK177" i="24"/>
  <c r="CD57" i="24" s="1"/>
  <c r="BJ199" i="23"/>
  <c r="BK198" i="23"/>
  <c r="CF57" i="23" s="1"/>
  <c r="CE58" i="23"/>
  <c r="CE60" i="23" s="1"/>
  <c r="CH51" i="23"/>
  <c r="CB51" i="23"/>
  <c r="BT84" i="23"/>
  <c r="BT98" i="23" s="1"/>
  <c r="BT100" i="23" s="1"/>
  <c r="CP84" i="23"/>
  <c r="AV175" i="22"/>
  <c r="AW174" i="22"/>
  <c r="BP81" i="22" s="1"/>
  <c r="BO82" i="22"/>
  <c r="BO84" i="22" s="1"/>
  <c r="BN77" i="22"/>
  <c r="BS110" i="22"/>
  <c r="BS122" i="22" s="1"/>
  <c r="BS124" i="22" s="1"/>
  <c r="BP77" i="22"/>
  <c r="BK110" i="22"/>
  <c r="BK122" i="22" s="1"/>
  <c r="BK124" i="22" s="1"/>
  <c r="BV102" i="28" l="1"/>
  <c r="BV140" i="25"/>
  <c r="BR101" i="20"/>
  <c r="K131" i="30"/>
  <c r="CK101" i="31"/>
  <c r="CY101" i="31"/>
  <c r="CR87" i="31"/>
  <c r="CR89" i="31" s="1"/>
  <c r="BJ195" i="31"/>
  <c r="BK194" i="31"/>
  <c r="CS86" i="31" s="1"/>
  <c r="BT90" i="20"/>
  <c r="BT99" i="20" s="1"/>
  <c r="BT101" i="20" s="1"/>
  <c r="CA58" i="20"/>
  <c r="CA60" i="20" s="1"/>
  <c r="CH90" i="20"/>
  <c r="BL119" i="20"/>
  <c r="CB57" i="20" s="1"/>
  <c r="BK120" i="20"/>
  <c r="BY82" i="30"/>
  <c r="BY84" i="30" s="1"/>
  <c r="CG104" i="30"/>
  <c r="CG123" i="30" s="1"/>
  <c r="CG125" i="30" s="1"/>
  <c r="BQ70" i="30"/>
  <c r="BQ79" i="30" s="1"/>
  <c r="BQ104" i="30"/>
  <c r="CG70" i="30"/>
  <c r="AY183" i="30"/>
  <c r="AZ182" i="30"/>
  <c r="BZ81" i="30" s="1"/>
  <c r="CO48" i="29"/>
  <c r="CA113" i="29"/>
  <c r="CA130" i="29" s="1"/>
  <c r="CQ113" i="29"/>
  <c r="CI58" i="29"/>
  <c r="CI60" i="29" s="1"/>
  <c r="CC48" i="29"/>
  <c r="BK88" i="29"/>
  <c r="BL87" i="29"/>
  <c r="CJ57" i="29" s="1"/>
  <c r="CP84" i="28"/>
  <c r="BX84" i="28"/>
  <c r="BX100" i="28" s="1"/>
  <c r="BX102" i="28" s="1"/>
  <c r="CL51" i="28"/>
  <c r="CG60" i="28"/>
  <c r="CG62" i="28" s="1"/>
  <c r="CB51" i="28"/>
  <c r="BK230" i="28"/>
  <c r="BL229" i="28"/>
  <c r="CH59" i="28" s="1"/>
  <c r="BK230" i="27"/>
  <c r="BL229" i="27"/>
  <c r="CF59" i="27" s="1"/>
  <c r="CH53" i="27"/>
  <c r="CP110" i="27"/>
  <c r="CE60" i="27"/>
  <c r="CE62" i="27" s="1"/>
  <c r="CB53" i="27"/>
  <c r="BT110" i="27"/>
  <c r="BT124" i="27" s="1"/>
  <c r="BT126" i="27" s="1"/>
  <c r="CF78" i="26"/>
  <c r="CB78" i="26"/>
  <c r="CD84" i="26"/>
  <c r="CD86" i="26" s="1"/>
  <c r="CP112" i="26"/>
  <c r="BR112" i="26"/>
  <c r="BR125" i="26" s="1"/>
  <c r="BK205" i="26"/>
  <c r="CE83" i="26" s="1"/>
  <c r="BJ206" i="26"/>
  <c r="BK199" i="25"/>
  <c r="CI57" i="25" s="1"/>
  <c r="BJ200" i="25"/>
  <c r="CH58" i="25"/>
  <c r="CH60" i="25" s="1"/>
  <c r="CN48" i="25"/>
  <c r="CP121" i="25"/>
  <c r="CB48" i="25"/>
  <c r="BZ121" i="25"/>
  <c r="BZ138" i="25" s="1"/>
  <c r="BZ140" i="25" s="1"/>
  <c r="CF52" i="24"/>
  <c r="CB52" i="24"/>
  <c r="CD58" i="24"/>
  <c r="CD60" i="24" s="1"/>
  <c r="CP86" i="24"/>
  <c r="BR86" i="24"/>
  <c r="BR99" i="24" s="1"/>
  <c r="BJ179" i="24"/>
  <c r="BK178" i="24"/>
  <c r="CE57" i="24" s="1"/>
  <c r="CJ50" i="23"/>
  <c r="CB50" i="23"/>
  <c r="CF58" i="23"/>
  <c r="CF60" i="23" s="1"/>
  <c r="CP83" i="23"/>
  <c r="BV83" i="23"/>
  <c r="BV98" i="23" s="1"/>
  <c r="BK199" i="23"/>
  <c r="CG57" i="23" s="1"/>
  <c r="BJ200" i="23"/>
  <c r="BP82" i="22"/>
  <c r="BP84" i="22" s="1"/>
  <c r="BN76" i="22"/>
  <c r="CB109" i="22"/>
  <c r="BR76" i="22"/>
  <c r="BD109" i="22"/>
  <c r="BD122" i="22" s="1"/>
  <c r="AW175" i="22"/>
  <c r="BQ81" i="22" s="1"/>
  <c r="AV176" i="22"/>
  <c r="CA132" i="29" l="1"/>
  <c r="H42" i="29"/>
  <c r="H43" i="29" s="1"/>
  <c r="H42" i="25"/>
  <c r="H43" i="25" s="1"/>
  <c r="BR127" i="26"/>
  <c r="BR131" i="24"/>
  <c r="BV100" i="23"/>
  <c r="BD124" i="22"/>
  <c r="DA100" i="31"/>
  <c r="CS87" i="31"/>
  <c r="CS89" i="31" s="1"/>
  <c r="CK100" i="31"/>
  <c r="CK128" i="31" s="1"/>
  <c r="BJ196" i="31"/>
  <c r="BK195" i="31"/>
  <c r="CT86" i="31" s="1"/>
  <c r="BK121" i="20"/>
  <c r="BL120" i="20"/>
  <c r="CC57" i="20" s="1"/>
  <c r="CB58" i="20"/>
  <c r="CB60" i="20" s="1"/>
  <c r="BV89" i="20"/>
  <c r="BV99" i="20" s="1"/>
  <c r="BV101" i="20" s="1"/>
  <c r="CH89" i="20"/>
  <c r="BQ103" i="30"/>
  <c r="CI103" i="30"/>
  <c r="CI123" i="30" s="1"/>
  <c r="CI125" i="30" s="1"/>
  <c r="BZ82" i="30"/>
  <c r="BZ84" i="30" s="1"/>
  <c r="CG69" i="30"/>
  <c r="BS69" i="30"/>
  <c r="BS79" i="30" s="1"/>
  <c r="AY184" i="30"/>
  <c r="AZ183" i="30"/>
  <c r="CA81" i="30" s="1"/>
  <c r="CJ58" i="29"/>
  <c r="CJ60" i="29" s="1"/>
  <c r="CQ47" i="29"/>
  <c r="CC47" i="29"/>
  <c r="CQ112" i="29"/>
  <c r="CQ130" i="29" s="1"/>
  <c r="CQ132" i="29" s="1"/>
  <c r="CC112" i="29"/>
  <c r="BK89" i="29"/>
  <c r="BL88" i="29"/>
  <c r="CK57" i="29" s="1"/>
  <c r="BL230" i="28"/>
  <c r="CI59" i="28" s="1"/>
  <c r="BK231" i="28"/>
  <c r="CB50" i="28"/>
  <c r="CN50" i="28"/>
  <c r="BZ83" i="28"/>
  <c r="BZ100" i="28" s="1"/>
  <c r="BZ102" i="28" s="1"/>
  <c r="CH60" i="28"/>
  <c r="CH62" i="28" s="1"/>
  <c r="CP83" i="28"/>
  <c r="CF60" i="27"/>
  <c r="CF62" i="27" s="1"/>
  <c r="CJ52" i="27"/>
  <c r="BV109" i="27"/>
  <c r="BV124" i="27" s="1"/>
  <c r="BV126" i="27" s="1"/>
  <c r="CB52" i="27"/>
  <c r="CP109" i="27"/>
  <c r="BK231" i="27"/>
  <c r="BL230" i="27"/>
  <c r="CG59" i="27" s="1"/>
  <c r="CE84" i="26"/>
  <c r="CE86" i="26" s="1"/>
  <c r="CH77" i="26"/>
  <c r="CB77" i="26"/>
  <c r="BT111" i="26"/>
  <c r="BT125" i="26" s="1"/>
  <c r="BT127" i="26" s="1"/>
  <c r="CP111" i="26"/>
  <c r="BJ207" i="26"/>
  <c r="BK206" i="26"/>
  <c r="CF83" i="26" s="1"/>
  <c r="BK200" i="25"/>
  <c r="CJ57" i="25" s="1"/>
  <c r="BJ201" i="25"/>
  <c r="CI58" i="25"/>
  <c r="CI60" i="25" s="1"/>
  <c r="CP47" i="25"/>
  <c r="CB47" i="25"/>
  <c r="CP120" i="25"/>
  <c r="CP138" i="25" s="1"/>
  <c r="CP140" i="25" s="1"/>
  <c r="CB120" i="25"/>
  <c r="CB51" i="24"/>
  <c r="CE58" i="24"/>
  <c r="CE60" i="24" s="1"/>
  <c r="CH51" i="24"/>
  <c r="CP85" i="24"/>
  <c r="BT85" i="24"/>
  <c r="BT99" i="24" s="1"/>
  <c r="BT131" i="24" s="1"/>
  <c r="BJ180" i="24"/>
  <c r="BK179" i="24"/>
  <c r="CF57" i="24" s="1"/>
  <c r="CB49" i="23"/>
  <c r="CG58" i="23"/>
  <c r="CG60" i="23" s="1"/>
  <c r="CL49" i="23"/>
  <c r="BX82" i="23"/>
  <c r="BX98" i="23" s="1"/>
  <c r="BX100" i="23" s="1"/>
  <c r="CP82" i="23"/>
  <c r="BJ201" i="23"/>
  <c r="BK200" i="23"/>
  <c r="CH57" i="23" s="1"/>
  <c r="AV177" i="22"/>
  <c r="AW176" i="22"/>
  <c r="BR81" i="22" s="1"/>
  <c r="BQ82" i="22"/>
  <c r="BQ84" i="22" s="1"/>
  <c r="BT75" i="22"/>
  <c r="BN75" i="22"/>
  <c r="BF108" i="22"/>
  <c r="BF122" i="22" s="1"/>
  <c r="BF124" i="22" s="1"/>
  <c r="CB108" i="22"/>
  <c r="H42" i="28" l="1"/>
  <c r="H43" i="28" s="1"/>
  <c r="K42" i="28" s="1"/>
  <c r="K131" i="29"/>
  <c r="J42" i="29"/>
  <c r="K42" i="29"/>
  <c r="CK130" i="31"/>
  <c r="K131" i="25"/>
  <c r="J42" i="25"/>
  <c r="K42" i="25"/>
  <c r="CM99" i="31"/>
  <c r="CM128" i="31" s="1"/>
  <c r="CM130" i="31" s="1"/>
  <c r="CT87" i="31"/>
  <c r="CT89" i="31" s="1"/>
  <c r="DA99" i="31"/>
  <c r="BJ197" i="31"/>
  <c r="BK196" i="31"/>
  <c r="CU86" i="31" s="1"/>
  <c r="CC58" i="20"/>
  <c r="CC60" i="20" s="1"/>
  <c r="CH88" i="20"/>
  <c r="BX88" i="20"/>
  <c r="BX99" i="20" s="1"/>
  <c r="BX101" i="20" s="1"/>
  <c r="BK122" i="20"/>
  <c r="BL121" i="20"/>
  <c r="CD57" i="20" s="1"/>
  <c r="CK102" i="30"/>
  <c r="CK123" i="30" s="1"/>
  <c r="CK125" i="30" s="1"/>
  <c r="CA82" i="30"/>
  <c r="CA84" i="30" s="1"/>
  <c r="CG68" i="30"/>
  <c r="BQ102" i="30"/>
  <c r="BU68" i="30"/>
  <c r="BU79" i="30" s="1"/>
  <c r="AZ184" i="30"/>
  <c r="CB81" i="30" s="1"/>
  <c r="AY185" i="30"/>
  <c r="CS46" i="29"/>
  <c r="CC111" i="29"/>
  <c r="CS111" i="29"/>
  <c r="CS130" i="29" s="1"/>
  <c r="CS132" i="29" s="1"/>
  <c r="CC46" i="29"/>
  <c r="CC55" i="29" s="1"/>
  <c r="CK58" i="29"/>
  <c r="CK60" i="29" s="1"/>
  <c r="BK90" i="29"/>
  <c r="BL89" i="29"/>
  <c r="CL57" i="29" s="1"/>
  <c r="CR119" i="25"/>
  <c r="CR138" i="25" s="1"/>
  <c r="CR140" i="25" s="1"/>
  <c r="CB119" i="25"/>
  <c r="BK232" i="28"/>
  <c r="BL231" i="28"/>
  <c r="CJ59" i="28" s="1"/>
  <c r="CI60" i="28"/>
  <c r="CI62" i="28" s="1"/>
  <c r="CP49" i="28"/>
  <c r="CP82" i="28"/>
  <c r="CP100" i="28" s="1"/>
  <c r="CP102" i="28" s="1"/>
  <c r="CB82" i="28"/>
  <c r="CB49" i="28"/>
  <c r="BK232" i="27"/>
  <c r="BL231" i="27"/>
  <c r="CH59" i="27" s="1"/>
  <c r="CP108" i="27"/>
  <c r="CL51" i="27"/>
  <c r="CB51" i="27"/>
  <c r="CG60" i="27"/>
  <c r="CG62" i="27" s="1"/>
  <c r="BX108" i="27"/>
  <c r="BX124" i="27" s="1"/>
  <c r="BX126" i="27" s="1"/>
  <c r="BK207" i="26"/>
  <c r="CG83" i="26" s="1"/>
  <c r="BJ208" i="26"/>
  <c r="CB76" i="26"/>
  <c r="CF84" i="26"/>
  <c r="CF86" i="26" s="1"/>
  <c r="CJ76" i="26"/>
  <c r="CP110" i="26"/>
  <c r="BV110" i="26"/>
  <c r="BV125" i="26" s="1"/>
  <c r="BK201" i="25"/>
  <c r="CK57" i="25" s="1"/>
  <c r="BJ202" i="25"/>
  <c r="CJ58" i="25"/>
  <c r="CJ60" i="25" s="1"/>
  <c r="CR46" i="25"/>
  <c r="CB46" i="25"/>
  <c r="CB55" i="25" s="1"/>
  <c r="CF58" i="24"/>
  <c r="CF60" i="24" s="1"/>
  <c r="CJ50" i="24"/>
  <c r="CB50" i="24"/>
  <c r="CP84" i="24"/>
  <c r="BV84" i="24"/>
  <c r="BV99" i="24" s="1"/>
  <c r="BV131" i="24" s="1"/>
  <c r="BJ181" i="24"/>
  <c r="BK180" i="24"/>
  <c r="CG57" i="24" s="1"/>
  <c r="CH58" i="23"/>
  <c r="CH60" i="23" s="1"/>
  <c r="CN48" i="23"/>
  <c r="BZ81" i="23"/>
  <c r="BZ98" i="23" s="1"/>
  <c r="CB48" i="23"/>
  <c r="CP81" i="23"/>
  <c r="BK201" i="23"/>
  <c r="CI57" i="23" s="1"/>
  <c r="BJ202" i="23"/>
  <c r="BR82" i="22"/>
  <c r="BR84" i="22" s="1"/>
  <c r="BV74" i="22"/>
  <c r="CB107" i="22"/>
  <c r="BN74" i="22"/>
  <c r="BH107" i="22"/>
  <c r="BH122" i="22" s="1"/>
  <c r="BH124" i="22" s="1"/>
  <c r="AW177" i="22"/>
  <c r="BS81" i="22" s="1"/>
  <c r="AV178" i="22"/>
  <c r="J42" i="28" l="1"/>
  <c r="J43" i="28" s="1"/>
  <c r="K43" i="28"/>
  <c r="K131" i="28"/>
  <c r="K43" i="29"/>
  <c r="J43" i="29"/>
  <c r="J43" i="25"/>
  <c r="K43" i="25"/>
  <c r="BV127" i="26"/>
  <c r="BZ100" i="23"/>
  <c r="H42" i="23"/>
  <c r="H43" i="23" s="1"/>
  <c r="J42" i="23" s="1"/>
  <c r="CO98" i="31"/>
  <c r="CO128" i="31" s="1"/>
  <c r="DA98" i="31"/>
  <c r="CU87" i="31"/>
  <c r="CU89" i="31" s="1"/>
  <c r="BJ198" i="31"/>
  <c r="BK197" i="31"/>
  <c r="CV86" i="31" s="1"/>
  <c r="BK123" i="20"/>
  <c r="BL122" i="20"/>
  <c r="CE57" i="20" s="1"/>
  <c r="CC53" i="20"/>
  <c r="CD58" i="20"/>
  <c r="CD60" i="20" s="1"/>
  <c r="CH87" i="20"/>
  <c r="CH99" i="20" s="1"/>
  <c r="CH101" i="20" s="1"/>
  <c r="BZ87" i="20"/>
  <c r="BZ99" i="20" s="1"/>
  <c r="BZ101" i="20" s="1"/>
  <c r="CE53" i="20"/>
  <c r="AY186" i="30"/>
  <c r="AZ185" i="30"/>
  <c r="CC81" i="30" s="1"/>
  <c r="BQ101" i="30"/>
  <c r="CG67" i="30"/>
  <c r="CM101" i="30"/>
  <c r="CM123" i="30" s="1"/>
  <c r="CM125" i="30" s="1"/>
  <c r="CB82" i="30"/>
  <c r="CB84" i="30" s="1"/>
  <c r="BW67" i="30"/>
  <c r="BW79" i="30" s="1"/>
  <c r="CL58" i="29"/>
  <c r="CL60" i="29" s="1"/>
  <c r="CE45" i="29"/>
  <c r="CE55" i="29" s="1"/>
  <c r="CS45" i="29"/>
  <c r="CU110" i="29"/>
  <c r="CU130" i="29" s="1"/>
  <c r="CU132" i="29" s="1"/>
  <c r="CC110" i="29"/>
  <c r="BK91" i="29"/>
  <c r="BL90" i="29"/>
  <c r="CM57" i="29" s="1"/>
  <c r="CB81" i="28"/>
  <c r="CR81" i="28"/>
  <c r="CR100" i="28" s="1"/>
  <c r="CR102" i="28" s="1"/>
  <c r="CJ60" i="28"/>
  <c r="CJ62" i="28" s="1"/>
  <c r="CR48" i="28"/>
  <c r="CB48" i="28"/>
  <c r="CB57" i="28" s="1"/>
  <c r="BL232" i="28"/>
  <c r="CK59" i="28" s="1"/>
  <c r="BK233" i="28"/>
  <c r="CN50" i="27"/>
  <c r="BZ107" i="27"/>
  <c r="BZ124" i="27" s="1"/>
  <c r="BZ126" i="27" s="1"/>
  <c r="CB50" i="27"/>
  <c r="CH60" i="27"/>
  <c r="CH62" i="27" s="1"/>
  <c r="CP107" i="27"/>
  <c r="BK233" i="27"/>
  <c r="BL232" i="27"/>
  <c r="CI59" i="27" s="1"/>
  <c r="BK208" i="26"/>
  <c r="CH83" i="26" s="1"/>
  <c r="BJ209" i="26"/>
  <c r="CG84" i="26"/>
  <c r="CG86" i="26" s="1"/>
  <c r="CB75" i="26"/>
  <c r="CL75" i="26"/>
  <c r="BX109" i="26"/>
  <c r="BX125" i="26" s="1"/>
  <c r="BX127" i="26" s="1"/>
  <c r="CP109" i="26"/>
  <c r="BK202" i="25"/>
  <c r="CL57" i="25" s="1"/>
  <c r="BJ203" i="25"/>
  <c r="CD45" i="25"/>
  <c r="CD55" i="25" s="1"/>
  <c r="CR45" i="25"/>
  <c r="CK58" i="25"/>
  <c r="CK60" i="25" s="1"/>
  <c r="CB118" i="25"/>
  <c r="CT118" i="25"/>
  <c r="CT138" i="25" s="1"/>
  <c r="CT140" i="25" s="1"/>
  <c r="CG58" i="24"/>
  <c r="CG60" i="24" s="1"/>
  <c r="CB49" i="24"/>
  <c r="CL49" i="24"/>
  <c r="CP83" i="24"/>
  <c r="BX83" i="24"/>
  <c r="BX99" i="24" s="1"/>
  <c r="BX131" i="24" s="1"/>
  <c r="BJ182" i="24"/>
  <c r="BK181" i="24"/>
  <c r="CH57" i="24" s="1"/>
  <c r="BJ203" i="23"/>
  <c r="BK202" i="23"/>
  <c r="CJ57" i="23" s="1"/>
  <c r="CI58" i="23"/>
  <c r="CI60" i="23" s="1"/>
  <c r="CB47" i="23"/>
  <c r="CP47" i="23"/>
  <c r="CB80" i="23"/>
  <c r="CP80" i="23"/>
  <c r="CP98" i="23" s="1"/>
  <c r="CP100" i="23" s="1"/>
  <c r="BS82" i="22"/>
  <c r="BS84" i="22" s="1"/>
  <c r="BN73" i="22"/>
  <c r="BX73" i="22"/>
  <c r="CB106" i="22"/>
  <c r="BJ106" i="22"/>
  <c r="BJ122" i="22" s="1"/>
  <c r="AV179" i="22"/>
  <c r="AW178" i="22"/>
  <c r="BT81" i="22" s="1"/>
  <c r="K126" i="28" l="1"/>
  <c r="K132" i="28" s="1"/>
  <c r="K126" i="29"/>
  <c r="K132" i="29" s="1"/>
  <c r="CO130" i="31"/>
  <c r="K126" i="25"/>
  <c r="K132" i="25" s="1"/>
  <c r="H42" i="27"/>
  <c r="H43" i="27" s="1"/>
  <c r="K131" i="23"/>
  <c r="K42" i="23"/>
  <c r="K43" i="23" s="1"/>
  <c r="J43" i="23"/>
  <c r="BJ124" i="22"/>
  <c r="CQ97" i="31"/>
  <c r="CQ128" i="31" s="1"/>
  <c r="CV87" i="31"/>
  <c r="CV89" i="31" s="1"/>
  <c r="DA97" i="31"/>
  <c r="BJ199" i="31"/>
  <c r="BK198" i="31"/>
  <c r="CW86" i="31" s="1"/>
  <c r="CG52" i="20"/>
  <c r="BS86" i="20"/>
  <c r="BS99" i="20" s="1"/>
  <c r="CQ86" i="20"/>
  <c r="CE58" i="20"/>
  <c r="CE60" i="20" s="1"/>
  <c r="CC52" i="20"/>
  <c r="BL123" i="20"/>
  <c r="BK124" i="20"/>
  <c r="CC82" i="30"/>
  <c r="CC84" i="30" s="1"/>
  <c r="CO100" i="30"/>
  <c r="CO123" i="30" s="1"/>
  <c r="CO125" i="30" s="1"/>
  <c r="BQ100" i="30"/>
  <c r="BQ123" i="30" s="1"/>
  <c r="J131" i="30" s="1"/>
  <c r="J132" i="30" s="1"/>
  <c r="CG66" i="30"/>
  <c r="BY66" i="30"/>
  <c r="BY79" i="30" s="1"/>
  <c r="AY187" i="30"/>
  <c r="AZ186" i="30"/>
  <c r="CD81" i="30" s="1"/>
  <c r="CS44" i="29"/>
  <c r="CC109" i="29"/>
  <c r="CM58" i="29"/>
  <c r="CM60" i="29" s="1"/>
  <c r="CG44" i="29"/>
  <c r="CG55" i="29" s="1"/>
  <c r="CW109" i="29"/>
  <c r="CW130" i="29" s="1"/>
  <c r="CW132" i="29" s="1"/>
  <c r="BK92" i="29"/>
  <c r="BL91" i="29"/>
  <c r="CN57" i="29" s="1"/>
  <c r="CB79" i="23"/>
  <c r="CR79" i="23"/>
  <c r="CR98" i="23" s="1"/>
  <c r="CR100" i="23" s="1"/>
  <c r="BK234" i="28"/>
  <c r="BL233" i="28"/>
  <c r="CL59" i="28" s="1"/>
  <c r="CR47" i="28"/>
  <c r="CB80" i="28"/>
  <c r="CK60" i="28"/>
  <c r="CK62" i="28" s="1"/>
  <c r="CT80" i="28"/>
  <c r="CT100" i="28" s="1"/>
  <c r="CT102" i="28" s="1"/>
  <c r="CD47" i="28"/>
  <c r="CD57" i="28" s="1"/>
  <c r="CP49" i="27"/>
  <c r="CI60" i="27"/>
  <c r="CI62" i="27" s="1"/>
  <c r="CB49" i="27"/>
  <c r="CP106" i="27"/>
  <c r="CP124" i="27" s="1"/>
  <c r="CP126" i="27" s="1"/>
  <c r="CB106" i="27"/>
  <c r="BK234" i="27"/>
  <c r="BL233" i="27"/>
  <c r="CJ59" i="27" s="1"/>
  <c r="BK209" i="26"/>
  <c r="CI83" i="26" s="1"/>
  <c r="BJ210" i="26"/>
  <c r="CN74" i="26"/>
  <c r="CH84" i="26"/>
  <c r="CH86" i="26" s="1"/>
  <c r="CB74" i="26"/>
  <c r="CP108" i="26"/>
  <c r="BZ108" i="26"/>
  <c r="BZ125" i="26" s="1"/>
  <c r="BK203" i="25"/>
  <c r="CM57" i="25" s="1"/>
  <c r="BJ204" i="25"/>
  <c r="CL58" i="25"/>
  <c r="CL60" i="25" s="1"/>
  <c r="CR44" i="25"/>
  <c r="CV117" i="25"/>
  <c r="CV138" i="25" s="1"/>
  <c r="CV140" i="25" s="1"/>
  <c r="CB117" i="25"/>
  <c r="CF44" i="25"/>
  <c r="CF55" i="25" s="1"/>
  <c r="CN48" i="24"/>
  <c r="CB48" i="24"/>
  <c r="CH58" i="24"/>
  <c r="CH60" i="24" s="1"/>
  <c r="CP82" i="24"/>
  <c r="BZ82" i="24"/>
  <c r="BZ99" i="24" s="1"/>
  <c r="BZ131" i="24" s="1"/>
  <c r="BJ183" i="24"/>
  <c r="BK182" i="24"/>
  <c r="CI57" i="24" s="1"/>
  <c r="CR46" i="23"/>
  <c r="CB46" i="23"/>
  <c r="CB55" i="23" s="1"/>
  <c r="CJ58" i="23"/>
  <c r="CJ60" i="23" s="1"/>
  <c r="BK203" i="23"/>
  <c r="CK57" i="23" s="1"/>
  <c r="BJ204" i="23"/>
  <c r="AW179" i="22"/>
  <c r="BU81" i="22" s="1"/>
  <c r="AV180" i="22"/>
  <c r="BN72" i="22"/>
  <c r="CB105" i="22"/>
  <c r="BT82" i="22"/>
  <c r="BT84" i="22" s="1"/>
  <c r="BL105" i="22"/>
  <c r="BL122" i="22" s="1"/>
  <c r="BZ72" i="22"/>
  <c r="K131" i="27" l="1"/>
  <c r="CQ130" i="31"/>
  <c r="BZ127" i="26"/>
  <c r="H42" i="24"/>
  <c r="H43" i="24" s="1"/>
  <c r="J42" i="27"/>
  <c r="K42" i="27"/>
  <c r="BS101" i="20"/>
  <c r="CF57" i="20"/>
  <c r="CC51" i="20" s="1"/>
  <c r="H42" i="26"/>
  <c r="H43" i="26" s="1"/>
  <c r="K126" i="23"/>
  <c r="K132" i="23" s="1"/>
  <c r="BL124" i="22"/>
  <c r="H42" i="22"/>
  <c r="H43" i="22" s="1"/>
  <c r="BQ125" i="30"/>
  <c r="H43" i="30"/>
  <c r="CS96" i="31"/>
  <c r="CS128" i="31" s="1"/>
  <c r="CW87" i="31"/>
  <c r="CW89" i="31" s="1"/>
  <c r="DA96" i="31"/>
  <c r="BK199" i="31"/>
  <c r="CX86" i="31" s="1"/>
  <c r="BJ200" i="31"/>
  <c r="BK125" i="20"/>
  <c r="BL124" i="20"/>
  <c r="CG57" i="20" s="1"/>
  <c r="BZ99" i="30"/>
  <c r="CH99" i="30"/>
  <c r="CG65" i="30"/>
  <c r="CA65" i="30"/>
  <c r="CA79" i="30" s="1"/>
  <c r="CD82" i="30"/>
  <c r="CD84" i="30" s="1"/>
  <c r="AY188" i="30"/>
  <c r="AZ187" i="30"/>
  <c r="CE81" i="30" s="1"/>
  <c r="CN58" i="29"/>
  <c r="CN60" i="29" s="1"/>
  <c r="CC108" i="29"/>
  <c r="CI43" i="29"/>
  <c r="CI55" i="29" s="1"/>
  <c r="CY108" i="29"/>
  <c r="CY130" i="29" s="1"/>
  <c r="CY132" i="29" s="1"/>
  <c r="CS43" i="29"/>
  <c r="BL92" i="29"/>
  <c r="CO57" i="29" s="1"/>
  <c r="BK134" i="29"/>
  <c r="CR105" i="27"/>
  <c r="CR124" i="27" s="1"/>
  <c r="CR126" i="27" s="1"/>
  <c r="CB105" i="27"/>
  <c r="CF46" i="28"/>
  <c r="CF57" i="28" s="1"/>
  <c r="CR46" i="28"/>
  <c r="CB79" i="28"/>
  <c r="CV79" i="28"/>
  <c r="CV100" i="28" s="1"/>
  <c r="CV102" i="28" s="1"/>
  <c r="CL60" i="28"/>
  <c r="CL62" i="28" s="1"/>
  <c r="BL234" i="28"/>
  <c r="CM59" i="28" s="1"/>
  <c r="BK235" i="28"/>
  <c r="BL234" i="27"/>
  <c r="CK59" i="27" s="1"/>
  <c r="BK235" i="27"/>
  <c r="CJ60" i="27"/>
  <c r="CJ62" i="27" s="1"/>
  <c r="CR48" i="27"/>
  <c r="CB48" i="27"/>
  <c r="CB57" i="27" s="1"/>
  <c r="BJ211" i="26"/>
  <c r="BK210" i="26"/>
  <c r="CJ83" i="26" s="1"/>
  <c r="CI84" i="26"/>
  <c r="CI86" i="26" s="1"/>
  <c r="CB73" i="26"/>
  <c r="CB107" i="26"/>
  <c r="CP73" i="26"/>
  <c r="CP107" i="26"/>
  <c r="CP125" i="26" s="1"/>
  <c r="CP127" i="26" s="1"/>
  <c r="BK204" i="25"/>
  <c r="CN57" i="25" s="1"/>
  <c r="BJ205" i="25"/>
  <c r="CM58" i="25"/>
  <c r="CM60" i="25" s="1"/>
  <c r="CH43" i="25"/>
  <c r="CH55" i="25" s="1"/>
  <c r="CX116" i="25"/>
  <c r="CX138" i="25" s="1"/>
  <c r="CX140" i="25" s="1"/>
  <c r="CR43" i="25"/>
  <c r="CB116" i="25"/>
  <c r="CB47" i="24"/>
  <c r="CI58" i="24"/>
  <c r="CI60" i="24" s="1"/>
  <c r="CP47" i="24"/>
  <c r="CP81" i="24"/>
  <c r="CP99" i="24" s="1"/>
  <c r="CP131" i="24" s="1"/>
  <c r="CB81" i="24"/>
  <c r="BJ184" i="24"/>
  <c r="BK183" i="24"/>
  <c r="CJ57" i="24" s="1"/>
  <c r="CK58" i="23"/>
  <c r="CK60" i="23" s="1"/>
  <c r="CD45" i="23"/>
  <c r="CD55" i="23" s="1"/>
  <c r="CB78" i="23"/>
  <c r="CT78" i="23"/>
  <c r="CT98" i="23" s="1"/>
  <c r="CT100" i="23" s="1"/>
  <c r="CR45" i="23"/>
  <c r="BJ205" i="23"/>
  <c r="BK204" i="23"/>
  <c r="CL57" i="23" s="1"/>
  <c r="AV181" i="22"/>
  <c r="AW180" i="22"/>
  <c r="BV81" i="22" s="1"/>
  <c r="BU82" i="22"/>
  <c r="BU84" i="22" s="1"/>
  <c r="BN71" i="22"/>
  <c r="CB71" i="22"/>
  <c r="CB104" i="22"/>
  <c r="CB122" i="22" s="1"/>
  <c r="CB124" i="22" s="1"/>
  <c r="BN104" i="22"/>
  <c r="CS130" i="31" l="1"/>
  <c r="K131" i="26"/>
  <c r="J42" i="26"/>
  <c r="K42" i="26"/>
  <c r="K131" i="24"/>
  <c r="J42" i="24"/>
  <c r="K42" i="24"/>
  <c r="K43" i="27"/>
  <c r="J43" i="27"/>
  <c r="CI51" i="20"/>
  <c r="CF58" i="20"/>
  <c r="CF60" i="20" s="1"/>
  <c r="BU85" i="20"/>
  <c r="BU99" i="20" s="1"/>
  <c r="CQ85" i="20"/>
  <c r="M131" i="30"/>
  <c r="K131" i="22"/>
  <c r="J42" i="22"/>
  <c r="K42" i="22"/>
  <c r="J42" i="30"/>
  <c r="K42" i="30"/>
  <c r="BK200" i="31"/>
  <c r="CY86" i="31" s="1"/>
  <c r="BJ201" i="31"/>
  <c r="CU95" i="31"/>
  <c r="CU128" i="31" s="1"/>
  <c r="CU130" i="31" s="1"/>
  <c r="CX87" i="31"/>
  <c r="CX89" i="31" s="1"/>
  <c r="DA95" i="31"/>
  <c r="CC50" i="20"/>
  <c r="CQ84" i="20"/>
  <c r="CK50" i="20"/>
  <c r="BW84" i="20"/>
  <c r="BW99" i="20" s="1"/>
  <c r="BW101" i="20" s="1"/>
  <c r="CG58" i="20"/>
  <c r="CG60" i="20" s="1"/>
  <c r="BL125" i="20"/>
  <c r="CH57" i="20" s="1"/>
  <c r="BK126" i="20"/>
  <c r="CJ98" i="30"/>
  <c r="CE82" i="30"/>
  <c r="CE84" i="30" s="1"/>
  <c r="CG64" i="30"/>
  <c r="BZ98" i="30"/>
  <c r="CC64" i="30"/>
  <c r="CC79" i="30" s="1"/>
  <c r="AZ188" i="30"/>
  <c r="CF81" i="30" s="1"/>
  <c r="AY189" i="30"/>
  <c r="BK135" i="29"/>
  <c r="BL134" i="29"/>
  <c r="CP57" i="29" s="1"/>
  <c r="CS42" i="29"/>
  <c r="CC107" i="29"/>
  <c r="CC130" i="29" s="1"/>
  <c r="CK42" i="29"/>
  <c r="CK55" i="29" s="1"/>
  <c r="CO58" i="29"/>
  <c r="CO60" i="29" s="1"/>
  <c r="DA107" i="29"/>
  <c r="DA130" i="29" s="1"/>
  <c r="DA132" i="29" s="1"/>
  <c r="BN103" i="22"/>
  <c r="CD103" i="22"/>
  <c r="CD122" i="22" s="1"/>
  <c r="CD124" i="22" s="1"/>
  <c r="CR106" i="26"/>
  <c r="CR125" i="26" s="1"/>
  <c r="CR127" i="26" s="1"/>
  <c r="CB106" i="26"/>
  <c r="CR80" i="24"/>
  <c r="CR99" i="24" s="1"/>
  <c r="CR131" i="24" s="1"/>
  <c r="CB80" i="24"/>
  <c r="BK236" i="28"/>
  <c r="BL235" i="28"/>
  <c r="CN59" i="28" s="1"/>
  <c r="CX78" i="28"/>
  <c r="CX100" i="28" s="1"/>
  <c r="CX102" i="28" s="1"/>
  <c r="CB78" i="28"/>
  <c r="CM60" i="28"/>
  <c r="CM62" i="28" s="1"/>
  <c r="CR45" i="28"/>
  <c r="CH45" i="28"/>
  <c r="CH57" i="28" s="1"/>
  <c r="BK236" i="27"/>
  <c r="BL235" i="27"/>
  <c r="CL59" i="27" s="1"/>
  <c r="CR47" i="27"/>
  <c r="CK60" i="27"/>
  <c r="CK62" i="27" s="1"/>
  <c r="CD47" i="27"/>
  <c r="CD57" i="27" s="1"/>
  <c r="CB104" i="27"/>
  <c r="CT104" i="27"/>
  <c r="CT124" i="27" s="1"/>
  <c r="CT126" i="27" s="1"/>
  <c r="CR72" i="26"/>
  <c r="CJ84" i="26"/>
  <c r="CJ86" i="26" s="1"/>
  <c r="CB72" i="26"/>
  <c r="CB81" i="26" s="1"/>
  <c r="BK211" i="26"/>
  <c r="CK83" i="26" s="1"/>
  <c r="BJ212" i="26"/>
  <c r="BK205" i="25"/>
  <c r="CO57" i="25" s="1"/>
  <c r="BJ206" i="25"/>
  <c r="CN58" i="25"/>
  <c r="CN60" i="25" s="1"/>
  <c r="CR42" i="25"/>
  <c r="CZ115" i="25"/>
  <c r="CZ138" i="25" s="1"/>
  <c r="CZ140" i="25" s="1"/>
  <c r="CJ42" i="25"/>
  <c r="CJ55" i="25" s="1"/>
  <c r="CB115" i="25"/>
  <c r="CB138" i="25" s="1"/>
  <c r="CJ58" i="24"/>
  <c r="CJ60" i="24" s="1"/>
  <c r="CR46" i="24"/>
  <c r="CB46" i="24"/>
  <c r="CB55" i="24" s="1"/>
  <c r="BJ185" i="24"/>
  <c r="BK184" i="24"/>
  <c r="CK57" i="24" s="1"/>
  <c r="CL58" i="23"/>
  <c r="CL60" i="23" s="1"/>
  <c r="CR44" i="23"/>
  <c r="CF44" i="23"/>
  <c r="CF55" i="23" s="1"/>
  <c r="CB77" i="23"/>
  <c r="CV77" i="23"/>
  <c r="CV98" i="23" s="1"/>
  <c r="CV100" i="23" s="1"/>
  <c r="BK205" i="23"/>
  <c r="CM57" i="23" s="1"/>
  <c r="BJ206" i="23"/>
  <c r="BV82" i="22"/>
  <c r="BV84" i="22" s="1"/>
  <c r="BN70" i="22"/>
  <c r="BN79" i="22" s="1"/>
  <c r="CD70" i="22"/>
  <c r="AW181" i="22"/>
  <c r="BW81" i="22" s="1"/>
  <c r="AV182" i="22"/>
  <c r="K126" i="27" l="1"/>
  <c r="K132" i="27" s="1"/>
  <c r="CC132" i="29"/>
  <c r="J131" i="29"/>
  <c r="J132" i="29" s="1"/>
  <c r="CB140" i="25"/>
  <c r="J131" i="25"/>
  <c r="J132" i="25" s="1"/>
  <c r="K43" i="24"/>
  <c r="J43" i="24"/>
  <c r="BU101" i="20"/>
  <c r="K43" i="26"/>
  <c r="J43" i="26"/>
  <c r="K43" i="22"/>
  <c r="J43" i="22"/>
  <c r="K43" i="30"/>
  <c r="J43" i="30"/>
  <c r="BK201" i="31"/>
  <c r="CZ86" i="31" s="1"/>
  <c r="BJ202" i="31"/>
  <c r="BK202" i="31" s="1"/>
  <c r="DA86" i="31" s="1"/>
  <c r="DA87" i="31" s="1"/>
  <c r="DA89" i="31" s="1"/>
  <c r="CY87" i="31"/>
  <c r="CY89" i="31" s="1"/>
  <c r="DA94" i="31"/>
  <c r="CW94" i="31"/>
  <c r="CW128" i="31" s="1"/>
  <c r="BY83" i="20"/>
  <c r="BY99" i="20" s="1"/>
  <c r="BY101" i="20" s="1"/>
  <c r="CQ83" i="20"/>
  <c r="CC49" i="20"/>
  <c r="CM49" i="20"/>
  <c r="CH58" i="20"/>
  <c r="CH60" i="20" s="1"/>
  <c r="BL126" i="20"/>
  <c r="CI57" i="20" s="1"/>
  <c r="BK127" i="20"/>
  <c r="BZ97" i="30"/>
  <c r="CL97" i="30"/>
  <c r="CF82" i="30"/>
  <c r="CF84" i="30" s="1"/>
  <c r="CG63" i="30"/>
  <c r="CG79" i="30" s="1"/>
  <c r="CE63" i="30"/>
  <c r="CE79" i="30" s="1"/>
  <c r="AY190" i="30"/>
  <c r="AZ189" i="30"/>
  <c r="CG81" i="30" s="1"/>
  <c r="BK136" i="29"/>
  <c r="BL135" i="29"/>
  <c r="CQ57" i="29" s="1"/>
  <c r="CP58" i="29"/>
  <c r="CP60" i="29" s="1"/>
  <c r="CL106" i="29"/>
  <c r="CS41" i="29"/>
  <c r="CT106" i="29"/>
  <c r="CM41" i="29"/>
  <c r="CM55" i="29" s="1"/>
  <c r="CR44" i="28"/>
  <c r="CB77" i="28"/>
  <c r="CB100" i="28" s="1"/>
  <c r="CN60" i="28"/>
  <c r="CN62" i="28" s="1"/>
  <c r="CJ44" i="28"/>
  <c r="CJ57" i="28" s="1"/>
  <c r="CZ77" i="28"/>
  <c r="CZ100" i="28" s="1"/>
  <c r="CZ102" i="28" s="1"/>
  <c r="BL236" i="28"/>
  <c r="CO59" i="28" s="1"/>
  <c r="BK237" i="28"/>
  <c r="CR46" i="27"/>
  <c r="CB103" i="27"/>
  <c r="CL60" i="27"/>
  <c r="CL62" i="27" s="1"/>
  <c r="CF46" i="27"/>
  <c r="CF57" i="27" s="1"/>
  <c r="CV103" i="27"/>
  <c r="CV124" i="27" s="1"/>
  <c r="CV126" i="27" s="1"/>
  <c r="BK237" i="27"/>
  <c r="BL236" i="27"/>
  <c r="CM59" i="27" s="1"/>
  <c r="CK84" i="26"/>
  <c r="CK86" i="26" s="1"/>
  <c r="CD71" i="26"/>
  <c r="CD81" i="26" s="1"/>
  <c r="CB105" i="26"/>
  <c r="CR71" i="26"/>
  <c r="CT105" i="26"/>
  <c r="CT125" i="26" s="1"/>
  <c r="CT127" i="26" s="1"/>
  <c r="BK212" i="26"/>
  <c r="CL83" i="26" s="1"/>
  <c r="BJ213" i="26"/>
  <c r="BK206" i="25"/>
  <c r="CP57" i="25" s="1"/>
  <c r="BJ207" i="25"/>
  <c r="CO58" i="25"/>
  <c r="CO60" i="25" s="1"/>
  <c r="CL41" i="25"/>
  <c r="CL55" i="25" s="1"/>
  <c r="CR41" i="25"/>
  <c r="CS114" i="25"/>
  <c r="CK114" i="25"/>
  <c r="CK58" i="24"/>
  <c r="CK60" i="24" s="1"/>
  <c r="CD45" i="24"/>
  <c r="CD55" i="24" s="1"/>
  <c r="CR45" i="24"/>
  <c r="CT79" i="24"/>
  <c r="CT99" i="24" s="1"/>
  <c r="CT131" i="24" s="1"/>
  <c r="CB79" i="24"/>
  <c r="BJ189" i="24"/>
  <c r="BK185" i="24"/>
  <c r="CL57" i="24" s="1"/>
  <c r="CM58" i="23"/>
  <c r="CM60" i="23" s="1"/>
  <c r="CH43" i="23"/>
  <c r="CH55" i="23" s="1"/>
  <c r="CB76" i="23"/>
  <c r="CR43" i="23"/>
  <c r="CX76" i="23"/>
  <c r="CX98" i="23" s="1"/>
  <c r="CX100" i="23" s="1"/>
  <c r="BJ207" i="23"/>
  <c r="BK206" i="23"/>
  <c r="CN57" i="23" s="1"/>
  <c r="AV183" i="22"/>
  <c r="AW182" i="22"/>
  <c r="BX81" i="22" s="1"/>
  <c r="BW82" i="22"/>
  <c r="BW84" i="22" s="1"/>
  <c r="BP69" i="22"/>
  <c r="BP79" i="22" s="1"/>
  <c r="CF102" i="22"/>
  <c r="CF122" i="22" s="1"/>
  <c r="CF124" i="22" s="1"/>
  <c r="BN102" i="22"/>
  <c r="CD69" i="22"/>
  <c r="CB102" i="28" l="1"/>
  <c r="J131" i="28"/>
  <c r="J132" i="28" s="1"/>
  <c r="M131" i="29"/>
  <c r="M132" i="29" s="1"/>
  <c r="CW130" i="31"/>
  <c r="M131" i="25"/>
  <c r="M132" i="25" s="1"/>
  <c r="K126" i="26"/>
  <c r="K132" i="26" s="1"/>
  <c r="K126" i="24"/>
  <c r="K132" i="24" s="1"/>
  <c r="K126" i="22"/>
  <c r="K132" i="22" s="1"/>
  <c r="K126" i="30"/>
  <c r="CY93" i="31"/>
  <c r="CY128" i="31" s="1"/>
  <c r="DA93" i="31"/>
  <c r="DA128" i="31" s="1"/>
  <c r="DA130" i="31" s="1"/>
  <c r="CZ87" i="31"/>
  <c r="CZ89" i="31" s="1"/>
  <c r="BO90" i="31" s="1"/>
  <c r="CA82" i="20"/>
  <c r="CA99" i="20" s="1"/>
  <c r="CA101" i="20" s="1"/>
  <c r="CC48" i="20"/>
  <c r="CO48" i="20"/>
  <c r="CI58" i="20"/>
  <c r="CI60" i="20" s="1"/>
  <c r="CQ82" i="20"/>
  <c r="BL127" i="20"/>
  <c r="CJ57" i="20" s="1"/>
  <c r="BK128" i="20"/>
  <c r="CG82" i="30"/>
  <c r="CG84" i="30" s="1"/>
  <c r="CN96" i="30"/>
  <c r="BZ96" i="30"/>
  <c r="AY191" i="30"/>
  <c r="AZ190" i="30"/>
  <c r="CH81" i="30" s="1"/>
  <c r="BL136" i="29"/>
  <c r="CR57" i="29" s="1"/>
  <c r="BK137" i="29"/>
  <c r="CS40" i="29"/>
  <c r="CL105" i="29"/>
  <c r="CQ58" i="29"/>
  <c r="CQ60" i="29" s="1"/>
  <c r="CO40" i="29"/>
  <c r="CO55" i="29" s="1"/>
  <c r="CV105" i="29"/>
  <c r="CR43" i="28"/>
  <c r="CO60" i="28"/>
  <c r="CO62" i="28" s="1"/>
  <c r="CS76" i="28"/>
  <c r="CK76" i="28"/>
  <c r="CL43" i="28"/>
  <c r="CL57" i="28" s="1"/>
  <c r="BK238" i="28"/>
  <c r="BL237" i="28"/>
  <c r="CP59" i="28" s="1"/>
  <c r="BL237" i="27"/>
  <c r="CN59" i="27" s="1"/>
  <c r="BK238" i="27"/>
  <c r="CM60" i="27"/>
  <c r="CM62" i="27" s="1"/>
  <c r="CR45" i="27"/>
  <c r="CH45" i="27"/>
  <c r="CH57" i="27" s="1"/>
  <c r="CX102" i="27"/>
  <c r="CX124" i="27" s="1"/>
  <c r="CX126" i="27" s="1"/>
  <c r="CB102" i="27"/>
  <c r="CL84" i="26"/>
  <c r="CL86" i="26" s="1"/>
  <c r="CR70" i="26"/>
  <c r="CF70" i="26"/>
  <c r="CF81" i="26" s="1"/>
  <c r="CV104" i="26"/>
  <c r="CV125" i="26" s="1"/>
  <c r="CV127" i="26" s="1"/>
  <c r="CB104" i="26"/>
  <c r="BK213" i="26"/>
  <c r="CM83" i="26" s="1"/>
  <c r="BJ214" i="26"/>
  <c r="BK207" i="25"/>
  <c r="CQ57" i="25" s="1"/>
  <c r="BJ208" i="25"/>
  <c r="CP58" i="25"/>
  <c r="CP60" i="25" s="1"/>
  <c r="CU113" i="25"/>
  <c r="CK113" i="25"/>
  <c r="CN40" i="25"/>
  <c r="CN55" i="25" s="1"/>
  <c r="CR40" i="25"/>
  <c r="CR44" i="24"/>
  <c r="CF44" i="24"/>
  <c r="CF55" i="24" s="1"/>
  <c r="CL58" i="24"/>
  <c r="CL60" i="24" s="1"/>
  <c r="CV78" i="24"/>
  <c r="CV99" i="24" s="1"/>
  <c r="CV131" i="24" s="1"/>
  <c r="CB78" i="24"/>
  <c r="BK189" i="24"/>
  <c r="CM57" i="24" s="1"/>
  <c r="BJ190" i="24"/>
  <c r="CN58" i="23"/>
  <c r="CN60" i="23" s="1"/>
  <c r="CZ75" i="23"/>
  <c r="CZ98" i="23" s="1"/>
  <c r="CZ100" i="23" s="1"/>
  <c r="CB75" i="23"/>
  <c r="CB98" i="23" s="1"/>
  <c r="CR42" i="23"/>
  <c r="CJ42" i="23"/>
  <c r="CJ55" i="23" s="1"/>
  <c r="BK207" i="23"/>
  <c r="CO57" i="23" s="1"/>
  <c r="BJ208" i="23"/>
  <c r="BR68" i="22"/>
  <c r="BR79" i="22" s="1"/>
  <c r="BX82" i="22"/>
  <c r="BX84" i="22" s="1"/>
  <c r="CH101" i="22"/>
  <c r="CH122" i="22" s="1"/>
  <c r="CH124" i="22" s="1"/>
  <c r="BN101" i="22"/>
  <c r="CD68" i="22"/>
  <c r="AW183" i="22"/>
  <c r="BY81" i="22" s="1"/>
  <c r="AV184" i="22"/>
  <c r="BM90" i="31" l="1"/>
  <c r="BN90" i="31" s="1"/>
  <c r="M131" i="28"/>
  <c r="M132" i="28" s="1"/>
  <c r="CY130" i="31"/>
  <c r="L131" i="31" s="1"/>
  <c r="H47" i="31"/>
  <c r="H48" i="31" s="1"/>
  <c r="I131" i="31"/>
  <c r="I132" i="31" s="1"/>
  <c r="H42" i="20"/>
  <c r="H43" i="20" s="1"/>
  <c r="CB100" i="23"/>
  <c r="M131" i="23" s="1"/>
  <c r="M132" i="23" s="1"/>
  <c r="J131" i="23"/>
  <c r="J132" i="23" s="1"/>
  <c r="BL128" i="20"/>
  <c r="CK57" i="20" s="1"/>
  <c r="BK129" i="20"/>
  <c r="CQ47" i="20"/>
  <c r="CQ81" i="20"/>
  <c r="CQ99" i="20" s="1"/>
  <c r="CQ101" i="20" s="1"/>
  <c r="CC81" i="20"/>
  <c r="CJ58" i="20"/>
  <c r="CJ60" i="20" s="1"/>
  <c r="CC47" i="20"/>
  <c r="AY192" i="30"/>
  <c r="AZ191" i="30"/>
  <c r="CI81" i="30" s="1"/>
  <c r="BZ95" i="30"/>
  <c r="BZ123" i="30" s="1"/>
  <c r="CP95" i="30"/>
  <c r="CH82" i="30"/>
  <c r="CH84" i="30" s="1"/>
  <c r="CR58" i="29"/>
  <c r="CR60" i="29" s="1"/>
  <c r="CS39" i="29"/>
  <c r="CS55" i="29" s="1"/>
  <c r="CQ39" i="29"/>
  <c r="CQ55" i="29" s="1"/>
  <c r="CX104" i="29"/>
  <c r="CL104" i="29"/>
  <c r="BK138" i="29"/>
  <c r="BL137" i="29"/>
  <c r="CS57" i="29" s="1"/>
  <c r="BL238" i="28"/>
  <c r="CQ59" i="28" s="1"/>
  <c r="BK239" i="28"/>
  <c r="CN42" i="28"/>
  <c r="CN57" i="28" s="1"/>
  <c r="CR42" i="28"/>
  <c r="CK75" i="28"/>
  <c r="CU75" i="28"/>
  <c r="CP60" i="28"/>
  <c r="CP62" i="28" s="1"/>
  <c r="BK239" i="27"/>
  <c r="BL238" i="27"/>
  <c r="CO59" i="27" s="1"/>
  <c r="CN60" i="27"/>
  <c r="CN62" i="27" s="1"/>
  <c r="CR44" i="27"/>
  <c r="CB101" i="27"/>
  <c r="CB124" i="27" s="1"/>
  <c r="CZ101" i="27"/>
  <c r="CZ124" i="27" s="1"/>
  <c r="CZ126" i="27" s="1"/>
  <c r="CJ44" i="27"/>
  <c r="CJ57" i="27" s="1"/>
  <c r="CM84" i="26"/>
  <c r="CM86" i="26" s="1"/>
  <c r="CH69" i="26"/>
  <c r="CH81" i="26" s="1"/>
  <c r="CB103" i="26"/>
  <c r="CX103" i="26"/>
  <c r="CX125" i="26" s="1"/>
  <c r="CX127" i="26" s="1"/>
  <c r="CR69" i="26"/>
  <c r="BJ215" i="26"/>
  <c r="BK214" i="26"/>
  <c r="CN83" i="26" s="1"/>
  <c r="BK208" i="25"/>
  <c r="CR57" i="25" s="1"/>
  <c r="BJ209" i="25"/>
  <c r="CR39" i="25"/>
  <c r="CR55" i="25" s="1"/>
  <c r="CP39" i="25"/>
  <c r="CP55" i="25" s="1"/>
  <c r="CQ58" i="25"/>
  <c r="CQ60" i="25" s="1"/>
  <c r="CK112" i="25"/>
  <c r="CW112" i="25"/>
  <c r="BJ191" i="24"/>
  <c r="BK190" i="24"/>
  <c r="CN57" i="24" s="1"/>
  <c r="CH43" i="24"/>
  <c r="CH55" i="24" s="1"/>
  <c r="CM58" i="24"/>
  <c r="CM60" i="24" s="1"/>
  <c r="CR43" i="24"/>
  <c r="CX77" i="24"/>
  <c r="CX99" i="24" s="1"/>
  <c r="CX131" i="24" s="1"/>
  <c r="CB77" i="24"/>
  <c r="BJ209" i="23"/>
  <c r="BK208" i="23"/>
  <c r="CP57" i="23" s="1"/>
  <c r="CL41" i="23"/>
  <c r="CL55" i="23" s="1"/>
  <c r="CO58" i="23"/>
  <c r="CO60" i="23" s="1"/>
  <c r="CR41" i="23"/>
  <c r="CK74" i="23"/>
  <c r="CS74" i="23"/>
  <c r="BY82" i="22"/>
  <c r="BY84" i="22" s="1"/>
  <c r="CD67" i="22"/>
  <c r="BN100" i="22"/>
  <c r="BT67" i="22"/>
  <c r="BT79" i="22" s="1"/>
  <c r="CJ100" i="22"/>
  <c r="CJ122" i="22" s="1"/>
  <c r="CJ124" i="22" s="1"/>
  <c r="AV185" i="22"/>
  <c r="AW184" i="22"/>
  <c r="BZ81" i="22" s="1"/>
  <c r="L48" i="31" l="1"/>
  <c r="K48" i="31"/>
  <c r="CB126" i="27"/>
  <c r="J131" i="27"/>
  <c r="J132" i="27" s="1"/>
  <c r="J42" i="20"/>
  <c r="K42" i="20"/>
  <c r="K131" i="20"/>
  <c r="BZ125" i="30"/>
  <c r="BL129" i="20"/>
  <c r="CL57" i="20" s="1"/>
  <c r="BK130" i="20"/>
  <c r="CC46" i="20"/>
  <c r="CC55" i="20" s="1"/>
  <c r="CC80" i="20"/>
  <c r="CS46" i="20"/>
  <c r="CS80" i="20"/>
  <c r="CS99" i="20" s="1"/>
  <c r="CS101" i="20" s="1"/>
  <c r="CK58" i="20"/>
  <c r="CK60" i="20" s="1"/>
  <c r="CP94" i="30"/>
  <c r="CB94" i="30"/>
  <c r="CB123" i="30" s="1"/>
  <c r="CB125" i="30" s="1"/>
  <c r="CI82" i="30"/>
  <c r="CI84" i="30" s="1"/>
  <c r="AZ192" i="30"/>
  <c r="CJ81" i="30" s="1"/>
  <c r="AY193" i="30"/>
  <c r="CL103" i="29"/>
  <c r="CS58" i="29"/>
  <c r="CS60" i="29" s="1"/>
  <c r="CZ103" i="29"/>
  <c r="BK139" i="29"/>
  <c r="BL138" i="29"/>
  <c r="CT57" i="29" s="1"/>
  <c r="BK240" i="28"/>
  <c r="BL239" i="28"/>
  <c r="CR59" i="28" s="1"/>
  <c r="CW74" i="28"/>
  <c r="CK74" i="28"/>
  <c r="CQ60" i="28"/>
  <c r="CQ62" i="28" s="1"/>
  <c r="CR41" i="28"/>
  <c r="CR57" i="28" s="1"/>
  <c r="CP41" i="28"/>
  <c r="CP57" i="28" s="1"/>
  <c r="CS100" i="27"/>
  <c r="CK100" i="27"/>
  <c r="CO60" i="27"/>
  <c r="CO62" i="27" s="1"/>
  <c r="CR43" i="27"/>
  <c r="CL43" i="27"/>
  <c r="CL57" i="27" s="1"/>
  <c r="BL239" i="27"/>
  <c r="CP59" i="27" s="1"/>
  <c r="BK240" i="27"/>
  <c r="BK215" i="26"/>
  <c r="CO83" i="26" s="1"/>
  <c r="BJ216" i="26"/>
  <c r="CN84" i="26"/>
  <c r="CN86" i="26" s="1"/>
  <c r="CR68" i="26"/>
  <c r="CJ68" i="26"/>
  <c r="CJ81" i="26" s="1"/>
  <c r="CZ102" i="26"/>
  <c r="CZ125" i="26" s="1"/>
  <c r="CZ127" i="26" s="1"/>
  <c r="CB102" i="26"/>
  <c r="CB125" i="26" s="1"/>
  <c r="BK209" i="25"/>
  <c r="CS57" i="25" s="1"/>
  <c r="BJ210" i="25"/>
  <c r="CR58" i="25"/>
  <c r="CR60" i="25" s="1"/>
  <c r="CY111" i="25"/>
  <c r="CK111" i="25"/>
  <c r="CN58" i="24"/>
  <c r="CN60" i="24" s="1"/>
  <c r="CR42" i="24"/>
  <c r="CJ42" i="24"/>
  <c r="CJ55" i="24" s="1"/>
  <c r="CZ76" i="24"/>
  <c r="CZ99" i="24" s="1"/>
  <c r="CZ131" i="24" s="1"/>
  <c r="CB76" i="24"/>
  <c r="CB99" i="24" s="1"/>
  <c r="BK191" i="24"/>
  <c r="CO57" i="24" s="1"/>
  <c r="BJ192" i="24"/>
  <c r="CP58" i="23"/>
  <c r="CP60" i="23" s="1"/>
  <c r="CN40" i="23"/>
  <c r="CN55" i="23" s="1"/>
  <c r="CR40" i="23"/>
  <c r="CU73" i="23"/>
  <c r="CK73" i="23"/>
  <c r="BK209" i="23"/>
  <c r="CQ57" i="23" s="1"/>
  <c r="BJ210" i="23"/>
  <c r="AW185" i="22"/>
  <c r="CA81" i="22" s="1"/>
  <c r="AV186" i="22"/>
  <c r="BZ82" i="22"/>
  <c r="BZ84" i="22" s="1"/>
  <c r="BV66" i="22"/>
  <c r="BV79" i="22" s="1"/>
  <c r="CL99" i="22"/>
  <c r="CL122" i="22" s="1"/>
  <c r="CL124" i="22" s="1"/>
  <c r="BN99" i="22"/>
  <c r="BN122" i="22" s="1"/>
  <c r="CD66" i="22"/>
  <c r="M131" i="27" l="1"/>
  <c r="M132" i="27" s="1"/>
  <c r="K49" i="31"/>
  <c r="L49" i="31"/>
  <c r="CB127" i="26"/>
  <c r="J131" i="26"/>
  <c r="J132" i="26" s="1"/>
  <c r="CB131" i="24"/>
  <c r="J131" i="24"/>
  <c r="J132" i="24" s="1"/>
  <c r="K43" i="20"/>
  <c r="J43" i="20"/>
  <c r="BN124" i="22"/>
  <c r="M131" i="22" s="1"/>
  <c r="M132" i="22" s="1"/>
  <c r="J131" i="22"/>
  <c r="J132" i="22" s="1"/>
  <c r="BL130" i="20"/>
  <c r="CM57" i="20" s="1"/>
  <c r="BK131" i="20"/>
  <c r="CE45" i="20"/>
  <c r="CE55" i="20" s="1"/>
  <c r="CU79" i="20"/>
  <c r="CU99" i="20" s="1"/>
  <c r="CU101" i="20" s="1"/>
  <c r="CL58" i="20"/>
  <c r="CL60" i="20" s="1"/>
  <c r="CS45" i="20"/>
  <c r="CC79" i="20"/>
  <c r="CD93" i="30"/>
  <c r="CD123" i="30" s="1"/>
  <c r="CD125" i="30" s="1"/>
  <c r="CJ82" i="30"/>
  <c r="CJ84" i="30" s="1"/>
  <c r="CP93" i="30"/>
  <c r="AY194" i="30"/>
  <c r="AZ193" i="30"/>
  <c r="CK81" i="30" s="1"/>
  <c r="CT58" i="29"/>
  <c r="CT60" i="29" s="1"/>
  <c r="DB102" i="29"/>
  <c r="CL102" i="29"/>
  <c r="CL130" i="29" s="1"/>
  <c r="BK140" i="29"/>
  <c r="BL139" i="29"/>
  <c r="CU57" i="29" s="1"/>
  <c r="CK73" i="28"/>
  <c r="CR60" i="28"/>
  <c r="CR62" i="28" s="1"/>
  <c r="CY73" i="28"/>
  <c r="BL240" i="28"/>
  <c r="CS59" i="28" s="1"/>
  <c r="BK241" i="28"/>
  <c r="CR42" i="27"/>
  <c r="CK99" i="27"/>
  <c r="CN42" i="27"/>
  <c r="CN57" i="27" s="1"/>
  <c r="CP60" i="27"/>
  <c r="CP62" i="27" s="1"/>
  <c r="CU99" i="27"/>
  <c r="BK241" i="27"/>
  <c r="BL240" i="27"/>
  <c r="CQ59" i="27" s="1"/>
  <c r="BK216" i="26"/>
  <c r="CP83" i="26" s="1"/>
  <c r="BJ217" i="26"/>
  <c r="CL67" i="26"/>
  <c r="CL81" i="26" s="1"/>
  <c r="CK101" i="26"/>
  <c r="CO84" i="26"/>
  <c r="CO86" i="26" s="1"/>
  <c r="CR67" i="26"/>
  <c r="CS101" i="26"/>
  <c r="BK210" i="25"/>
  <c r="CT57" i="25" s="1"/>
  <c r="BJ211" i="25"/>
  <c r="CS58" i="25"/>
  <c r="CS60" i="25" s="1"/>
  <c r="DA110" i="25"/>
  <c r="CK110" i="25"/>
  <c r="CK138" i="25" s="1"/>
  <c r="BJ193" i="24"/>
  <c r="BK192" i="24"/>
  <c r="CP57" i="24" s="1"/>
  <c r="CO58" i="24"/>
  <c r="CO60" i="24" s="1"/>
  <c r="CL41" i="24"/>
  <c r="CL55" i="24" s="1"/>
  <c r="CR41" i="24"/>
  <c r="CS75" i="24"/>
  <c r="CK75" i="24"/>
  <c r="BJ211" i="23"/>
  <c r="BK210" i="23"/>
  <c r="CR57" i="23" s="1"/>
  <c r="CQ58" i="23"/>
  <c r="CQ60" i="23" s="1"/>
  <c r="CR39" i="23"/>
  <c r="CR55" i="23" s="1"/>
  <c r="CP39" i="23"/>
  <c r="CP55" i="23" s="1"/>
  <c r="CK72" i="23"/>
  <c r="CW72" i="23"/>
  <c r="AV187" i="22"/>
  <c r="AW186" i="22"/>
  <c r="CB81" i="22" s="1"/>
  <c r="CA82" i="22"/>
  <c r="CA84" i="22" s="1"/>
  <c r="CD65" i="22"/>
  <c r="BX65" i="22"/>
  <c r="BX79" i="22" s="1"/>
  <c r="CE98" i="22"/>
  <c r="BW98" i="22"/>
  <c r="CL132" i="29" l="1"/>
  <c r="L126" i="31"/>
  <c r="L132" i="31" s="1"/>
  <c r="BO131" i="31" s="1"/>
  <c r="CK140" i="25"/>
  <c r="M131" i="26"/>
  <c r="M132" i="26" s="1"/>
  <c r="M131" i="24"/>
  <c r="M132" i="24" s="1"/>
  <c r="K126" i="20"/>
  <c r="K132" i="20" s="1"/>
  <c r="BL131" i="20"/>
  <c r="CN57" i="20" s="1"/>
  <c r="BK132" i="20"/>
  <c r="CC78" i="20"/>
  <c r="CW78" i="20"/>
  <c r="CW99" i="20" s="1"/>
  <c r="CW101" i="20" s="1"/>
  <c r="CS44" i="20"/>
  <c r="CM58" i="20"/>
  <c r="CM60" i="20" s="1"/>
  <c r="CG44" i="20"/>
  <c r="CG55" i="20" s="1"/>
  <c r="AY195" i="30"/>
  <c r="AZ194" i="30"/>
  <c r="CL81" i="30" s="1"/>
  <c r="CK82" i="30"/>
  <c r="CK84" i="30" s="1"/>
  <c r="CP92" i="30"/>
  <c r="CF92" i="30"/>
  <c r="CF123" i="30" s="1"/>
  <c r="CF125" i="30" s="1"/>
  <c r="CN101" i="29"/>
  <c r="CN130" i="29" s="1"/>
  <c r="CN132" i="29" s="1"/>
  <c r="CU58" i="29"/>
  <c r="CU60" i="29" s="1"/>
  <c r="DB101" i="29"/>
  <c r="BK141" i="29"/>
  <c r="BL140" i="29"/>
  <c r="CV57" i="29" s="1"/>
  <c r="CS60" i="28"/>
  <c r="CS62" i="28" s="1"/>
  <c r="DA72" i="28"/>
  <c r="CK72" i="28"/>
  <c r="CK100" i="28" s="1"/>
  <c r="BK242" i="28"/>
  <c r="BL241" i="28"/>
  <c r="CT59" i="28" s="1"/>
  <c r="BL241" i="27"/>
  <c r="CR59" i="27" s="1"/>
  <c r="BK242" i="27"/>
  <c r="CR41" i="27"/>
  <c r="CR57" i="27" s="1"/>
  <c r="CP41" i="27"/>
  <c r="CP57" i="27" s="1"/>
  <c r="CW98" i="27"/>
  <c r="CK98" i="27"/>
  <c r="CQ60" i="27"/>
  <c r="CQ62" i="27" s="1"/>
  <c r="BK217" i="26"/>
  <c r="CQ83" i="26" s="1"/>
  <c r="BJ218" i="26"/>
  <c r="CP84" i="26"/>
  <c r="CP86" i="26" s="1"/>
  <c r="CR66" i="26"/>
  <c r="CN66" i="26"/>
  <c r="CN81" i="26" s="1"/>
  <c r="CU100" i="26"/>
  <c r="CK100" i="26"/>
  <c r="BK211" i="25"/>
  <c r="CU57" i="25" s="1"/>
  <c r="BJ212" i="25"/>
  <c r="CT58" i="25"/>
  <c r="CT60" i="25" s="1"/>
  <c r="DA109" i="25"/>
  <c r="CM109" i="25"/>
  <c r="CM138" i="25" s="1"/>
  <c r="CM140" i="25" s="1"/>
  <c r="CR40" i="24"/>
  <c r="CN40" i="24"/>
  <c r="CN55" i="24" s="1"/>
  <c r="CP58" i="24"/>
  <c r="CP60" i="24" s="1"/>
  <c r="CU74" i="24"/>
  <c r="CK74" i="24"/>
  <c r="BK193" i="24"/>
  <c r="CQ57" i="24" s="1"/>
  <c r="BJ194" i="24"/>
  <c r="CR58" i="23"/>
  <c r="CR60" i="23" s="1"/>
  <c r="CY71" i="23"/>
  <c r="CK71" i="23"/>
  <c r="BK211" i="23"/>
  <c r="CS57" i="23" s="1"/>
  <c r="BJ212" i="23"/>
  <c r="BZ64" i="22"/>
  <c r="BZ79" i="22" s="1"/>
  <c r="CB82" i="22"/>
  <c r="CB84" i="22" s="1"/>
  <c r="CG97" i="22"/>
  <c r="BW97" i="22"/>
  <c r="CD64" i="22"/>
  <c r="AW187" i="22"/>
  <c r="CC81" i="22" s="1"/>
  <c r="AV188" i="22"/>
  <c r="BM131" i="31" l="1"/>
  <c r="BN131" i="31" s="1"/>
  <c r="CK102" i="28"/>
  <c r="M132" i="30"/>
  <c r="K132" i="30"/>
  <c r="BK133" i="20"/>
  <c r="BL132" i="20"/>
  <c r="CO57" i="20" s="1"/>
  <c r="CC77" i="20"/>
  <c r="CN58" i="20"/>
  <c r="CN60" i="20" s="1"/>
  <c r="CI43" i="20"/>
  <c r="CI55" i="20" s="1"/>
  <c r="CY77" i="20"/>
  <c r="CY99" i="20" s="1"/>
  <c r="CY101" i="20" s="1"/>
  <c r="CS43" i="20"/>
  <c r="CH91" i="30"/>
  <c r="CH123" i="30" s="1"/>
  <c r="CH125" i="30" s="1"/>
  <c r="CP91" i="30"/>
  <c r="CL82" i="30"/>
  <c r="CL84" i="30" s="1"/>
  <c r="AY196" i="30"/>
  <c r="AZ195" i="30"/>
  <c r="CM81" i="30" s="1"/>
  <c r="BK142" i="29"/>
  <c r="BL141" i="29"/>
  <c r="CW57" i="29" s="1"/>
  <c r="CV58" i="29"/>
  <c r="CV60" i="29" s="1"/>
  <c r="DB100" i="29"/>
  <c r="CP100" i="29"/>
  <c r="CP130" i="29" s="1"/>
  <c r="BL242" i="28"/>
  <c r="CU59" i="28" s="1"/>
  <c r="BK243" i="28"/>
  <c r="CM71" i="28"/>
  <c r="CM100" i="28" s="1"/>
  <c r="CM102" i="28" s="1"/>
  <c r="CT60" i="28"/>
  <c r="CT62" i="28" s="1"/>
  <c r="DA71" i="28"/>
  <c r="BK243" i="27"/>
  <c r="BL242" i="27"/>
  <c r="CS59" i="27" s="1"/>
  <c r="CR60" i="27"/>
  <c r="CR62" i="27" s="1"/>
  <c r="CK97" i="27"/>
  <c r="CY97" i="27"/>
  <c r="BJ219" i="26"/>
  <c r="BK218" i="26"/>
  <c r="CR83" i="26" s="1"/>
  <c r="CQ84" i="26"/>
  <c r="CQ86" i="26" s="1"/>
  <c r="CR65" i="26"/>
  <c r="CR81" i="26" s="1"/>
  <c r="CK99" i="26"/>
  <c r="CW99" i="26"/>
  <c r="CP65" i="26"/>
  <c r="CP81" i="26" s="1"/>
  <c r="BK212" i="25"/>
  <c r="CV57" i="25" s="1"/>
  <c r="BJ213" i="25"/>
  <c r="CU58" i="25"/>
  <c r="CU60" i="25" s="1"/>
  <c r="DA108" i="25"/>
  <c r="CO108" i="25"/>
  <c r="CO138" i="25" s="1"/>
  <c r="BJ195" i="24"/>
  <c r="BK194" i="24"/>
  <c r="CR57" i="24" s="1"/>
  <c r="CP39" i="24"/>
  <c r="CP55" i="24" s="1"/>
  <c r="CQ58" i="24"/>
  <c r="CQ60" i="24" s="1"/>
  <c r="CR39" i="24"/>
  <c r="CR55" i="24" s="1"/>
  <c r="CW73" i="24"/>
  <c r="CK73" i="24"/>
  <c r="CS58" i="23"/>
  <c r="CS60" i="23" s="1"/>
  <c r="CK70" i="23"/>
  <c r="CK98" i="23" s="1"/>
  <c r="DA70" i="23"/>
  <c r="BJ213" i="23"/>
  <c r="BK212" i="23"/>
  <c r="CT57" i="23" s="1"/>
  <c r="CC82" i="22"/>
  <c r="CC84" i="22" s="1"/>
  <c r="CB63" i="22"/>
  <c r="CB79" i="22" s="1"/>
  <c r="CI96" i="22"/>
  <c r="CD63" i="22"/>
  <c r="CD79" i="22" s="1"/>
  <c r="BW96" i="22"/>
  <c r="AV189" i="22"/>
  <c r="AW188" i="22"/>
  <c r="CD81" i="22" s="1"/>
  <c r="CP132" i="29" l="1"/>
  <c r="CO140" i="25"/>
  <c r="CK100" i="23"/>
  <c r="DA76" i="20"/>
  <c r="DA99" i="20" s="1"/>
  <c r="DA101" i="20" s="1"/>
  <c r="CK42" i="20"/>
  <c r="CK55" i="20" s="1"/>
  <c r="CO58" i="20"/>
  <c r="CO60" i="20" s="1"/>
  <c r="CC76" i="20"/>
  <c r="CC99" i="20" s="1"/>
  <c r="CS42" i="20"/>
  <c r="BK134" i="20"/>
  <c r="BL133" i="20"/>
  <c r="CP57" i="20" s="1"/>
  <c r="AZ196" i="30"/>
  <c r="CN81" i="30" s="1"/>
  <c r="AY197" i="30"/>
  <c r="CP90" i="30"/>
  <c r="CM82" i="30"/>
  <c r="CM84" i="30" s="1"/>
  <c r="CJ90" i="30"/>
  <c r="CJ123" i="30" s="1"/>
  <c r="CJ125" i="30" s="1"/>
  <c r="BK143" i="29"/>
  <c r="BL142" i="29"/>
  <c r="CX57" i="29" s="1"/>
  <c r="CR99" i="29"/>
  <c r="CR130" i="29" s="1"/>
  <c r="DB99" i="29"/>
  <c r="CW58" i="29"/>
  <c r="CW60" i="29" s="1"/>
  <c r="BK244" i="28"/>
  <c r="BL243" i="28"/>
  <c r="CV59" i="28" s="1"/>
  <c r="DA70" i="28"/>
  <c r="CU60" i="28"/>
  <c r="CU62" i="28" s="1"/>
  <c r="CO70" i="28"/>
  <c r="CO100" i="28" s="1"/>
  <c r="CK96" i="27"/>
  <c r="CK124" i="27" s="1"/>
  <c r="CK126" i="27" s="1"/>
  <c r="CS60" i="27"/>
  <c r="CS62" i="27" s="1"/>
  <c r="DA96" i="27"/>
  <c r="BL243" i="27"/>
  <c r="CT59" i="27" s="1"/>
  <c r="BK244" i="27"/>
  <c r="BK219" i="26"/>
  <c r="CS83" i="26" s="1"/>
  <c r="BJ220" i="26"/>
  <c r="CR84" i="26"/>
  <c r="CR86" i="26" s="1"/>
  <c r="CY98" i="26"/>
  <c r="CK98" i="26"/>
  <c r="BK213" i="25"/>
  <c r="CW57" i="25" s="1"/>
  <c r="BJ214" i="25"/>
  <c r="DA107" i="25"/>
  <c r="CV58" i="25"/>
  <c r="CV60" i="25" s="1"/>
  <c r="CQ107" i="25"/>
  <c r="CQ138" i="25" s="1"/>
  <c r="CR58" i="24"/>
  <c r="CR60" i="24" s="1"/>
  <c r="CY72" i="24"/>
  <c r="CK72" i="24"/>
  <c r="BK195" i="24"/>
  <c r="CS57" i="24" s="1"/>
  <c r="BJ196" i="24"/>
  <c r="BK213" i="23"/>
  <c r="CU57" i="23" s="1"/>
  <c r="BJ214" i="23"/>
  <c r="CT58" i="23"/>
  <c r="CT60" i="23" s="1"/>
  <c r="CM69" i="23"/>
  <c r="CM98" i="23" s="1"/>
  <c r="CM100" i="23" s="1"/>
  <c r="DA69" i="23"/>
  <c r="AW189" i="22"/>
  <c r="CE81" i="22" s="1"/>
  <c r="AV190" i="22"/>
  <c r="CD82" i="22"/>
  <c r="CD84" i="22" s="1"/>
  <c r="CK95" i="22"/>
  <c r="BW95" i="22"/>
  <c r="CO102" i="28" l="1"/>
  <c r="CR132" i="29"/>
  <c r="CQ140" i="25"/>
  <c r="CC101" i="20"/>
  <c r="M131" i="20" s="1"/>
  <c r="M132" i="20" s="1"/>
  <c r="J131" i="20"/>
  <c r="J132" i="20" s="1"/>
  <c r="BL134" i="20"/>
  <c r="CQ57" i="20" s="1"/>
  <c r="BK135" i="20"/>
  <c r="CL75" i="20"/>
  <c r="CM41" i="20"/>
  <c r="CM55" i="20" s="1"/>
  <c r="CT75" i="20"/>
  <c r="CP58" i="20"/>
  <c r="CP60" i="20" s="1"/>
  <c r="CS41" i="20"/>
  <c r="AY198" i="30"/>
  <c r="AZ198" i="30" s="1"/>
  <c r="CP81" i="30" s="1"/>
  <c r="CP82" i="30" s="1"/>
  <c r="CP84" i="30" s="1"/>
  <c r="AZ197" i="30"/>
  <c r="CO81" i="30" s="1"/>
  <c r="CL89" i="30"/>
  <c r="CL123" i="30" s="1"/>
  <c r="CL125" i="30" s="1"/>
  <c r="CP89" i="30"/>
  <c r="CN82" i="30"/>
  <c r="CN84" i="30" s="1"/>
  <c r="CX58" i="29"/>
  <c r="CX60" i="29" s="1"/>
  <c r="CT98" i="29"/>
  <c r="CT130" i="29" s="1"/>
  <c r="DB98" i="29"/>
  <c r="BK144" i="29"/>
  <c r="BL143" i="29"/>
  <c r="CY57" i="29" s="1"/>
  <c r="CV60" i="28"/>
  <c r="CV62" i="28" s="1"/>
  <c r="CQ69" i="28"/>
  <c r="CQ100" i="28" s="1"/>
  <c r="DA69" i="28"/>
  <c r="BL244" i="28"/>
  <c r="CW59" i="28" s="1"/>
  <c r="BK245" i="28"/>
  <c r="CM95" i="27"/>
  <c r="CM124" i="27" s="1"/>
  <c r="CM126" i="27" s="1"/>
  <c r="CT60" i="27"/>
  <c r="CT62" i="27" s="1"/>
  <c r="DA95" i="27"/>
  <c r="BK245" i="27"/>
  <c r="BL244" i="27"/>
  <c r="CU59" i="27" s="1"/>
  <c r="BK220" i="26"/>
  <c r="CT83" i="26" s="1"/>
  <c r="BJ221" i="26"/>
  <c r="CS84" i="26"/>
  <c r="CS86" i="26" s="1"/>
  <c r="CK97" i="26"/>
  <c r="CK125" i="26" s="1"/>
  <c r="DA97" i="26"/>
  <c r="BK214" i="25"/>
  <c r="CX57" i="25" s="1"/>
  <c r="BJ215" i="25"/>
  <c r="CW58" i="25"/>
  <c r="CW60" i="25" s="1"/>
  <c r="CS106" i="25"/>
  <c r="CS138" i="25" s="1"/>
  <c r="CS140" i="25" s="1"/>
  <c r="DA106" i="25"/>
  <c r="CS58" i="24"/>
  <c r="CS60" i="24" s="1"/>
  <c r="DA71" i="24"/>
  <c r="CK71" i="24"/>
  <c r="CK99" i="24" s="1"/>
  <c r="BJ197" i="24"/>
  <c r="BK196" i="24"/>
  <c r="CT57" i="24" s="1"/>
  <c r="BJ215" i="23"/>
  <c r="BK214" i="23"/>
  <c r="CV57" i="23" s="1"/>
  <c r="CU58" i="23"/>
  <c r="CU60" i="23" s="1"/>
  <c r="CO68" i="23"/>
  <c r="CO98" i="23" s="1"/>
  <c r="CO100" i="23" s="1"/>
  <c r="DA68" i="23"/>
  <c r="AV191" i="22"/>
  <c r="AW190" i="22"/>
  <c r="CF81" i="22" s="1"/>
  <c r="CE82" i="22"/>
  <c r="CE84" i="22" s="1"/>
  <c r="CM94" i="22"/>
  <c r="BW94" i="22"/>
  <c r="BW122" i="22" s="1"/>
  <c r="CQ102" i="28" l="1"/>
  <c r="CT132" i="29"/>
  <c r="CK127" i="26"/>
  <c r="CK131" i="24"/>
  <c r="BW124" i="22"/>
  <c r="CL74" i="20"/>
  <c r="CQ58" i="20"/>
  <c r="CQ60" i="20" s="1"/>
  <c r="CS40" i="20"/>
  <c r="CO40" i="20"/>
  <c r="CO55" i="20" s="1"/>
  <c r="CV74" i="20"/>
  <c r="BK136" i="20"/>
  <c r="BL135" i="20"/>
  <c r="CR57" i="20" s="1"/>
  <c r="CO82" i="30"/>
  <c r="CO84" i="30" s="1"/>
  <c r="CP88" i="30"/>
  <c r="CP123" i="30" s="1"/>
  <c r="CN88" i="30"/>
  <c r="CN123" i="30" s="1"/>
  <c r="CN125" i="30" s="1"/>
  <c r="BL144" i="29"/>
  <c r="CZ57" i="29" s="1"/>
  <c r="BK145" i="29"/>
  <c r="CV97" i="29"/>
  <c r="CV130" i="29" s="1"/>
  <c r="CV132" i="29" s="1"/>
  <c r="DB97" i="29"/>
  <c r="CY58" i="29"/>
  <c r="CY60" i="29" s="1"/>
  <c r="CS68" i="28"/>
  <c r="CS100" i="28" s="1"/>
  <c r="CS102" i="28" s="1"/>
  <c r="CW60" i="28"/>
  <c r="CW62" i="28" s="1"/>
  <c r="DA68" i="28"/>
  <c r="BK246" i="28"/>
  <c r="BL245" i="28"/>
  <c r="CX59" i="28" s="1"/>
  <c r="BK246" i="27"/>
  <c r="BL245" i="27"/>
  <c r="CV59" i="27" s="1"/>
  <c r="DA94" i="27"/>
  <c r="CU60" i="27"/>
  <c r="CU62" i="27" s="1"/>
  <c r="CO94" i="27"/>
  <c r="CO124" i="27" s="1"/>
  <c r="CO126" i="27" s="1"/>
  <c r="BK221" i="26"/>
  <c r="CU83" i="26" s="1"/>
  <c r="BJ222" i="26"/>
  <c r="DA96" i="26"/>
  <c r="CT84" i="26"/>
  <c r="CT86" i="26" s="1"/>
  <c r="CM96" i="26"/>
  <c r="CM125" i="26" s="1"/>
  <c r="CM127" i="26" s="1"/>
  <c r="BK215" i="25"/>
  <c r="CY57" i="25" s="1"/>
  <c r="BJ216" i="25"/>
  <c r="CX58" i="25"/>
  <c r="CX60" i="25" s="1"/>
  <c r="DA105" i="25"/>
  <c r="CU105" i="25"/>
  <c r="CU138" i="25" s="1"/>
  <c r="BJ198" i="24"/>
  <c r="BK197" i="24"/>
  <c r="CU57" i="24" s="1"/>
  <c r="CT58" i="24"/>
  <c r="CT60" i="24" s="1"/>
  <c r="DA70" i="24"/>
  <c r="CM70" i="24"/>
  <c r="CM99" i="24" s="1"/>
  <c r="CM131" i="24" s="1"/>
  <c r="CV58" i="23"/>
  <c r="CV60" i="23" s="1"/>
  <c r="DA67" i="23"/>
  <c r="CQ67" i="23"/>
  <c r="CQ98" i="23" s="1"/>
  <c r="CQ100" i="23" s="1"/>
  <c r="BK215" i="23"/>
  <c r="CW57" i="23" s="1"/>
  <c r="BJ216" i="23"/>
  <c r="CF82" i="22"/>
  <c r="CF84" i="22" s="1"/>
  <c r="CM93" i="22"/>
  <c r="BY93" i="22"/>
  <c r="BY122" i="22" s="1"/>
  <c r="BY124" i="22" s="1"/>
  <c r="AW191" i="22"/>
  <c r="CG81" i="22" s="1"/>
  <c r="AV192" i="22"/>
  <c r="BD85" i="30" l="1"/>
  <c r="BB85" i="30" s="1"/>
  <c r="BC85" i="30" s="1"/>
  <c r="CU140" i="25"/>
  <c r="CP125" i="30"/>
  <c r="L131" i="30" s="1"/>
  <c r="I131" i="30"/>
  <c r="I132" i="30" s="1"/>
  <c r="H47" i="30"/>
  <c r="H48" i="30" s="1"/>
  <c r="BK137" i="20"/>
  <c r="BL136" i="20"/>
  <c r="CS57" i="20" s="1"/>
  <c r="CQ39" i="20"/>
  <c r="CQ55" i="20" s="1"/>
  <c r="CS39" i="20"/>
  <c r="CS55" i="20" s="1"/>
  <c r="CL73" i="20"/>
  <c r="CR58" i="20"/>
  <c r="CR60" i="20" s="1"/>
  <c r="CX73" i="20"/>
  <c r="BK146" i="29"/>
  <c r="BL146" i="29" s="1"/>
  <c r="DB57" i="29" s="1"/>
  <c r="DB58" i="29" s="1"/>
  <c r="DB60" i="29" s="1"/>
  <c r="BL145" i="29"/>
  <c r="DA57" i="29" s="1"/>
  <c r="CZ58" i="29"/>
  <c r="CZ60" i="29" s="1"/>
  <c r="DB96" i="29"/>
  <c r="CX96" i="29"/>
  <c r="CX130" i="29" s="1"/>
  <c r="CX132" i="29" s="1"/>
  <c r="BL246" i="28"/>
  <c r="CY59" i="28" s="1"/>
  <c r="BK247" i="28"/>
  <c r="CU67" i="28"/>
  <c r="CU100" i="28" s="1"/>
  <c r="CX60" i="28"/>
  <c r="CX62" i="28" s="1"/>
  <c r="DA67" i="28"/>
  <c r="CV60" i="27"/>
  <c r="CV62" i="27" s="1"/>
  <c r="CQ93" i="27"/>
  <c r="CQ124" i="27" s="1"/>
  <c r="CQ126" i="27" s="1"/>
  <c r="DA93" i="27"/>
  <c r="BL246" i="27"/>
  <c r="CW59" i="27" s="1"/>
  <c r="BK247" i="27"/>
  <c r="BJ223" i="26"/>
  <c r="BK222" i="26"/>
  <c r="CV83" i="26" s="1"/>
  <c r="CU84" i="26"/>
  <c r="CU86" i="26" s="1"/>
  <c r="CO95" i="26"/>
  <c r="CO125" i="26" s="1"/>
  <c r="DA95" i="26"/>
  <c r="BK216" i="25"/>
  <c r="CZ57" i="25" s="1"/>
  <c r="BJ217" i="25"/>
  <c r="BK217" i="25" s="1"/>
  <c r="DA57" i="25" s="1"/>
  <c r="DA58" i="25" s="1"/>
  <c r="DA60" i="25" s="1"/>
  <c r="CY58" i="25"/>
  <c r="CY60" i="25" s="1"/>
  <c r="DA104" i="25"/>
  <c r="CW104" i="25"/>
  <c r="CW138" i="25" s="1"/>
  <c r="CW140" i="25" s="1"/>
  <c r="CU58" i="24"/>
  <c r="CU60" i="24" s="1"/>
  <c r="DA69" i="24"/>
  <c r="CO69" i="24"/>
  <c r="CO99" i="24" s="1"/>
  <c r="BJ199" i="24"/>
  <c r="BK198" i="24"/>
  <c r="CV57" i="24" s="1"/>
  <c r="CW58" i="23"/>
  <c r="CW60" i="23" s="1"/>
  <c r="CS66" i="23"/>
  <c r="CS98" i="23" s="1"/>
  <c r="CS100" i="23" s="1"/>
  <c r="DA66" i="23"/>
  <c r="BJ217" i="23"/>
  <c r="BK216" i="23"/>
  <c r="CX57" i="23" s="1"/>
  <c r="CG82" i="22"/>
  <c r="CG84" i="22" s="1"/>
  <c r="CA92" i="22"/>
  <c r="CA122" i="22" s="1"/>
  <c r="CA124" i="22" s="1"/>
  <c r="CM92" i="22"/>
  <c r="AV193" i="22"/>
  <c r="AW192" i="22"/>
  <c r="CH81" i="22" s="1"/>
  <c r="CU102" i="28" l="1"/>
  <c r="CO127" i="26"/>
  <c r="CO131" i="24"/>
  <c r="L48" i="30"/>
  <c r="K48" i="30"/>
  <c r="CS58" i="20"/>
  <c r="CS60" i="20" s="1"/>
  <c r="CZ72" i="20"/>
  <c r="CL72" i="20"/>
  <c r="BK138" i="20"/>
  <c r="BL137" i="20"/>
  <c r="CT57" i="20" s="1"/>
  <c r="CZ95" i="29"/>
  <c r="CZ130" i="29" s="1"/>
  <c r="CZ132" i="29" s="1"/>
  <c r="DA58" i="29"/>
  <c r="DA60" i="29" s="1"/>
  <c r="BP61" i="29" s="1"/>
  <c r="DB95" i="29"/>
  <c r="DB130" i="29" s="1"/>
  <c r="DB132" i="29" s="1"/>
  <c r="BK248" i="28"/>
  <c r="BL248" i="28" s="1"/>
  <c r="DA59" i="28" s="1"/>
  <c r="DA60" i="28" s="1"/>
  <c r="DA62" i="28" s="1"/>
  <c r="BL247" i="28"/>
  <c r="CZ59" i="28" s="1"/>
  <c r="DA66" i="28"/>
  <c r="CY60" i="28"/>
  <c r="CY62" i="28" s="1"/>
  <c r="CW66" i="28"/>
  <c r="CW100" i="28" s="1"/>
  <c r="CW60" i="27"/>
  <c r="CW62" i="27" s="1"/>
  <c r="DA92" i="27"/>
  <c r="CS92" i="27"/>
  <c r="CS124" i="27" s="1"/>
  <c r="CS126" i="27" s="1"/>
  <c r="BK248" i="27"/>
  <c r="BL247" i="27"/>
  <c r="CX59" i="27" s="1"/>
  <c r="CV84" i="26"/>
  <c r="CV86" i="26" s="1"/>
  <c r="DA94" i="26"/>
  <c r="CQ94" i="26"/>
  <c r="CQ125" i="26" s="1"/>
  <c r="CQ127" i="26" s="1"/>
  <c r="BK223" i="26"/>
  <c r="CW83" i="26" s="1"/>
  <c r="BJ224" i="26"/>
  <c r="CZ58" i="25"/>
  <c r="CZ60" i="25" s="1"/>
  <c r="BO61" i="25" s="1"/>
  <c r="DA103" i="25"/>
  <c r="DA138" i="25" s="1"/>
  <c r="DA140" i="25" s="1"/>
  <c r="CY103" i="25"/>
  <c r="CY138" i="25" s="1"/>
  <c r="CY140" i="25" s="1"/>
  <c r="BJ200" i="24"/>
  <c r="BK199" i="24"/>
  <c r="CW57" i="24" s="1"/>
  <c r="CV58" i="24"/>
  <c r="CV60" i="24" s="1"/>
  <c r="DA68" i="24"/>
  <c r="CQ68" i="24"/>
  <c r="CQ99" i="24" s="1"/>
  <c r="BK217" i="23"/>
  <c r="CY57" i="23" s="1"/>
  <c r="BJ218" i="23"/>
  <c r="CX58" i="23"/>
  <c r="CX60" i="23" s="1"/>
  <c r="CU65" i="23"/>
  <c r="CU98" i="23" s="1"/>
  <c r="CU100" i="23" s="1"/>
  <c r="DA65" i="23"/>
  <c r="AW193" i="22"/>
  <c r="CI81" i="22" s="1"/>
  <c r="AV194" i="22"/>
  <c r="CH82" i="22"/>
  <c r="CH84" i="22" s="1"/>
  <c r="CM91" i="22"/>
  <c r="CC91" i="22"/>
  <c r="CC122" i="22" s="1"/>
  <c r="CC124" i="22" s="1"/>
  <c r="BM61" i="25" l="1"/>
  <c r="BN61" i="25" s="1"/>
  <c r="BN61" i="29"/>
  <c r="BO61" i="29" s="1"/>
  <c r="CW102" i="28"/>
  <c r="L131" i="29"/>
  <c r="I131" i="29"/>
  <c r="I132" i="29" s="1"/>
  <c r="H47" i="29"/>
  <c r="H48" i="29" s="1"/>
  <c r="L131" i="25"/>
  <c r="I131" i="25"/>
  <c r="I132" i="25" s="1"/>
  <c r="H47" i="25"/>
  <c r="H48" i="25" s="1"/>
  <c r="CQ131" i="24"/>
  <c r="L49" i="30"/>
  <c r="K49" i="30"/>
  <c r="BK139" i="20"/>
  <c r="BL138" i="20"/>
  <c r="CU57" i="20" s="1"/>
  <c r="CL71" i="20"/>
  <c r="CL99" i="20" s="1"/>
  <c r="CT58" i="20"/>
  <c r="CT60" i="20" s="1"/>
  <c r="DB71" i="20"/>
  <c r="CY65" i="28"/>
  <c r="CY100" i="28" s="1"/>
  <c r="CY102" i="28" s="1"/>
  <c r="CZ60" i="28"/>
  <c r="CZ62" i="28" s="1"/>
  <c r="BO63" i="28" s="1"/>
  <c r="DA65" i="28"/>
  <c r="DA100" i="28" s="1"/>
  <c r="DA102" i="28" s="1"/>
  <c r="BL248" i="27"/>
  <c r="CY59" i="27" s="1"/>
  <c r="BK249" i="27"/>
  <c r="CU91" i="27"/>
  <c r="CU124" i="27" s="1"/>
  <c r="CU126" i="27" s="1"/>
  <c r="CX60" i="27"/>
  <c r="CX62" i="27" s="1"/>
  <c r="DA91" i="27"/>
  <c r="CW84" i="26"/>
  <c r="CW86" i="26" s="1"/>
  <c r="CS93" i="26"/>
  <c r="CS125" i="26" s="1"/>
  <c r="CS127" i="26" s="1"/>
  <c r="DA93" i="26"/>
  <c r="BJ225" i="26"/>
  <c r="BK224" i="26"/>
  <c r="CX83" i="26" s="1"/>
  <c r="CW58" i="24"/>
  <c r="CW60" i="24" s="1"/>
  <c r="DA67" i="24"/>
  <c r="CS67" i="24"/>
  <c r="CS99" i="24" s="1"/>
  <c r="CS131" i="24" s="1"/>
  <c r="BJ201" i="24"/>
  <c r="BK200" i="24"/>
  <c r="CX57" i="24" s="1"/>
  <c r="BJ219" i="23"/>
  <c r="BK219" i="23" s="1"/>
  <c r="DA57" i="23" s="1"/>
  <c r="DA58" i="23" s="1"/>
  <c r="DA60" i="23" s="1"/>
  <c r="BK218" i="23"/>
  <c r="CZ57" i="23" s="1"/>
  <c r="CY58" i="23"/>
  <c r="CY60" i="23" s="1"/>
  <c r="CW64" i="23"/>
  <c r="CW98" i="23" s="1"/>
  <c r="CW100" i="23" s="1"/>
  <c r="DA64" i="23"/>
  <c r="AV195" i="22"/>
  <c r="AW194" i="22"/>
  <c r="CJ81" i="22" s="1"/>
  <c r="CI82" i="22"/>
  <c r="CI84" i="22" s="1"/>
  <c r="CM90" i="22"/>
  <c r="CE90" i="22"/>
  <c r="CE122" i="22" s="1"/>
  <c r="BM63" i="28" l="1"/>
  <c r="BN63" i="28" s="1"/>
  <c r="H47" i="28"/>
  <c r="H48" i="28" s="1"/>
  <c r="L48" i="28" s="1"/>
  <c r="L131" i="28"/>
  <c r="L132" i="28" s="1"/>
  <c r="I131" i="28"/>
  <c r="I132" i="28" s="1"/>
  <c r="L48" i="29"/>
  <c r="K48" i="29"/>
  <c r="L48" i="25"/>
  <c r="K48" i="25"/>
  <c r="CL101" i="20"/>
  <c r="CE124" i="22"/>
  <c r="L126" i="30"/>
  <c r="L132" i="30" s="1"/>
  <c r="BK140" i="20"/>
  <c r="BL139" i="20"/>
  <c r="CV57" i="20" s="1"/>
  <c r="CN70" i="20"/>
  <c r="CN99" i="20" s="1"/>
  <c r="CN101" i="20" s="1"/>
  <c r="DB70" i="20"/>
  <c r="CU58" i="20"/>
  <c r="CU60" i="20" s="1"/>
  <c r="BK250" i="27"/>
  <c r="BL250" i="27" s="1"/>
  <c r="DA59" i="27" s="1"/>
  <c r="DA60" i="27" s="1"/>
  <c r="DA62" i="27" s="1"/>
  <c r="BL249" i="27"/>
  <c r="CZ59" i="27" s="1"/>
  <c r="CW90" i="27"/>
  <c r="CW124" i="27" s="1"/>
  <c r="CW126" i="27" s="1"/>
  <c r="CY60" i="27"/>
  <c r="CY62" i="27" s="1"/>
  <c r="DA90" i="27"/>
  <c r="BK225" i="26"/>
  <c r="CY83" i="26" s="1"/>
  <c r="BJ226" i="26"/>
  <c r="CX84" i="26"/>
  <c r="CX86" i="26" s="1"/>
  <c r="DA92" i="26"/>
  <c r="CU92" i="26"/>
  <c r="CU125" i="26" s="1"/>
  <c r="CU127" i="26" s="1"/>
  <c r="BJ202" i="24"/>
  <c r="BK201" i="24"/>
  <c r="CY57" i="24" s="1"/>
  <c r="CX58" i="24"/>
  <c r="CX60" i="24" s="1"/>
  <c r="DA66" i="24"/>
  <c r="CU66" i="24"/>
  <c r="CU99" i="24" s="1"/>
  <c r="DA63" i="23"/>
  <c r="DA98" i="23" s="1"/>
  <c r="CY63" i="23"/>
  <c r="CY98" i="23" s="1"/>
  <c r="CY100" i="23" s="1"/>
  <c r="CZ58" i="23"/>
  <c r="CZ60" i="23" s="1"/>
  <c r="BO61" i="23" s="1"/>
  <c r="CM89" i="22"/>
  <c r="CJ82" i="22"/>
  <c r="CJ84" i="22" s="1"/>
  <c r="CG89" i="22"/>
  <c r="CG122" i="22" s="1"/>
  <c r="CG124" i="22" s="1"/>
  <c r="AW195" i="22"/>
  <c r="CK81" i="22" s="1"/>
  <c r="AV196" i="22"/>
  <c r="BO103" i="28" l="1"/>
  <c r="BM103" i="28" s="1"/>
  <c r="BN103" i="28" s="1"/>
  <c r="BM61" i="23"/>
  <c r="BN61" i="23" s="1"/>
  <c r="BD126" i="30"/>
  <c r="BB126" i="30" s="1"/>
  <c r="BC126" i="30" s="1"/>
  <c r="K48" i="28"/>
  <c r="L49" i="28"/>
  <c r="K49" i="29"/>
  <c r="L49" i="29"/>
  <c r="K49" i="25"/>
  <c r="L49" i="25"/>
  <c r="CU131" i="24"/>
  <c r="DA100" i="23"/>
  <c r="L131" i="23" s="1"/>
  <c r="L132" i="23" s="1"/>
  <c r="I131" i="23"/>
  <c r="I132" i="23" s="1"/>
  <c r="BO101" i="23" s="1"/>
  <c r="BM101" i="23" s="1"/>
  <c r="H47" i="23"/>
  <c r="H48" i="23" s="1"/>
  <c r="DB69" i="20"/>
  <c r="CP69" i="20"/>
  <c r="CP99" i="20" s="1"/>
  <c r="CP101" i="20" s="1"/>
  <c r="CV58" i="20"/>
  <c r="CV60" i="20" s="1"/>
  <c r="BK141" i="20"/>
  <c r="BL140" i="20"/>
  <c r="CW57" i="20" s="1"/>
  <c r="CZ60" i="27"/>
  <c r="CZ62" i="27" s="1"/>
  <c r="BO63" i="27" s="1"/>
  <c r="CY89" i="27"/>
  <c r="CY124" i="27" s="1"/>
  <c r="CY126" i="27" s="1"/>
  <c r="DA89" i="27"/>
  <c r="DA124" i="27" s="1"/>
  <c r="DA126" i="27" s="1"/>
  <c r="BJ227" i="26"/>
  <c r="BK227" i="26" s="1"/>
  <c r="DA83" i="26" s="1"/>
  <c r="DA84" i="26" s="1"/>
  <c r="DA86" i="26" s="1"/>
  <c r="BK226" i="26"/>
  <c r="CZ83" i="26" s="1"/>
  <c r="CY84" i="26"/>
  <c r="CY86" i="26" s="1"/>
  <c r="CW91" i="26"/>
  <c r="CW125" i="26" s="1"/>
  <c r="DA91" i="26"/>
  <c r="CY58" i="24"/>
  <c r="CY60" i="24" s="1"/>
  <c r="DA65" i="24"/>
  <c r="CW65" i="24"/>
  <c r="CW99" i="24" s="1"/>
  <c r="CW131" i="24" s="1"/>
  <c r="BJ203" i="24"/>
  <c r="BK203" i="24" s="1"/>
  <c r="DA57" i="24" s="1"/>
  <c r="DA58" i="24" s="1"/>
  <c r="DA60" i="24" s="1"/>
  <c r="BK202" i="24"/>
  <c r="CZ57" i="24" s="1"/>
  <c r="CK82" i="22"/>
  <c r="CK84" i="22" s="1"/>
  <c r="CM88" i="22"/>
  <c r="CI88" i="22"/>
  <c r="CI122" i="22" s="1"/>
  <c r="CI124" i="22" s="1"/>
  <c r="AV197" i="22"/>
  <c r="AW197" i="22" s="1"/>
  <c r="CM81" i="22" s="1"/>
  <c r="CM82" i="22" s="1"/>
  <c r="CM84" i="22" s="1"/>
  <c r="AW196" i="22"/>
  <c r="CL81" i="22" s="1"/>
  <c r="BM63" i="27" l="1"/>
  <c r="BN63" i="27" s="1"/>
  <c r="I131" i="27"/>
  <c r="I132" i="27" s="1"/>
  <c r="L131" i="27"/>
  <c r="K49" i="28"/>
  <c r="L126" i="28" s="1"/>
  <c r="L126" i="29"/>
  <c r="L132" i="29" s="1"/>
  <c r="BP133" i="29" s="1"/>
  <c r="L126" i="25"/>
  <c r="L132" i="25" s="1"/>
  <c r="BO141" i="25" s="1"/>
  <c r="BM141" i="25" s="1"/>
  <c r="BN141" i="25" s="1"/>
  <c r="CW127" i="26"/>
  <c r="BN101" i="23"/>
  <c r="H47" i="27"/>
  <c r="H48" i="27" s="1"/>
  <c r="L48" i="23"/>
  <c r="K48" i="23"/>
  <c r="BL141" i="20"/>
  <c r="CX57" i="20" s="1"/>
  <c r="BK142" i="20"/>
  <c r="CR68" i="20"/>
  <c r="CR99" i="20" s="1"/>
  <c r="DB68" i="20"/>
  <c r="CW58" i="20"/>
  <c r="CW60" i="20" s="1"/>
  <c r="CZ84" i="26"/>
  <c r="CZ86" i="26" s="1"/>
  <c r="BO87" i="26" s="1"/>
  <c r="DA90" i="26"/>
  <c r="DA125" i="26" s="1"/>
  <c r="DA127" i="26" s="1"/>
  <c r="CY90" i="26"/>
  <c r="CY125" i="26" s="1"/>
  <c r="CY127" i="26" s="1"/>
  <c r="CZ58" i="24"/>
  <c r="CZ60" i="24" s="1"/>
  <c r="BO61" i="24" s="1"/>
  <c r="DA64" i="24"/>
  <c r="DA99" i="24" s="1"/>
  <c r="DA131" i="24" s="1"/>
  <c r="CY64" i="24"/>
  <c r="CY99" i="24" s="1"/>
  <c r="CY131" i="24" s="1"/>
  <c r="CL82" i="22"/>
  <c r="CL84" i="22" s="1"/>
  <c r="BA85" i="22" s="1"/>
  <c r="AY85" i="22" s="1"/>
  <c r="AZ85" i="22" s="1"/>
  <c r="CM87" i="22"/>
  <c r="CM122" i="22" s="1"/>
  <c r="CK87" i="22"/>
  <c r="CK122" i="22" s="1"/>
  <c r="CK124" i="22" s="1"/>
  <c r="BN133" i="29" l="1"/>
  <c r="BO133" i="29" s="1"/>
  <c r="BM61" i="24"/>
  <c r="BN61" i="24" s="1"/>
  <c r="BM87" i="26"/>
  <c r="BN87" i="26" s="1"/>
  <c r="I131" i="26"/>
  <c r="I132" i="26" s="1"/>
  <c r="L131" i="26"/>
  <c r="L131" i="24"/>
  <c r="H47" i="24"/>
  <c r="H48" i="24" s="1"/>
  <c r="I131" i="24"/>
  <c r="I132" i="24" s="1"/>
  <c r="L48" i="27"/>
  <c r="K48" i="27"/>
  <c r="CR101" i="20"/>
  <c r="H47" i="26"/>
  <c r="H48" i="26" s="1"/>
  <c r="K49" i="23"/>
  <c r="L49" i="23"/>
  <c r="CM124" i="22"/>
  <c r="L131" i="22" s="1"/>
  <c r="L132" i="22" s="1"/>
  <c r="I131" i="22"/>
  <c r="I132" i="22" s="1"/>
  <c r="H47" i="22"/>
  <c r="H48" i="22" s="1"/>
  <c r="DB67" i="20"/>
  <c r="CT67" i="20"/>
  <c r="CT99" i="20" s="1"/>
  <c r="CT101" i="20" s="1"/>
  <c r="CX58" i="20"/>
  <c r="CX60" i="20" s="1"/>
  <c r="BK143" i="20"/>
  <c r="BL142" i="20"/>
  <c r="CY57" i="20" s="1"/>
  <c r="D4" i="3"/>
  <c r="D2" i="3"/>
  <c r="D4" i="2"/>
  <c r="K48" i="26" l="1"/>
  <c r="L48" i="26"/>
  <c r="L48" i="24"/>
  <c r="K48" i="24"/>
  <c r="K49" i="27"/>
  <c r="L49" i="27"/>
  <c r="L126" i="23"/>
  <c r="H11" i="3"/>
  <c r="H9" i="3"/>
  <c r="BA125" i="22"/>
  <c r="AY125" i="22" s="1"/>
  <c r="AZ125" i="22" s="1"/>
  <c r="L48" i="22"/>
  <c r="K48" i="22"/>
  <c r="CY58" i="20"/>
  <c r="CY60" i="20" s="1"/>
  <c r="CV66" i="20"/>
  <c r="CV99" i="20" s="1"/>
  <c r="DB66" i="20"/>
  <c r="BL143" i="20"/>
  <c r="CZ57" i="20" s="1"/>
  <c r="BK144" i="20"/>
  <c r="D4" i="1"/>
  <c r="AW162" i="1"/>
  <c r="L126" i="27" l="1"/>
  <c r="L132" i="27" s="1"/>
  <c r="BO127" i="27" s="1"/>
  <c r="BM127" i="27" s="1"/>
  <c r="BN127" i="27" s="1"/>
  <c r="K49" i="24"/>
  <c r="L49" i="24"/>
  <c r="CV101" i="20"/>
  <c r="K49" i="26"/>
  <c r="L49" i="26"/>
  <c r="K49" i="22"/>
  <c r="L49" i="22"/>
  <c r="CZ58" i="20"/>
  <c r="CZ60" i="20" s="1"/>
  <c r="DB65" i="20"/>
  <c r="CX65" i="20"/>
  <c r="CX99" i="20" s="1"/>
  <c r="CX101" i="20" s="1"/>
  <c r="BK145" i="20"/>
  <c r="BL145" i="20" s="1"/>
  <c r="DB57" i="20" s="1"/>
  <c r="DB58" i="20" s="1"/>
  <c r="DB60" i="20" s="1"/>
  <c r="BL144" i="20"/>
  <c r="DA57" i="20" s="1"/>
  <c r="AW163" i="1"/>
  <c r="L126" i="26" l="1"/>
  <c r="L132" i="26" s="1"/>
  <c r="BO128" i="26" s="1"/>
  <c r="BM128" i="26" s="1"/>
  <c r="BN128" i="26" s="1"/>
  <c r="L126" i="24"/>
  <c r="L132" i="24" s="1"/>
  <c r="BO132" i="24" s="1"/>
  <c r="L126" i="22"/>
  <c r="CZ64" i="20"/>
  <c r="CZ99" i="20" s="1"/>
  <c r="CZ101" i="20" s="1"/>
  <c r="DA58" i="20"/>
  <c r="DA60" i="20" s="1"/>
  <c r="BP61" i="20" s="1"/>
  <c r="DB64" i="20"/>
  <c r="DB99" i="20" s="1"/>
  <c r="DB101" i="20" s="1"/>
  <c r="AW164" i="1"/>
  <c r="BN61" i="20" l="1"/>
  <c r="BO61" i="20" s="1"/>
  <c r="BM132" i="24"/>
  <c r="BN132" i="24" s="1"/>
  <c r="L131" i="20"/>
  <c r="I131" i="20"/>
  <c r="I132" i="20" s="1"/>
  <c r="H47" i="20"/>
  <c r="H48" i="20" s="1"/>
  <c r="AW165" i="1"/>
  <c r="L48" i="20" l="1"/>
  <c r="K48" i="20"/>
  <c r="AW166" i="1"/>
  <c r="K49" i="20" l="1"/>
  <c r="L49" i="20"/>
  <c r="AW167" i="1"/>
  <c r="L126" i="20" l="1"/>
  <c r="L132" i="20" s="1"/>
  <c r="BP102" i="20" s="1"/>
  <c r="BN102" i="20" s="1"/>
  <c r="BO102" i="20" s="1"/>
  <c r="AW168" i="1"/>
  <c r="AW169" i="1" l="1"/>
  <c r="AW170" i="1" l="1"/>
  <c r="AW171" i="1" l="1"/>
  <c r="AW172" i="1" l="1"/>
  <c r="AW173" i="1" l="1"/>
  <c r="AW174" i="1" l="1"/>
  <c r="AW175" i="1" l="1"/>
  <c r="AW176" i="1" l="1"/>
  <c r="AW177" i="1" l="1"/>
  <c r="AW178" i="1" l="1"/>
  <c r="AW179" i="1" l="1"/>
  <c r="AW180" i="1" l="1"/>
  <c r="AW181" i="1" l="1"/>
  <c r="AW182" i="1" l="1"/>
  <c r="AW183" i="1" l="1"/>
  <c r="AW184" i="1" l="1"/>
  <c r="AW185" i="1" l="1"/>
  <c r="AW186" i="1" l="1"/>
  <c r="AW187" i="1" l="1"/>
  <c r="AW188" i="1" l="1"/>
  <c r="AW189" i="1" l="1"/>
  <c r="AW190" i="1" l="1"/>
  <c r="AW191" i="1" l="1"/>
  <c r="AW192" i="1" s="1"/>
  <c r="AW193" i="1" s="1"/>
  <c r="AW194" i="1" s="1"/>
  <c r="AW195" i="1" s="1"/>
  <c r="AW196" i="1" s="1"/>
  <c r="AW197" i="1" s="1"/>
  <c r="AW198" i="1" s="1"/>
  <c r="AI182" i="7" l="1"/>
  <c r="AI181" i="7"/>
  <c r="AH161" i="3"/>
  <c r="AH160" i="3"/>
  <c r="J161" i="3"/>
  <c r="K161" i="3" s="1"/>
  <c r="L161" i="3" s="1"/>
  <c r="M161" i="3" s="1"/>
  <c r="N161" i="3" s="1"/>
  <c r="J160" i="3"/>
  <c r="K160" i="3" s="1"/>
  <c r="L160" i="3" s="1"/>
  <c r="M160" i="3" s="1"/>
  <c r="N160" i="3" s="1"/>
  <c r="J159" i="3"/>
  <c r="K159" i="3" s="1"/>
  <c r="L159" i="3" s="1"/>
  <c r="M159" i="3" s="1"/>
  <c r="N159" i="3" s="1"/>
  <c r="J158" i="3"/>
  <c r="K158" i="3" s="1"/>
  <c r="L158" i="3" s="1"/>
  <c r="M158" i="3" s="1"/>
  <c r="N158" i="3" s="1"/>
  <c r="J157" i="3"/>
  <c r="K157" i="3" s="1"/>
  <c r="L157" i="3" s="1"/>
  <c r="M157" i="3" s="1"/>
  <c r="N157" i="3" s="1"/>
  <c r="J156" i="3"/>
  <c r="K156" i="3" s="1"/>
  <c r="L156" i="3" s="1"/>
  <c r="M156" i="3" s="1"/>
  <c r="N156" i="3" s="1"/>
  <c r="J155" i="3"/>
  <c r="K155" i="3" s="1"/>
  <c r="L155" i="3" s="1"/>
  <c r="M155" i="3" s="1"/>
  <c r="N155" i="3" s="1"/>
  <c r="J154" i="3"/>
  <c r="K154" i="3" s="1"/>
  <c r="L154" i="3" s="1"/>
  <c r="M154" i="3" s="1"/>
  <c r="N154" i="3" s="1"/>
  <c r="J153" i="3"/>
  <c r="K153" i="3" s="1"/>
  <c r="L153" i="3" s="1"/>
  <c r="M153" i="3" s="1"/>
  <c r="N153" i="3" s="1"/>
  <c r="J152" i="3"/>
  <c r="K152" i="3" s="1"/>
  <c r="L152" i="3" s="1"/>
  <c r="M152" i="3" s="1"/>
  <c r="N152" i="3" s="1"/>
  <c r="J151" i="3"/>
  <c r="K151" i="3" s="1"/>
  <c r="L151" i="3" s="1"/>
  <c r="M151" i="3" s="1"/>
  <c r="N151" i="3" s="1"/>
  <c r="J182" i="7"/>
  <c r="K182" i="7" s="1"/>
  <c r="L182" i="7" s="1"/>
  <c r="M182" i="7" s="1"/>
  <c r="N182" i="7" s="1"/>
  <c r="J181" i="7"/>
  <c r="K181" i="7" s="1"/>
  <c r="L181" i="7" s="1"/>
  <c r="M181" i="7" s="1"/>
  <c r="N181" i="7" s="1"/>
  <c r="J180" i="7"/>
  <c r="K180" i="7" s="1"/>
  <c r="L180" i="7" s="1"/>
  <c r="M180" i="7" s="1"/>
  <c r="N180" i="7" s="1"/>
  <c r="J179" i="7"/>
  <c r="K179" i="7" s="1"/>
  <c r="L179" i="7" s="1"/>
  <c r="M179" i="7" s="1"/>
  <c r="N179" i="7" s="1"/>
  <c r="J178" i="7"/>
  <c r="K178" i="7" s="1"/>
  <c r="L178" i="7" s="1"/>
  <c r="M178" i="7" s="1"/>
  <c r="N178" i="7" s="1"/>
  <c r="J177" i="7"/>
  <c r="K177" i="7" s="1"/>
  <c r="L177" i="7" s="1"/>
  <c r="M177" i="7" s="1"/>
  <c r="N177" i="7" s="1"/>
  <c r="J176" i="7"/>
  <c r="K176" i="7" s="1"/>
  <c r="L176" i="7" s="1"/>
  <c r="M176" i="7" s="1"/>
  <c r="N176" i="7" s="1"/>
  <c r="J175" i="7"/>
  <c r="K175" i="7" s="1"/>
  <c r="L175" i="7" s="1"/>
  <c r="M175" i="7" s="1"/>
  <c r="N175" i="7" s="1"/>
  <c r="J174" i="7"/>
  <c r="K174" i="7" s="1"/>
  <c r="L174" i="7" s="1"/>
  <c r="M174" i="7" s="1"/>
  <c r="N174" i="7" s="1"/>
  <c r="J173" i="7"/>
  <c r="K173" i="7" s="1"/>
  <c r="L173" i="7" s="1"/>
  <c r="M173" i="7" s="1"/>
  <c r="N173" i="7" s="1"/>
  <c r="J172" i="7"/>
  <c r="K172" i="7" s="1"/>
  <c r="L172" i="7" s="1"/>
  <c r="M172" i="7" s="1"/>
  <c r="N172" i="7" s="1"/>
  <c r="I152" i="2"/>
  <c r="J152" i="2" s="1"/>
  <c r="K152" i="2" s="1"/>
  <c r="L152" i="2" s="1"/>
  <c r="M152" i="2" s="1"/>
  <c r="I151" i="2"/>
  <c r="J151" i="2" s="1"/>
  <c r="K151" i="2" s="1"/>
  <c r="L151" i="2" s="1"/>
  <c r="M151" i="2" s="1"/>
  <c r="I150" i="2"/>
  <c r="J150" i="2" s="1"/>
  <c r="K150" i="2" s="1"/>
  <c r="L150" i="2" s="1"/>
  <c r="M150" i="2" s="1"/>
  <c r="I149" i="2"/>
  <c r="J149" i="2" s="1"/>
  <c r="K149" i="2" s="1"/>
  <c r="L149" i="2" s="1"/>
  <c r="M149" i="2" s="1"/>
  <c r="I148" i="2"/>
  <c r="J148" i="2" s="1"/>
  <c r="K148" i="2" s="1"/>
  <c r="L148" i="2" s="1"/>
  <c r="M148" i="2" s="1"/>
  <c r="I147" i="2"/>
  <c r="J147" i="2" s="1"/>
  <c r="K147" i="2" s="1"/>
  <c r="L147" i="2" s="1"/>
  <c r="M147" i="2" s="1"/>
  <c r="I146" i="2"/>
  <c r="J146" i="2" s="1"/>
  <c r="K146" i="2" s="1"/>
  <c r="L146" i="2" s="1"/>
  <c r="M146" i="2" s="1"/>
  <c r="I145" i="2"/>
  <c r="J145" i="2" s="1"/>
  <c r="K145" i="2" s="1"/>
  <c r="L145" i="2" s="1"/>
  <c r="M145" i="2" s="1"/>
  <c r="I144" i="2"/>
  <c r="J144" i="2" s="1"/>
  <c r="K144" i="2" s="1"/>
  <c r="L144" i="2" s="1"/>
  <c r="M144" i="2" s="1"/>
  <c r="I143" i="2"/>
  <c r="J143" i="2" s="1"/>
  <c r="K143" i="2" s="1"/>
  <c r="L143" i="2" s="1"/>
  <c r="M143" i="2" s="1"/>
  <c r="I142" i="2"/>
  <c r="J142" i="2" s="1"/>
  <c r="K142" i="2" s="1"/>
  <c r="L142" i="2" s="1"/>
  <c r="M142" i="2" s="1"/>
  <c r="C138" i="7"/>
  <c r="O145" i="7" s="1"/>
  <c r="P145" i="7" s="1"/>
  <c r="J157" i="7"/>
  <c r="K157" i="7" s="1"/>
  <c r="L157" i="7" s="1"/>
  <c r="M157" i="7" s="1"/>
  <c r="N157" i="7" s="1"/>
  <c r="J156" i="7"/>
  <c r="K156" i="7" s="1"/>
  <c r="L156" i="7" s="1"/>
  <c r="M156" i="7" s="1"/>
  <c r="N156" i="7" s="1"/>
  <c r="J155" i="7"/>
  <c r="K155" i="7" s="1"/>
  <c r="L155" i="7" s="1"/>
  <c r="M155" i="7" s="1"/>
  <c r="N155" i="7" s="1"/>
  <c r="J154" i="7"/>
  <c r="K154" i="7" s="1"/>
  <c r="L154" i="7" s="1"/>
  <c r="M154" i="7" s="1"/>
  <c r="N154" i="7" s="1"/>
  <c r="J153" i="7"/>
  <c r="K153" i="7" s="1"/>
  <c r="L153" i="7" s="1"/>
  <c r="M153" i="7" s="1"/>
  <c r="N153" i="7" s="1"/>
  <c r="J152" i="7"/>
  <c r="K152" i="7" s="1"/>
  <c r="L152" i="7" s="1"/>
  <c r="M152" i="7" s="1"/>
  <c r="N152" i="7" s="1"/>
  <c r="J151" i="7"/>
  <c r="K151" i="7" s="1"/>
  <c r="L151" i="7" s="1"/>
  <c r="M151" i="7" s="1"/>
  <c r="N151" i="7" s="1"/>
  <c r="J150" i="7"/>
  <c r="K150" i="7" s="1"/>
  <c r="L150" i="7" s="1"/>
  <c r="M150" i="7" s="1"/>
  <c r="N150" i="7" s="1"/>
  <c r="J149" i="7"/>
  <c r="K149" i="7" s="1"/>
  <c r="L149" i="7" s="1"/>
  <c r="M149" i="7" s="1"/>
  <c r="N149" i="7" s="1"/>
  <c r="J148" i="7"/>
  <c r="K148" i="7" s="1"/>
  <c r="L148" i="7" s="1"/>
  <c r="M148" i="7" s="1"/>
  <c r="N148" i="7" s="1"/>
  <c r="J147" i="7"/>
  <c r="K147" i="7" s="1"/>
  <c r="L147" i="7" s="1"/>
  <c r="M147" i="7" s="1"/>
  <c r="N147" i="7" s="1"/>
  <c r="J146" i="7"/>
  <c r="K146" i="7" s="1"/>
  <c r="L146" i="7" s="1"/>
  <c r="M146" i="7" s="1"/>
  <c r="N146" i="7" s="1"/>
  <c r="J145" i="7"/>
  <c r="K145" i="7" s="1"/>
  <c r="L145" i="7" s="1"/>
  <c r="M145" i="7" s="1"/>
  <c r="N145" i="7" s="1"/>
  <c r="J144" i="7"/>
  <c r="K144" i="7" s="1"/>
  <c r="L144" i="7" s="1"/>
  <c r="M144" i="7" s="1"/>
  <c r="N144" i="7" s="1"/>
  <c r="J143" i="7"/>
  <c r="K143" i="7" s="1"/>
  <c r="L143" i="7" s="1"/>
  <c r="M143" i="7" s="1"/>
  <c r="N143" i="7" s="1"/>
  <c r="J142" i="7"/>
  <c r="K142" i="7" s="1"/>
  <c r="L142" i="7" s="1"/>
  <c r="M142" i="7" s="1"/>
  <c r="N142" i="7" s="1"/>
  <c r="J141" i="7"/>
  <c r="K141" i="7" s="1"/>
  <c r="L141" i="7" s="1"/>
  <c r="M141" i="7" s="1"/>
  <c r="N141" i="7" s="1"/>
  <c r="J140" i="7"/>
  <c r="K140" i="7" s="1"/>
  <c r="L140" i="7" s="1"/>
  <c r="M140" i="7" s="1"/>
  <c r="N140" i="7" s="1"/>
  <c r="J139" i="7"/>
  <c r="K139" i="7" s="1"/>
  <c r="L139" i="7" s="1"/>
  <c r="M139" i="7" s="1"/>
  <c r="N139" i="7" s="1"/>
  <c r="G138" i="7"/>
  <c r="J214" i="7"/>
  <c r="K214" i="7" s="1"/>
  <c r="L214" i="7" s="1"/>
  <c r="M214" i="7" s="1"/>
  <c r="N214" i="7" s="1"/>
  <c r="J213" i="7"/>
  <c r="K213" i="7" s="1"/>
  <c r="L213" i="7" s="1"/>
  <c r="M213" i="7" s="1"/>
  <c r="N213" i="7" s="1"/>
  <c r="J212" i="7"/>
  <c r="K212" i="7" s="1"/>
  <c r="L212" i="7" s="1"/>
  <c r="M212" i="7" s="1"/>
  <c r="N212" i="7" s="1"/>
  <c r="J211" i="7"/>
  <c r="K211" i="7" s="1"/>
  <c r="L211" i="7" s="1"/>
  <c r="M211" i="7" s="1"/>
  <c r="N211" i="7" s="1"/>
  <c r="J210" i="7"/>
  <c r="K210" i="7" s="1"/>
  <c r="L210" i="7" s="1"/>
  <c r="M210" i="7" s="1"/>
  <c r="N210" i="7" s="1"/>
  <c r="J209" i="7"/>
  <c r="K209" i="7" s="1"/>
  <c r="L209" i="7" s="1"/>
  <c r="M209" i="7" s="1"/>
  <c r="N209" i="7" s="1"/>
  <c r="J208" i="7"/>
  <c r="K208" i="7" s="1"/>
  <c r="L208" i="7" s="1"/>
  <c r="M208" i="7" s="1"/>
  <c r="N208" i="7" s="1"/>
  <c r="J207" i="7"/>
  <c r="K207" i="7" s="1"/>
  <c r="L207" i="7" s="1"/>
  <c r="M207" i="7" s="1"/>
  <c r="N207" i="7" s="1"/>
  <c r="J206" i="7"/>
  <c r="K206" i="7" s="1"/>
  <c r="L206" i="7" s="1"/>
  <c r="M206" i="7" s="1"/>
  <c r="N206" i="7" s="1"/>
  <c r="J205" i="7"/>
  <c r="K205" i="7" s="1"/>
  <c r="L205" i="7" s="1"/>
  <c r="M205" i="7" s="1"/>
  <c r="N205" i="7" s="1"/>
  <c r="J204" i="7"/>
  <c r="K204" i="7" s="1"/>
  <c r="L204" i="7" s="1"/>
  <c r="M204" i="7" s="1"/>
  <c r="N204" i="7" s="1"/>
  <c r="J203" i="7"/>
  <c r="K203" i="7" s="1"/>
  <c r="L203" i="7" s="1"/>
  <c r="M203" i="7" s="1"/>
  <c r="N203" i="7" s="1"/>
  <c r="J202" i="7"/>
  <c r="K202" i="7" s="1"/>
  <c r="L202" i="7" s="1"/>
  <c r="M202" i="7" s="1"/>
  <c r="N202" i="7" s="1"/>
  <c r="J201" i="7"/>
  <c r="K201" i="7" s="1"/>
  <c r="L201" i="7" s="1"/>
  <c r="M201" i="7" s="1"/>
  <c r="N201" i="7" s="1"/>
  <c r="J200" i="7"/>
  <c r="K200" i="7" s="1"/>
  <c r="L200" i="7" s="1"/>
  <c r="M200" i="7" s="1"/>
  <c r="N200" i="7" s="1"/>
  <c r="J199" i="7"/>
  <c r="K199" i="7" s="1"/>
  <c r="L199" i="7" s="1"/>
  <c r="M199" i="7" s="1"/>
  <c r="N199" i="7" s="1"/>
  <c r="J198" i="7"/>
  <c r="K198" i="7" s="1"/>
  <c r="L198" i="7" s="1"/>
  <c r="M198" i="7" s="1"/>
  <c r="N198" i="7" s="1"/>
  <c r="J197" i="7"/>
  <c r="K197" i="7" s="1"/>
  <c r="L197" i="7" s="1"/>
  <c r="M197" i="7" s="1"/>
  <c r="N197" i="7" s="1"/>
  <c r="J196" i="7"/>
  <c r="K196" i="7" s="1"/>
  <c r="L196" i="7" s="1"/>
  <c r="M196" i="7" s="1"/>
  <c r="N196" i="7" s="1"/>
  <c r="G195" i="7"/>
  <c r="F195" i="7" s="1"/>
  <c r="AQ182" i="7"/>
  <c r="AR182" i="7" s="1"/>
  <c r="V182" i="7"/>
  <c r="AE182" i="7" s="1"/>
  <c r="AQ181" i="7"/>
  <c r="AR181" i="7" s="1"/>
  <c r="V181" i="7"/>
  <c r="AE181" i="7" s="1"/>
  <c r="AQ180" i="7"/>
  <c r="AR180" i="7" s="1"/>
  <c r="AQ179" i="7"/>
  <c r="AR179" i="7" s="1"/>
  <c r="AQ178" i="7"/>
  <c r="AR178" i="7" s="1"/>
  <c r="AQ177" i="7"/>
  <c r="AR177" i="7" s="1"/>
  <c r="AQ176" i="7"/>
  <c r="AR176" i="7" s="1"/>
  <c r="AQ175" i="7"/>
  <c r="AR175" i="7" s="1"/>
  <c r="AQ174" i="7"/>
  <c r="AR174" i="7" s="1"/>
  <c r="AQ173" i="7"/>
  <c r="AR173" i="7" s="1"/>
  <c r="AQ172" i="7"/>
  <c r="AR172" i="7" s="1"/>
  <c r="AQ171" i="7"/>
  <c r="AR171" i="7" s="1"/>
  <c r="AF152" i="2"/>
  <c r="AF151" i="2"/>
  <c r="AF150" i="2"/>
  <c r="AF149" i="2"/>
  <c r="AF148" i="2"/>
  <c r="AF147" i="2"/>
  <c r="AF146" i="2"/>
  <c r="AF145" i="2"/>
  <c r="AF144" i="2"/>
  <c r="AF143" i="2"/>
  <c r="AF142" i="2"/>
  <c r="AF141" i="2"/>
  <c r="AP161" i="3"/>
  <c r="AQ161" i="3" s="1"/>
  <c r="AP160" i="3"/>
  <c r="AQ160" i="3" s="1"/>
  <c r="AP159" i="3"/>
  <c r="AQ159" i="3" s="1"/>
  <c r="AP158" i="3"/>
  <c r="AQ158" i="3" s="1"/>
  <c r="AP157" i="3"/>
  <c r="AQ157" i="3" s="1"/>
  <c r="AP156" i="3"/>
  <c r="AQ156" i="3" s="1"/>
  <c r="AP155" i="3"/>
  <c r="AQ155" i="3" s="1"/>
  <c r="AP154" i="3"/>
  <c r="AQ154" i="3" s="1"/>
  <c r="AP153" i="3"/>
  <c r="AQ153" i="3" s="1"/>
  <c r="AP152" i="3"/>
  <c r="AQ152" i="3" s="1"/>
  <c r="AP151" i="3"/>
  <c r="AQ151" i="3" s="1"/>
  <c r="AP150" i="3"/>
  <c r="AQ150" i="3" s="1"/>
  <c r="C141" i="2"/>
  <c r="C150" i="3"/>
  <c r="J150" i="3" s="1"/>
  <c r="P150" i="3" s="1"/>
  <c r="Q150" i="3" s="1"/>
  <c r="S150" i="3" s="1"/>
  <c r="G175" i="3"/>
  <c r="J176" i="3"/>
  <c r="K176" i="3" s="1"/>
  <c r="L176" i="3" s="1"/>
  <c r="M176" i="3" s="1"/>
  <c r="N176" i="3" s="1"/>
  <c r="J177" i="3"/>
  <c r="K177" i="3" s="1"/>
  <c r="L177" i="3" s="1"/>
  <c r="M177" i="3" s="1"/>
  <c r="N177" i="3" s="1"/>
  <c r="J178" i="3"/>
  <c r="K178" i="3" s="1"/>
  <c r="L178" i="3" s="1"/>
  <c r="M178" i="3" s="1"/>
  <c r="N178" i="3" s="1"/>
  <c r="J179" i="3"/>
  <c r="K179" i="3" s="1"/>
  <c r="L179" i="3" s="1"/>
  <c r="M179" i="3" s="1"/>
  <c r="N179" i="3" s="1"/>
  <c r="J180" i="3"/>
  <c r="K180" i="3" s="1"/>
  <c r="L180" i="3" s="1"/>
  <c r="M180" i="3" s="1"/>
  <c r="N180" i="3" s="1"/>
  <c r="J181" i="3"/>
  <c r="K181" i="3" s="1"/>
  <c r="L181" i="3" s="1"/>
  <c r="M181" i="3" s="1"/>
  <c r="N181" i="3" s="1"/>
  <c r="J182" i="3"/>
  <c r="K182" i="3" s="1"/>
  <c r="L182" i="3" s="1"/>
  <c r="M182" i="3" s="1"/>
  <c r="N182" i="3" s="1"/>
  <c r="J183" i="3"/>
  <c r="K183" i="3" s="1"/>
  <c r="L183" i="3" s="1"/>
  <c r="M183" i="3" s="1"/>
  <c r="N183" i="3" s="1"/>
  <c r="J184" i="3"/>
  <c r="K184" i="3" s="1"/>
  <c r="L184" i="3" s="1"/>
  <c r="M184" i="3" s="1"/>
  <c r="N184" i="3" s="1"/>
  <c r="J185" i="3"/>
  <c r="K185" i="3" s="1"/>
  <c r="L185" i="3" s="1"/>
  <c r="M185" i="3" s="1"/>
  <c r="N185" i="3" s="1"/>
  <c r="J186" i="3"/>
  <c r="K186" i="3" s="1"/>
  <c r="L186" i="3" s="1"/>
  <c r="M186" i="3" s="1"/>
  <c r="N186" i="3" s="1"/>
  <c r="J187" i="3"/>
  <c r="K187" i="3" s="1"/>
  <c r="L187" i="3" s="1"/>
  <c r="M187" i="3" s="1"/>
  <c r="N187" i="3" s="1"/>
  <c r="J188" i="3"/>
  <c r="K188" i="3" s="1"/>
  <c r="L188" i="3" s="1"/>
  <c r="M188" i="3" s="1"/>
  <c r="N188" i="3" s="1"/>
  <c r="J189" i="3"/>
  <c r="K189" i="3" s="1"/>
  <c r="L189" i="3" s="1"/>
  <c r="M189" i="3" s="1"/>
  <c r="N189" i="3" s="1"/>
  <c r="J190" i="3"/>
  <c r="K190" i="3" s="1"/>
  <c r="L190" i="3" s="1"/>
  <c r="M190" i="3" s="1"/>
  <c r="N190" i="3" s="1"/>
  <c r="J191" i="3"/>
  <c r="K191" i="3" s="1"/>
  <c r="L191" i="3" s="1"/>
  <c r="M191" i="3" s="1"/>
  <c r="N191" i="3" s="1"/>
  <c r="J192" i="3"/>
  <c r="K192" i="3" s="1"/>
  <c r="L192" i="3" s="1"/>
  <c r="M192" i="3" s="1"/>
  <c r="N192" i="3" s="1"/>
  <c r="J193" i="3"/>
  <c r="K193" i="3" s="1"/>
  <c r="L193" i="3" s="1"/>
  <c r="M193" i="3" s="1"/>
  <c r="N193" i="3" s="1"/>
  <c r="J194" i="3"/>
  <c r="K194" i="3" s="1"/>
  <c r="L194" i="3" s="1"/>
  <c r="M194" i="3" s="1"/>
  <c r="N194" i="3" s="1"/>
  <c r="B14" i="1"/>
  <c r="C14" i="1" s="1"/>
  <c r="G138" i="1"/>
  <c r="J139" i="1"/>
  <c r="K139" i="1" s="1"/>
  <c r="M139" i="1" s="1"/>
  <c r="N139" i="1" s="1"/>
  <c r="O139" i="1" s="1"/>
  <c r="J140" i="1"/>
  <c r="K140" i="1" s="1"/>
  <c r="M140" i="1" s="1"/>
  <c r="N140" i="1" s="1"/>
  <c r="O140" i="1" s="1"/>
  <c r="J141" i="1"/>
  <c r="K141" i="1" s="1"/>
  <c r="M141" i="1" s="1"/>
  <c r="N141" i="1" s="1"/>
  <c r="O141" i="1" s="1"/>
  <c r="J142" i="1"/>
  <c r="K142" i="1" s="1"/>
  <c r="M142" i="1" s="1"/>
  <c r="N142" i="1" s="1"/>
  <c r="O142" i="1" s="1"/>
  <c r="J143" i="1"/>
  <c r="K143" i="1" s="1"/>
  <c r="M143" i="1" s="1"/>
  <c r="N143" i="1" s="1"/>
  <c r="O143" i="1" s="1"/>
  <c r="J144" i="1"/>
  <c r="K144" i="1" s="1"/>
  <c r="M144" i="1" s="1"/>
  <c r="N144" i="1" s="1"/>
  <c r="O144" i="1" s="1"/>
  <c r="J145" i="1"/>
  <c r="K145" i="1" s="1"/>
  <c r="M145" i="1" s="1"/>
  <c r="N145" i="1" s="1"/>
  <c r="O145" i="1" s="1"/>
  <c r="J146" i="1"/>
  <c r="K146" i="1" s="1"/>
  <c r="M146" i="1" s="1"/>
  <c r="N146" i="1" s="1"/>
  <c r="O146" i="1" s="1"/>
  <c r="J147" i="1"/>
  <c r="K147" i="1" s="1"/>
  <c r="M147" i="1" s="1"/>
  <c r="N147" i="1" s="1"/>
  <c r="O147" i="1" s="1"/>
  <c r="J148" i="1"/>
  <c r="K148" i="1" s="1"/>
  <c r="M148" i="1" s="1"/>
  <c r="N148" i="1" s="1"/>
  <c r="O148" i="1" s="1"/>
  <c r="J149" i="1"/>
  <c r="K149" i="1" s="1"/>
  <c r="M149" i="1" s="1"/>
  <c r="N149" i="1" s="1"/>
  <c r="O149" i="1" s="1"/>
  <c r="J150" i="1"/>
  <c r="K150" i="1" s="1"/>
  <c r="M150" i="1" s="1"/>
  <c r="N150" i="1" s="1"/>
  <c r="O150" i="1" s="1"/>
  <c r="J151" i="1"/>
  <c r="K151" i="1" s="1"/>
  <c r="M151" i="1" s="1"/>
  <c r="N151" i="1" s="1"/>
  <c r="O151" i="1" s="1"/>
  <c r="J152" i="1"/>
  <c r="K152" i="1" s="1"/>
  <c r="M152" i="1" s="1"/>
  <c r="N152" i="1" s="1"/>
  <c r="O152" i="1" s="1"/>
  <c r="J153" i="1"/>
  <c r="K153" i="1" s="1"/>
  <c r="M153" i="1" s="1"/>
  <c r="N153" i="1" s="1"/>
  <c r="O153" i="1" s="1"/>
  <c r="J154" i="1"/>
  <c r="K154" i="1" s="1"/>
  <c r="M154" i="1" s="1"/>
  <c r="N154" i="1" s="1"/>
  <c r="O154" i="1" s="1"/>
  <c r="J155" i="1"/>
  <c r="K155" i="1" s="1"/>
  <c r="M155" i="1" s="1"/>
  <c r="N155" i="1" s="1"/>
  <c r="O155" i="1" s="1"/>
  <c r="J156" i="1"/>
  <c r="K156" i="1" s="1"/>
  <c r="M156" i="1" s="1"/>
  <c r="N156" i="1" s="1"/>
  <c r="O156" i="1" s="1"/>
  <c r="J157" i="1"/>
  <c r="K157" i="1" s="1"/>
  <c r="M157" i="1" s="1"/>
  <c r="N157" i="1" s="1"/>
  <c r="O157" i="1" s="1"/>
  <c r="V161" i="3"/>
  <c r="AE161" i="3" s="1"/>
  <c r="V160" i="3"/>
  <c r="AE160" i="3" s="1"/>
  <c r="V213" i="7"/>
  <c r="V214" i="7"/>
  <c r="AR155" i="7" l="1"/>
  <c r="AR151" i="7"/>
  <c r="AR147" i="7"/>
  <c r="AR143" i="7"/>
  <c r="AR139" i="7"/>
  <c r="AR154" i="7"/>
  <c r="AR150" i="7"/>
  <c r="AR146" i="7"/>
  <c r="AR142" i="7"/>
  <c r="AR138" i="7"/>
  <c r="AR157" i="7"/>
  <c r="AR153" i="7"/>
  <c r="AR149" i="7"/>
  <c r="AR145" i="7"/>
  <c r="AR141" i="7"/>
  <c r="AR156" i="7"/>
  <c r="AR152" i="7"/>
  <c r="AR148" i="7"/>
  <c r="AR144" i="7"/>
  <c r="AR140" i="7"/>
  <c r="Q145" i="7"/>
  <c r="O150" i="7"/>
  <c r="P150" i="7" s="1"/>
  <c r="Q150" i="7" s="1"/>
  <c r="AH144" i="7"/>
  <c r="AH148" i="7"/>
  <c r="O152" i="7"/>
  <c r="P152" i="7" s="1"/>
  <c r="Q152" i="7" s="1"/>
  <c r="AH153" i="7"/>
  <c r="AH140" i="7"/>
  <c r="AH156" i="7"/>
  <c r="AI156" i="7" s="1"/>
  <c r="O143" i="7"/>
  <c r="P143" i="7" s="1"/>
  <c r="Q143" i="7" s="1"/>
  <c r="AH157" i="7"/>
  <c r="AI157" i="7" s="1"/>
  <c r="O139" i="7"/>
  <c r="P139" i="7" s="1"/>
  <c r="Q139" i="7" s="1"/>
  <c r="N152" i="2"/>
  <c r="O152" i="2" s="1"/>
  <c r="P152" i="2" s="1"/>
  <c r="I141" i="2"/>
  <c r="O141" i="2" s="1"/>
  <c r="P141" i="2" s="1"/>
  <c r="R141" i="2" s="1"/>
  <c r="AH145" i="7"/>
  <c r="O151" i="7"/>
  <c r="P151" i="7" s="1"/>
  <c r="Q151" i="7" s="1"/>
  <c r="AH146" i="7"/>
  <c r="O142" i="7"/>
  <c r="P142" i="7" s="1"/>
  <c r="Q142" i="7" s="1"/>
  <c r="O141" i="7"/>
  <c r="P141" i="7" s="1"/>
  <c r="Q141" i="7" s="1"/>
  <c r="AH139" i="7"/>
  <c r="AH141" i="7"/>
  <c r="O156" i="7"/>
  <c r="P156" i="7" s="1"/>
  <c r="Q156" i="7" s="1"/>
  <c r="O144" i="7"/>
  <c r="P144" i="7" s="1"/>
  <c r="Q144" i="7" s="1"/>
  <c r="AH152" i="7"/>
  <c r="AH142" i="7"/>
  <c r="O138" i="7"/>
  <c r="P138" i="7" s="1"/>
  <c r="AH154" i="7"/>
  <c r="O157" i="7"/>
  <c r="P157" i="7" s="1"/>
  <c r="Q157" i="7" s="1"/>
  <c r="AH138" i="7"/>
  <c r="O153" i="7"/>
  <c r="P153" i="7" s="1"/>
  <c r="Q153" i="7" s="1"/>
  <c r="AH149" i="7"/>
  <c r="O140" i="7"/>
  <c r="P140" i="7" s="1"/>
  <c r="Q140" i="7" s="1"/>
  <c r="O147" i="7"/>
  <c r="P147" i="7" s="1"/>
  <c r="Q147" i="7" s="1"/>
  <c r="J138" i="7"/>
  <c r="K138" i="7" s="1"/>
  <c r="L138" i="7" s="1"/>
  <c r="M138" i="7" s="1"/>
  <c r="N138" i="7" s="1"/>
  <c r="AH151" i="7"/>
  <c r="AH150" i="7"/>
  <c r="O154" i="7"/>
  <c r="P154" i="7" s="1"/>
  <c r="Q154" i="7" s="1"/>
  <c r="AH147" i="7"/>
  <c r="O148" i="7"/>
  <c r="P148" i="7" s="1"/>
  <c r="Q148" i="7" s="1"/>
  <c r="AH143" i="7"/>
  <c r="O146" i="7"/>
  <c r="P146" i="7" s="1"/>
  <c r="Q146" i="7" s="1"/>
  <c r="O149" i="7"/>
  <c r="P149" i="7" s="1"/>
  <c r="Q149" i="7" s="1"/>
  <c r="O155" i="7"/>
  <c r="P155" i="7" s="1"/>
  <c r="Q155" i="7" s="1"/>
  <c r="AH155" i="7"/>
  <c r="AG151" i="3"/>
  <c r="AI151" i="3" s="1"/>
  <c r="AJ151" i="3" s="1"/>
  <c r="AK151" i="3" s="1"/>
  <c r="O152" i="3"/>
  <c r="P152" i="3" s="1"/>
  <c r="Q152" i="3" s="1"/>
  <c r="AF214" i="7"/>
  <c r="AF213" i="7"/>
  <c r="AF181" i="7"/>
  <c r="AF182" i="7"/>
  <c r="Y141" i="2"/>
  <c r="Z141" i="2" s="1"/>
  <c r="AA141" i="2" s="1"/>
  <c r="AB141" i="2" s="1"/>
  <c r="N147" i="2"/>
  <c r="O147" i="2" s="1"/>
  <c r="P147" i="2" s="1"/>
  <c r="AG156" i="3"/>
  <c r="AG150" i="3"/>
  <c r="AH150" i="3" s="1"/>
  <c r="AG160" i="3"/>
  <c r="AG153" i="3"/>
  <c r="AH153" i="3" s="1"/>
  <c r="AG158" i="3"/>
  <c r="AG161" i="3"/>
  <c r="AL161" i="3" s="1"/>
  <c r="AM161" i="3" s="1"/>
  <c r="AN161" i="3" s="1"/>
  <c r="AS161" i="3" s="1"/>
  <c r="AF161" i="3"/>
  <c r="AF160" i="3"/>
  <c r="O160" i="3"/>
  <c r="P160" i="3" s="1"/>
  <c r="Q160" i="3" s="1"/>
  <c r="O157" i="3"/>
  <c r="P157" i="3" s="1"/>
  <c r="Q157" i="3" s="1"/>
  <c r="O158" i="3"/>
  <c r="P158" i="3" s="1"/>
  <c r="Q158" i="3" s="1"/>
  <c r="AG155" i="3"/>
  <c r="O156" i="3"/>
  <c r="P156" i="3" s="1"/>
  <c r="Q156" i="3" s="1"/>
  <c r="AG157" i="3"/>
  <c r="AH157" i="3" s="1"/>
  <c r="AG154" i="3"/>
  <c r="O159" i="3"/>
  <c r="P159" i="3" s="1"/>
  <c r="Q159" i="3" s="1"/>
  <c r="AG152" i="3"/>
  <c r="O155" i="3"/>
  <c r="P155" i="3" s="1"/>
  <c r="Q155" i="3" s="1"/>
  <c r="O161" i="3"/>
  <c r="P161" i="3" s="1"/>
  <c r="Q161" i="3" s="1"/>
  <c r="AG159" i="3"/>
  <c r="AH159" i="3" s="1"/>
  <c r="O153" i="3"/>
  <c r="P153" i="3" s="1"/>
  <c r="Q153" i="3" s="1"/>
  <c r="O151" i="3"/>
  <c r="P151" i="3" s="1"/>
  <c r="Q151" i="3" s="1"/>
  <c r="O154" i="3"/>
  <c r="P154" i="3" s="1"/>
  <c r="Q154" i="3" s="1"/>
  <c r="Y145" i="2"/>
  <c r="AC145" i="2" s="1"/>
  <c r="AD145" i="2" s="1"/>
  <c r="AE145" i="2" s="1"/>
  <c r="Y150" i="2"/>
  <c r="Y146" i="2"/>
  <c r="N143" i="2"/>
  <c r="O143" i="2" s="1"/>
  <c r="P143" i="2" s="1"/>
  <c r="N144" i="2"/>
  <c r="O144" i="2" s="1"/>
  <c r="P144" i="2" s="1"/>
  <c r="Y144" i="2"/>
  <c r="Y152" i="2"/>
  <c r="Y143" i="2"/>
  <c r="Y151" i="2"/>
  <c r="Y148" i="2"/>
  <c r="N148" i="2"/>
  <c r="O148" i="2" s="1"/>
  <c r="P148" i="2" s="1"/>
  <c r="Y149" i="2"/>
  <c r="N142" i="2"/>
  <c r="O142" i="2" s="1"/>
  <c r="P142" i="2" s="1"/>
  <c r="N146" i="2"/>
  <c r="O146" i="2" s="1"/>
  <c r="P146" i="2" s="1"/>
  <c r="N149" i="2"/>
  <c r="O149" i="2" s="1"/>
  <c r="P149" i="2" s="1"/>
  <c r="N150" i="2"/>
  <c r="O150" i="2" s="1"/>
  <c r="P150" i="2" s="1"/>
  <c r="Y147" i="2"/>
  <c r="Y142" i="2"/>
  <c r="N151" i="2"/>
  <c r="O151" i="2" s="1"/>
  <c r="P151" i="2" s="1"/>
  <c r="N145" i="2"/>
  <c r="O145" i="2" s="1"/>
  <c r="P145" i="2" s="1"/>
  <c r="AL158" i="3" l="1"/>
  <c r="AM158" i="3" s="1"/>
  <c r="AN158" i="3" s="1"/>
  <c r="AH158" i="3"/>
  <c r="AI143" i="7"/>
  <c r="AM143" i="7"/>
  <c r="AN143" i="7" s="1"/>
  <c r="AO143" i="7" s="1"/>
  <c r="AJ143" i="7"/>
  <c r="AK143" i="7" s="1"/>
  <c r="AL143" i="7" s="1"/>
  <c r="AJ150" i="7"/>
  <c r="AK150" i="7" s="1"/>
  <c r="AL150" i="7" s="1"/>
  <c r="AM150" i="7"/>
  <c r="AN150" i="7" s="1"/>
  <c r="AM152" i="7"/>
  <c r="AN152" i="7" s="1"/>
  <c r="AO152" i="7" s="1"/>
  <c r="AJ152" i="7"/>
  <c r="AK152" i="7" s="1"/>
  <c r="AL152" i="7" s="1"/>
  <c r="AJ139" i="7"/>
  <c r="AK139" i="7" s="1"/>
  <c r="AL139" i="7" s="1"/>
  <c r="AM139" i="7"/>
  <c r="AN139" i="7" s="1"/>
  <c r="AO139" i="7" s="1"/>
  <c r="AI140" i="7"/>
  <c r="AM140" i="7"/>
  <c r="AN140" i="7" s="1"/>
  <c r="AO140" i="7" s="1"/>
  <c r="AJ140" i="7"/>
  <c r="AK140" i="7" s="1"/>
  <c r="AL140" i="7" s="1"/>
  <c r="AM148" i="7"/>
  <c r="AN148" i="7" s="1"/>
  <c r="AJ148" i="7"/>
  <c r="AK148" i="7" s="1"/>
  <c r="AL148" i="7" s="1"/>
  <c r="AI138" i="7"/>
  <c r="AJ138" i="7"/>
  <c r="AK138" i="7" s="1"/>
  <c r="AL138" i="7" s="1"/>
  <c r="AM138" i="7"/>
  <c r="AN138" i="7" s="1"/>
  <c r="AO138" i="7" s="1"/>
  <c r="AM141" i="7"/>
  <c r="AN141" i="7" s="1"/>
  <c r="AO141" i="7" s="1"/>
  <c r="AJ141" i="7"/>
  <c r="AK141" i="7" s="1"/>
  <c r="AJ147" i="7"/>
  <c r="AK147" i="7" s="1"/>
  <c r="AL147" i="7" s="1"/>
  <c r="AM147" i="7"/>
  <c r="AN147" i="7" s="1"/>
  <c r="AO147" i="7" s="1"/>
  <c r="AI151" i="7"/>
  <c r="AM151" i="7"/>
  <c r="AN151" i="7" s="1"/>
  <c r="AO151" i="7" s="1"/>
  <c r="AJ151" i="7"/>
  <c r="AK151" i="7" s="1"/>
  <c r="AL151" i="7" s="1"/>
  <c r="AM149" i="7"/>
  <c r="AN149" i="7" s="1"/>
  <c r="AO149" i="7" s="1"/>
  <c r="AJ149" i="7"/>
  <c r="AK149" i="7" s="1"/>
  <c r="AL149" i="7" s="1"/>
  <c r="AJ154" i="7"/>
  <c r="AK154" i="7" s="1"/>
  <c r="AL154" i="7" s="1"/>
  <c r="AM154" i="7"/>
  <c r="AN154" i="7" s="1"/>
  <c r="AO154" i="7" s="1"/>
  <c r="AM145" i="7"/>
  <c r="AN145" i="7" s="1"/>
  <c r="AO145" i="7" s="1"/>
  <c r="AJ145" i="7"/>
  <c r="AK145" i="7" s="1"/>
  <c r="AL145" i="7" s="1"/>
  <c r="AM157" i="7"/>
  <c r="AN157" i="7" s="1"/>
  <c r="AJ157" i="7"/>
  <c r="AK157" i="7" s="1"/>
  <c r="AL157" i="7" s="1"/>
  <c r="AM153" i="7"/>
  <c r="AN153" i="7" s="1"/>
  <c r="AO153" i="7" s="1"/>
  <c r="AJ153" i="7"/>
  <c r="AK153" i="7" s="1"/>
  <c r="AJ142" i="7"/>
  <c r="AK142" i="7" s="1"/>
  <c r="AL142" i="7" s="1"/>
  <c r="AM142" i="7"/>
  <c r="AN142" i="7" s="1"/>
  <c r="AO142" i="7" s="1"/>
  <c r="AJ146" i="7"/>
  <c r="AK146" i="7" s="1"/>
  <c r="AL146" i="7" s="1"/>
  <c r="AM146" i="7"/>
  <c r="AN146" i="7" s="1"/>
  <c r="AO146" i="7" s="1"/>
  <c r="AM156" i="7"/>
  <c r="AN156" i="7" s="1"/>
  <c r="AO156" i="7" s="1"/>
  <c r="AJ156" i="7"/>
  <c r="AK156" i="7" s="1"/>
  <c r="AJ155" i="7"/>
  <c r="AK155" i="7" s="1"/>
  <c r="AL155" i="7" s="1"/>
  <c r="AM155" i="7"/>
  <c r="AN155" i="7" s="1"/>
  <c r="AO155" i="7" s="1"/>
  <c r="AI144" i="7"/>
  <c r="AM144" i="7"/>
  <c r="AN144" i="7" s="1"/>
  <c r="AO144" i="7" s="1"/>
  <c r="AJ144" i="7"/>
  <c r="AK144" i="7" s="1"/>
  <c r="AL144" i="7" s="1"/>
  <c r="AH151" i="3"/>
  <c r="AI148" i="7"/>
  <c r="AI153" i="7"/>
  <c r="AI150" i="7"/>
  <c r="Q138" i="7"/>
  <c r="S138" i="7" s="1"/>
  <c r="T138" i="7" s="1"/>
  <c r="AI139" i="7"/>
  <c r="AI152" i="7"/>
  <c r="AI141" i="7"/>
  <c r="AI146" i="7"/>
  <c r="AI147" i="7"/>
  <c r="AI155" i="7"/>
  <c r="AI145" i="7"/>
  <c r="AI149" i="7"/>
  <c r="AI154" i="7"/>
  <c r="AI142" i="7"/>
  <c r="AL151" i="3"/>
  <c r="AM151" i="3" s="1"/>
  <c r="AN151" i="3" s="1"/>
  <c r="AR151" i="3" s="1"/>
  <c r="AC141" i="2"/>
  <c r="AD141" i="2" s="1"/>
  <c r="AE141" i="2" s="1"/>
  <c r="AG141" i="2" s="1"/>
  <c r="C8" i="2" s="1"/>
  <c r="AI161" i="3"/>
  <c r="AJ161" i="3" s="1"/>
  <c r="AK161" i="3" s="1"/>
  <c r="AR161" i="3" s="1"/>
  <c r="AL150" i="3"/>
  <c r="AM150" i="3" s="1"/>
  <c r="AN150" i="3" s="1"/>
  <c r="AI150" i="3"/>
  <c r="AJ150" i="3" s="1"/>
  <c r="AK150" i="3" s="1"/>
  <c r="Z145" i="2"/>
  <c r="AA145" i="2" s="1"/>
  <c r="AB145" i="2" s="1"/>
  <c r="AG145" i="2" s="1"/>
  <c r="AL153" i="3"/>
  <c r="AM153" i="3" s="1"/>
  <c r="AN153" i="3" s="1"/>
  <c r="AI153" i="3"/>
  <c r="AJ153" i="3" s="1"/>
  <c r="AK153" i="3" s="1"/>
  <c r="AI156" i="3"/>
  <c r="AJ156" i="3" s="1"/>
  <c r="AK156" i="3" s="1"/>
  <c r="AL156" i="3"/>
  <c r="AM156" i="3" s="1"/>
  <c r="AN156" i="3" s="1"/>
  <c r="AL160" i="3"/>
  <c r="AM160" i="3" s="1"/>
  <c r="AN160" i="3" s="1"/>
  <c r="AI160" i="3"/>
  <c r="AJ160" i="3" s="1"/>
  <c r="AK160" i="3" s="1"/>
  <c r="AH156" i="3"/>
  <c r="AI158" i="3"/>
  <c r="AJ158" i="3" s="1"/>
  <c r="AK158" i="3" s="1"/>
  <c r="AL154" i="3"/>
  <c r="AM154" i="3" s="1"/>
  <c r="AN154" i="3" s="1"/>
  <c r="AH154" i="3"/>
  <c r="AI154" i="3"/>
  <c r="AJ154" i="3" s="1"/>
  <c r="AK154" i="3" s="1"/>
  <c r="AH155" i="3"/>
  <c r="AI155" i="3"/>
  <c r="AJ155" i="3" s="1"/>
  <c r="AK155" i="3" s="1"/>
  <c r="AL155" i="3"/>
  <c r="AM155" i="3" s="1"/>
  <c r="AN155" i="3" s="1"/>
  <c r="AU161" i="3"/>
  <c r="AI159" i="3"/>
  <c r="AJ159" i="3" s="1"/>
  <c r="AK159" i="3" s="1"/>
  <c r="AL159" i="3"/>
  <c r="AM159" i="3" s="1"/>
  <c r="AN159" i="3" s="1"/>
  <c r="AL152" i="3"/>
  <c r="AM152" i="3" s="1"/>
  <c r="AN152" i="3" s="1"/>
  <c r="AH152" i="3"/>
  <c r="AI152" i="3"/>
  <c r="AJ152" i="3" s="1"/>
  <c r="AK152" i="3" s="1"/>
  <c r="T150" i="3"/>
  <c r="AI157" i="3"/>
  <c r="AJ157" i="3" s="1"/>
  <c r="AK157" i="3" s="1"/>
  <c r="AL157" i="3"/>
  <c r="AM157" i="3" s="1"/>
  <c r="AN157" i="3" s="1"/>
  <c r="AC150" i="2"/>
  <c r="AD150" i="2" s="1"/>
  <c r="AE150" i="2" s="1"/>
  <c r="Z150" i="2"/>
  <c r="AA150" i="2" s="1"/>
  <c r="AB150" i="2" s="1"/>
  <c r="Z142" i="2"/>
  <c r="AA142" i="2" s="1"/>
  <c r="AB142" i="2" s="1"/>
  <c r="AC142" i="2"/>
  <c r="AD142" i="2" s="1"/>
  <c r="AE142" i="2" s="1"/>
  <c r="AC149" i="2"/>
  <c r="AD149" i="2" s="1"/>
  <c r="AE149" i="2" s="1"/>
  <c r="Z149" i="2"/>
  <c r="AA149" i="2" s="1"/>
  <c r="AB149" i="2" s="1"/>
  <c r="AC151" i="2"/>
  <c r="AD151" i="2" s="1"/>
  <c r="AE151" i="2" s="1"/>
  <c r="Z151" i="2"/>
  <c r="AA151" i="2" s="1"/>
  <c r="AB151" i="2" s="1"/>
  <c r="Z152" i="2"/>
  <c r="AA152" i="2" s="1"/>
  <c r="AB152" i="2" s="1"/>
  <c r="AC152" i="2"/>
  <c r="AD152" i="2" s="1"/>
  <c r="AE152" i="2" s="1"/>
  <c r="AC146" i="2"/>
  <c r="AD146" i="2" s="1"/>
  <c r="AE146" i="2" s="1"/>
  <c r="Z146" i="2"/>
  <c r="AA146" i="2" s="1"/>
  <c r="AB146" i="2" s="1"/>
  <c r="Z143" i="2"/>
  <c r="AA143" i="2" s="1"/>
  <c r="AB143" i="2" s="1"/>
  <c r="AC143" i="2"/>
  <c r="AD143" i="2" s="1"/>
  <c r="AE143" i="2" s="1"/>
  <c r="Z147" i="2"/>
  <c r="AA147" i="2" s="1"/>
  <c r="AB147" i="2" s="1"/>
  <c r="AC147" i="2"/>
  <c r="AD147" i="2" s="1"/>
  <c r="AE147" i="2" s="1"/>
  <c r="AC148" i="2"/>
  <c r="AD148" i="2" s="1"/>
  <c r="AE148" i="2" s="1"/>
  <c r="Z148" i="2"/>
  <c r="AA148" i="2" s="1"/>
  <c r="AB148" i="2" s="1"/>
  <c r="AC144" i="2"/>
  <c r="AD144" i="2" s="1"/>
  <c r="AE144" i="2" s="1"/>
  <c r="Z144" i="2"/>
  <c r="AA144" i="2" s="1"/>
  <c r="AB144" i="2" s="1"/>
  <c r="S141" i="2"/>
  <c r="AR158" i="3" l="1"/>
  <c r="AO148" i="7"/>
  <c r="AS148" i="7" s="1"/>
  <c r="AL153" i="7"/>
  <c r="AS153" i="7" s="1"/>
  <c r="AL156" i="7"/>
  <c r="AS156" i="7" s="1"/>
  <c r="AO150" i="7"/>
  <c r="AS150" i="7" s="1"/>
  <c r="AO157" i="7"/>
  <c r="AS157" i="7" s="1"/>
  <c r="AL141" i="7"/>
  <c r="AS141" i="7" s="1"/>
  <c r="AS144" i="7"/>
  <c r="AS143" i="7"/>
  <c r="AS140" i="7"/>
  <c r="AS147" i="7"/>
  <c r="AS154" i="7"/>
  <c r="AS149" i="7"/>
  <c r="AS151" i="7"/>
  <c r="AS146" i="7"/>
  <c r="V138" i="7"/>
  <c r="R139" i="7"/>
  <c r="S139" i="7" s="1"/>
  <c r="AS152" i="7"/>
  <c r="AI159" i="7"/>
  <c r="AS139" i="7"/>
  <c r="AS142" i="7"/>
  <c r="AS155" i="7"/>
  <c r="AS145" i="7"/>
  <c r="AS138" i="7"/>
  <c r="C8" i="7" s="1"/>
  <c r="AR150" i="3"/>
  <c r="C8" i="3" s="1"/>
  <c r="AR153" i="3"/>
  <c r="AR156" i="3"/>
  <c r="AG148" i="2"/>
  <c r="AG149" i="2"/>
  <c r="AG150" i="2"/>
  <c r="AG151" i="2"/>
  <c r="AH162" i="3"/>
  <c r="AR154" i="3"/>
  <c r="AS160" i="3"/>
  <c r="AU160" i="3" s="1"/>
  <c r="AR160" i="3"/>
  <c r="AR159" i="3"/>
  <c r="AR157" i="3"/>
  <c r="V150" i="3"/>
  <c r="AE150" i="3" s="1"/>
  <c r="R151" i="3"/>
  <c r="S151" i="3" s="1"/>
  <c r="AR152" i="3"/>
  <c r="AR155" i="3"/>
  <c r="AG144" i="2"/>
  <c r="AG146" i="2"/>
  <c r="V141" i="2"/>
  <c r="Q142" i="2"/>
  <c r="R142" i="2" s="1"/>
  <c r="AG143" i="2"/>
  <c r="AG152" i="2"/>
  <c r="AG142" i="2"/>
  <c r="AG147" i="2"/>
  <c r="C171" i="7" l="1"/>
  <c r="J171" i="7" s="1"/>
  <c r="P171" i="7" s="1"/>
  <c r="Q171" i="7" s="1"/>
  <c r="S171" i="7" s="1"/>
  <c r="AM164" i="7"/>
  <c r="AN164" i="7" s="1"/>
  <c r="AO164" i="7" s="1"/>
  <c r="AM161" i="7"/>
  <c r="AN161" i="7" s="1"/>
  <c r="AO161" i="7" s="1"/>
  <c r="AL165" i="3"/>
  <c r="AM165" i="3" s="1"/>
  <c r="AN165" i="3" s="1"/>
  <c r="AL168" i="3"/>
  <c r="AM168" i="3" s="1"/>
  <c r="AN168" i="3" s="1"/>
  <c r="C175" i="3"/>
  <c r="AG183" i="3" s="1"/>
  <c r="X150" i="3"/>
  <c r="Z150" i="3" s="1"/>
  <c r="T139" i="7"/>
  <c r="S140" i="7"/>
  <c r="X138" i="7"/>
  <c r="Z138" i="7" s="1"/>
  <c r="AE138" i="7"/>
  <c r="AT138" i="7"/>
  <c r="O176" i="7"/>
  <c r="P176" i="7" s="1"/>
  <c r="Q176" i="7" s="1"/>
  <c r="AS150" i="3"/>
  <c r="T151" i="3"/>
  <c r="S152" i="3"/>
  <c r="AH141" i="2"/>
  <c r="S142" i="2"/>
  <c r="R143" i="2"/>
  <c r="AH172" i="7" l="1"/>
  <c r="AI172" i="7" s="1"/>
  <c r="AH177" i="7"/>
  <c r="AI177" i="7" s="1"/>
  <c r="O178" i="7"/>
  <c r="P178" i="7" s="1"/>
  <c r="Q178" i="7" s="1"/>
  <c r="O175" i="7"/>
  <c r="P175" i="7" s="1"/>
  <c r="Q175" i="7" s="1"/>
  <c r="AH178" i="7"/>
  <c r="AI178" i="7" s="1"/>
  <c r="AH179" i="7"/>
  <c r="AI179" i="7" s="1"/>
  <c r="AH171" i="7"/>
  <c r="AI171" i="7" s="1"/>
  <c r="O182" i="7"/>
  <c r="P182" i="7" s="1"/>
  <c r="Q182" i="7" s="1"/>
  <c r="AH174" i="7"/>
  <c r="AM174" i="7" s="1"/>
  <c r="AN174" i="7" s="1"/>
  <c r="AO174" i="7" s="1"/>
  <c r="O179" i="7"/>
  <c r="P179" i="7" s="1"/>
  <c r="Q179" i="7" s="1"/>
  <c r="AH182" i="7"/>
  <c r="AJ182" i="7" s="1"/>
  <c r="AK182" i="7" s="1"/>
  <c r="AL182" i="7" s="1"/>
  <c r="AT182" i="7" s="1"/>
  <c r="AP164" i="7"/>
  <c r="AH180" i="7"/>
  <c r="AI180" i="7" s="1"/>
  <c r="AH175" i="7"/>
  <c r="AM175" i="7" s="1"/>
  <c r="AN175" i="7" s="1"/>
  <c r="AO175" i="7" s="1"/>
  <c r="O181" i="7"/>
  <c r="P181" i="7" s="1"/>
  <c r="Q181" i="7" s="1"/>
  <c r="AH173" i="7"/>
  <c r="AM173" i="7" s="1"/>
  <c r="AN173" i="7" s="1"/>
  <c r="AO173" i="7" s="1"/>
  <c r="O172" i="7"/>
  <c r="P172" i="7" s="1"/>
  <c r="Q172" i="7" s="1"/>
  <c r="O174" i="7"/>
  <c r="P174" i="7" s="1"/>
  <c r="Q174" i="7" s="1"/>
  <c r="O173" i="7"/>
  <c r="P173" i="7" s="1"/>
  <c r="Q173" i="7" s="1"/>
  <c r="O177" i="7"/>
  <c r="P177" i="7" s="1"/>
  <c r="Q177" i="7" s="1"/>
  <c r="AH181" i="7"/>
  <c r="AJ181" i="7" s="1"/>
  <c r="AK181" i="7" s="1"/>
  <c r="AL181" i="7" s="1"/>
  <c r="AT181" i="7" s="1"/>
  <c r="AH176" i="7"/>
  <c r="AM176" i="7" s="1"/>
  <c r="AN176" i="7" s="1"/>
  <c r="AO176" i="7" s="1"/>
  <c r="O180" i="7"/>
  <c r="P180" i="7" s="1"/>
  <c r="Q180" i="7" s="1"/>
  <c r="AO168" i="3"/>
  <c r="AI183" i="3"/>
  <c r="AJ183" i="3" s="1"/>
  <c r="AK183" i="3" s="1"/>
  <c r="AL183" i="3"/>
  <c r="AM183" i="3" s="1"/>
  <c r="AG185" i="3"/>
  <c r="AG176" i="3"/>
  <c r="AG175" i="3"/>
  <c r="O186" i="3"/>
  <c r="P186" i="3" s="1"/>
  <c r="Q186" i="3" s="1"/>
  <c r="AG181" i="3"/>
  <c r="O177" i="3"/>
  <c r="P177" i="3" s="1"/>
  <c r="Q177" i="3" s="1"/>
  <c r="AG193" i="3"/>
  <c r="O183" i="3"/>
  <c r="P183" i="3" s="1"/>
  <c r="Q183" i="3" s="1"/>
  <c r="O185" i="3"/>
  <c r="P185" i="3" s="1"/>
  <c r="Q185" i="3" s="1"/>
  <c r="O178" i="3"/>
  <c r="P178" i="3" s="1"/>
  <c r="Q178" i="3" s="1"/>
  <c r="O189" i="3"/>
  <c r="P189" i="3" s="1"/>
  <c r="Q189" i="3" s="1"/>
  <c r="O182" i="3"/>
  <c r="P182" i="3" s="1"/>
  <c r="Q182" i="3" s="1"/>
  <c r="O193" i="3"/>
  <c r="P193" i="3" s="1"/>
  <c r="Q193" i="3" s="1"/>
  <c r="AG189" i="3"/>
  <c r="AG194" i="3"/>
  <c r="AG179" i="3"/>
  <c r="O187" i="3"/>
  <c r="P187" i="3" s="1"/>
  <c r="Q187" i="3" s="1"/>
  <c r="O194" i="3"/>
  <c r="P194" i="3" s="1"/>
  <c r="Q194" i="3" s="1"/>
  <c r="AG187" i="3"/>
  <c r="AG177" i="3"/>
  <c r="O176" i="3"/>
  <c r="P176" i="3" s="1"/>
  <c r="Q176" i="3" s="1"/>
  <c r="AG178" i="3"/>
  <c r="O180" i="3"/>
  <c r="P180" i="3" s="1"/>
  <c r="Q180" i="3" s="1"/>
  <c r="O191" i="3"/>
  <c r="P191" i="3" s="1"/>
  <c r="Q191" i="3" s="1"/>
  <c r="O188" i="3"/>
  <c r="P188" i="3" s="1"/>
  <c r="Q188" i="3" s="1"/>
  <c r="AG180" i="3"/>
  <c r="AG192" i="3"/>
  <c r="O192" i="3"/>
  <c r="P192" i="3" s="1"/>
  <c r="Q192" i="3" s="1"/>
  <c r="O175" i="3"/>
  <c r="P175" i="3" s="1"/>
  <c r="AG188" i="3"/>
  <c r="O179" i="3"/>
  <c r="P179" i="3" s="1"/>
  <c r="Q179" i="3" s="1"/>
  <c r="J175" i="3"/>
  <c r="K175" i="3" s="1"/>
  <c r="L175" i="3" s="1"/>
  <c r="M175" i="3" s="1"/>
  <c r="N175" i="3" s="1"/>
  <c r="O190" i="3"/>
  <c r="P190" i="3" s="1"/>
  <c r="Q190" i="3" s="1"/>
  <c r="AG191" i="3"/>
  <c r="AG182" i="3"/>
  <c r="AG190" i="3"/>
  <c r="AG184" i="3"/>
  <c r="O181" i="3"/>
  <c r="P181" i="3" s="1"/>
  <c r="Q181" i="3" s="1"/>
  <c r="AG186" i="3"/>
  <c r="O184" i="3"/>
  <c r="P184" i="3" s="1"/>
  <c r="Q184" i="3" s="1"/>
  <c r="S141" i="7"/>
  <c r="T140" i="7"/>
  <c r="R140" i="7"/>
  <c r="V139" i="7"/>
  <c r="T171" i="7"/>
  <c r="V151" i="3"/>
  <c r="AE151" i="3" s="1"/>
  <c r="R152" i="3"/>
  <c r="S153" i="3"/>
  <c r="T152" i="3"/>
  <c r="Q143" i="2"/>
  <c r="V142" i="2"/>
  <c r="R144" i="2"/>
  <c r="S143" i="2"/>
  <c r="AJ172" i="7" l="1"/>
  <c r="AK172" i="7" s="1"/>
  <c r="AL172" i="7" s="1"/>
  <c r="AM182" i="7"/>
  <c r="AN182" i="7" s="1"/>
  <c r="AO182" i="7" s="1"/>
  <c r="AS182" i="7" s="1"/>
  <c r="AM172" i="7"/>
  <c r="AN172" i="7" s="1"/>
  <c r="AO172" i="7" s="1"/>
  <c r="AM178" i="7"/>
  <c r="AN178" i="7" s="1"/>
  <c r="AO178" i="7" s="1"/>
  <c r="AI174" i="7"/>
  <c r="AJ178" i="7"/>
  <c r="AK178" i="7" s="1"/>
  <c r="AL178" i="7" s="1"/>
  <c r="AM171" i="7"/>
  <c r="AN171" i="7" s="1"/>
  <c r="AO171" i="7" s="1"/>
  <c r="AJ177" i="7"/>
  <c r="AK177" i="7" s="1"/>
  <c r="AL177" i="7" s="1"/>
  <c r="AM177" i="7"/>
  <c r="AN177" i="7" s="1"/>
  <c r="AO177" i="7" s="1"/>
  <c r="AM179" i="7"/>
  <c r="AN179" i="7" s="1"/>
  <c r="AO179" i="7" s="1"/>
  <c r="AJ174" i="7"/>
  <c r="AK174" i="7" s="1"/>
  <c r="AL174" i="7" s="1"/>
  <c r="AS174" i="7" s="1"/>
  <c r="AJ171" i="7"/>
  <c r="AK171" i="7" s="1"/>
  <c r="AL171" i="7" s="1"/>
  <c r="AJ179" i="7"/>
  <c r="AK179" i="7" s="1"/>
  <c r="AL179" i="7" s="1"/>
  <c r="AI175" i="7"/>
  <c r="AJ176" i="7"/>
  <c r="AK176" i="7" s="1"/>
  <c r="AL176" i="7" s="1"/>
  <c r="AS176" i="7" s="1"/>
  <c r="AI176" i="7"/>
  <c r="AJ173" i="7"/>
  <c r="AK173" i="7" s="1"/>
  <c r="AL173" i="7" s="1"/>
  <c r="AS173" i="7" s="1"/>
  <c r="AI173" i="7"/>
  <c r="AM180" i="7"/>
  <c r="AN180" i="7" s="1"/>
  <c r="AO180" i="7" s="1"/>
  <c r="AM181" i="7"/>
  <c r="AN181" i="7" s="1"/>
  <c r="AO181" i="7" s="1"/>
  <c r="AS181" i="7" s="1"/>
  <c r="AJ180" i="7"/>
  <c r="AK180" i="7" s="1"/>
  <c r="AL180" i="7" s="1"/>
  <c r="AJ175" i="7"/>
  <c r="AK175" i="7" s="1"/>
  <c r="AL175" i="7" s="1"/>
  <c r="AS175" i="7" s="1"/>
  <c r="AL186" i="3"/>
  <c r="AM186" i="3" s="1"/>
  <c r="AN186" i="3" s="1"/>
  <c r="AI186" i="3"/>
  <c r="AJ186" i="3" s="1"/>
  <c r="AL194" i="3"/>
  <c r="AM194" i="3" s="1"/>
  <c r="AN194" i="3" s="1"/>
  <c r="AI194" i="3"/>
  <c r="AJ194" i="3" s="1"/>
  <c r="AL193" i="3"/>
  <c r="AM193" i="3" s="1"/>
  <c r="AI193" i="3"/>
  <c r="AJ193" i="3" s="1"/>
  <c r="AK193" i="3" s="1"/>
  <c r="AL191" i="3"/>
  <c r="AM191" i="3" s="1"/>
  <c r="AI191" i="3"/>
  <c r="AJ191" i="3" s="1"/>
  <c r="AK191" i="3" s="1"/>
  <c r="AL188" i="3"/>
  <c r="AM188" i="3" s="1"/>
  <c r="AI188" i="3"/>
  <c r="AJ188" i="3" s="1"/>
  <c r="AK188" i="3" s="1"/>
  <c r="AI180" i="3"/>
  <c r="AJ180" i="3" s="1"/>
  <c r="AK180" i="3" s="1"/>
  <c r="AL180" i="3"/>
  <c r="AM180" i="3" s="1"/>
  <c r="AI178" i="3"/>
  <c r="AJ178" i="3" s="1"/>
  <c r="AL178" i="3"/>
  <c r="AM178" i="3" s="1"/>
  <c r="AN178" i="3" s="1"/>
  <c r="AL189" i="3"/>
  <c r="AM189" i="3" s="1"/>
  <c r="AI189" i="3"/>
  <c r="AJ189" i="3" s="1"/>
  <c r="AK189" i="3" s="1"/>
  <c r="AL175" i="3"/>
  <c r="AM175" i="3" s="1"/>
  <c r="AI175" i="3"/>
  <c r="AJ175" i="3" s="1"/>
  <c r="AK175" i="3" s="1"/>
  <c r="AI182" i="3"/>
  <c r="AJ182" i="3" s="1"/>
  <c r="AK182" i="3" s="1"/>
  <c r="AL182" i="3"/>
  <c r="AM182" i="3" s="1"/>
  <c r="AL192" i="3"/>
  <c r="AM192" i="3" s="1"/>
  <c r="AI192" i="3"/>
  <c r="AJ192" i="3" s="1"/>
  <c r="AK192" i="3" s="1"/>
  <c r="AL184" i="3"/>
  <c r="AM184" i="3" s="1"/>
  <c r="AI184" i="3"/>
  <c r="AJ184" i="3" s="1"/>
  <c r="AK184" i="3" s="1"/>
  <c r="AL181" i="3"/>
  <c r="AM181" i="3" s="1"/>
  <c r="AN181" i="3" s="1"/>
  <c r="AI181" i="3"/>
  <c r="AJ181" i="3" s="1"/>
  <c r="AL176" i="3"/>
  <c r="AM176" i="3" s="1"/>
  <c r="AN176" i="3" s="1"/>
  <c r="AI176" i="3"/>
  <c r="AJ176" i="3" s="1"/>
  <c r="AL187" i="3"/>
  <c r="AM187" i="3" s="1"/>
  <c r="AI187" i="3"/>
  <c r="AJ187" i="3" s="1"/>
  <c r="AK187" i="3" s="1"/>
  <c r="AI190" i="3"/>
  <c r="AJ190" i="3" s="1"/>
  <c r="AL190" i="3"/>
  <c r="AM190" i="3" s="1"/>
  <c r="AN190" i="3" s="1"/>
  <c r="AL177" i="3"/>
  <c r="AM177" i="3" s="1"/>
  <c r="AN177" i="3" s="1"/>
  <c r="AI177" i="3"/>
  <c r="AJ177" i="3" s="1"/>
  <c r="AL179" i="3"/>
  <c r="AM179" i="3" s="1"/>
  <c r="AI179" i="3"/>
  <c r="AJ179" i="3" s="1"/>
  <c r="AK179" i="3" s="1"/>
  <c r="AI185" i="3"/>
  <c r="AJ185" i="3" s="1"/>
  <c r="AK185" i="3" s="1"/>
  <c r="AL185" i="3"/>
  <c r="AM185" i="3" s="1"/>
  <c r="AN185" i="3" s="1"/>
  <c r="AN183" i="3"/>
  <c r="AR183" i="3" s="1"/>
  <c r="Q175" i="3"/>
  <c r="S175" i="3" s="1"/>
  <c r="T175" i="3" s="1"/>
  <c r="R176" i="3" s="1"/>
  <c r="S176" i="3" s="1"/>
  <c r="T176" i="3" s="1"/>
  <c r="AE139" i="7"/>
  <c r="AT139" i="7"/>
  <c r="R141" i="7"/>
  <c r="V140" i="7"/>
  <c r="S142" i="7"/>
  <c r="T141" i="7"/>
  <c r="R172" i="7"/>
  <c r="S172" i="7" s="1"/>
  <c r="V171" i="7"/>
  <c r="S154" i="3"/>
  <c r="T153" i="3"/>
  <c r="AS151" i="3"/>
  <c r="V152" i="3"/>
  <c r="AE152" i="3" s="1"/>
  <c r="R153" i="3"/>
  <c r="AH142" i="2"/>
  <c r="S144" i="2"/>
  <c r="R145" i="2"/>
  <c r="Q144" i="2"/>
  <c r="V143" i="2"/>
  <c r="AS172" i="7" l="1"/>
  <c r="AS177" i="7"/>
  <c r="AS178" i="7"/>
  <c r="AS171" i="7"/>
  <c r="AS179" i="7"/>
  <c r="AI183" i="7"/>
  <c r="AI185" i="7" s="1"/>
  <c r="AS180" i="7"/>
  <c r="AR185" i="3"/>
  <c r="AN175" i="3"/>
  <c r="AR175" i="3" s="1"/>
  <c r="AK178" i="3"/>
  <c r="AR178" i="3" s="1"/>
  <c r="AN184" i="3"/>
  <c r="AR184" i="3" s="1"/>
  <c r="AN193" i="3"/>
  <c r="AR193" i="3" s="1"/>
  <c r="AK190" i="3"/>
  <c r="AR190" i="3" s="1"/>
  <c r="AN189" i="3"/>
  <c r="AR189" i="3" s="1"/>
  <c r="AN182" i="3"/>
  <c r="AR182" i="3" s="1"/>
  <c r="AN188" i="3"/>
  <c r="AR188" i="3" s="1"/>
  <c r="AN191" i="3"/>
  <c r="AR191" i="3" s="1"/>
  <c r="AK176" i="3"/>
  <c r="AR176" i="3" s="1"/>
  <c r="AN192" i="3"/>
  <c r="AR192" i="3" s="1"/>
  <c r="AN179" i="3"/>
  <c r="AR179" i="3" s="1"/>
  <c r="AK194" i="3"/>
  <c r="AR194" i="3" s="1"/>
  <c r="AN180" i="3"/>
  <c r="AR180" i="3" s="1"/>
  <c r="AN187" i="3"/>
  <c r="AR187" i="3" s="1"/>
  <c r="AK181" i="3"/>
  <c r="AR181" i="3" s="1"/>
  <c r="AK177" i="3"/>
  <c r="AR177" i="3" s="1"/>
  <c r="AK186" i="3"/>
  <c r="AR186" i="3" s="1"/>
  <c r="S177" i="3"/>
  <c r="S178" i="3" s="1"/>
  <c r="V175" i="3"/>
  <c r="R142" i="7"/>
  <c r="V141" i="7"/>
  <c r="AT171" i="7"/>
  <c r="AE171" i="7"/>
  <c r="AE140" i="7"/>
  <c r="AT140" i="7"/>
  <c r="S143" i="7"/>
  <c r="T142" i="7"/>
  <c r="T172" i="7"/>
  <c r="S173" i="7"/>
  <c r="R177" i="3"/>
  <c r="V176" i="3"/>
  <c r="AS176" i="3" s="1"/>
  <c r="AS152" i="3"/>
  <c r="S155" i="3"/>
  <c r="T154" i="3"/>
  <c r="V153" i="3"/>
  <c r="AE153" i="3" s="1"/>
  <c r="R154" i="3"/>
  <c r="AH143" i="2"/>
  <c r="Q145" i="2"/>
  <c r="V144" i="2"/>
  <c r="S145" i="2"/>
  <c r="R146" i="2"/>
  <c r="X171" i="7" l="1"/>
  <c r="Z171" i="7" s="1"/>
  <c r="C195" i="7"/>
  <c r="O196" i="7" s="1"/>
  <c r="P196" i="7" s="1"/>
  <c r="Q196" i="7" s="1"/>
  <c r="AM189" i="7"/>
  <c r="AN189" i="7" s="1"/>
  <c r="AO189" i="7" s="1"/>
  <c r="AM186" i="7"/>
  <c r="AN186" i="7" s="1"/>
  <c r="AO186" i="7" s="1"/>
  <c r="AS175" i="3"/>
  <c r="T177" i="3"/>
  <c r="V177" i="3" s="1"/>
  <c r="AS177" i="3" s="1"/>
  <c r="R143" i="7"/>
  <c r="V142" i="7"/>
  <c r="AE141" i="7"/>
  <c r="AT141" i="7"/>
  <c r="S144" i="7"/>
  <c r="T143" i="7"/>
  <c r="T173" i="7"/>
  <c r="S174" i="7"/>
  <c r="R173" i="7"/>
  <c r="V172" i="7"/>
  <c r="S179" i="3"/>
  <c r="T178" i="3"/>
  <c r="AS153" i="3"/>
  <c r="R155" i="3"/>
  <c r="V154" i="3"/>
  <c r="AE154" i="3" s="1"/>
  <c r="S156" i="3"/>
  <c r="T155" i="3"/>
  <c r="V145" i="2"/>
  <c r="Q146" i="2"/>
  <c r="S146" i="2"/>
  <c r="R147" i="2"/>
  <c r="AH144" i="2"/>
  <c r="AH199" i="7" l="1"/>
  <c r="AM199" i="7" s="1"/>
  <c r="AN199" i="7" s="1"/>
  <c r="AO199" i="7" s="1"/>
  <c r="O205" i="7"/>
  <c r="P205" i="7" s="1"/>
  <c r="Q205" i="7" s="1"/>
  <c r="O207" i="7"/>
  <c r="P207" i="7" s="1"/>
  <c r="Q207" i="7" s="1"/>
  <c r="AH200" i="7"/>
  <c r="AJ200" i="7" s="1"/>
  <c r="AK200" i="7" s="1"/>
  <c r="AH210" i="7"/>
  <c r="AJ210" i="7" s="1"/>
  <c r="AK210" i="7" s="1"/>
  <c r="AL210" i="7" s="1"/>
  <c r="O195" i="7"/>
  <c r="P195" i="7" s="1"/>
  <c r="AH212" i="7"/>
  <c r="AJ212" i="7" s="1"/>
  <c r="AK212" i="7" s="1"/>
  <c r="O198" i="7"/>
  <c r="P198" i="7" s="1"/>
  <c r="Q198" i="7" s="1"/>
  <c r="O209" i="7"/>
  <c r="P209" i="7" s="1"/>
  <c r="Q209" i="7" s="1"/>
  <c r="O201" i="7"/>
  <c r="P201" i="7" s="1"/>
  <c r="Q201" i="7" s="1"/>
  <c r="AH204" i="7"/>
  <c r="AM204" i="7" s="1"/>
  <c r="AN204" i="7" s="1"/>
  <c r="AO204" i="7" s="1"/>
  <c r="O203" i="7"/>
  <c r="P203" i="7" s="1"/>
  <c r="Q203" i="7" s="1"/>
  <c r="O208" i="7"/>
  <c r="P208" i="7" s="1"/>
  <c r="Q208" i="7" s="1"/>
  <c r="AH206" i="7"/>
  <c r="AJ206" i="7" s="1"/>
  <c r="AK206" i="7" s="1"/>
  <c r="AH211" i="7"/>
  <c r="AM211" i="7" s="1"/>
  <c r="AN211" i="7" s="1"/>
  <c r="AO211" i="7" s="1"/>
  <c r="AH203" i="7"/>
  <c r="AJ203" i="7" s="1"/>
  <c r="AK203" i="7" s="1"/>
  <c r="AH209" i="7"/>
  <c r="AM209" i="7" s="1"/>
  <c r="AN209" i="7" s="1"/>
  <c r="AO209" i="7" s="1"/>
  <c r="O210" i="7"/>
  <c r="P210" i="7" s="1"/>
  <c r="Q210" i="7" s="1"/>
  <c r="AH198" i="7"/>
  <c r="AM198" i="7" s="1"/>
  <c r="AN198" i="7" s="1"/>
  <c r="AO198" i="7" s="1"/>
  <c r="O199" i="7"/>
  <c r="P199" i="7" s="1"/>
  <c r="Q199" i="7" s="1"/>
  <c r="AH202" i="7"/>
  <c r="AM202" i="7" s="1"/>
  <c r="AN202" i="7" s="1"/>
  <c r="AH195" i="7"/>
  <c r="AM195" i="7" s="1"/>
  <c r="AN195" i="7" s="1"/>
  <c r="AO195" i="7" s="1"/>
  <c r="O204" i="7"/>
  <c r="P204" i="7" s="1"/>
  <c r="Q204" i="7" s="1"/>
  <c r="AH207" i="7"/>
  <c r="AJ207" i="7" s="1"/>
  <c r="AK207" i="7" s="1"/>
  <c r="AH196" i="7"/>
  <c r="AM196" i="7" s="1"/>
  <c r="AN196" i="7" s="1"/>
  <c r="AO196" i="7" s="1"/>
  <c r="J195" i="7"/>
  <c r="K195" i="7" s="1"/>
  <c r="L195" i="7" s="1"/>
  <c r="M195" i="7" s="1"/>
  <c r="N195" i="7" s="1"/>
  <c r="O211" i="7"/>
  <c r="P211" i="7" s="1"/>
  <c r="Q211" i="7" s="1"/>
  <c r="AH205" i="7"/>
  <c r="AM205" i="7" s="1"/>
  <c r="AN205" i="7" s="1"/>
  <c r="AO205" i="7" s="1"/>
  <c r="O202" i="7"/>
  <c r="P202" i="7" s="1"/>
  <c r="Q202" i="7" s="1"/>
  <c r="AH214" i="7"/>
  <c r="AJ214" i="7" s="1"/>
  <c r="AK214" i="7" s="1"/>
  <c r="O200" i="7"/>
  <c r="P200" i="7" s="1"/>
  <c r="Q200" i="7" s="1"/>
  <c r="AH208" i="7"/>
  <c r="AM208" i="7" s="1"/>
  <c r="AN208" i="7" s="1"/>
  <c r="AO208" i="7" s="1"/>
  <c r="O197" i="7"/>
  <c r="P197" i="7" s="1"/>
  <c r="Q197" i="7" s="1"/>
  <c r="AH201" i="7"/>
  <c r="AJ201" i="7" s="1"/>
  <c r="AK201" i="7" s="1"/>
  <c r="AH213" i="7"/>
  <c r="AJ213" i="7" s="1"/>
  <c r="AK213" i="7" s="1"/>
  <c r="AL213" i="7" s="1"/>
  <c r="AH197" i="7"/>
  <c r="AJ197" i="7" s="1"/>
  <c r="AK197" i="7" s="1"/>
  <c r="AL197" i="7" s="1"/>
  <c r="O206" i="7"/>
  <c r="P206" i="7" s="1"/>
  <c r="Q206" i="7" s="1"/>
  <c r="O212" i="7"/>
  <c r="P212" i="7" s="1"/>
  <c r="Q212" i="7" s="1"/>
  <c r="O213" i="7"/>
  <c r="P213" i="7" s="1"/>
  <c r="Q213" i="7" s="1"/>
  <c r="O214" i="7"/>
  <c r="P214" i="7" s="1"/>
  <c r="Q214" i="7" s="1"/>
  <c r="AP189" i="7"/>
  <c r="R178" i="3"/>
  <c r="R144" i="7"/>
  <c r="V143" i="7"/>
  <c r="AE142" i="7"/>
  <c r="AT142" i="7"/>
  <c r="AT172" i="7"/>
  <c r="AE172" i="7"/>
  <c r="T144" i="7"/>
  <c r="S145" i="7"/>
  <c r="T174" i="7"/>
  <c r="S175" i="7"/>
  <c r="V173" i="7"/>
  <c r="R174" i="7"/>
  <c r="S180" i="3"/>
  <c r="T179" i="3"/>
  <c r="R179" i="3"/>
  <c r="V178" i="3"/>
  <c r="AS178" i="3" s="1"/>
  <c r="AS154" i="3"/>
  <c r="T156" i="3"/>
  <c r="S157" i="3"/>
  <c r="V155" i="3"/>
  <c r="AE155" i="3" s="1"/>
  <c r="R156" i="3"/>
  <c r="S147" i="2"/>
  <c r="R148" i="2"/>
  <c r="AH145" i="2"/>
  <c r="V146" i="2"/>
  <c r="Q147" i="2"/>
  <c r="AM200" i="7" l="1"/>
  <c r="AN200" i="7" s="1"/>
  <c r="AO200" i="7" s="1"/>
  <c r="AJ198" i="7"/>
  <c r="AK198" i="7" s="1"/>
  <c r="AL198" i="7" s="1"/>
  <c r="Q195" i="7"/>
  <c r="S195" i="7" s="1"/>
  <c r="T195" i="7" s="1"/>
  <c r="R196" i="7" s="1"/>
  <c r="S196" i="7" s="1"/>
  <c r="T196" i="7" s="1"/>
  <c r="AJ199" i="7"/>
  <c r="AK199" i="7" s="1"/>
  <c r="AL199" i="7" s="1"/>
  <c r="AS199" i="7" s="1"/>
  <c r="AJ195" i="7"/>
  <c r="AK195" i="7" s="1"/>
  <c r="AL195" i="7" s="1"/>
  <c r="AS195" i="7" s="1"/>
  <c r="AM206" i="7"/>
  <c r="AN206" i="7" s="1"/>
  <c r="AO206" i="7" s="1"/>
  <c r="AJ205" i="7"/>
  <c r="AK205" i="7" s="1"/>
  <c r="AL205" i="7" s="1"/>
  <c r="AS205" i="7" s="1"/>
  <c r="AJ209" i="7"/>
  <c r="AK209" i="7" s="1"/>
  <c r="AL209" i="7" s="1"/>
  <c r="AS209" i="7" s="1"/>
  <c r="AM203" i="7"/>
  <c r="AN203" i="7" s="1"/>
  <c r="AO203" i="7" s="1"/>
  <c r="AJ208" i="7"/>
  <c r="AK208" i="7" s="1"/>
  <c r="AL208" i="7" s="1"/>
  <c r="AS208" i="7" s="1"/>
  <c r="AM207" i="7"/>
  <c r="AN207" i="7" s="1"/>
  <c r="AO207" i="7" s="1"/>
  <c r="AM197" i="7"/>
  <c r="AN197" i="7" s="1"/>
  <c r="AO197" i="7" s="1"/>
  <c r="AS197" i="7" s="1"/>
  <c r="AJ204" i="7"/>
  <c r="AK204" i="7" s="1"/>
  <c r="AL204" i="7" s="1"/>
  <c r="AS204" i="7" s="1"/>
  <c r="AM210" i="7"/>
  <c r="AN210" i="7" s="1"/>
  <c r="AO210" i="7" s="1"/>
  <c r="AM212" i="7"/>
  <c r="AN212" i="7" s="1"/>
  <c r="AO212" i="7" s="1"/>
  <c r="AM213" i="7"/>
  <c r="AN213" i="7" s="1"/>
  <c r="AO213" i="7" s="1"/>
  <c r="AS213" i="7" s="1"/>
  <c r="AJ211" i="7"/>
  <c r="AK211" i="7" s="1"/>
  <c r="AL211" i="7" s="1"/>
  <c r="AS211" i="7" s="1"/>
  <c r="AM201" i="7"/>
  <c r="AN201" i="7" s="1"/>
  <c r="AO201" i="7" s="1"/>
  <c r="AM214" i="7"/>
  <c r="AN214" i="7" s="1"/>
  <c r="AO214" i="7" s="1"/>
  <c r="AT214" i="7" s="1"/>
  <c r="AV214" i="7" s="1"/>
  <c r="AJ196" i="7"/>
  <c r="AK196" i="7" s="1"/>
  <c r="AL196" i="7" s="1"/>
  <c r="AS196" i="7" s="1"/>
  <c r="AJ202" i="7"/>
  <c r="AK202" i="7" s="1"/>
  <c r="AL202" i="7" s="1"/>
  <c r="AS198" i="7"/>
  <c r="AL203" i="7"/>
  <c r="AL206" i="7"/>
  <c r="AL214" i="7"/>
  <c r="AO202" i="7"/>
  <c r="AL207" i="7"/>
  <c r="AL212" i="7"/>
  <c r="AL201" i="7"/>
  <c r="AL200" i="7"/>
  <c r="AS200" i="7" s="1"/>
  <c r="R145" i="7"/>
  <c r="V144" i="7"/>
  <c r="AE143" i="7"/>
  <c r="AT143" i="7"/>
  <c r="AT173" i="7"/>
  <c r="AE173" i="7"/>
  <c r="T145" i="7"/>
  <c r="S146" i="7"/>
  <c r="S197" i="7"/>
  <c r="T175" i="7"/>
  <c r="S176" i="7"/>
  <c r="V174" i="7"/>
  <c r="R175" i="7"/>
  <c r="T180" i="3"/>
  <c r="S181" i="3"/>
  <c r="V179" i="3"/>
  <c r="AS179" i="3" s="1"/>
  <c r="R180" i="3"/>
  <c r="AS155" i="3"/>
  <c r="V156" i="3"/>
  <c r="R157" i="3"/>
  <c r="S158" i="3"/>
  <c r="T157" i="3"/>
  <c r="AH146" i="2"/>
  <c r="S148" i="2"/>
  <c r="R149" i="2"/>
  <c r="Q148" i="2"/>
  <c r="V147" i="2"/>
  <c r="V195" i="7" l="1"/>
  <c r="AT195" i="7" s="1"/>
  <c r="AS201" i="7"/>
  <c r="AS206" i="7"/>
  <c r="AS203" i="7"/>
  <c r="AS207" i="7"/>
  <c r="AS212" i="7"/>
  <c r="AS214" i="7"/>
  <c r="AX214" i="7" s="1"/>
  <c r="AZ214" i="7" s="1"/>
  <c r="AS202" i="7"/>
  <c r="R158" i="3"/>
  <c r="V157" i="3"/>
  <c r="AT213" i="7"/>
  <c r="AV213" i="7" s="1"/>
  <c r="AX213" i="7" s="1"/>
  <c r="AZ213" i="7" s="1"/>
  <c r="AB213" i="7" s="1"/>
  <c r="AS210" i="7"/>
  <c r="AE144" i="7"/>
  <c r="AT144" i="7"/>
  <c r="R146" i="7"/>
  <c r="V145" i="7"/>
  <c r="AE156" i="3"/>
  <c r="AT174" i="7"/>
  <c r="AE174" i="7"/>
  <c r="S147" i="7"/>
  <c r="T146" i="7"/>
  <c r="S198" i="7"/>
  <c r="T197" i="7"/>
  <c r="R197" i="7"/>
  <c r="V196" i="7"/>
  <c r="AT196" i="7" s="1"/>
  <c r="T176" i="7"/>
  <c r="S177" i="7"/>
  <c r="R176" i="7"/>
  <c r="V175" i="7"/>
  <c r="AE175" i="7" s="1"/>
  <c r="R181" i="3"/>
  <c r="V180" i="3"/>
  <c r="AS180" i="3" s="1"/>
  <c r="S182" i="3"/>
  <c r="T181" i="3"/>
  <c r="AS156" i="3"/>
  <c r="S159" i="3"/>
  <c r="T158" i="3"/>
  <c r="S149" i="2"/>
  <c r="R150" i="2"/>
  <c r="AH147" i="2"/>
  <c r="Q149" i="2"/>
  <c r="V148" i="2"/>
  <c r="AW214" i="7" l="1"/>
  <c r="AY214" i="7" s="1"/>
  <c r="BA214" i="7" s="1"/>
  <c r="BC214" i="7"/>
  <c r="G214" i="7" s="1"/>
  <c r="F214" i="7" s="1"/>
  <c r="AB214" i="7"/>
  <c r="AE157" i="3"/>
  <c r="AS157" i="3"/>
  <c r="R159" i="3"/>
  <c r="V158" i="3"/>
  <c r="AW213" i="7"/>
  <c r="AY213" i="7" s="1"/>
  <c r="BA213" i="7" s="1"/>
  <c r="BC213" i="7"/>
  <c r="G213" i="7" s="1"/>
  <c r="F213" i="7" s="1"/>
  <c r="BB213" i="7"/>
  <c r="BB214" i="7"/>
  <c r="R147" i="7"/>
  <c r="V146" i="7"/>
  <c r="AE145" i="7"/>
  <c r="AT145" i="7"/>
  <c r="T147" i="7"/>
  <c r="S148" i="7"/>
  <c r="T198" i="7"/>
  <c r="S199" i="7"/>
  <c r="V197" i="7"/>
  <c r="AT197" i="7" s="1"/>
  <c r="R198" i="7"/>
  <c r="AT175" i="7"/>
  <c r="V176" i="7"/>
  <c r="R177" i="7"/>
  <c r="S178" i="7"/>
  <c r="T177" i="7"/>
  <c r="T182" i="3"/>
  <c r="S183" i="3"/>
  <c r="V181" i="3"/>
  <c r="AS181" i="3" s="1"/>
  <c r="R182" i="3"/>
  <c r="T159" i="3"/>
  <c r="S160" i="3"/>
  <c r="R151" i="2"/>
  <c r="S150" i="2"/>
  <c r="AH148" i="2"/>
  <c r="Q150" i="2"/>
  <c r="V149" i="2"/>
  <c r="R160" i="3" l="1"/>
  <c r="V159" i="3"/>
  <c r="AF151" i="3" s="1"/>
  <c r="AU151" i="3" s="1"/>
  <c r="AE158" i="3"/>
  <c r="AS158" i="3"/>
  <c r="R178" i="7"/>
  <c r="V177" i="7"/>
  <c r="R148" i="7"/>
  <c r="V147" i="7"/>
  <c r="AE146" i="7"/>
  <c r="AT146" i="7"/>
  <c r="AE176" i="7"/>
  <c r="T148" i="7"/>
  <c r="S149" i="7"/>
  <c r="S200" i="7"/>
  <c r="T199" i="7"/>
  <c r="V198" i="7"/>
  <c r="R199" i="7"/>
  <c r="AT176" i="7"/>
  <c r="S179" i="7"/>
  <c r="T178" i="7"/>
  <c r="R183" i="3"/>
  <c r="V182" i="3"/>
  <c r="AS182" i="3" s="1"/>
  <c r="S184" i="3"/>
  <c r="T183" i="3"/>
  <c r="T160" i="3"/>
  <c r="R161" i="3" s="1"/>
  <c r="S161" i="3"/>
  <c r="T161" i="3" s="1"/>
  <c r="V150" i="2"/>
  <c r="Q151" i="2"/>
  <c r="AH149" i="2"/>
  <c r="R152" i="2"/>
  <c r="S152" i="2" s="1"/>
  <c r="V152" i="2" s="1"/>
  <c r="S151" i="2"/>
  <c r="AF157" i="3" l="1"/>
  <c r="AU157" i="3" s="1"/>
  <c r="AE159" i="3"/>
  <c r="AD161" i="3" s="1"/>
  <c r="AC161" i="3" s="1"/>
  <c r="AF159" i="3"/>
  <c r="AS159" i="3"/>
  <c r="AF154" i="3"/>
  <c r="AU154" i="3" s="1"/>
  <c r="AF156" i="3"/>
  <c r="AU156" i="3" s="1"/>
  <c r="AF150" i="3"/>
  <c r="AU150" i="3" s="1"/>
  <c r="AF152" i="3"/>
  <c r="AU152" i="3" s="1"/>
  <c r="AF158" i="3"/>
  <c r="AU158" i="3" s="1"/>
  <c r="AF153" i="3"/>
  <c r="AU153" i="3" s="1"/>
  <c r="AF155" i="3"/>
  <c r="AU155" i="3" s="1"/>
  <c r="R179" i="7"/>
  <c r="V178" i="7"/>
  <c r="AE177" i="7"/>
  <c r="AT177" i="7"/>
  <c r="AE147" i="7"/>
  <c r="AT147" i="7"/>
  <c r="R149" i="7"/>
  <c r="V148" i="7"/>
  <c r="X152" i="2"/>
  <c r="AH152" i="2"/>
  <c r="Q152" i="2"/>
  <c r="V151" i="2"/>
  <c r="X149" i="2" s="1"/>
  <c r="AI149" i="2" s="1"/>
  <c r="AJ149" i="2" s="1"/>
  <c r="AL149" i="2" s="1"/>
  <c r="AN149" i="2" s="1"/>
  <c r="T149" i="7"/>
  <c r="S150" i="7"/>
  <c r="T200" i="7"/>
  <c r="S201" i="7"/>
  <c r="V199" i="7"/>
  <c r="R200" i="7"/>
  <c r="AT198" i="7"/>
  <c r="S180" i="7"/>
  <c r="T179" i="7"/>
  <c r="S185" i="3"/>
  <c r="T184" i="3"/>
  <c r="V183" i="3"/>
  <c r="AS183" i="3" s="1"/>
  <c r="R184" i="3"/>
  <c r="AH150" i="2"/>
  <c r="AD156" i="3" l="1"/>
  <c r="AC156" i="3" s="1"/>
  <c r="AD152" i="3"/>
  <c r="AC152" i="3" s="1"/>
  <c r="AD153" i="3"/>
  <c r="AC153" i="3" s="1"/>
  <c r="AD157" i="3"/>
  <c r="AC157" i="3" s="1"/>
  <c r="AD158" i="3"/>
  <c r="AC158" i="3" s="1"/>
  <c r="AD151" i="3"/>
  <c r="AC151" i="3" s="1"/>
  <c r="AD155" i="3"/>
  <c r="AC155" i="3" s="1"/>
  <c r="AD160" i="3"/>
  <c r="AC160" i="3" s="1"/>
  <c r="AU159" i="3"/>
  <c r="AD154" i="3"/>
  <c r="AC154" i="3" s="1"/>
  <c r="AD150" i="3"/>
  <c r="AC150" i="3" s="1"/>
  <c r="AD159" i="3"/>
  <c r="AC159" i="3" s="1"/>
  <c r="R180" i="7"/>
  <c r="V179" i="7"/>
  <c r="AE178" i="7"/>
  <c r="AT178" i="7"/>
  <c r="R201" i="7"/>
  <c r="V200" i="7"/>
  <c r="AE148" i="7"/>
  <c r="AT148" i="7"/>
  <c r="R150" i="7"/>
  <c r="V149" i="7"/>
  <c r="X143" i="2"/>
  <c r="AI143" i="2" s="1"/>
  <c r="AJ143" i="2" s="1"/>
  <c r="AL143" i="2" s="1"/>
  <c r="AN143" i="2" s="1"/>
  <c r="X144" i="2"/>
  <c r="AI144" i="2" s="1"/>
  <c r="AK144" i="2" s="1"/>
  <c r="AM144" i="2" s="1"/>
  <c r="X150" i="2"/>
  <c r="AI150" i="2" s="1"/>
  <c r="X146" i="2"/>
  <c r="AI146" i="2" s="1"/>
  <c r="AK146" i="2" s="1"/>
  <c r="AM146" i="2" s="1"/>
  <c r="X148" i="2"/>
  <c r="AI148" i="2" s="1"/>
  <c r="AJ148" i="2" s="1"/>
  <c r="AL148" i="2" s="1"/>
  <c r="AN148" i="2" s="1"/>
  <c r="X142" i="2"/>
  <c r="AI142" i="2" s="1"/>
  <c r="AK142" i="2" s="1"/>
  <c r="AM142" i="2" s="1"/>
  <c r="X145" i="2"/>
  <c r="AI145" i="2" s="1"/>
  <c r="AJ145" i="2" s="1"/>
  <c r="AL145" i="2" s="1"/>
  <c r="AN145" i="2" s="1"/>
  <c r="X141" i="2"/>
  <c r="AI152" i="2"/>
  <c r="X151" i="2"/>
  <c r="AH151" i="2"/>
  <c r="X147" i="2"/>
  <c r="AI147" i="2" s="1"/>
  <c r="S151" i="7"/>
  <c r="T150" i="7"/>
  <c r="S202" i="7"/>
  <c r="T201" i="7"/>
  <c r="AT199" i="7"/>
  <c r="T180" i="7"/>
  <c r="S181" i="7"/>
  <c r="AK149" i="2"/>
  <c r="AM149" i="2" s="1"/>
  <c r="R185" i="3"/>
  <c r="V184" i="3"/>
  <c r="AS184" i="3" s="1"/>
  <c r="T185" i="3"/>
  <c r="S186" i="3"/>
  <c r="AI141" i="2" l="1"/>
  <c r="AK141" i="2" s="1"/>
  <c r="AM141" i="2" s="1"/>
  <c r="W135" i="2"/>
  <c r="C10" i="2" s="1"/>
  <c r="AO142" i="2"/>
  <c r="U142" i="2"/>
  <c r="AO144" i="2"/>
  <c r="U144" i="2"/>
  <c r="AO149" i="2"/>
  <c r="U149" i="2"/>
  <c r="AO146" i="2"/>
  <c r="U146" i="2"/>
  <c r="AC149" i="3"/>
  <c r="AA150" i="3" s="1"/>
  <c r="AK145" i="2"/>
  <c r="AM145" i="2" s="1"/>
  <c r="AJ142" i="2"/>
  <c r="AL142" i="2" s="1"/>
  <c r="AN142" i="2" s="1"/>
  <c r="AK143" i="2"/>
  <c r="AM143" i="2" s="1"/>
  <c r="AJ144" i="2"/>
  <c r="AL144" i="2" s="1"/>
  <c r="AN144" i="2" s="1"/>
  <c r="AI151" i="2"/>
  <c r="AK151" i="2" s="1"/>
  <c r="AM151" i="2" s="1"/>
  <c r="AE179" i="7"/>
  <c r="AT179" i="7"/>
  <c r="R181" i="7"/>
  <c r="V180" i="7"/>
  <c r="AF173" i="7" s="1"/>
  <c r="AE149" i="7"/>
  <c r="AT149" i="7"/>
  <c r="R151" i="7"/>
  <c r="V150" i="7"/>
  <c r="AT200" i="7"/>
  <c r="R202" i="7"/>
  <c r="V201" i="7"/>
  <c r="AJ146" i="2"/>
  <c r="AL146" i="2" s="1"/>
  <c r="AN146" i="2" s="1"/>
  <c r="AK148" i="2"/>
  <c r="AM148" i="2" s="1"/>
  <c r="AJ147" i="2"/>
  <c r="AL147" i="2" s="1"/>
  <c r="AN147" i="2" s="1"/>
  <c r="AK147" i="2"/>
  <c r="AM147" i="2" s="1"/>
  <c r="AJ152" i="2"/>
  <c r="AL152" i="2" s="1"/>
  <c r="AN152" i="2" s="1"/>
  <c r="AK152" i="2"/>
  <c r="AM152" i="2" s="1"/>
  <c r="S152" i="7"/>
  <c r="T151" i="7"/>
  <c r="S203" i="7"/>
  <c r="T202" i="7"/>
  <c r="T181" i="7"/>
  <c r="R182" i="7" s="1"/>
  <c r="S182" i="7"/>
  <c r="T182" i="7" s="1"/>
  <c r="S187" i="3"/>
  <c r="T186" i="3"/>
  <c r="R186" i="3"/>
  <c r="V185" i="3"/>
  <c r="AS185" i="3" s="1"/>
  <c r="AK150" i="2"/>
  <c r="AM150" i="2" s="1"/>
  <c r="AJ150" i="2"/>
  <c r="AL150" i="2" s="1"/>
  <c r="AN150" i="2" s="1"/>
  <c r="AJ141" i="2" l="1"/>
  <c r="AL141" i="2" s="1"/>
  <c r="AN141" i="2" s="1"/>
  <c r="AO151" i="2"/>
  <c r="U151" i="2"/>
  <c r="AO152" i="2"/>
  <c r="U152" i="2"/>
  <c r="AO148" i="2"/>
  <c r="U148" i="2"/>
  <c r="AO145" i="2"/>
  <c r="U145" i="2"/>
  <c r="AO150" i="2"/>
  <c r="U150" i="2"/>
  <c r="AO147" i="2"/>
  <c r="U147" i="2"/>
  <c r="AO141" i="2"/>
  <c r="U141" i="2"/>
  <c r="AO143" i="2"/>
  <c r="U143" i="2"/>
  <c r="C3" i="2"/>
  <c r="C5" i="2"/>
  <c r="R152" i="7"/>
  <c r="V151" i="7"/>
  <c r="D3" i="2"/>
  <c r="C18" i="2"/>
  <c r="B18" i="2"/>
  <c r="AJ151" i="2"/>
  <c r="AL151" i="2" s="1"/>
  <c r="AN151" i="2" s="1"/>
  <c r="AE180" i="7"/>
  <c r="AD179" i="7" s="1"/>
  <c r="AC179" i="7" s="1"/>
  <c r="AF180" i="7"/>
  <c r="AT180" i="7"/>
  <c r="AF172" i="7"/>
  <c r="AF177" i="7"/>
  <c r="AF171" i="7"/>
  <c r="AF178" i="7"/>
  <c r="AF176" i="7"/>
  <c r="AF175" i="7"/>
  <c r="AF174" i="7"/>
  <c r="AF179" i="7"/>
  <c r="AE150" i="7"/>
  <c r="AT150" i="7"/>
  <c r="AT201" i="7"/>
  <c r="R203" i="7"/>
  <c r="V202" i="7"/>
  <c r="S153" i="7"/>
  <c r="T152" i="7"/>
  <c r="S204" i="7"/>
  <c r="T203" i="7"/>
  <c r="S188" i="3"/>
  <c r="T187" i="3"/>
  <c r="R187" i="3"/>
  <c r="V186" i="3"/>
  <c r="AS186" i="3" s="1"/>
  <c r="J54" i="2" l="1"/>
  <c r="L54" i="2"/>
  <c r="AY80" i="2"/>
  <c r="AZ80" i="2" s="1"/>
  <c r="AT160" i="2"/>
  <c r="AT161" i="2"/>
  <c r="AU161" i="2" s="1"/>
  <c r="AT162" i="2"/>
  <c r="AU162" i="2" s="1"/>
  <c r="AT163" i="2"/>
  <c r="AU163" i="2" s="1"/>
  <c r="AT164" i="2"/>
  <c r="AU164" i="2" s="1"/>
  <c r="AT165" i="2"/>
  <c r="AU165" i="2" s="1"/>
  <c r="AT166" i="2"/>
  <c r="AU166" i="2" s="1"/>
  <c r="AT167" i="2"/>
  <c r="AU167" i="2" s="1"/>
  <c r="AT168" i="2"/>
  <c r="AU168" i="2" s="1"/>
  <c r="AT169" i="2"/>
  <c r="AU169" i="2" s="1"/>
  <c r="AT170" i="2"/>
  <c r="AU170" i="2" s="1"/>
  <c r="AT171" i="2"/>
  <c r="AU171" i="2" s="1"/>
  <c r="AT172" i="2"/>
  <c r="AU172" i="2" s="1"/>
  <c r="AT173" i="2"/>
  <c r="AU173" i="2" s="1"/>
  <c r="AT174" i="2"/>
  <c r="AU174" i="2" s="1"/>
  <c r="AT175" i="2"/>
  <c r="AU175" i="2" s="1"/>
  <c r="AT176" i="2"/>
  <c r="AU176" i="2" s="1"/>
  <c r="AT177" i="2"/>
  <c r="AU177" i="2" s="1"/>
  <c r="AT178" i="2"/>
  <c r="AU178" i="2" s="1"/>
  <c r="AT179" i="2"/>
  <c r="AU179" i="2" s="1"/>
  <c r="AT180" i="2"/>
  <c r="AU180" i="2" s="1"/>
  <c r="AT181" i="2"/>
  <c r="AU181" i="2" s="1"/>
  <c r="AT182" i="2"/>
  <c r="AU182" i="2" s="1"/>
  <c r="AT183" i="2"/>
  <c r="AU183" i="2" s="1"/>
  <c r="AT184" i="2"/>
  <c r="AU184" i="2" s="1"/>
  <c r="AT185" i="2"/>
  <c r="AU185" i="2" s="1"/>
  <c r="AT186" i="2"/>
  <c r="AU186" i="2" s="1"/>
  <c r="AT187" i="2"/>
  <c r="AU187" i="2" s="1"/>
  <c r="AT188" i="2"/>
  <c r="AU188" i="2" s="1"/>
  <c r="AT189" i="2"/>
  <c r="AU189" i="2" s="1"/>
  <c r="AT190" i="2"/>
  <c r="AU190" i="2" s="1"/>
  <c r="AT191" i="2"/>
  <c r="AU191" i="2" s="1"/>
  <c r="AT192" i="2"/>
  <c r="AU192" i="2" s="1"/>
  <c r="AT193" i="2"/>
  <c r="AU193" i="2" s="1"/>
  <c r="AT194" i="2"/>
  <c r="AU194" i="2" s="1"/>
  <c r="AT195" i="2"/>
  <c r="AU195" i="2" s="1"/>
  <c r="AT196" i="2"/>
  <c r="D5" i="2"/>
  <c r="AE151" i="7"/>
  <c r="AT151" i="7"/>
  <c r="R153" i="7"/>
  <c r="V152" i="7"/>
  <c r="AD174" i="7"/>
  <c r="AC174" i="7" s="1"/>
  <c r="AD176" i="7"/>
  <c r="AC176" i="7" s="1"/>
  <c r="AD180" i="7"/>
  <c r="AC180" i="7" s="1"/>
  <c r="AD177" i="7"/>
  <c r="AC177" i="7" s="1"/>
  <c r="CC57" i="2"/>
  <c r="BN54" i="2"/>
  <c r="CL54" i="2"/>
  <c r="L14" i="2" s="1"/>
  <c r="BN57" i="2"/>
  <c r="AD173" i="7"/>
  <c r="AC173" i="7" s="1"/>
  <c r="AD172" i="7"/>
  <c r="AC172" i="7" s="1"/>
  <c r="AD178" i="7"/>
  <c r="AC178" i="7" s="1"/>
  <c r="AD171" i="7"/>
  <c r="AC171" i="7" s="1"/>
  <c r="AD175" i="7"/>
  <c r="AC175" i="7" s="1"/>
  <c r="AD181" i="7"/>
  <c r="AC181" i="7" s="1"/>
  <c r="AD182" i="7"/>
  <c r="AC182" i="7" s="1"/>
  <c r="R204" i="7"/>
  <c r="V203" i="7"/>
  <c r="AT202" i="7"/>
  <c r="T153" i="7"/>
  <c r="S154" i="7"/>
  <c r="S205" i="7"/>
  <c r="T204" i="7"/>
  <c r="S189" i="3"/>
  <c r="T188" i="3"/>
  <c r="V187" i="3"/>
  <c r="AS187" i="3" s="1"/>
  <c r="R188" i="3"/>
  <c r="J12" i="2" l="1"/>
  <c r="J14" i="2"/>
  <c r="L12" i="2"/>
  <c r="K12" i="2"/>
  <c r="J13" i="2"/>
  <c r="J55" i="2"/>
  <c r="L55" i="2"/>
  <c r="R154" i="7"/>
  <c r="V153" i="7"/>
  <c r="AY53" i="2"/>
  <c r="AZ53" i="2" s="1"/>
  <c r="AY56" i="2"/>
  <c r="AZ56" i="2" s="1"/>
  <c r="BA57" i="2"/>
  <c r="AY57" i="2" s="1"/>
  <c r="AZ57" i="2" s="1"/>
  <c r="AU196" i="2"/>
  <c r="CP131" i="2"/>
  <c r="AU160" i="2"/>
  <c r="AX131" i="2"/>
  <c r="H23" i="2" s="1"/>
  <c r="AE152" i="7"/>
  <c r="AT152" i="7"/>
  <c r="CA51" i="2"/>
  <c r="BC51" i="2"/>
  <c r="J8" i="2" s="1"/>
  <c r="AC170" i="7"/>
  <c r="AA171" i="7" s="1"/>
  <c r="R205" i="7"/>
  <c r="V204" i="7"/>
  <c r="AT203" i="7"/>
  <c r="T154" i="7"/>
  <c r="S155" i="7"/>
  <c r="T205" i="7"/>
  <c r="S206" i="7"/>
  <c r="T189" i="3"/>
  <c r="S190" i="3"/>
  <c r="R189" i="3"/>
  <c r="V188" i="3"/>
  <c r="AS188" i="3" s="1"/>
  <c r="L6" i="2" l="1"/>
  <c r="L7" i="2" s="1"/>
  <c r="L8" i="2"/>
  <c r="K6" i="2"/>
  <c r="J6" i="2"/>
  <c r="K13" i="2"/>
  <c r="H16" i="2"/>
  <c r="L13" i="2"/>
  <c r="M126" i="2"/>
  <c r="R155" i="7"/>
  <c r="V154" i="7"/>
  <c r="AE153" i="7"/>
  <c r="AT153" i="7"/>
  <c r="AY50" i="2"/>
  <c r="AZ50" i="2" s="1"/>
  <c r="D134" i="2"/>
  <c r="D132" i="2"/>
  <c r="D133" i="2"/>
  <c r="D135" i="2"/>
  <c r="AV160" i="2"/>
  <c r="AW160" i="2" s="1"/>
  <c r="BC81" i="2" s="1"/>
  <c r="BC82" i="2" s="1"/>
  <c r="BC84" i="2" s="1"/>
  <c r="R206" i="7"/>
  <c r="V205" i="7"/>
  <c r="AT204" i="7"/>
  <c r="S156" i="7"/>
  <c r="T155" i="7"/>
  <c r="T206" i="7"/>
  <c r="S207" i="7"/>
  <c r="R190" i="3"/>
  <c r="V189" i="3"/>
  <c r="AS189" i="3" s="1"/>
  <c r="T190" i="3"/>
  <c r="S191" i="3"/>
  <c r="BA54" i="2" l="1"/>
  <c r="AY54" i="2" s="1"/>
  <c r="AZ54" i="2" s="1"/>
  <c r="K30" i="2"/>
  <c r="L30" i="2"/>
  <c r="L24" i="2"/>
  <c r="K24" i="2"/>
  <c r="K7" i="2"/>
  <c r="J36" i="2"/>
  <c r="K36" i="2"/>
  <c r="K18" i="2"/>
  <c r="J18" i="2"/>
  <c r="J7" i="2"/>
  <c r="R156" i="7"/>
  <c r="V155" i="7"/>
  <c r="AE154" i="7"/>
  <c r="AT154" i="7"/>
  <c r="AV161" i="2"/>
  <c r="AV162" i="2" s="1"/>
  <c r="C13" i="2"/>
  <c r="AT205" i="7"/>
  <c r="R207" i="7"/>
  <c r="V206" i="7"/>
  <c r="S157" i="7"/>
  <c r="T156" i="7"/>
  <c r="T207" i="7"/>
  <c r="S208" i="7"/>
  <c r="R191" i="3"/>
  <c r="V190" i="3"/>
  <c r="AS190" i="3" s="1"/>
  <c r="S192" i="3"/>
  <c r="T191" i="3"/>
  <c r="J37" i="2" l="1"/>
  <c r="L25" i="2"/>
  <c r="J19" i="2"/>
  <c r="L31" i="2"/>
  <c r="K19" i="2"/>
  <c r="K31" i="2"/>
  <c r="BA51" i="2"/>
  <c r="AY51" i="2" s="1"/>
  <c r="AZ51" i="2" s="1"/>
  <c r="K37" i="2"/>
  <c r="K25" i="2"/>
  <c r="R157" i="7"/>
  <c r="V156" i="7"/>
  <c r="AE155" i="7"/>
  <c r="AT155" i="7"/>
  <c r="AW161" i="2"/>
  <c r="BD81" i="2" s="1"/>
  <c r="BC122" i="2" s="1"/>
  <c r="AV163" i="2"/>
  <c r="AW162" i="2"/>
  <c r="BE81" i="2" s="1"/>
  <c r="R208" i="7"/>
  <c r="V207" i="7"/>
  <c r="AT206" i="7"/>
  <c r="T157" i="7"/>
  <c r="V157" i="7" s="1"/>
  <c r="AE157" i="7" s="1"/>
  <c r="S209" i="7"/>
  <c r="T208" i="7"/>
  <c r="S193" i="3"/>
  <c r="T192" i="3"/>
  <c r="R192" i="3"/>
  <c r="V191" i="3"/>
  <c r="AS191" i="3" s="1"/>
  <c r="I126" i="2" l="1"/>
  <c r="K85" i="2"/>
  <c r="J126" i="2"/>
  <c r="M85" i="2"/>
  <c r="AF140" i="7"/>
  <c r="AF152" i="7"/>
  <c r="AF144" i="7"/>
  <c r="AF156" i="7"/>
  <c r="T134" i="7"/>
  <c r="AF153" i="7"/>
  <c r="AF149" i="7"/>
  <c r="AF141" i="7"/>
  <c r="AF157" i="7"/>
  <c r="AF151" i="7"/>
  <c r="AF147" i="7"/>
  <c r="AF145" i="7"/>
  <c r="AF142" i="7"/>
  <c r="AF139" i="7"/>
  <c r="AF154" i="7"/>
  <c r="AF143" i="7"/>
  <c r="AE156" i="7"/>
  <c r="AD153" i="7" s="1"/>
  <c r="AC153" i="7" s="1"/>
  <c r="AT156" i="7"/>
  <c r="AF155" i="7"/>
  <c r="AF148" i="7"/>
  <c r="AF146" i="7"/>
  <c r="AF138" i="7"/>
  <c r="AT157" i="7"/>
  <c r="AF150" i="7"/>
  <c r="AD138" i="7"/>
  <c r="AC138" i="7" s="1"/>
  <c r="BE122" i="2"/>
  <c r="BD82" i="2"/>
  <c r="BD84" i="2" s="1"/>
  <c r="BE82" i="2"/>
  <c r="BE84" i="2" s="1"/>
  <c r="BC121" i="2"/>
  <c r="BG121" i="2"/>
  <c r="AV164" i="2"/>
  <c r="AW163" i="2"/>
  <c r="BF81" i="2" s="1"/>
  <c r="AT207" i="7"/>
  <c r="R209" i="7"/>
  <c r="V208" i="7"/>
  <c r="T209" i="7"/>
  <c r="S210" i="7"/>
  <c r="S194" i="3"/>
  <c r="T193" i="3"/>
  <c r="V192" i="3"/>
  <c r="AS192" i="3" s="1"/>
  <c r="R193" i="3"/>
  <c r="AD146" i="7" l="1"/>
  <c r="AC146" i="7" s="1"/>
  <c r="AD148" i="7"/>
  <c r="AC148" i="7" s="1"/>
  <c r="AD141" i="7"/>
  <c r="AC141" i="7" s="1"/>
  <c r="AD155" i="7"/>
  <c r="AC155" i="7" s="1"/>
  <c r="AD145" i="7"/>
  <c r="AC145" i="7" s="1"/>
  <c r="AD149" i="7"/>
  <c r="AC149" i="7" s="1"/>
  <c r="AD157" i="7"/>
  <c r="AC157" i="7" s="1"/>
  <c r="AD139" i="7"/>
  <c r="AC139" i="7" s="1"/>
  <c r="AD156" i="7"/>
  <c r="AC156" i="7" s="1"/>
  <c r="AD144" i="7"/>
  <c r="AC144" i="7" s="1"/>
  <c r="AD150" i="7"/>
  <c r="AC150" i="7" s="1"/>
  <c r="AD142" i="7"/>
  <c r="AC142" i="7" s="1"/>
  <c r="AD140" i="7"/>
  <c r="AC140" i="7" s="1"/>
  <c r="AD154" i="7"/>
  <c r="AC154" i="7" s="1"/>
  <c r="AD151" i="7"/>
  <c r="AC151" i="7" s="1"/>
  <c r="AD147" i="7"/>
  <c r="AC147" i="7" s="1"/>
  <c r="AD152" i="7"/>
  <c r="AC152" i="7" s="1"/>
  <c r="AD143" i="7"/>
  <c r="AC143" i="7" s="1"/>
  <c r="R210" i="7"/>
  <c r="V209" i="7"/>
  <c r="BF82" i="2"/>
  <c r="BF84" i="2" s="1"/>
  <c r="BC120" i="2"/>
  <c r="BI120" i="2"/>
  <c r="AV165" i="2"/>
  <c r="AW164" i="2"/>
  <c r="BG81" i="2" s="1"/>
  <c r="AT208" i="7"/>
  <c r="S211" i="7"/>
  <c r="T210" i="7"/>
  <c r="T194" i="3"/>
  <c r="V194" i="3" s="1"/>
  <c r="V193" i="3"/>
  <c r="R194" i="3"/>
  <c r="AC137" i="7" l="1"/>
  <c r="AA138" i="7" s="1"/>
  <c r="AG171" i="7" s="1"/>
  <c r="R211" i="7"/>
  <c r="V210" i="7"/>
  <c r="AT209" i="7"/>
  <c r="AF177" i="3"/>
  <c r="AU177" i="3" s="1"/>
  <c r="AV177" i="3" s="1"/>
  <c r="AX177" i="3" s="1"/>
  <c r="AZ177" i="3" s="1"/>
  <c r="AF194" i="3"/>
  <c r="AS194" i="3"/>
  <c r="AW165" i="2"/>
  <c r="BH81" i="2" s="1"/>
  <c r="AV166" i="2"/>
  <c r="BG82" i="2"/>
  <c r="BG84" i="2" s="1"/>
  <c r="BK119" i="2"/>
  <c r="BC119" i="2"/>
  <c r="T211" i="7"/>
  <c r="S212" i="7"/>
  <c r="AF181" i="3"/>
  <c r="AU181" i="3" s="1"/>
  <c r="AF184" i="3"/>
  <c r="AU184" i="3" s="1"/>
  <c r="AF190" i="3"/>
  <c r="AU190" i="3" s="1"/>
  <c r="AS193" i="3"/>
  <c r="AF189" i="3"/>
  <c r="AU189" i="3" s="1"/>
  <c r="AF175" i="3"/>
  <c r="AF185" i="3"/>
  <c r="AU185" i="3" s="1"/>
  <c r="AF188" i="3"/>
  <c r="AU188" i="3" s="1"/>
  <c r="T171" i="3"/>
  <c r="AF182" i="3"/>
  <c r="AU182" i="3" s="1"/>
  <c r="AF192" i="3"/>
  <c r="AU192" i="3" s="1"/>
  <c r="AF176" i="3"/>
  <c r="AU176" i="3" s="1"/>
  <c r="AF178" i="3"/>
  <c r="AU178" i="3" s="1"/>
  <c r="AF183" i="3"/>
  <c r="AU183" i="3" s="1"/>
  <c r="AF186" i="3"/>
  <c r="AU186" i="3" s="1"/>
  <c r="AF180" i="3"/>
  <c r="AU180" i="3" s="1"/>
  <c r="AF191" i="3"/>
  <c r="AU191" i="3" s="1"/>
  <c r="AF179" i="3"/>
  <c r="AU179" i="3" s="1"/>
  <c r="AF187" i="3"/>
  <c r="AU187" i="3" s="1"/>
  <c r="AF193" i="3"/>
  <c r="AU193" i="3" l="1"/>
  <c r="AW193" i="3" s="1"/>
  <c r="AY193" i="3" s="1"/>
  <c r="G193" i="3"/>
  <c r="AB193" i="3"/>
  <c r="R212" i="7"/>
  <c r="V211" i="7"/>
  <c r="AT210" i="7"/>
  <c r="AW177" i="3"/>
  <c r="AY177" i="3" s="1"/>
  <c r="AB177" i="3" s="1"/>
  <c r="AU194" i="3"/>
  <c r="AW194" i="3" s="1"/>
  <c r="AY194" i="3" s="1"/>
  <c r="AB194" i="3" s="1"/>
  <c r="AW166" i="2"/>
  <c r="BI81" i="2" s="1"/>
  <c r="AV167" i="2"/>
  <c r="BM118" i="2"/>
  <c r="BM123" i="2" s="1"/>
  <c r="BM125" i="2" s="1"/>
  <c r="BH82" i="2"/>
  <c r="BH84" i="2" s="1"/>
  <c r="BC118" i="2"/>
  <c r="AO158" i="3"/>
  <c r="AT158" i="3" s="1"/>
  <c r="AO159" i="3"/>
  <c r="AT159" i="3" s="1"/>
  <c r="AO160" i="3"/>
  <c r="AT160" i="3" s="1"/>
  <c r="AO161" i="3"/>
  <c r="AT161" i="3" s="1"/>
  <c r="AO157" i="3"/>
  <c r="AT157" i="3" s="1"/>
  <c r="AO153" i="3"/>
  <c r="AT153" i="3" s="1"/>
  <c r="AO150" i="3"/>
  <c r="AO146" i="3" s="1"/>
  <c r="AO156" i="3"/>
  <c r="AT156" i="3" s="1"/>
  <c r="AO154" i="3"/>
  <c r="AT154" i="3" s="1"/>
  <c r="AO152" i="3"/>
  <c r="AT152" i="3" s="1"/>
  <c r="AO151" i="3"/>
  <c r="AT151" i="3" s="1"/>
  <c r="AO155" i="3"/>
  <c r="AT155" i="3" s="1"/>
  <c r="T212" i="7"/>
  <c r="S213" i="7"/>
  <c r="BA193" i="3"/>
  <c r="AV193" i="3"/>
  <c r="AX193" i="3" s="1"/>
  <c r="AZ193" i="3" s="1"/>
  <c r="AW191" i="3"/>
  <c r="AY191" i="3" s="1"/>
  <c r="AB191" i="3" s="1"/>
  <c r="AV191" i="3"/>
  <c r="AX191" i="3" s="1"/>
  <c r="AZ191" i="3" s="1"/>
  <c r="AW189" i="3"/>
  <c r="AY189" i="3" s="1"/>
  <c r="AB189" i="3" s="1"/>
  <c r="AV189" i="3"/>
  <c r="AX189" i="3" s="1"/>
  <c r="AZ189" i="3" s="1"/>
  <c r="AV179" i="3"/>
  <c r="AX179" i="3" s="1"/>
  <c r="AZ179" i="3" s="1"/>
  <c r="AW179" i="3"/>
  <c r="AY179" i="3" s="1"/>
  <c r="AB179" i="3" s="1"/>
  <c r="AW182" i="3"/>
  <c r="AY182" i="3" s="1"/>
  <c r="AB182" i="3" s="1"/>
  <c r="AV182" i="3"/>
  <c r="AX182" i="3" s="1"/>
  <c r="AZ182" i="3" s="1"/>
  <c r="AU175" i="3"/>
  <c r="AV187" i="3"/>
  <c r="AX187" i="3" s="1"/>
  <c r="AZ187" i="3" s="1"/>
  <c r="AW187" i="3"/>
  <c r="AY187" i="3" s="1"/>
  <c r="AB187" i="3" s="1"/>
  <c r="AV186" i="3"/>
  <c r="AX186" i="3" s="1"/>
  <c r="AZ186" i="3" s="1"/>
  <c r="AW186" i="3"/>
  <c r="AY186" i="3" s="1"/>
  <c r="AB186" i="3" s="1"/>
  <c r="AW192" i="3"/>
  <c r="AY192" i="3" s="1"/>
  <c r="AB192" i="3" s="1"/>
  <c r="AV192" i="3"/>
  <c r="AX192" i="3" s="1"/>
  <c r="AZ192" i="3" s="1"/>
  <c r="AV185" i="3"/>
  <c r="AX185" i="3" s="1"/>
  <c r="AZ185" i="3" s="1"/>
  <c r="AW185" i="3"/>
  <c r="AY185" i="3" s="1"/>
  <c r="AB185" i="3" s="1"/>
  <c r="AV190" i="3"/>
  <c r="AX190" i="3" s="1"/>
  <c r="AZ190" i="3" s="1"/>
  <c r="AW190" i="3"/>
  <c r="AY190" i="3" s="1"/>
  <c r="AB190" i="3" s="1"/>
  <c r="AV178" i="3"/>
  <c r="AX178" i="3" s="1"/>
  <c r="AZ178" i="3" s="1"/>
  <c r="AW178" i="3"/>
  <c r="AY178" i="3" s="1"/>
  <c r="AB178" i="3" s="1"/>
  <c r="AW181" i="3"/>
  <c r="AY181" i="3" s="1"/>
  <c r="AB181" i="3" s="1"/>
  <c r="AV181" i="3"/>
  <c r="AX181" i="3" s="1"/>
  <c r="AZ181" i="3" s="1"/>
  <c r="AV183" i="3"/>
  <c r="AX183" i="3" s="1"/>
  <c r="AZ183" i="3" s="1"/>
  <c r="AW183" i="3"/>
  <c r="AY183" i="3" s="1"/>
  <c r="AB183" i="3" s="1"/>
  <c r="AW184" i="3"/>
  <c r="AY184" i="3" s="1"/>
  <c r="AB184" i="3" s="1"/>
  <c r="AV184" i="3"/>
  <c r="AX184" i="3" s="1"/>
  <c r="AZ184" i="3" s="1"/>
  <c r="AW180" i="3"/>
  <c r="AY180" i="3" s="1"/>
  <c r="AB180" i="3" s="1"/>
  <c r="AV180" i="3"/>
  <c r="AX180" i="3" s="1"/>
  <c r="AZ180" i="3" s="1"/>
  <c r="AV176" i="3"/>
  <c r="AX176" i="3" s="1"/>
  <c r="AZ176" i="3" s="1"/>
  <c r="AW176" i="3"/>
  <c r="AY176" i="3" s="1"/>
  <c r="AB176" i="3" s="1"/>
  <c r="AV188" i="3"/>
  <c r="AX188" i="3" s="1"/>
  <c r="AZ188" i="3" s="1"/>
  <c r="AW188" i="3"/>
  <c r="AY188" i="3" s="1"/>
  <c r="AB188" i="3" s="1"/>
  <c r="C9" i="3" l="1"/>
  <c r="AT211" i="7"/>
  <c r="R213" i="7"/>
  <c r="V212" i="7"/>
  <c r="AF197" i="7" s="1"/>
  <c r="AV197" i="7" s="1"/>
  <c r="G177" i="3"/>
  <c r="BA177" i="3"/>
  <c r="AV194" i="3"/>
  <c r="AX194" i="3" s="1"/>
  <c r="AZ194" i="3" s="1"/>
  <c r="BA194" i="3"/>
  <c r="G194" i="3"/>
  <c r="AV168" i="2"/>
  <c r="AW167" i="2"/>
  <c r="BJ81" i="2" s="1"/>
  <c r="BC117" i="2"/>
  <c r="BI82" i="2"/>
  <c r="BI84" i="2" s="1"/>
  <c r="BO117" i="2"/>
  <c r="BO123" i="2" s="1"/>
  <c r="BO125" i="2" s="1"/>
  <c r="S214" i="7"/>
  <c r="T213" i="7"/>
  <c r="R214" i="7" s="1"/>
  <c r="G192" i="3"/>
  <c r="BA192" i="3"/>
  <c r="AW160" i="3"/>
  <c r="AY160" i="3" s="1"/>
  <c r="BA160" i="3" s="1"/>
  <c r="AV160" i="3"/>
  <c r="AX160" i="3" s="1"/>
  <c r="AZ160" i="3" s="1"/>
  <c r="AV158" i="3"/>
  <c r="AX158" i="3" s="1"/>
  <c r="AZ158" i="3" s="1"/>
  <c r="AW158" i="3"/>
  <c r="AY158" i="3" s="1"/>
  <c r="BA158" i="3" s="1"/>
  <c r="G179" i="3"/>
  <c r="BA179" i="3"/>
  <c r="G188" i="3"/>
  <c r="BA188" i="3"/>
  <c r="G183" i="3"/>
  <c r="BA183" i="3"/>
  <c r="AV156" i="3"/>
  <c r="AX156" i="3" s="1"/>
  <c r="AZ156" i="3" s="1"/>
  <c r="AW156" i="3"/>
  <c r="AY156" i="3" s="1"/>
  <c r="BA156" i="3" s="1"/>
  <c r="AW151" i="3"/>
  <c r="AY151" i="3" s="1"/>
  <c r="BA151" i="3" s="1"/>
  <c r="AV151" i="3"/>
  <c r="AX151" i="3" s="1"/>
  <c r="AZ151" i="3" s="1"/>
  <c r="G189" i="3"/>
  <c r="BA189" i="3"/>
  <c r="BA184" i="3"/>
  <c r="G184" i="3"/>
  <c r="G176" i="3"/>
  <c r="BA176" i="3"/>
  <c r="G185" i="3"/>
  <c r="BA185" i="3"/>
  <c r="BA186" i="3"/>
  <c r="G186" i="3"/>
  <c r="AT150" i="3"/>
  <c r="AV153" i="3"/>
  <c r="AX153" i="3" s="1"/>
  <c r="AZ153" i="3" s="1"/>
  <c r="AW153" i="3"/>
  <c r="AY153" i="3" s="1"/>
  <c r="BA153" i="3" s="1"/>
  <c r="AV157" i="3"/>
  <c r="AX157" i="3" s="1"/>
  <c r="AZ157" i="3" s="1"/>
  <c r="AW157" i="3"/>
  <c r="AY157" i="3" s="1"/>
  <c r="BA157" i="3" s="1"/>
  <c r="AV159" i="3"/>
  <c r="AX159" i="3" s="1"/>
  <c r="AZ159" i="3" s="1"/>
  <c r="AW159" i="3"/>
  <c r="AY159" i="3" s="1"/>
  <c r="BA159" i="3" s="1"/>
  <c r="BA191" i="3"/>
  <c r="G191" i="3"/>
  <c r="BA180" i="3"/>
  <c r="G180" i="3"/>
  <c r="AV161" i="3"/>
  <c r="AX161" i="3" s="1"/>
  <c r="AZ161" i="3" s="1"/>
  <c r="AW161" i="3"/>
  <c r="AY161" i="3" s="1"/>
  <c r="BA161" i="3" s="1"/>
  <c r="G178" i="3"/>
  <c r="BA178" i="3"/>
  <c r="G190" i="3"/>
  <c r="BA190" i="3"/>
  <c r="G187" i="3"/>
  <c r="BA187" i="3"/>
  <c r="AW175" i="3"/>
  <c r="AY175" i="3" s="1"/>
  <c r="AB175" i="3" s="1"/>
  <c r="AV175" i="3"/>
  <c r="AX175" i="3" s="1"/>
  <c r="AZ175" i="3" s="1"/>
  <c r="BA182" i="3"/>
  <c r="G182" i="3"/>
  <c r="G181" i="3"/>
  <c r="BA181" i="3"/>
  <c r="AW152" i="3"/>
  <c r="AY152" i="3" s="1"/>
  <c r="BA152" i="3" s="1"/>
  <c r="AV152" i="3"/>
  <c r="AX152" i="3" s="1"/>
  <c r="AZ152" i="3" s="1"/>
  <c r="AW154" i="3"/>
  <c r="AY154" i="3" s="1"/>
  <c r="BA154" i="3" s="1"/>
  <c r="AV154" i="3"/>
  <c r="AX154" i="3" s="1"/>
  <c r="AZ154" i="3" s="1"/>
  <c r="AW155" i="3"/>
  <c r="AY155" i="3" s="1"/>
  <c r="BA155" i="3" s="1"/>
  <c r="AV155" i="3"/>
  <c r="AX155" i="3" s="1"/>
  <c r="AZ155" i="3" s="1"/>
  <c r="AF195" i="7" l="1"/>
  <c r="AP171" i="7" s="1"/>
  <c r="AX197" i="7"/>
  <c r="AZ197" i="7" s="1"/>
  <c r="AB197" i="7" s="1"/>
  <c r="AW197" i="7"/>
  <c r="AY197" i="7" s="1"/>
  <c r="BA197" i="7" s="1"/>
  <c r="AF212" i="7"/>
  <c r="AT212" i="7"/>
  <c r="AF201" i="7"/>
  <c r="AV201" i="7" s="1"/>
  <c r="AF208" i="7"/>
  <c r="AV208" i="7" s="1"/>
  <c r="AF205" i="7"/>
  <c r="AV205" i="7" s="1"/>
  <c r="AF198" i="7"/>
  <c r="AV198" i="7" s="1"/>
  <c r="AF204" i="7"/>
  <c r="AV204" i="7" s="1"/>
  <c r="AF211" i="7"/>
  <c r="AV211" i="7" s="1"/>
  <c r="AF206" i="7"/>
  <c r="AV206" i="7" s="1"/>
  <c r="AF203" i="7"/>
  <c r="AV203" i="7" s="1"/>
  <c r="AF196" i="7"/>
  <c r="AV196" i="7" s="1"/>
  <c r="AF202" i="7"/>
  <c r="AV202" i="7" s="1"/>
  <c r="T191" i="7"/>
  <c r="AF209" i="7"/>
  <c r="AV209" i="7" s="1"/>
  <c r="AF200" i="7"/>
  <c r="AV200" i="7" s="1"/>
  <c r="AF210" i="7"/>
  <c r="AV210" i="7" s="1"/>
  <c r="AF207" i="7"/>
  <c r="AV207" i="7" s="1"/>
  <c r="AF199" i="7"/>
  <c r="AV199" i="7" s="1"/>
  <c r="C3" i="3"/>
  <c r="C5" i="3"/>
  <c r="BJ82" i="2"/>
  <c r="BJ84" i="2" s="1"/>
  <c r="BQ116" i="2"/>
  <c r="BQ123" i="2" s="1"/>
  <c r="BQ125" i="2" s="1"/>
  <c r="BC116" i="2"/>
  <c r="AV169" i="2"/>
  <c r="AW168" i="2"/>
  <c r="BK81" i="2" s="1"/>
  <c r="D3" i="3"/>
  <c r="G152" i="1"/>
  <c r="G151" i="1"/>
  <c r="G149" i="1"/>
  <c r="G156" i="1"/>
  <c r="T214" i="7"/>
  <c r="AW150" i="3"/>
  <c r="AY150" i="3" s="1"/>
  <c r="BA150" i="3" s="1"/>
  <c r="AV150" i="3"/>
  <c r="AX150" i="3" s="1"/>
  <c r="AZ150" i="3" s="1"/>
  <c r="BA175" i="3"/>
  <c r="D22" i="3"/>
  <c r="C22" i="3"/>
  <c r="BM56" i="3" l="1"/>
  <c r="L54" i="3"/>
  <c r="J54" i="3"/>
  <c r="BH181" i="3"/>
  <c r="AG195" i="7"/>
  <c r="AP146" i="7" s="1"/>
  <c r="AU146" i="7" s="1"/>
  <c r="AP180" i="7"/>
  <c r="AU180" i="7" s="1"/>
  <c r="AX180" i="7" s="1"/>
  <c r="AZ180" i="7" s="1"/>
  <c r="BB180" i="7" s="1"/>
  <c r="AP175" i="7"/>
  <c r="AU175" i="7" s="1"/>
  <c r="AX175" i="7" s="1"/>
  <c r="AZ175" i="7" s="1"/>
  <c r="BB175" i="7" s="1"/>
  <c r="AP177" i="7"/>
  <c r="AU177" i="7" s="1"/>
  <c r="AW177" i="7" s="1"/>
  <c r="AY177" i="7" s="1"/>
  <c r="BA177" i="7" s="1"/>
  <c r="AP172" i="7"/>
  <c r="AU172" i="7" s="1"/>
  <c r="AW172" i="7" s="1"/>
  <c r="AY172" i="7" s="1"/>
  <c r="BA172" i="7" s="1"/>
  <c r="AP181" i="7"/>
  <c r="AU181" i="7" s="1"/>
  <c r="AW181" i="7" s="1"/>
  <c r="AY181" i="7" s="1"/>
  <c r="BA181" i="7" s="1"/>
  <c r="AP178" i="7"/>
  <c r="AU178" i="7" s="1"/>
  <c r="AX178" i="7" s="1"/>
  <c r="AZ178" i="7" s="1"/>
  <c r="BB178" i="7" s="1"/>
  <c r="AP174" i="7"/>
  <c r="AU174" i="7" s="1"/>
  <c r="AX174" i="7" s="1"/>
  <c r="AZ174" i="7" s="1"/>
  <c r="BB174" i="7" s="1"/>
  <c r="AP179" i="7"/>
  <c r="AU179" i="7" s="1"/>
  <c r="AW179" i="7" s="1"/>
  <c r="AY179" i="7" s="1"/>
  <c r="BA179" i="7" s="1"/>
  <c r="AP176" i="7"/>
  <c r="AU176" i="7" s="1"/>
  <c r="AW176" i="7" s="1"/>
  <c r="AY176" i="7" s="1"/>
  <c r="BA176" i="7" s="1"/>
  <c r="AV195" i="7"/>
  <c r="AX195" i="7" s="1"/>
  <c r="AZ195" i="7" s="1"/>
  <c r="AB195" i="7" s="1"/>
  <c r="AP182" i="7"/>
  <c r="AU182" i="7" s="1"/>
  <c r="AX182" i="7" s="1"/>
  <c r="AZ182" i="7" s="1"/>
  <c r="BB182" i="7" s="1"/>
  <c r="AP173" i="7"/>
  <c r="AU173" i="7" s="1"/>
  <c r="AX173" i="7" s="1"/>
  <c r="AZ173" i="7" s="1"/>
  <c r="BB173" i="7" s="1"/>
  <c r="AV212" i="7"/>
  <c r="AW212" i="7" s="1"/>
  <c r="AY212" i="7" s="1"/>
  <c r="BA212" i="7" s="1"/>
  <c r="AW211" i="7"/>
  <c r="AY211" i="7" s="1"/>
  <c r="BA211" i="7" s="1"/>
  <c r="AX211" i="7"/>
  <c r="AZ211" i="7" s="1"/>
  <c r="AB211" i="7" s="1"/>
  <c r="AW210" i="7"/>
  <c r="AY210" i="7" s="1"/>
  <c r="BA210" i="7" s="1"/>
  <c r="AX210" i="7"/>
  <c r="AZ210" i="7" s="1"/>
  <c r="AB210" i="7" s="1"/>
  <c r="AX202" i="7"/>
  <c r="AZ202" i="7" s="1"/>
  <c r="AB202" i="7" s="1"/>
  <c r="AW202" i="7"/>
  <c r="AY202" i="7" s="1"/>
  <c r="BA202" i="7" s="1"/>
  <c r="AX208" i="7"/>
  <c r="AZ208" i="7" s="1"/>
  <c r="AB208" i="7" s="1"/>
  <c r="AW208" i="7"/>
  <c r="AY208" i="7" s="1"/>
  <c r="BA208" i="7" s="1"/>
  <c r="AX200" i="7"/>
  <c r="AZ200" i="7" s="1"/>
  <c r="AB200" i="7" s="1"/>
  <c r="AW200" i="7"/>
  <c r="AY200" i="7" s="1"/>
  <c r="BA200" i="7" s="1"/>
  <c r="AW204" i="7"/>
  <c r="AY204" i="7" s="1"/>
  <c r="BA204" i="7" s="1"/>
  <c r="AX204" i="7"/>
  <c r="AZ204" i="7" s="1"/>
  <c r="AB204" i="7" s="1"/>
  <c r="AU171" i="7"/>
  <c r="AT189" i="7"/>
  <c r="AX199" i="7"/>
  <c r="AZ199" i="7" s="1"/>
  <c r="AB199" i="7" s="1"/>
  <c r="AW199" i="7"/>
  <c r="AY199" i="7" s="1"/>
  <c r="BA199" i="7" s="1"/>
  <c r="AX209" i="7"/>
  <c r="AZ209" i="7" s="1"/>
  <c r="AB209" i="7" s="1"/>
  <c r="AW209" i="7"/>
  <c r="AY209" i="7" s="1"/>
  <c r="BA209" i="7" s="1"/>
  <c r="AX203" i="7"/>
  <c r="AZ203" i="7" s="1"/>
  <c r="AB203" i="7" s="1"/>
  <c r="AW203" i="7"/>
  <c r="AY203" i="7" s="1"/>
  <c r="BA203" i="7" s="1"/>
  <c r="AX198" i="7"/>
  <c r="AZ198" i="7" s="1"/>
  <c r="AB198" i="7" s="1"/>
  <c r="AW198" i="7"/>
  <c r="AY198" i="7" s="1"/>
  <c r="BA198" i="7" s="1"/>
  <c r="AX196" i="7"/>
  <c r="AZ196" i="7" s="1"/>
  <c r="AB196" i="7" s="1"/>
  <c r="AW196" i="7"/>
  <c r="AY196" i="7" s="1"/>
  <c r="BA196" i="7" s="1"/>
  <c r="AW201" i="7"/>
  <c r="AY201" i="7" s="1"/>
  <c r="BA201" i="7" s="1"/>
  <c r="AX201" i="7"/>
  <c r="AZ201" i="7" s="1"/>
  <c r="AB201" i="7" s="1"/>
  <c r="AW207" i="7"/>
  <c r="AY207" i="7" s="1"/>
  <c r="BA207" i="7" s="1"/>
  <c r="AX207" i="7"/>
  <c r="AZ207" i="7" s="1"/>
  <c r="AB207" i="7" s="1"/>
  <c r="AX206" i="7"/>
  <c r="AZ206" i="7" s="1"/>
  <c r="AB206" i="7" s="1"/>
  <c r="AW206" i="7"/>
  <c r="AY206" i="7" s="1"/>
  <c r="BA206" i="7" s="1"/>
  <c r="AW205" i="7"/>
  <c r="AY205" i="7" s="1"/>
  <c r="BA205" i="7" s="1"/>
  <c r="AX205" i="7"/>
  <c r="AZ205" i="7" s="1"/>
  <c r="AB205" i="7" s="1"/>
  <c r="BB197" i="7"/>
  <c r="BC197" i="7"/>
  <c r="G197" i="7" s="1"/>
  <c r="F197" i="7" s="1"/>
  <c r="BN56" i="3"/>
  <c r="D5" i="3"/>
  <c r="BH200" i="3"/>
  <c r="BI200" i="3" s="1"/>
  <c r="BH211" i="3"/>
  <c r="BI211" i="3" s="1"/>
  <c r="BH195" i="3"/>
  <c r="BI195" i="3" s="1"/>
  <c r="BH183" i="3"/>
  <c r="BI183" i="3" s="1"/>
  <c r="BH216" i="3"/>
  <c r="BI216" i="3" s="1"/>
  <c r="BH212" i="3"/>
  <c r="BI212" i="3" s="1"/>
  <c r="BH208" i="3"/>
  <c r="BI208" i="3" s="1"/>
  <c r="BH204" i="3"/>
  <c r="BI204" i="3" s="1"/>
  <c r="BH192" i="3"/>
  <c r="BI192" i="3" s="1"/>
  <c r="BH188" i="3"/>
  <c r="BI188" i="3" s="1"/>
  <c r="BH207" i="3"/>
  <c r="BI207" i="3" s="1"/>
  <c r="BH191" i="3"/>
  <c r="BI191" i="3" s="1"/>
  <c r="BH214" i="3"/>
  <c r="BI214" i="3" s="1"/>
  <c r="BH210" i="3"/>
  <c r="BI210" i="3" s="1"/>
  <c r="BH206" i="3"/>
  <c r="BI206" i="3" s="1"/>
  <c r="BH202" i="3"/>
  <c r="BI202" i="3" s="1"/>
  <c r="BH198" i="3"/>
  <c r="BI198" i="3" s="1"/>
  <c r="BH194" i="3"/>
  <c r="BI194" i="3" s="1"/>
  <c r="BH190" i="3"/>
  <c r="BI190" i="3" s="1"/>
  <c r="BH186" i="3"/>
  <c r="BI186" i="3" s="1"/>
  <c r="BH182" i="3"/>
  <c r="BI182" i="3" s="1"/>
  <c r="BH217" i="3"/>
  <c r="BH213" i="3"/>
  <c r="BI213" i="3" s="1"/>
  <c r="BH209" i="3"/>
  <c r="BI209" i="3" s="1"/>
  <c r="BH205" i="3"/>
  <c r="BI205" i="3" s="1"/>
  <c r="BH201" i="3"/>
  <c r="BI201" i="3" s="1"/>
  <c r="BH197" i="3"/>
  <c r="BI197" i="3" s="1"/>
  <c r="BH193" i="3"/>
  <c r="BI193" i="3" s="1"/>
  <c r="BH189" i="3"/>
  <c r="BI189" i="3" s="1"/>
  <c r="BH185" i="3"/>
  <c r="BI185" i="3" s="1"/>
  <c r="BH196" i="3"/>
  <c r="BI196" i="3" s="1"/>
  <c r="BH184" i="3"/>
  <c r="BI184" i="3" s="1"/>
  <c r="BH215" i="3"/>
  <c r="BI215" i="3" s="1"/>
  <c r="BH203" i="3"/>
  <c r="BI203" i="3" s="1"/>
  <c r="BH199" i="3"/>
  <c r="BI199" i="3" s="1"/>
  <c r="BH187" i="3"/>
  <c r="BI187" i="3" s="1"/>
  <c r="AW169" i="2"/>
  <c r="BL81" i="2" s="1"/>
  <c r="AV170" i="2"/>
  <c r="BK82" i="2"/>
  <c r="BK84" i="2" s="1"/>
  <c r="BS115" i="2"/>
  <c r="BC115" i="2"/>
  <c r="BC123" i="2" s="1"/>
  <c r="G144" i="1"/>
  <c r="CQ33" i="3"/>
  <c r="CB33" i="3"/>
  <c r="CZ30" i="3"/>
  <c r="L14" i="3" s="1"/>
  <c r="CB30" i="3"/>
  <c r="G155" i="1"/>
  <c r="G150" i="1"/>
  <c r="G145" i="1"/>
  <c r="G140" i="1"/>
  <c r="G148" i="1"/>
  <c r="G143" i="1"/>
  <c r="G147" i="1"/>
  <c r="G142" i="1"/>
  <c r="G154" i="1"/>
  <c r="G141" i="1"/>
  <c r="G153" i="1"/>
  <c r="G146" i="1"/>
  <c r="G157" i="1"/>
  <c r="G139" i="1"/>
  <c r="J12" i="3" l="1"/>
  <c r="J14" i="3"/>
  <c r="AW175" i="7"/>
  <c r="AY175" i="7" s="1"/>
  <c r="BA175" i="7" s="1"/>
  <c r="J13" i="3"/>
  <c r="L12" i="3"/>
  <c r="K12" i="3"/>
  <c r="L55" i="3"/>
  <c r="J55" i="3"/>
  <c r="BC125" i="2"/>
  <c r="AP151" i="7"/>
  <c r="AU151" i="7" s="1"/>
  <c r="AW151" i="7" s="1"/>
  <c r="AY151" i="7" s="1"/>
  <c r="BA151" i="7" s="1"/>
  <c r="AP139" i="7"/>
  <c r="AU139" i="7" s="1"/>
  <c r="AW139" i="7" s="1"/>
  <c r="AY139" i="7" s="1"/>
  <c r="BA139" i="7" s="1"/>
  <c r="AP157" i="7"/>
  <c r="AU157" i="7" s="1"/>
  <c r="AX157" i="7" s="1"/>
  <c r="AZ157" i="7" s="1"/>
  <c r="AB157" i="7" s="1"/>
  <c r="AP140" i="7"/>
  <c r="AU140" i="7" s="1"/>
  <c r="AW140" i="7" s="1"/>
  <c r="AY140" i="7" s="1"/>
  <c r="BA140" i="7" s="1"/>
  <c r="AP138" i="7"/>
  <c r="AP155" i="7"/>
  <c r="AU155" i="7" s="1"/>
  <c r="AX155" i="7" s="1"/>
  <c r="AZ155" i="7" s="1"/>
  <c r="AB155" i="7" s="1"/>
  <c r="AP156" i="7"/>
  <c r="AU156" i="7" s="1"/>
  <c r="AX156" i="7" s="1"/>
  <c r="AZ156" i="7" s="1"/>
  <c r="AB156" i="7" s="1"/>
  <c r="AX172" i="7"/>
  <c r="AZ172" i="7" s="1"/>
  <c r="BB172" i="7" s="1"/>
  <c r="AX179" i="7"/>
  <c r="AZ179" i="7" s="1"/>
  <c r="BB179" i="7" s="1"/>
  <c r="AP144" i="7"/>
  <c r="AU144" i="7" s="1"/>
  <c r="AW144" i="7" s="1"/>
  <c r="AY144" i="7" s="1"/>
  <c r="BA144" i="7" s="1"/>
  <c r="AP147" i="7"/>
  <c r="AU147" i="7" s="1"/>
  <c r="AW147" i="7" s="1"/>
  <c r="AY147" i="7" s="1"/>
  <c r="BA147" i="7" s="1"/>
  <c r="AP145" i="7"/>
  <c r="AU145" i="7" s="1"/>
  <c r="AX145" i="7" s="1"/>
  <c r="AZ145" i="7" s="1"/>
  <c r="AB145" i="7" s="1"/>
  <c r="AX176" i="7"/>
  <c r="AZ176" i="7" s="1"/>
  <c r="BB176" i="7" s="1"/>
  <c r="AP143" i="7"/>
  <c r="AU143" i="7" s="1"/>
  <c r="AW143" i="7" s="1"/>
  <c r="AY143" i="7" s="1"/>
  <c r="BA143" i="7" s="1"/>
  <c r="AP154" i="7"/>
  <c r="AU154" i="7" s="1"/>
  <c r="AX154" i="7" s="1"/>
  <c r="AZ154" i="7" s="1"/>
  <c r="AB154" i="7" s="1"/>
  <c r="AP142" i="7"/>
  <c r="AU142" i="7" s="1"/>
  <c r="AW142" i="7" s="1"/>
  <c r="AY142" i="7" s="1"/>
  <c r="BA142" i="7" s="1"/>
  <c r="AP152" i="7"/>
  <c r="AU152" i="7" s="1"/>
  <c r="AW152" i="7" s="1"/>
  <c r="AY152" i="7" s="1"/>
  <c r="BA152" i="7" s="1"/>
  <c r="AP148" i="7"/>
  <c r="AU148" i="7" s="1"/>
  <c r="AW148" i="7" s="1"/>
  <c r="AY148" i="7" s="1"/>
  <c r="BA148" i="7" s="1"/>
  <c r="AP141" i="7"/>
  <c r="AU141" i="7" s="1"/>
  <c r="AW141" i="7" s="1"/>
  <c r="AY141" i="7" s="1"/>
  <c r="BA141" i="7" s="1"/>
  <c r="AP150" i="7"/>
  <c r="AU150" i="7" s="1"/>
  <c r="AW150" i="7" s="1"/>
  <c r="AY150" i="7" s="1"/>
  <c r="BA150" i="7" s="1"/>
  <c r="AP149" i="7"/>
  <c r="AU149" i="7" s="1"/>
  <c r="AX149" i="7" s="1"/>
  <c r="AZ149" i="7" s="1"/>
  <c r="AB149" i="7" s="1"/>
  <c r="AP153" i="7"/>
  <c r="AU153" i="7" s="1"/>
  <c r="AX153" i="7" s="1"/>
  <c r="AZ153" i="7" s="1"/>
  <c r="AB153" i="7" s="1"/>
  <c r="AW173" i="7"/>
  <c r="AY173" i="7" s="1"/>
  <c r="BA173" i="7" s="1"/>
  <c r="AW174" i="7"/>
  <c r="AY174" i="7" s="1"/>
  <c r="BA174" i="7" s="1"/>
  <c r="AX181" i="7"/>
  <c r="AZ181" i="7" s="1"/>
  <c r="BB181" i="7" s="1"/>
  <c r="AW180" i="7"/>
  <c r="AY180" i="7" s="1"/>
  <c r="BA180" i="7" s="1"/>
  <c r="AX177" i="7"/>
  <c r="AZ177" i="7" s="1"/>
  <c r="BB177" i="7" s="1"/>
  <c r="AW195" i="7"/>
  <c r="AY195" i="7" s="1"/>
  <c r="BA195" i="7" s="1"/>
  <c r="AW178" i="7"/>
  <c r="AY178" i="7" s="1"/>
  <c r="BA178" i="7" s="1"/>
  <c r="AX212" i="7"/>
  <c r="AZ212" i="7" s="1"/>
  <c r="AW182" i="7"/>
  <c r="AY182" i="7" s="1"/>
  <c r="BA182" i="7" s="1"/>
  <c r="BM32" i="3"/>
  <c r="BN32" i="3" s="1"/>
  <c r="BM29" i="3"/>
  <c r="BN29" i="3" s="1"/>
  <c r="BC206" i="7"/>
  <c r="G206" i="7" s="1"/>
  <c r="F206" i="7" s="1"/>
  <c r="BB206" i="7"/>
  <c r="BB195" i="7"/>
  <c r="BC196" i="7"/>
  <c r="G196" i="7" s="1"/>
  <c r="F196" i="7" s="1"/>
  <c r="BB196" i="7"/>
  <c r="BC198" i="7"/>
  <c r="G198" i="7" s="1"/>
  <c r="F198" i="7" s="1"/>
  <c r="BB198" i="7"/>
  <c r="BC209" i="7"/>
  <c r="G209" i="7" s="1"/>
  <c r="F209" i="7" s="1"/>
  <c r="BB209" i="7"/>
  <c r="AW171" i="7"/>
  <c r="AY171" i="7" s="1"/>
  <c r="BA171" i="7" s="1"/>
  <c r="AX171" i="7"/>
  <c r="AZ171" i="7" s="1"/>
  <c r="BB171" i="7" s="1"/>
  <c r="BB200" i="7"/>
  <c r="BC200" i="7"/>
  <c r="G200" i="7" s="1"/>
  <c r="F200" i="7" s="1"/>
  <c r="BB202" i="7"/>
  <c r="BC202" i="7"/>
  <c r="G202" i="7" s="1"/>
  <c r="F202" i="7" s="1"/>
  <c r="BB205" i="7"/>
  <c r="BC205" i="7"/>
  <c r="G205" i="7" s="1"/>
  <c r="F205" i="7" s="1"/>
  <c r="BB207" i="7"/>
  <c r="BC207" i="7"/>
  <c r="G207" i="7" s="1"/>
  <c r="F207" i="7" s="1"/>
  <c r="BC201" i="7"/>
  <c r="G201" i="7" s="1"/>
  <c r="F201" i="7" s="1"/>
  <c r="BB201" i="7"/>
  <c r="AW146" i="7"/>
  <c r="AY146" i="7" s="1"/>
  <c r="BA146" i="7" s="1"/>
  <c r="AX146" i="7"/>
  <c r="AZ146" i="7" s="1"/>
  <c r="AB146" i="7" s="1"/>
  <c r="BB204" i="7"/>
  <c r="BC204" i="7"/>
  <c r="G204" i="7" s="1"/>
  <c r="F204" i="7" s="1"/>
  <c r="BB210" i="7"/>
  <c r="BC210" i="7"/>
  <c r="G210" i="7" s="1"/>
  <c r="F210" i="7" s="1"/>
  <c r="BB203" i="7"/>
  <c r="BC203" i="7"/>
  <c r="G203" i="7" s="1"/>
  <c r="F203" i="7" s="1"/>
  <c r="BC199" i="7"/>
  <c r="G199" i="7" s="1"/>
  <c r="F199" i="7" s="1"/>
  <c r="BB199" i="7"/>
  <c r="BC208" i="7"/>
  <c r="G208" i="7" s="1"/>
  <c r="F208" i="7" s="1"/>
  <c r="BB208" i="7"/>
  <c r="BB211" i="7"/>
  <c r="BC211" i="7"/>
  <c r="G211" i="7" s="1"/>
  <c r="F211" i="7" s="1"/>
  <c r="BO33" i="3"/>
  <c r="BI181" i="3"/>
  <c r="BL107" i="3"/>
  <c r="H23" i="3" s="1"/>
  <c r="DD107" i="3"/>
  <c r="D144" i="3" s="1"/>
  <c r="BI217" i="3"/>
  <c r="AW170" i="2"/>
  <c r="BM81" i="2" s="1"/>
  <c r="AV171" i="2"/>
  <c r="BS114" i="2"/>
  <c r="BE114" i="2"/>
  <c r="BE123" i="2" s="1"/>
  <c r="BE125" i="2" s="1"/>
  <c r="BL82" i="2"/>
  <c r="BL84" i="2" s="1"/>
  <c r="CO27" i="3"/>
  <c r="BQ27" i="3"/>
  <c r="J8" i="3" s="1"/>
  <c r="BM33" i="3" l="1"/>
  <c r="BN33" i="3" s="1"/>
  <c r="L6" i="3"/>
  <c r="L7" i="3" s="1"/>
  <c r="L8" i="3"/>
  <c r="AP134" i="7"/>
  <c r="C9" i="7" s="1"/>
  <c r="D3" i="7" s="1"/>
  <c r="K13" i="3"/>
  <c r="K6" i="3"/>
  <c r="J6" i="3"/>
  <c r="D143" i="3"/>
  <c r="H16" i="3"/>
  <c r="L13" i="3"/>
  <c r="M126" i="3"/>
  <c r="AX151" i="7"/>
  <c r="AZ151" i="7" s="1"/>
  <c r="AB151" i="7" s="1"/>
  <c r="AX139" i="7"/>
  <c r="AZ139" i="7" s="1"/>
  <c r="AB139" i="7" s="1"/>
  <c r="AW145" i="7"/>
  <c r="AY145" i="7" s="1"/>
  <c r="BA145" i="7" s="1"/>
  <c r="AW156" i="7"/>
  <c r="AY156" i="7" s="1"/>
  <c r="BA156" i="7" s="1"/>
  <c r="AX147" i="7"/>
  <c r="AZ147" i="7" s="1"/>
  <c r="AB147" i="7" s="1"/>
  <c r="AX140" i="7"/>
  <c r="AZ140" i="7" s="1"/>
  <c r="AB140" i="7" s="1"/>
  <c r="AU138" i="7"/>
  <c r="AX138" i="7" s="1"/>
  <c r="AZ138" i="7" s="1"/>
  <c r="AB138" i="7" s="1"/>
  <c r="AW157" i="7"/>
  <c r="AY157" i="7" s="1"/>
  <c r="BA157" i="7" s="1"/>
  <c r="AW155" i="7"/>
  <c r="AY155" i="7" s="1"/>
  <c r="BA155" i="7" s="1"/>
  <c r="AW149" i="7"/>
  <c r="AY149" i="7" s="1"/>
  <c r="BA149" i="7" s="1"/>
  <c r="AX144" i="7"/>
  <c r="AZ144" i="7" s="1"/>
  <c r="AB144" i="7" s="1"/>
  <c r="AX152" i="7"/>
  <c r="AZ152" i="7" s="1"/>
  <c r="AB152" i="7" s="1"/>
  <c r="AX150" i="7"/>
  <c r="AZ150" i="7" s="1"/>
  <c r="AB150" i="7" s="1"/>
  <c r="BC212" i="7"/>
  <c r="G212" i="7" s="1"/>
  <c r="F212" i="7" s="1"/>
  <c r="AB212" i="7"/>
  <c r="AX142" i="7"/>
  <c r="AZ142" i="7" s="1"/>
  <c r="AB142" i="7" s="1"/>
  <c r="AX141" i="7"/>
  <c r="AZ141" i="7" s="1"/>
  <c r="AB141" i="7" s="1"/>
  <c r="AW153" i="7"/>
  <c r="AY153" i="7" s="1"/>
  <c r="BA153" i="7" s="1"/>
  <c r="AX143" i="7"/>
  <c r="AZ143" i="7" s="1"/>
  <c r="AW154" i="7"/>
  <c r="AY154" i="7" s="1"/>
  <c r="BA154" i="7" s="1"/>
  <c r="AX148" i="7"/>
  <c r="AZ148" i="7" s="1"/>
  <c r="BB212" i="7"/>
  <c r="BM26" i="3"/>
  <c r="BN26" i="3" s="1"/>
  <c r="BB156" i="7"/>
  <c r="BC156" i="7"/>
  <c r="G156" i="7" s="1"/>
  <c r="BC155" i="7"/>
  <c r="G155" i="7" s="1"/>
  <c r="BB155" i="7"/>
  <c r="BC157" i="7"/>
  <c r="G157" i="7" s="1"/>
  <c r="BB157" i="7"/>
  <c r="BC153" i="7"/>
  <c r="G153" i="7" s="1"/>
  <c r="BB153" i="7"/>
  <c r="BC146" i="7"/>
  <c r="G146" i="7" s="1"/>
  <c r="BB146" i="7"/>
  <c r="BB154" i="7"/>
  <c r="BC154" i="7"/>
  <c r="G154" i="7" s="1"/>
  <c r="BC145" i="7"/>
  <c r="G145" i="7" s="1"/>
  <c r="BB145" i="7"/>
  <c r="BC149" i="7"/>
  <c r="G149" i="7" s="1"/>
  <c r="BB149" i="7"/>
  <c r="BJ181" i="3"/>
  <c r="BK181" i="3" s="1"/>
  <c r="BQ98" i="3" s="1"/>
  <c r="BQ99" i="3" s="1"/>
  <c r="BQ58" i="3" s="1"/>
  <c r="D142" i="3"/>
  <c r="D141" i="3"/>
  <c r="AW171" i="2"/>
  <c r="BN81" i="2" s="1"/>
  <c r="AV172" i="2"/>
  <c r="BM82" i="2"/>
  <c r="BM84" i="2" s="1"/>
  <c r="BS113" i="2"/>
  <c r="BG113" i="2"/>
  <c r="BG123" i="2" s="1"/>
  <c r="BG125" i="2" s="1"/>
  <c r="BC151" i="7" l="1"/>
  <c r="G151" i="7" s="1"/>
  <c r="L54" i="7"/>
  <c r="J54" i="7"/>
  <c r="BO30" i="3"/>
  <c r="L30" i="3"/>
  <c r="L24" i="3"/>
  <c r="K24" i="3"/>
  <c r="K30" i="3"/>
  <c r="J7" i="3"/>
  <c r="K7" i="3"/>
  <c r="K36" i="3"/>
  <c r="K18" i="3"/>
  <c r="J36" i="3"/>
  <c r="J18" i="3"/>
  <c r="BB151" i="7"/>
  <c r="BB139" i="7"/>
  <c r="BC139" i="7"/>
  <c r="G139" i="7" s="1"/>
  <c r="AW138" i="7"/>
  <c r="AY138" i="7" s="1"/>
  <c r="BA138" i="7" s="1"/>
  <c r="BC147" i="7"/>
  <c r="G147" i="7" s="1"/>
  <c r="BB147" i="7"/>
  <c r="BB140" i="7"/>
  <c r="BC140" i="7"/>
  <c r="G140" i="7" s="1"/>
  <c r="BC144" i="7"/>
  <c r="G144" i="7" s="1"/>
  <c r="C22" i="7"/>
  <c r="BB144" i="7"/>
  <c r="C5" i="7"/>
  <c r="D22" i="7"/>
  <c r="C3" i="7"/>
  <c r="BB152" i="7"/>
  <c r="BB141" i="7"/>
  <c r="BC141" i="7"/>
  <c r="G141" i="7" s="1"/>
  <c r="BC152" i="7"/>
  <c r="G152" i="7" s="1"/>
  <c r="BB150" i="7"/>
  <c r="BB142" i="7"/>
  <c r="BC150" i="7"/>
  <c r="G150" i="7" s="1"/>
  <c r="BC142" i="7"/>
  <c r="G142" i="7" s="1"/>
  <c r="BC143" i="7"/>
  <c r="G143" i="7" s="1"/>
  <c r="AB143" i="7"/>
  <c r="BC148" i="7"/>
  <c r="G148" i="7" s="1"/>
  <c r="AB148" i="7"/>
  <c r="BB143" i="7"/>
  <c r="BB148" i="7"/>
  <c r="BH205" i="7"/>
  <c r="BI205" i="7" s="1"/>
  <c r="BH189" i="7"/>
  <c r="BI189" i="7" s="1"/>
  <c r="BH186" i="7"/>
  <c r="BI186" i="7" s="1"/>
  <c r="BH196" i="7"/>
  <c r="BI196" i="7" s="1"/>
  <c r="BH180" i="7"/>
  <c r="BI180" i="7" s="1"/>
  <c r="BH190" i="7"/>
  <c r="BI190" i="7" s="1"/>
  <c r="BH199" i="7"/>
  <c r="BI199" i="7" s="1"/>
  <c r="BH183" i="7"/>
  <c r="BI183" i="7" s="1"/>
  <c r="BH202" i="7"/>
  <c r="BI202" i="7" s="1"/>
  <c r="BH174" i="7"/>
  <c r="CQ61" i="7"/>
  <c r="BH197" i="7"/>
  <c r="BI197" i="7" s="1"/>
  <c r="BH204" i="7"/>
  <c r="BI204" i="7" s="1"/>
  <c r="BH210" i="7"/>
  <c r="BH191" i="7"/>
  <c r="BI191" i="7" s="1"/>
  <c r="BH182" i="7"/>
  <c r="BI182" i="7" s="1"/>
  <c r="BH201" i="7"/>
  <c r="BI201" i="7" s="1"/>
  <c r="BH185" i="7"/>
  <c r="BI185" i="7" s="1"/>
  <c r="BH208" i="7"/>
  <c r="BI208" i="7" s="1"/>
  <c r="BH192" i="7"/>
  <c r="BI192" i="7" s="1"/>
  <c r="BH176" i="7"/>
  <c r="BI176" i="7" s="1"/>
  <c r="BH178" i="7"/>
  <c r="BI178" i="7" s="1"/>
  <c r="BH195" i="7"/>
  <c r="BI195" i="7" s="1"/>
  <c r="BH179" i="7"/>
  <c r="BI179" i="7" s="1"/>
  <c r="BH194" i="7"/>
  <c r="BI194" i="7" s="1"/>
  <c r="CZ58" i="7"/>
  <c r="L14" i="7" s="1"/>
  <c r="BH181" i="7"/>
  <c r="BI181" i="7" s="1"/>
  <c r="BH188" i="7"/>
  <c r="BI188" i="7" s="1"/>
  <c r="BH207" i="7"/>
  <c r="BI207" i="7" s="1"/>
  <c r="BH175" i="7"/>
  <c r="BI175" i="7" s="1"/>
  <c r="CB58" i="7"/>
  <c r="BH209" i="7"/>
  <c r="BI209" i="7" s="1"/>
  <c r="BH193" i="7"/>
  <c r="BI193" i="7" s="1"/>
  <c r="BH177" i="7"/>
  <c r="BI177" i="7" s="1"/>
  <c r="BH200" i="7"/>
  <c r="BI200" i="7" s="1"/>
  <c r="BH184" i="7"/>
  <c r="BI184" i="7" s="1"/>
  <c r="BH198" i="7"/>
  <c r="BI198" i="7" s="1"/>
  <c r="BH203" i="7"/>
  <c r="BI203" i="7" s="1"/>
  <c r="BH187" i="7"/>
  <c r="BI187" i="7" s="1"/>
  <c r="BH206" i="7"/>
  <c r="BI206" i="7" s="1"/>
  <c r="D5" i="7"/>
  <c r="CB61" i="7"/>
  <c r="BB138" i="7"/>
  <c r="BJ182" i="3"/>
  <c r="BK182" i="3" s="1"/>
  <c r="BR98" i="3" s="1"/>
  <c r="AW172" i="2"/>
  <c r="BO81" i="2" s="1"/>
  <c r="AV173" i="2"/>
  <c r="BI112" i="2"/>
  <c r="BI123" i="2" s="1"/>
  <c r="BI125" i="2" s="1"/>
  <c r="BS112" i="2"/>
  <c r="BN82" i="2"/>
  <c r="BN84" i="2" s="1"/>
  <c r="BM30" i="3" l="1"/>
  <c r="BN30" i="3" s="1"/>
  <c r="BM84" i="7"/>
  <c r="BN84" i="7" s="1"/>
  <c r="J12" i="7"/>
  <c r="J13" i="7" s="1"/>
  <c r="J14" i="7"/>
  <c r="L12" i="7"/>
  <c r="K12" i="7"/>
  <c r="J55" i="7"/>
  <c r="L55" i="7"/>
  <c r="BO27" i="3"/>
  <c r="L25" i="3"/>
  <c r="J37" i="3"/>
  <c r="K31" i="3"/>
  <c r="K19" i="3"/>
  <c r="K25" i="3"/>
  <c r="K37" i="3"/>
  <c r="J19" i="3"/>
  <c r="L31" i="3"/>
  <c r="BM60" i="7"/>
  <c r="BN60" i="7" s="1"/>
  <c r="BM57" i="7"/>
  <c r="BN57" i="7" s="1"/>
  <c r="BO61" i="7"/>
  <c r="BI210" i="7"/>
  <c r="DD138" i="7"/>
  <c r="BI174" i="7"/>
  <c r="BL137" i="7"/>
  <c r="H23" i="7" s="1"/>
  <c r="CO55" i="7"/>
  <c r="BQ55" i="7"/>
  <c r="J8" i="7" s="1"/>
  <c r="BJ183" i="3"/>
  <c r="BJ184" i="3" s="1"/>
  <c r="BR99" i="3"/>
  <c r="BR58" i="3" s="1"/>
  <c r="BQ96" i="3"/>
  <c r="BS96" i="3"/>
  <c r="AV174" i="2"/>
  <c r="AW173" i="2"/>
  <c r="BP81" i="2" s="1"/>
  <c r="BP77" i="2"/>
  <c r="BS111" i="2"/>
  <c r="BS123" i="2" s="1"/>
  <c r="BS125" i="2" s="1"/>
  <c r="BN77" i="2"/>
  <c r="BO82" i="2"/>
  <c r="BO84" i="2" s="1"/>
  <c r="BK111" i="2"/>
  <c r="BK123" i="2" s="1"/>
  <c r="BK125" i="2" s="1"/>
  <c r="BM27" i="3" l="1"/>
  <c r="BN27" i="3" s="1"/>
  <c r="BM61" i="7"/>
  <c r="BN61" i="7" s="1"/>
  <c r="L6" i="7"/>
  <c r="L7" i="7" s="1"/>
  <c r="L8" i="7"/>
  <c r="M85" i="3"/>
  <c r="L13" i="7"/>
  <c r="K13" i="7"/>
  <c r="K6" i="7"/>
  <c r="J6" i="7"/>
  <c r="M126" i="7"/>
  <c r="H16" i="7"/>
  <c r="K85" i="3"/>
  <c r="I126" i="3"/>
  <c r="J126" i="3"/>
  <c r="BM54" i="7"/>
  <c r="BN54" i="7" s="1"/>
  <c r="D132" i="7"/>
  <c r="D130" i="7"/>
  <c r="D131" i="7"/>
  <c r="D129" i="7"/>
  <c r="BJ174" i="7"/>
  <c r="BK183" i="3"/>
  <c r="BS98" i="3" s="1"/>
  <c r="BU95" i="3" s="1"/>
  <c r="BK184" i="3"/>
  <c r="BT98" i="3" s="1"/>
  <c r="BJ185" i="3"/>
  <c r="BN76" i="2"/>
  <c r="BP82" i="2"/>
  <c r="BP84" i="2" s="1"/>
  <c r="BD110" i="2"/>
  <c r="BD123" i="2" s="1"/>
  <c r="BR76" i="2"/>
  <c r="CB110" i="2"/>
  <c r="AW174" i="2"/>
  <c r="BQ81" i="2" s="1"/>
  <c r="AV175" i="2"/>
  <c r="BO58" i="7" l="1"/>
  <c r="K36" i="7"/>
  <c r="K18" i="7"/>
  <c r="J36" i="7"/>
  <c r="J18" i="7"/>
  <c r="L30" i="7"/>
  <c r="L24" i="7"/>
  <c r="K30" i="7"/>
  <c r="K24" i="7"/>
  <c r="J7" i="7"/>
  <c r="K7" i="7"/>
  <c r="BD125" i="2"/>
  <c r="BK174" i="7"/>
  <c r="BQ85" i="7" s="1"/>
  <c r="BQ86" i="7" s="1"/>
  <c r="BQ88" i="7" s="1"/>
  <c r="BJ175" i="7"/>
  <c r="BS99" i="3"/>
  <c r="BS58" i="3" s="1"/>
  <c r="BQ95" i="3"/>
  <c r="BK185" i="3"/>
  <c r="BU98" i="3" s="1"/>
  <c r="BJ186" i="3"/>
  <c r="BQ94" i="3"/>
  <c r="BW94" i="3"/>
  <c r="BT99" i="3"/>
  <c r="BT58" i="3" s="1"/>
  <c r="AV176" i="2"/>
  <c r="AW175" i="2"/>
  <c r="BR81" i="2" s="1"/>
  <c r="CB109" i="2"/>
  <c r="BT75" i="2"/>
  <c r="BF109" i="2"/>
  <c r="BF123" i="2" s="1"/>
  <c r="BF125" i="2" s="1"/>
  <c r="BN75" i="2"/>
  <c r="BQ82" i="2"/>
  <c r="BQ84" i="2" s="1"/>
  <c r="BM58" i="7" l="1"/>
  <c r="BN58" i="7" s="1"/>
  <c r="BO55" i="7"/>
  <c r="K25" i="7"/>
  <c r="J37" i="7"/>
  <c r="L25" i="7"/>
  <c r="K37" i="7"/>
  <c r="K31" i="7"/>
  <c r="J19" i="7"/>
  <c r="L31" i="7"/>
  <c r="K19" i="7"/>
  <c r="BJ176" i="7"/>
  <c r="BK175" i="7"/>
  <c r="BR85" i="7" s="1"/>
  <c r="BJ187" i="3"/>
  <c r="BK186" i="3"/>
  <c r="BV98" i="3" s="1"/>
  <c r="BY93" i="3"/>
  <c r="BU99" i="3"/>
  <c r="BU58" i="3" s="1"/>
  <c r="BQ93" i="3"/>
  <c r="BR82" i="2"/>
  <c r="BR84" i="2" s="1"/>
  <c r="BH108" i="2"/>
  <c r="BH123" i="2" s="1"/>
  <c r="BN74" i="2"/>
  <c r="BV74" i="2"/>
  <c r="CB108" i="2"/>
  <c r="AV177" i="2"/>
  <c r="AW176" i="2"/>
  <c r="BS81" i="2" s="1"/>
  <c r="BM55" i="7" l="1"/>
  <c r="BN55" i="7" s="1"/>
  <c r="J126" i="7"/>
  <c r="I126" i="7"/>
  <c r="M85" i="7"/>
  <c r="K85" i="7"/>
  <c r="BH125" i="2"/>
  <c r="BK176" i="7"/>
  <c r="BS85" i="7" s="1"/>
  <c r="BJ177" i="7"/>
  <c r="BQ126" i="7"/>
  <c r="BS126" i="7"/>
  <c r="BR86" i="7"/>
  <c r="BR88" i="7" s="1"/>
  <c r="CA92" i="3"/>
  <c r="CA97" i="3" s="1"/>
  <c r="CA101" i="3" s="1"/>
  <c r="BV99" i="3"/>
  <c r="BV58" i="3" s="1"/>
  <c r="BQ92" i="3"/>
  <c r="BJ188" i="3"/>
  <c r="BK187" i="3"/>
  <c r="BW98" i="3" s="1"/>
  <c r="CB107" i="2"/>
  <c r="BX73" i="2"/>
  <c r="BS82" i="2"/>
  <c r="BS84" i="2" s="1"/>
  <c r="BJ107" i="2"/>
  <c r="BJ123" i="2" s="1"/>
  <c r="BJ125" i="2" s="1"/>
  <c r="BN73" i="2"/>
  <c r="AV178" i="2"/>
  <c r="AW177" i="2"/>
  <c r="BT81" i="2" s="1"/>
  <c r="BQ125" i="7" l="1"/>
  <c r="BU125" i="7"/>
  <c r="BS86" i="7"/>
  <c r="BS88" i="7" s="1"/>
  <c r="BK177" i="7"/>
  <c r="BT85" i="7" s="1"/>
  <c r="BJ178" i="7"/>
  <c r="BK188" i="3"/>
  <c r="BX98" i="3" s="1"/>
  <c r="BJ189" i="3"/>
  <c r="BW99" i="3"/>
  <c r="BW58" i="3" s="1"/>
  <c r="BQ91" i="3"/>
  <c r="CC91" i="3"/>
  <c r="CC97" i="3" s="1"/>
  <c r="CC101" i="3" s="1"/>
  <c r="BT82" i="2"/>
  <c r="BT84" i="2" s="1"/>
  <c r="BL106" i="2"/>
  <c r="BL123" i="2" s="1"/>
  <c r="BN72" i="2"/>
  <c r="BZ72" i="2"/>
  <c r="CB106" i="2"/>
  <c r="AW178" i="2"/>
  <c r="BU81" i="2" s="1"/>
  <c r="AV179" i="2"/>
  <c r="BL125" i="2" l="1"/>
  <c r="H42" i="2"/>
  <c r="BJ179" i="7"/>
  <c r="BK178" i="7"/>
  <c r="BU85" i="7" s="1"/>
  <c r="BW124" i="7"/>
  <c r="BQ124" i="7"/>
  <c r="BT86" i="7"/>
  <c r="BT88" i="7" s="1"/>
  <c r="BK189" i="3"/>
  <c r="BY98" i="3" s="1"/>
  <c r="BJ190" i="3"/>
  <c r="BQ90" i="3"/>
  <c r="BX99" i="3"/>
  <c r="BX58" i="3" s="1"/>
  <c r="CE90" i="3"/>
  <c r="CE97" i="3" s="1"/>
  <c r="CE101" i="3" s="1"/>
  <c r="AV180" i="2"/>
  <c r="AW179" i="2"/>
  <c r="BV81" i="2" s="1"/>
  <c r="CB71" i="2"/>
  <c r="BU82" i="2"/>
  <c r="BU84" i="2" s="1"/>
  <c r="BN71" i="2"/>
  <c r="BN105" i="2"/>
  <c r="CB105" i="2"/>
  <c r="CB123" i="2" s="1"/>
  <c r="CB125" i="2" s="1"/>
  <c r="K131" i="2" l="1"/>
  <c r="CD104" i="2"/>
  <c r="CD123" i="2" s="1"/>
  <c r="CD125" i="2" s="1"/>
  <c r="BN104" i="2"/>
  <c r="BJ180" i="7"/>
  <c r="BK179" i="7"/>
  <c r="BV85" i="7" s="1"/>
  <c r="BU86" i="7"/>
  <c r="BU88" i="7" s="1"/>
  <c r="BY123" i="7"/>
  <c r="BQ123" i="7"/>
  <c r="BJ191" i="3"/>
  <c r="BK190" i="3"/>
  <c r="BZ98" i="3" s="1"/>
  <c r="BY99" i="3"/>
  <c r="BY58" i="3" s="1"/>
  <c r="CG89" i="3"/>
  <c r="BQ89" i="3"/>
  <c r="BV82" i="2"/>
  <c r="BV84" i="2" s="1"/>
  <c r="CD70" i="2"/>
  <c r="BN70" i="2"/>
  <c r="BN79" i="2" s="1"/>
  <c r="AW180" i="2"/>
  <c r="BW81" i="2" s="1"/>
  <c r="AV181" i="2"/>
  <c r="BQ97" i="3" l="1"/>
  <c r="BK180" i="7"/>
  <c r="BW85" i="7" s="1"/>
  <c r="BJ181" i="7"/>
  <c r="CA122" i="7"/>
  <c r="CA127" i="7" s="1"/>
  <c r="CA129" i="7" s="1"/>
  <c r="BQ122" i="7"/>
  <c r="BV86" i="7"/>
  <c r="BV88" i="7" s="1"/>
  <c r="BZ99" i="3"/>
  <c r="BZ58" i="3" s="1"/>
  <c r="CG88" i="3"/>
  <c r="BS88" i="3"/>
  <c r="BS97" i="3" s="1"/>
  <c r="BS101" i="3" s="1"/>
  <c r="BJ192" i="3"/>
  <c r="BK191" i="3"/>
  <c r="CA98" i="3" s="1"/>
  <c r="AV182" i="2"/>
  <c r="AW181" i="2"/>
  <c r="BX81" i="2" s="1"/>
  <c r="BP69" i="2"/>
  <c r="BP79" i="2" s="1"/>
  <c r="BN103" i="2"/>
  <c r="BW82" i="2"/>
  <c r="BW84" i="2" s="1"/>
  <c r="CD69" i="2"/>
  <c r="CF103" i="2"/>
  <c r="CF123" i="2" s="1"/>
  <c r="CF125" i="2" s="1"/>
  <c r="BQ101" i="3" l="1"/>
  <c r="BW86" i="7"/>
  <c r="BW88" i="7" s="1"/>
  <c r="BQ121" i="7"/>
  <c r="CC121" i="7"/>
  <c r="CC127" i="7" s="1"/>
  <c r="CC129" i="7" s="1"/>
  <c r="BJ182" i="7"/>
  <c r="BK181" i="7"/>
  <c r="BX85" i="7" s="1"/>
  <c r="BK192" i="3"/>
  <c r="CB98" i="3" s="1"/>
  <c r="BJ193" i="3"/>
  <c r="CA99" i="3"/>
  <c r="CA58" i="3" s="1"/>
  <c r="CG87" i="3"/>
  <c r="BU87" i="3"/>
  <c r="BU97" i="3" s="1"/>
  <c r="BU101" i="3" s="1"/>
  <c r="BX82" i="2"/>
  <c r="BX84" i="2" s="1"/>
  <c r="CH102" i="2"/>
  <c r="CH123" i="2" s="1"/>
  <c r="CH125" i="2" s="1"/>
  <c r="CD68" i="2"/>
  <c r="BR68" i="2"/>
  <c r="BR79" i="2" s="1"/>
  <c r="BN102" i="2"/>
  <c r="AW182" i="2"/>
  <c r="BY81" i="2" s="1"/>
  <c r="AV183" i="2"/>
  <c r="BK182" i="7" l="1"/>
  <c r="BY85" i="7" s="1"/>
  <c r="BJ183" i="7"/>
  <c r="BX86" i="7"/>
  <c r="BX88" i="7" s="1"/>
  <c r="CE120" i="7"/>
  <c r="CE127" i="7" s="1"/>
  <c r="CE129" i="7" s="1"/>
  <c r="BQ120" i="7"/>
  <c r="BK193" i="3"/>
  <c r="CC98" i="3" s="1"/>
  <c r="BJ194" i="3"/>
  <c r="BW86" i="3"/>
  <c r="BW97" i="3" s="1"/>
  <c r="BW101" i="3" s="1"/>
  <c r="CG86" i="3"/>
  <c r="CB99" i="3"/>
  <c r="CB58" i="3" s="1"/>
  <c r="AW183" i="2"/>
  <c r="BZ81" i="2" s="1"/>
  <c r="AV184" i="2"/>
  <c r="BT67" i="2"/>
  <c r="BT79" i="2" s="1"/>
  <c r="BY82" i="2"/>
  <c r="BY84" i="2" s="1"/>
  <c r="CD67" i="2"/>
  <c r="CJ101" i="2"/>
  <c r="CJ123" i="2" s="1"/>
  <c r="CJ125" i="2" s="1"/>
  <c r="BN101" i="2"/>
  <c r="CG119" i="7" l="1"/>
  <c r="BY86" i="7"/>
  <c r="BY88" i="7" s="1"/>
  <c r="BQ119" i="7"/>
  <c r="BQ127" i="7" s="1"/>
  <c r="BK183" i="7"/>
  <c r="BZ85" i="7" s="1"/>
  <c r="BJ184" i="7"/>
  <c r="BJ195" i="3"/>
  <c r="BK194" i="3"/>
  <c r="CD98" i="3" s="1"/>
  <c r="CD53" i="3"/>
  <c r="CC99" i="3"/>
  <c r="CC58" i="3" s="1"/>
  <c r="CG85" i="3"/>
  <c r="CG97" i="3" s="1"/>
  <c r="CG101" i="3" s="1"/>
  <c r="BY85" i="3"/>
  <c r="BY97" i="3" s="1"/>
  <c r="BY101" i="3" s="1"/>
  <c r="CB53" i="3"/>
  <c r="AW184" i="2"/>
  <c r="CA81" i="2" s="1"/>
  <c r="AV185" i="2"/>
  <c r="CD66" i="2"/>
  <c r="CL100" i="2"/>
  <c r="CL123" i="2" s="1"/>
  <c r="CL125" i="2" s="1"/>
  <c r="BZ82" i="2"/>
  <c r="BZ84" i="2" s="1"/>
  <c r="BV66" i="2"/>
  <c r="BV79" i="2" s="1"/>
  <c r="BN100" i="2"/>
  <c r="BN123" i="2" s="1"/>
  <c r="J131" i="2" s="1"/>
  <c r="J132" i="2" s="1"/>
  <c r="BQ129" i="7" l="1"/>
  <c r="BN125" i="2"/>
  <c r="M131" i="2" s="1"/>
  <c r="M132" i="2" s="1"/>
  <c r="H43" i="2"/>
  <c r="BK184" i="7"/>
  <c r="CA85" i="7" s="1"/>
  <c r="BJ185" i="7"/>
  <c r="BZ86" i="7"/>
  <c r="BZ88" i="7" s="1"/>
  <c r="CG118" i="7"/>
  <c r="BS118" i="7"/>
  <c r="BS127" i="7" s="1"/>
  <c r="BS129" i="7" s="1"/>
  <c r="CB52" i="3"/>
  <c r="BR84" i="3"/>
  <c r="BR97" i="3" s="1"/>
  <c r="CD99" i="3"/>
  <c r="CD58" i="3" s="1"/>
  <c r="CP84" i="3"/>
  <c r="CF52" i="3"/>
  <c r="BK195" i="3"/>
  <c r="CE98" i="3" s="1"/>
  <c r="BJ196" i="3"/>
  <c r="AV186" i="2"/>
  <c r="AW185" i="2"/>
  <c r="CB81" i="2" s="1"/>
  <c r="CD65" i="2"/>
  <c r="BX65" i="2"/>
  <c r="BX79" i="2" s="1"/>
  <c r="BW99" i="2"/>
  <c r="CA82" i="2"/>
  <c r="CA84" i="2" s="1"/>
  <c r="CE99" i="2"/>
  <c r="BR101" i="3" l="1"/>
  <c r="J42" i="2"/>
  <c r="K42" i="2"/>
  <c r="CA86" i="7"/>
  <c r="CA88" i="7" s="1"/>
  <c r="BU117" i="7"/>
  <c r="BU127" i="7" s="1"/>
  <c r="BU129" i="7" s="1"/>
  <c r="CG117" i="7"/>
  <c r="BJ186" i="7"/>
  <c r="BK185" i="7"/>
  <c r="CB85" i="7" s="1"/>
  <c r="BJ197" i="3"/>
  <c r="BK196" i="3"/>
  <c r="CF98" i="3" s="1"/>
  <c r="CP83" i="3"/>
  <c r="CE99" i="3"/>
  <c r="CE58" i="3" s="1"/>
  <c r="BT83" i="3"/>
  <c r="BT97" i="3" s="1"/>
  <c r="BT101" i="3" s="1"/>
  <c r="CH51" i="3"/>
  <c r="CB51" i="3"/>
  <c r="CB82" i="2"/>
  <c r="CB84" i="2" s="1"/>
  <c r="CD64" i="2"/>
  <c r="BW98" i="2"/>
  <c r="BZ64" i="2"/>
  <c r="BZ79" i="2" s="1"/>
  <c r="CG98" i="2"/>
  <c r="AV187" i="2"/>
  <c r="AW186" i="2"/>
  <c r="CC81" i="2" s="1"/>
  <c r="K43" i="2" l="1"/>
  <c r="J43" i="2"/>
  <c r="CB86" i="7"/>
  <c r="CB88" i="7" s="1"/>
  <c r="BW116" i="7"/>
  <c r="BW127" i="7" s="1"/>
  <c r="BW129" i="7" s="1"/>
  <c r="CG116" i="7"/>
  <c r="BK186" i="7"/>
  <c r="CC85" i="7" s="1"/>
  <c r="BJ187" i="7"/>
  <c r="CB50" i="3"/>
  <c r="BV82" i="3"/>
  <c r="BV97" i="3" s="1"/>
  <c r="CP82" i="3"/>
  <c r="CF99" i="3"/>
  <c r="CF58" i="3" s="1"/>
  <c r="CJ50" i="3"/>
  <c r="BK197" i="3"/>
  <c r="CG98" i="3" s="1"/>
  <c r="BJ198" i="3"/>
  <c r="CC82" i="2"/>
  <c r="CC84" i="2" s="1"/>
  <c r="BW97" i="2"/>
  <c r="CB63" i="2"/>
  <c r="CB79" i="2" s="1"/>
  <c r="CI97" i="2"/>
  <c r="CD63" i="2"/>
  <c r="CD79" i="2" s="1"/>
  <c r="AW187" i="2"/>
  <c r="CD81" i="2" s="1"/>
  <c r="AV188" i="2"/>
  <c r="BV101" i="3" l="1"/>
  <c r="K126" i="2"/>
  <c r="K132" i="2" s="1"/>
  <c r="CG115" i="7"/>
  <c r="CG127" i="7" s="1"/>
  <c r="CG129" i="7" s="1"/>
  <c r="BY115" i="7"/>
  <c r="BY127" i="7" s="1"/>
  <c r="BY129" i="7" s="1"/>
  <c r="CD81" i="7"/>
  <c r="CB81" i="7"/>
  <c r="CC86" i="7"/>
  <c r="CC88" i="7" s="1"/>
  <c r="BK187" i="7"/>
  <c r="CD85" i="7" s="1"/>
  <c r="BJ188" i="7"/>
  <c r="BJ199" i="3"/>
  <c r="BK198" i="3"/>
  <c r="CH98" i="3" s="1"/>
  <c r="CB49" i="3"/>
  <c r="CG99" i="3"/>
  <c r="CG58" i="3" s="1"/>
  <c r="CL49" i="3"/>
  <c r="CP81" i="3"/>
  <c r="BX81" i="3"/>
  <c r="BX97" i="3" s="1"/>
  <c r="BX101" i="3" s="1"/>
  <c r="AW188" i="2"/>
  <c r="CE81" i="2" s="1"/>
  <c r="AV189" i="2"/>
  <c r="CK96" i="2"/>
  <c r="BW96" i="2"/>
  <c r="CD82" i="2"/>
  <c r="CD84" i="2" s="1"/>
  <c r="BK188" i="7" l="1"/>
  <c r="CE85" i="7" s="1"/>
  <c r="BJ189" i="7"/>
  <c r="BR114" i="7"/>
  <c r="BR127" i="7" s="1"/>
  <c r="CP114" i="7"/>
  <c r="CB80" i="7"/>
  <c r="CF80" i="7"/>
  <c r="CD86" i="7"/>
  <c r="CD88" i="7" s="1"/>
  <c r="CH99" i="3"/>
  <c r="CH58" i="3" s="1"/>
  <c r="CP80" i="3"/>
  <c r="CN48" i="3"/>
  <c r="BZ80" i="3"/>
  <c r="BZ97" i="3" s="1"/>
  <c r="CB48" i="3"/>
  <c r="BK199" i="3"/>
  <c r="CI98" i="3" s="1"/>
  <c r="BJ200" i="3"/>
  <c r="CE82" i="2"/>
  <c r="CE84" i="2" s="1"/>
  <c r="CM95" i="2"/>
  <c r="BW95" i="2"/>
  <c r="BW123" i="2" s="1"/>
  <c r="AW189" i="2"/>
  <c r="CF81" i="2" s="1"/>
  <c r="AV190" i="2"/>
  <c r="BR129" i="7" l="1"/>
  <c r="BZ101" i="3"/>
  <c r="H42" i="3"/>
  <c r="H43" i="3" s="1"/>
  <c r="BW125" i="2"/>
  <c r="CP113" i="7"/>
  <c r="CB79" i="7"/>
  <c r="BT113" i="7"/>
  <c r="BT127" i="7" s="1"/>
  <c r="BT129" i="7" s="1"/>
  <c r="CH79" i="7"/>
  <c r="CE86" i="7"/>
  <c r="CE88" i="7" s="1"/>
  <c r="BK189" i="7"/>
  <c r="CF85" i="7" s="1"/>
  <c r="BJ190" i="7"/>
  <c r="CP79" i="3"/>
  <c r="CP97" i="3" s="1"/>
  <c r="CP101" i="3" s="1"/>
  <c r="CB79" i="3"/>
  <c r="CI99" i="3"/>
  <c r="CI58" i="3" s="1"/>
  <c r="CP47" i="3"/>
  <c r="CB47" i="3"/>
  <c r="BJ201" i="3"/>
  <c r="BK200" i="3"/>
  <c r="CJ98" i="3" s="1"/>
  <c r="AW190" i="2"/>
  <c r="CG81" i="2" s="1"/>
  <c r="AV191" i="2"/>
  <c r="BY94" i="2"/>
  <c r="BY123" i="2" s="1"/>
  <c r="BY125" i="2" s="1"/>
  <c r="CM94" i="2"/>
  <c r="CF82" i="2"/>
  <c r="CF84" i="2" s="1"/>
  <c r="K42" i="3" l="1"/>
  <c r="J42" i="3"/>
  <c r="K131" i="3"/>
  <c r="CR78" i="3"/>
  <c r="CR97" i="3" s="1"/>
  <c r="CR101" i="3" s="1"/>
  <c r="CB78" i="3"/>
  <c r="BK190" i="7"/>
  <c r="CG85" i="7" s="1"/>
  <c r="BJ191" i="7"/>
  <c r="BV112" i="7"/>
  <c r="BV127" i="7" s="1"/>
  <c r="CP112" i="7"/>
  <c r="CB78" i="7"/>
  <c r="CF86" i="7"/>
  <c r="CF88" i="7" s="1"/>
  <c r="CJ78" i="7"/>
  <c r="CB46" i="3"/>
  <c r="CB55" i="3" s="1"/>
  <c r="CR46" i="3"/>
  <c r="CJ99" i="3"/>
  <c r="CJ58" i="3" s="1"/>
  <c r="BK201" i="3"/>
  <c r="CK98" i="3" s="1"/>
  <c r="BJ202" i="3"/>
  <c r="CM93" i="2"/>
  <c r="CA93" i="2"/>
  <c r="CA123" i="2" s="1"/>
  <c r="CG82" i="2"/>
  <c r="CG84" i="2" s="1"/>
  <c r="AV192" i="2"/>
  <c r="AW191" i="2"/>
  <c r="CH81" i="2" s="1"/>
  <c r="BV129" i="7" l="1"/>
  <c r="K43" i="3"/>
  <c r="J43" i="3"/>
  <c r="CA125" i="2"/>
  <c r="CP111" i="7"/>
  <c r="BX111" i="7"/>
  <c r="BX127" i="7" s="1"/>
  <c r="BX129" i="7" s="1"/>
  <c r="CL77" i="7"/>
  <c r="CB77" i="7"/>
  <c r="CG86" i="7"/>
  <c r="CG88" i="7" s="1"/>
  <c r="BK191" i="7"/>
  <c r="CH85" i="7" s="1"/>
  <c r="BJ192" i="7"/>
  <c r="BJ203" i="3"/>
  <c r="BK202" i="3"/>
  <c r="CL98" i="3" s="1"/>
  <c r="CT77" i="3"/>
  <c r="CT97" i="3" s="1"/>
  <c r="CT101" i="3" s="1"/>
  <c r="CR45" i="3"/>
  <c r="CD45" i="3"/>
  <c r="CD55" i="3" s="1"/>
  <c r="CK99" i="3"/>
  <c r="CK58" i="3" s="1"/>
  <c r="CB77" i="3"/>
  <c r="CH82" i="2"/>
  <c r="CH84" i="2" s="1"/>
  <c r="CM92" i="2"/>
  <c r="CC92" i="2"/>
  <c r="CC123" i="2" s="1"/>
  <c r="CC125" i="2" s="1"/>
  <c r="AV193" i="2"/>
  <c r="AW192" i="2"/>
  <c r="CI81" i="2" s="1"/>
  <c r="K126" i="3" l="1"/>
  <c r="K132" i="3" s="1"/>
  <c r="BJ193" i="7"/>
  <c r="BK192" i="7"/>
  <c r="CI85" i="7" s="1"/>
  <c r="BZ110" i="7"/>
  <c r="BZ127" i="7" s="1"/>
  <c r="BZ129" i="7" s="1"/>
  <c r="CN76" i="7"/>
  <c r="CH86" i="7"/>
  <c r="CH88" i="7" s="1"/>
  <c r="CP110" i="7"/>
  <c r="CB76" i="7"/>
  <c r="CF44" i="3"/>
  <c r="CF55" i="3" s="1"/>
  <c r="CB76" i="3"/>
  <c r="CR44" i="3"/>
  <c r="CV76" i="3"/>
  <c r="CV97" i="3" s="1"/>
  <c r="CV101" i="3" s="1"/>
  <c r="CL99" i="3"/>
  <c r="CL58" i="3" s="1"/>
  <c r="BK203" i="3"/>
  <c r="CM98" i="3" s="1"/>
  <c r="BJ204" i="3"/>
  <c r="CM91" i="2"/>
  <c r="CE91" i="2"/>
  <c r="CE123" i="2" s="1"/>
  <c r="CI82" i="2"/>
  <c r="CI84" i="2" s="1"/>
  <c r="AV194" i="2"/>
  <c r="AW193" i="2"/>
  <c r="CJ81" i="2" s="1"/>
  <c r="H42" i="7" l="1"/>
  <c r="H43" i="7" s="1"/>
  <c r="CE125" i="2"/>
  <c r="BK193" i="7"/>
  <c r="CJ85" i="7" s="1"/>
  <c r="BJ194" i="7"/>
  <c r="CB109" i="7"/>
  <c r="CP75" i="7"/>
  <c r="CP109" i="7"/>
  <c r="CP127" i="7" s="1"/>
  <c r="CP129" i="7" s="1"/>
  <c r="CB75" i="7"/>
  <c r="CI86" i="7"/>
  <c r="CI88" i="7" s="1"/>
  <c r="BJ205" i="3"/>
  <c r="BK204" i="3"/>
  <c r="CN98" i="3" s="1"/>
  <c r="CB75" i="3"/>
  <c r="CR43" i="3"/>
  <c r="CM99" i="3"/>
  <c r="CM58" i="3" s="1"/>
  <c r="CX75" i="3"/>
  <c r="CX97" i="3" s="1"/>
  <c r="CX101" i="3" s="1"/>
  <c r="CH43" i="3"/>
  <c r="CH55" i="3" s="1"/>
  <c r="AV195" i="2"/>
  <c r="AW194" i="2"/>
  <c r="CK81" i="2" s="1"/>
  <c r="CJ82" i="2"/>
  <c r="CJ84" i="2" s="1"/>
  <c r="CG90" i="2"/>
  <c r="CG123" i="2" s="1"/>
  <c r="CG125" i="2" s="1"/>
  <c r="CM90" i="2"/>
  <c r="BV123" i="1"/>
  <c r="BV125" i="1" s="1"/>
  <c r="K42" i="7" l="1"/>
  <c r="J42" i="7"/>
  <c r="K131" i="7"/>
  <c r="CR108" i="7"/>
  <c r="CR127" i="7" s="1"/>
  <c r="CR129" i="7" s="1"/>
  <c r="CB108" i="7"/>
  <c r="CJ86" i="7"/>
  <c r="CJ88" i="7" s="1"/>
  <c r="CB74" i="7"/>
  <c r="CB83" i="7" s="1"/>
  <c r="CR74" i="7"/>
  <c r="BJ195" i="7"/>
  <c r="BK194" i="7"/>
  <c r="CK85" i="7" s="1"/>
  <c r="CN99" i="3"/>
  <c r="CN58" i="3" s="1"/>
  <c r="CZ74" i="3"/>
  <c r="CZ97" i="3" s="1"/>
  <c r="CZ101" i="3" s="1"/>
  <c r="CJ42" i="3"/>
  <c r="CJ55" i="3" s="1"/>
  <c r="CR42" i="3"/>
  <c r="CB74" i="3"/>
  <c r="CB97" i="3" s="1"/>
  <c r="BK205" i="3"/>
  <c r="CO98" i="3" s="1"/>
  <c r="BJ206" i="3"/>
  <c r="CM89" i="2"/>
  <c r="CK82" i="2"/>
  <c r="CK84" i="2" s="1"/>
  <c r="CI89" i="2"/>
  <c r="CI123" i="2" s="1"/>
  <c r="AW195" i="2"/>
  <c r="CL81" i="2" s="1"/>
  <c r="AV196" i="2"/>
  <c r="AW196" i="2" s="1"/>
  <c r="CM81" i="2" s="1"/>
  <c r="CM82" i="2" s="1"/>
  <c r="CM84" i="2" s="1"/>
  <c r="J43" i="7" l="1"/>
  <c r="K43" i="7"/>
  <c r="CB101" i="3"/>
  <c r="M131" i="3" s="1"/>
  <c r="M132" i="3" s="1"/>
  <c r="J131" i="3"/>
  <c r="J132" i="3" s="1"/>
  <c r="CI125" i="2"/>
  <c r="CR73" i="7"/>
  <c r="CT107" i="7"/>
  <c r="CT127" i="7" s="1"/>
  <c r="CT129" i="7" s="1"/>
  <c r="CK86" i="7"/>
  <c r="CK88" i="7" s="1"/>
  <c r="CB107" i="7"/>
  <c r="CD73" i="7"/>
  <c r="CD83" i="7" s="1"/>
  <c r="BJ196" i="7"/>
  <c r="BK195" i="7"/>
  <c r="CL85" i="7" s="1"/>
  <c r="BJ207" i="3"/>
  <c r="BK206" i="3"/>
  <c r="CP98" i="3" s="1"/>
  <c r="CS73" i="3"/>
  <c r="CR41" i="3"/>
  <c r="CL41" i="3"/>
  <c r="CL55" i="3" s="1"/>
  <c r="CK73" i="3"/>
  <c r="CO99" i="3"/>
  <c r="CO58" i="3" s="1"/>
  <c r="CL82" i="2"/>
  <c r="CM88" i="2"/>
  <c r="CM123" i="2" s="1"/>
  <c r="CM125" i="2" s="1"/>
  <c r="CK88" i="2"/>
  <c r="CK123" i="2" s="1"/>
  <c r="CK125" i="2" s="1"/>
  <c r="K126" i="7" l="1"/>
  <c r="K132" i="7" s="1"/>
  <c r="I131" i="2"/>
  <c r="I132" i="2" s="1"/>
  <c r="CL84" i="2"/>
  <c r="BA85" i="2" s="1"/>
  <c r="AY85" i="2" s="1"/>
  <c r="AZ85" i="2" s="1"/>
  <c r="L131" i="2"/>
  <c r="H47" i="2"/>
  <c r="H48" i="2" s="1"/>
  <c r="CL86" i="7"/>
  <c r="CL88" i="7" s="1"/>
  <c r="CV106" i="7"/>
  <c r="CV127" i="7" s="1"/>
  <c r="CV129" i="7" s="1"/>
  <c r="CF72" i="7"/>
  <c r="CF83" i="7" s="1"/>
  <c r="CR72" i="7"/>
  <c r="CB106" i="7"/>
  <c r="BJ197" i="7"/>
  <c r="BK196" i="7"/>
  <c r="CM85" i="7" s="1"/>
  <c r="CN40" i="3"/>
  <c r="CN55" i="3" s="1"/>
  <c r="CU72" i="3"/>
  <c r="CP99" i="3"/>
  <c r="CP58" i="3" s="1"/>
  <c r="CR40" i="3"/>
  <c r="CK72" i="3"/>
  <c r="BK207" i="3"/>
  <c r="CQ98" i="3" s="1"/>
  <c r="BJ208" i="3"/>
  <c r="CB123" i="1"/>
  <c r="CB125" i="1" s="1"/>
  <c r="L48" i="2" l="1"/>
  <c r="K48" i="2"/>
  <c r="CH71" i="7"/>
  <c r="CH83" i="7" s="1"/>
  <c r="CR71" i="7"/>
  <c r="CB105" i="7"/>
  <c r="CM86" i="7"/>
  <c r="CM88" i="7" s="1"/>
  <c r="CX105" i="7"/>
  <c r="CX127" i="7" s="1"/>
  <c r="CX129" i="7" s="1"/>
  <c r="BK197" i="7"/>
  <c r="CN85" i="7" s="1"/>
  <c r="BJ198" i="7"/>
  <c r="CQ99" i="3"/>
  <c r="CQ58" i="3" s="1"/>
  <c r="CR39" i="3"/>
  <c r="CR55" i="3" s="1"/>
  <c r="CP39" i="3"/>
  <c r="CP55" i="3" s="1"/>
  <c r="CW71" i="3"/>
  <c r="CK71" i="3"/>
  <c r="BJ209" i="3"/>
  <c r="BK208" i="3"/>
  <c r="CR98" i="3" s="1"/>
  <c r="CD123" i="1"/>
  <c r="CD125" i="1" s="1"/>
  <c r="K49" i="2" l="1"/>
  <c r="L49" i="2"/>
  <c r="BK198" i="7"/>
  <c r="CO85" i="7" s="1"/>
  <c r="BJ199" i="7"/>
  <c r="CR70" i="7"/>
  <c r="CB104" i="7"/>
  <c r="CB127" i="7" s="1"/>
  <c r="CJ70" i="7"/>
  <c r="CJ83" i="7" s="1"/>
  <c r="CN86" i="7"/>
  <c r="CN88" i="7" s="1"/>
  <c r="CZ104" i="7"/>
  <c r="CZ127" i="7" s="1"/>
  <c r="CZ129" i="7" s="1"/>
  <c r="BJ210" i="3"/>
  <c r="BK209" i="3"/>
  <c r="CS98" i="3" s="1"/>
  <c r="CY70" i="3"/>
  <c r="CR99" i="3"/>
  <c r="CR58" i="3" s="1"/>
  <c r="CK70" i="3"/>
  <c r="CB129" i="7" l="1"/>
  <c r="M131" i="7" s="1"/>
  <c r="M132" i="7" s="1"/>
  <c r="J131" i="7"/>
  <c r="J132" i="7" s="1"/>
  <c r="L126" i="2"/>
  <c r="L132" i="2" s="1"/>
  <c r="BA126" i="2" s="1"/>
  <c r="AY126" i="2" s="1"/>
  <c r="AZ126" i="2" s="1"/>
  <c r="BJ200" i="7"/>
  <c r="BK199" i="7"/>
  <c r="CP85" i="7" s="1"/>
  <c r="CR69" i="7"/>
  <c r="CK103" i="7"/>
  <c r="CO86" i="7"/>
  <c r="CO88" i="7" s="1"/>
  <c r="CL69" i="7"/>
  <c r="CL83" i="7" s="1"/>
  <c r="CS103" i="7"/>
  <c r="CS99" i="3"/>
  <c r="CS58" i="3" s="1"/>
  <c r="CK69" i="3"/>
  <c r="CK97" i="3" s="1"/>
  <c r="DA69" i="3"/>
  <c r="BJ211" i="3"/>
  <c r="BK210" i="3"/>
  <c r="CT98" i="3" s="1"/>
  <c r="CK101" i="3" l="1"/>
  <c r="CR68" i="7"/>
  <c r="CN68" i="7"/>
  <c r="CN83" i="7" s="1"/>
  <c r="CK102" i="7"/>
  <c r="CU102" i="7"/>
  <c r="CP86" i="7"/>
  <c r="CP88" i="7" s="1"/>
  <c r="BK200" i="7"/>
  <c r="CQ85" i="7" s="1"/>
  <c r="BJ201" i="7"/>
  <c r="BK211" i="3"/>
  <c r="CU98" i="3" s="1"/>
  <c r="BJ212" i="3"/>
  <c r="CM68" i="3"/>
  <c r="CM97" i="3" s="1"/>
  <c r="CM101" i="3" s="1"/>
  <c r="DA68" i="3"/>
  <c r="CT99" i="3"/>
  <c r="CT58" i="3" s="1"/>
  <c r="BK201" i="7" l="1"/>
  <c r="CR85" i="7" s="1"/>
  <c r="BJ202" i="7"/>
  <c r="CK101" i="7"/>
  <c r="CP67" i="7"/>
  <c r="CP83" i="7" s="1"/>
  <c r="CQ86" i="7"/>
  <c r="CQ88" i="7" s="1"/>
  <c r="CR67" i="7"/>
  <c r="CR83" i="7" s="1"/>
  <c r="CW101" i="7"/>
  <c r="BJ213" i="3"/>
  <c r="BK212" i="3"/>
  <c r="CV98" i="3" s="1"/>
  <c r="CO67" i="3"/>
  <c r="CO97" i="3" s="1"/>
  <c r="DA67" i="3"/>
  <c r="CU99" i="3"/>
  <c r="CU58" i="3" s="1"/>
  <c r="CO101" i="3" l="1"/>
  <c r="CR86" i="7"/>
  <c r="CR88" i="7" s="1"/>
  <c r="CK100" i="7"/>
  <c r="CY100" i="7"/>
  <c r="BK202" i="7"/>
  <c r="CS85" i="7" s="1"/>
  <c r="BJ203" i="7"/>
  <c r="CV99" i="3"/>
  <c r="CV58" i="3" s="1"/>
  <c r="DA66" i="3"/>
  <c r="CQ66" i="3"/>
  <c r="CQ97" i="3" s="1"/>
  <c r="CQ101" i="3" s="1"/>
  <c r="BJ214" i="3"/>
  <c r="BK213" i="3"/>
  <c r="CW98" i="3" s="1"/>
  <c r="BJ204" i="7" l="1"/>
  <c r="BK203" i="7"/>
  <c r="CT85" i="7" s="1"/>
  <c r="DA99" i="7"/>
  <c r="CS86" i="7"/>
  <c r="CS88" i="7" s="1"/>
  <c r="CK99" i="7"/>
  <c r="CK127" i="7" s="1"/>
  <c r="BK214" i="3"/>
  <c r="CX98" i="3" s="1"/>
  <c r="BJ215" i="3"/>
  <c r="CW99" i="3"/>
  <c r="CW58" i="3" s="1"/>
  <c r="CS65" i="3"/>
  <c r="CS97" i="3" s="1"/>
  <c r="CS101" i="3" s="1"/>
  <c r="DA65" i="3"/>
  <c r="CK129" i="7" l="1"/>
  <c r="BJ205" i="7"/>
  <c r="BK204" i="7"/>
  <c r="CU85" i="7" s="1"/>
  <c r="DA98" i="7"/>
  <c r="CM98" i="7"/>
  <c r="CM127" i="7" s="1"/>
  <c r="CM129" i="7" s="1"/>
  <c r="CT86" i="7"/>
  <c r="CT88" i="7" s="1"/>
  <c r="BK215" i="3"/>
  <c r="CY98" i="3" s="1"/>
  <c r="BJ216" i="3"/>
  <c r="CU64" i="3"/>
  <c r="CU97" i="3" s="1"/>
  <c r="CU101" i="3" s="1"/>
  <c r="CX99" i="3"/>
  <c r="CX58" i="3" s="1"/>
  <c r="DA64" i="3"/>
  <c r="BK205" i="7" l="1"/>
  <c r="CV85" i="7" s="1"/>
  <c r="BJ206" i="7"/>
  <c r="CO97" i="7"/>
  <c r="CO127" i="7" s="1"/>
  <c r="CU86" i="7"/>
  <c r="CU88" i="7" s="1"/>
  <c r="DA97" i="7"/>
  <c r="BJ217" i="3"/>
  <c r="BK217" i="3" s="1"/>
  <c r="DA98" i="3" s="1"/>
  <c r="DA99" i="3" s="1"/>
  <c r="DA58" i="3" s="1"/>
  <c r="BK216" i="3"/>
  <c r="CZ98" i="3" s="1"/>
  <c r="CW63" i="3"/>
  <c r="CW97" i="3" s="1"/>
  <c r="CW101" i="3" s="1"/>
  <c r="CY99" i="3"/>
  <c r="CY58" i="3" s="1"/>
  <c r="DA63" i="3"/>
  <c r="CO129" i="7" l="1"/>
  <c r="CQ96" i="7"/>
  <c r="CQ127" i="7" s="1"/>
  <c r="CV86" i="7"/>
  <c r="CV88" i="7" s="1"/>
  <c r="DA96" i="7"/>
  <c r="BJ207" i="7"/>
  <c r="BK206" i="7"/>
  <c r="CW85" i="7" s="1"/>
  <c r="CZ99" i="3"/>
  <c r="CZ58" i="3" s="1"/>
  <c r="BO59" i="3" s="1"/>
  <c r="DA62" i="3"/>
  <c r="DA97" i="3" s="1"/>
  <c r="CY62" i="3"/>
  <c r="CY97" i="3" s="1"/>
  <c r="CY101" i="3" s="1"/>
  <c r="BM59" i="3" l="1"/>
  <c r="BN59" i="3" s="1"/>
  <c r="CQ129" i="7"/>
  <c r="DA101" i="3"/>
  <c r="L131" i="3" s="1"/>
  <c r="I131" i="3"/>
  <c r="I132" i="3" s="1"/>
  <c r="H47" i="3"/>
  <c r="H48" i="3" s="1"/>
  <c r="DA95" i="7"/>
  <c r="CW86" i="7"/>
  <c r="CW88" i="7" s="1"/>
  <c r="CS95" i="7"/>
  <c r="CS127" i="7" s="1"/>
  <c r="BK207" i="7"/>
  <c r="CX85" i="7" s="1"/>
  <c r="BJ208" i="7"/>
  <c r="CS129" i="7" l="1"/>
  <c r="L48" i="3"/>
  <c r="K48" i="3"/>
  <c r="BJ209" i="7"/>
  <c r="BK208" i="7"/>
  <c r="CY85" i="7" s="1"/>
  <c r="DA94" i="7"/>
  <c r="CX86" i="7"/>
  <c r="CX88" i="7" s="1"/>
  <c r="CU94" i="7"/>
  <c r="CU127" i="7" s="1"/>
  <c r="CU129" i="7" s="1"/>
  <c r="L49" i="3" l="1"/>
  <c r="K49" i="3"/>
  <c r="BK209" i="7"/>
  <c r="CZ85" i="7" s="1"/>
  <c r="BJ210" i="7"/>
  <c r="BK210" i="7" s="1"/>
  <c r="DA85" i="7" s="1"/>
  <c r="DA86" i="7" s="1"/>
  <c r="DA88" i="7" s="1"/>
  <c r="CW93" i="7"/>
  <c r="CW127" i="7" s="1"/>
  <c r="CY86" i="7"/>
  <c r="CY88" i="7" s="1"/>
  <c r="DA93" i="7"/>
  <c r="CW129" i="7" l="1"/>
  <c r="L126" i="3"/>
  <c r="L132" i="3" s="1"/>
  <c r="BO102" i="3" s="1"/>
  <c r="CZ86" i="7"/>
  <c r="CZ88" i="7" s="1"/>
  <c r="BO89" i="7" s="1"/>
  <c r="CY92" i="7"/>
  <c r="CY127" i="7" s="1"/>
  <c r="CY129" i="7" s="1"/>
  <c r="DA92" i="7"/>
  <c r="DA127" i="7" s="1"/>
  <c r="DA129" i="7" s="1"/>
  <c r="BM102" i="3" l="1"/>
  <c r="BN102" i="3" s="1"/>
  <c r="BM89" i="7"/>
  <c r="BN89" i="7" s="1"/>
  <c r="H47" i="7"/>
  <c r="H48" i="7" s="1"/>
  <c r="I131" i="7"/>
  <c r="I132" i="7" s="1"/>
  <c r="L131" i="7"/>
  <c r="L48" i="7" l="1"/>
  <c r="K48" i="7"/>
  <c r="K49" i="7" l="1"/>
  <c r="L49" i="7"/>
  <c r="L126" i="7" l="1"/>
  <c r="L132" i="7" s="1"/>
  <c r="BO130" i="7" s="1"/>
  <c r="BM130" i="7" s="1"/>
  <c r="BN130" i="7" s="1"/>
  <c r="P145" i="1"/>
  <c r="Q145" i="1" s="1"/>
  <c r="R145" i="1" s="1"/>
  <c r="P140" i="1"/>
  <c r="Q140" i="1" s="1"/>
  <c r="R140" i="1" s="1"/>
  <c r="P152" i="1"/>
  <c r="Q152" i="1" s="1"/>
  <c r="R152" i="1" s="1"/>
  <c r="P139" i="1"/>
  <c r="Q139" i="1" s="1"/>
  <c r="R139" i="1" s="1"/>
  <c r="P143" i="1"/>
  <c r="Q143" i="1" s="1"/>
  <c r="R143" i="1" s="1"/>
  <c r="P155" i="1"/>
  <c r="Q155" i="1" s="1"/>
  <c r="R155" i="1" s="1"/>
  <c r="P149" i="1"/>
  <c r="Q149" i="1" s="1"/>
  <c r="R149" i="1" s="1"/>
  <c r="P148" i="1"/>
  <c r="Q148" i="1" s="1"/>
  <c r="R148" i="1" s="1"/>
  <c r="P147" i="1"/>
  <c r="Q147" i="1" s="1"/>
  <c r="R147" i="1" s="1"/>
  <c r="P141" i="1"/>
  <c r="Q141" i="1" s="1"/>
  <c r="R141" i="1" s="1"/>
  <c r="P154" i="1"/>
  <c r="Q154" i="1" s="1"/>
  <c r="R154" i="1" s="1"/>
  <c r="P144" i="1"/>
  <c r="Q144" i="1" s="1"/>
  <c r="R144" i="1" s="1"/>
  <c r="P151" i="1"/>
  <c r="Q151" i="1" s="1"/>
  <c r="R151" i="1" s="1"/>
  <c r="P153" i="1"/>
  <c r="Q153" i="1" s="1"/>
  <c r="R153" i="1" s="1"/>
  <c r="P156" i="1"/>
  <c r="Q156" i="1" s="1"/>
  <c r="R156" i="1" s="1"/>
  <c r="P146" i="1"/>
  <c r="Q146" i="1" s="1"/>
  <c r="R146" i="1" s="1"/>
  <c r="Z144" i="1"/>
  <c r="AA144" i="1" s="1"/>
  <c r="AB144" i="1" s="1"/>
  <c r="AC144" i="1" s="1"/>
  <c r="Z150" i="1"/>
  <c r="AA150" i="1" s="1"/>
  <c r="AB150" i="1" s="1"/>
  <c r="AC150" i="1" s="1"/>
  <c r="Z145" i="1"/>
  <c r="AA145" i="1" s="1"/>
  <c r="AB145" i="1" s="1"/>
  <c r="AC145" i="1" s="1"/>
  <c r="Z157" i="1"/>
  <c r="AA157" i="1" s="1"/>
  <c r="AB157" i="1" s="1"/>
  <c r="AC157" i="1" s="1"/>
  <c r="Z143" i="1"/>
  <c r="AA143" i="1" s="1"/>
  <c r="AB143" i="1" s="1"/>
  <c r="AC143" i="1" s="1"/>
  <c r="Z153" i="1"/>
  <c r="AD153" i="1" s="1"/>
  <c r="AE153" i="1" s="1"/>
  <c r="AF153" i="1" s="1"/>
  <c r="Z156" i="1"/>
  <c r="AA156" i="1" s="1"/>
  <c r="AB156" i="1" s="1"/>
  <c r="AC156" i="1" s="1"/>
  <c r="J138" i="1"/>
  <c r="K138" i="1" s="1"/>
  <c r="M138" i="1" s="1"/>
  <c r="N138" i="1" s="1"/>
  <c r="O138" i="1" s="1"/>
  <c r="Z141" i="1"/>
  <c r="AA141" i="1" s="1"/>
  <c r="AB141" i="1" s="1"/>
  <c r="AC141" i="1" s="1"/>
  <c r="P150" i="1"/>
  <c r="Q150" i="1" s="1"/>
  <c r="R150" i="1" s="1"/>
  <c r="Z149" i="1"/>
  <c r="Z147" i="1"/>
  <c r="Z148" i="1"/>
  <c r="AD148" i="1" s="1"/>
  <c r="AE148" i="1" s="1"/>
  <c r="AF148" i="1" s="1"/>
  <c r="Z146" i="1"/>
  <c r="AA146" i="1" s="1"/>
  <c r="AB146" i="1" s="1"/>
  <c r="AC146" i="1" s="1"/>
  <c r="Z142" i="1"/>
  <c r="Z152" i="1"/>
  <c r="Z140" i="1"/>
  <c r="P142" i="1"/>
  <c r="Q142" i="1" s="1"/>
  <c r="R142" i="1" s="1"/>
  <c r="P157" i="1"/>
  <c r="Q157" i="1" s="1"/>
  <c r="R157" i="1" s="1"/>
  <c r="Z139" i="1"/>
  <c r="AA139" i="1" s="1"/>
  <c r="AB139" i="1" s="1"/>
  <c r="AC139" i="1" s="1"/>
  <c r="Z155" i="1"/>
  <c r="AD155" i="1" s="1"/>
  <c r="AE155" i="1" s="1"/>
  <c r="AF155" i="1" s="1"/>
  <c r="Z154" i="1"/>
  <c r="AA154" i="1" s="1"/>
  <c r="AB154" i="1" s="1"/>
  <c r="AC154" i="1" s="1"/>
  <c r="Z138" i="1"/>
  <c r="AA138" i="1" s="1"/>
  <c r="AB138" i="1" s="1"/>
  <c r="AC138" i="1" s="1"/>
  <c r="Z151" i="1"/>
  <c r="P138" i="1"/>
  <c r="Q138" i="1" s="1"/>
  <c r="AD138" i="1" l="1"/>
  <c r="AE138" i="1" s="1"/>
  <c r="AF138" i="1" s="1"/>
  <c r="AH138" i="1" s="1"/>
  <c r="R138" i="1"/>
  <c r="T138" i="1" s="1"/>
  <c r="U138" i="1" s="1"/>
  <c r="S139" i="1" s="1"/>
  <c r="T139" i="1" s="1"/>
  <c r="AA155" i="1"/>
  <c r="AB155" i="1" s="1"/>
  <c r="AC155" i="1" s="1"/>
  <c r="AH155" i="1" s="1"/>
  <c r="AD154" i="1"/>
  <c r="AE154" i="1" s="1"/>
  <c r="AF154" i="1" s="1"/>
  <c r="AH154" i="1" s="1"/>
  <c r="AD146" i="1"/>
  <c r="AE146" i="1" s="1"/>
  <c r="AF146" i="1" s="1"/>
  <c r="AH146" i="1" s="1"/>
  <c r="AA153" i="1"/>
  <c r="AB153" i="1" s="1"/>
  <c r="AC153" i="1" s="1"/>
  <c r="AH153" i="1" s="1"/>
  <c r="AD143" i="1"/>
  <c r="AE143" i="1" s="1"/>
  <c r="AF143" i="1" s="1"/>
  <c r="AH143" i="1" s="1"/>
  <c r="AD145" i="1"/>
  <c r="AE145" i="1" s="1"/>
  <c r="AF145" i="1" s="1"/>
  <c r="AH145" i="1" s="1"/>
  <c r="AD141" i="1"/>
  <c r="AE141" i="1" s="1"/>
  <c r="AF141" i="1" s="1"/>
  <c r="AH141" i="1" s="1"/>
  <c r="AD157" i="1"/>
  <c r="AE157" i="1" s="1"/>
  <c r="AF157" i="1" s="1"/>
  <c r="AH157" i="1" s="1"/>
  <c r="AD150" i="1"/>
  <c r="AE150" i="1" s="1"/>
  <c r="AF150" i="1" s="1"/>
  <c r="AH150" i="1" s="1"/>
  <c r="AA151" i="1"/>
  <c r="AB151" i="1" s="1"/>
  <c r="AC151" i="1" s="1"/>
  <c r="AD151" i="1"/>
  <c r="AE151" i="1" s="1"/>
  <c r="AF151" i="1" s="1"/>
  <c r="AA140" i="1"/>
  <c r="AB140" i="1" s="1"/>
  <c r="AC140" i="1" s="1"/>
  <c r="AD140" i="1"/>
  <c r="AE140" i="1" s="1"/>
  <c r="AF140" i="1" s="1"/>
  <c r="AA152" i="1"/>
  <c r="AB152" i="1" s="1"/>
  <c r="AC152" i="1" s="1"/>
  <c r="AD152" i="1"/>
  <c r="AE152" i="1" s="1"/>
  <c r="AF152" i="1" s="1"/>
  <c r="W138" i="1"/>
  <c r="AA142" i="1"/>
  <c r="AB142" i="1" s="1"/>
  <c r="AC142" i="1" s="1"/>
  <c r="AD142" i="1"/>
  <c r="AE142" i="1" s="1"/>
  <c r="AF142" i="1" s="1"/>
  <c r="AD139" i="1"/>
  <c r="AE139" i="1" s="1"/>
  <c r="AF139" i="1" s="1"/>
  <c r="AH139" i="1" s="1"/>
  <c r="AA147" i="1"/>
  <c r="AB147" i="1" s="1"/>
  <c r="AC147" i="1" s="1"/>
  <c r="AD147" i="1"/>
  <c r="AE147" i="1" s="1"/>
  <c r="AF147" i="1" s="1"/>
  <c r="AA149" i="1"/>
  <c r="AB149" i="1" s="1"/>
  <c r="AC149" i="1" s="1"/>
  <c r="AD149" i="1"/>
  <c r="AE149" i="1" s="1"/>
  <c r="AF149" i="1" s="1"/>
  <c r="AA148" i="1"/>
  <c r="AB148" i="1" s="1"/>
  <c r="AC148" i="1" s="1"/>
  <c r="AH148" i="1" s="1"/>
  <c r="AD156" i="1"/>
  <c r="AE156" i="1" s="1"/>
  <c r="AF156" i="1" s="1"/>
  <c r="AH156" i="1" s="1"/>
  <c r="AD144" i="1"/>
  <c r="AE144" i="1" s="1"/>
  <c r="AF144" i="1" s="1"/>
  <c r="AH144" i="1" s="1"/>
  <c r="AH140" i="1" l="1"/>
  <c r="AH149" i="1"/>
  <c r="AH147" i="1"/>
  <c r="AH142" i="1"/>
  <c r="AH152" i="1"/>
  <c r="AH151" i="1"/>
  <c r="T140" i="1"/>
  <c r="U139" i="1"/>
  <c r="AI138" i="1"/>
  <c r="S140" i="1" l="1"/>
  <c r="W139" i="1"/>
  <c r="U140" i="1"/>
  <c r="T141" i="1"/>
  <c r="U141" i="1" l="1"/>
  <c r="T142" i="1"/>
  <c r="S141" i="1"/>
  <c r="W140" i="1"/>
  <c r="AI139" i="1"/>
  <c r="AI140" i="1" l="1"/>
  <c r="T143" i="1"/>
  <c r="U142" i="1"/>
  <c r="S142" i="1"/>
  <c r="W141" i="1"/>
  <c r="AI141" i="1" l="1"/>
  <c r="S143" i="1"/>
  <c r="W142" i="1"/>
  <c r="T144" i="1"/>
  <c r="U143" i="1"/>
  <c r="T145" i="1" l="1"/>
  <c r="U144" i="1"/>
  <c r="AI142" i="1"/>
  <c r="S144" i="1"/>
  <c r="W143" i="1"/>
  <c r="AI143" i="1" l="1"/>
  <c r="S145" i="1"/>
  <c r="W144" i="1"/>
  <c r="T146" i="1"/>
  <c r="U145" i="1"/>
  <c r="S146" i="1" l="1"/>
  <c r="W145" i="1"/>
  <c r="AI144" i="1"/>
  <c r="T147" i="1"/>
  <c r="U146" i="1"/>
  <c r="AI145" i="1" l="1"/>
  <c r="S147" i="1"/>
  <c r="W146" i="1"/>
  <c r="U147" i="1"/>
  <c r="T148" i="1"/>
  <c r="AI146" i="1" l="1"/>
  <c r="T149" i="1"/>
  <c r="U148" i="1"/>
  <c r="W147" i="1"/>
  <c r="S148" i="1"/>
  <c r="U149" i="1" l="1"/>
  <c r="T150" i="1"/>
  <c r="S149" i="1"/>
  <c r="W148" i="1"/>
  <c r="AI147" i="1"/>
  <c r="AI148" i="1" l="1"/>
  <c r="U150" i="1"/>
  <c r="T151" i="1"/>
  <c r="S150" i="1"/>
  <c r="W149" i="1"/>
  <c r="AI149" i="1" l="1"/>
  <c r="U151" i="1"/>
  <c r="T152" i="1"/>
  <c r="S151" i="1"/>
  <c r="W150" i="1"/>
  <c r="S152" i="1" l="1"/>
  <c r="W151" i="1"/>
  <c r="AI150" i="1"/>
  <c r="U152" i="1"/>
  <c r="T153" i="1"/>
  <c r="AI151" i="1" l="1"/>
  <c r="U153" i="1"/>
  <c r="T154" i="1"/>
  <c r="S153" i="1"/>
  <c r="W152" i="1"/>
  <c r="S154" i="1" l="1"/>
  <c r="W153" i="1"/>
  <c r="U154" i="1"/>
  <c r="T155" i="1"/>
  <c r="AI152" i="1"/>
  <c r="S155" i="1" l="1"/>
  <c r="W154" i="1"/>
  <c r="AI153" i="1"/>
  <c r="U155" i="1"/>
  <c r="T156" i="1"/>
  <c r="AI154" i="1" l="1"/>
  <c r="T157" i="1"/>
  <c r="U157" i="1" s="1"/>
  <c r="W157" i="1" s="1"/>
  <c r="U156" i="1"/>
  <c r="S156" i="1"/>
  <c r="W155" i="1"/>
  <c r="AI157" i="1" l="1"/>
  <c r="Y157" i="1"/>
  <c r="S157" i="1"/>
  <c r="W156" i="1"/>
  <c r="Y141" i="1" s="1"/>
  <c r="AJ141" i="1" s="1"/>
  <c r="AI155" i="1"/>
  <c r="AJ157" i="1" l="1"/>
  <c r="AL157" i="1" s="1"/>
  <c r="AN157" i="1" s="1"/>
  <c r="Y140" i="1"/>
  <c r="AJ140" i="1" s="1"/>
  <c r="AL140" i="1" s="1"/>
  <c r="AN140" i="1" s="1"/>
  <c r="Y144" i="1"/>
  <c r="AJ144" i="1" s="1"/>
  <c r="AK144" i="1" s="1"/>
  <c r="AM144" i="1" s="1"/>
  <c r="AO144" i="1" s="1"/>
  <c r="Y150" i="1"/>
  <c r="AJ150" i="1" s="1"/>
  <c r="AL150" i="1" s="1"/>
  <c r="AN150" i="1" s="1"/>
  <c r="Y155" i="1"/>
  <c r="AJ155" i="1" s="1"/>
  <c r="AK155" i="1" s="1"/>
  <c r="AM155" i="1" s="1"/>
  <c r="AO155" i="1" s="1"/>
  <c r="Y148" i="1"/>
  <c r="AJ148" i="1" s="1"/>
  <c r="AK148" i="1" s="1"/>
  <c r="AM148" i="1" s="1"/>
  <c r="AO148" i="1" s="1"/>
  <c r="AL141" i="1"/>
  <c r="AN141" i="1" s="1"/>
  <c r="AK141" i="1"/>
  <c r="AM141" i="1" s="1"/>
  <c r="AO141" i="1" s="1"/>
  <c r="Y154" i="1"/>
  <c r="AJ154" i="1" s="1"/>
  <c r="Y146" i="1"/>
  <c r="AJ146" i="1" s="1"/>
  <c r="Y143" i="1"/>
  <c r="AJ143" i="1" s="1"/>
  <c r="Y139" i="1"/>
  <c r="AJ139" i="1" s="1"/>
  <c r="Y149" i="1"/>
  <c r="AJ149" i="1" s="1"/>
  <c r="Y145" i="1"/>
  <c r="AJ145" i="1" s="1"/>
  <c r="AI156" i="1"/>
  <c r="Y156" i="1"/>
  <c r="Y153" i="1"/>
  <c r="AJ153" i="1" s="1"/>
  <c r="Y152" i="1"/>
  <c r="AJ152" i="1" s="1"/>
  <c r="Y147" i="1"/>
  <c r="AJ147" i="1" s="1"/>
  <c r="Y142" i="1"/>
  <c r="AJ142" i="1" s="1"/>
  <c r="Y138" i="1"/>
  <c r="Y151" i="1"/>
  <c r="AJ151" i="1" s="1"/>
  <c r="AL144" i="1" l="1"/>
  <c r="AN144" i="1" s="1"/>
  <c r="F144" i="1" s="1"/>
  <c r="AK140" i="1"/>
  <c r="AM140" i="1" s="1"/>
  <c r="AO140" i="1" s="1"/>
  <c r="AK157" i="1"/>
  <c r="AM157" i="1" s="1"/>
  <c r="AO157" i="1" s="1"/>
  <c r="AL155" i="1"/>
  <c r="AN155" i="1" s="1"/>
  <c r="AP155" i="1" s="1"/>
  <c r="AJ156" i="1"/>
  <c r="AK156" i="1" s="1"/>
  <c r="AM156" i="1" s="1"/>
  <c r="AO156" i="1" s="1"/>
  <c r="AK150" i="1"/>
  <c r="AM150" i="1" s="1"/>
  <c r="AO150" i="1" s="1"/>
  <c r="AL148" i="1"/>
  <c r="AN148" i="1" s="1"/>
  <c r="F148" i="1" s="1"/>
  <c r="AL151" i="1"/>
  <c r="AN151" i="1" s="1"/>
  <c r="AK151" i="1"/>
  <c r="AM151" i="1" s="1"/>
  <c r="AO151" i="1" s="1"/>
  <c r="AL152" i="1"/>
  <c r="AN152" i="1" s="1"/>
  <c r="AK152" i="1"/>
  <c r="AM152" i="1" s="1"/>
  <c r="AO152" i="1" s="1"/>
  <c r="AL145" i="1"/>
  <c r="AN145" i="1" s="1"/>
  <c r="AK145" i="1"/>
  <c r="AM145" i="1" s="1"/>
  <c r="AO145" i="1" s="1"/>
  <c r="AL146" i="1"/>
  <c r="AN146" i="1" s="1"/>
  <c r="AK146" i="1"/>
  <c r="AM146" i="1" s="1"/>
  <c r="AO146" i="1" s="1"/>
  <c r="AJ138" i="1"/>
  <c r="Y133" i="1"/>
  <c r="C15" i="1" s="1"/>
  <c r="AP150" i="1"/>
  <c r="F150" i="1"/>
  <c r="AL139" i="1"/>
  <c r="AN139" i="1" s="1"/>
  <c r="AK139" i="1"/>
  <c r="AM139" i="1" s="1"/>
  <c r="AO139" i="1" s="1"/>
  <c r="AL153" i="1"/>
  <c r="AN153" i="1" s="1"/>
  <c r="AK153" i="1"/>
  <c r="AM153" i="1" s="1"/>
  <c r="AO153" i="1" s="1"/>
  <c r="AL149" i="1"/>
  <c r="AN149" i="1" s="1"/>
  <c r="AK149" i="1"/>
  <c r="AM149" i="1" s="1"/>
  <c r="AO149" i="1" s="1"/>
  <c r="AL154" i="1"/>
  <c r="AN154" i="1" s="1"/>
  <c r="AK154" i="1"/>
  <c r="AM154" i="1" s="1"/>
  <c r="AO154" i="1" s="1"/>
  <c r="AL142" i="1"/>
  <c r="AN142" i="1" s="1"/>
  <c r="AK142" i="1"/>
  <c r="AM142" i="1" s="1"/>
  <c r="AO142" i="1" s="1"/>
  <c r="AL147" i="1"/>
  <c r="AN147" i="1" s="1"/>
  <c r="AK147" i="1"/>
  <c r="AM147" i="1" s="1"/>
  <c r="AO147" i="1" s="1"/>
  <c r="AP157" i="1"/>
  <c r="F157" i="1"/>
  <c r="AL143" i="1"/>
  <c r="AN143" i="1" s="1"/>
  <c r="AK143" i="1"/>
  <c r="AM143" i="1" s="1"/>
  <c r="AO143" i="1" s="1"/>
  <c r="AP140" i="1"/>
  <c r="F140" i="1"/>
  <c r="AP141" i="1"/>
  <c r="F141" i="1"/>
  <c r="AP144" i="1" l="1"/>
  <c r="AL156" i="1"/>
  <c r="AN156" i="1" s="1"/>
  <c r="AP156" i="1" s="1"/>
  <c r="F155" i="1"/>
  <c r="AP148" i="1"/>
  <c r="AP142" i="1"/>
  <c r="F142" i="1"/>
  <c r="F143" i="1"/>
  <c r="AP143" i="1"/>
  <c r="AP146" i="1"/>
  <c r="F146" i="1"/>
  <c r="C10" i="1"/>
  <c r="C5" i="1"/>
  <c r="C3" i="1"/>
  <c r="D10" i="1"/>
  <c r="D3" i="1"/>
  <c r="AP149" i="1"/>
  <c r="F149" i="1"/>
  <c r="F139" i="1"/>
  <c r="AP139" i="1"/>
  <c r="AP152" i="1"/>
  <c r="F152" i="1"/>
  <c r="AP147" i="1"/>
  <c r="F147" i="1"/>
  <c r="AP154" i="1"/>
  <c r="F154" i="1"/>
  <c r="F153" i="1"/>
  <c r="AP153" i="1"/>
  <c r="AL138" i="1"/>
  <c r="AN138" i="1" s="1"/>
  <c r="AK138" i="1"/>
  <c r="AM138" i="1" s="1"/>
  <c r="AO138" i="1" s="1"/>
  <c r="AP145" i="1"/>
  <c r="F145" i="1"/>
  <c r="AP151" i="1"/>
  <c r="F151" i="1"/>
  <c r="L54" i="1" l="1"/>
  <c r="J54" i="1"/>
  <c r="F156" i="1"/>
  <c r="AX197" i="1"/>
  <c r="AY197" i="1" s="1"/>
  <c r="AX165" i="1"/>
  <c r="AY165" i="1" s="1"/>
  <c r="AX187" i="1"/>
  <c r="AY187" i="1" s="1"/>
  <c r="AX185" i="1"/>
  <c r="AY185" i="1" s="1"/>
  <c r="AX171" i="1"/>
  <c r="AY171" i="1" s="1"/>
  <c r="AX180" i="1"/>
  <c r="AY180" i="1" s="1"/>
  <c r="AX175" i="1"/>
  <c r="AY175" i="1" s="1"/>
  <c r="AX189" i="1"/>
  <c r="AY189" i="1" s="1"/>
  <c r="AX181" i="1"/>
  <c r="AY181" i="1" s="1"/>
  <c r="AX186" i="1"/>
  <c r="AY186" i="1" s="1"/>
  <c r="AX169" i="1"/>
  <c r="AY169" i="1" s="1"/>
  <c r="AX178" i="1"/>
  <c r="AY178" i="1" s="1"/>
  <c r="AX177" i="1"/>
  <c r="AY177" i="1" s="1"/>
  <c r="AX173" i="1"/>
  <c r="AY173" i="1" s="1"/>
  <c r="AX167" i="1"/>
  <c r="AY167" i="1" s="1"/>
  <c r="AX184" i="1"/>
  <c r="AY184" i="1" s="1"/>
  <c r="AX174" i="1"/>
  <c r="AY174" i="1" s="1"/>
  <c r="AX183" i="1"/>
  <c r="AY183" i="1" s="1"/>
  <c r="AX188" i="1"/>
  <c r="AY188" i="1" s="1"/>
  <c r="CP54" i="1"/>
  <c r="L14" i="1" s="1"/>
  <c r="AX192" i="1"/>
  <c r="AY192" i="1" s="1"/>
  <c r="AX164" i="1"/>
  <c r="AY164" i="1" s="1"/>
  <c r="BR57" i="1"/>
  <c r="AX193" i="1"/>
  <c r="AY193" i="1" s="1"/>
  <c r="AX163" i="1"/>
  <c r="AY163" i="1" s="1"/>
  <c r="AX190" i="1"/>
  <c r="AY190" i="1" s="1"/>
  <c r="AX195" i="1"/>
  <c r="AY195" i="1" s="1"/>
  <c r="AX172" i="1"/>
  <c r="AY172" i="1" s="1"/>
  <c r="BR54" i="1"/>
  <c r="J14" i="1" s="1"/>
  <c r="AX194" i="1"/>
  <c r="AY194" i="1" s="1"/>
  <c r="AX168" i="1"/>
  <c r="AY168" i="1" s="1"/>
  <c r="AX166" i="1"/>
  <c r="AY166" i="1" s="1"/>
  <c r="AX191" i="1"/>
  <c r="AY191" i="1" s="1"/>
  <c r="CG57" i="1"/>
  <c r="AX196" i="1"/>
  <c r="AY196" i="1" s="1"/>
  <c r="AX179" i="1"/>
  <c r="AY179" i="1" s="1"/>
  <c r="AX198" i="1"/>
  <c r="D5" i="1"/>
  <c r="AX170" i="1"/>
  <c r="AY170" i="1" s="1"/>
  <c r="AX176" i="1"/>
  <c r="AY176" i="1" s="1"/>
  <c r="AX162" i="1"/>
  <c r="AX182" i="1"/>
  <c r="AY182" i="1" s="1"/>
  <c r="AP138" i="1"/>
  <c r="BC80" i="1" s="1"/>
  <c r="BD80" i="1" s="1"/>
  <c r="F138" i="1"/>
  <c r="BE57" i="1" l="1"/>
  <c r="BC57" i="1" s="1"/>
  <c r="BD57" i="1" s="1"/>
  <c r="CE51" i="1"/>
  <c r="BG51" i="1"/>
  <c r="J8" i="1" s="1"/>
  <c r="AY162" i="1"/>
  <c r="BB131" i="1"/>
  <c r="H23" i="1" s="1"/>
  <c r="AY198" i="1"/>
  <c r="CT131" i="1"/>
  <c r="BC53" i="1"/>
  <c r="BD53" i="1" s="1"/>
  <c r="J12" i="1"/>
  <c r="J55" i="1"/>
  <c r="BC56" i="1"/>
  <c r="BD56" i="1" s="1"/>
  <c r="K12" i="1"/>
  <c r="L12" i="1"/>
  <c r="L55" i="1"/>
  <c r="L6" i="1" l="1"/>
  <c r="L7" i="1" s="1"/>
  <c r="L8" i="1"/>
  <c r="AZ162" i="1"/>
  <c r="AZ163" i="1" s="1"/>
  <c r="K13" i="1"/>
  <c r="J13" i="1"/>
  <c r="D131" i="1"/>
  <c r="D133" i="1"/>
  <c r="H16" i="1"/>
  <c r="M126" i="1"/>
  <c r="D134" i="1"/>
  <c r="D132" i="1"/>
  <c r="BC50" i="1"/>
  <c r="BD50" i="1" s="1"/>
  <c r="K6" i="1"/>
  <c r="J6" i="1"/>
  <c r="L13" i="1"/>
  <c r="BA162" i="1" l="1"/>
  <c r="BG81" i="1" s="1"/>
  <c r="BG82" i="1" s="1"/>
  <c r="BG84" i="1" s="1"/>
  <c r="BE54" i="1"/>
  <c r="BC54" i="1" s="1"/>
  <c r="BD54" i="1" s="1"/>
  <c r="J7" i="1"/>
  <c r="K18" i="1"/>
  <c r="K36" i="1"/>
  <c r="J18" i="1"/>
  <c r="J36" i="1"/>
  <c r="K7" i="1"/>
  <c r="L30" i="1"/>
  <c r="K24" i="1"/>
  <c r="L24" i="1"/>
  <c r="K30" i="1"/>
  <c r="BA163" i="1"/>
  <c r="BH81" i="1" s="1"/>
  <c r="AZ164" i="1"/>
  <c r="BE51" i="1" l="1"/>
  <c r="BC51" i="1" s="1"/>
  <c r="BD51" i="1" s="1"/>
  <c r="L25" i="1"/>
  <c r="K31" i="1"/>
  <c r="K37" i="1"/>
  <c r="K25" i="1"/>
  <c r="BA164" i="1"/>
  <c r="BI81" i="1" s="1"/>
  <c r="AZ165" i="1"/>
  <c r="K19" i="1"/>
  <c r="BG122" i="1"/>
  <c r="BH82" i="1"/>
  <c r="BH84" i="1" s="1"/>
  <c r="BI122" i="1"/>
  <c r="J37" i="1"/>
  <c r="L31" i="1"/>
  <c r="J19" i="1"/>
  <c r="I126" i="1" l="1"/>
  <c r="M85" i="1"/>
  <c r="BA165" i="1"/>
  <c r="BJ81" i="1" s="1"/>
  <c r="AZ166" i="1"/>
  <c r="K85" i="1"/>
  <c r="J126" i="1"/>
  <c r="BG121" i="1"/>
  <c r="BK121" i="1"/>
  <c r="BI82" i="1"/>
  <c r="BI84" i="1" s="1"/>
  <c r="BM120" i="1" l="1"/>
  <c r="BG120" i="1"/>
  <c r="BJ82" i="1"/>
  <c r="BJ84" i="1" s="1"/>
  <c r="BA166" i="1"/>
  <c r="BK81" i="1" s="1"/>
  <c r="AZ167" i="1"/>
  <c r="BA167" i="1" l="1"/>
  <c r="BL81" i="1" s="1"/>
  <c r="AZ168" i="1"/>
  <c r="BO119" i="1"/>
  <c r="BG119" i="1"/>
  <c r="BK82" i="1"/>
  <c r="BK84" i="1" s="1"/>
  <c r="BA168" i="1" l="1"/>
  <c r="BM81" i="1" s="1"/>
  <c r="AZ169" i="1"/>
  <c r="BL82" i="1"/>
  <c r="BL84" i="1" s="1"/>
  <c r="BG118" i="1"/>
  <c r="BQ118" i="1"/>
  <c r="BQ123" i="1" s="1"/>
  <c r="BQ125" i="1" s="1"/>
  <c r="BA169" i="1" l="1"/>
  <c r="BN81" i="1" s="1"/>
  <c r="AZ170" i="1"/>
  <c r="BG117" i="1"/>
  <c r="BM82" i="1"/>
  <c r="BM84" i="1" s="1"/>
  <c r="BS117" i="1"/>
  <c r="BS123" i="1" s="1"/>
  <c r="BS125" i="1" s="1"/>
  <c r="AZ171" i="1" l="1"/>
  <c r="BA170" i="1"/>
  <c r="BO81" i="1" s="1"/>
  <c r="BG116" i="1"/>
  <c r="BN82" i="1"/>
  <c r="BN84" i="1" s="1"/>
  <c r="BU116" i="1"/>
  <c r="BU123" i="1" s="1"/>
  <c r="BU125" i="1" s="1"/>
  <c r="BW115" i="1" l="1"/>
  <c r="BO82" i="1"/>
  <c r="BO84" i="1" s="1"/>
  <c r="BG115" i="1"/>
  <c r="BG123" i="1" s="1"/>
  <c r="AZ172" i="1"/>
  <c r="BA171" i="1"/>
  <c r="BP81" i="1" s="1"/>
  <c r="BG125" i="1" l="1"/>
  <c r="AZ173" i="1"/>
  <c r="BA172" i="1"/>
  <c r="BQ81" i="1" s="1"/>
  <c r="BW114" i="1"/>
  <c r="BI114" i="1"/>
  <c r="BI123" i="1" s="1"/>
  <c r="BI125" i="1" s="1"/>
  <c r="BP82" i="1"/>
  <c r="BP84" i="1" s="1"/>
  <c r="BW113" i="1" l="1"/>
  <c r="BQ82" i="1"/>
  <c r="BQ84" i="1" s="1"/>
  <c r="BK113" i="1"/>
  <c r="BK123" i="1" s="1"/>
  <c r="BK125" i="1" s="1"/>
  <c r="AZ174" i="1"/>
  <c r="BA173" i="1"/>
  <c r="BR81" i="1" s="1"/>
  <c r="AZ175" i="1" l="1"/>
  <c r="BA174" i="1"/>
  <c r="BS81" i="1" s="1"/>
  <c r="BW112" i="1"/>
  <c r="BR82" i="1"/>
  <c r="BR84" i="1" s="1"/>
  <c r="BM112" i="1"/>
  <c r="BM123" i="1" s="1"/>
  <c r="BM125" i="1" s="1"/>
  <c r="BR77" i="1" l="1"/>
  <c r="BT77" i="1"/>
  <c r="BS82" i="1"/>
  <c r="BS84" i="1" s="1"/>
  <c r="BO111" i="1"/>
  <c r="BO123" i="1" s="1"/>
  <c r="BO125" i="1" s="1"/>
  <c r="BW111" i="1"/>
  <c r="BW123" i="1" s="1"/>
  <c r="BW125" i="1" s="1"/>
  <c r="BA175" i="1"/>
  <c r="BT81" i="1" s="1"/>
  <c r="AZ176" i="1"/>
  <c r="BA176" i="1" l="1"/>
  <c r="BU81" i="1" s="1"/>
  <c r="AZ177" i="1"/>
  <c r="BV76" i="1"/>
  <c r="CF110" i="1"/>
  <c r="BR76" i="1"/>
  <c r="BT82" i="1"/>
  <c r="BT84" i="1" s="1"/>
  <c r="BH110" i="1"/>
  <c r="BH123" i="1" s="1"/>
  <c r="BH125" i="1" l="1"/>
  <c r="AZ178" i="1"/>
  <c r="BA177" i="1"/>
  <c r="BV81" i="1" s="1"/>
  <c r="BX75" i="1"/>
  <c r="BR75" i="1"/>
  <c r="CF109" i="1"/>
  <c r="BU82" i="1"/>
  <c r="BU84" i="1" s="1"/>
  <c r="BJ109" i="1"/>
  <c r="BJ123" i="1" s="1"/>
  <c r="BJ125" i="1" s="1"/>
  <c r="BR74" i="1" l="1"/>
  <c r="BZ74" i="1"/>
  <c r="CF108" i="1"/>
  <c r="BV82" i="1"/>
  <c r="BV84" i="1" s="1"/>
  <c r="BL108" i="1"/>
  <c r="BL123" i="1" s="1"/>
  <c r="AZ179" i="1"/>
  <c r="BA178" i="1"/>
  <c r="BW81" i="1" s="1"/>
  <c r="BL125" i="1" l="1"/>
  <c r="CF107" i="1"/>
  <c r="CB73" i="1"/>
  <c r="BR73" i="1"/>
  <c r="BW82" i="1"/>
  <c r="BW84" i="1" s="1"/>
  <c r="BN107" i="1"/>
  <c r="BN123" i="1" s="1"/>
  <c r="BN125" i="1" s="1"/>
  <c r="BA179" i="1"/>
  <c r="BX81" i="1" s="1"/>
  <c r="AZ180" i="1"/>
  <c r="BA180" i="1" l="1"/>
  <c r="BY81" i="1" s="1"/>
  <c r="AZ181" i="1"/>
  <c r="BR72" i="1"/>
  <c r="CD72" i="1"/>
  <c r="CF106" i="1"/>
  <c r="BX82" i="1"/>
  <c r="BX84" i="1" s="1"/>
  <c r="BP106" i="1"/>
  <c r="BP123" i="1" s="1"/>
  <c r="BP125" i="1" s="1"/>
  <c r="H42" i="1" l="1"/>
  <c r="H43" i="1" s="1"/>
  <c r="BA181" i="1"/>
  <c r="BZ81" i="1" s="1"/>
  <c r="AZ182" i="1"/>
  <c r="BR71" i="1"/>
  <c r="BR105" i="1"/>
  <c r="CF71" i="1"/>
  <c r="BY82" i="1"/>
  <c r="BY84" i="1" s="1"/>
  <c r="CF105" i="1"/>
  <c r="CF123" i="1" s="1"/>
  <c r="CF125" i="1" s="1"/>
  <c r="K131" i="1" s="1"/>
  <c r="BA182" i="1" l="1"/>
  <c r="CA81" i="1" s="1"/>
  <c r="AZ183" i="1"/>
  <c r="BR104" i="1"/>
  <c r="CH70" i="1"/>
  <c r="BZ82" i="1"/>
  <c r="BZ84" i="1" s="1"/>
  <c r="BR70" i="1"/>
  <c r="BR79" i="1" s="1"/>
  <c r="CH104" i="1"/>
  <c r="CH123" i="1" s="1"/>
  <c r="CH125" i="1" s="1"/>
  <c r="J42" i="1"/>
  <c r="K42" i="1"/>
  <c r="K43" i="1" l="1"/>
  <c r="J43" i="1"/>
  <c r="BA183" i="1"/>
  <c r="CB81" i="1" s="1"/>
  <c r="AZ184" i="1"/>
  <c r="BR103" i="1"/>
  <c r="CH69" i="1"/>
  <c r="CA82" i="1"/>
  <c r="CA84" i="1" s="1"/>
  <c r="CJ103" i="1"/>
  <c r="CJ123" i="1" s="1"/>
  <c r="CJ125" i="1" s="1"/>
  <c r="BT69" i="1"/>
  <c r="BT79" i="1" s="1"/>
  <c r="K126" i="1" l="1"/>
  <c r="K132" i="1" s="1"/>
  <c r="BA184" i="1"/>
  <c r="CC81" i="1" s="1"/>
  <c r="AZ185" i="1"/>
  <c r="BR102" i="1"/>
  <c r="CH68" i="1"/>
  <c r="CB82" i="1"/>
  <c r="CB84" i="1" s="1"/>
  <c r="BV68" i="1"/>
  <c r="BV79" i="1" s="1"/>
  <c r="CL102" i="1"/>
  <c r="CL123" i="1" s="1"/>
  <c r="CL125" i="1" s="1"/>
  <c r="BA185" i="1" l="1"/>
  <c r="CD81" i="1" s="1"/>
  <c r="AZ186" i="1"/>
  <c r="BR101" i="1"/>
  <c r="CH67" i="1"/>
  <c r="BX67" i="1"/>
  <c r="BX79" i="1" s="1"/>
  <c r="CC82" i="1"/>
  <c r="CC84" i="1" s="1"/>
  <c r="CN101" i="1"/>
  <c r="CN123" i="1" s="1"/>
  <c r="CN125" i="1" s="1"/>
  <c r="BA186" i="1" l="1"/>
  <c r="CE81" i="1" s="1"/>
  <c r="AZ187" i="1"/>
  <c r="CH66" i="1"/>
  <c r="CD82" i="1"/>
  <c r="CD84" i="1" s="1"/>
  <c r="BZ66" i="1"/>
  <c r="BZ79" i="1" s="1"/>
  <c r="CP100" i="1"/>
  <c r="CP123" i="1" s="1"/>
  <c r="CP125" i="1" s="1"/>
  <c r="BR100" i="1"/>
  <c r="BR123" i="1" s="1"/>
  <c r="BR125" i="1" l="1"/>
  <c r="M131" i="1" s="1"/>
  <c r="M132" i="1" s="1"/>
  <c r="J131" i="1"/>
  <c r="J132" i="1" s="1"/>
  <c r="BA187" i="1"/>
  <c r="CF81" i="1" s="1"/>
  <c r="AZ188" i="1"/>
  <c r="CI99" i="1"/>
  <c r="CH65" i="1"/>
  <c r="CA99" i="1"/>
  <c r="CE82" i="1"/>
  <c r="CE84" i="1" s="1"/>
  <c r="CB65" i="1"/>
  <c r="CB79" i="1" s="1"/>
  <c r="BA188" i="1" l="1"/>
  <c r="CG81" i="1" s="1"/>
  <c r="AZ189" i="1"/>
  <c r="CA98" i="1"/>
  <c r="CK98" i="1"/>
  <c r="CH64" i="1"/>
  <c r="CD64" i="1"/>
  <c r="CD79" i="1" s="1"/>
  <c r="CF82" i="1"/>
  <c r="CF84" i="1" s="1"/>
  <c r="BA189" i="1" l="1"/>
  <c r="CH81" i="1" s="1"/>
  <c r="AZ190" i="1"/>
  <c r="CA97" i="1"/>
  <c r="CM97" i="1"/>
  <c r="CF63" i="1"/>
  <c r="CF79" i="1" s="1"/>
  <c r="CH63" i="1"/>
  <c r="CH79" i="1" s="1"/>
  <c r="CG82" i="1"/>
  <c r="CG84" i="1" s="1"/>
  <c r="BA190" i="1" l="1"/>
  <c r="CI81" i="1" s="1"/>
  <c r="AZ191" i="1"/>
  <c r="CA96" i="1"/>
  <c r="CO96" i="1"/>
  <c r="CH82" i="1"/>
  <c r="CH84" i="1" s="1"/>
  <c r="BA191" i="1" l="1"/>
  <c r="CJ81" i="1" s="1"/>
  <c r="AZ192" i="1"/>
  <c r="CQ95" i="1"/>
  <c r="CI82" i="1"/>
  <c r="CI84" i="1" s="1"/>
  <c r="CA95" i="1"/>
  <c r="CA123" i="1" s="1"/>
  <c r="CA125" i="1" l="1"/>
  <c r="BA192" i="1"/>
  <c r="CK81" i="1" s="1"/>
  <c r="AZ193" i="1"/>
  <c r="CJ82" i="1"/>
  <c r="CJ84" i="1" s="1"/>
  <c r="CQ94" i="1"/>
  <c r="CC94" i="1"/>
  <c r="CC123" i="1" s="1"/>
  <c r="CC125" i="1" s="1"/>
  <c r="BA193" i="1" l="1"/>
  <c r="CL81" i="1" s="1"/>
  <c r="AZ194" i="1"/>
  <c r="CQ93" i="1"/>
  <c r="CK82" i="1"/>
  <c r="CK84" i="1" s="1"/>
  <c r="CE93" i="1"/>
  <c r="CE123" i="1" s="1"/>
  <c r="CE125" i="1" s="1"/>
  <c r="BA194" i="1" l="1"/>
  <c r="CM81" i="1" s="1"/>
  <c r="AZ195" i="1"/>
  <c r="CQ92" i="1"/>
  <c r="CL82" i="1"/>
  <c r="CL84" i="1" s="1"/>
  <c r="CG92" i="1"/>
  <c r="CG123" i="1" s="1"/>
  <c r="CG125" i="1" l="1"/>
  <c r="CM82" i="1"/>
  <c r="CM84" i="1" s="1"/>
  <c r="CI91" i="1"/>
  <c r="CI123" i="1" s="1"/>
  <c r="CI125" i="1" s="1"/>
  <c r="CQ91" i="1"/>
  <c r="BA195" i="1"/>
  <c r="CN81" i="1" s="1"/>
  <c r="AZ196" i="1"/>
  <c r="CQ90" i="1" l="1"/>
  <c r="CN82" i="1"/>
  <c r="CN84" i="1" s="1"/>
  <c r="CK90" i="1"/>
  <c r="CK123" i="1" s="1"/>
  <c r="CK125" i="1" s="1"/>
  <c r="BA196" i="1"/>
  <c r="CO81" i="1" s="1"/>
  <c r="AZ197" i="1"/>
  <c r="CQ89" i="1" l="1"/>
  <c r="CO82" i="1"/>
  <c r="CO84" i="1" s="1"/>
  <c r="CM89" i="1"/>
  <c r="CM123" i="1" s="1"/>
  <c r="BA197" i="1"/>
  <c r="CP81" i="1" s="1"/>
  <c r="AZ198" i="1"/>
  <c r="BA198" i="1" s="1"/>
  <c r="CQ81" i="1" s="1"/>
  <c r="CQ82" i="1" s="1"/>
  <c r="CQ84" i="1" s="1"/>
  <c r="CM125" i="1" l="1"/>
  <c r="CP82" i="1"/>
  <c r="CP84" i="1" s="1"/>
  <c r="CQ88" i="1"/>
  <c r="CQ123" i="1" s="1"/>
  <c r="CO88" i="1"/>
  <c r="CO123" i="1" s="1"/>
  <c r="CO125" i="1" s="1"/>
  <c r="BE85" i="1" l="1"/>
  <c r="BC85" i="1" s="1"/>
  <c r="BD85" i="1" s="1"/>
  <c r="CQ125" i="1"/>
  <c r="L131" i="1" s="1"/>
  <c r="I131" i="1"/>
  <c r="I132" i="1" s="1"/>
  <c r="H47" i="1"/>
  <c r="H48" i="1" s="1"/>
  <c r="K48" i="1" s="1"/>
  <c r="L48" i="1" l="1"/>
  <c r="L49" i="1" l="1"/>
  <c r="K49" i="1"/>
  <c r="L126" i="1" l="1"/>
  <c r="L132" i="1" s="1"/>
  <c r="BE126" i="1" l="1"/>
  <c r="BC126" i="1" s="1"/>
  <c r="BD126" i="1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0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0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0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0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0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0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0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0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0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0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000-00000B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2x5800- отпред на ViRAY
8000-  FRONT OF FR VR</t>
        </r>
      </text>
    </comment>
    <comment ref="D7" authorId="0" shapeId="0" xr:uid="{00000000-0006-0000-0000-00000C000000}">
      <text>
        <r>
          <rPr>
            <b/>
            <sz val="16"/>
            <color indexed="81"/>
            <rFont val="Tahoma"/>
            <family val="2"/>
          </rPr>
          <t>10 000 кг  ViRAY задно</t>
        </r>
      </text>
    </comment>
    <comment ref="E8" authorId="0" shapeId="0" xr:uid="{00000000-0006-0000-0000-00000D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C12" authorId="0" shapeId="0" xr:uid="{00000000-0006-0000-0000-00000E000000}">
      <text>
        <r>
          <rPr>
            <b/>
            <sz val="12"/>
            <color indexed="81"/>
            <rFont val="Tahoma"/>
            <family val="2"/>
          </rPr>
          <t>общо тегло 
кутии+exbar+кабели</t>
        </r>
      </text>
    </comment>
    <comment ref="C13" authorId="0" shapeId="0" xr:uid="{00000000-0006-0000-00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1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1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1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1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1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1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1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1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1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1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100-00000B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2x5800- отпред на ViRAY
8000-  FRONT OF FR VR</t>
        </r>
      </text>
    </comment>
    <comment ref="D7" authorId="0" shapeId="0" xr:uid="{00000000-0006-0000-0100-00000C000000}">
      <text>
        <r>
          <rPr>
            <b/>
            <sz val="16"/>
            <color indexed="81"/>
            <rFont val="Tahoma"/>
            <family val="2"/>
          </rPr>
          <t>10 000 кг  ViRAY задно</t>
        </r>
      </text>
    </comment>
    <comment ref="E8" authorId="0" shapeId="0" xr:uid="{00000000-0006-0000-0100-00000D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C12" authorId="0" shapeId="0" xr:uid="{00000000-0006-0000-0100-00000E000000}">
      <text>
        <r>
          <rPr>
            <b/>
            <sz val="12"/>
            <color indexed="81"/>
            <rFont val="Tahoma"/>
            <family val="2"/>
          </rPr>
          <t>общо тегло 
кутии+exbar+кабели</t>
        </r>
      </text>
    </comment>
    <comment ref="C13" authorId="0" shapeId="0" xr:uid="{00000000-0006-0000-01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ViRAY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2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2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2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2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2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2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2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2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2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</t>
        </r>
      </text>
    </comment>
    <comment ref="D5" authorId="0" shapeId="0" xr:uid="{00000000-0006-0000-02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B15" authorId="0" shapeId="0" xr:uid="{00000000-0006-0000-0200-00000B000000}">
      <text>
        <r>
          <rPr>
            <b/>
            <sz val="14"/>
            <color indexed="81"/>
            <rFont val="Tahoma"/>
            <family val="2"/>
          </rPr>
          <t>5800- SC V F отпред</t>
        </r>
      </text>
    </comment>
    <comment ref="C15" authorId="0" shapeId="0" xr:uid="{00000000-0006-0000-0200-00000C000000}">
      <text>
        <r>
          <rPr>
            <b/>
            <sz val="14"/>
            <color indexed="81"/>
            <rFont val="Tahoma"/>
            <family val="2"/>
          </rPr>
          <t>5800- SC V F отпред</t>
        </r>
      </text>
    </comment>
    <comment ref="D16" authorId="0" shapeId="0" xr:uid="{00000000-0006-0000-0200-00000D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3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3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3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3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3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3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3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3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3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</t>
        </r>
      </text>
    </comment>
    <comment ref="D5" authorId="0" shapeId="0" xr:uid="{00000000-0006-0000-03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B15" authorId="0" shapeId="0" xr:uid="{00000000-0006-0000-0300-00000B000000}">
      <text>
        <r>
          <rPr>
            <b/>
            <sz val="14"/>
            <color indexed="81"/>
            <rFont val="Tahoma"/>
            <family val="2"/>
          </rPr>
          <t>5800- SC V F отпред</t>
        </r>
      </text>
    </comment>
    <comment ref="C15" authorId="0" shapeId="0" xr:uid="{00000000-0006-0000-0300-00000C000000}">
      <text>
        <r>
          <rPr>
            <b/>
            <sz val="14"/>
            <color indexed="81"/>
            <rFont val="Tahoma"/>
            <family val="2"/>
          </rPr>
          <t>5800- SC V F отпред</t>
        </r>
      </text>
    </comment>
    <comment ref="D16" authorId="0" shapeId="0" xr:uid="{00000000-0006-0000-0300-00000D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4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4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4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4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4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4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4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4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4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4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4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4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4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4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4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4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4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N167" authorId="0" shapeId="0" xr:uid="{00000000-0006-0000-0400-000012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491.5- расстояние между горната и долната точка на SC 2F
119- височина на FR AR
смята се от върха на най- горния фрейм- така изчисленията съвпадат с ease focus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5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5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5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5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5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5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5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5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5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5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5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5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5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5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5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5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5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N170" authorId="0" shapeId="0" xr:uid="{00000000-0006-0000-0500-000012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491.5- расстояние между горната и долната точка на SC 2F
119- височина на FR AR
смята се от върха на най- горния фрейм- така изчисленията съвпадат с ease focus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6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6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6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6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6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6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6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6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6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6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6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06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6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06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6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6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6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64" authorId="0" shapeId="0" xr:uid="{00000000-0006-0000-0600-000012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  <comment ref="C171" authorId="0" shapeId="0" xr:uid="{00000000-0006-0000-0600-000013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  <comment ref="AO188" authorId="0" shapeId="0" xr:uid="{00000000-0006-0000-0600-000014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7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7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7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7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7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7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7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7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7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7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7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07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7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07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7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7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7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63" authorId="0" shapeId="0" xr:uid="{00000000-0006-0000-0700-000012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  <comment ref="C171" authorId="0" shapeId="0" xr:uid="{00000000-0006-0000-0700-000013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  <comment ref="AO188" authorId="0" shapeId="0" xr:uid="{00000000-0006-0000-0700-000014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</commentList>
</comments>
</file>

<file path=xl/comments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8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8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8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8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8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8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8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8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8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8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8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8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8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8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8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8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8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1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9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9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9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9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9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9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9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9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9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9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9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9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9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9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9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9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9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1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A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A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A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A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A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A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A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A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A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A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</commentList>
</comments>
</file>

<file path=xl/comments1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B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B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B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B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B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B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B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B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B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B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B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0B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B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0B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B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B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7" authorId="0" shapeId="0" xr:uid="{00000000-0006-0000-0B00-000011000000}">
      <text>
        <r>
          <rPr>
            <sz val="14"/>
            <color indexed="81"/>
            <rFont val="Tahoma"/>
            <family val="2"/>
          </rPr>
          <t>тегло на системаат  ViRAY + VR AR LINK</t>
        </r>
      </text>
    </comment>
    <comment ref="C18" authorId="0" shapeId="0" xr:uid="{00000000-0006-0000-0B00-000012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2" authorId="0" shapeId="0" xr:uid="{00000000-0006-0000-0B00-000013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63" authorId="0" shapeId="0" xr:uid="{00000000-0006-0000-0B00-000014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  <comment ref="C170" authorId="0" shapeId="0" xr:uid="{00000000-0006-0000-0B00-000015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  <comment ref="AO187" authorId="0" shapeId="0" xr:uid="{00000000-0006-0000-0B00-000016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</commentList>
</comments>
</file>

<file path=xl/comments1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C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C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C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C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C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C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C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C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C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C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C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0C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C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0C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C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C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7" authorId="0" shapeId="0" xr:uid="{00000000-0006-0000-0C00-000011000000}">
      <text>
        <r>
          <rPr>
            <sz val="14"/>
            <color indexed="81"/>
            <rFont val="Tahoma"/>
            <family val="2"/>
          </rPr>
          <t>тегло на системаат  ViRAY + VR AR LINK</t>
        </r>
      </text>
    </comment>
    <comment ref="C18" authorId="0" shapeId="0" xr:uid="{00000000-0006-0000-0C00-000012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2" authorId="0" shapeId="0" xr:uid="{00000000-0006-0000-0C00-000013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63" authorId="0" shapeId="0" xr:uid="{00000000-0006-0000-0C00-000014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  <comment ref="C170" authorId="0" shapeId="0" xr:uid="{00000000-0006-0000-0C00-000015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  <comment ref="AO187" authorId="0" shapeId="0" xr:uid="{00000000-0006-0000-0C00-000016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</commentList>
</comments>
</file>

<file path=xl/comments1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D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D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D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D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D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D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D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D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D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D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AN173" authorId="0" shapeId="0" xr:uid="{00000000-0006-0000-0D00-00000B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358.5-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</commentList>
</comments>
</file>

<file path=xl/comments1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E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E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E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E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E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E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E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E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E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E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E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0E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E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0E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E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E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7" authorId="0" shapeId="0" xr:uid="{00000000-0006-0000-0E00-000011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8" authorId="0" shapeId="0" xr:uid="{00000000-0006-0000-0E00-000012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2" authorId="0" shapeId="0" xr:uid="{00000000-0006-0000-0E00-000013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59" authorId="0" shapeId="0" xr:uid="{00000000-0006-0000-0E00-000014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491.5 - расстояние между горната и долната точка на SC 2F
119- височина на FR AR
смята се от върха на най- горния фрейм- така изчисленията съвпадат с ease focus</t>
        </r>
      </text>
    </comment>
  </commentList>
</comments>
</file>

<file path=xl/comments1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F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F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F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F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F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F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F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F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F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F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F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0F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F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0F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F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F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7" authorId="0" shapeId="0" xr:uid="{00000000-0006-0000-0F00-000011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8" authorId="0" shapeId="0" xr:uid="{00000000-0006-0000-0F00-000012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2" authorId="0" shapeId="0" xr:uid="{00000000-0006-0000-0F00-000013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60" authorId="0" shapeId="0" xr:uid="{00000000-0006-0000-0F00-000014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491.5 - расстояние между горната и долната точка на SC 2F
119- височина на FR AR
смята се от върха на най- горния фрейм- така изчисленията съвпадат с ease focus</t>
        </r>
      </text>
    </comment>
  </commentList>
</comments>
</file>

<file path=xl/comments1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10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10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10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10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10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10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10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10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10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10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10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10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10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10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10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10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7" authorId="0" shapeId="0" xr:uid="{00000000-0006-0000-1000-000011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8" authorId="0" shapeId="0" xr:uid="{00000000-0006-0000-1000-000012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2" authorId="0" shapeId="0" xr:uid="{00000000-0006-0000-1000-000013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68" authorId="0" shapeId="0" xr:uid="{00000000-0006-0000-1000-000014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491.5 - расстояние между горната и долната точка на SC 2F
119- височина на FR AR
смята се от върха на най- горния фрейм- така изчисленията съвпадат с ease focus</t>
        </r>
      </text>
    </comment>
  </commentList>
</comments>
</file>

<file path=xl/comments1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11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11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11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11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11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11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11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11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11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11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11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11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11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11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11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11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7" authorId="0" shapeId="0" xr:uid="{00000000-0006-0000-1100-000011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8" authorId="0" shapeId="0" xr:uid="{00000000-0006-0000-1100-000012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2" authorId="0" shapeId="0" xr:uid="{00000000-0006-0000-1100-000013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68" authorId="0" shapeId="0" xr:uid="{00000000-0006-0000-1100-000014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491.5 - расстояние между горната и долната точка на SC 2F
119- височина на FR AR
смята се от върха на най- горния фрейм- така изчисленията съвпадат с ease focus</t>
        </r>
      </text>
    </comment>
  </commentList>
</comments>
</file>

<file path=xl/comments1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12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12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12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12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12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12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12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12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12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12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12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12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12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12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5" authorId="0" shapeId="0" xr:uid="{00000000-0006-0000-12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1200-000010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63" authorId="0" shapeId="0" xr:uid="{00000000-0006-0000-1200-000011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  <comment ref="C171" authorId="0" shapeId="0" xr:uid="{00000000-0006-0000-1200-000012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  <comment ref="AO188" authorId="0" shapeId="0" xr:uid="{00000000-0006-0000-1200-000013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</commentList>
</comments>
</file>

<file path=xl/comments2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13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13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13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13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13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13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13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13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13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13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13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13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13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SC2 F системата SC2 F
+ FR AR</t>
        </r>
      </text>
    </comment>
    <comment ref="C12" authorId="0" shapeId="0" xr:uid="{00000000-0006-0000-13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5" authorId="0" shapeId="0" xr:uid="{00000000-0006-0000-13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6" authorId="0" shapeId="0" xr:uid="{00000000-0006-0000-1300-000010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E20" authorId="0" shapeId="0" xr:uid="{00000000-0006-0000-13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64" authorId="0" shapeId="0" xr:uid="{00000000-0006-0000-1300-000012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  <comment ref="C171" authorId="0" shapeId="0" xr:uid="{00000000-0006-0000-1300-000013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  <comment ref="AO188" authorId="0" shapeId="0" xr:uid="{00000000-0006-0000-1300-000014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</commentList>
</comments>
</file>

<file path=xl/comments2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14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14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14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14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14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14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14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14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14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14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14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14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14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14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5" authorId="0" shapeId="0" xr:uid="{00000000-0006-0000-14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8" authorId="0" shapeId="0" xr:uid="{00000000-0006-0000-14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2" authorId="0" shapeId="0" xr:uid="{00000000-0006-0000-14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59" authorId="0" shapeId="0" xr:uid="{00000000-0006-0000-1400-000012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491.5 - расстояние между горната и долната точка на SC 2F
119- височина на FR AR
смята се от върха на най- горния фрейм- така изчисленията съвпадат с ease focus</t>
        </r>
      </text>
    </comment>
  </commentList>
</comments>
</file>

<file path=xl/comments2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15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15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15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15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15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15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15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15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15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15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15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15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15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15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15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15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7" authorId="0" shapeId="0" xr:uid="{00000000-0006-0000-1500-000011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8" authorId="0" shapeId="0" xr:uid="{00000000-0006-0000-1500-000012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2" authorId="0" shapeId="0" xr:uid="{00000000-0006-0000-1500-000013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60" authorId="0" shapeId="0" xr:uid="{00000000-0006-0000-1500-000014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491.5 - расстояние между горната и долната точка на SC 2F
119- височина на FR AR
смята се от върха на най- горния фрейм- така изчисленията съвпадат с ease focus</t>
        </r>
      </text>
    </comment>
  </commentList>
</comments>
</file>

<file path=xl/comments2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16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16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16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16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16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16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16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16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16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16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16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16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16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16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16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16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7" authorId="0" shapeId="0" xr:uid="{00000000-0006-0000-1600-000011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9" authorId="0" shapeId="0" xr:uid="{00000000-0006-0000-1600-000012000000}">
      <text>
        <r>
          <rPr>
            <sz val="14"/>
            <color indexed="81"/>
            <rFont val="Tahoma"/>
            <family val="2"/>
          </rPr>
          <t>тегло на системаат  ViRAY + VR AR LINK</t>
        </r>
      </text>
    </comment>
    <comment ref="C20" authorId="0" shapeId="0" xr:uid="{00000000-0006-0000-1600-000013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4" authorId="0" shapeId="0" xr:uid="{00000000-0006-0000-1600-000014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65" authorId="0" shapeId="0" xr:uid="{00000000-0006-0000-1600-000015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  <comment ref="C172" authorId="0" shapeId="0" xr:uid="{00000000-0006-0000-1600-000016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  <comment ref="AO189" authorId="0" shapeId="0" xr:uid="{00000000-0006-0000-1600-000017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</commentList>
</comments>
</file>

<file path=xl/sharedStrings.xml><?xml version="1.0" encoding="utf-8"?>
<sst xmlns="http://schemas.openxmlformats.org/spreadsheetml/2006/main" count="7806" uniqueCount="371">
  <si>
    <t>b</t>
  </si>
  <si>
    <t>k</t>
  </si>
  <si>
    <t>b/2</t>
  </si>
  <si>
    <t>sin b/2</t>
  </si>
  <si>
    <t>d</t>
  </si>
  <si>
    <t>2c</t>
  </si>
  <si>
    <t>e=a/2</t>
  </si>
  <si>
    <t>sin(e)</t>
  </si>
  <si>
    <t>c=sin(b/2)*d</t>
  </si>
  <si>
    <t>f=sin(e)*2c</t>
  </si>
  <si>
    <t>g center of  mass -x</t>
  </si>
  <si>
    <t>h=g+f</t>
  </si>
  <si>
    <t>center of mass X</t>
  </si>
  <si>
    <t>a-angle</t>
  </si>
  <si>
    <t>a</t>
  </si>
  <si>
    <t>L</t>
  </si>
  <si>
    <t>G</t>
  </si>
  <si>
    <t>kg</t>
  </si>
  <si>
    <t xml:space="preserve">G </t>
  </si>
  <si>
    <t xml:space="preserve">L </t>
  </si>
  <si>
    <t>Fa=((L-a)/L)*G</t>
  </si>
  <si>
    <t>Fb=(a/L)*G</t>
  </si>
  <si>
    <t>enter the value of a-angle</t>
  </si>
  <si>
    <t>front</t>
  </si>
  <si>
    <t>rear</t>
  </si>
  <si>
    <t>Weight total:</t>
  </si>
  <si>
    <t>L(2motors)=</t>
  </si>
  <si>
    <t>2 motors, kg</t>
  </si>
  <si>
    <t>front motor</t>
  </si>
  <si>
    <t>rear motor</t>
  </si>
  <si>
    <t>enter the number of cabinets from 1 up to 12</t>
  </si>
  <si>
    <t>a - общ ъгъл</t>
  </si>
  <si>
    <t>sin t</t>
  </si>
  <si>
    <t>m= sin t *n(const)</t>
  </si>
  <si>
    <t>sin r</t>
  </si>
  <si>
    <t>p= sin r *q(const)</t>
  </si>
  <si>
    <t xml:space="preserve">g - тегло на боксожете под тази </t>
  </si>
  <si>
    <t>L=m+n</t>
  </si>
  <si>
    <t>z- център на тежест на боксовете след него спрямо първата колона</t>
  </si>
  <si>
    <t>J=x-p</t>
  </si>
  <si>
    <t>A=z-J</t>
  </si>
  <si>
    <t>Fa=((L-A)/L)*G</t>
  </si>
  <si>
    <t>Fb=(A/L)*G</t>
  </si>
  <si>
    <t>от тук на долу, ако AJ е отрицателно стойността на клетката да е 0.3, ако е положително да е нула</t>
  </si>
  <si>
    <t>синьо</t>
  </si>
  <si>
    <t>the real angle between the cabinets when pining in the groundstacking hole</t>
  </si>
  <si>
    <t>L=m+p</t>
  </si>
  <si>
    <t xml:space="preserve">g SC8 - тегло на боксожете под тази </t>
  </si>
  <si>
    <t xml:space="preserve">x= (SUM Gi*xi)/G
</t>
  </si>
  <si>
    <t>Asc8=z-J</t>
  </si>
  <si>
    <t>Asc8+la12 =x-J</t>
  </si>
  <si>
    <t>НЕ РАБОТИ ЦВЕТОВЕТЕ!!!</t>
  </si>
  <si>
    <t>k - safety factor</t>
  </si>
  <si>
    <t>ViRAY</t>
  </si>
  <si>
    <t>from 0 to 10</t>
  </si>
  <si>
    <t>G,kg</t>
  </si>
  <si>
    <t>L,mm</t>
  </si>
  <si>
    <t>a,mm</t>
  </si>
  <si>
    <t>center  om mass от R напред</t>
  </si>
  <si>
    <t>center  om mass от А назад</t>
  </si>
  <si>
    <t>t= 69.34-a</t>
  </si>
  <si>
    <t>r= 50.17+a</t>
  </si>
  <si>
    <t>G , SCV F</t>
  </si>
  <si>
    <t>L , SCV F</t>
  </si>
  <si>
    <t>kg.</t>
  </si>
  <si>
    <t>SCV F</t>
  </si>
  <si>
    <t>x ViRAY</t>
  </si>
  <si>
    <t>t= 54.501+a</t>
  </si>
  <si>
    <t>r= 58.73-a</t>
  </si>
  <si>
    <t xml:space="preserve">g SCV F- тегло на боксожете под тази </t>
  </si>
  <si>
    <t>A SCV F=z-J</t>
  </si>
  <si>
    <t>A ViRAY+SCV F =x-J</t>
  </si>
  <si>
    <t>J=x-m</t>
  </si>
  <si>
    <t>b=k+a</t>
  </si>
  <si>
    <t>destroying force VR VR</t>
  </si>
  <si>
    <t>destroying force   SC VF, kg</t>
  </si>
  <si>
    <t>destroying force, kg ViRAY</t>
  </si>
  <si>
    <t>destroying force, kg SCV F</t>
  </si>
  <si>
    <t>destroying force, kg FR VR</t>
  </si>
  <si>
    <t>ОБЩ ЪГЪЛ</t>
  </si>
  <si>
    <t>enter 0 or 2.5 or 5</t>
  </si>
  <si>
    <t>x la 12</t>
  </si>
  <si>
    <t>САМО ЗА LA 12 и ЛА 8</t>
  </si>
  <si>
    <t>G
g LA 12 - тегло на боксожете под тази LA12+LA 8</t>
  </si>
  <si>
    <t>Ala12+la8 =x-J</t>
  </si>
  <si>
    <t>x la 8</t>
  </si>
  <si>
    <t>destroying force FR VR</t>
  </si>
  <si>
    <t>n</t>
  </si>
  <si>
    <t>kn</t>
  </si>
  <si>
    <t>kn-a</t>
  </si>
  <si>
    <t>cos(kn-a)</t>
  </si>
  <si>
    <t>x=cos(kn-a)*n</t>
  </si>
  <si>
    <t>h=x</t>
  </si>
  <si>
    <t>пресмятане на отместването  на център на тежеста на следващата система(за да се сумират двете системи)</t>
  </si>
  <si>
    <t>ъгъл</t>
  </si>
  <si>
    <t>j=cosv*n</t>
  </si>
  <si>
    <t>q=z-j</t>
  </si>
  <si>
    <t>v, SC VF</t>
  </si>
  <si>
    <t>n SC VF</t>
  </si>
  <si>
    <t>най-долната колона</t>
  </si>
  <si>
    <t>j=cosv*d</t>
  </si>
  <si>
    <t>z- център на тежест на боксовете след него спрямо първата колона от горния array(началото на ккординатната система)</t>
  </si>
  <si>
    <t>z- център на тежест на боксовете след него спрямо първата колона от най -горния array(началото на ккординатната система)</t>
  </si>
  <si>
    <t>координата на предната точка на последната колона;
пресмятане на отместването  на център на тежеста на следващата система(за да се сумират двете системи)</t>
  </si>
  <si>
    <t>Lx</t>
  </si>
  <si>
    <t>Lo</t>
  </si>
  <si>
    <t>Ao</t>
  </si>
  <si>
    <t>r= 59.2910 -a</t>
  </si>
  <si>
    <t>t= 53.7795950°+a</t>
  </si>
  <si>
    <t>SC2 F</t>
  </si>
  <si>
    <t>n SC 2F</t>
  </si>
  <si>
    <t>v, SC 2F</t>
  </si>
  <si>
    <t>G , SC2 F</t>
  </si>
  <si>
    <t>a(2motors)=a1-47.5</t>
  </si>
  <si>
    <t>L(2motors) 
with exbar in front or at the back and ADS</t>
  </si>
  <si>
    <t>a(2motors)with 
exbar in front =a+425.5</t>
  </si>
  <si>
    <t>enter the angle of frame FR AR</t>
  </si>
  <si>
    <t>AiRAY</t>
  </si>
  <si>
    <t>enter the number of cabinets from 1 up to 20</t>
  </si>
  <si>
    <t>from -2 to 4</t>
  </si>
  <si>
    <t>t= 66.25-a</t>
  </si>
  <si>
    <t>r= 50.018+a</t>
  </si>
  <si>
    <t>пресмятане на разстоянието между центъра на тежеста спрямо първия отвор за шегел на фрейма</t>
  </si>
  <si>
    <t>with EXBAR AR in the middle</t>
  </si>
  <si>
    <t>1 motor -2 points
with EXBAR АR and ADS</t>
  </si>
  <si>
    <t>1 motor- 2 points
with EXBAR AR in the middle</t>
  </si>
  <si>
    <t>with ADS and EXBAR AR at the back</t>
  </si>
  <si>
    <t>Total weight includes: AiRAY, FR AR ( 31 kg), EXBAR AR (4.5 kg),ADS(0.5 kg), Main LS Cables (30 kg)</t>
  </si>
  <si>
    <t>safety factor of FR AR</t>
  </si>
  <si>
    <t>1 motor - 1 point</t>
  </si>
  <si>
    <t>0; 0.5; 1; 2; 2.5; 3; 4; 5; 6; 7; 8</t>
  </si>
  <si>
    <t>Total weight includes: SCV F, FR AR ( 31 kg), EXBAR AR (4.5 kg),ADS(0.5 kg), Main LS Cables (30 kg)</t>
  </si>
  <si>
    <t>G , AiRAY</t>
  </si>
  <si>
    <t>L, AiRAY</t>
  </si>
  <si>
    <t>x AiRAY</t>
  </si>
  <si>
    <t>САМО ЗА SCV F И AiRAY</t>
  </si>
  <si>
    <t>G
g SCV F - тегло на боксожете под тази +AiRAY</t>
  </si>
  <si>
    <t>Total weight includes: AiRAY, SCV-F,2x FR AR ( 2x31 kg), EXBAR AR (4.5 kg),ADS(0.5 kg), Main LS Cables (30 kg)</t>
  </si>
  <si>
    <t>with EXBAR AR at the front</t>
  </si>
  <si>
    <t>ARAY</t>
  </si>
  <si>
    <t>v, AiRAY</t>
  </si>
  <si>
    <t>d AiRAY</t>
  </si>
  <si>
    <t>m= sin t *n(const304.3209)</t>
  </si>
  <si>
    <t>p= sin r *q(const279.0605)</t>
  </si>
  <si>
    <t xml:space="preserve">G
ARAY+SCV F - тегло на боксожете под тази </t>
  </si>
  <si>
    <t>A AiRAY+SCV F+AiRAY =x-J</t>
  </si>
  <si>
    <t>G
g SCV F + AiRAY - тегло на боксожете под тази +LA12</t>
  </si>
  <si>
    <t>Total weight includes: AiRAY, SCV-F,3x FR AR ( 3x31 kg), EXBAR AR (4.5kg),ADS (0.5 kg), Main LS Cables (30 kg)</t>
  </si>
  <si>
    <t xml:space="preserve">g SC2 F- тегло на боксожете под тази </t>
  </si>
  <si>
    <t>G , SC2  F</t>
  </si>
  <si>
    <t>L , SC2 F</t>
  </si>
  <si>
    <t>Total weight includes: AiRAY, SC2 F,2x FR AR ( 2x31 kg), EXBAR AR (4.5 kg),ADS(0.5 kg), Main LS Cables (30 kg)</t>
  </si>
  <si>
    <t>Total weight includes: SC2 F, FR AR ( 31 kg), EXBAR AR (4.5 kg),ADS(0.5 kg), Main LS Cables (30 kg)</t>
  </si>
  <si>
    <t>Total weight includes: AiRAY, SC2 F,3x FR AR ( 3x31 kg), EXBAR AR (4.5kg),ADS (0.5 kg), Main LS Cables (30 kg)</t>
  </si>
  <si>
    <t xml:space="preserve">g SC 2F - тегло на боксожете под тази </t>
  </si>
  <si>
    <t>G
g SC2 F + AiRAY - тегло на боксожете под тази +LA12</t>
  </si>
  <si>
    <t>n, AiRAY</t>
  </si>
  <si>
    <t>enter the number of cabinets from 1 up to 8</t>
  </si>
  <si>
    <t>0; 0.5; 1; 2; 2.5; 3; 4.5; 5.5; 6.5; 8; 9</t>
  </si>
  <si>
    <t>destroying force, kg AiRAY</t>
  </si>
  <si>
    <t>AiRAY, ViRAY</t>
  </si>
  <si>
    <t>destroying force, kg FR AR</t>
  </si>
  <si>
    <t>Total weight includes: AiRAY, ViRAY, FR AR ( 31 kg), EXBAR AR (4.5kg),ADS (0.5 kg), VR AR LINK (1.3 kg), Main LS Cables (30 kg)</t>
  </si>
  <si>
    <t>ONLY 0</t>
  </si>
  <si>
    <t>Total weight includes: AiRAY, SC2 F, FR AR ( 31 kg), EXBAR AR (4.5 kg),ADS(0.5 kg),AR LINK (2.3 kg) Main LS Cables (30 kg)</t>
  </si>
  <si>
    <t>Total weight includes: AiRAY, SCV-F, FR AR ( 31 kg), EXBAR AR (4.5 kg),ADS(0.5 kg), AR LINK (2.3 kg) Main LS Cables (30 kg)</t>
  </si>
  <si>
    <t>G , ViRAY</t>
  </si>
  <si>
    <t>Total weight includes:  SC2 F, AiRAY, ViRAY, 2x FR AR ( 2x31 kg), EXBAR AR (4.5kg),ADS (0.5 kg), VR AR LINK (1.3kg.) Main LS Cables (30 kg)</t>
  </si>
  <si>
    <t>G , SC VF</t>
  </si>
  <si>
    <t>L , SC VF</t>
  </si>
  <si>
    <t>Total weight includes:  SCV F, AiRAY, ViRAY, 2x FR AR ( 2x31 kg), EXBAR AR (4.5kg),ADS (0.5 kg), VR AR LINK (1.3kg.) Main LS Cables (30 kg)</t>
  </si>
  <si>
    <t>from -5 to 5</t>
  </si>
  <si>
    <t>enter the number of cabinets from 1 up to 24</t>
  </si>
  <si>
    <t>from 0 to 5</t>
  </si>
  <si>
    <t>изчисляване на центъра на тежеста на FR AR</t>
  </si>
  <si>
    <t>k- const</t>
  </si>
  <si>
    <t>f-ъгъл</t>
  </si>
  <si>
    <t>cos(f)</t>
  </si>
  <si>
    <t>изчисляване на центъра на тежеста на системата FR AR и АiRAY</t>
  </si>
  <si>
    <t>x= (SUM Gi*xi)/G</t>
  </si>
  <si>
    <t>with EXBAR AR at the front and ADS</t>
  </si>
  <si>
    <t>x=cos(f)*n(const)
n=378.71303 за FR AR</t>
  </si>
  <si>
    <t>enter the angle of frame FRT AR</t>
  </si>
  <si>
    <t>изчисляване на центъра на тежеста на FRT AR</t>
  </si>
  <si>
    <t>изчисляване на центъра на тежеста на системата FRT AR и АiRAY</t>
  </si>
  <si>
    <t>EASE Focus Index</t>
  </si>
  <si>
    <t>safety factor of  FTR AR</t>
  </si>
  <si>
    <t>Total weight includes: AiRAY, FRT AR ( 19 kg), EXBAR AR (4.5 kg),ADS(0.5 kg), Main LS Cables (30 kg)</t>
  </si>
  <si>
    <t>изчисляване на центъра на тежеста на системата FR AR + АiRAY+ SC VF</t>
  </si>
  <si>
    <t>изчисляване на центъра на тежеста на FR AR спрямо най- горния FR AR</t>
  </si>
  <si>
    <t>изчисляване на центъра на тежеста на FR AR спрямо неговата нула</t>
  </si>
  <si>
    <t>РАЗСТОЯНИЕ</t>
  </si>
  <si>
    <t>n=sin(a)*((броя на колоните *491.5)+119+119)
n=378.71303 за FR AR</t>
  </si>
  <si>
    <t>sin(a)</t>
  </si>
  <si>
    <t>a- общ ъгъл</t>
  </si>
  <si>
    <t>изчисляване на центъра на тежеста на FR AR спрямо най- горния FR AR - началото на координатната си-ма</t>
  </si>
  <si>
    <t xml:space="preserve">G-ARAY+SCV F - тегло на боксожете под тази </t>
  </si>
  <si>
    <t>n=sin(a)*((броя на колоните *358.6)+119+119)
n=378.71303 за FR AR</t>
  </si>
  <si>
    <t>X- НА ПЪРВИЯ ФРЕЙМ</t>
  </si>
  <si>
    <t>изчисляване на центъра на тежеста на ВТОРИЯ  FR AR спрямо най- горния FR AR</t>
  </si>
  <si>
    <t>изчисляване на центъра на тежеста на ВТОРИЯ FR AR спрямо неговата нула</t>
  </si>
  <si>
    <t>изчисляване на центъра на тежеста на ТРЕТИЯ FR AR спрямо неговата нула</t>
  </si>
  <si>
    <t>изчисляване на центъра на тежеста на ТРЕТИЯ  FR AR спрямо най- горния FR AR</t>
  </si>
  <si>
    <t>n=sin(a)*((броя на колоните AiRAY*358.6)+(броя на колоните SCV F*491.5)+119+119+119)
n=378.71303 за FR AR</t>
  </si>
  <si>
    <t>n=sin(a)*((броя на колоните *358.6)+119)
n=378.71303 за FR AR</t>
  </si>
  <si>
    <t>Total weight includes: AiRAY, ViRAY, 2 x FR AR ( 2x 31 kg), EXBAR AR (4.5kg),ADS (0.5 kg),  Main LS Cables (30 kg)</t>
  </si>
  <si>
    <t>n=sin(a)*((броя на колоните *491.5)+119)
n=378.71303 за FR AR</t>
  </si>
  <si>
    <t>L, ViRAY</t>
  </si>
  <si>
    <t>САМО ЗА  AiRAY И ViRAY</t>
  </si>
  <si>
    <t>Total weight includes: AiRAY, SC2 F,ViRAY,3x FR AR ( 3x31 kg), EXBAR AR (4.5kg),ADS (0.5 kg),VR AR LINK (1.3 kg), Main LS Cables (30 kg)</t>
  </si>
  <si>
    <t>Total weight includes: AiRAY, SC2 F, ViRAY, 4x FR AR ( 3x31 kg), EXBAR AR (4.5kg),ADS (0.5 kg), Main LS Cables (30 kg)</t>
  </si>
  <si>
    <t>enter the number of cabinets from 1 up to 10</t>
  </si>
  <si>
    <t>коеф ex (за EXBAR AR)</t>
  </si>
  <si>
    <t>коеф ex (за EXBAR AR) между пиновете</t>
  </si>
  <si>
    <t>конста за AR</t>
  </si>
  <si>
    <t>F  пин3</t>
  </si>
  <si>
    <t>F  пин4</t>
  </si>
  <si>
    <t>F  пин1</t>
  </si>
  <si>
    <t>F  пин1 (ADS)</t>
  </si>
  <si>
    <t>sas- разстояние</t>
  </si>
  <si>
    <t>WWL на EXBAR пина</t>
  </si>
  <si>
    <t>safety според огъването на middle bar</t>
  </si>
  <si>
    <t>safety според силата в пина</t>
  </si>
  <si>
    <t>сила, кг</t>
  </si>
  <si>
    <t>F  пин4 (ADS)</t>
  </si>
  <si>
    <t>F  пин2</t>
  </si>
  <si>
    <t>Lo ex за 2 (за EXBAR AR)</t>
  </si>
  <si>
    <t>Lo ex за 1 (за EXBAR AR)</t>
  </si>
  <si>
    <t>1.Изчисляване на силата при ексбар отпред и  ADS отзад</t>
  </si>
  <si>
    <t>a pin ex за 1,2,5 (за EXBAR AR)</t>
  </si>
  <si>
    <t>w за 1и 2 и 5 (за EXBAR AR)</t>
  </si>
  <si>
    <t>Lo ex за 5 (за EXBAR AR отпред)</t>
  </si>
  <si>
    <t>5.Изчисляване на силата при ексбар отпред отвори от 17до 7</t>
  </si>
  <si>
    <t>конста за AR(LT)</t>
  </si>
  <si>
    <t>Lo ex за 5 (за EXBAR AR отзад)</t>
  </si>
  <si>
    <t>2.Изчисляване на силата при ексбар отзад и  ADS отпред</t>
  </si>
  <si>
    <t>safety factor of FR A
от 17 до 7</t>
  </si>
  <si>
    <t>safety factor of FR A
от 9 до 17</t>
  </si>
  <si>
    <t>safety factor of FR A
от 1до 17</t>
  </si>
  <si>
    <t>safety factor of FR A
от 17 до 1</t>
  </si>
  <si>
    <t>safety factor of FR A
от 1 до 17</t>
  </si>
  <si>
    <t>6.Изчисляване на силата при ексбар отзад  когато и двете точки са на EXBARA</t>
  </si>
  <si>
    <t>F  пин4(ADS)</t>
  </si>
  <si>
    <t>Lo ex за 6 (за EXBAR AR отпред)</t>
  </si>
  <si>
    <t>F  пин1(ADS)</t>
  </si>
  <si>
    <t>НОМЕР НА ОТВОР</t>
  </si>
  <si>
    <t>ПРИ 2 ТОЧКИ НА EXBAR ОТПРЕД</t>
  </si>
  <si>
    <t>ПРИ 2 ТОЧКИ НА EXBARA
ОТЗАД</t>
  </si>
  <si>
    <t>ПРИ 1 ТОЧКИ НА EXBAR ОТПРЕД И ADS ОТЗАД</t>
  </si>
  <si>
    <t>ПРИ 1 ТОЧКИ НА EXBAR ОТЗАД И ADS ОТПРЕД</t>
  </si>
  <si>
    <t>БРОЙ  ОТВОРИ -1</t>
  </si>
  <si>
    <t>5,6</t>
  </si>
  <si>
    <t>1 и 15</t>
  </si>
  <si>
    <t>ПРИ ADS отпред и ADS отзад</t>
  </si>
  <si>
    <t>51.Изчисляване на силата при ексбар отзад отвори от 9 до 17</t>
  </si>
  <si>
    <t>61.Изчисляване на силата при ексбар отПРЕД, когато и двете точки са на EXBARA</t>
  </si>
  <si>
    <t>62.Изчисляване на силата при ексбар отПРЕД, когато 1 точкa e на EXBARA</t>
  </si>
  <si>
    <t>63.Изчисляване на силата при ексбар ОТЗАД когато 1 точкa e на EXBARA</t>
  </si>
  <si>
    <t>64.Изчисляване на силата при ADS отпред и ADS отзад</t>
  </si>
  <si>
    <t>конста за AR - между 2 ADS- A - за 64</t>
  </si>
  <si>
    <t>махнати кавичките на числата от BG до CQ</t>
  </si>
  <si>
    <t>тези се оправят също</t>
  </si>
  <si>
    <t>отпред</t>
  </si>
  <si>
    <t>отзад</t>
  </si>
  <si>
    <t>махнати кавичките на числата от 5</t>
  </si>
  <si>
    <t>махнати кавичките на числата от 6</t>
  </si>
  <si>
    <t>ИЗВАЖДАМ ТЕГЛОТО НА ВТОРИЯ ГРЕЙМ , ЗАЩОТО ВЕЧЕ Е ДОБАВЕН В ОБЩОТО ТЕГЛО</t>
  </si>
  <si>
    <t>ИЗВАЖДАМ ТЕГЛАТА НА ВТОРИЯ И ТРЕТИЯ ГРЕЙМ , ЗАЩОТО ВЕЧЕ СА ДОБАВЕНИ В ОБЩОТО ТЕГЛО</t>
  </si>
  <si>
    <t>enter the angle of frame FR AR  with SA AR on AiRAY</t>
  </si>
  <si>
    <t>enter: -6; -5; -4; -3; -2; -1;   0; 0.5; 1; 2; 2.5; 3; 4</t>
  </si>
  <si>
    <t xml:space="preserve"> ТЕЗИ ЪГЛИ СА ОПРАВЕНИ ЗА AiRAY</t>
  </si>
  <si>
    <t>ИЗВАЖДАМ ТЕГЛАТА НА ВТОРИЯ , ТРЕТИЯ  И ЧЕТВЪРТИЯ ФРЕЙМ , ЗАЩОТО ВЕЧЕ СА ДОБАВЕНИ В ОБЩОТО ТЕГЛО</t>
  </si>
  <si>
    <t>има константи тегла Total weight includes: EXBAR AR (4.5 kg),ADS(0.5 kg), Main LS Cables (30 kg)</t>
  </si>
  <si>
    <t>добавена клетка за AiRAY</t>
  </si>
  <si>
    <t>G , AiRAY+FR AR</t>
  </si>
  <si>
    <t>G , CiRAY</t>
  </si>
  <si>
    <t>добавена клетка за CiRAY</t>
  </si>
  <si>
    <t>L, CiRAY</t>
  </si>
  <si>
    <t>добавена клетка за ViRAY</t>
  </si>
  <si>
    <t>G , ViRAY+VR AR LINK</t>
  </si>
  <si>
    <t>КОНСТАНТА ЗА CiRAY 492.3847</t>
  </si>
  <si>
    <t>Total weight includes: AiRAY, CiRAY, FR AR ( 31 kg), EXBAR AR (4.5kg),ADS (0.5 kg),  Main LS Cables (30 kg)</t>
  </si>
  <si>
    <t>b=k-A</t>
  </si>
  <si>
    <t>САМО ЗА AiRAY И CIRAY</t>
  </si>
  <si>
    <t>взима се теглото на AIRAY от добавената клетак горе вляво</t>
  </si>
  <si>
    <t xml:space="preserve">g AIRAY - тегло на боксожете под тази </t>
  </si>
  <si>
    <t xml:space="preserve">G AiRAY+CIRAY+VIRAY - тегло на боксожете под тази </t>
  </si>
  <si>
    <t>ТАЗИ ТАБЛИЦА НЕ СЕ ПОЛЗВА, ЗАЩОТО ОТПАДА ФРЕЙМА, ИЗПОЛЗВАМ СЪМ ШИИТА ЗА ПОДЛОЖКА</t>
  </si>
  <si>
    <t>enter the number of cabinets from 1 up to 26</t>
  </si>
  <si>
    <t>x CiRAY</t>
  </si>
  <si>
    <t>CiRAY</t>
  </si>
  <si>
    <t>ИМА КОНСТАНТА
251.073172- CiRAY</t>
  </si>
  <si>
    <t>ИМА КОНСТАНТА
65.6361751- CiRAY</t>
  </si>
  <si>
    <t>v, CiRAY</t>
  </si>
  <si>
    <t>d, CiRAY</t>
  </si>
  <si>
    <t>ИМА КОНСТАНТА
75.4990086 за  CiRAY</t>
  </si>
  <si>
    <t>ИМА КОНСТАНТА
290.642868- CiRAY</t>
  </si>
  <si>
    <t>ИМА КОНСТАНТА
57.1819124 за CiRAY</t>
  </si>
  <si>
    <t>ИМА КОНСТАНТА
251.073172 за CiRAY</t>
  </si>
  <si>
    <t>взима се теглото на CIRAY от добавената клетак горе вляво</t>
  </si>
  <si>
    <t>САМО ЗА CIRAY+VIRAY</t>
  </si>
  <si>
    <t>t= 75.4990086-a</t>
  </si>
  <si>
    <t>r= 57.1819124+a</t>
  </si>
  <si>
    <t xml:space="preserve">G
CIRAY+VIRAY - тегло на боксожете под тази </t>
  </si>
  <si>
    <t>A CiRAY+VIRAY =x-J</t>
  </si>
  <si>
    <t>0.5; 1; 2; 2.5; 3; 4; 5; 6; 7; 8; 9; 10</t>
  </si>
  <si>
    <t>Total weight includes: AiRAY, CiRAY, ViRAY, FR AR ( 31 kg), EXBAR AR (4.5kg),ADS (0.5 kg), VR AR LINK (1.3kg.) Main LS Cables (30 kg)</t>
  </si>
  <si>
    <t>взима се теглото на ViRAY от добавената клетак горе вляво</t>
  </si>
  <si>
    <t>0.5 ; 1 ; 2 ; 2.5 ; 3; 4 ; 5 ; 5.5 ;  6.5 ; 7.5 ; 9 ; 10</t>
  </si>
  <si>
    <t>има константи тегла Total weight includes: CiRAY, FR AR ( 31 kg), EXBAR AR (4.5 kg),ADS(0.5 kg), Main LS Cables (30 kg)</t>
  </si>
  <si>
    <t>добавена клетка за SCV-F</t>
  </si>
  <si>
    <t>G , SCV F  на всичките</t>
  </si>
  <si>
    <t>L, AiRAY, CiRAY</t>
  </si>
  <si>
    <t>G , AiRAY+CiRAY</t>
  </si>
  <si>
    <t>Total weight includes: AiRAY, SCV-F, CiRAY, 3x FR AR ( 3x31 kg), EXBAR AR (4.5kg),ADS (0.5 kg), Main LS Cables (30 kg)</t>
  </si>
  <si>
    <t>взима се теглото на AiRAY от добавената клетак горе вляво</t>
  </si>
  <si>
    <t xml:space="preserve">G-ARAY+SCV+CiRAY F - тегло на боксожете под тази </t>
  </si>
  <si>
    <t>A , AiRAY+SCV F+CiRAY =x-J</t>
  </si>
  <si>
    <t>взима се теглото на SCV-F от добавената клетак горе вляво</t>
  </si>
  <si>
    <t xml:space="preserve">g SCV F - тегло на боксожете под тази </t>
  </si>
  <si>
    <t>use the locking pin</t>
  </si>
  <si>
    <t>взима се теглото на CiRAY от добавената клетак горе вляво</t>
  </si>
  <si>
    <t>добавена клетка за SC2-F</t>
  </si>
  <si>
    <t>G , SC2 F всичките</t>
  </si>
  <si>
    <t>Total weight includes: AiRAY, SC2 F, CiRAY, 3x FR AR ( 3x31 kg), EXBAR AR (4.5kg),ADS (0.5 kg), Main LS Cables (30 kg)</t>
  </si>
  <si>
    <t>x АiRAY</t>
  </si>
  <si>
    <t>САМО ЗА SC2 F И AiRAY</t>
  </si>
  <si>
    <t>x</t>
  </si>
  <si>
    <t xml:space="preserve">G
ARAY+SC2 F - тегло на боксожете под тази </t>
  </si>
  <si>
    <t>A AiRAY+SC2 F+CiRAY =x-J</t>
  </si>
  <si>
    <t>взима се теглото на SC2-F от добавената клетак горе вляво</t>
  </si>
  <si>
    <t>A, AiRAY+SCV F =x-J</t>
  </si>
  <si>
    <t>G , SC VF+FR AR</t>
  </si>
  <si>
    <t>Total weight includes:  SCV F, AiRAY, CiRAY, 2x FR AR ( 2x31 kg), EXBAR AR (4.5kg),ADS (0.5 kg), Main LS Cables (30 kg)</t>
  </si>
  <si>
    <t>взима се теглото на SCV от добавената клетак горе вляво</t>
  </si>
  <si>
    <t xml:space="preserve">g SC VF - тегло на боксожете под тази </t>
  </si>
  <si>
    <t xml:space="preserve">G
g SCV F + AiRAY - тегло на боксожете под тази </t>
  </si>
  <si>
    <t>0; 0.5; 1; 2; 2.5; 3; 4; 5; 6; 7; 8; 9</t>
  </si>
  <si>
    <t>G , SC2 F+ FR AR</t>
  </si>
  <si>
    <t>Total weight includes:  SC2 F, AiRAY, CiRAY, 2xFR AR ( 2x31 kg), EXBAR AR (4.5kg),ADS (0.5 kg), Main LS Cables (30 kg)</t>
  </si>
  <si>
    <t>взима се теглото на SC2 от добавената клетак горе вляво</t>
  </si>
  <si>
    <t>G , SC2 F+FR AR</t>
  </si>
  <si>
    <t>G , CiRAY+FR AR</t>
  </si>
  <si>
    <t>G ,ViRAY</t>
  </si>
  <si>
    <t>Total weight includes: AiRAY, SC2 F,CiRAY, ViRAY, 3x FR AR ( 3x31 kg), EXBAR AR (4.5kg),ADS (0.5 kg),VR AR LINK (1.3 kg), Main LS Cables (30 kg)</t>
  </si>
  <si>
    <t>да се проверява формулата</t>
  </si>
  <si>
    <t>тук формулите бяха сгрешени- взимага теглото от "AQ" вместо от "AR"</t>
  </si>
  <si>
    <t>САМО ЗА CIRAY И ViRAY</t>
  </si>
  <si>
    <t>взима се теглото на VIRAY от добавената клетак горе вляво</t>
  </si>
  <si>
    <t>ДА СЕ СКРИЯТ</t>
  </si>
  <si>
    <t>safety според точките на окачване</t>
  </si>
  <si>
    <t>това отпада</t>
  </si>
  <si>
    <t>* 2</t>
  </si>
  <si>
    <t>от моторите</t>
  </si>
  <si>
    <t>общото тегло</t>
  </si>
  <si>
    <t xml:space="preserve">ъгъл константа </t>
  </si>
  <si>
    <t>изчисляване на AR LINK</t>
  </si>
  <si>
    <t>sin(41.231+a)</t>
  </si>
  <si>
    <t>R=Fy/sin (41.231+a)</t>
  </si>
  <si>
    <t>WLL AR LINK- вертикално</t>
  </si>
  <si>
    <t>WLL AR LINK- R-сила по направление</t>
  </si>
  <si>
    <t>изчисляване на VR AR LINK</t>
  </si>
  <si>
    <t>sin(константа+a)</t>
  </si>
  <si>
    <t>WLL VR-AR LINK- вертикално</t>
  </si>
  <si>
    <t>ViRAY спраямо AiRAY</t>
  </si>
  <si>
    <t>WLL VR-AR LINK- R-сила по направление
при 8 градуса с AiRAY е най - малко</t>
  </si>
  <si>
    <t>WLL VR-AR LINK- R нека е същото като CR LINK -2570- по-малкото</t>
  </si>
  <si>
    <t>R=Fy/sin(константа+a)</t>
  </si>
  <si>
    <t>ViRAY спраямо CiRAY</t>
  </si>
  <si>
    <t>WLL VR-AR LINK- R-сила по направление
при 9 градуса с CiRAY е най - малко</t>
  </si>
  <si>
    <t>WLL VR-AR LINK- R-приемаме 2570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</si>
</sst>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00"/>
    <numFmt numFmtId="165" formatCode="0.0"/>
  </numFmts>
  <fonts count="208" x14ac:knownFonts="1">
    <font>
      <sz val="10"/>
      <name val="Arial"/>
    </font>
    <font>
      <sz val="10"/>
      <name val="Arial"/>
      <family val="2"/>
    </font>
    <font>
      <sz val="8"/>
      <name val="Arial"/>
      <family val="2"/>
    </font>
    <font>
      <b/>
      <sz val="10"/>
      <name val="Arial"/>
      <family val="2"/>
    </font>
    <font>
      <b/>
      <sz val="20"/>
      <name val="Arial"/>
      <family val="2"/>
    </font>
    <font>
      <b/>
      <sz val="12"/>
      <name val="Arial"/>
      <family val="2"/>
    </font>
    <font>
      <sz val="14"/>
      <name val="Arial Narrow"/>
      <family val="2"/>
      <charset val="204"/>
    </font>
    <font>
      <b/>
      <sz val="10"/>
      <name val="Arial"/>
      <family val="2"/>
    </font>
    <font>
      <sz val="12"/>
      <name val="Arial"/>
      <family val="2"/>
    </font>
    <font>
      <b/>
      <sz val="12"/>
      <name val="Arial Narrow"/>
      <family val="2"/>
    </font>
    <font>
      <sz val="10"/>
      <name val="Arial"/>
      <family val="2"/>
    </font>
    <font>
      <sz val="11"/>
      <name val="Arial"/>
      <family val="2"/>
    </font>
    <font>
      <b/>
      <sz val="12"/>
      <color indexed="10"/>
      <name val="Arial"/>
      <family val="2"/>
    </font>
    <font>
      <b/>
      <sz val="14"/>
      <name val="Arial Narrow"/>
      <family val="2"/>
    </font>
    <font>
      <b/>
      <sz val="10"/>
      <color indexed="12"/>
      <name val="Arial"/>
      <family val="2"/>
    </font>
    <font>
      <b/>
      <sz val="12"/>
      <color indexed="12"/>
      <name val="Arial"/>
      <family val="2"/>
    </font>
    <font>
      <b/>
      <sz val="20"/>
      <name val="Arial Narrow"/>
      <family val="2"/>
    </font>
    <font>
      <b/>
      <sz val="12"/>
      <name val="Arial"/>
      <family val="2"/>
    </font>
    <font>
      <b/>
      <sz val="12"/>
      <color indexed="11"/>
      <name val="Arial"/>
      <family val="2"/>
    </font>
    <font>
      <sz val="6"/>
      <name val="Arial"/>
      <family val="2"/>
    </font>
    <font>
      <b/>
      <sz val="12"/>
      <color indexed="57"/>
      <name val="Arial"/>
      <family val="2"/>
    </font>
    <font>
      <sz val="10"/>
      <color indexed="57"/>
      <name val="Arial"/>
      <family val="2"/>
    </font>
    <font>
      <b/>
      <sz val="10"/>
      <color indexed="57"/>
      <name val="Arial"/>
      <family val="2"/>
    </font>
    <font>
      <sz val="10"/>
      <color indexed="9"/>
      <name val="Arial"/>
      <family val="2"/>
    </font>
    <font>
      <b/>
      <sz val="12"/>
      <color indexed="57"/>
      <name val="Arial Narrow"/>
      <family val="2"/>
    </font>
    <font>
      <b/>
      <sz val="12"/>
      <color indexed="17"/>
      <name val="Arial"/>
      <family val="2"/>
    </font>
    <font>
      <sz val="10"/>
      <color indexed="17"/>
      <name val="Arial"/>
      <family val="2"/>
    </font>
    <font>
      <sz val="12"/>
      <color indexed="11"/>
      <name val="Arial"/>
      <family val="2"/>
    </font>
    <font>
      <sz val="14"/>
      <name val="Arial"/>
      <family val="2"/>
    </font>
    <font>
      <b/>
      <sz val="10"/>
      <color indexed="10"/>
      <name val="Arial"/>
      <family val="2"/>
    </font>
    <font>
      <b/>
      <sz val="24"/>
      <name val="Arial Narrow"/>
      <family val="2"/>
    </font>
    <font>
      <sz val="24"/>
      <name val="Arial"/>
      <family val="2"/>
    </font>
    <font>
      <b/>
      <sz val="14"/>
      <color indexed="9"/>
      <name val="Arial Narrow"/>
      <family val="2"/>
    </font>
    <font>
      <sz val="10"/>
      <color indexed="9"/>
      <name val="Arial"/>
      <family val="2"/>
    </font>
    <font>
      <b/>
      <sz val="16"/>
      <name val="Arial"/>
      <family val="2"/>
    </font>
    <font>
      <b/>
      <sz val="16"/>
      <name val="Arial Narrow"/>
      <family val="2"/>
    </font>
    <font>
      <sz val="12"/>
      <color indexed="10"/>
      <name val="Arial"/>
      <family val="2"/>
    </font>
    <font>
      <b/>
      <sz val="12"/>
      <color indexed="16"/>
      <name val="Arial"/>
      <family val="2"/>
    </font>
    <font>
      <b/>
      <sz val="10"/>
      <color indexed="48"/>
      <name val="Arial"/>
      <family val="2"/>
    </font>
    <font>
      <b/>
      <sz val="12"/>
      <color indexed="30"/>
      <name val="Arial"/>
      <family val="2"/>
    </font>
    <font>
      <sz val="10"/>
      <color indexed="10"/>
      <name val="Arial"/>
      <family val="2"/>
    </font>
    <font>
      <b/>
      <sz val="12"/>
      <color indexed="48"/>
      <name val="Arial"/>
      <family val="2"/>
    </font>
    <font>
      <b/>
      <sz val="12"/>
      <color indexed="8"/>
      <name val="Arial"/>
      <family val="2"/>
    </font>
    <font>
      <b/>
      <sz val="14"/>
      <name val="Arial"/>
      <family val="2"/>
    </font>
    <font>
      <sz val="14"/>
      <name val="Arial"/>
      <family val="2"/>
    </font>
    <font>
      <b/>
      <sz val="14"/>
      <name val="Arial"/>
      <family val="2"/>
    </font>
    <font>
      <b/>
      <u/>
      <sz val="14"/>
      <color indexed="10"/>
      <name val="Arial"/>
      <family val="2"/>
    </font>
    <font>
      <b/>
      <u/>
      <sz val="14"/>
      <color indexed="57"/>
      <name val="Arial"/>
      <family val="2"/>
    </font>
    <font>
      <u/>
      <sz val="14"/>
      <color indexed="57"/>
      <name val="Arial"/>
      <family val="2"/>
    </font>
    <font>
      <b/>
      <u/>
      <sz val="14"/>
      <name val="Arial"/>
      <family val="2"/>
    </font>
    <font>
      <b/>
      <sz val="11"/>
      <color indexed="81"/>
      <name val="Tahoma"/>
      <family val="2"/>
    </font>
    <font>
      <sz val="11"/>
      <color indexed="81"/>
      <name val="Tahoma"/>
      <family val="2"/>
    </font>
    <font>
      <sz val="9"/>
      <color indexed="81"/>
      <name val="Tahoma"/>
      <family val="2"/>
    </font>
    <font>
      <b/>
      <sz val="12"/>
      <color indexed="81"/>
      <name val="Tahoma"/>
      <family val="2"/>
    </font>
    <font>
      <sz val="12"/>
      <color indexed="81"/>
      <name val="Tahoma"/>
      <family val="2"/>
    </font>
    <font>
      <sz val="16"/>
      <name val="Arial"/>
      <family val="2"/>
    </font>
    <font>
      <b/>
      <sz val="16"/>
      <color indexed="17"/>
      <name val="Arial"/>
      <family val="2"/>
    </font>
    <font>
      <b/>
      <sz val="16"/>
      <color indexed="17"/>
      <name val="Arial Narrow"/>
      <family val="2"/>
    </font>
    <font>
      <b/>
      <sz val="16"/>
      <color indexed="12"/>
      <name val="Arial"/>
      <family val="2"/>
    </font>
    <font>
      <b/>
      <sz val="16"/>
      <color indexed="12"/>
      <name val="Arial Narrow"/>
      <family val="2"/>
    </font>
    <font>
      <b/>
      <sz val="16"/>
      <color indexed="57"/>
      <name val="Arial"/>
      <family val="2"/>
    </font>
    <font>
      <b/>
      <sz val="16"/>
      <color indexed="53"/>
      <name val="Arial"/>
      <family val="2"/>
    </font>
    <font>
      <b/>
      <sz val="16"/>
      <color indexed="53"/>
      <name val="Arial Narrow"/>
      <family val="2"/>
    </font>
    <font>
      <b/>
      <sz val="16"/>
      <color indexed="11"/>
      <name val="Arial"/>
      <family val="2"/>
    </font>
    <font>
      <b/>
      <sz val="12"/>
      <name val="Arial Black"/>
      <family val="2"/>
    </font>
    <font>
      <b/>
      <sz val="14"/>
      <color indexed="12"/>
      <name val="Arial"/>
      <family val="2"/>
    </font>
    <font>
      <b/>
      <sz val="14"/>
      <color indexed="57"/>
      <name val="Arial"/>
      <family val="2"/>
    </font>
    <font>
      <b/>
      <sz val="14"/>
      <color indexed="10"/>
      <name val="Arial"/>
      <family val="2"/>
    </font>
    <font>
      <b/>
      <sz val="14"/>
      <color indexed="81"/>
      <name val="Tahoma"/>
      <family val="2"/>
    </font>
    <font>
      <sz val="14"/>
      <color indexed="81"/>
      <name val="Tahoma"/>
      <family val="2"/>
    </font>
    <font>
      <sz val="14"/>
      <color indexed="10"/>
      <name val="Arial"/>
      <family val="2"/>
    </font>
    <font>
      <b/>
      <sz val="14"/>
      <color indexed="48"/>
      <name val="Arial"/>
      <family val="2"/>
    </font>
    <font>
      <b/>
      <sz val="14"/>
      <color indexed="16"/>
      <name val="Arial"/>
      <family val="2"/>
    </font>
    <font>
      <b/>
      <sz val="16"/>
      <color indexed="10"/>
      <name val="Arial"/>
      <family val="2"/>
    </font>
    <font>
      <b/>
      <u/>
      <sz val="16"/>
      <name val="Arial"/>
      <family val="2"/>
    </font>
    <font>
      <b/>
      <sz val="16"/>
      <color indexed="81"/>
      <name val="Tahoma"/>
      <family val="2"/>
    </font>
    <font>
      <b/>
      <sz val="16"/>
      <color indexed="14"/>
      <name val="Arial"/>
      <family val="2"/>
    </font>
    <font>
      <b/>
      <sz val="10"/>
      <color indexed="14"/>
      <name val="Arial"/>
      <family val="2"/>
    </font>
    <font>
      <b/>
      <sz val="10"/>
      <color indexed="17"/>
      <name val="Arial"/>
      <family val="2"/>
    </font>
    <font>
      <sz val="10"/>
      <color indexed="8"/>
      <name val="Arial"/>
      <family val="2"/>
    </font>
    <font>
      <b/>
      <sz val="12"/>
      <color indexed="81"/>
      <name val="Tahoma"/>
      <family val="2"/>
      <charset val="204"/>
    </font>
    <font>
      <b/>
      <sz val="14"/>
      <name val="Arial"/>
      <family val="2"/>
      <charset val="204"/>
    </font>
    <font>
      <sz val="10"/>
      <name val="Arial"/>
      <family val="2"/>
      <charset val="204"/>
    </font>
    <font>
      <b/>
      <sz val="14"/>
      <color theme="1" tint="0.34998626667073579"/>
      <name val="Arial"/>
      <family val="2"/>
    </font>
    <font>
      <sz val="14"/>
      <color theme="1" tint="0.34998626667073579"/>
      <name val="Arial"/>
      <family val="2"/>
    </font>
    <font>
      <sz val="14"/>
      <color theme="0" tint="-0.499984740745262"/>
      <name val="Arial"/>
      <family val="2"/>
    </font>
    <font>
      <b/>
      <sz val="12"/>
      <color theme="0" tint="-0.499984740745262"/>
      <name val="Arial"/>
      <family val="2"/>
    </font>
    <font>
      <b/>
      <sz val="14"/>
      <color theme="0" tint="-0.499984740745262"/>
      <name val="Arial"/>
      <family val="2"/>
    </font>
    <font>
      <sz val="12"/>
      <color theme="0" tint="-0.499984740745262"/>
      <name val="Arial"/>
      <family val="2"/>
    </font>
    <font>
      <b/>
      <sz val="12"/>
      <color rgb="FF0000FF"/>
      <name val="Arial"/>
      <family val="2"/>
    </font>
    <font>
      <sz val="14"/>
      <name val="Arial"/>
      <family val="2"/>
      <charset val="204"/>
    </font>
    <font>
      <sz val="12"/>
      <color indexed="81"/>
      <name val="Tahoma"/>
      <family val="2"/>
      <charset val="204"/>
    </font>
    <font>
      <b/>
      <sz val="16"/>
      <name val="Arial"/>
      <family val="2"/>
      <charset val="204"/>
    </font>
    <font>
      <b/>
      <sz val="18"/>
      <color theme="0" tint="-4.9989318521683403E-2"/>
      <name val="Arial"/>
      <family val="2"/>
    </font>
    <font>
      <b/>
      <sz val="18"/>
      <color indexed="11"/>
      <name val="Arial"/>
      <family val="2"/>
    </font>
    <font>
      <b/>
      <sz val="14"/>
      <color rgb="FF0070C0"/>
      <name val="Arial"/>
      <family val="2"/>
    </font>
    <font>
      <b/>
      <sz val="14"/>
      <color rgb="FF002060"/>
      <name val="Arial"/>
      <family val="2"/>
    </font>
    <font>
      <b/>
      <sz val="14"/>
      <color rgb="FF002060"/>
      <name val="Arial"/>
      <family val="2"/>
      <charset val="204"/>
    </font>
    <font>
      <sz val="18"/>
      <name val="Arial"/>
      <family val="2"/>
    </font>
    <font>
      <b/>
      <sz val="18"/>
      <name val="Arial"/>
      <family val="2"/>
      <charset val="204"/>
    </font>
    <font>
      <sz val="18"/>
      <color indexed="81"/>
      <name val="Tahoma"/>
      <family val="2"/>
      <charset val="204"/>
    </font>
    <font>
      <b/>
      <u/>
      <sz val="14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"/>
      <family val="2"/>
      <charset val="204"/>
    </font>
    <font>
      <b/>
      <sz val="11"/>
      <name val="Arial"/>
      <family val="2"/>
      <charset val="204"/>
    </font>
    <font>
      <b/>
      <sz val="12"/>
      <color indexed="16"/>
      <name val="Arial"/>
      <family val="2"/>
      <charset val="204"/>
    </font>
    <font>
      <sz val="16"/>
      <name val="Arial"/>
      <family val="2"/>
      <charset val="204"/>
    </font>
    <font>
      <b/>
      <sz val="16"/>
      <color rgb="FF00B0F0"/>
      <name val="Arial"/>
      <family val="2"/>
    </font>
    <font>
      <b/>
      <sz val="14"/>
      <color rgb="FFFF0000"/>
      <name val="Arial"/>
      <family val="2"/>
    </font>
    <font>
      <sz val="14"/>
      <color rgb="FFFF0000"/>
      <name val="Arial"/>
      <family val="2"/>
    </font>
    <font>
      <b/>
      <sz val="18"/>
      <name val="Arial"/>
      <family val="2"/>
    </font>
    <font>
      <b/>
      <sz val="11"/>
      <color theme="0" tint="-4.9989318521683403E-2"/>
      <name val="Arial Narrow"/>
      <family val="2"/>
    </font>
    <font>
      <sz val="12"/>
      <name val="Arial"/>
      <family val="2"/>
      <charset val="204"/>
    </font>
    <font>
      <sz val="16"/>
      <color indexed="14"/>
      <name val="Arial"/>
      <family val="2"/>
    </font>
    <font>
      <b/>
      <sz val="12"/>
      <color rgb="FFC00000"/>
      <name val="Arial"/>
      <family val="2"/>
    </font>
    <font>
      <b/>
      <sz val="18"/>
      <name val="Arial Narrow"/>
      <family val="2"/>
    </font>
    <font>
      <b/>
      <sz val="18"/>
      <color rgb="FF00B050"/>
      <name val="Arial"/>
      <family val="2"/>
    </font>
    <font>
      <b/>
      <sz val="16"/>
      <color rgb="FFFF0000"/>
      <name val="Arial Narrow"/>
      <family val="2"/>
    </font>
    <font>
      <b/>
      <sz val="18"/>
      <color rgb="FFFF0000"/>
      <name val="Arial"/>
      <family val="2"/>
    </font>
    <font>
      <b/>
      <sz val="16"/>
      <color rgb="FF00B0F0"/>
      <name val="Arial Narrow"/>
      <family val="2"/>
    </font>
    <font>
      <b/>
      <sz val="18"/>
      <color rgb="FF00B0F0"/>
      <name val="Arial"/>
      <family val="2"/>
    </font>
    <font>
      <b/>
      <sz val="16"/>
      <color rgb="FF00B050"/>
      <name val="Arial"/>
      <family val="2"/>
    </font>
    <font>
      <b/>
      <sz val="16"/>
      <color rgb="FF00B050"/>
      <name val="Arial Narrow"/>
      <family val="2"/>
    </font>
    <font>
      <sz val="16"/>
      <color rgb="FF00B050"/>
      <name val="Arial"/>
      <family val="2"/>
    </font>
    <font>
      <b/>
      <sz val="16"/>
      <color rgb="FFFF0000"/>
      <name val="Arial"/>
      <family val="2"/>
    </font>
    <font>
      <b/>
      <sz val="16"/>
      <color theme="1"/>
      <name val="Arial"/>
      <family val="2"/>
    </font>
    <font>
      <b/>
      <sz val="16"/>
      <color indexed="9"/>
      <name val="Arial Narrow"/>
      <family val="2"/>
    </font>
    <font>
      <b/>
      <sz val="18"/>
      <color rgb="FFFF0000"/>
      <name val="Arial Narrow"/>
      <family val="2"/>
    </font>
    <font>
      <b/>
      <sz val="18"/>
      <color rgb="FFFF0000"/>
      <name val="Arial"/>
      <family val="2"/>
      <charset val="204"/>
    </font>
    <font>
      <b/>
      <sz val="22"/>
      <name val="Arial Narrow"/>
      <family val="2"/>
    </font>
    <font>
      <b/>
      <sz val="22"/>
      <color indexed="9"/>
      <name val="Arial Narrow"/>
      <family val="2"/>
    </font>
    <font>
      <b/>
      <sz val="22"/>
      <color rgb="FFFF0000"/>
      <name val="Arial Narrow"/>
      <family val="2"/>
    </font>
    <font>
      <sz val="22"/>
      <name val="Arial"/>
      <family val="2"/>
    </font>
    <font>
      <b/>
      <sz val="22"/>
      <name val="Arial"/>
      <family val="2"/>
      <charset val="204"/>
    </font>
    <font>
      <b/>
      <sz val="18"/>
      <color indexed="9"/>
      <name val="Arial Narrow"/>
      <family val="2"/>
    </font>
    <font>
      <b/>
      <sz val="14"/>
      <color indexed="81"/>
      <name val="Tahoma"/>
      <family val="2"/>
      <charset val="204"/>
    </font>
    <font>
      <sz val="14"/>
      <color indexed="81"/>
      <name val="Tahoma"/>
      <family val="2"/>
      <charset val="204"/>
    </font>
    <font>
      <b/>
      <sz val="16"/>
      <color rgb="FFFF0000"/>
      <name val="Arial"/>
      <family val="2"/>
      <charset val="204"/>
    </font>
    <font>
      <sz val="10"/>
      <color rgb="FF00B050"/>
      <name val="Arial"/>
      <family val="2"/>
    </font>
    <font>
      <sz val="10"/>
      <color rgb="FF00B0F0"/>
      <name val="Arial"/>
      <family val="2"/>
    </font>
    <font>
      <sz val="10"/>
      <color rgb="FFFF0000"/>
      <name val="Arial"/>
      <family val="2"/>
    </font>
    <font>
      <b/>
      <sz val="12"/>
      <color rgb="FFFF0000"/>
      <name val="Arial Narrow"/>
      <family val="2"/>
    </font>
    <font>
      <b/>
      <sz val="14"/>
      <color rgb="FF00B0F0"/>
      <name val="Arial Narrow"/>
      <family val="2"/>
    </font>
    <font>
      <b/>
      <sz val="14"/>
      <color rgb="FF00B050"/>
      <name val="Arial Narrow"/>
      <family val="2"/>
    </font>
    <font>
      <b/>
      <sz val="16"/>
      <color rgb="FFFF3300"/>
      <name val="Arial"/>
      <family val="2"/>
    </font>
    <font>
      <sz val="10"/>
      <color rgb="FFFF3300"/>
      <name val="Arial"/>
      <family val="2"/>
    </font>
    <font>
      <b/>
      <sz val="14"/>
      <color rgb="FFFF3300"/>
      <name val="Arial Narrow"/>
      <family val="2"/>
    </font>
    <font>
      <b/>
      <sz val="14"/>
      <color rgb="FFFF0000"/>
      <name val="Arial Narrow"/>
      <family val="2"/>
    </font>
    <font>
      <b/>
      <u/>
      <sz val="14"/>
      <color rgb="FFFF0000"/>
      <name val="Arial"/>
      <family val="2"/>
    </font>
    <font>
      <sz val="18"/>
      <name val="Arial"/>
      <family val="2"/>
      <charset val="204"/>
    </font>
    <font>
      <u/>
      <sz val="16"/>
      <name val="Arial"/>
      <family val="2"/>
      <charset val="204"/>
    </font>
    <font>
      <b/>
      <u/>
      <sz val="16"/>
      <name val="Arial"/>
      <family val="2"/>
      <charset val="204"/>
    </font>
    <font>
      <sz val="20"/>
      <name val="Arial"/>
      <family val="2"/>
      <charset val="204"/>
    </font>
    <font>
      <sz val="16"/>
      <color rgb="FFC00000"/>
      <name val="Arial"/>
      <family val="2"/>
      <charset val="204"/>
    </font>
    <font>
      <sz val="18"/>
      <color rgb="FFC00000"/>
      <name val="Arial"/>
      <family val="2"/>
    </font>
    <font>
      <b/>
      <sz val="18"/>
      <color rgb="FFC00000"/>
      <name val="Arial"/>
      <family val="2"/>
    </font>
    <font>
      <b/>
      <sz val="14"/>
      <color rgb="FFC00000"/>
      <name val="Arial Narrow"/>
      <family val="2"/>
    </font>
    <font>
      <sz val="18"/>
      <color rgb="FFC00000"/>
      <name val="Arial"/>
      <family val="2"/>
      <charset val="204"/>
    </font>
    <font>
      <b/>
      <sz val="16"/>
      <name val="Arial Black"/>
      <family val="2"/>
    </font>
    <font>
      <u/>
      <sz val="16"/>
      <color rgb="FFC00000"/>
      <name val="Arial"/>
      <family val="2"/>
      <charset val="204"/>
    </font>
    <font>
      <b/>
      <u/>
      <sz val="16"/>
      <color rgb="FFC00000"/>
      <name val="Arial"/>
      <family val="2"/>
      <charset val="204"/>
    </font>
    <font>
      <b/>
      <sz val="14"/>
      <color theme="5"/>
      <name val="Arial Narrow"/>
      <family val="2"/>
    </font>
    <font>
      <u/>
      <sz val="16"/>
      <color theme="5"/>
      <name val="Arial"/>
      <family val="2"/>
      <charset val="204"/>
    </font>
    <font>
      <b/>
      <u/>
      <sz val="16"/>
      <color theme="5"/>
      <name val="Arial"/>
      <family val="2"/>
      <charset val="204"/>
    </font>
    <font>
      <sz val="16"/>
      <color theme="5"/>
      <name val="Arial"/>
      <family val="2"/>
      <charset val="204"/>
    </font>
    <font>
      <sz val="18"/>
      <color theme="5"/>
      <name val="Arial"/>
      <family val="2"/>
    </font>
    <font>
      <b/>
      <sz val="18"/>
      <color theme="5"/>
      <name val="Arial"/>
      <family val="2"/>
    </font>
    <font>
      <b/>
      <sz val="18"/>
      <color theme="5"/>
      <name val="Arial Narrow"/>
      <family val="2"/>
    </font>
    <font>
      <sz val="18"/>
      <color theme="5"/>
      <name val="Arial"/>
      <family val="2"/>
      <charset val="204"/>
    </font>
    <font>
      <b/>
      <sz val="18"/>
      <color theme="5"/>
      <name val="Arial"/>
      <family val="2"/>
      <charset val="204"/>
    </font>
    <font>
      <sz val="16"/>
      <color theme="5"/>
      <name val="Arial"/>
      <family val="2"/>
    </font>
    <font>
      <u/>
      <sz val="16"/>
      <color rgb="FFFF0000"/>
      <name val="Arial"/>
      <family val="2"/>
      <charset val="204"/>
    </font>
    <font>
      <b/>
      <u/>
      <sz val="16"/>
      <color rgb="FFFF0000"/>
      <name val="Arial"/>
      <family val="2"/>
      <charset val="204"/>
    </font>
    <font>
      <sz val="16"/>
      <color rgb="FFFF0000"/>
      <name val="Arial"/>
      <family val="2"/>
      <charset val="204"/>
    </font>
    <font>
      <sz val="18"/>
      <color rgb="FFFF0000"/>
      <name val="Arial"/>
      <family val="2"/>
    </font>
    <font>
      <b/>
      <sz val="12"/>
      <color rgb="FFFF0000"/>
      <name val="Arial"/>
      <family val="2"/>
    </font>
    <font>
      <b/>
      <u/>
      <sz val="18"/>
      <name val="Arial"/>
      <family val="2"/>
    </font>
    <font>
      <sz val="16"/>
      <color theme="9" tint="-0.249977111117893"/>
      <name val="Arial"/>
      <family val="2"/>
      <charset val="204"/>
    </font>
    <font>
      <b/>
      <sz val="14"/>
      <color rgb="FFC00000"/>
      <name val="Arial"/>
      <family val="2"/>
    </font>
    <font>
      <b/>
      <u/>
      <sz val="16"/>
      <color rgb="FFC00000"/>
      <name val="Arial"/>
      <family val="2"/>
    </font>
    <font>
      <b/>
      <sz val="16"/>
      <color rgb="FFC00000"/>
      <name val="Arial"/>
      <family val="2"/>
    </font>
    <font>
      <b/>
      <sz val="10"/>
      <color rgb="FFFF0000"/>
      <name val="Arial"/>
      <family val="2"/>
      <charset val="204"/>
    </font>
    <font>
      <b/>
      <sz val="20"/>
      <color rgb="FFFF0000"/>
      <name val="Arial Narrow"/>
      <family val="2"/>
    </font>
    <font>
      <b/>
      <sz val="14"/>
      <color rgb="FFFFC000"/>
      <name val="Arial"/>
      <family val="2"/>
    </font>
    <font>
      <sz val="14"/>
      <color rgb="FFFFC000"/>
      <name val="Arial"/>
      <family val="2"/>
    </font>
    <font>
      <sz val="16"/>
      <color rgb="FF00B0F0"/>
      <name val="Arial"/>
      <family val="2"/>
    </font>
    <font>
      <b/>
      <sz val="16"/>
      <color rgb="FF00B0F0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8"/>
      <color rgb="FFFFC000"/>
      <name val="Arial"/>
      <family val="2"/>
      <charset val="204"/>
    </font>
    <font>
      <b/>
      <sz val="20"/>
      <color rgb="FFFFC000"/>
      <name val="Arial"/>
      <family val="2"/>
      <charset val="204"/>
    </font>
    <font>
      <b/>
      <sz val="12"/>
      <color rgb="FFFFC000"/>
      <name val="Arial"/>
      <family val="2"/>
    </font>
    <font>
      <b/>
      <sz val="12"/>
      <color rgb="FFFFC000"/>
      <name val="Arial"/>
      <family val="2"/>
      <charset val="204"/>
    </font>
    <font>
      <b/>
      <sz val="11"/>
      <color rgb="FFFFC000"/>
      <name val="Arial"/>
      <family val="2"/>
      <charset val="204"/>
    </font>
    <font>
      <sz val="16"/>
      <color rgb="FFFFC000"/>
      <name val="Arial"/>
      <family val="2"/>
      <charset val="204"/>
    </font>
    <font>
      <b/>
      <sz val="11"/>
      <color rgb="FFFF0000"/>
      <name val="Arial"/>
      <family val="2"/>
      <charset val="204"/>
    </font>
    <font>
      <sz val="10"/>
      <color rgb="FFFFC000"/>
      <name val="Arial"/>
      <family val="2"/>
      <charset val="204"/>
    </font>
    <font>
      <sz val="14"/>
      <color rgb="FFFFC000"/>
      <name val="Arial"/>
      <family val="2"/>
      <charset val="204"/>
    </font>
    <font>
      <sz val="12"/>
      <color rgb="FFFF0000"/>
      <name val="Arial"/>
      <family val="2"/>
      <charset val="204"/>
    </font>
    <font>
      <sz val="22"/>
      <name val="Arial"/>
      <family val="2"/>
      <charset val="204"/>
    </font>
    <font>
      <b/>
      <sz val="16"/>
      <color rgb="FFC00000"/>
      <name val="Arial"/>
      <family val="2"/>
      <charset val="204"/>
    </font>
    <font>
      <sz val="16"/>
      <color theme="1"/>
      <name val="Arial"/>
      <family val="2"/>
      <charset val="204"/>
    </font>
    <font>
      <sz val="16"/>
      <color theme="1" tint="0.249977111117893"/>
      <name val="Arial"/>
      <family val="2"/>
      <charset val="204"/>
    </font>
    <font>
      <sz val="10"/>
      <color theme="1"/>
      <name val="Arial"/>
      <family val="2"/>
      <charset val="204"/>
    </font>
    <font>
      <b/>
      <sz val="16"/>
      <color theme="1"/>
      <name val="Arial"/>
      <family val="2"/>
      <charset val="204"/>
    </font>
    <font>
      <b/>
      <sz val="14"/>
      <color rgb="FFFF0000"/>
      <name val="Arial"/>
      <family val="2"/>
      <charset val="204"/>
    </font>
    <font>
      <b/>
      <sz val="14"/>
      <color theme="3" tint="-0.249977111117893"/>
      <name val="Arial"/>
      <family val="2"/>
      <charset val="204"/>
    </font>
    <font>
      <sz val="10"/>
      <color theme="3" tint="-0.249977111117893"/>
      <name val="Arial"/>
      <family val="2"/>
      <charset val="204"/>
    </font>
    <font>
      <b/>
      <sz val="16"/>
      <color theme="3" tint="-0.249977111117893"/>
      <name val="Arial"/>
      <family val="2"/>
      <charset val="204"/>
    </font>
  </fonts>
  <fills count="34">
    <fill>
      <patternFill patternType="none"/>
    </fill>
    <fill>
      <patternFill patternType="gray125"/>
    </fill>
    <fill>
      <patternFill patternType="solid">
        <fgColor indexed="13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15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7"/>
        <bgColor indexed="64"/>
      </patternFill>
    </fill>
    <fill>
      <patternFill patternType="lightUp"/>
    </fill>
    <fill>
      <patternFill patternType="solid">
        <fgColor rgb="FF00B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rgb="FF66CCFF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499984740745262"/>
        <bgColor indexed="64"/>
      </patternFill>
    </fill>
  </fills>
  <borders count="113">
    <border>
      <left/>
      <right/>
      <top/>
      <bottom/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ck">
        <color theme="0" tint="-0.499984740745262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ck">
        <color theme="0" tint="-0.499984740745262"/>
      </left>
      <right style="thick">
        <color theme="0" tint="-0.499984740745262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rgb="FFFF0000"/>
      </left>
      <right/>
      <top style="medium">
        <color rgb="FFFF0000"/>
      </top>
      <bottom/>
      <diagonal/>
    </border>
    <border>
      <left/>
      <right/>
      <top style="medium">
        <color rgb="FFFF0000"/>
      </top>
      <bottom/>
      <diagonal/>
    </border>
    <border>
      <left/>
      <right style="medium">
        <color rgb="FFFF0000"/>
      </right>
      <top style="medium">
        <color rgb="FFFF0000"/>
      </top>
      <bottom/>
      <diagonal/>
    </border>
    <border>
      <left style="medium">
        <color rgb="FFFF0000"/>
      </left>
      <right/>
      <top/>
      <bottom/>
      <diagonal/>
    </border>
    <border>
      <left/>
      <right style="medium">
        <color rgb="FFFF0000"/>
      </right>
      <top/>
      <bottom/>
      <diagonal/>
    </border>
    <border>
      <left style="medium">
        <color rgb="FFFF0000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rgb="FFFF0000"/>
      </right>
      <top style="medium">
        <color indexed="64"/>
      </top>
      <bottom style="medium">
        <color indexed="64"/>
      </bottom>
      <diagonal/>
    </border>
    <border>
      <left style="medium">
        <color rgb="FFFF0000"/>
      </left>
      <right/>
      <top/>
      <bottom style="medium">
        <color indexed="64"/>
      </bottom>
      <diagonal/>
    </border>
    <border>
      <left/>
      <right style="medium">
        <color rgb="FFFF0000"/>
      </right>
      <top/>
      <bottom style="medium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medium">
        <color rgb="FFFF0000"/>
      </bottom>
      <diagonal/>
    </border>
    <border>
      <left style="medium">
        <color rgb="FFFF0000"/>
      </left>
      <right/>
      <top style="medium">
        <color indexed="64"/>
      </top>
      <bottom/>
      <diagonal/>
    </border>
    <border>
      <left/>
      <right style="medium">
        <color rgb="FFFF0000"/>
      </right>
      <top style="medium">
        <color indexed="64"/>
      </top>
      <bottom/>
      <diagonal/>
    </border>
    <border>
      <left style="medium">
        <color indexed="64"/>
      </left>
      <right style="medium">
        <color rgb="FFFF0000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rgb="FFFF0000"/>
      </left>
      <right/>
      <top style="medium">
        <color rgb="FFFF0000"/>
      </top>
      <bottom style="medium">
        <color rgb="FFFF0000"/>
      </bottom>
      <diagonal/>
    </border>
    <border>
      <left/>
      <right/>
      <top style="medium">
        <color rgb="FFFF0000"/>
      </top>
      <bottom style="medium">
        <color rgb="FFFF0000"/>
      </bottom>
      <diagonal/>
    </border>
    <border>
      <left/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medium">
        <color rgb="FF00B0F0"/>
      </left>
      <right/>
      <top style="medium">
        <color rgb="FF00B0F0"/>
      </top>
      <bottom style="medium">
        <color rgb="FF00B0F0"/>
      </bottom>
      <diagonal/>
    </border>
    <border>
      <left/>
      <right/>
      <top style="medium">
        <color rgb="FF00B0F0"/>
      </top>
      <bottom style="medium">
        <color rgb="FF00B0F0"/>
      </bottom>
      <diagonal/>
    </border>
    <border>
      <left style="medium">
        <color rgb="FF00B050"/>
      </left>
      <right style="medium">
        <color rgb="FF00B050"/>
      </right>
      <top style="medium">
        <color rgb="FF00B0F0"/>
      </top>
      <bottom style="medium">
        <color rgb="FF00B0F0"/>
      </bottom>
      <diagonal/>
    </border>
    <border>
      <left/>
      <right/>
      <top style="medium">
        <color rgb="FF00B050"/>
      </top>
      <bottom style="medium">
        <color rgb="FF00B050"/>
      </bottom>
      <diagonal/>
    </border>
    <border>
      <left style="medium">
        <color rgb="FF00B0F0"/>
      </left>
      <right style="medium">
        <color rgb="FF00B0F0"/>
      </right>
      <top style="medium">
        <color rgb="FF00B050"/>
      </top>
      <bottom style="medium">
        <color rgb="FF00B050"/>
      </bottom>
      <diagonal/>
    </border>
    <border>
      <left/>
      <right style="medium">
        <color rgb="FF00B050"/>
      </right>
      <top style="medium">
        <color rgb="FF00B050"/>
      </top>
      <bottom style="medium">
        <color rgb="FF00B050"/>
      </bottom>
      <diagonal/>
    </border>
    <border>
      <left style="medium">
        <color rgb="FF00B050"/>
      </left>
      <right/>
      <top style="medium">
        <color rgb="FF00B050"/>
      </top>
      <bottom/>
      <diagonal/>
    </border>
    <border>
      <left/>
      <right/>
      <top style="medium">
        <color rgb="FF00B050"/>
      </top>
      <bottom/>
      <diagonal/>
    </border>
    <border>
      <left/>
      <right style="medium">
        <color rgb="FF00B050"/>
      </right>
      <top style="medium">
        <color rgb="FF00B050"/>
      </top>
      <bottom/>
      <diagonal/>
    </border>
    <border>
      <left style="medium">
        <color rgb="FF00B050"/>
      </left>
      <right/>
      <top/>
      <bottom style="medium">
        <color rgb="FF00B050"/>
      </bottom>
      <diagonal/>
    </border>
    <border>
      <left/>
      <right/>
      <top/>
      <bottom style="medium">
        <color rgb="FF00B050"/>
      </bottom>
      <diagonal/>
    </border>
    <border>
      <left/>
      <right style="medium">
        <color rgb="FF00B050"/>
      </right>
      <top/>
      <bottom style="medium">
        <color rgb="FF00B050"/>
      </bottom>
      <diagonal/>
    </border>
    <border>
      <left style="medium">
        <color rgb="FF00B0F0"/>
      </left>
      <right/>
      <top style="medium">
        <color rgb="FF00B0F0"/>
      </top>
      <bottom/>
      <diagonal/>
    </border>
    <border>
      <left/>
      <right/>
      <top style="medium">
        <color rgb="FF00B0F0"/>
      </top>
      <bottom/>
      <diagonal/>
    </border>
    <border>
      <left/>
      <right style="medium">
        <color rgb="FF00B0F0"/>
      </right>
      <top style="medium">
        <color rgb="FF00B0F0"/>
      </top>
      <bottom/>
      <diagonal/>
    </border>
    <border>
      <left style="medium">
        <color rgb="FF00B0F0"/>
      </left>
      <right/>
      <top/>
      <bottom style="medium">
        <color rgb="FF00B0F0"/>
      </bottom>
      <diagonal/>
    </border>
    <border>
      <left/>
      <right/>
      <top/>
      <bottom style="medium">
        <color rgb="FF00B0F0"/>
      </bottom>
      <diagonal/>
    </border>
    <border>
      <left/>
      <right style="medium">
        <color rgb="FF00B0F0"/>
      </right>
      <top/>
      <bottom style="medium">
        <color rgb="FF00B0F0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 style="medium">
        <color rgb="FFFF0000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rgb="FF00B050"/>
      </top>
      <bottom style="medium">
        <color rgb="FF00B050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rgb="FFFF0000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rgb="FFFF0000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rgb="FFFF0000"/>
      </left>
      <right/>
      <top/>
      <bottom style="medium">
        <color rgb="FFFF0000"/>
      </bottom>
      <diagonal/>
    </border>
    <border>
      <left/>
      <right/>
      <top/>
      <bottom style="medium">
        <color rgb="FFFF0000"/>
      </bottom>
      <diagonal/>
    </border>
    <border>
      <left/>
      <right style="medium">
        <color rgb="FFFF0000"/>
      </right>
      <top/>
      <bottom style="medium">
        <color rgb="FFFF0000"/>
      </bottom>
      <diagonal/>
    </border>
    <border>
      <left/>
      <right style="medium">
        <color indexed="64"/>
      </right>
      <top style="medium">
        <color rgb="FF00B0F0"/>
      </top>
      <bottom style="medium">
        <color rgb="FF00B0F0"/>
      </bottom>
      <diagonal/>
    </border>
    <border>
      <left style="medium">
        <color rgb="FFFF0000"/>
      </left>
      <right style="medium">
        <color rgb="FFFF0000"/>
      </right>
      <top style="medium">
        <color rgb="FF00B050"/>
      </top>
      <bottom style="medium">
        <color rgb="FF00B050"/>
      </bottom>
      <diagonal/>
    </border>
    <border>
      <left style="medium">
        <color indexed="64"/>
      </left>
      <right/>
      <top style="medium">
        <color rgb="FF00B0F0"/>
      </top>
      <bottom/>
      <diagonal/>
    </border>
    <border>
      <left style="medium">
        <color indexed="64"/>
      </left>
      <right/>
      <top/>
      <bottom style="medium">
        <color rgb="FF00B0F0"/>
      </bottom>
      <diagonal/>
    </border>
    <border>
      <left style="medium">
        <color theme="3" tint="0.39997558519241921"/>
      </left>
      <right style="medium">
        <color theme="3" tint="0.39997558519241921"/>
      </right>
      <top style="medium">
        <color theme="3" tint="0.39997558519241921"/>
      </top>
      <bottom style="medium">
        <color theme="3" tint="0.39997558519241921"/>
      </bottom>
      <diagonal/>
    </border>
    <border>
      <left style="medium">
        <color theme="3" tint="0.39997558519241921"/>
      </left>
      <right style="thin">
        <color indexed="64"/>
      </right>
      <top style="medium">
        <color theme="3" tint="0.3999755851924192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theme="3" tint="0.39997558519241921"/>
      </top>
      <bottom style="thin">
        <color indexed="64"/>
      </bottom>
      <diagonal/>
    </border>
    <border>
      <left/>
      <right/>
      <top style="medium">
        <color theme="3" tint="0.39997558519241921"/>
      </top>
      <bottom/>
      <diagonal/>
    </border>
    <border>
      <left/>
      <right style="medium">
        <color theme="3" tint="0.39997558519241921"/>
      </right>
      <top style="medium">
        <color theme="3" tint="0.39997558519241921"/>
      </top>
      <bottom/>
      <diagonal/>
    </border>
    <border>
      <left style="medium">
        <color theme="3" tint="0.39997558519241921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theme="3" tint="0.39997558519241921"/>
      </right>
      <top/>
      <bottom/>
      <diagonal/>
    </border>
    <border>
      <left style="medium">
        <color theme="3" tint="0.39997558519241921"/>
      </left>
      <right/>
      <top/>
      <bottom/>
      <diagonal/>
    </border>
    <border>
      <left style="medium">
        <color theme="3" tint="0.39997558519241921"/>
      </left>
      <right/>
      <top/>
      <bottom style="medium">
        <color theme="3" tint="0.39997558519241921"/>
      </bottom>
      <diagonal/>
    </border>
    <border>
      <left/>
      <right/>
      <top/>
      <bottom style="medium">
        <color theme="3" tint="0.3999755851924192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theme="3" tint="0.39997558519241921"/>
      </bottom>
      <diagonal/>
    </border>
    <border>
      <left/>
      <right style="medium">
        <color theme="3" tint="0.39997558519241921"/>
      </right>
      <top/>
      <bottom style="medium">
        <color theme="3" tint="0.39997558519241921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0" fontId="1" fillId="0" borderId="0"/>
    <xf numFmtId="0" fontId="82" fillId="0" borderId="0"/>
  </cellStyleXfs>
  <cellXfs count="1925">
    <xf numFmtId="0" fontId="0" fillId="0" borderId="0" xfId="0"/>
    <xf numFmtId="0" fontId="4" fillId="5" borderId="5" xfId="1" applyFont="1" applyFill="1" applyBorder="1" applyAlignment="1" applyProtection="1">
      <alignment horizontal="center"/>
      <protection locked="0"/>
    </xf>
    <xf numFmtId="0" fontId="4" fillId="5" borderId="24" xfId="0" applyFont="1" applyFill="1" applyBorder="1" applyAlignment="1" applyProtection="1">
      <alignment horizontal="center"/>
      <protection locked="0"/>
    </xf>
    <xf numFmtId="0" fontId="4" fillId="5" borderId="5" xfId="0" applyFont="1" applyFill="1" applyBorder="1" applyAlignment="1" applyProtection="1">
      <alignment horizontal="center"/>
      <protection locked="0"/>
    </xf>
    <xf numFmtId="0" fontId="4" fillId="5" borderId="5" xfId="0" applyFont="1" applyFill="1" applyBorder="1" applyAlignment="1" applyProtection="1">
      <alignment horizontal="center" vertical="center"/>
      <protection locked="0"/>
    </xf>
    <xf numFmtId="0" fontId="28" fillId="11" borderId="8" xfId="1" applyFont="1" applyFill="1" applyBorder="1"/>
    <xf numFmtId="0" fontId="95" fillId="11" borderId="8" xfId="1" applyFont="1" applyFill="1" applyBorder="1" applyAlignment="1">
      <alignment horizontal="center"/>
    </xf>
    <xf numFmtId="0" fontId="8" fillId="13" borderId="0" xfId="1" applyFont="1" applyFill="1" applyAlignment="1">
      <alignment horizontal="center" wrapText="1"/>
    </xf>
    <xf numFmtId="0" fontId="5" fillId="11" borderId="8" xfId="1" applyFont="1" applyFill="1" applyBorder="1" applyAlignment="1">
      <alignment horizontal="center" wrapText="1"/>
    </xf>
    <xf numFmtId="0" fontId="28" fillId="11" borderId="0" xfId="1" applyFont="1" applyFill="1" applyAlignment="1">
      <alignment horizontal="center" wrapText="1"/>
    </xf>
    <xf numFmtId="0" fontId="8" fillId="11" borderId="0" xfId="1" applyFont="1" applyFill="1" applyAlignment="1">
      <alignment horizontal="center" wrapText="1"/>
    </xf>
    <xf numFmtId="0" fontId="96" fillId="11" borderId="8" xfId="1" applyFont="1" applyFill="1" applyBorder="1" applyAlignment="1">
      <alignment horizontal="center"/>
    </xf>
    <xf numFmtId="0" fontId="97" fillId="11" borderId="8" xfId="1" applyFont="1" applyFill="1" applyBorder="1"/>
    <xf numFmtId="0" fontId="96" fillId="11" borderId="7" xfId="1" applyFont="1" applyFill="1" applyBorder="1" applyAlignment="1">
      <alignment horizontal="center"/>
    </xf>
    <xf numFmtId="0" fontId="28" fillId="23" borderId="8" xfId="1" applyFont="1" applyFill="1" applyBorder="1" applyAlignment="1">
      <alignment horizontal="right"/>
    </xf>
    <xf numFmtId="0" fontId="28" fillId="23" borderId="8" xfId="1" applyFont="1" applyFill="1" applyBorder="1"/>
    <xf numFmtId="0" fontId="97" fillId="23" borderId="8" xfId="1" applyFont="1" applyFill="1" applyBorder="1"/>
    <xf numFmtId="0" fontId="98" fillId="12" borderId="0" xfId="1" applyFont="1" applyFill="1"/>
    <xf numFmtId="0" fontId="98" fillId="0" borderId="0" xfId="1" applyFont="1"/>
    <xf numFmtId="0" fontId="83" fillId="0" borderId="0" xfId="2" applyFont="1" applyAlignment="1">
      <alignment horizontal="center" vertical="center"/>
    </xf>
    <xf numFmtId="2" fontId="65" fillId="0" borderId="0" xfId="1" applyNumberFormat="1" applyFont="1" applyAlignment="1">
      <alignment horizontal="center" vertical="center"/>
    </xf>
    <xf numFmtId="0" fontId="43" fillId="0" borderId="0" xfId="2" applyFont="1" applyAlignment="1">
      <alignment horizontal="center" vertical="center"/>
    </xf>
    <xf numFmtId="2" fontId="43" fillId="0" borderId="0" xfId="1" applyNumberFormat="1" applyFont="1" applyAlignment="1">
      <alignment horizontal="center" vertical="center"/>
    </xf>
    <xf numFmtId="0" fontId="28" fillId="11" borderId="0" xfId="1" applyFont="1" applyFill="1"/>
    <xf numFmtId="0" fontId="96" fillId="11" borderId="0" xfId="1" applyFont="1" applyFill="1" applyAlignment="1">
      <alignment horizontal="center"/>
    </xf>
    <xf numFmtId="0" fontId="8" fillId="2" borderId="5" xfId="0" applyFont="1" applyFill="1" applyBorder="1" applyAlignment="1" applyProtection="1">
      <alignment horizontal="center"/>
      <protection locked="0"/>
    </xf>
    <xf numFmtId="2" fontId="8" fillId="12" borderId="5" xfId="0" applyNumberFormat="1" applyFont="1" applyFill="1" applyBorder="1" applyAlignment="1" applyProtection="1">
      <alignment horizontal="center"/>
      <protection locked="0"/>
    </xf>
    <xf numFmtId="0" fontId="4" fillId="15" borderId="5" xfId="0" applyFont="1" applyFill="1" applyBorder="1" applyAlignment="1" applyProtection="1">
      <alignment horizontal="center"/>
      <protection locked="0"/>
    </xf>
    <xf numFmtId="0" fontId="4" fillId="15" borderId="5" xfId="0" applyFont="1" applyFill="1" applyBorder="1" applyAlignment="1" applyProtection="1">
      <alignment horizontal="center" vertical="center"/>
      <protection locked="0"/>
    </xf>
    <xf numFmtId="0" fontId="88" fillId="2" borderId="5" xfId="0" applyFont="1" applyFill="1" applyBorder="1" applyAlignment="1" applyProtection="1">
      <alignment horizontal="center"/>
      <protection locked="0"/>
    </xf>
    <xf numFmtId="0" fontId="114" fillId="2" borderId="5" xfId="0" applyFont="1" applyFill="1" applyBorder="1" applyAlignment="1" applyProtection="1">
      <alignment horizontal="center"/>
      <protection locked="0"/>
    </xf>
    <xf numFmtId="0" fontId="8" fillId="2" borderId="15" xfId="1" applyFont="1" applyFill="1" applyBorder="1" applyAlignment="1" applyProtection="1">
      <alignment horizontal="center"/>
      <protection locked="0"/>
    </xf>
    <xf numFmtId="0" fontId="8" fillId="2" borderId="5" xfId="1" applyFont="1" applyFill="1" applyBorder="1" applyAlignment="1" applyProtection="1">
      <alignment horizontal="center"/>
      <protection locked="0"/>
    </xf>
    <xf numFmtId="0" fontId="4" fillId="15" borderId="5" xfId="1" applyFont="1" applyFill="1" applyBorder="1" applyAlignment="1" applyProtection="1">
      <alignment horizontal="center"/>
      <protection locked="0"/>
    </xf>
    <xf numFmtId="0" fontId="4" fillId="25" borderId="5" xfId="0" applyFont="1" applyFill="1" applyBorder="1" applyAlignment="1" applyProtection="1">
      <alignment horizontal="center" vertical="center"/>
      <protection locked="0"/>
    </xf>
    <xf numFmtId="0" fontId="5" fillId="0" borderId="0" xfId="0" applyFont="1"/>
    <xf numFmtId="0" fontId="90" fillId="19" borderId="0" xfId="0" applyFont="1" applyFill="1" applyAlignment="1">
      <alignment horizontal="center"/>
    </xf>
    <xf numFmtId="0" fontId="0" fillId="0" borderId="0" xfId="0" applyAlignment="1">
      <alignment horizontal="center"/>
    </xf>
    <xf numFmtId="0" fontId="47" fillId="0" borderId="8" xfId="0" applyFont="1" applyBorder="1"/>
    <xf numFmtId="0" fontId="101" fillId="13" borderId="8" xfId="0" applyFont="1" applyFill="1" applyBorder="1" applyAlignment="1">
      <alignment horizontal="center"/>
    </xf>
    <xf numFmtId="0" fontId="92" fillId="19" borderId="8" xfId="0" applyFont="1" applyFill="1" applyBorder="1" applyAlignment="1">
      <alignment horizontal="center"/>
    </xf>
    <xf numFmtId="0" fontId="81" fillId="13" borderId="8" xfId="0" applyFont="1" applyFill="1" applyBorder="1" applyAlignment="1">
      <alignment horizontal="center"/>
    </xf>
    <xf numFmtId="0" fontId="90" fillId="19" borderId="8" xfId="0" applyFont="1" applyFill="1" applyBorder="1" applyAlignment="1">
      <alignment horizontal="center"/>
    </xf>
    <xf numFmtId="0" fontId="48" fillId="0" borderId="8" xfId="0" applyFont="1" applyBorder="1" applyAlignment="1">
      <alignment horizontal="center"/>
    </xf>
    <xf numFmtId="0" fontId="46" fillId="2" borderId="8" xfId="0" applyFont="1" applyFill="1" applyBorder="1" applyAlignment="1">
      <alignment wrapText="1"/>
    </xf>
    <xf numFmtId="0" fontId="46" fillId="2" borderId="8" xfId="0" applyFont="1" applyFill="1" applyBorder="1" applyAlignment="1">
      <alignment horizontal="center"/>
    </xf>
    <xf numFmtId="0" fontId="46" fillId="0" borderId="0" xfId="0" applyFont="1" applyAlignment="1">
      <alignment wrapText="1"/>
    </xf>
    <xf numFmtId="0" fontId="46" fillId="0" borderId="0" xfId="0" applyFont="1" applyAlignment="1">
      <alignment horizontal="center"/>
    </xf>
    <xf numFmtId="0" fontId="28" fillId="12" borderId="8" xfId="0" applyFont="1" applyFill="1" applyBorder="1" applyAlignment="1">
      <alignment horizontal="center" wrapText="1"/>
    </xf>
    <xf numFmtId="0" fontId="28" fillId="12" borderId="8" xfId="0" applyFont="1" applyFill="1" applyBorder="1" applyAlignment="1">
      <alignment horizontal="center"/>
    </xf>
    <xf numFmtId="0" fontId="28" fillId="12" borderId="13" xfId="0" applyFont="1" applyFill="1" applyBorder="1" applyAlignment="1">
      <alignment horizontal="center"/>
    </xf>
    <xf numFmtId="0" fontId="28" fillId="18" borderId="35" xfId="0" applyFont="1" applyFill="1" applyBorder="1" applyAlignment="1">
      <alignment horizontal="center"/>
    </xf>
    <xf numFmtId="0" fontId="108" fillId="18" borderId="51" xfId="0" applyFont="1" applyFill="1" applyBorder="1" applyAlignment="1">
      <alignment horizontal="center"/>
    </xf>
    <xf numFmtId="2" fontId="109" fillId="18" borderId="52" xfId="0" applyNumberFormat="1" applyFont="1" applyFill="1" applyBorder="1" applyAlignment="1">
      <alignment horizontal="center"/>
    </xf>
    <xf numFmtId="0" fontId="45" fillId="6" borderId="8" xfId="0" applyFont="1" applyFill="1" applyBorder="1" applyAlignment="1">
      <alignment horizontal="center"/>
    </xf>
    <xf numFmtId="0" fontId="49" fillId="6" borderId="8" xfId="0" applyFont="1" applyFill="1" applyBorder="1" applyAlignment="1">
      <alignment horizontal="center"/>
    </xf>
    <xf numFmtId="0" fontId="28" fillId="6" borderId="8" xfId="0" applyFont="1" applyFill="1" applyBorder="1" applyAlignment="1">
      <alignment horizontal="center"/>
    </xf>
    <xf numFmtId="0" fontId="28" fillId="0" borderId="8" xfId="0" applyFont="1" applyBorder="1" applyAlignment="1">
      <alignment horizontal="center"/>
    </xf>
    <xf numFmtId="0" fontId="45" fillId="0" borderId="8" xfId="0" applyFont="1" applyBorder="1" applyAlignment="1">
      <alignment horizontal="center"/>
    </xf>
    <xf numFmtId="0" fontId="82" fillId="0" borderId="0" xfId="0" applyFont="1"/>
    <xf numFmtId="0" fontId="49" fillId="0" borderId="0" xfId="0" applyFont="1" applyAlignment="1">
      <alignment wrapText="1"/>
    </xf>
    <xf numFmtId="0" fontId="49" fillId="0" borderId="0" xfId="0" applyFont="1" applyAlignment="1">
      <alignment horizontal="center"/>
    </xf>
    <xf numFmtId="0" fontId="82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28" fillId="0" borderId="0" xfId="0" applyFont="1"/>
    <xf numFmtId="0" fontId="43" fillId="0" borderId="0" xfId="1" applyFont="1" applyAlignment="1">
      <alignment wrapText="1"/>
    </xf>
    <xf numFmtId="0" fontId="28" fillId="0" borderId="0" xfId="1" applyFont="1"/>
    <xf numFmtId="0" fontId="30" fillId="0" borderId="0" xfId="0" applyFont="1" applyAlignment="1">
      <alignment horizontal="center"/>
    </xf>
    <xf numFmtId="0" fontId="30" fillId="0" borderId="0" xfId="1" applyFont="1" applyAlignment="1">
      <alignment horizontal="center" vertical="center"/>
    </xf>
    <xf numFmtId="2" fontId="43" fillId="0" borderId="0" xfId="0" applyNumberFormat="1" applyFont="1" applyAlignment="1">
      <alignment horizontal="center" vertical="center"/>
    </xf>
    <xf numFmtId="0" fontId="43" fillId="0" borderId="0" xfId="0" applyFont="1" applyAlignment="1">
      <alignment vertical="center"/>
    </xf>
    <xf numFmtId="2" fontId="43" fillId="0" borderId="0" xfId="0" applyNumberFormat="1" applyFont="1" applyAlignment="1">
      <alignment vertical="center"/>
    </xf>
    <xf numFmtId="2" fontId="43" fillId="0" borderId="0" xfId="0" applyNumberFormat="1" applyFont="1"/>
    <xf numFmtId="0" fontId="43" fillId="0" borderId="0" xfId="0" applyFont="1"/>
    <xf numFmtId="0" fontId="44" fillId="0" borderId="0" xfId="0" applyFont="1"/>
    <xf numFmtId="0" fontId="34" fillId="0" borderId="0" xfId="0" applyFont="1" applyAlignment="1">
      <alignment horizontal="right"/>
    </xf>
    <xf numFmtId="0" fontId="34" fillId="0" borderId="0" xfId="0" applyFont="1"/>
    <xf numFmtId="0" fontId="34" fillId="0" borderId="0" xfId="0" applyFont="1" applyAlignment="1">
      <alignment horizontal="left"/>
    </xf>
    <xf numFmtId="0" fontId="55" fillId="0" borderId="0" xfId="0" applyFont="1"/>
    <xf numFmtId="0" fontId="30" fillId="0" borderId="0" xfId="0" applyFont="1" applyAlignment="1">
      <alignment vertical="center"/>
    </xf>
    <xf numFmtId="0" fontId="16" fillId="3" borderId="0" xfId="0" applyFont="1" applyFill="1" applyAlignment="1">
      <alignment horizontal="center"/>
    </xf>
    <xf numFmtId="0" fontId="112" fillId="0" borderId="0" xfId="0" applyFont="1"/>
    <xf numFmtId="0" fontId="34" fillId="19" borderId="24" xfId="0" applyFont="1" applyFill="1" applyBorder="1" applyAlignment="1">
      <alignment horizontal="center"/>
    </xf>
    <xf numFmtId="0" fontId="0" fillId="0" borderId="1" xfId="0" applyBorder="1"/>
    <xf numFmtId="0" fontId="30" fillId="3" borderId="5" xfId="0" applyFont="1" applyFill="1" applyBorder="1" applyAlignment="1">
      <alignment horizontal="center" vertical="center"/>
    </xf>
    <xf numFmtId="0" fontId="16" fillId="0" borderId="0" xfId="0" applyFont="1" applyAlignment="1">
      <alignment horizontal="center"/>
    </xf>
    <xf numFmtId="0" fontId="0" fillId="0" borderId="0" xfId="0" applyAlignment="1">
      <alignment vertical="center"/>
    </xf>
    <xf numFmtId="0" fontId="56" fillId="0" borderId="0" xfId="0" applyFont="1"/>
    <xf numFmtId="1" fontId="57" fillId="0" borderId="0" xfId="0" applyNumberFormat="1" applyFont="1"/>
    <xf numFmtId="0" fontId="58" fillId="0" borderId="0" xfId="0" applyFont="1" applyAlignment="1">
      <alignment horizontal="center"/>
    </xf>
    <xf numFmtId="0" fontId="58" fillId="0" borderId="0" xfId="0" applyFont="1" applyAlignment="1">
      <alignment horizontal="right"/>
    </xf>
    <xf numFmtId="0" fontId="0" fillId="0" borderId="2" xfId="0" applyBorder="1"/>
    <xf numFmtId="1" fontId="59" fillId="0" borderId="0" xfId="0" applyNumberFormat="1" applyFont="1" applyAlignment="1">
      <alignment horizontal="right"/>
    </xf>
    <xf numFmtId="0" fontId="58" fillId="0" borderId="0" xfId="0" applyFont="1" applyAlignment="1">
      <alignment wrapText="1"/>
    </xf>
    <xf numFmtId="1" fontId="59" fillId="0" borderId="0" xfId="0" applyNumberFormat="1" applyFont="1" applyAlignment="1">
      <alignment horizontal="left"/>
    </xf>
    <xf numFmtId="0" fontId="55" fillId="0" borderId="0" xfId="0" applyFont="1" applyAlignment="1">
      <alignment horizontal="center"/>
    </xf>
    <xf numFmtId="0" fontId="45" fillId="0" borderId="0" xfId="0" applyFont="1" applyAlignment="1">
      <alignment horizontal="right"/>
    </xf>
    <xf numFmtId="0" fontId="58" fillId="10" borderId="0" xfId="0" applyFont="1" applyFill="1" applyAlignment="1">
      <alignment horizontal="center"/>
    </xf>
    <xf numFmtId="0" fontId="58" fillId="0" borderId="36" xfId="0" applyFont="1" applyBorder="1" applyAlignment="1">
      <alignment horizontal="center"/>
    </xf>
    <xf numFmtId="0" fontId="58" fillId="0" borderId="37" xfId="0" applyFont="1" applyBorder="1" applyAlignment="1">
      <alignment horizontal="center"/>
    </xf>
    <xf numFmtId="0" fontId="58" fillId="0" borderId="38" xfId="0" applyFont="1" applyBorder="1" applyAlignment="1">
      <alignment horizontal="center"/>
    </xf>
    <xf numFmtId="0" fontId="34" fillId="12" borderId="5" xfId="0" applyFont="1" applyFill="1" applyBorder="1"/>
    <xf numFmtId="1" fontId="59" fillId="12" borderId="14" xfId="0" applyNumberFormat="1" applyFont="1" applyFill="1" applyBorder="1" applyAlignment="1">
      <alignment horizontal="right"/>
    </xf>
    <xf numFmtId="0" fontId="34" fillId="12" borderId="18" xfId="0" applyFont="1" applyFill="1" applyBorder="1"/>
    <xf numFmtId="0" fontId="58" fillId="0" borderId="39" xfId="0" applyFont="1" applyBorder="1" applyAlignment="1">
      <alignment horizontal="center"/>
    </xf>
    <xf numFmtId="0" fontId="58" fillId="0" borderId="40" xfId="0" applyFont="1" applyBorder="1" applyAlignment="1">
      <alignment horizontal="center"/>
    </xf>
    <xf numFmtId="0" fontId="23" fillId="0" borderId="0" xfId="0" applyFont="1"/>
    <xf numFmtId="0" fontId="58" fillId="0" borderId="0" xfId="0" applyFont="1"/>
    <xf numFmtId="1" fontId="59" fillId="0" borderId="0" xfId="0" applyNumberFormat="1" applyFont="1"/>
    <xf numFmtId="0" fontId="58" fillId="0" borderId="39" xfId="0" applyFont="1" applyBorder="1"/>
    <xf numFmtId="0" fontId="58" fillId="0" borderId="40" xfId="0" applyFont="1" applyBorder="1"/>
    <xf numFmtId="0" fontId="55" fillId="12" borderId="14" xfId="0" applyFont="1" applyFill="1" applyBorder="1"/>
    <xf numFmtId="1" fontId="59" fillId="12" borderId="14" xfId="0" applyNumberFormat="1" applyFont="1" applyFill="1" applyBorder="1"/>
    <xf numFmtId="0" fontId="13" fillId="3" borderId="0" xfId="0" applyFont="1" applyFill="1" applyAlignment="1">
      <alignment horizontal="center"/>
    </xf>
    <xf numFmtId="0" fontId="13" fillId="0" borderId="0" xfId="0" applyFont="1" applyAlignment="1">
      <alignment horizontal="center"/>
    </xf>
    <xf numFmtId="0" fontId="55" fillId="0" borderId="39" xfId="0" applyFont="1" applyBorder="1"/>
    <xf numFmtId="0" fontId="55" fillId="0" borderId="40" xfId="0" applyFont="1" applyBorder="1"/>
    <xf numFmtId="0" fontId="34" fillId="12" borderId="7" xfId="0" applyFont="1" applyFill="1" applyBorder="1"/>
    <xf numFmtId="0" fontId="0" fillId="12" borderId="14" xfId="0" applyFill="1" applyBorder="1"/>
    <xf numFmtId="0" fontId="34" fillId="12" borderId="14" xfId="0" applyFont="1" applyFill="1" applyBorder="1"/>
    <xf numFmtId="0" fontId="34" fillId="12" borderId="6" xfId="0" applyFont="1" applyFill="1" applyBorder="1"/>
    <xf numFmtId="0" fontId="55" fillId="12" borderId="2" xfId="0" applyFont="1" applyFill="1" applyBorder="1"/>
    <xf numFmtId="0" fontId="0" fillId="12" borderId="2" xfId="0" applyFill="1" applyBorder="1"/>
    <xf numFmtId="0" fontId="34" fillId="12" borderId="2" xfId="0" applyFont="1" applyFill="1" applyBorder="1"/>
    <xf numFmtId="0" fontId="34" fillId="12" borderId="3" xfId="0" applyFont="1" applyFill="1" applyBorder="1"/>
    <xf numFmtId="0" fontId="3" fillId="6" borderId="0" xfId="0" applyFont="1" applyFill="1"/>
    <xf numFmtId="0" fontId="3" fillId="0" borderId="0" xfId="0" applyFont="1"/>
    <xf numFmtId="0" fontId="21" fillId="0" borderId="0" xfId="0" applyFont="1" applyAlignment="1">
      <alignment horizontal="center"/>
    </xf>
    <xf numFmtId="0" fontId="34" fillId="12" borderId="50" xfId="0" applyFont="1" applyFill="1" applyBorder="1"/>
    <xf numFmtId="0" fontId="55" fillId="12" borderId="42" xfId="0" applyFont="1" applyFill="1" applyBorder="1"/>
    <xf numFmtId="0" fontId="29" fillId="2" borderId="0" xfId="0" applyFont="1" applyFill="1" applyAlignment="1">
      <alignment horizontal="center"/>
    </xf>
    <xf numFmtId="0" fontId="7" fillId="0" borderId="0" xfId="0" applyFont="1"/>
    <xf numFmtId="0" fontId="55" fillId="12" borderId="43" xfId="0" applyFont="1" applyFill="1" applyBorder="1"/>
    <xf numFmtId="0" fontId="55" fillId="12" borderId="44" xfId="0" applyFont="1" applyFill="1" applyBorder="1"/>
    <xf numFmtId="0" fontId="34" fillId="12" borderId="43" xfId="0" applyFont="1" applyFill="1" applyBorder="1"/>
    <xf numFmtId="0" fontId="34" fillId="12" borderId="44" xfId="0" applyFont="1" applyFill="1" applyBorder="1"/>
    <xf numFmtId="2" fontId="0" fillId="0" borderId="0" xfId="0" applyNumberFormat="1"/>
    <xf numFmtId="0" fontId="55" fillId="0" borderId="14" xfId="0" applyFont="1" applyBorder="1"/>
    <xf numFmtId="0" fontId="55" fillId="12" borderId="41" xfId="0" applyFont="1" applyFill="1" applyBorder="1"/>
    <xf numFmtId="0" fontId="34" fillId="0" borderId="14" xfId="0" applyFont="1" applyBorder="1"/>
    <xf numFmtId="0" fontId="34" fillId="12" borderId="41" xfId="0" applyFont="1" applyFill="1" applyBorder="1"/>
    <xf numFmtId="0" fontId="34" fillId="12" borderId="42" xfId="0" applyFont="1" applyFill="1" applyBorder="1"/>
    <xf numFmtId="0" fontId="0" fillId="0" borderId="14" xfId="0" applyBorder="1"/>
    <xf numFmtId="0" fontId="14" fillId="0" borderId="0" xfId="0" applyFont="1" applyAlignment="1">
      <alignment horizontal="center" vertical="center" wrapText="1"/>
    </xf>
    <xf numFmtId="2" fontId="15" fillId="0" borderId="0" xfId="0" applyNumberFormat="1" applyFont="1"/>
    <xf numFmtId="0" fontId="34" fillId="12" borderId="9" xfId="0" applyFont="1" applyFill="1" applyBorder="1"/>
    <xf numFmtId="0" fontId="34" fillId="12" borderId="1" xfId="0" applyFont="1" applyFill="1" applyBorder="1"/>
    <xf numFmtId="0" fontId="0" fillId="12" borderId="1" xfId="0" applyFill="1" applyBorder="1"/>
    <xf numFmtId="0" fontId="34" fillId="12" borderId="48" xfId="0" applyFont="1" applyFill="1" applyBorder="1"/>
    <xf numFmtId="0" fontId="34" fillId="12" borderId="49" xfId="0" applyFont="1" applyFill="1" applyBorder="1"/>
    <xf numFmtId="0" fontId="55" fillId="12" borderId="1" xfId="0" applyFont="1" applyFill="1" applyBorder="1"/>
    <xf numFmtId="0" fontId="34" fillId="12" borderId="23" xfId="0" applyFont="1" applyFill="1" applyBorder="1"/>
    <xf numFmtId="0" fontId="34" fillId="0" borderId="2" xfId="0" applyFont="1" applyBorder="1"/>
    <xf numFmtId="0" fontId="34" fillId="0" borderId="43" xfId="0" applyFont="1" applyBorder="1"/>
    <xf numFmtId="0" fontId="34" fillId="0" borderId="44" xfId="0" applyFont="1" applyBorder="1"/>
    <xf numFmtId="0" fontId="34" fillId="0" borderId="41" xfId="0" applyFont="1" applyBorder="1"/>
    <xf numFmtId="0" fontId="34" fillId="0" borderId="42" xfId="0" applyFont="1" applyBorder="1"/>
    <xf numFmtId="0" fontId="34" fillId="0" borderId="40" xfId="0" applyFont="1" applyBorder="1"/>
    <xf numFmtId="0" fontId="34" fillId="0" borderId="39" xfId="0" applyFont="1" applyBorder="1"/>
    <xf numFmtId="0" fontId="34" fillId="4" borderId="0" xfId="0" applyFont="1" applyFill="1"/>
    <xf numFmtId="0" fontId="34" fillId="12" borderId="10" xfId="0" applyFont="1" applyFill="1" applyBorder="1"/>
    <xf numFmtId="0" fontId="34" fillId="12" borderId="0" xfId="0" applyFont="1" applyFill="1"/>
    <xf numFmtId="0" fontId="34" fillId="12" borderId="4" xfId="0" applyFont="1" applyFill="1" applyBorder="1"/>
    <xf numFmtId="0" fontId="55" fillId="0" borderId="0" xfId="0" applyFont="1" applyAlignment="1">
      <alignment wrapText="1"/>
    </xf>
    <xf numFmtId="0" fontId="60" fillId="0" borderId="8" xfId="0" applyFont="1" applyBorder="1"/>
    <xf numFmtId="0" fontId="60" fillId="0" borderId="35" xfId="0" applyFont="1" applyBorder="1"/>
    <xf numFmtId="0" fontId="60" fillId="0" borderId="45" xfId="0" applyFont="1" applyBorder="1"/>
    <xf numFmtId="0" fontId="60" fillId="0" borderId="46" xfId="0" applyFont="1" applyBorder="1"/>
    <xf numFmtId="0" fontId="60" fillId="0" borderId="47" xfId="0" applyFont="1" applyBorder="1"/>
    <xf numFmtId="0" fontId="60" fillId="0" borderId="12" xfId="0" applyFont="1" applyBorder="1"/>
    <xf numFmtId="0" fontId="60" fillId="0" borderId="0" xfId="0" applyFont="1"/>
    <xf numFmtId="0" fontId="60" fillId="0" borderId="34" xfId="0" applyFont="1" applyBorder="1"/>
    <xf numFmtId="0" fontId="34" fillId="0" borderId="7" xfId="0" applyFont="1" applyBorder="1" applyAlignment="1">
      <alignment wrapText="1"/>
    </xf>
    <xf numFmtId="0" fontId="93" fillId="22" borderId="7" xfId="0" applyFont="1" applyFill="1" applyBorder="1" applyAlignment="1">
      <alignment horizontal="center"/>
    </xf>
    <xf numFmtId="0" fontId="93" fillId="22" borderId="14" xfId="0" applyFont="1" applyFill="1" applyBorder="1" applyAlignment="1">
      <alignment horizontal="center"/>
    </xf>
    <xf numFmtId="0" fontId="93" fillId="22" borderId="18" xfId="0" applyFont="1" applyFill="1" applyBorder="1" applyAlignment="1">
      <alignment horizontal="center"/>
    </xf>
    <xf numFmtId="0" fontId="93" fillId="0" borderId="0" xfId="0" applyFont="1" applyAlignment="1">
      <alignment horizontal="center"/>
    </xf>
    <xf numFmtId="0" fontId="61" fillId="0" borderId="0" xfId="0" applyFont="1"/>
    <xf numFmtId="1" fontId="62" fillId="0" borderId="0" xfId="0" applyNumberFormat="1" applyFont="1"/>
    <xf numFmtId="1" fontId="62" fillId="0" borderId="0" xfId="0" applyNumberFormat="1" applyFont="1" applyAlignment="1">
      <alignment horizontal="left"/>
    </xf>
    <xf numFmtId="0" fontId="61" fillId="0" borderId="0" xfId="0" applyFont="1" applyAlignment="1">
      <alignment horizontal="center"/>
    </xf>
    <xf numFmtId="1" fontId="62" fillId="0" borderId="0" xfId="0" applyNumberFormat="1" applyFont="1" applyAlignment="1">
      <alignment horizontal="right"/>
    </xf>
    <xf numFmtId="0" fontId="106" fillId="0" borderId="0" xfId="0" applyFont="1"/>
    <xf numFmtId="0" fontId="58" fillId="12" borderId="14" xfId="0" applyFont="1" applyFill="1" applyBorder="1" applyAlignment="1">
      <alignment horizontal="center"/>
    </xf>
    <xf numFmtId="0" fontId="58" fillId="12" borderId="2" xfId="0" applyFont="1" applyFill="1" applyBorder="1" applyAlignment="1">
      <alignment horizontal="center"/>
    </xf>
    <xf numFmtId="0" fontId="61" fillId="12" borderId="14" xfId="0" applyFont="1" applyFill="1" applyBorder="1"/>
    <xf numFmtId="0" fontId="61" fillId="12" borderId="2" xfId="0" applyFont="1" applyFill="1" applyBorder="1"/>
    <xf numFmtId="0" fontId="45" fillId="0" borderId="0" xfId="0" applyFont="1"/>
    <xf numFmtId="2" fontId="0" fillId="0" borderId="0" xfId="0" applyNumberFormat="1" applyAlignment="1">
      <alignment vertical="center"/>
    </xf>
    <xf numFmtId="0" fontId="34" fillId="0" borderId="5" xfId="0" applyFont="1" applyBorder="1" applyAlignment="1">
      <alignment wrapText="1"/>
    </xf>
    <xf numFmtId="0" fontId="58" fillId="10" borderId="7" xfId="0" applyFont="1" applyFill="1" applyBorder="1"/>
    <xf numFmtId="0" fontId="58" fillId="10" borderId="14" xfId="0" applyFont="1" applyFill="1" applyBorder="1"/>
    <xf numFmtId="0" fontId="58" fillId="10" borderId="14" xfId="0" applyFont="1" applyFill="1" applyBorder="1" applyAlignment="1">
      <alignment horizontal="center"/>
    </xf>
    <xf numFmtId="0" fontId="58" fillId="10" borderId="18" xfId="0" applyFont="1" applyFill="1" applyBorder="1" applyAlignment="1">
      <alignment horizontal="center"/>
    </xf>
    <xf numFmtId="0" fontId="34" fillId="0" borderId="0" xfId="0" applyFont="1" applyAlignment="1">
      <alignment wrapText="1"/>
    </xf>
    <xf numFmtId="0" fontId="63" fillId="0" borderId="8" xfId="0" applyFont="1" applyBorder="1" applyAlignment="1">
      <alignment horizontal="center"/>
    </xf>
    <xf numFmtId="0" fontId="63" fillId="0" borderId="0" xfId="0" applyFont="1" applyAlignment="1">
      <alignment horizontal="center"/>
    </xf>
    <xf numFmtId="0" fontId="34" fillId="0" borderId="7" xfId="0" applyFont="1" applyBorder="1" applyAlignment="1">
      <alignment vertical="center"/>
    </xf>
    <xf numFmtId="0" fontId="94" fillId="0" borderId="0" xfId="0" applyFont="1" applyAlignment="1">
      <alignment horizontal="center"/>
    </xf>
    <xf numFmtId="0" fontId="34" fillId="0" borderId="0" xfId="0" applyFont="1" applyAlignment="1">
      <alignment horizontal="center"/>
    </xf>
    <xf numFmtId="0" fontId="16" fillId="0" borderId="0" xfId="0" applyFont="1"/>
    <xf numFmtId="0" fontId="31" fillId="0" borderId="0" xfId="0" applyFont="1" applyAlignment="1">
      <alignment vertical="center"/>
    </xf>
    <xf numFmtId="0" fontId="63" fillId="0" borderId="0" xfId="0" applyFont="1"/>
    <xf numFmtId="0" fontId="18" fillId="0" borderId="0" xfId="0" applyFont="1"/>
    <xf numFmtId="0" fontId="45" fillId="12" borderId="8" xfId="0" applyFont="1" applyFill="1" applyBorder="1"/>
    <xf numFmtId="49" fontId="110" fillId="25" borderId="24" xfId="0" applyNumberFormat="1" applyFont="1" applyFill="1" applyBorder="1" applyAlignment="1">
      <alignment horizontal="center" vertical="center" wrapText="1"/>
    </xf>
    <xf numFmtId="0" fontId="5" fillId="0" borderId="1" xfId="0" applyFont="1" applyBorder="1" applyAlignment="1">
      <alignment wrapText="1"/>
    </xf>
    <xf numFmtId="0" fontId="115" fillId="6" borderId="5" xfId="0" applyFont="1" applyFill="1" applyBorder="1" applyAlignment="1">
      <alignment horizontal="center" wrapText="1"/>
    </xf>
    <xf numFmtId="0" fontId="35" fillId="0" borderId="0" xfId="0" applyFont="1" applyAlignment="1">
      <alignment horizontal="center" wrapText="1"/>
    </xf>
    <xf numFmtId="0" fontId="13" fillId="0" borderId="0" xfId="0" applyFont="1"/>
    <xf numFmtId="0" fontId="32" fillId="0" borderId="0" xfId="0" applyFont="1"/>
    <xf numFmtId="0" fontId="1" fillId="0" borderId="0" xfId="0" applyFont="1"/>
    <xf numFmtId="0" fontId="28" fillId="0" borderId="0" xfId="0" applyFont="1" applyAlignment="1">
      <alignment horizontal="right"/>
    </xf>
    <xf numFmtId="49" fontId="5" fillId="19" borderId="0" xfId="0" applyNumberFormat="1" applyFont="1" applyFill="1" applyAlignment="1">
      <alignment horizontal="center" wrapText="1"/>
    </xf>
    <xf numFmtId="0" fontId="64" fillId="0" borderId="0" xfId="0" applyFont="1" applyAlignment="1">
      <alignment horizontal="left"/>
    </xf>
    <xf numFmtId="0" fontId="115" fillId="6" borderId="5" xfId="0" applyFont="1" applyFill="1" applyBorder="1" applyAlignment="1">
      <alignment horizontal="center" vertical="center" wrapText="1"/>
    </xf>
    <xf numFmtId="0" fontId="4" fillId="2" borderId="14" xfId="0" applyFont="1" applyFill="1" applyBorder="1" applyAlignment="1">
      <alignment horizontal="center"/>
    </xf>
    <xf numFmtId="0" fontId="4" fillId="12" borderId="5" xfId="0" applyFont="1" applyFill="1" applyBorder="1" applyAlignment="1">
      <alignment horizontal="center"/>
    </xf>
    <xf numFmtId="0" fontId="4" fillId="0" borderId="0" xfId="0" applyFont="1" applyAlignment="1">
      <alignment horizontal="center"/>
    </xf>
    <xf numFmtId="0" fontId="4" fillId="0" borderId="0" xfId="0" applyFont="1"/>
    <xf numFmtId="0" fontId="4" fillId="4" borderId="0" xfId="0" applyFont="1" applyFill="1"/>
    <xf numFmtId="0" fontId="4" fillId="4" borderId="2" xfId="0" applyFont="1" applyFill="1" applyBorder="1"/>
    <xf numFmtId="0" fontId="0" fillId="0" borderId="10" xfId="0" applyBorder="1"/>
    <xf numFmtId="2" fontId="5" fillId="0" borderId="10" xfId="0" applyNumberFormat="1" applyFont="1" applyBorder="1"/>
    <xf numFmtId="2" fontId="5" fillId="0" borderId="0" xfId="0" applyNumberFormat="1" applyFont="1"/>
    <xf numFmtId="0" fontId="0" fillId="12" borderId="59" xfId="0" applyFill="1" applyBorder="1" applyAlignment="1">
      <alignment horizontal="center"/>
    </xf>
    <xf numFmtId="0" fontId="10" fillId="0" borderId="0" xfId="0" applyFont="1" applyAlignment="1">
      <alignment horizontal="center"/>
    </xf>
    <xf numFmtId="0" fontId="103" fillId="11" borderId="17" xfId="0" applyFont="1" applyFill="1" applyBorder="1"/>
    <xf numFmtId="0" fontId="8" fillId="0" borderId="0" xfId="0" applyFont="1"/>
    <xf numFmtId="0" fontId="5" fillId="11" borderId="0" xfId="0" applyFont="1" applyFill="1"/>
    <xf numFmtId="0" fontId="8" fillId="0" borderId="4" xfId="0" applyFont="1" applyBorder="1" applyAlignment="1">
      <alignment horizontal="center" wrapText="1"/>
    </xf>
    <xf numFmtId="0" fontId="0" fillId="0" borderId="0" xfId="0" applyAlignment="1">
      <alignment horizontal="center" wrapText="1"/>
    </xf>
    <xf numFmtId="0" fontId="10" fillId="0" borderId="0" xfId="0" applyFont="1" applyAlignment="1">
      <alignment horizontal="center" wrapText="1"/>
    </xf>
    <xf numFmtId="0" fontId="0" fillId="0" borderId="10" xfId="0" applyBorder="1" applyAlignment="1">
      <alignment vertical="center"/>
    </xf>
    <xf numFmtId="0" fontId="0" fillId="0" borderId="4" xfId="0" applyBorder="1" applyAlignment="1">
      <alignment vertical="center"/>
    </xf>
    <xf numFmtId="0" fontId="10" fillId="0" borderId="0" xfId="0" applyFont="1"/>
    <xf numFmtId="0" fontId="3" fillId="0" borderId="0" xfId="0" applyFont="1" applyAlignment="1">
      <alignment horizontal="center"/>
    </xf>
    <xf numFmtId="2" fontId="5" fillId="0" borderId="9" xfId="0" applyNumberFormat="1" applyFont="1" applyBorder="1"/>
    <xf numFmtId="49" fontId="5" fillId="4" borderId="9" xfId="0" applyNumberFormat="1" applyFont="1" applyFill="1" applyBorder="1" applyAlignment="1">
      <alignment horizontal="center" wrapText="1"/>
    </xf>
    <xf numFmtId="49" fontId="5" fillId="12" borderId="60" xfId="0" applyNumberFormat="1" applyFont="1" applyFill="1" applyBorder="1" applyAlignment="1">
      <alignment horizontal="center" wrapText="1"/>
    </xf>
    <xf numFmtId="49" fontId="5" fillId="0" borderId="0" xfId="0" applyNumberFormat="1" applyFont="1" applyAlignment="1">
      <alignment horizontal="center" wrapText="1"/>
    </xf>
    <xf numFmtId="0" fontId="102" fillId="0" borderId="21" xfId="0" applyFont="1" applyBorder="1"/>
    <xf numFmtId="0" fontId="102" fillId="0" borderId="22" xfId="0" applyFont="1" applyBorder="1"/>
    <xf numFmtId="0" fontId="0" fillId="0" borderId="4" xfId="0" applyBorder="1" applyAlignment="1">
      <alignment horizontal="center" wrapText="1"/>
    </xf>
    <xf numFmtId="0" fontId="0" fillId="7" borderId="0" xfId="0" applyFill="1" applyAlignment="1">
      <alignment horizontal="center" wrapText="1"/>
    </xf>
    <xf numFmtId="0" fontId="5" fillId="11" borderId="13" xfId="0" applyFont="1" applyFill="1" applyBorder="1" applyAlignment="1">
      <alignment horizontal="center" wrapText="1"/>
    </xf>
    <xf numFmtId="0" fontId="0" fillId="7" borderId="0" xfId="0" applyFill="1"/>
    <xf numFmtId="0" fontId="103" fillId="11" borderId="13" xfId="0" applyFont="1" applyFill="1" applyBorder="1" applyAlignment="1">
      <alignment horizontal="center" wrapText="1"/>
    </xf>
    <xf numFmtId="0" fontId="0" fillId="2" borderId="0" xfId="0" applyFill="1" applyAlignment="1">
      <alignment horizontal="center" wrapText="1"/>
    </xf>
    <xf numFmtId="0" fontId="8" fillId="11" borderId="13" xfId="0" applyFont="1" applyFill="1" applyBorder="1" applyAlignment="1">
      <alignment horizontal="center" wrapText="1"/>
    </xf>
    <xf numFmtId="0" fontId="0" fillId="11" borderId="13" xfId="0" applyFill="1" applyBorder="1" applyAlignment="1">
      <alignment horizontal="center" wrapText="1"/>
    </xf>
    <xf numFmtId="0" fontId="3" fillId="8" borderId="0" xfId="0" applyFont="1" applyFill="1"/>
    <xf numFmtId="2" fontId="38" fillId="0" borderId="0" xfId="0" applyNumberFormat="1" applyFont="1" applyAlignment="1">
      <alignment horizontal="center"/>
    </xf>
    <xf numFmtId="2" fontId="41" fillId="0" borderId="24" xfId="0" applyNumberFormat="1" applyFont="1" applyBorder="1" applyAlignment="1">
      <alignment horizontal="center" vertical="center"/>
    </xf>
    <xf numFmtId="2" fontId="9" fillId="0" borderId="0" xfId="0" applyNumberFormat="1" applyFont="1"/>
    <xf numFmtId="0" fontId="5" fillId="2" borderId="5" xfId="0" applyFont="1" applyFill="1" applyBorder="1"/>
    <xf numFmtId="0" fontId="5" fillId="0" borderId="7" xfId="0" applyFont="1" applyBorder="1"/>
    <xf numFmtId="0" fontId="5" fillId="2" borderId="18" xfId="0" applyFont="1" applyFill="1" applyBorder="1" applyAlignment="1">
      <alignment horizontal="center"/>
    </xf>
    <xf numFmtId="0" fontId="5" fillId="2" borderId="5" xfId="0" applyFont="1" applyFill="1" applyBorder="1" applyAlignment="1">
      <alignment horizontal="center"/>
    </xf>
    <xf numFmtId="0" fontId="104" fillId="11" borderId="25" xfId="0" applyFont="1" applyFill="1" applyBorder="1"/>
    <xf numFmtId="0" fontId="104" fillId="11" borderId="26" xfId="0" applyFont="1" applyFill="1" applyBorder="1"/>
    <xf numFmtId="0" fontId="5" fillId="11" borderId="14" xfId="0" applyFont="1" applyFill="1" applyBorder="1"/>
    <xf numFmtId="0" fontId="0" fillId="0" borderId="18" xfId="0" applyBorder="1"/>
    <xf numFmtId="0" fontId="12" fillId="0" borderId="1" xfId="0" applyFont="1" applyBorder="1" applyAlignment="1">
      <alignment horizontal="center"/>
    </xf>
    <xf numFmtId="0" fontId="12" fillId="7" borderId="1" xfId="0" applyFont="1" applyFill="1" applyBorder="1" applyAlignment="1">
      <alignment horizontal="center"/>
    </xf>
    <xf numFmtId="0" fontId="5" fillId="11" borderId="1" xfId="0" applyFont="1" applyFill="1" applyBorder="1" applyAlignment="1">
      <alignment horizontal="center"/>
    </xf>
    <xf numFmtId="0" fontId="36" fillId="7" borderId="1" xfId="0" applyFont="1" applyFill="1" applyBorder="1"/>
    <xf numFmtId="0" fontId="105" fillId="11" borderId="1" xfId="0" applyFont="1" applyFill="1" applyBorder="1" applyAlignment="1">
      <alignment horizontal="center"/>
    </xf>
    <xf numFmtId="0" fontId="36" fillId="2" borderId="1" xfId="0" applyFont="1" applyFill="1" applyBorder="1"/>
    <xf numFmtId="0" fontId="37" fillId="11" borderId="1" xfId="0" applyFont="1" applyFill="1" applyBorder="1" applyAlignment="1">
      <alignment horizontal="center"/>
    </xf>
    <xf numFmtId="0" fontId="37" fillId="13" borderId="1" xfId="0" applyFont="1" applyFill="1" applyBorder="1" applyAlignment="1">
      <alignment horizontal="center"/>
    </xf>
    <xf numFmtId="0" fontId="37" fillId="0" borderId="1" xfId="0" applyFont="1" applyBorder="1" applyAlignment="1">
      <alignment horizontal="center"/>
    </xf>
    <xf numFmtId="0" fontId="37" fillId="8" borderId="1" xfId="0" applyFont="1" applyFill="1" applyBorder="1" applyAlignment="1">
      <alignment horizontal="center"/>
    </xf>
    <xf numFmtId="2" fontId="39" fillId="2" borderId="5" xfId="0" applyNumberFormat="1" applyFont="1" applyFill="1" applyBorder="1" applyAlignment="1">
      <alignment horizontal="center"/>
    </xf>
    <xf numFmtId="2" fontId="39" fillId="2" borderId="7" xfId="0" applyNumberFormat="1" applyFont="1" applyFill="1" applyBorder="1" applyAlignment="1">
      <alignment horizontal="center"/>
    </xf>
    <xf numFmtId="2" fontId="39" fillId="7" borderId="5" xfId="0" applyNumberFormat="1" applyFont="1" applyFill="1" applyBorder="1" applyAlignment="1">
      <alignment horizontal="center"/>
    </xf>
    <xf numFmtId="0" fontId="6" fillId="0" borderId="0" xfId="0" applyFont="1"/>
    <xf numFmtId="0" fontId="5" fillId="2" borderId="6" xfId="0" applyFont="1" applyFill="1" applyBorder="1"/>
    <xf numFmtId="0" fontId="5" fillId="0" borderId="6" xfId="0" applyFont="1" applyBorder="1"/>
    <xf numFmtId="0" fontId="9" fillId="2" borderId="18" xfId="0" applyFont="1" applyFill="1" applyBorder="1" applyAlignment="1">
      <alignment horizontal="center"/>
    </xf>
    <xf numFmtId="0" fontId="5" fillId="2" borderId="7" xfId="0" applyFont="1" applyFill="1" applyBorder="1" applyAlignment="1">
      <alignment horizontal="center"/>
    </xf>
    <xf numFmtId="0" fontId="5" fillId="2" borderId="15" xfId="0" applyFont="1" applyFill="1" applyBorder="1" applyAlignment="1">
      <alignment horizontal="center"/>
    </xf>
    <xf numFmtId="0" fontId="104" fillId="11" borderId="19" xfId="0" applyFont="1" applyFill="1" applyBorder="1"/>
    <xf numFmtId="0" fontId="104" fillId="11" borderId="20" xfId="0" applyFont="1" applyFill="1" applyBorder="1"/>
    <xf numFmtId="0" fontId="0" fillId="0" borderId="3" xfId="0" applyBorder="1"/>
    <xf numFmtId="0" fontId="12" fillId="0" borderId="0" xfId="0" applyFont="1" applyAlignment="1">
      <alignment horizontal="center"/>
    </xf>
    <xf numFmtId="0" fontId="12" fillId="7" borderId="0" xfId="0" applyFont="1" applyFill="1" applyAlignment="1">
      <alignment horizontal="center"/>
    </xf>
    <xf numFmtId="0" fontId="5" fillId="11" borderId="0" xfId="0" applyFont="1" applyFill="1" applyAlignment="1">
      <alignment horizontal="center"/>
    </xf>
    <xf numFmtId="0" fontId="36" fillId="7" borderId="0" xfId="0" applyFont="1" applyFill="1"/>
    <xf numFmtId="0" fontId="105" fillId="11" borderId="0" xfId="0" applyFont="1" applyFill="1" applyAlignment="1">
      <alignment horizontal="center"/>
    </xf>
    <xf numFmtId="0" fontId="36" fillId="2" borderId="0" xfId="0" applyFont="1" applyFill="1"/>
    <xf numFmtId="0" fontId="37" fillId="11" borderId="0" xfId="0" applyFont="1" applyFill="1" applyAlignment="1">
      <alignment horizontal="center"/>
    </xf>
    <xf numFmtId="0" fontId="37" fillId="0" borderId="0" xfId="0" applyFont="1" applyAlignment="1">
      <alignment horizontal="center"/>
    </xf>
    <xf numFmtId="0" fontId="37" fillId="8" borderId="0" xfId="0" applyFont="1" applyFill="1" applyAlignment="1">
      <alignment horizontal="center"/>
    </xf>
    <xf numFmtId="2" fontId="39" fillId="26" borderId="5" xfId="0" applyNumberFormat="1" applyFont="1" applyFill="1" applyBorder="1" applyAlignment="1">
      <alignment horizontal="center"/>
    </xf>
    <xf numFmtId="0" fontId="5" fillId="2" borderId="2" xfId="0" applyFont="1" applyFill="1" applyBorder="1" applyAlignment="1">
      <alignment horizontal="center"/>
    </xf>
    <xf numFmtId="0" fontId="0" fillId="0" borderId="4" xfId="0" applyBorder="1" applyAlignment="1">
      <alignment horizontal="center"/>
    </xf>
    <xf numFmtId="0" fontId="90" fillId="19" borderId="8" xfId="0" applyFont="1" applyFill="1" applyBorder="1" applyAlignment="1">
      <alignment horizontal="left"/>
    </xf>
    <xf numFmtId="0" fontId="64" fillId="0" borderId="8" xfId="0" applyFont="1" applyBorder="1" applyAlignment="1">
      <alignment horizontal="center"/>
    </xf>
    <xf numFmtId="0" fontId="17" fillId="19" borderId="8" xfId="0" applyFont="1" applyFill="1" applyBorder="1"/>
    <xf numFmtId="0" fontId="90" fillId="13" borderId="8" xfId="0" applyFont="1" applyFill="1" applyBorder="1" applyAlignment="1">
      <alignment horizontal="center"/>
    </xf>
    <xf numFmtId="0" fontId="8" fillId="13" borderId="8" xfId="0" applyFont="1" applyFill="1" applyBorder="1"/>
    <xf numFmtId="0" fontId="8" fillId="0" borderId="8" xfId="0" applyFont="1" applyBorder="1"/>
    <xf numFmtId="0" fontId="8" fillId="19" borderId="8" xfId="0" applyFont="1" applyFill="1" applyBorder="1"/>
    <xf numFmtId="0" fontId="64" fillId="0" borderId="8" xfId="0" applyFont="1" applyBorder="1" applyAlignment="1">
      <alignment horizontal="left"/>
    </xf>
    <xf numFmtId="0" fontId="3" fillId="0" borderId="0" xfId="0" applyFont="1" applyAlignment="1">
      <alignment horizontal="right"/>
    </xf>
    <xf numFmtId="0" fontId="22" fillId="0" borderId="0" xfId="0" applyFont="1" applyAlignment="1">
      <alignment horizontal="center"/>
    </xf>
    <xf numFmtId="0" fontId="22" fillId="0" borderId="0" xfId="0" applyFont="1"/>
    <xf numFmtId="0" fontId="64" fillId="0" borderId="13" xfId="0" applyFont="1" applyBorder="1" applyAlignment="1">
      <alignment horizontal="center"/>
    </xf>
    <xf numFmtId="0" fontId="17" fillId="19" borderId="13" xfId="0" applyFont="1" applyFill="1" applyBorder="1"/>
    <xf numFmtId="0" fontId="64" fillId="0" borderId="13" xfId="0" applyFont="1" applyBorder="1" applyAlignment="1">
      <alignment horizontal="left"/>
    </xf>
    <xf numFmtId="0" fontId="20" fillId="0" borderId="0" xfId="0" applyFont="1"/>
    <xf numFmtId="0" fontId="27" fillId="0" borderId="0" xfId="0" applyFont="1"/>
    <xf numFmtId="0" fontId="34" fillId="20" borderId="8" xfId="0" applyFont="1" applyFill="1" applyBorder="1"/>
    <xf numFmtId="0" fontId="74" fillId="20" borderId="8" xfId="0" applyFont="1" applyFill="1" applyBorder="1"/>
    <xf numFmtId="0" fontId="55" fillId="12" borderId="8" xfId="0" applyFont="1" applyFill="1" applyBorder="1"/>
    <xf numFmtId="0" fontId="28" fillId="0" borderId="8" xfId="0" applyFont="1" applyBorder="1"/>
    <xf numFmtId="0" fontId="13" fillId="3" borderId="8" xfId="0" applyFont="1" applyFill="1" applyBorder="1" applyAlignment="1">
      <alignment horizontal="center"/>
    </xf>
    <xf numFmtId="0" fontId="45" fillId="16" borderId="8" xfId="0" applyFont="1" applyFill="1" applyBorder="1"/>
    <xf numFmtId="0" fontId="45" fillId="16" borderId="8" xfId="0" applyFont="1" applyFill="1" applyBorder="1" applyAlignment="1">
      <alignment vertical="center"/>
    </xf>
    <xf numFmtId="0" fontId="45" fillId="16" borderId="31" xfId="0" applyFont="1" applyFill="1" applyBorder="1" applyAlignment="1">
      <alignment vertical="center"/>
    </xf>
    <xf numFmtId="0" fontId="5" fillId="0" borderId="0" xfId="0" applyFont="1" applyAlignment="1">
      <alignment horizontal="right"/>
    </xf>
    <xf numFmtId="0" fontId="0" fillId="0" borderId="11" xfId="0" applyBorder="1"/>
    <xf numFmtId="0" fontId="20" fillId="0" borderId="11" xfId="0" applyFont="1" applyBorder="1"/>
    <xf numFmtId="0" fontId="20" fillId="0" borderId="12" xfId="0" applyFont="1" applyBorder="1"/>
    <xf numFmtId="0" fontId="11" fillId="0" borderId="0" xfId="0" applyFont="1" applyAlignment="1">
      <alignment horizontal="left"/>
    </xf>
    <xf numFmtId="0" fontId="18" fillId="0" borderId="0" xfId="0" applyFont="1" applyAlignment="1">
      <alignment horizontal="center"/>
    </xf>
    <xf numFmtId="0" fontId="18" fillId="0" borderId="11" xfId="0" applyFont="1" applyBorder="1"/>
    <xf numFmtId="0" fontId="18" fillId="0" borderId="12" xfId="0" applyFont="1" applyBorder="1"/>
    <xf numFmtId="0" fontId="110" fillId="0" borderId="0" xfId="0" applyFont="1" applyAlignment="1">
      <alignment horizontal="center"/>
    </xf>
    <xf numFmtId="49" fontId="34" fillId="0" borderId="0" xfId="0" applyNumberFormat="1" applyFont="1" applyAlignment="1">
      <alignment horizontal="center" wrapText="1"/>
    </xf>
    <xf numFmtId="1" fontId="35" fillId="0" borderId="0" xfId="0" applyNumberFormat="1" applyFont="1"/>
    <xf numFmtId="0" fontId="30" fillId="0" borderId="0" xfId="0" applyFont="1" applyAlignment="1">
      <alignment horizontal="center" vertical="center"/>
    </xf>
    <xf numFmtId="0" fontId="3" fillId="0" borderId="0" xfId="0" applyFont="1" applyAlignment="1">
      <alignment vertical="center"/>
    </xf>
    <xf numFmtId="2" fontId="65" fillId="0" borderId="0" xfId="0" applyNumberFormat="1" applyFont="1" applyAlignment="1">
      <alignment horizontal="center" vertical="center"/>
    </xf>
    <xf numFmtId="49" fontId="34" fillId="0" borderId="0" xfId="0" applyNumberFormat="1" applyFont="1" applyAlignment="1">
      <alignment horizontal="center" vertical="center" wrapText="1"/>
    </xf>
    <xf numFmtId="0" fontId="11" fillId="0" borderId="0" xfId="0" applyFont="1" applyAlignment="1">
      <alignment horizontal="left" vertical="center"/>
    </xf>
    <xf numFmtId="0" fontId="5" fillId="0" borderId="0" xfId="0" applyFont="1" applyAlignment="1">
      <alignment vertical="center"/>
    </xf>
    <xf numFmtId="2" fontId="15" fillId="0" borderId="0" xfId="0" applyNumberFormat="1" applyFont="1" applyAlignment="1">
      <alignment horizontal="center" vertical="center"/>
    </xf>
    <xf numFmtId="2" fontId="65" fillId="0" borderId="0" xfId="0" applyNumberFormat="1" applyFont="1" applyAlignment="1">
      <alignment vertical="center"/>
    </xf>
    <xf numFmtId="0" fontId="93" fillId="22" borderId="0" xfId="0" applyFont="1" applyFill="1" applyAlignment="1">
      <alignment horizontal="center"/>
    </xf>
    <xf numFmtId="0" fontId="35" fillId="6" borderId="5" xfId="0" applyFont="1" applyFill="1" applyBorder="1" applyAlignment="1">
      <alignment horizontal="center" vertical="center" wrapText="1"/>
    </xf>
    <xf numFmtId="49" fontId="43" fillId="16" borderId="0" xfId="0" applyNumberFormat="1" applyFont="1" applyFill="1" applyAlignment="1">
      <alignment horizontal="center" wrapText="1"/>
    </xf>
    <xf numFmtId="0" fontId="33" fillId="0" borderId="0" xfId="0" applyFont="1"/>
    <xf numFmtId="0" fontId="0" fillId="0" borderId="16" xfId="0" applyBorder="1"/>
    <xf numFmtId="49" fontId="34" fillId="15" borderId="5" xfId="0" applyNumberFormat="1" applyFont="1" applyFill="1" applyBorder="1" applyAlignment="1">
      <alignment horizontal="center" wrapText="1"/>
    </xf>
    <xf numFmtId="49" fontId="3" fillId="4" borderId="0" xfId="0" applyNumberFormat="1" applyFont="1" applyFill="1" applyAlignment="1">
      <alignment horizontal="center" wrapText="1"/>
    </xf>
    <xf numFmtId="0" fontId="4" fillId="12" borderId="14" xfId="0" applyFont="1" applyFill="1" applyBorder="1" applyAlignment="1">
      <alignment horizontal="center"/>
    </xf>
    <xf numFmtId="49" fontId="5" fillId="12" borderId="5" xfId="0" applyNumberFormat="1" applyFont="1" applyFill="1" applyBorder="1" applyAlignment="1">
      <alignment horizontal="center" wrapText="1"/>
    </xf>
    <xf numFmtId="49" fontId="34" fillId="12" borderId="0" xfId="0" applyNumberFormat="1" applyFont="1" applyFill="1" applyAlignment="1">
      <alignment horizontal="center" wrapText="1"/>
    </xf>
    <xf numFmtId="0" fontId="40" fillId="0" borderId="0" xfId="0" applyFont="1"/>
    <xf numFmtId="2" fontId="41" fillId="0" borderId="5" xfId="0" applyNumberFormat="1" applyFont="1" applyBorder="1" applyAlignment="1">
      <alignment horizontal="center"/>
    </xf>
    <xf numFmtId="0" fontId="5" fillId="12" borderId="0" xfId="0" applyFont="1" applyFill="1"/>
    <xf numFmtId="0" fontId="5" fillId="12" borderId="1" xfId="0" applyFont="1" applyFill="1" applyBorder="1"/>
    <xf numFmtId="0" fontId="0" fillId="12" borderId="24" xfId="0" applyFill="1" applyBorder="1"/>
    <xf numFmtId="0" fontId="0" fillId="12" borderId="0" xfId="0" applyFill="1"/>
    <xf numFmtId="0" fontId="28" fillId="11" borderId="8" xfId="0" applyFont="1" applyFill="1" applyBorder="1"/>
    <xf numFmtId="0" fontId="5" fillId="13" borderId="8" xfId="0" applyFont="1" applyFill="1" applyBorder="1"/>
    <xf numFmtId="0" fontId="8" fillId="0" borderId="8" xfId="0" applyFont="1" applyBorder="1" applyAlignment="1">
      <alignment horizontal="center" wrapText="1"/>
    </xf>
    <xf numFmtId="0" fontId="8" fillId="0" borderId="0" xfId="0" applyFont="1" applyAlignment="1">
      <alignment horizontal="center" wrapText="1"/>
    </xf>
    <xf numFmtId="2" fontId="5" fillId="12" borderId="3" xfId="0" applyNumberFormat="1" applyFont="1" applyFill="1" applyBorder="1"/>
    <xf numFmtId="2" fontId="5" fillId="12" borderId="7" xfId="0" applyNumberFormat="1" applyFont="1" applyFill="1" applyBorder="1"/>
    <xf numFmtId="0" fontId="0" fillId="12" borderId="30" xfId="0" applyFill="1" applyBorder="1"/>
    <xf numFmtId="49" fontId="34" fillId="12" borderId="18" xfId="0" applyNumberFormat="1" applyFont="1" applyFill="1" applyBorder="1" applyAlignment="1">
      <alignment horizontal="center" wrapText="1"/>
    </xf>
    <xf numFmtId="0" fontId="8" fillId="7" borderId="0" xfId="0" applyFont="1" applyFill="1" applyAlignment="1">
      <alignment horizontal="center" wrapText="1"/>
    </xf>
    <xf numFmtId="0" fontId="8" fillId="11" borderId="0" xfId="0" applyFont="1" applyFill="1" applyAlignment="1">
      <alignment horizontal="center" wrapText="1"/>
    </xf>
    <xf numFmtId="0" fontId="8" fillId="7" borderId="0" xfId="0" applyFont="1" applyFill="1"/>
    <xf numFmtId="0" fontId="28" fillId="11" borderId="0" xfId="0" applyFont="1" applyFill="1" applyAlignment="1">
      <alignment horizontal="center" wrapText="1"/>
    </xf>
    <xf numFmtId="0" fontId="5" fillId="11" borderId="8" xfId="0" applyFont="1" applyFill="1" applyBorder="1" applyAlignment="1">
      <alignment horizontal="center" wrapText="1"/>
    </xf>
    <xf numFmtId="0" fontId="8" fillId="2" borderId="0" xfId="0" applyFont="1" applyFill="1" applyAlignment="1">
      <alignment horizontal="center" wrapText="1"/>
    </xf>
    <xf numFmtId="0" fontId="8" fillId="13" borderId="0" xfId="0" applyFont="1" applyFill="1" applyAlignment="1">
      <alignment horizontal="center" wrapText="1"/>
    </xf>
    <xf numFmtId="0" fontId="5" fillId="8" borderId="0" xfId="0" applyFont="1" applyFill="1"/>
    <xf numFmtId="2" fontId="41" fillId="0" borderId="0" xfId="0" applyNumberFormat="1" applyFont="1" applyAlignment="1">
      <alignment horizontal="center"/>
    </xf>
    <xf numFmtId="0" fontId="5" fillId="12" borderId="5" xfId="0" applyFont="1" applyFill="1" applyBorder="1"/>
    <xf numFmtId="0" fontId="5" fillId="12" borderId="7" xfId="0" applyFont="1" applyFill="1" applyBorder="1"/>
    <xf numFmtId="0" fontId="5" fillId="12" borderId="18" xfId="0" applyFont="1" applyFill="1" applyBorder="1" applyAlignment="1">
      <alignment horizontal="center"/>
    </xf>
    <xf numFmtId="0" fontId="5" fillId="0" borderId="7" xfId="0" applyFont="1" applyBorder="1" applyAlignment="1">
      <alignment horizontal="center"/>
    </xf>
    <xf numFmtId="0" fontId="28" fillId="13" borderId="8" xfId="0" applyFont="1" applyFill="1" applyBorder="1"/>
    <xf numFmtId="0" fontId="5" fillId="0" borderId="5" xfId="0" applyFont="1" applyBorder="1" applyAlignment="1">
      <alignment horizontal="center"/>
    </xf>
    <xf numFmtId="0" fontId="12" fillId="7" borderId="8" xfId="0" applyFont="1" applyFill="1" applyBorder="1" applyAlignment="1">
      <alignment horizontal="center"/>
    </xf>
    <xf numFmtId="0" fontId="45" fillId="11" borderId="8" xfId="0" applyFont="1" applyFill="1" applyBorder="1" applyAlignment="1">
      <alignment horizontal="center"/>
    </xf>
    <xf numFmtId="0" fontId="8" fillId="7" borderId="8" xfId="0" applyFont="1" applyFill="1" applyBorder="1"/>
    <xf numFmtId="0" fontId="72" fillId="11" borderId="8" xfId="0" applyFont="1" applyFill="1" applyBorder="1" applyAlignment="1">
      <alignment horizontal="center"/>
    </xf>
    <xf numFmtId="0" fontId="36" fillId="2" borderId="8" xfId="0" applyFont="1" applyFill="1" applyBorder="1"/>
    <xf numFmtId="0" fontId="37" fillId="0" borderId="8" xfId="0" applyFont="1" applyBorder="1" applyAlignment="1">
      <alignment horizontal="center"/>
    </xf>
    <xf numFmtId="2" fontId="5" fillId="7" borderId="5" xfId="0" applyNumberFormat="1" applyFont="1" applyFill="1" applyBorder="1" applyAlignment="1">
      <alignment horizontal="center"/>
    </xf>
    <xf numFmtId="0" fontId="5" fillId="12" borderId="6" xfId="0" applyFont="1" applyFill="1" applyBorder="1"/>
    <xf numFmtId="0" fontId="5" fillId="0" borderId="6" xfId="0" applyFont="1" applyBorder="1" applyAlignment="1">
      <alignment horizontal="center"/>
    </xf>
    <xf numFmtId="0" fontId="17" fillId="0" borderId="0" xfId="0" applyFont="1"/>
    <xf numFmtId="49" fontId="43" fillId="13" borderId="0" xfId="0" applyNumberFormat="1" applyFont="1" applyFill="1" applyAlignment="1">
      <alignment horizontal="center" wrapText="1"/>
    </xf>
    <xf numFmtId="49" fontId="43" fillId="24" borderId="0" xfId="0" applyNumberFormat="1" applyFont="1" applyFill="1" applyAlignment="1">
      <alignment horizontal="center" wrapText="1"/>
    </xf>
    <xf numFmtId="0" fontId="37" fillId="11" borderId="8" xfId="0" applyFont="1" applyFill="1" applyBorder="1" applyAlignment="1">
      <alignment horizontal="center"/>
    </xf>
    <xf numFmtId="0" fontId="66" fillId="0" borderId="8" xfId="0" applyFont="1" applyBorder="1"/>
    <xf numFmtId="0" fontId="45" fillId="13" borderId="8" xfId="0" applyFont="1" applyFill="1" applyBorder="1"/>
    <xf numFmtId="0" fontId="49" fillId="13" borderId="8" xfId="0" applyFont="1" applyFill="1" applyBorder="1"/>
    <xf numFmtId="0" fontId="45" fillId="18" borderId="8" xfId="0" applyFont="1" applyFill="1" applyBorder="1"/>
    <xf numFmtId="0" fontId="49" fillId="18" borderId="8" xfId="0" applyFont="1" applyFill="1" applyBorder="1"/>
    <xf numFmtId="0" fontId="29" fillId="0" borderId="0" xfId="0" applyFont="1" applyAlignment="1">
      <alignment horizontal="center"/>
    </xf>
    <xf numFmtId="0" fontId="43" fillId="18" borderId="8" xfId="0" applyFont="1" applyFill="1" applyBorder="1"/>
    <xf numFmtId="0" fontId="12" fillId="0" borderId="0" xfId="0" applyFont="1" applyAlignment="1">
      <alignment wrapText="1"/>
    </xf>
    <xf numFmtId="0" fontId="45" fillId="12" borderId="8" xfId="0" applyFont="1" applyFill="1" applyBorder="1" applyAlignment="1">
      <alignment horizontal="right"/>
    </xf>
    <xf numFmtId="0" fontId="65" fillId="0" borderId="0" xfId="0" applyFont="1" applyAlignment="1">
      <alignment horizontal="center" vertical="center" wrapText="1"/>
    </xf>
    <xf numFmtId="2" fontId="112" fillId="0" borderId="0" xfId="0" applyNumberFormat="1" applyFont="1"/>
    <xf numFmtId="0" fontId="12" fillId="0" borderId="0" xfId="0" applyFont="1" applyAlignment="1">
      <alignment vertical="center" wrapText="1"/>
    </xf>
    <xf numFmtId="0" fontId="65" fillId="0" borderId="0" xfId="0" applyFont="1" applyAlignment="1">
      <alignment vertical="center"/>
    </xf>
    <xf numFmtId="0" fontId="65" fillId="0" borderId="0" xfId="0" applyFont="1" applyAlignment="1">
      <alignment horizontal="center" vertical="center"/>
    </xf>
    <xf numFmtId="0" fontId="25" fillId="0" borderId="0" xfId="0" applyFont="1"/>
    <xf numFmtId="0" fontId="26" fillId="0" borderId="0" xfId="0" applyFont="1"/>
    <xf numFmtId="49" fontId="5" fillId="0" borderId="0" xfId="0" applyNumberFormat="1" applyFont="1" applyAlignment="1">
      <alignment horizontal="center"/>
    </xf>
    <xf numFmtId="0" fontId="35" fillId="6" borderId="5" xfId="0" applyFont="1" applyFill="1" applyBorder="1" applyAlignment="1">
      <alignment horizontal="center" wrapText="1"/>
    </xf>
    <xf numFmtId="0" fontId="45" fillId="0" borderId="0" xfId="0" applyFont="1" applyAlignment="1">
      <alignment horizontal="center" vertical="center" wrapText="1"/>
    </xf>
    <xf numFmtId="49" fontId="34" fillId="15" borderId="5" xfId="0" applyNumberFormat="1" applyFont="1" applyFill="1" applyBorder="1" applyAlignment="1">
      <alignment horizontal="center" vertical="center" wrapText="1"/>
    </xf>
    <xf numFmtId="49" fontId="3" fillId="0" borderId="0" xfId="0" applyNumberFormat="1" applyFont="1" applyAlignment="1">
      <alignment horizontal="center" wrapText="1"/>
    </xf>
    <xf numFmtId="49" fontId="4" fillId="12" borderId="5" xfId="0" applyNumberFormat="1" applyFont="1" applyFill="1" applyBorder="1" applyAlignment="1">
      <alignment horizontal="center" vertical="center" wrapText="1"/>
    </xf>
    <xf numFmtId="49" fontId="45" fillId="0" borderId="0" xfId="0" applyNumberFormat="1" applyFont="1" applyAlignment="1">
      <alignment horizontal="center" wrapText="1"/>
    </xf>
    <xf numFmtId="0" fontId="70" fillId="0" borderId="0" xfId="0" applyFont="1"/>
    <xf numFmtId="0" fontId="5" fillId="0" borderId="1" xfId="0" applyFont="1" applyBorder="1"/>
    <xf numFmtId="0" fontId="55" fillId="12" borderId="24" xfId="0" applyFont="1" applyFill="1" applyBorder="1"/>
    <xf numFmtId="0" fontId="28" fillId="0" borderId="8" xfId="0" applyFont="1" applyBorder="1" applyAlignment="1">
      <alignment horizontal="center" wrapText="1"/>
    </xf>
    <xf numFmtId="0" fontId="28" fillId="16" borderId="8" xfId="0" applyFont="1" applyFill="1" applyBorder="1"/>
    <xf numFmtId="0" fontId="28" fillId="0" borderId="0" xfId="0" applyFont="1" applyAlignment="1">
      <alignment horizontal="center" wrapText="1"/>
    </xf>
    <xf numFmtId="2" fontId="5" fillId="0" borderId="3" xfId="0" applyNumberFormat="1" applyFont="1" applyBorder="1"/>
    <xf numFmtId="2" fontId="5" fillId="0" borderId="7" xfId="0" applyNumberFormat="1" applyFont="1" applyBorder="1"/>
    <xf numFmtId="0" fontId="43" fillId="15" borderId="8" xfId="0" applyFont="1" applyFill="1" applyBorder="1" applyAlignment="1">
      <alignment horizontal="center" wrapText="1"/>
    </xf>
    <xf numFmtId="0" fontId="28" fillId="15" borderId="8" xfId="0" applyFont="1" applyFill="1" applyBorder="1" applyAlignment="1">
      <alignment horizontal="center" wrapText="1"/>
    </xf>
    <xf numFmtId="0" fontId="28" fillId="7" borderId="0" xfId="0" applyFont="1" applyFill="1" applyAlignment="1">
      <alignment horizontal="center" wrapText="1"/>
    </xf>
    <xf numFmtId="0" fontId="28" fillId="7" borderId="0" xfId="0" applyFont="1" applyFill="1"/>
    <xf numFmtId="0" fontId="28" fillId="2" borderId="0" xfId="0" applyFont="1" applyFill="1" applyAlignment="1">
      <alignment horizontal="center" wrapText="1"/>
    </xf>
    <xf numFmtId="0" fontId="28" fillId="9" borderId="0" xfId="0" applyFont="1" applyFill="1" applyAlignment="1">
      <alignment horizontal="center" wrapText="1"/>
    </xf>
    <xf numFmtId="0" fontId="45" fillId="8" borderId="0" xfId="0" applyFont="1" applyFill="1"/>
    <xf numFmtId="2" fontId="71" fillId="0" borderId="0" xfId="0" applyNumberFormat="1" applyFont="1" applyAlignment="1">
      <alignment horizontal="center"/>
    </xf>
    <xf numFmtId="2" fontId="71" fillId="0" borderId="5" xfId="0" applyNumberFormat="1" applyFont="1" applyBorder="1" applyAlignment="1">
      <alignment horizontal="center"/>
    </xf>
    <xf numFmtId="0" fontId="5" fillId="2" borderId="14" xfId="0" applyFont="1" applyFill="1" applyBorder="1" applyAlignment="1">
      <alignment horizontal="center"/>
    </xf>
    <xf numFmtId="0" fontId="5" fillId="11" borderId="7" xfId="0" applyFont="1" applyFill="1" applyBorder="1" applyAlignment="1">
      <alignment horizontal="center"/>
    </xf>
    <xf numFmtId="0" fontId="5" fillId="16" borderId="7" xfId="0" applyFont="1" applyFill="1" applyBorder="1" applyAlignment="1">
      <alignment horizontal="center"/>
    </xf>
    <xf numFmtId="0" fontId="5" fillId="14" borderId="7" xfId="0" applyFont="1" applyFill="1" applyBorder="1" applyAlignment="1">
      <alignment horizontal="center"/>
    </xf>
    <xf numFmtId="0" fontId="5" fillId="2" borderId="8" xfId="0" applyFont="1" applyFill="1" applyBorder="1" applyAlignment="1">
      <alignment horizontal="center"/>
    </xf>
    <xf numFmtId="0" fontId="67" fillId="0" borderId="0" xfId="0" applyFont="1" applyAlignment="1">
      <alignment horizontal="center"/>
    </xf>
    <xf numFmtId="0" fontId="67" fillId="7" borderId="8" xfId="0" applyFont="1" applyFill="1" applyBorder="1" applyAlignment="1">
      <alignment horizontal="center"/>
    </xf>
    <xf numFmtId="0" fontId="5" fillId="13" borderId="0" xfId="0" applyFont="1" applyFill="1" applyAlignment="1">
      <alignment horizontal="center"/>
    </xf>
    <xf numFmtId="0" fontId="67" fillId="11" borderId="8" xfId="0" applyFont="1" applyFill="1" applyBorder="1" applyAlignment="1">
      <alignment horizontal="center"/>
    </xf>
    <xf numFmtId="0" fontId="70" fillId="7" borderId="8" xfId="0" applyFont="1" applyFill="1" applyBorder="1"/>
    <xf numFmtId="0" fontId="70" fillId="2" borderId="8" xfId="0" applyFont="1" applyFill="1" applyBorder="1"/>
    <xf numFmtId="0" fontId="72" fillId="9" borderId="8" xfId="0" applyFont="1" applyFill="1" applyBorder="1" applyAlignment="1">
      <alignment horizontal="center"/>
    </xf>
    <xf numFmtId="0" fontId="72" fillId="0" borderId="8" xfId="0" applyFont="1" applyBorder="1" applyAlignment="1">
      <alignment horizontal="center"/>
    </xf>
    <xf numFmtId="0" fontId="72" fillId="0" borderId="0" xfId="0" applyFont="1" applyAlignment="1">
      <alignment horizontal="center"/>
    </xf>
    <xf numFmtId="0" fontId="72" fillId="9" borderId="0" xfId="0" applyFont="1" applyFill="1" applyAlignment="1">
      <alignment horizontal="center"/>
    </xf>
    <xf numFmtId="0" fontId="72" fillId="8" borderId="0" xfId="0" applyFont="1" applyFill="1" applyAlignment="1">
      <alignment horizontal="center"/>
    </xf>
    <xf numFmtId="2" fontId="45" fillId="2" borderId="5" xfId="0" applyNumberFormat="1" applyFont="1" applyFill="1" applyBorder="1" applyAlignment="1">
      <alignment horizontal="center"/>
    </xf>
    <xf numFmtId="2" fontId="45" fillId="7" borderId="15" xfId="0" applyNumberFormat="1" applyFont="1" applyFill="1" applyBorder="1" applyAlignment="1">
      <alignment horizontal="center"/>
    </xf>
    <xf numFmtId="0" fontId="67" fillId="7" borderId="0" xfId="0" applyFont="1" applyFill="1" applyAlignment="1">
      <alignment horizontal="center"/>
    </xf>
    <xf numFmtId="2" fontId="45" fillId="7" borderId="5" xfId="0" applyNumberFormat="1" applyFont="1" applyFill="1" applyBorder="1" applyAlignment="1">
      <alignment horizontal="center"/>
    </xf>
    <xf numFmtId="0" fontId="77" fillId="0" borderId="7" xfId="0" applyFont="1" applyBorder="1"/>
    <xf numFmtId="0" fontId="5" fillId="13" borderId="18" xfId="0" applyFont="1" applyFill="1" applyBorder="1" applyAlignment="1">
      <alignment horizontal="center"/>
    </xf>
    <xf numFmtId="49" fontId="3" fillId="4" borderId="18" xfId="0" applyNumberFormat="1" applyFont="1" applyFill="1" applyBorder="1" applyAlignment="1">
      <alignment horizontal="center" wrapText="1"/>
    </xf>
    <xf numFmtId="0" fontId="0" fillId="0" borderId="10" xfId="0" applyBorder="1" applyAlignment="1">
      <alignment horizontal="center"/>
    </xf>
    <xf numFmtId="0" fontId="28" fillId="0" borderId="1" xfId="0" applyFont="1" applyBorder="1"/>
    <xf numFmtId="0" fontId="28" fillId="12" borderId="8" xfId="0" applyFont="1" applyFill="1" applyBorder="1"/>
    <xf numFmtId="2" fontId="14" fillId="0" borderId="0" xfId="0" applyNumberFormat="1" applyFont="1" applyAlignment="1">
      <alignment horizontal="center"/>
    </xf>
    <xf numFmtId="49" fontId="4" fillId="12" borderId="5" xfId="0" applyNumberFormat="1" applyFont="1" applyFill="1" applyBorder="1" applyAlignment="1">
      <alignment horizontal="center" wrapText="1"/>
    </xf>
    <xf numFmtId="49" fontId="45" fillId="4" borderId="18" xfId="0" applyNumberFormat="1" applyFont="1" applyFill="1" applyBorder="1" applyAlignment="1">
      <alignment horizontal="center" wrapText="1"/>
    </xf>
    <xf numFmtId="49" fontId="45" fillId="4" borderId="5" xfId="0" applyNumberFormat="1" applyFont="1" applyFill="1" applyBorder="1" applyAlignment="1">
      <alignment horizontal="center" wrapText="1"/>
    </xf>
    <xf numFmtId="49" fontId="45" fillId="4" borderId="15" xfId="0" applyNumberFormat="1" applyFont="1" applyFill="1" applyBorder="1" applyAlignment="1">
      <alignment horizontal="center" wrapText="1"/>
    </xf>
    <xf numFmtId="49" fontId="45" fillId="4" borderId="6" xfId="0" applyNumberFormat="1" applyFont="1" applyFill="1" applyBorder="1" applyAlignment="1">
      <alignment horizontal="center" wrapText="1"/>
    </xf>
    <xf numFmtId="0" fontId="45" fillId="0" borderId="0" xfId="0" applyFont="1" applyAlignment="1">
      <alignment horizontal="center"/>
    </xf>
    <xf numFmtId="0" fontId="45" fillId="11" borderId="17" xfId="0" applyFont="1" applyFill="1" applyBorder="1"/>
    <xf numFmtId="0" fontId="45" fillId="11" borderId="0" xfId="0" applyFont="1" applyFill="1"/>
    <xf numFmtId="0" fontId="28" fillId="0" borderId="23" xfId="0" applyFont="1" applyBorder="1" applyAlignment="1">
      <alignment horizontal="center" wrapText="1"/>
    </xf>
    <xf numFmtId="49" fontId="5" fillId="4" borderId="5" xfId="0" applyNumberFormat="1" applyFont="1" applyFill="1" applyBorder="1" applyAlignment="1">
      <alignment horizontal="center" wrapText="1"/>
    </xf>
    <xf numFmtId="0" fontId="28" fillId="11" borderId="21" xfId="0" applyFont="1" applyFill="1" applyBorder="1"/>
    <xf numFmtId="0" fontId="28" fillId="11" borderId="22" xfId="0" applyFont="1" applyFill="1" applyBorder="1"/>
    <xf numFmtId="0" fontId="28" fillId="0" borderId="4" xfId="0" applyFont="1" applyBorder="1" applyAlignment="1">
      <alignment horizontal="center" wrapText="1"/>
    </xf>
    <xf numFmtId="0" fontId="8" fillId="11" borderId="8" xfId="0" applyFont="1" applyFill="1" applyBorder="1" applyAlignment="1">
      <alignment horizontal="center" wrapText="1"/>
    </xf>
    <xf numFmtId="0" fontId="0" fillId="11" borderId="8" xfId="0" applyFill="1" applyBorder="1" applyAlignment="1">
      <alignment horizontal="center" wrapText="1"/>
    </xf>
    <xf numFmtId="0" fontId="28" fillId="0" borderId="2" xfId="0" applyFont="1" applyBorder="1"/>
    <xf numFmtId="0" fontId="5" fillId="11" borderId="2" xfId="0" applyFont="1" applyFill="1" applyBorder="1"/>
    <xf numFmtId="0" fontId="28" fillId="0" borderId="3" xfId="0" applyFont="1" applyBorder="1"/>
    <xf numFmtId="0" fontId="45" fillId="2" borderId="5" xfId="0" applyFont="1" applyFill="1" applyBorder="1" applyAlignment="1">
      <alignment horizontal="center"/>
    </xf>
    <xf numFmtId="0" fontId="45" fillId="2" borderId="0" xfId="0" applyFont="1" applyFill="1" applyAlignment="1">
      <alignment horizontal="center"/>
    </xf>
    <xf numFmtId="0" fontId="72" fillId="2" borderId="8" xfId="0" applyFont="1" applyFill="1" applyBorder="1" applyAlignment="1">
      <alignment horizontal="center"/>
    </xf>
    <xf numFmtId="0" fontId="37" fillId="13" borderId="0" xfId="0" applyFont="1" applyFill="1" applyAlignment="1">
      <alignment horizontal="center"/>
    </xf>
    <xf numFmtId="0" fontId="9" fillId="0" borderId="0" xfId="0" applyFont="1"/>
    <xf numFmtId="0" fontId="90" fillId="0" borderId="0" xfId="0" applyFont="1" applyAlignment="1">
      <alignment horizontal="center"/>
    </xf>
    <xf numFmtId="0" fontId="43" fillId="13" borderId="8" xfId="0" applyFont="1" applyFill="1" applyBorder="1"/>
    <xf numFmtId="0" fontId="43" fillId="12" borderId="8" xfId="0" applyFont="1" applyFill="1" applyBorder="1" applyAlignment="1">
      <alignment horizontal="center" wrapText="1"/>
    </xf>
    <xf numFmtId="0" fontId="45" fillId="12" borderId="8" xfId="0" applyFont="1" applyFill="1" applyBorder="1" applyAlignment="1">
      <alignment horizontal="center" wrapText="1"/>
    </xf>
    <xf numFmtId="0" fontId="15" fillId="0" borderId="0" xfId="0" applyFont="1" applyAlignment="1">
      <alignment horizontal="center" vertical="center" wrapText="1"/>
    </xf>
    <xf numFmtId="0" fontId="89" fillId="0" borderId="0" xfId="0" applyFont="1" applyAlignment="1">
      <alignment vertical="center"/>
    </xf>
    <xf numFmtId="2" fontId="65" fillId="0" borderId="0" xfId="0" applyNumberFormat="1" applyFont="1" applyAlignment="1">
      <alignment horizontal="center"/>
    </xf>
    <xf numFmtId="0" fontId="67" fillId="0" borderId="0" xfId="0" applyFont="1" applyAlignment="1">
      <alignment wrapText="1"/>
    </xf>
    <xf numFmtId="0" fontId="65" fillId="0" borderId="0" xfId="0" applyFont="1"/>
    <xf numFmtId="0" fontId="65" fillId="0" borderId="0" xfId="0" applyFont="1" applyAlignment="1">
      <alignment horizontal="center"/>
    </xf>
    <xf numFmtId="2" fontId="65" fillId="0" borderId="0" xfId="0" applyNumberFormat="1" applyFont="1"/>
    <xf numFmtId="0" fontId="4" fillId="2" borderId="14" xfId="0" applyFont="1" applyFill="1" applyBorder="1" applyAlignment="1">
      <alignment horizontal="center" vertical="center"/>
    </xf>
    <xf numFmtId="49" fontId="34" fillId="12" borderId="5" xfId="0" applyNumberFormat="1" applyFont="1" applyFill="1" applyBorder="1" applyAlignment="1">
      <alignment horizontal="center" vertical="center" wrapText="1"/>
    </xf>
    <xf numFmtId="49" fontId="45" fillId="4" borderId="18" xfId="0" applyNumberFormat="1" applyFont="1" applyFill="1" applyBorder="1" applyAlignment="1">
      <alignment horizontal="center" vertical="center" wrapText="1"/>
    </xf>
    <xf numFmtId="49" fontId="45" fillId="4" borderId="5" xfId="0" applyNumberFormat="1" applyFont="1" applyFill="1" applyBorder="1" applyAlignment="1">
      <alignment horizontal="center" vertical="center" wrapText="1"/>
    </xf>
    <xf numFmtId="49" fontId="45" fillId="4" borderId="15" xfId="0" applyNumberFormat="1" applyFont="1" applyFill="1" applyBorder="1" applyAlignment="1">
      <alignment horizontal="center" vertical="center" wrapText="1"/>
    </xf>
    <xf numFmtId="49" fontId="45" fillId="4" borderId="6" xfId="0" applyNumberFormat="1" applyFont="1" applyFill="1" applyBorder="1" applyAlignment="1">
      <alignment horizontal="center" vertical="center" wrapText="1"/>
    </xf>
    <xf numFmtId="0" fontId="45" fillId="0" borderId="0" xfId="0" applyFont="1" applyAlignment="1">
      <alignment horizontal="center" vertical="center"/>
    </xf>
    <xf numFmtId="0" fontId="43" fillId="11" borderId="17" xfId="0" applyFont="1" applyFill="1" applyBorder="1"/>
    <xf numFmtId="2" fontId="5" fillId="0" borderId="4" xfId="0" applyNumberFormat="1" applyFont="1" applyBorder="1"/>
    <xf numFmtId="49" fontId="5" fillId="12" borderId="24" xfId="0" applyNumberFormat="1" applyFont="1" applyFill="1" applyBorder="1" applyAlignment="1">
      <alignment horizontal="center" wrapText="1"/>
    </xf>
    <xf numFmtId="49" fontId="5" fillId="4" borderId="24" xfId="0" applyNumberFormat="1" applyFont="1" applyFill="1" applyBorder="1" applyAlignment="1">
      <alignment horizontal="center" wrapText="1"/>
    </xf>
    <xf numFmtId="0" fontId="28" fillId="12" borderId="13" xfId="0" applyFont="1" applyFill="1" applyBorder="1" applyAlignment="1">
      <alignment horizontal="center" wrapText="1"/>
    </xf>
    <xf numFmtId="2" fontId="71" fillId="0" borderId="24" xfId="0" applyNumberFormat="1" applyFont="1" applyBorder="1" applyAlignment="1">
      <alignment horizontal="center" vertical="center"/>
    </xf>
    <xf numFmtId="0" fontId="43" fillId="11" borderId="19" xfId="0" applyFont="1" applyFill="1" applyBorder="1"/>
    <xf numFmtId="0" fontId="43" fillId="11" borderId="20" xfId="0" applyFont="1" applyFill="1" applyBorder="1"/>
    <xf numFmtId="0" fontId="28" fillId="0" borderId="14" xfId="0" applyFont="1" applyBorder="1"/>
    <xf numFmtId="0" fontId="43" fillId="11" borderId="2" xfId="0" applyFont="1" applyFill="1" applyBorder="1"/>
    <xf numFmtId="0" fontId="28" fillId="0" borderId="18" xfId="0" applyFont="1" applyBorder="1"/>
    <xf numFmtId="0" fontId="67" fillId="0" borderId="1" xfId="0" applyFont="1" applyBorder="1" applyAlignment="1">
      <alignment horizontal="center"/>
    </xf>
    <xf numFmtId="0" fontId="43" fillId="11" borderId="1" xfId="0" applyFont="1" applyFill="1" applyBorder="1" applyAlignment="1">
      <alignment horizontal="center"/>
    </xf>
    <xf numFmtId="0" fontId="81" fillId="14" borderId="0" xfId="0" applyFont="1" applyFill="1"/>
    <xf numFmtId="0" fontId="28" fillId="12" borderId="0" xfId="0" applyFont="1" applyFill="1"/>
    <xf numFmtId="0" fontId="67" fillId="7" borderId="1" xfId="0" applyFont="1" applyFill="1" applyBorder="1" applyAlignment="1">
      <alignment horizontal="center"/>
    </xf>
    <xf numFmtId="0" fontId="12" fillId="12" borderId="1" xfId="0" applyFont="1" applyFill="1" applyBorder="1" applyAlignment="1">
      <alignment horizontal="center"/>
    </xf>
    <xf numFmtId="0" fontId="70" fillId="7" borderId="27" xfId="0" applyFont="1" applyFill="1" applyBorder="1"/>
    <xf numFmtId="0" fontId="70" fillId="2" borderId="27" xfId="0" applyFont="1" applyFill="1" applyBorder="1"/>
    <xf numFmtId="0" fontId="72" fillId="9" borderId="27" xfId="0" applyFont="1" applyFill="1" applyBorder="1" applyAlignment="1">
      <alignment horizontal="center"/>
    </xf>
    <xf numFmtId="0" fontId="72" fillId="0" borderId="27" xfId="0" applyFont="1" applyBorder="1" applyAlignment="1">
      <alignment horizontal="center"/>
    </xf>
    <xf numFmtId="0" fontId="72" fillId="0" borderId="1" xfId="0" applyFont="1" applyBorder="1" applyAlignment="1">
      <alignment horizontal="center"/>
    </xf>
    <xf numFmtId="0" fontId="72" fillId="9" borderId="1" xfId="0" applyFont="1" applyFill="1" applyBorder="1" applyAlignment="1">
      <alignment horizontal="center"/>
    </xf>
    <xf numFmtId="0" fontId="72" fillId="8" borderId="1" xfId="0" applyFont="1" applyFill="1" applyBorder="1" applyAlignment="1">
      <alignment horizontal="center"/>
    </xf>
    <xf numFmtId="0" fontId="86" fillId="0" borderId="6" xfId="0" applyFont="1" applyBorder="1"/>
    <xf numFmtId="0" fontId="86" fillId="2" borderId="5" xfId="0" applyFont="1" applyFill="1" applyBorder="1" applyAlignment="1">
      <alignment horizontal="center"/>
    </xf>
    <xf numFmtId="0" fontId="85" fillId="0" borderId="2" xfId="0" applyFont="1" applyBorder="1"/>
    <xf numFmtId="0" fontId="85" fillId="0" borderId="3" xfId="0" applyFont="1" applyBorder="1"/>
    <xf numFmtId="0" fontId="85" fillId="0" borderId="0" xfId="0" applyFont="1"/>
    <xf numFmtId="0" fontId="87" fillId="0" borderId="0" xfId="0" applyFont="1" applyAlignment="1">
      <alignment horizontal="center"/>
    </xf>
    <xf numFmtId="0" fontId="87" fillId="2" borderId="5" xfId="0" applyFont="1" applyFill="1" applyBorder="1" applyAlignment="1">
      <alignment horizontal="center"/>
    </xf>
    <xf numFmtId="0" fontId="85" fillId="12" borderId="0" xfId="0" applyFont="1" applyFill="1"/>
    <xf numFmtId="0" fontId="87" fillId="7" borderId="0" xfId="0" applyFont="1" applyFill="1" applyAlignment="1">
      <alignment horizontal="center"/>
    </xf>
    <xf numFmtId="0" fontId="86" fillId="12" borderId="1" xfId="0" applyFont="1" applyFill="1" applyBorder="1" applyAlignment="1">
      <alignment horizontal="center"/>
    </xf>
    <xf numFmtId="0" fontId="85" fillId="7" borderId="8" xfId="0" applyFont="1" applyFill="1" applyBorder="1"/>
    <xf numFmtId="0" fontId="85" fillId="2" borderId="8" xfId="0" applyFont="1" applyFill="1" applyBorder="1"/>
    <xf numFmtId="0" fontId="87" fillId="9" borderId="27" xfId="0" applyFont="1" applyFill="1" applyBorder="1" applyAlignment="1">
      <alignment horizontal="center"/>
    </xf>
    <xf numFmtId="0" fontId="87" fillId="9" borderId="8" xfId="0" applyFont="1" applyFill="1" applyBorder="1" applyAlignment="1">
      <alignment horizontal="center"/>
    </xf>
    <xf numFmtId="0" fontId="87" fillId="0" borderId="8" xfId="0" applyFont="1" applyBorder="1" applyAlignment="1">
      <alignment horizontal="center"/>
    </xf>
    <xf numFmtId="0" fontId="87" fillId="9" borderId="0" xfId="0" applyFont="1" applyFill="1" applyAlignment="1">
      <alignment horizontal="center"/>
    </xf>
    <xf numFmtId="0" fontId="87" fillId="8" borderId="0" xfId="0" applyFont="1" applyFill="1" applyAlignment="1">
      <alignment horizontal="center"/>
    </xf>
    <xf numFmtId="2" fontId="87" fillId="2" borderId="5" xfId="0" applyNumberFormat="1" applyFont="1" applyFill="1" applyBorder="1" applyAlignment="1">
      <alignment horizontal="center"/>
    </xf>
    <xf numFmtId="2" fontId="43" fillId="7" borderId="5" xfId="0" applyNumberFormat="1" applyFont="1" applyFill="1" applyBorder="1" applyAlignment="1">
      <alignment horizontal="center"/>
    </xf>
    <xf numFmtId="0" fontId="5" fillId="0" borderId="0" xfId="0" applyFont="1" applyAlignment="1">
      <alignment horizontal="center"/>
    </xf>
    <xf numFmtId="2" fontId="45" fillId="0" borderId="0" xfId="0" applyNumberFormat="1" applyFont="1" applyAlignment="1">
      <alignment horizontal="center"/>
    </xf>
    <xf numFmtId="0" fontId="19" fillId="0" borderId="0" xfId="0" applyFont="1"/>
    <xf numFmtId="0" fontId="76" fillId="0" borderId="7" xfId="0" applyFont="1" applyBorder="1" applyAlignment="1">
      <alignment wrapText="1"/>
    </xf>
    <xf numFmtId="0" fontId="76" fillId="0" borderId="18" xfId="0" applyFont="1" applyBorder="1" applyAlignment="1">
      <alignment horizontal="center"/>
    </xf>
    <xf numFmtId="0" fontId="34" fillId="25" borderId="5" xfId="0" applyFont="1" applyFill="1" applyBorder="1" applyAlignment="1">
      <alignment horizontal="left"/>
    </xf>
    <xf numFmtId="49" fontId="34" fillId="12" borderId="5" xfId="0" applyNumberFormat="1" applyFont="1" applyFill="1" applyBorder="1" applyAlignment="1">
      <alignment horizontal="center" wrapText="1"/>
    </xf>
    <xf numFmtId="0" fontId="55" fillId="0" borderId="24" xfId="0" applyFont="1" applyBorder="1"/>
    <xf numFmtId="49" fontId="5" fillId="12" borderId="5" xfId="0" applyNumberFormat="1" applyFont="1" applyFill="1" applyBorder="1" applyAlignment="1">
      <alignment horizontal="center" vertical="center" wrapText="1"/>
    </xf>
    <xf numFmtId="0" fontId="28" fillId="17" borderId="0" xfId="0" applyFont="1" applyFill="1" applyAlignment="1">
      <alignment horizontal="center" wrapText="1"/>
    </xf>
    <xf numFmtId="0" fontId="28" fillId="14" borderId="0" xfId="0" applyFont="1" applyFill="1" applyAlignment="1">
      <alignment horizontal="center" wrapText="1"/>
    </xf>
    <xf numFmtId="0" fontId="34" fillId="14" borderId="8" xfId="0" applyFont="1" applyFill="1" applyBorder="1" applyAlignment="1">
      <alignment wrapText="1"/>
    </xf>
    <xf numFmtId="0" fontId="34" fillId="14" borderId="8" xfId="0" applyFont="1" applyFill="1" applyBorder="1" applyAlignment="1">
      <alignment horizontal="center"/>
    </xf>
    <xf numFmtId="49" fontId="110" fillId="12" borderId="5" xfId="0" applyNumberFormat="1" applyFont="1" applyFill="1" applyBorder="1" applyAlignment="1">
      <alignment horizontal="center" wrapText="1"/>
    </xf>
    <xf numFmtId="2" fontId="71" fillId="0" borderId="24" xfId="0" applyNumberFormat="1" applyFont="1" applyBorder="1" applyAlignment="1">
      <alignment horizontal="center"/>
    </xf>
    <xf numFmtId="0" fontId="43" fillId="25" borderId="5" xfId="0" applyFont="1" applyFill="1" applyBorder="1" applyAlignment="1">
      <alignment horizontal="left"/>
    </xf>
    <xf numFmtId="0" fontId="5" fillId="0" borderId="0" xfId="1" applyFont="1"/>
    <xf numFmtId="0" fontId="1" fillId="0" borderId="0" xfId="1"/>
    <xf numFmtId="0" fontId="90" fillId="19" borderId="0" xfId="2" applyFont="1" applyFill="1" applyAlignment="1">
      <alignment horizontal="center"/>
    </xf>
    <xf numFmtId="0" fontId="20" fillId="12" borderId="8" xfId="1" applyFont="1" applyFill="1" applyBorder="1"/>
    <xf numFmtId="0" fontId="16" fillId="0" borderId="0" xfId="1" applyFont="1" applyAlignment="1">
      <alignment horizontal="center"/>
    </xf>
    <xf numFmtId="0" fontId="21" fillId="0" borderId="0" xfId="1" applyFont="1" applyAlignment="1">
      <alignment horizontal="center"/>
    </xf>
    <xf numFmtId="0" fontId="29" fillId="0" borderId="0" xfId="1" applyFont="1" applyAlignment="1">
      <alignment horizontal="center"/>
    </xf>
    <xf numFmtId="0" fontId="12" fillId="0" borderId="0" xfId="1" applyFont="1" applyAlignment="1">
      <alignment wrapText="1"/>
    </xf>
    <xf numFmtId="0" fontId="13" fillId="0" borderId="0" xfId="1" applyFont="1" applyAlignment="1">
      <alignment horizontal="center"/>
    </xf>
    <xf numFmtId="0" fontId="5" fillId="21" borderId="8" xfId="1" applyFont="1" applyFill="1" applyBorder="1"/>
    <xf numFmtId="0" fontId="3" fillId="0" borderId="0" xfId="1" applyFont="1"/>
    <xf numFmtId="0" fontId="55" fillId="12" borderId="53" xfId="1" applyFont="1" applyFill="1" applyBorder="1"/>
    <xf numFmtId="0" fontId="73" fillId="12" borderId="27" xfId="1" applyFont="1" applyFill="1" applyBorder="1" applyAlignment="1">
      <alignment wrapText="1"/>
    </xf>
    <xf numFmtId="0" fontId="113" fillId="12" borderId="27" xfId="1" applyFont="1" applyFill="1" applyBorder="1"/>
    <xf numFmtId="0" fontId="113" fillId="12" borderId="54" xfId="1" applyFont="1" applyFill="1" applyBorder="1"/>
    <xf numFmtId="0" fontId="55" fillId="12" borderId="55" xfId="1" applyFont="1" applyFill="1" applyBorder="1"/>
    <xf numFmtId="0" fontId="73" fillId="12" borderId="8" xfId="1" applyFont="1" applyFill="1" applyBorder="1" applyAlignment="1">
      <alignment wrapText="1"/>
    </xf>
    <xf numFmtId="0" fontId="55" fillId="12" borderId="8" xfId="1" applyFont="1" applyFill="1" applyBorder="1"/>
    <xf numFmtId="0" fontId="55" fillId="12" borderId="56" xfId="1" applyFont="1" applyFill="1" applyBorder="1"/>
    <xf numFmtId="0" fontId="34" fillId="12" borderId="55" xfId="0" applyFont="1" applyFill="1" applyBorder="1" applyAlignment="1">
      <alignment horizontal="left"/>
    </xf>
    <xf numFmtId="0" fontId="34" fillId="12" borderId="8" xfId="1" applyFont="1" applyFill="1" applyBorder="1"/>
    <xf numFmtId="0" fontId="34" fillId="12" borderId="56" xfId="1" applyFont="1" applyFill="1" applyBorder="1"/>
    <xf numFmtId="0" fontId="55" fillId="12" borderId="57" xfId="1" applyFont="1" applyFill="1" applyBorder="1" applyAlignment="1">
      <alignment horizontal="right"/>
    </xf>
    <xf numFmtId="0" fontId="73" fillId="12" borderId="20" xfId="1" applyFont="1" applyFill="1" applyBorder="1" applyAlignment="1">
      <alignment wrapText="1"/>
    </xf>
    <xf numFmtId="0" fontId="34" fillId="12" borderId="20" xfId="1" applyFont="1" applyFill="1" applyBorder="1"/>
    <xf numFmtId="0" fontId="34" fillId="12" borderId="58" xfId="1" applyFont="1" applyFill="1" applyBorder="1"/>
    <xf numFmtId="0" fontId="14" fillId="0" borderId="0" xfId="1" applyFont="1"/>
    <xf numFmtId="2" fontId="98" fillId="0" borderId="0" xfId="1" applyNumberFormat="1" applyFont="1"/>
    <xf numFmtId="2" fontId="99" fillId="0" borderId="0" xfId="1" applyNumberFormat="1" applyFont="1"/>
    <xf numFmtId="0" fontId="14" fillId="0" borderId="0" xfId="1" applyFont="1" applyAlignment="1">
      <alignment horizontal="center" vertical="center" wrapText="1"/>
    </xf>
    <xf numFmtId="0" fontId="14" fillId="0" borderId="0" xfId="1" applyFont="1" applyAlignment="1">
      <alignment horizontal="center"/>
    </xf>
    <xf numFmtId="0" fontId="83" fillId="0" borderId="0" xfId="2" applyFont="1" applyAlignment="1">
      <alignment horizontal="center"/>
    </xf>
    <xf numFmtId="0" fontId="83" fillId="0" borderId="0" xfId="1" applyFont="1" applyAlignment="1">
      <alignment wrapText="1"/>
    </xf>
    <xf numFmtId="0" fontId="84" fillId="0" borderId="0" xfId="1" applyFont="1"/>
    <xf numFmtId="0" fontId="26" fillId="0" borderId="0" xfId="2" applyFont="1"/>
    <xf numFmtId="0" fontId="42" fillId="0" borderId="0" xfId="1" applyFont="1" applyAlignment="1">
      <alignment vertical="center"/>
    </xf>
    <xf numFmtId="2" fontId="15" fillId="0" borderId="0" xfId="2" applyNumberFormat="1" applyFont="1" applyAlignment="1">
      <alignment horizontal="center"/>
    </xf>
    <xf numFmtId="2" fontId="42" fillId="0" borderId="0" xfId="1" applyNumberFormat="1" applyFont="1" applyAlignment="1">
      <alignment horizontal="center"/>
    </xf>
    <xf numFmtId="0" fontId="25" fillId="0" borderId="0" xfId="1" applyFont="1"/>
    <xf numFmtId="0" fontId="26" fillId="0" borderId="0" xfId="1" applyFont="1"/>
    <xf numFmtId="0" fontId="79" fillId="0" borderId="0" xfId="1" applyFont="1"/>
    <xf numFmtId="2" fontId="1" fillId="0" borderId="0" xfId="1" applyNumberFormat="1"/>
    <xf numFmtId="0" fontId="78" fillId="0" borderId="0" xfId="1" applyFont="1"/>
    <xf numFmtId="49" fontId="5" fillId="0" borderId="0" xfId="1" applyNumberFormat="1" applyFont="1" applyAlignment="1">
      <alignment horizontal="center"/>
    </xf>
    <xf numFmtId="0" fontId="28" fillId="0" borderId="0" xfId="1" applyFont="1" applyAlignment="1">
      <alignment horizontal="right"/>
    </xf>
    <xf numFmtId="2" fontId="14" fillId="0" borderId="0" xfId="1" applyNumberFormat="1" applyFont="1" applyAlignment="1">
      <alignment horizontal="center"/>
    </xf>
    <xf numFmtId="2" fontId="15" fillId="0" borderId="0" xfId="1" applyNumberFormat="1" applyFont="1"/>
    <xf numFmtId="0" fontId="5" fillId="0" borderId="1" xfId="1" applyFont="1" applyBorder="1"/>
    <xf numFmtId="0" fontId="35" fillId="0" borderId="0" xfId="1" applyFont="1" applyAlignment="1">
      <alignment horizontal="center" wrapText="1"/>
    </xf>
    <xf numFmtId="0" fontId="3" fillId="0" borderId="0" xfId="1" applyFont="1" applyAlignment="1">
      <alignment horizontal="center" vertical="center" wrapText="1"/>
    </xf>
    <xf numFmtId="49" fontId="5" fillId="19" borderId="0" xfId="2" applyNumberFormat="1" applyFont="1" applyFill="1" applyAlignment="1">
      <alignment horizontal="center" wrapText="1"/>
    </xf>
    <xf numFmtId="0" fontId="6" fillId="0" borderId="0" xfId="1" applyFont="1"/>
    <xf numFmtId="0" fontId="12" fillId="7" borderId="8" xfId="1" applyFont="1" applyFill="1" applyBorder="1" applyAlignment="1">
      <alignment horizontal="center"/>
    </xf>
    <xf numFmtId="0" fontId="12" fillId="7" borderId="0" xfId="1" applyFont="1" applyFill="1" applyAlignment="1">
      <alignment horizontal="center"/>
    </xf>
    <xf numFmtId="0" fontId="40" fillId="0" borderId="0" xfId="1" applyFont="1"/>
    <xf numFmtId="49" fontId="43" fillId="16" borderId="32" xfId="2" applyNumberFormat="1" applyFont="1" applyFill="1" applyBorder="1" applyAlignment="1">
      <alignment wrapText="1"/>
    </xf>
    <xf numFmtId="49" fontId="34" fillId="15" borderId="5" xfId="1" applyNumberFormat="1" applyFont="1" applyFill="1" applyBorder="1" applyAlignment="1">
      <alignment horizontal="center" wrapText="1"/>
    </xf>
    <xf numFmtId="49" fontId="3" fillId="4" borderId="18" xfId="1" applyNumberFormat="1" applyFont="1" applyFill="1" applyBorder="1" applyAlignment="1">
      <alignment horizontal="center" wrapText="1"/>
    </xf>
    <xf numFmtId="0" fontId="1" fillId="0" borderId="6" xfId="1" applyBorder="1" applyAlignment="1">
      <alignment horizontal="center"/>
    </xf>
    <xf numFmtId="0" fontId="1" fillId="0" borderId="0" xfId="1" applyAlignment="1">
      <alignment horizontal="center"/>
    </xf>
    <xf numFmtId="0" fontId="1" fillId="0" borderId="1" xfId="1" applyBorder="1"/>
    <xf numFmtId="0" fontId="1" fillId="0" borderId="23" xfId="1" applyBorder="1"/>
    <xf numFmtId="0" fontId="1" fillId="0" borderId="0" xfId="1" applyAlignment="1">
      <alignment horizontal="right"/>
    </xf>
    <xf numFmtId="0" fontId="28" fillId="11" borderId="8" xfId="2" applyFont="1" applyFill="1" applyBorder="1"/>
    <xf numFmtId="0" fontId="28" fillId="0" borderId="8" xfId="2" applyFont="1" applyBorder="1"/>
    <xf numFmtId="0" fontId="28" fillId="16" borderId="8" xfId="2" applyFont="1" applyFill="1" applyBorder="1"/>
    <xf numFmtId="0" fontId="4" fillId="2" borderId="14" xfId="1" applyFont="1" applyFill="1" applyBorder="1" applyAlignment="1">
      <alignment horizontal="center"/>
    </xf>
    <xf numFmtId="0" fontId="4" fillId="2" borderId="5" xfId="1" applyFont="1" applyFill="1" applyBorder="1" applyAlignment="1">
      <alignment horizontal="center"/>
    </xf>
    <xf numFmtId="0" fontId="4" fillId="0" borderId="0" xfId="1" applyFont="1" applyAlignment="1">
      <alignment horizontal="center"/>
    </xf>
    <xf numFmtId="0" fontId="1" fillId="0" borderId="23" xfId="1" applyBorder="1" applyAlignment="1">
      <alignment horizontal="center" wrapText="1"/>
    </xf>
    <xf numFmtId="0" fontId="8" fillId="0" borderId="0" xfId="1" applyFont="1"/>
    <xf numFmtId="0" fontId="1" fillId="0" borderId="0" xfId="1" applyAlignment="1">
      <alignment horizontal="center" wrapText="1"/>
    </xf>
    <xf numFmtId="0" fontId="28" fillId="0" borderId="0" xfId="2" applyFont="1" applyAlignment="1">
      <alignment horizontal="center" wrapText="1"/>
    </xf>
    <xf numFmtId="0" fontId="8" fillId="15" borderId="0" xfId="1" applyFont="1" applyFill="1"/>
    <xf numFmtId="2" fontId="5" fillId="12" borderId="5" xfId="1" applyNumberFormat="1" applyFont="1" applyFill="1" applyBorder="1"/>
    <xf numFmtId="2" fontId="5" fillId="12" borderId="7" xfId="1" applyNumberFormat="1" applyFont="1" applyFill="1" applyBorder="1"/>
    <xf numFmtId="49" fontId="5" fillId="12" borderId="5" xfId="1" applyNumberFormat="1" applyFont="1" applyFill="1" applyBorder="1" applyAlignment="1">
      <alignment horizontal="center" wrapText="1"/>
    </xf>
    <xf numFmtId="49" fontId="5" fillId="12" borderId="18" xfId="1" applyNumberFormat="1" applyFont="1" applyFill="1" applyBorder="1" applyAlignment="1">
      <alignment horizontal="center" wrapText="1"/>
    </xf>
    <xf numFmtId="49" fontId="5" fillId="12" borderId="14" xfId="1" applyNumberFormat="1" applyFont="1" applyFill="1" applyBorder="1" applyAlignment="1">
      <alignment horizontal="center" wrapText="1"/>
    </xf>
    <xf numFmtId="0" fontId="1" fillId="12" borderId="14" xfId="1" applyFill="1" applyBorder="1"/>
    <xf numFmtId="0" fontId="1" fillId="12" borderId="18" xfId="1" applyFill="1" applyBorder="1" applyAlignment="1">
      <alignment horizontal="center" wrapText="1"/>
    </xf>
    <xf numFmtId="0" fontId="8" fillId="12" borderId="14" xfId="1" applyFont="1" applyFill="1" applyBorder="1"/>
    <xf numFmtId="0" fontId="1" fillId="12" borderId="14" xfId="1" applyFill="1" applyBorder="1" applyAlignment="1">
      <alignment horizontal="center" wrapText="1"/>
    </xf>
    <xf numFmtId="0" fontId="28" fillId="12" borderId="14" xfId="2" applyFont="1" applyFill="1" applyBorder="1" applyAlignment="1">
      <alignment horizontal="center" wrapText="1"/>
    </xf>
    <xf numFmtId="0" fontId="81" fillId="12" borderId="8" xfId="2" applyFont="1" applyFill="1" applyBorder="1" applyAlignment="1">
      <alignment horizontal="center" wrapText="1"/>
    </xf>
    <xf numFmtId="0" fontId="28" fillId="12" borderId="8" xfId="2" applyFont="1" applyFill="1" applyBorder="1" applyAlignment="1">
      <alignment horizontal="center" wrapText="1"/>
    </xf>
    <xf numFmtId="0" fontId="1" fillId="15" borderId="14" xfId="1" applyFill="1" applyBorder="1" applyAlignment="1">
      <alignment horizontal="center" wrapText="1"/>
    </xf>
    <xf numFmtId="0" fontId="1" fillId="15" borderId="14" xfId="1" applyFill="1" applyBorder="1"/>
    <xf numFmtId="0" fontId="1" fillId="11" borderId="14" xfId="1" applyFill="1" applyBorder="1" applyAlignment="1">
      <alignment horizontal="center" wrapText="1"/>
    </xf>
    <xf numFmtId="0" fontId="3" fillId="15" borderId="14" xfId="1" applyFont="1" applyFill="1" applyBorder="1"/>
    <xf numFmtId="2" fontId="38" fillId="15" borderId="14" xfId="1" applyNumberFormat="1" applyFont="1" applyFill="1" applyBorder="1" applyAlignment="1">
      <alignment horizontal="center"/>
    </xf>
    <xf numFmtId="2" fontId="41" fillId="15" borderId="5" xfId="1" applyNumberFormat="1" applyFont="1" applyFill="1" applyBorder="1" applyAlignment="1">
      <alignment horizontal="center"/>
    </xf>
    <xf numFmtId="0" fontId="5" fillId="2" borderId="15" xfId="1" applyFont="1" applyFill="1" applyBorder="1"/>
    <xf numFmtId="0" fontId="5" fillId="0" borderId="6" xfId="1" applyFont="1" applyBorder="1"/>
    <xf numFmtId="0" fontId="5" fillId="2" borderId="3" xfId="1" applyFont="1" applyFill="1" applyBorder="1" applyAlignment="1">
      <alignment horizontal="center"/>
    </xf>
    <xf numFmtId="0" fontId="5" fillId="2" borderId="15" xfId="1" applyFont="1" applyFill="1" applyBorder="1" applyAlignment="1">
      <alignment horizontal="center"/>
    </xf>
    <xf numFmtId="0" fontId="1" fillId="0" borderId="2" xfId="1" applyBorder="1"/>
    <xf numFmtId="0" fontId="1" fillId="0" borderId="3" xfId="1" applyBorder="1"/>
    <xf numFmtId="0" fontId="12" fillId="0" borderId="0" xfId="1" applyFont="1" applyAlignment="1">
      <alignment horizontal="center"/>
    </xf>
    <xf numFmtId="0" fontId="5" fillId="18" borderId="0" xfId="1" applyFont="1" applyFill="1" applyAlignment="1">
      <alignment horizontal="center"/>
    </xf>
    <xf numFmtId="0" fontId="43" fillId="14" borderId="0" xfId="1" applyFont="1" applyFill="1" applyAlignment="1">
      <alignment horizontal="center"/>
    </xf>
    <xf numFmtId="0" fontId="5" fillId="12" borderId="8" xfId="1" applyFont="1" applyFill="1" applyBorder="1"/>
    <xf numFmtId="0" fontId="5" fillId="0" borderId="0" xfId="1" applyFont="1" applyAlignment="1">
      <alignment horizontal="center"/>
    </xf>
    <xf numFmtId="0" fontId="36" fillId="7" borderId="17" xfId="1" applyFont="1" applyFill="1" applyBorder="1"/>
    <xf numFmtId="0" fontId="36" fillId="2" borderId="17" xfId="1" applyFont="1" applyFill="1" applyBorder="1"/>
    <xf numFmtId="0" fontId="37" fillId="9" borderId="17" xfId="1" applyFont="1" applyFill="1" applyBorder="1" applyAlignment="1">
      <alignment horizontal="center"/>
    </xf>
    <xf numFmtId="0" fontId="37" fillId="11" borderId="17" xfId="1" applyFont="1" applyFill="1" applyBorder="1" applyAlignment="1">
      <alignment horizontal="center"/>
    </xf>
    <xf numFmtId="0" fontId="37" fillId="0" borderId="17" xfId="1" applyFont="1" applyBorder="1" applyAlignment="1">
      <alignment horizontal="center"/>
    </xf>
    <xf numFmtId="0" fontId="37" fillId="0" borderId="0" xfId="1" applyFont="1" applyAlignment="1">
      <alignment horizontal="center"/>
    </xf>
    <xf numFmtId="0" fontId="37" fillId="9" borderId="0" xfId="1" applyFont="1" applyFill="1" applyAlignment="1">
      <alignment horizontal="center"/>
    </xf>
    <xf numFmtId="0" fontId="37" fillId="8" borderId="0" xfId="1" applyFont="1" applyFill="1" applyAlignment="1">
      <alignment horizontal="center"/>
    </xf>
    <xf numFmtId="2" fontId="5" fillId="27" borderId="15" xfId="1" applyNumberFormat="1" applyFont="1" applyFill="1" applyBorder="1" applyAlignment="1">
      <alignment horizontal="center"/>
    </xf>
    <xf numFmtId="0" fontId="5" fillId="2" borderId="6" xfId="1" applyFont="1" applyFill="1" applyBorder="1"/>
    <xf numFmtId="0" fontId="5" fillId="2" borderId="18" xfId="1" applyFont="1" applyFill="1" applyBorder="1" applyAlignment="1">
      <alignment horizontal="center"/>
    </xf>
    <xf numFmtId="0" fontId="5" fillId="2" borderId="5" xfId="1" applyFont="1" applyFill="1" applyBorder="1" applyAlignment="1">
      <alignment horizontal="center"/>
    </xf>
    <xf numFmtId="0" fontId="36" fillId="7" borderId="8" xfId="1" applyFont="1" applyFill="1" applyBorder="1"/>
    <xf numFmtId="0" fontId="36" fillId="2" borderId="8" xfId="1" applyFont="1" applyFill="1" applyBorder="1"/>
    <xf numFmtId="0" fontId="37" fillId="11" borderId="8" xfId="1" applyFont="1" applyFill="1" applyBorder="1" applyAlignment="1">
      <alignment horizontal="center"/>
    </xf>
    <xf numFmtId="0" fontId="37" fillId="9" borderId="8" xfId="1" applyFont="1" applyFill="1" applyBorder="1" applyAlignment="1">
      <alignment horizontal="center"/>
    </xf>
    <xf numFmtId="0" fontId="37" fillId="0" borderId="8" xfId="1" applyFont="1" applyBorder="1" applyAlignment="1">
      <alignment horizontal="center"/>
    </xf>
    <xf numFmtId="2" fontId="5" fillId="27" borderId="5" xfId="1" applyNumberFormat="1" applyFont="1" applyFill="1" applyBorder="1" applyAlignment="1">
      <alignment horizontal="center"/>
    </xf>
    <xf numFmtId="0" fontId="1" fillId="0" borderId="4" xfId="1" applyBorder="1" applyAlignment="1">
      <alignment horizontal="center"/>
    </xf>
    <xf numFmtId="0" fontId="77" fillId="12" borderId="7" xfId="1" applyFont="1" applyFill="1" applyBorder="1"/>
    <xf numFmtId="0" fontId="5" fillId="12" borderId="18" xfId="1" applyFont="1" applyFill="1" applyBorder="1" applyAlignment="1">
      <alignment horizontal="center"/>
    </xf>
    <xf numFmtId="49" fontId="34" fillId="0" borderId="0" xfId="1" applyNumberFormat="1" applyFont="1" applyAlignment="1">
      <alignment wrapText="1"/>
    </xf>
    <xf numFmtId="49" fontId="5" fillId="4" borderId="18" xfId="1" applyNumberFormat="1" applyFont="1" applyFill="1" applyBorder="1" applyAlignment="1">
      <alignment horizontal="center" wrapText="1"/>
    </xf>
    <xf numFmtId="0" fontId="1" fillId="0" borderId="10" xfId="1" applyBorder="1" applyAlignment="1">
      <alignment horizontal="center"/>
    </xf>
    <xf numFmtId="0" fontId="4" fillId="0" borderId="0" xfId="1" applyFont="1"/>
    <xf numFmtId="0" fontId="5" fillId="0" borderId="10" xfId="1" applyFont="1" applyBorder="1"/>
    <xf numFmtId="0" fontId="1" fillId="0" borderId="30" xfId="1" applyBorder="1"/>
    <xf numFmtId="0" fontId="5" fillId="11" borderId="22" xfId="1" applyFont="1" applyFill="1" applyBorder="1"/>
    <xf numFmtId="0" fontId="5" fillId="11" borderId="0" xfId="1" applyFont="1" applyFill="1"/>
    <xf numFmtId="0" fontId="1" fillId="0" borderId="4" xfId="1" applyBorder="1" applyAlignment="1">
      <alignment horizontal="center" wrapText="1"/>
    </xf>
    <xf numFmtId="0" fontId="8" fillId="15" borderId="10" xfId="1" applyFont="1" applyFill="1" applyBorder="1"/>
    <xf numFmtId="0" fontId="8" fillId="15" borderId="4" xfId="1" applyFont="1" applyFill="1" applyBorder="1"/>
    <xf numFmtId="0" fontId="1" fillId="12" borderId="25" xfId="1" applyFill="1" applyBorder="1"/>
    <xf numFmtId="0" fontId="1" fillId="12" borderId="26" xfId="1" applyFill="1" applyBorder="1"/>
    <xf numFmtId="0" fontId="3" fillId="12" borderId="14" xfId="1" applyFont="1" applyFill="1" applyBorder="1"/>
    <xf numFmtId="0" fontId="5" fillId="15" borderId="26" xfId="1" applyFont="1" applyFill="1" applyBorder="1" applyAlignment="1">
      <alignment horizontal="center" wrapText="1"/>
    </xf>
    <xf numFmtId="0" fontId="8" fillId="15" borderId="26" xfId="1" applyFont="1" applyFill="1" applyBorder="1" applyAlignment="1">
      <alignment horizontal="center" wrapText="1"/>
    </xf>
    <xf numFmtId="0" fontId="5" fillId="2" borderId="2" xfId="1" applyFont="1" applyFill="1" applyBorder="1" applyAlignment="1">
      <alignment horizontal="center"/>
    </xf>
    <xf numFmtId="0" fontId="1" fillId="11" borderId="28" xfId="1" applyFill="1" applyBorder="1"/>
    <xf numFmtId="0" fontId="1" fillId="11" borderId="29" xfId="1" applyFill="1" applyBorder="1"/>
    <xf numFmtId="0" fontId="5" fillId="11" borderId="2" xfId="1" applyFont="1" applyFill="1" applyBorder="1"/>
    <xf numFmtId="0" fontId="5" fillId="2" borderId="0" xfId="1" applyFont="1" applyFill="1" applyAlignment="1">
      <alignment horizontal="center"/>
    </xf>
    <xf numFmtId="0" fontId="5" fillId="11" borderId="0" xfId="1" applyFont="1" applyFill="1" applyAlignment="1">
      <alignment horizontal="center"/>
    </xf>
    <xf numFmtId="0" fontId="37" fillId="11" borderId="0" xfId="1" applyFont="1" applyFill="1" applyAlignment="1">
      <alignment horizontal="center"/>
    </xf>
    <xf numFmtId="0" fontId="37" fillId="2" borderId="17" xfId="1" applyFont="1" applyFill="1" applyBorder="1" applyAlignment="1">
      <alignment horizontal="center"/>
    </xf>
    <xf numFmtId="2" fontId="5" fillId="2" borderId="15" xfId="1" applyNumberFormat="1" applyFont="1" applyFill="1" applyBorder="1" applyAlignment="1">
      <alignment horizontal="center"/>
    </xf>
    <xf numFmtId="0" fontId="5" fillId="2" borderId="5" xfId="1" applyFont="1" applyFill="1" applyBorder="1"/>
    <xf numFmtId="0" fontId="1" fillId="11" borderId="19" xfId="1" applyFill="1" applyBorder="1"/>
    <xf numFmtId="0" fontId="1" fillId="11" borderId="20" xfId="1" applyFill="1" applyBorder="1"/>
    <xf numFmtId="0" fontId="37" fillId="2" borderId="8" xfId="1" applyFont="1" applyFill="1" applyBorder="1" applyAlignment="1">
      <alignment horizontal="center"/>
    </xf>
    <xf numFmtId="2" fontId="5" fillId="2" borderId="5" xfId="1" applyNumberFormat="1" applyFont="1" applyFill="1" applyBorder="1" applyAlignment="1">
      <alignment horizontal="center"/>
    </xf>
    <xf numFmtId="49" fontId="34" fillId="15" borderId="33" xfId="0" applyNumberFormat="1" applyFont="1" applyFill="1" applyBorder="1" applyAlignment="1">
      <alignment horizontal="center" wrapText="1"/>
    </xf>
    <xf numFmtId="49" fontId="3" fillId="4" borderId="14" xfId="0" applyNumberFormat="1" applyFont="1" applyFill="1" applyBorder="1" applyAlignment="1">
      <alignment horizontal="center" wrapText="1"/>
    </xf>
    <xf numFmtId="0" fontId="5" fillId="13" borderId="7" xfId="0" applyFont="1" applyFill="1" applyBorder="1"/>
    <xf numFmtId="0" fontId="28" fillId="14" borderId="8" xfId="0" applyFont="1" applyFill="1" applyBorder="1"/>
    <xf numFmtId="0" fontId="12" fillId="12" borderId="0" xfId="0" applyFont="1" applyFill="1" applyAlignment="1">
      <alignment horizontal="center"/>
    </xf>
    <xf numFmtId="0" fontId="28" fillId="7" borderId="8" xfId="0" applyFont="1" applyFill="1" applyBorder="1"/>
    <xf numFmtId="0" fontId="72" fillId="14" borderId="0" xfId="0" applyFont="1" applyFill="1" applyAlignment="1">
      <alignment horizontal="center"/>
    </xf>
    <xf numFmtId="0" fontId="5" fillId="2" borderId="0" xfId="0" applyFont="1" applyFill="1" applyAlignment="1">
      <alignment horizontal="right"/>
    </xf>
    <xf numFmtId="0" fontId="8" fillId="2" borderId="0" xfId="0" applyFont="1" applyFill="1" applyAlignment="1">
      <alignment horizontal="center"/>
    </xf>
    <xf numFmtId="0" fontId="5" fillId="2" borderId="0" xfId="0" applyFont="1" applyFill="1" applyAlignment="1">
      <alignment horizontal="center"/>
    </xf>
    <xf numFmtId="0" fontId="70" fillId="2" borderId="0" xfId="0" applyFont="1" applyFill="1"/>
    <xf numFmtId="0" fontId="72" fillId="11" borderId="0" xfId="0" applyFont="1" applyFill="1" applyAlignment="1">
      <alignment horizontal="center"/>
    </xf>
    <xf numFmtId="2" fontId="45" fillId="2" borderId="0" xfId="0" applyNumberFormat="1" applyFont="1" applyFill="1" applyAlignment="1">
      <alignment horizontal="center"/>
    </xf>
    <xf numFmtId="2" fontId="45" fillId="7" borderId="0" xfId="0" applyNumberFormat="1" applyFont="1" applyFill="1" applyAlignment="1">
      <alignment horizontal="center"/>
    </xf>
    <xf numFmtId="0" fontId="4" fillId="0" borderId="0" xfId="0" applyFont="1" applyAlignment="1">
      <alignment horizontal="center" vertical="center"/>
    </xf>
    <xf numFmtId="0" fontId="28" fillId="12" borderId="17" xfId="0" applyFont="1" applyFill="1" applyBorder="1"/>
    <xf numFmtId="49" fontId="5" fillId="0" borderId="5" xfId="0" applyNumberFormat="1" applyFont="1" applyBorder="1" applyAlignment="1">
      <alignment horizontal="center" wrapText="1"/>
    </xf>
    <xf numFmtId="0" fontId="55" fillId="0" borderId="21" xfId="0" applyFont="1" applyBorder="1"/>
    <xf numFmtId="0" fontId="55" fillId="0" borderId="22" xfId="0" applyFont="1" applyBorder="1"/>
    <xf numFmtId="0" fontId="55" fillId="11" borderId="28" xfId="1" applyFont="1" applyFill="1" applyBorder="1"/>
    <xf numFmtId="0" fontId="55" fillId="11" borderId="29" xfId="1" applyFont="1" applyFill="1" applyBorder="1"/>
    <xf numFmtId="0" fontId="45" fillId="2" borderId="1" xfId="0" applyFont="1" applyFill="1" applyBorder="1" applyAlignment="1">
      <alignment horizontal="center"/>
    </xf>
    <xf numFmtId="0" fontId="5" fillId="2" borderId="5" xfId="0" applyFont="1" applyFill="1" applyBorder="1" applyAlignment="1">
      <alignment horizontal="right"/>
    </xf>
    <xf numFmtId="0" fontId="55" fillId="11" borderId="21" xfId="0" applyFont="1" applyFill="1" applyBorder="1"/>
    <xf numFmtId="0" fontId="55" fillId="11" borderId="22" xfId="0" applyFont="1" applyFill="1" applyBorder="1"/>
    <xf numFmtId="0" fontId="13" fillId="13" borderId="8" xfId="0" applyFont="1" applyFill="1" applyBorder="1"/>
    <xf numFmtId="164" fontId="103" fillId="0" borderId="0" xfId="0" applyNumberFormat="1" applyFont="1" applyAlignment="1">
      <alignment horizontal="center"/>
    </xf>
    <xf numFmtId="0" fontId="107" fillId="0" borderId="1" xfId="0" applyFont="1" applyBorder="1"/>
    <xf numFmtId="0" fontId="107" fillId="0" borderId="2" xfId="0" applyFont="1" applyBorder="1" applyAlignment="1">
      <alignment wrapText="1"/>
    </xf>
    <xf numFmtId="0" fontId="121" fillId="0" borderId="9" xfId="0" applyFont="1" applyBorder="1"/>
    <xf numFmtId="0" fontId="121" fillId="0" borderId="6" xfId="0" applyFont="1" applyBorder="1" applyAlignment="1">
      <alignment wrapText="1"/>
    </xf>
    <xf numFmtId="0" fontId="124" fillId="0" borderId="9" xfId="0" applyFont="1" applyBorder="1"/>
    <xf numFmtId="0" fontId="124" fillId="0" borderId="6" xfId="0" applyFont="1" applyBorder="1"/>
    <xf numFmtId="0" fontId="124" fillId="0" borderId="5" xfId="0" applyFont="1" applyBorder="1" applyAlignment="1">
      <alignment wrapText="1"/>
    </xf>
    <xf numFmtId="0" fontId="118" fillId="0" borderId="62" xfId="0" applyFont="1" applyBorder="1" applyAlignment="1">
      <alignment horizontal="center"/>
    </xf>
    <xf numFmtId="0" fontId="120" fillId="0" borderId="64" xfId="0" applyFont="1" applyBorder="1" applyAlignment="1">
      <alignment horizontal="center"/>
    </xf>
    <xf numFmtId="0" fontId="120" fillId="0" borderId="65" xfId="0" applyFont="1" applyBorder="1" applyAlignment="1">
      <alignment horizontal="center"/>
    </xf>
    <xf numFmtId="0" fontId="93" fillId="22" borderId="64" xfId="0" applyFont="1" applyFill="1" applyBorder="1" applyAlignment="1">
      <alignment horizontal="center"/>
    </xf>
    <xf numFmtId="0" fontId="93" fillId="22" borderId="65" xfId="0" applyFont="1" applyFill="1" applyBorder="1" applyAlignment="1">
      <alignment horizontal="center"/>
    </xf>
    <xf numFmtId="0" fontId="111" fillId="22" borderId="66" xfId="0" applyFont="1" applyFill="1" applyBorder="1" applyAlignment="1">
      <alignment horizontal="center" wrapText="1"/>
    </xf>
    <xf numFmtId="0" fontId="93" fillId="22" borderId="67" xfId="0" applyFont="1" applyFill="1" applyBorder="1" applyAlignment="1">
      <alignment horizontal="center"/>
    </xf>
    <xf numFmtId="0" fontId="111" fillId="22" borderId="68" xfId="0" applyFont="1" applyFill="1" applyBorder="1" applyAlignment="1">
      <alignment horizontal="center" wrapText="1"/>
    </xf>
    <xf numFmtId="0" fontId="93" fillId="22" borderId="69" xfId="0" applyFont="1" applyFill="1" applyBorder="1" applyAlignment="1">
      <alignment horizontal="center"/>
    </xf>
    <xf numFmtId="0" fontId="116" fillId="0" borderId="67" xfId="0" applyFont="1" applyBorder="1" applyAlignment="1">
      <alignment horizontal="center"/>
    </xf>
    <xf numFmtId="0" fontId="116" fillId="0" borderId="69" xfId="0" applyFont="1" applyBorder="1" applyAlignment="1">
      <alignment horizontal="center"/>
    </xf>
    <xf numFmtId="0" fontId="93" fillId="22" borderId="61" xfId="0" applyFont="1" applyFill="1" applyBorder="1" applyAlignment="1">
      <alignment horizontal="center"/>
    </xf>
    <xf numFmtId="0" fontId="93" fillId="22" borderId="62" xfId="0" applyFont="1" applyFill="1" applyBorder="1" applyAlignment="1">
      <alignment horizontal="center"/>
    </xf>
    <xf numFmtId="0" fontId="93" fillId="22" borderId="63" xfId="0" applyFont="1" applyFill="1" applyBorder="1" applyAlignment="1">
      <alignment horizontal="center"/>
    </xf>
    <xf numFmtId="0" fontId="58" fillId="0" borderId="71" xfId="0" applyFont="1" applyBorder="1"/>
    <xf numFmtId="0" fontId="58" fillId="0" borderId="71" xfId="0" applyFont="1" applyBorder="1" applyAlignment="1">
      <alignment horizontal="right"/>
    </xf>
    <xf numFmtId="0" fontId="55" fillId="0" borderId="71" xfId="0" applyFont="1" applyBorder="1"/>
    <xf numFmtId="0" fontId="0" fillId="0" borderId="71" xfId="0" applyBorder="1"/>
    <xf numFmtId="0" fontId="123" fillId="0" borderId="71" xfId="0" applyFont="1" applyBorder="1"/>
    <xf numFmtId="0" fontId="121" fillId="0" borderId="72" xfId="0" applyFont="1" applyBorder="1" applyAlignment="1">
      <alignment horizontal="right"/>
    </xf>
    <xf numFmtId="0" fontId="58" fillId="0" borderId="74" xfId="0" applyFont="1" applyBorder="1" applyAlignment="1">
      <alignment horizontal="center"/>
    </xf>
    <xf numFmtId="0" fontId="0" fillId="0" borderId="74" xfId="0" applyBorder="1" applyAlignment="1">
      <alignment horizontal="center"/>
    </xf>
    <xf numFmtId="0" fontId="55" fillId="0" borderId="74" xfId="0" applyFont="1" applyBorder="1" applyAlignment="1">
      <alignment horizontal="center"/>
    </xf>
    <xf numFmtId="0" fontId="0" fillId="0" borderId="74" xfId="0" applyBorder="1"/>
    <xf numFmtId="1" fontId="59" fillId="0" borderId="74" xfId="0" applyNumberFormat="1" applyFont="1" applyBorder="1" applyAlignment="1">
      <alignment horizontal="right"/>
    </xf>
    <xf numFmtId="0" fontId="121" fillId="0" borderId="70" xfId="0" applyFont="1" applyBorder="1" applyAlignment="1">
      <alignment horizontal="left"/>
    </xf>
    <xf numFmtId="1" fontId="122" fillId="0" borderId="73" xfId="0" applyNumberFormat="1" applyFont="1" applyBorder="1"/>
    <xf numFmtId="0" fontId="121" fillId="0" borderId="71" xfId="0" applyFont="1" applyBorder="1"/>
    <xf numFmtId="1" fontId="122" fillId="0" borderId="74" xfId="0" applyNumberFormat="1" applyFont="1" applyBorder="1"/>
    <xf numFmtId="0" fontId="107" fillId="0" borderId="76" xfId="0" applyFont="1" applyBorder="1" applyAlignment="1">
      <alignment horizontal="left"/>
    </xf>
    <xf numFmtId="0" fontId="107" fillId="0" borderId="77" xfId="0" applyFont="1" applyBorder="1"/>
    <xf numFmtId="0" fontId="56" fillId="0" borderId="77" xfId="0" applyFont="1" applyBorder="1"/>
    <xf numFmtId="0" fontId="56" fillId="0" borderId="77" xfId="0" applyFont="1" applyBorder="1" applyAlignment="1">
      <alignment horizontal="right"/>
    </xf>
    <xf numFmtId="0" fontId="34" fillId="0" borderId="77" xfId="0" applyFont="1" applyBorder="1"/>
    <xf numFmtId="0" fontId="0" fillId="0" borderId="77" xfId="0" applyBorder="1"/>
    <xf numFmtId="0" fontId="107" fillId="0" borderId="78" xfId="0" applyFont="1" applyBorder="1" applyAlignment="1">
      <alignment horizontal="right"/>
    </xf>
    <xf numFmtId="0" fontId="107" fillId="0" borderId="80" xfId="0" applyFont="1" applyBorder="1"/>
    <xf numFmtId="2" fontId="107" fillId="0" borderId="80" xfId="0" applyNumberFormat="1" applyFont="1" applyBorder="1"/>
    <xf numFmtId="0" fontId="56" fillId="0" borderId="80" xfId="0" applyFont="1" applyBorder="1" applyAlignment="1">
      <alignment horizontal="center"/>
    </xf>
    <xf numFmtId="0" fontId="0" fillId="0" borderId="80" xfId="0" applyBorder="1" applyAlignment="1">
      <alignment horizontal="center"/>
    </xf>
    <xf numFmtId="0" fontId="60" fillId="0" borderId="82" xfId="0" applyFont="1" applyBorder="1"/>
    <xf numFmtId="0" fontId="34" fillId="0" borderId="83" xfId="0" applyFont="1" applyBorder="1" applyAlignment="1">
      <alignment horizontal="right"/>
    </xf>
    <xf numFmtId="0" fontId="125" fillId="0" borderId="32" xfId="0" applyFont="1" applyBorder="1" applyAlignment="1">
      <alignment horizontal="center"/>
    </xf>
    <xf numFmtId="0" fontId="125" fillId="0" borderId="84" xfId="0" applyFont="1" applyBorder="1" applyAlignment="1">
      <alignment horizontal="center"/>
    </xf>
    <xf numFmtId="0" fontId="125" fillId="0" borderId="85" xfId="0" applyFont="1" applyBorder="1" applyAlignment="1">
      <alignment horizontal="center"/>
    </xf>
    <xf numFmtId="0" fontId="93" fillId="22" borderId="86" xfId="0" applyFont="1" applyFill="1" applyBorder="1" applyAlignment="1">
      <alignment horizontal="center"/>
    </xf>
    <xf numFmtId="164" fontId="92" fillId="0" borderId="8" xfId="0" applyNumberFormat="1" applyFont="1" applyBorder="1" applyAlignment="1">
      <alignment horizontal="center"/>
    </xf>
    <xf numFmtId="0" fontId="126" fillId="0" borderId="8" xfId="0" applyFont="1" applyBorder="1"/>
    <xf numFmtId="0" fontId="35" fillId="0" borderId="0" xfId="0" applyFont="1"/>
    <xf numFmtId="0" fontId="126" fillId="0" borderId="0" xfId="0" applyFont="1"/>
    <xf numFmtId="0" fontId="35" fillId="0" borderId="8" xfId="0" applyFont="1" applyBorder="1"/>
    <xf numFmtId="0" fontId="35" fillId="0" borderId="8" xfId="0" applyFont="1" applyBorder="1" applyAlignment="1">
      <alignment wrapText="1"/>
    </xf>
    <xf numFmtId="0" fontId="117" fillId="0" borderId="60" xfId="0" applyFont="1" applyBorder="1"/>
    <xf numFmtId="0" fontId="55" fillId="0" borderId="8" xfId="0" applyFont="1" applyBorder="1"/>
    <xf numFmtId="0" fontId="117" fillId="0" borderId="5" xfId="0" applyFont="1" applyBorder="1" applyAlignment="1">
      <alignment horizontal="left"/>
    </xf>
    <xf numFmtId="0" fontId="16" fillId="0" borderId="8" xfId="0" applyFont="1" applyBorder="1"/>
    <xf numFmtId="0" fontId="16" fillId="0" borderId="51" xfId="0" applyFont="1" applyBorder="1" applyAlignment="1">
      <alignment wrapText="1"/>
    </xf>
    <xf numFmtId="0" fontId="60" fillId="0" borderId="13" xfId="0" applyFont="1" applyBorder="1"/>
    <xf numFmtId="0" fontId="60" fillId="0" borderId="87" xfId="0" applyFont="1" applyBorder="1"/>
    <xf numFmtId="0" fontId="60" fillId="0" borderId="88" xfId="0" applyFont="1" applyBorder="1"/>
    <xf numFmtId="0" fontId="60" fillId="0" borderId="89" xfId="0" applyFont="1" applyBorder="1"/>
    <xf numFmtId="0" fontId="63" fillId="0" borderId="27" xfId="0" applyFont="1" applyBorder="1" applyAlignment="1">
      <alignment horizontal="center"/>
    </xf>
    <xf numFmtId="0" fontId="63" fillId="0" borderId="57" xfId="0" applyFont="1" applyBorder="1" applyAlignment="1">
      <alignment horizontal="center"/>
    </xf>
    <xf numFmtId="0" fontId="63" fillId="0" borderId="20" xfId="0" applyFont="1" applyBorder="1" applyAlignment="1">
      <alignment horizontal="center"/>
    </xf>
    <xf numFmtId="0" fontId="63" fillId="0" borderId="58" xfId="0" applyFont="1" applyBorder="1" applyAlignment="1">
      <alignment horizontal="center"/>
    </xf>
    <xf numFmtId="0" fontId="77" fillId="0" borderId="0" xfId="0" applyFont="1"/>
    <xf numFmtId="0" fontId="127" fillId="0" borderId="5" xfId="0" applyFont="1" applyBorder="1" applyAlignment="1">
      <alignment horizontal="left"/>
    </xf>
    <xf numFmtId="0" fontId="115" fillId="13" borderId="91" xfId="0" applyFont="1" applyFill="1" applyBorder="1"/>
    <xf numFmtId="0" fontId="115" fillId="0" borderId="17" xfId="0" applyFont="1" applyBorder="1"/>
    <xf numFmtId="0" fontId="115" fillId="0" borderId="17" xfId="0" applyFont="1" applyBorder="1" applyAlignment="1">
      <alignment wrapText="1"/>
    </xf>
    <xf numFmtId="0" fontId="127" fillId="0" borderId="30" xfId="0" applyFont="1" applyBorder="1"/>
    <xf numFmtId="0" fontId="115" fillId="13" borderId="92" xfId="0" applyFont="1" applyFill="1" applyBorder="1"/>
    <xf numFmtId="0" fontId="115" fillId="0" borderId="13" xfId="0" applyFont="1" applyBorder="1"/>
    <xf numFmtId="0" fontId="98" fillId="0" borderId="13" xfId="0" applyFont="1" applyBorder="1"/>
    <xf numFmtId="0" fontId="127" fillId="0" borderId="24" xfId="0" applyFont="1" applyBorder="1" applyAlignment="1">
      <alignment horizontal="left"/>
    </xf>
    <xf numFmtId="0" fontId="115" fillId="0" borderId="20" xfId="0" applyFont="1" applyBorder="1"/>
    <xf numFmtId="0" fontId="98" fillId="0" borderId="20" xfId="0" applyFont="1" applyBorder="1"/>
    <xf numFmtId="164" fontId="99" fillId="0" borderId="20" xfId="0" applyNumberFormat="1" applyFont="1" applyBorder="1" applyAlignment="1">
      <alignment horizontal="center"/>
    </xf>
    <xf numFmtId="164" fontId="128" fillId="12" borderId="58" xfId="0" applyNumberFormat="1" applyFont="1" applyFill="1" applyBorder="1" applyAlignment="1">
      <alignment horizontal="center"/>
    </xf>
    <xf numFmtId="0" fontId="129" fillId="0" borderId="8" xfId="0" applyFont="1" applyBorder="1"/>
    <xf numFmtId="0" fontId="130" fillId="0" borderId="8" xfId="0" applyFont="1" applyBorder="1"/>
    <xf numFmtId="0" fontId="129" fillId="0" borderId="51" xfId="0" applyFont="1" applyBorder="1" applyAlignment="1">
      <alignment wrapText="1"/>
    </xf>
    <xf numFmtId="0" fontId="129" fillId="13" borderId="8" xfId="0" applyFont="1" applyFill="1" applyBorder="1"/>
    <xf numFmtId="0" fontId="129" fillId="0" borderId="8" xfId="0" applyFont="1" applyBorder="1" applyAlignment="1">
      <alignment wrapText="1"/>
    </xf>
    <xf numFmtId="0" fontId="131" fillId="0" borderId="60" xfId="0" applyFont="1" applyBorder="1"/>
    <xf numFmtId="0" fontId="132" fillId="0" borderId="8" xfId="0" applyFont="1" applyBorder="1"/>
    <xf numFmtId="164" fontId="133" fillId="0" borderId="8" xfId="0" applyNumberFormat="1" applyFont="1" applyBorder="1" applyAlignment="1">
      <alignment horizontal="center"/>
    </xf>
    <xf numFmtId="0" fontId="131" fillId="0" borderId="5" xfId="0" applyFont="1" applyBorder="1" applyAlignment="1">
      <alignment horizontal="left"/>
    </xf>
    <xf numFmtId="0" fontId="115" fillId="0" borderId="8" xfId="0" applyFont="1" applyBorder="1"/>
    <xf numFmtId="0" fontId="134" fillId="0" borderId="8" xfId="0" applyFont="1" applyBorder="1"/>
    <xf numFmtId="0" fontId="115" fillId="0" borderId="51" xfId="0" applyFont="1" applyBorder="1" applyAlignment="1">
      <alignment wrapText="1"/>
    </xf>
    <xf numFmtId="0" fontId="115" fillId="13" borderId="8" xfId="0" applyFont="1" applyFill="1" applyBorder="1"/>
    <xf numFmtId="0" fontId="115" fillId="0" borderId="8" xfId="0" applyFont="1" applyBorder="1" applyAlignment="1">
      <alignment wrapText="1"/>
    </xf>
    <xf numFmtId="0" fontId="127" fillId="0" borderId="60" xfId="0" applyFont="1" applyBorder="1"/>
    <xf numFmtId="0" fontId="98" fillId="0" borderId="8" xfId="0" applyFont="1" applyBorder="1"/>
    <xf numFmtId="164" fontId="99" fillId="0" borderId="8" xfId="0" applyNumberFormat="1" applyFont="1" applyBorder="1" applyAlignment="1">
      <alignment horizontal="center"/>
    </xf>
    <xf numFmtId="0" fontId="127" fillId="12" borderId="51" xfId="0" applyFont="1" applyFill="1" applyBorder="1" applyAlignment="1">
      <alignment horizontal="center" wrapText="1"/>
    </xf>
    <xf numFmtId="0" fontId="16" fillId="12" borderId="90" xfId="0" applyFont="1" applyFill="1" applyBorder="1"/>
    <xf numFmtId="0" fontId="16" fillId="19" borderId="90" xfId="0" applyFont="1" applyFill="1" applyBorder="1"/>
    <xf numFmtId="0" fontId="28" fillId="19" borderId="14" xfId="0" applyFont="1" applyFill="1" applyBorder="1"/>
    <xf numFmtId="0" fontId="28" fillId="19" borderId="18" xfId="0" applyFont="1" applyFill="1" applyBorder="1"/>
    <xf numFmtId="164" fontId="99" fillId="19" borderId="13" xfId="0" applyNumberFormat="1" applyFont="1" applyFill="1" applyBorder="1" applyAlignment="1">
      <alignment horizontal="center"/>
    </xf>
    <xf numFmtId="0" fontId="126" fillId="12" borderId="14" xfId="0" applyFont="1" applyFill="1" applyBorder="1"/>
    <xf numFmtId="0" fontId="16" fillId="12" borderId="18" xfId="0" applyFont="1" applyFill="1" applyBorder="1" applyAlignment="1">
      <alignment wrapText="1"/>
    </xf>
    <xf numFmtId="0" fontId="115" fillId="0" borderId="91" xfId="0" applyFont="1" applyBorder="1"/>
    <xf numFmtId="0" fontId="115" fillId="0" borderId="57" xfId="0" applyFont="1" applyBorder="1"/>
    <xf numFmtId="0" fontId="76" fillId="0" borderId="0" xfId="0" applyFont="1" applyAlignment="1">
      <alignment wrapText="1"/>
    </xf>
    <xf numFmtId="0" fontId="76" fillId="0" borderId="0" xfId="0" applyFont="1" applyAlignment="1">
      <alignment horizontal="center"/>
    </xf>
    <xf numFmtId="0" fontId="35" fillId="19" borderId="90" xfId="0" applyFont="1" applyFill="1" applyBorder="1"/>
    <xf numFmtId="0" fontId="55" fillId="19" borderId="14" xfId="0" applyFont="1" applyFill="1" applyBorder="1"/>
    <xf numFmtId="0" fontId="55" fillId="19" borderId="18" xfId="0" applyFont="1" applyFill="1" applyBorder="1"/>
    <xf numFmtId="0" fontId="35" fillId="13" borderId="91" xfId="0" applyFont="1" applyFill="1" applyBorder="1"/>
    <xf numFmtId="0" fontId="35" fillId="0" borderId="17" xfId="0" applyFont="1" applyBorder="1"/>
    <xf numFmtId="0" fontId="35" fillId="0" borderId="17" xfId="0" applyFont="1" applyBorder="1" applyAlignment="1">
      <alignment wrapText="1"/>
    </xf>
    <xf numFmtId="0" fontId="117" fillId="0" borderId="30" xfId="0" applyFont="1" applyBorder="1"/>
    <xf numFmtId="0" fontId="35" fillId="13" borderId="92" xfId="0" applyFont="1" applyFill="1" applyBorder="1"/>
    <xf numFmtId="0" fontId="35" fillId="0" borderId="13" xfId="0" applyFont="1" applyBorder="1"/>
    <xf numFmtId="0" fontId="55" fillId="0" borderId="13" xfId="0" applyFont="1" applyBorder="1"/>
    <xf numFmtId="164" fontId="92" fillId="19" borderId="13" xfId="0" applyNumberFormat="1" applyFont="1" applyFill="1" applyBorder="1" applyAlignment="1">
      <alignment horizontal="center"/>
    </xf>
    <xf numFmtId="0" fontId="117" fillId="0" borderId="24" xfId="0" applyFont="1" applyBorder="1" applyAlignment="1">
      <alignment horizontal="left"/>
    </xf>
    <xf numFmtId="0" fontId="35" fillId="12" borderId="90" xfId="0" applyFont="1" applyFill="1" applyBorder="1"/>
    <xf numFmtId="0" fontId="35" fillId="12" borderId="18" xfId="0" applyFont="1" applyFill="1" applyBorder="1" applyAlignment="1">
      <alignment wrapText="1"/>
    </xf>
    <xf numFmtId="0" fontId="35" fillId="0" borderId="91" xfId="0" applyFont="1" applyBorder="1"/>
    <xf numFmtId="0" fontId="117" fillId="12" borderId="51" xfId="0" applyFont="1" applyFill="1" applyBorder="1" applyAlignment="1">
      <alignment horizontal="center" wrapText="1"/>
    </xf>
    <xf numFmtId="0" fontId="35" fillId="0" borderId="57" xfId="0" applyFont="1" applyBorder="1"/>
    <xf numFmtId="0" fontId="35" fillId="0" borderId="20" xfId="0" applyFont="1" applyBorder="1"/>
    <xf numFmtId="0" fontId="55" fillId="0" borderId="20" xfId="0" applyFont="1" applyBorder="1"/>
    <xf numFmtId="164" fontId="92" fillId="0" borderId="20" xfId="0" applyNumberFormat="1" applyFont="1" applyBorder="1" applyAlignment="1">
      <alignment horizontal="center"/>
    </xf>
    <xf numFmtId="164" fontId="137" fillId="12" borderId="58" xfId="0" applyNumberFormat="1" applyFont="1" applyFill="1" applyBorder="1" applyAlignment="1">
      <alignment horizontal="center"/>
    </xf>
    <xf numFmtId="0" fontId="35" fillId="0" borderId="51" xfId="0" applyFont="1" applyBorder="1" applyAlignment="1">
      <alignment wrapText="1"/>
    </xf>
    <xf numFmtId="0" fontId="35" fillId="13" borderId="8" xfId="0" applyFont="1" applyFill="1" applyBorder="1"/>
    <xf numFmtId="0" fontId="64" fillId="0" borderId="0" xfId="0" applyFont="1" applyAlignment="1">
      <alignment horizontal="center"/>
    </xf>
    <xf numFmtId="0" fontId="17" fillId="19" borderId="0" xfId="0" applyFont="1" applyFill="1"/>
    <xf numFmtId="0" fontId="8" fillId="13" borderId="0" xfId="0" applyFont="1" applyFill="1"/>
    <xf numFmtId="0" fontId="34" fillId="14" borderId="0" xfId="0" applyFont="1" applyFill="1" applyAlignment="1">
      <alignment wrapText="1"/>
    </xf>
    <xf numFmtId="0" fontId="34" fillId="14" borderId="0" xfId="0" applyFont="1" applyFill="1" applyAlignment="1">
      <alignment horizontal="center"/>
    </xf>
    <xf numFmtId="1" fontId="122" fillId="0" borderId="74" xfId="0" applyNumberFormat="1" applyFont="1" applyBorder="1" applyAlignment="1">
      <alignment horizontal="right"/>
    </xf>
    <xf numFmtId="0" fontId="107" fillId="0" borderId="77" xfId="0" applyFont="1" applyBorder="1" applyAlignment="1">
      <alignment horizontal="right"/>
    </xf>
    <xf numFmtId="0" fontId="139" fillId="0" borderId="77" xfId="0" applyFont="1" applyBorder="1"/>
    <xf numFmtId="0" fontId="107" fillId="0" borderId="80" xfId="0" applyFont="1" applyBorder="1" applyAlignment="1">
      <alignment horizontal="center"/>
    </xf>
    <xf numFmtId="0" fontId="139" fillId="0" borderId="80" xfId="0" applyFont="1" applyBorder="1" applyAlignment="1">
      <alignment horizontal="center"/>
    </xf>
    <xf numFmtId="0" fontId="121" fillId="0" borderId="71" xfId="0" applyFont="1" applyBorder="1" applyAlignment="1">
      <alignment horizontal="right"/>
    </xf>
    <xf numFmtId="0" fontId="138" fillId="0" borderId="71" xfId="0" applyFont="1" applyBorder="1"/>
    <xf numFmtId="0" fontId="121" fillId="0" borderId="74" xfId="0" applyFont="1" applyBorder="1" applyAlignment="1">
      <alignment horizontal="center"/>
    </xf>
    <xf numFmtId="0" fontId="138" fillId="0" borderId="74" xfId="0" applyFont="1" applyBorder="1" applyAlignment="1">
      <alignment horizontal="center"/>
    </xf>
    <xf numFmtId="0" fontId="123" fillId="0" borderId="74" xfId="0" applyFont="1" applyBorder="1" applyAlignment="1">
      <alignment horizontal="center"/>
    </xf>
    <xf numFmtId="0" fontId="138" fillId="0" borderId="74" xfId="0" applyFont="1" applyBorder="1"/>
    <xf numFmtId="0" fontId="124" fillId="0" borderId="36" xfId="0" applyFont="1" applyBorder="1" applyAlignment="1">
      <alignment horizontal="left"/>
    </xf>
    <xf numFmtId="0" fontId="124" fillId="0" borderId="37" xfId="0" applyFont="1" applyBorder="1"/>
    <xf numFmtId="0" fontId="124" fillId="0" borderId="37" xfId="0" applyFont="1" applyBorder="1" applyAlignment="1">
      <alignment horizontal="right"/>
    </xf>
    <xf numFmtId="0" fontId="140" fillId="0" borderId="37" xfId="0" applyFont="1" applyBorder="1"/>
    <xf numFmtId="0" fontId="124" fillId="0" borderId="38" xfId="0" applyFont="1" applyBorder="1" applyAlignment="1">
      <alignment horizontal="right"/>
    </xf>
    <xf numFmtId="0" fontId="124" fillId="0" borderId="94" xfId="0" applyFont="1" applyBorder="1" applyAlignment="1">
      <alignment horizontal="center"/>
    </xf>
    <xf numFmtId="0" fontId="140" fillId="0" borderId="94" xfId="0" applyFont="1" applyBorder="1" applyAlignment="1">
      <alignment horizontal="center"/>
    </xf>
    <xf numFmtId="0" fontId="140" fillId="0" borderId="94" xfId="0" applyFont="1" applyBorder="1"/>
    <xf numFmtId="0" fontId="124" fillId="0" borderId="94" xfId="0" applyFont="1" applyBorder="1"/>
    <xf numFmtId="0" fontId="93" fillId="22" borderId="96" xfId="0" applyFont="1" applyFill="1" applyBorder="1" applyAlignment="1">
      <alignment horizontal="center"/>
    </xf>
    <xf numFmtId="0" fontId="111" fillId="22" borderId="97" xfId="0" applyFont="1" applyFill="1" applyBorder="1" applyAlignment="1">
      <alignment horizontal="center" wrapText="1"/>
    </xf>
    <xf numFmtId="0" fontId="61" fillId="0" borderId="37" xfId="0" applyFont="1" applyBorder="1"/>
    <xf numFmtId="0" fontId="61" fillId="0" borderId="37" xfId="0" applyFont="1" applyBorder="1" applyAlignment="1">
      <alignment horizontal="right"/>
    </xf>
    <xf numFmtId="0" fontId="58" fillId="0" borderId="37" xfId="0" applyFont="1" applyBorder="1"/>
    <xf numFmtId="0" fontId="0" fillId="0" borderId="37" xfId="0" applyBorder="1"/>
    <xf numFmtId="0" fontId="61" fillId="0" borderId="94" xfId="0" applyFont="1" applyBorder="1" applyAlignment="1">
      <alignment horizontal="center"/>
    </xf>
    <xf numFmtId="0" fontId="0" fillId="0" borderId="94" xfId="0" applyBorder="1" applyAlignment="1">
      <alignment horizontal="center"/>
    </xf>
    <xf numFmtId="0" fontId="58" fillId="0" borderId="94" xfId="0" applyFont="1" applyBorder="1" applyAlignment="1">
      <alignment horizontal="center"/>
    </xf>
    <xf numFmtId="0" fontId="0" fillId="0" borderId="94" xfId="0" applyBorder="1"/>
    <xf numFmtId="0" fontId="58" fillId="0" borderId="94" xfId="0" applyFont="1" applyBorder="1"/>
    <xf numFmtId="0" fontId="107" fillId="0" borderId="70" xfId="0" applyFont="1" applyBorder="1" applyAlignment="1">
      <alignment horizontal="left"/>
    </xf>
    <xf numFmtId="0" fontId="107" fillId="0" borderId="71" xfId="0" applyFont="1" applyBorder="1"/>
    <xf numFmtId="0" fontId="107" fillId="0" borderId="71" xfId="0" applyFont="1" applyBorder="1" applyAlignment="1">
      <alignment horizontal="right"/>
    </xf>
    <xf numFmtId="0" fontId="139" fillId="0" borderId="71" xfId="0" applyFont="1" applyBorder="1"/>
    <xf numFmtId="0" fontId="107" fillId="0" borderId="72" xfId="0" applyFont="1" applyBorder="1" applyAlignment="1">
      <alignment horizontal="right"/>
    </xf>
    <xf numFmtId="0" fontId="107" fillId="0" borderId="74" xfId="0" applyFont="1" applyBorder="1"/>
    <xf numFmtId="2" fontId="107" fillId="0" borderId="74" xfId="0" applyNumberFormat="1" applyFont="1" applyBorder="1"/>
    <xf numFmtId="0" fontId="107" fillId="0" borderId="74" xfId="0" applyFont="1" applyBorder="1" applyAlignment="1">
      <alignment horizontal="center"/>
    </xf>
    <xf numFmtId="0" fontId="139" fillId="0" borderId="74" xfId="0" applyFont="1" applyBorder="1" applyAlignment="1">
      <alignment horizontal="center"/>
    </xf>
    <xf numFmtId="0" fontId="124" fillId="10" borderId="7" xfId="0" applyFont="1" applyFill="1" applyBorder="1"/>
    <xf numFmtId="0" fontId="124" fillId="10" borderId="14" xfId="0" applyFont="1" applyFill="1" applyBorder="1"/>
    <xf numFmtId="0" fontId="118" fillId="22" borderId="61" xfId="0" applyFont="1" applyFill="1" applyBorder="1" applyAlignment="1">
      <alignment horizontal="center"/>
    </xf>
    <xf numFmtId="0" fontId="118" fillId="22" borderId="62" xfId="0" applyFont="1" applyFill="1" applyBorder="1" applyAlignment="1">
      <alignment horizontal="center"/>
    </xf>
    <xf numFmtId="0" fontId="118" fillId="22" borderId="63" xfId="0" applyFont="1" applyFill="1" applyBorder="1" applyAlignment="1">
      <alignment horizontal="center"/>
    </xf>
    <xf numFmtId="0" fontId="118" fillId="0" borderId="61" xfId="0" applyFont="1" applyBorder="1" applyAlignment="1">
      <alignment horizontal="center"/>
    </xf>
    <xf numFmtId="0" fontId="118" fillId="0" borderId="63" xfId="0" applyFont="1" applyBorder="1" applyAlignment="1">
      <alignment horizontal="center"/>
    </xf>
    <xf numFmtId="0" fontId="0" fillId="0" borderId="5" xfId="0" applyBorder="1"/>
    <xf numFmtId="49" fontId="34" fillId="12" borderId="14" xfId="1" applyNumberFormat="1" applyFont="1" applyFill="1" applyBorder="1" applyAlignment="1">
      <alignment wrapText="1"/>
    </xf>
    <xf numFmtId="49" fontId="34" fillId="4" borderId="14" xfId="1" applyNumberFormat="1" applyFont="1" applyFill="1" applyBorder="1" applyAlignment="1">
      <alignment horizontal="center" wrapText="1"/>
    </xf>
    <xf numFmtId="0" fontId="144" fillId="0" borderId="9" xfId="0" applyFont="1" applyBorder="1"/>
    <xf numFmtId="0" fontId="144" fillId="0" borderId="6" xfId="0" applyFont="1" applyBorder="1"/>
    <xf numFmtId="0" fontId="144" fillId="0" borderId="5" xfId="0" applyFont="1" applyBorder="1" applyAlignment="1">
      <alignment wrapText="1"/>
    </xf>
    <xf numFmtId="0" fontId="144" fillId="0" borderId="36" xfId="0" applyFont="1" applyBorder="1" applyAlignment="1">
      <alignment horizontal="left"/>
    </xf>
    <xf numFmtId="0" fontId="144" fillId="0" borderId="37" xfId="0" applyFont="1" applyBorder="1"/>
    <xf numFmtId="0" fontId="144" fillId="0" borderId="37" xfId="0" applyFont="1" applyBorder="1" applyAlignment="1">
      <alignment horizontal="right"/>
    </xf>
    <xf numFmtId="0" fontId="145" fillId="0" borderId="37" xfId="0" applyFont="1" applyBorder="1"/>
    <xf numFmtId="0" fontId="144" fillId="0" borderId="38" xfId="0" applyFont="1" applyBorder="1" applyAlignment="1">
      <alignment horizontal="right"/>
    </xf>
    <xf numFmtId="0" fontId="144" fillId="0" borderId="94" xfId="0" applyFont="1" applyBorder="1" applyAlignment="1">
      <alignment horizontal="center"/>
    </xf>
    <xf numFmtId="0" fontId="145" fillId="0" borderId="94" xfId="0" applyFont="1" applyBorder="1" applyAlignment="1">
      <alignment horizontal="center"/>
    </xf>
    <xf numFmtId="0" fontId="145" fillId="0" borderId="94" xfId="0" applyFont="1" applyBorder="1"/>
    <xf numFmtId="0" fontId="144" fillId="0" borderId="94" xfId="0" applyFont="1" applyBorder="1"/>
    <xf numFmtId="0" fontId="107" fillId="0" borderId="76" xfId="0" applyFont="1" applyBorder="1"/>
    <xf numFmtId="0" fontId="107" fillId="0" borderId="98" xfId="0" applyFont="1" applyBorder="1" applyAlignment="1">
      <alignment horizontal="left"/>
    </xf>
    <xf numFmtId="0" fontId="107" fillId="0" borderId="79" xfId="0" applyFont="1" applyBorder="1" applyAlignment="1">
      <alignment wrapText="1"/>
    </xf>
    <xf numFmtId="0" fontId="123" fillId="0" borderId="0" xfId="0" applyFont="1"/>
    <xf numFmtId="0" fontId="125" fillId="0" borderId="0" xfId="0" applyFont="1" applyAlignment="1">
      <alignment horizontal="center"/>
    </xf>
    <xf numFmtId="0" fontId="111" fillId="22" borderId="0" xfId="0" applyFont="1" applyFill="1" applyAlignment="1">
      <alignment horizontal="center" wrapText="1"/>
    </xf>
    <xf numFmtId="0" fontId="148" fillId="13" borderId="8" xfId="0" applyFont="1" applyFill="1" applyBorder="1"/>
    <xf numFmtId="0" fontId="35" fillId="0" borderId="5" xfId="0" applyFont="1" applyBorder="1" applyAlignment="1">
      <alignment horizontal="center" vertical="center" wrapText="1"/>
    </xf>
    <xf numFmtId="0" fontId="149" fillId="0" borderId="0" xfId="0" applyFont="1"/>
    <xf numFmtId="2" fontId="149" fillId="0" borderId="0" xfId="0" applyNumberFormat="1" applyFont="1"/>
    <xf numFmtId="0" fontId="90" fillId="19" borderId="35" xfId="0" applyFont="1" applyFill="1" applyBorder="1" applyAlignment="1">
      <alignment horizontal="center"/>
    </xf>
    <xf numFmtId="0" fontId="106" fillId="13" borderId="8" xfId="0" applyFont="1" applyFill="1" applyBorder="1" applyAlignment="1">
      <alignment horizontal="center"/>
    </xf>
    <xf numFmtId="0" fontId="150" fillId="13" borderId="8" xfId="0" applyFont="1" applyFill="1" applyBorder="1" applyAlignment="1">
      <alignment horizontal="center"/>
    </xf>
    <xf numFmtId="0" fontId="151" fillId="13" borderId="8" xfId="0" applyFont="1" applyFill="1" applyBorder="1" applyAlignment="1">
      <alignment horizontal="center"/>
    </xf>
    <xf numFmtId="0" fontId="106" fillId="0" borderId="8" xfId="0" applyFont="1" applyBorder="1" applyAlignment="1">
      <alignment horizontal="left"/>
    </xf>
    <xf numFmtId="0" fontId="106" fillId="0" borderId="8" xfId="0" applyFont="1" applyBorder="1"/>
    <xf numFmtId="0" fontId="106" fillId="0" borderId="8" xfId="0" applyFont="1" applyBorder="1" applyAlignment="1">
      <alignment horizontal="center"/>
    </xf>
    <xf numFmtId="0" fontId="151" fillId="15" borderId="8" xfId="0" applyFont="1" applyFill="1" applyBorder="1" applyAlignment="1">
      <alignment horizontal="center"/>
    </xf>
    <xf numFmtId="165" fontId="106" fillId="0" borderId="8" xfId="0" applyNumberFormat="1" applyFont="1" applyBorder="1" applyAlignment="1">
      <alignment horizontal="center"/>
    </xf>
    <xf numFmtId="0" fontId="0" fillId="0" borderId="8" xfId="0" applyBorder="1"/>
    <xf numFmtId="165" fontId="106" fillId="28" borderId="8" xfId="0" applyNumberFormat="1" applyFont="1" applyFill="1" applyBorder="1" applyAlignment="1">
      <alignment horizontal="center"/>
    </xf>
    <xf numFmtId="0" fontId="149" fillId="13" borderId="0" xfId="0" applyFont="1" applyFill="1"/>
    <xf numFmtId="0" fontId="106" fillId="28" borderId="8" xfId="0" applyFont="1" applyFill="1" applyBorder="1" applyAlignment="1">
      <alignment horizontal="left"/>
    </xf>
    <xf numFmtId="0" fontId="152" fillId="0" borderId="0" xfId="0" applyFont="1"/>
    <xf numFmtId="0" fontId="34" fillId="19" borderId="8" xfId="0" applyFont="1" applyFill="1" applyBorder="1" applyAlignment="1">
      <alignment horizontal="center" wrapText="1"/>
    </xf>
    <xf numFmtId="0" fontId="106" fillId="12" borderId="8" xfId="0" applyFont="1" applyFill="1" applyBorder="1" applyAlignment="1">
      <alignment horizontal="left"/>
    </xf>
    <xf numFmtId="0" fontId="106" fillId="18" borderId="8" xfId="0" applyFont="1" applyFill="1" applyBorder="1" applyAlignment="1">
      <alignment horizontal="left"/>
    </xf>
    <xf numFmtId="0" fontId="92" fillId="0" borderId="8" xfId="0" applyFont="1" applyBorder="1" applyAlignment="1">
      <alignment horizontal="center"/>
    </xf>
    <xf numFmtId="0" fontId="34" fillId="25" borderId="8" xfId="0" applyFont="1" applyFill="1" applyBorder="1" applyAlignment="1">
      <alignment horizontal="center" wrapText="1"/>
    </xf>
    <xf numFmtId="0" fontId="34" fillId="19" borderId="12" xfId="0" applyFont="1" applyFill="1" applyBorder="1" applyAlignment="1">
      <alignment horizontal="center" wrapText="1"/>
    </xf>
    <xf numFmtId="0" fontId="106" fillId="25" borderId="8" xfId="0" applyFont="1" applyFill="1" applyBorder="1" applyAlignment="1">
      <alignment horizontal="center" wrapText="1"/>
    </xf>
    <xf numFmtId="0" fontId="106" fillId="18" borderId="8" xfId="0" applyFont="1" applyFill="1" applyBorder="1" applyAlignment="1">
      <alignment horizontal="center" wrapText="1"/>
    </xf>
    <xf numFmtId="0" fontId="34" fillId="18" borderId="8" xfId="0" applyFont="1" applyFill="1" applyBorder="1" applyAlignment="1">
      <alignment horizontal="center" wrapText="1"/>
    </xf>
    <xf numFmtId="165" fontId="110" fillId="25" borderId="8" xfId="1" applyNumberFormat="1" applyFont="1" applyFill="1" applyBorder="1" applyAlignment="1">
      <alignment horizontal="center"/>
    </xf>
    <xf numFmtId="165" fontId="110" fillId="19" borderId="12" xfId="1" applyNumberFormat="1" applyFont="1" applyFill="1" applyBorder="1" applyAlignment="1">
      <alignment horizontal="center"/>
    </xf>
    <xf numFmtId="165" fontId="110" fillId="18" borderId="8" xfId="1" applyNumberFormat="1" applyFont="1" applyFill="1" applyBorder="1" applyAlignment="1">
      <alignment horizontal="center"/>
    </xf>
    <xf numFmtId="165" fontId="110" fillId="19" borderId="8" xfId="1" applyNumberFormat="1" applyFont="1" applyFill="1" applyBorder="1" applyAlignment="1">
      <alignment horizontal="center"/>
    </xf>
    <xf numFmtId="165" fontId="110" fillId="19" borderId="3" xfId="1" applyNumberFormat="1" applyFont="1" applyFill="1" applyBorder="1" applyAlignment="1">
      <alignment horizontal="center"/>
    </xf>
    <xf numFmtId="165" fontId="110" fillId="19" borderId="15" xfId="1" applyNumberFormat="1" applyFont="1" applyFill="1" applyBorder="1" applyAlignment="1">
      <alignment horizontal="center"/>
    </xf>
    <xf numFmtId="0" fontId="106" fillId="12" borderId="5" xfId="0" applyFont="1" applyFill="1" applyBorder="1" applyAlignment="1">
      <alignment horizontal="center"/>
    </xf>
    <xf numFmtId="0" fontId="106" fillId="29" borderId="8" xfId="0" applyFont="1" applyFill="1" applyBorder="1" applyAlignment="1">
      <alignment horizontal="center" wrapText="1"/>
    </xf>
    <xf numFmtId="0" fontId="34" fillId="29" borderId="8" xfId="0" applyFont="1" applyFill="1" applyBorder="1" applyAlignment="1">
      <alignment horizontal="center" wrapText="1"/>
    </xf>
    <xf numFmtId="165" fontId="110" fillId="29" borderId="8" xfId="1" applyNumberFormat="1" applyFont="1" applyFill="1" applyBorder="1" applyAlignment="1">
      <alignment horizontal="center"/>
    </xf>
    <xf numFmtId="0" fontId="90" fillId="12" borderId="5" xfId="0" applyFont="1" applyFill="1" applyBorder="1" applyAlignment="1">
      <alignment horizontal="center"/>
    </xf>
    <xf numFmtId="1" fontId="93" fillId="22" borderId="67" xfId="0" applyNumberFormat="1" applyFont="1" applyFill="1" applyBorder="1" applyAlignment="1">
      <alignment horizontal="center"/>
    </xf>
    <xf numFmtId="0" fontId="106" fillId="13" borderId="101" xfId="0" applyFont="1" applyFill="1" applyBorder="1" applyAlignment="1">
      <alignment horizontal="left"/>
    </xf>
    <xf numFmtId="0" fontId="150" fillId="13" borderId="102" xfId="0" applyFont="1" applyFill="1" applyBorder="1" applyAlignment="1">
      <alignment horizontal="center"/>
    </xf>
    <xf numFmtId="0" fontId="0" fillId="0" borderId="103" xfId="0" applyBorder="1"/>
    <xf numFmtId="0" fontId="0" fillId="0" borderId="104" xfId="0" applyBorder="1"/>
    <xf numFmtId="0" fontId="106" fillId="13" borderId="105" xfId="0" applyFont="1" applyFill="1" applyBorder="1" applyAlignment="1">
      <alignment horizontal="left"/>
    </xf>
    <xf numFmtId="0" fontId="0" fillId="0" borderId="106" xfId="0" applyBorder="1"/>
    <xf numFmtId="0" fontId="106" fillId="15" borderId="105" xfId="0" applyFont="1" applyFill="1" applyBorder="1" applyAlignment="1">
      <alignment horizontal="left"/>
    </xf>
    <xf numFmtId="0" fontId="106" fillId="12" borderId="105" xfId="0" applyFont="1" applyFill="1" applyBorder="1" applyAlignment="1">
      <alignment horizontal="left"/>
    </xf>
    <xf numFmtId="0" fontId="0" fillId="0" borderId="107" xfId="0" applyBorder="1" applyAlignment="1">
      <alignment horizontal="center"/>
    </xf>
    <xf numFmtId="0" fontId="112" fillId="13" borderId="0" xfId="0" applyFont="1" applyFill="1" applyAlignment="1">
      <alignment horizontal="center"/>
    </xf>
    <xf numFmtId="0" fontId="28" fillId="0" borderId="107" xfId="0" applyFont="1" applyBorder="1" applyAlignment="1">
      <alignment horizontal="center"/>
    </xf>
    <xf numFmtId="0" fontId="112" fillId="25" borderId="0" xfId="0" applyFont="1" applyFill="1"/>
    <xf numFmtId="0" fontId="28" fillId="13" borderId="107" xfId="0" applyFont="1" applyFill="1" applyBorder="1" applyAlignment="1">
      <alignment horizontal="left"/>
    </xf>
    <xf numFmtId="1" fontId="98" fillId="25" borderId="0" xfId="0" applyNumberFormat="1" applyFont="1" applyFill="1" applyAlignment="1">
      <alignment horizontal="center"/>
    </xf>
    <xf numFmtId="0" fontId="0" fillId="0" borderId="107" xfId="0" applyBorder="1"/>
    <xf numFmtId="0" fontId="112" fillId="18" borderId="0" xfId="0" applyFont="1" applyFill="1"/>
    <xf numFmtId="0" fontId="98" fillId="18" borderId="0" xfId="0" applyFont="1" applyFill="1" applyAlignment="1">
      <alignment horizontal="center"/>
    </xf>
    <xf numFmtId="0" fontId="98" fillId="29" borderId="0" xfId="0" applyFont="1" applyFill="1" applyAlignment="1">
      <alignment horizontal="center"/>
    </xf>
    <xf numFmtId="0" fontId="5" fillId="0" borderId="107" xfId="0" applyFont="1" applyBorder="1"/>
    <xf numFmtId="0" fontId="106" fillId="0" borderId="0" xfId="0" applyFont="1" applyAlignment="1">
      <alignment horizontal="center" wrapText="1"/>
    </xf>
    <xf numFmtId="0" fontId="44" fillId="0" borderId="106" xfId="0" applyFont="1" applyBorder="1"/>
    <xf numFmtId="0" fontId="7" fillId="0" borderId="107" xfId="0" applyFont="1" applyBorder="1"/>
    <xf numFmtId="0" fontId="7" fillId="0" borderId="106" xfId="0" applyFont="1" applyBorder="1"/>
    <xf numFmtId="0" fontId="31" fillId="0" borderId="106" xfId="0" applyFont="1" applyBorder="1" applyAlignment="1">
      <alignment vertical="center"/>
    </xf>
    <xf numFmtId="0" fontId="35" fillId="0" borderId="107" xfId="0" applyFont="1" applyBorder="1" applyAlignment="1">
      <alignment horizontal="center" wrapText="1"/>
    </xf>
    <xf numFmtId="0" fontId="13" fillId="0" borderId="106" xfId="0" applyFont="1" applyBorder="1"/>
    <xf numFmtId="0" fontId="35" fillId="0" borderId="108" xfId="0" applyFont="1" applyBorder="1" applyAlignment="1">
      <alignment horizontal="center" wrapText="1"/>
    </xf>
    <xf numFmtId="0" fontId="13" fillId="0" borderId="109" xfId="0" applyFont="1" applyBorder="1"/>
    <xf numFmtId="0" fontId="13" fillId="0" borderId="111" xfId="0" applyFont="1" applyBorder="1"/>
    <xf numFmtId="0" fontId="0" fillId="14" borderId="103" xfId="0" applyFill="1" applyBorder="1"/>
    <xf numFmtId="0" fontId="153" fillId="13" borderId="8" xfId="0" applyFont="1" applyFill="1" applyBorder="1" applyAlignment="1">
      <alignment horizontal="center"/>
    </xf>
    <xf numFmtId="2" fontId="153" fillId="13" borderId="8" xfId="0" applyNumberFormat="1" applyFont="1" applyFill="1" applyBorder="1" applyAlignment="1">
      <alignment horizontal="center"/>
    </xf>
    <xf numFmtId="1" fontId="154" fillId="25" borderId="0" xfId="0" applyNumberFormat="1" applyFont="1" applyFill="1" applyAlignment="1">
      <alignment horizontal="center"/>
    </xf>
    <xf numFmtId="0" fontId="154" fillId="18" borderId="0" xfId="0" applyFont="1" applyFill="1" applyAlignment="1">
      <alignment horizontal="center"/>
    </xf>
    <xf numFmtId="165" fontId="153" fillId="0" borderId="8" xfId="0" applyNumberFormat="1" applyFont="1" applyBorder="1" applyAlignment="1">
      <alignment horizontal="center"/>
    </xf>
    <xf numFmtId="165" fontId="153" fillId="28" borderId="8" xfId="0" applyNumberFormat="1" applyFont="1" applyFill="1" applyBorder="1" applyAlignment="1">
      <alignment horizontal="center"/>
    </xf>
    <xf numFmtId="0" fontId="153" fillId="0" borderId="8" xfId="0" applyFont="1" applyBorder="1" applyAlignment="1">
      <alignment horizontal="center"/>
    </xf>
    <xf numFmtId="2" fontId="106" fillId="0" borderId="0" xfId="0" applyNumberFormat="1" applyFont="1"/>
    <xf numFmtId="165" fontId="155" fillId="19" borderId="8" xfId="1" applyNumberFormat="1" applyFont="1" applyFill="1" applyBorder="1" applyAlignment="1">
      <alignment horizontal="center"/>
    </xf>
    <xf numFmtId="165" fontId="155" fillId="19" borderId="12" xfId="1" applyNumberFormat="1" applyFont="1" applyFill="1" applyBorder="1" applyAlignment="1">
      <alignment horizontal="center"/>
    </xf>
    <xf numFmtId="165" fontId="155" fillId="25" borderId="8" xfId="1" applyNumberFormat="1" applyFont="1" applyFill="1" applyBorder="1" applyAlignment="1">
      <alignment horizontal="center"/>
    </xf>
    <xf numFmtId="165" fontId="155" fillId="18" borderId="8" xfId="1" applyNumberFormat="1" applyFont="1" applyFill="1" applyBorder="1" applyAlignment="1">
      <alignment horizontal="center"/>
    </xf>
    <xf numFmtId="165" fontId="155" fillId="29" borderId="8" xfId="1" applyNumberFormat="1" applyFont="1" applyFill="1" applyBorder="1" applyAlignment="1">
      <alignment horizontal="center"/>
    </xf>
    <xf numFmtId="0" fontId="156" fillId="0" borderId="8" xfId="0" applyFont="1" applyBorder="1" applyAlignment="1">
      <alignment horizontal="center"/>
    </xf>
    <xf numFmtId="2" fontId="157" fillId="12" borderId="0" xfId="0" applyNumberFormat="1" applyFont="1" applyFill="1" applyAlignment="1">
      <alignment horizontal="left" wrapText="1"/>
    </xf>
    <xf numFmtId="0" fontId="152" fillId="26" borderId="100" xfId="0" applyFont="1" applyFill="1" applyBorder="1"/>
    <xf numFmtId="165" fontId="156" fillId="13" borderId="110" xfId="0" applyNumberFormat="1" applyFont="1" applyFill="1" applyBorder="1" applyAlignment="1">
      <alignment horizontal="center"/>
    </xf>
    <xf numFmtId="0" fontId="158" fillId="0" borderId="0" xfId="0" applyFont="1" applyAlignment="1">
      <alignment horizontal="left"/>
    </xf>
    <xf numFmtId="0" fontId="159" fillId="13" borderId="102" xfId="0" applyFont="1" applyFill="1" applyBorder="1" applyAlignment="1">
      <alignment horizontal="center"/>
    </xf>
    <xf numFmtId="0" fontId="159" fillId="13" borderId="8" xfId="0" applyFont="1" applyFill="1" applyBorder="1" applyAlignment="1">
      <alignment horizontal="center"/>
    </xf>
    <xf numFmtId="0" fontId="160" fillId="13" borderId="8" xfId="0" applyFont="1" applyFill="1" applyBorder="1" applyAlignment="1">
      <alignment horizontal="center"/>
    </xf>
    <xf numFmtId="0" fontId="160" fillId="15" borderId="8" xfId="0" applyFont="1" applyFill="1" applyBorder="1" applyAlignment="1">
      <alignment horizontal="center"/>
    </xf>
    <xf numFmtId="0" fontId="161" fillId="0" borderId="8" xfId="0" applyFont="1" applyBorder="1" applyAlignment="1">
      <alignment horizontal="center"/>
    </xf>
    <xf numFmtId="165" fontId="161" fillId="13" borderId="110" xfId="0" applyNumberFormat="1" applyFont="1" applyFill="1" applyBorder="1" applyAlignment="1">
      <alignment horizontal="center"/>
    </xf>
    <xf numFmtId="0" fontId="162" fillId="13" borderId="102" xfId="0" applyFont="1" applyFill="1" applyBorder="1" applyAlignment="1">
      <alignment horizontal="center"/>
    </xf>
    <xf numFmtId="0" fontId="162" fillId="13" borderId="8" xfId="0" applyFont="1" applyFill="1" applyBorder="1" applyAlignment="1">
      <alignment horizontal="center"/>
    </xf>
    <xf numFmtId="0" fontId="163" fillId="13" borderId="8" xfId="0" applyFont="1" applyFill="1" applyBorder="1" applyAlignment="1">
      <alignment horizontal="center"/>
    </xf>
    <xf numFmtId="0" fontId="163" fillId="15" borderId="8" xfId="0" applyFont="1" applyFill="1" applyBorder="1" applyAlignment="1">
      <alignment horizontal="center"/>
    </xf>
    <xf numFmtId="0" fontId="164" fillId="13" borderId="8" xfId="0" applyFont="1" applyFill="1" applyBorder="1" applyAlignment="1">
      <alignment horizontal="center"/>
    </xf>
    <xf numFmtId="1" fontId="165" fillId="25" borderId="0" xfId="0" applyNumberFormat="1" applyFont="1" applyFill="1" applyAlignment="1">
      <alignment horizontal="center"/>
    </xf>
    <xf numFmtId="0" fontId="165" fillId="18" borderId="0" xfId="0" applyFont="1" applyFill="1" applyAlignment="1">
      <alignment horizontal="center"/>
    </xf>
    <xf numFmtId="165" fontId="166" fillId="19" borderId="8" xfId="1" applyNumberFormat="1" applyFont="1" applyFill="1" applyBorder="1" applyAlignment="1">
      <alignment horizontal="center"/>
    </xf>
    <xf numFmtId="165" fontId="166" fillId="19" borderId="12" xfId="1" applyNumberFormat="1" applyFont="1" applyFill="1" applyBorder="1" applyAlignment="1">
      <alignment horizontal="center"/>
    </xf>
    <xf numFmtId="165" fontId="166" fillId="25" borderId="8" xfId="1" applyNumberFormat="1" applyFont="1" applyFill="1" applyBorder="1" applyAlignment="1">
      <alignment horizontal="center"/>
    </xf>
    <xf numFmtId="165" fontId="166" fillId="18" borderId="8" xfId="1" applyNumberFormat="1" applyFont="1" applyFill="1" applyBorder="1" applyAlignment="1">
      <alignment horizontal="center"/>
    </xf>
    <xf numFmtId="165" fontId="166" fillId="29" borderId="8" xfId="1" applyNumberFormat="1" applyFont="1" applyFill="1" applyBorder="1" applyAlignment="1">
      <alignment horizontal="center"/>
    </xf>
    <xf numFmtId="2" fontId="99" fillId="12" borderId="5" xfId="0" applyNumberFormat="1" applyFont="1" applyFill="1" applyBorder="1" applyAlignment="1">
      <alignment horizontal="left" wrapText="1"/>
    </xf>
    <xf numFmtId="0" fontId="63" fillId="0" borderId="91" xfId="0" applyFont="1" applyBorder="1" applyAlignment="1">
      <alignment horizontal="center"/>
    </xf>
    <xf numFmtId="0" fontId="63" fillId="0" borderId="17" xfId="0" applyFont="1" applyBorder="1" applyAlignment="1">
      <alignment horizontal="center"/>
    </xf>
    <xf numFmtId="0" fontId="63" fillId="0" borderId="112" xfId="0" applyFont="1" applyBorder="1" applyAlignment="1">
      <alignment horizontal="center"/>
    </xf>
    <xf numFmtId="0" fontId="115" fillId="0" borderId="8" xfId="0" applyFont="1" applyBorder="1" applyAlignment="1">
      <alignment horizontal="center"/>
    </xf>
    <xf numFmtId="165" fontId="115" fillId="13" borderId="110" xfId="0" applyNumberFormat="1" applyFont="1" applyFill="1" applyBorder="1" applyAlignment="1">
      <alignment horizontal="center"/>
    </xf>
    <xf numFmtId="0" fontId="167" fillId="0" borderId="8" xfId="0" applyFont="1" applyBorder="1" applyAlignment="1">
      <alignment horizontal="center"/>
    </xf>
    <xf numFmtId="165" fontId="167" fillId="13" borderId="110" xfId="0" applyNumberFormat="1" applyFont="1" applyFill="1" applyBorder="1" applyAlignment="1">
      <alignment horizontal="center"/>
    </xf>
    <xf numFmtId="2" fontId="168" fillId="12" borderId="0" xfId="0" applyNumberFormat="1" applyFont="1" applyFill="1" applyAlignment="1">
      <alignment horizontal="center" vertical="top" wrapText="1"/>
    </xf>
    <xf numFmtId="2" fontId="168" fillId="12" borderId="0" xfId="0" applyNumberFormat="1" applyFont="1" applyFill="1" applyAlignment="1">
      <alignment horizontal="left" vertical="top" wrapText="1"/>
    </xf>
    <xf numFmtId="2" fontId="169" fillId="12" borderId="5" xfId="0" applyNumberFormat="1" applyFont="1" applyFill="1" applyBorder="1" applyAlignment="1">
      <alignment horizontal="left" vertical="top" wrapText="1"/>
    </xf>
    <xf numFmtId="2" fontId="169" fillId="12" borderId="5" xfId="0" applyNumberFormat="1" applyFont="1" applyFill="1" applyBorder="1" applyAlignment="1">
      <alignment horizontal="left" wrapText="1"/>
    </xf>
    <xf numFmtId="0" fontId="149" fillId="25" borderId="0" xfId="0" applyFont="1" applyFill="1"/>
    <xf numFmtId="0" fontId="106" fillId="18" borderId="0" xfId="0" applyFont="1" applyFill="1"/>
    <xf numFmtId="0" fontId="149" fillId="0" borderId="0" xfId="0" applyFont="1" applyAlignment="1">
      <alignment horizontal="center"/>
    </xf>
    <xf numFmtId="0" fontId="170" fillId="13" borderId="8" xfId="0" applyFont="1" applyFill="1" applyBorder="1" applyAlignment="1">
      <alignment horizontal="center"/>
    </xf>
    <xf numFmtId="0" fontId="103" fillId="13" borderId="0" xfId="0" applyFont="1" applyFill="1"/>
    <xf numFmtId="0" fontId="171" fillId="13" borderId="102" xfId="0" applyFont="1" applyFill="1" applyBorder="1" applyAlignment="1">
      <alignment horizontal="center"/>
    </xf>
    <xf numFmtId="0" fontId="171" fillId="13" borderId="8" xfId="0" applyFont="1" applyFill="1" applyBorder="1" applyAlignment="1">
      <alignment horizontal="center"/>
    </xf>
    <xf numFmtId="0" fontId="172" fillId="13" borderId="8" xfId="0" applyFont="1" applyFill="1" applyBorder="1" applyAlignment="1">
      <alignment horizontal="center"/>
    </xf>
    <xf numFmtId="0" fontId="172" fillId="15" borderId="8" xfId="0" applyFont="1" applyFill="1" applyBorder="1" applyAlignment="1">
      <alignment horizontal="center"/>
    </xf>
    <xf numFmtId="0" fontId="173" fillId="13" borderId="8" xfId="0" applyFont="1" applyFill="1" applyBorder="1" applyAlignment="1">
      <alignment horizontal="center"/>
    </xf>
    <xf numFmtId="1" fontId="174" fillId="25" borderId="0" xfId="0" applyNumberFormat="1" applyFont="1" applyFill="1" applyAlignment="1">
      <alignment horizontal="center"/>
    </xf>
    <xf numFmtId="0" fontId="174" fillId="18" borderId="0" xfId="0" applyFont="1" applyFill="1" applyAlignment="1">
      <alignment horizontal="center"/>
    </xf>
    <xf numFmtId="165" fontId="118" fillId="19" borderId="12" xfId="1" applyNumberFormat="1" applyFont="1" applyFill="1" applyBorder="1" applyAlignment="1">
      <alignment horizontal="center"/>
    </xf>
    <xf numFmtId="165" fontId="118" fillId="19" borderId="8" xfId="1" applyNumberFormat="1" applyFont="1" applyFill="1" applyBorder="1" applyAlignment="1">
      <alignment horizontal="center"/>
    </xf>
    <xf numFmtId="165" fontId="118" fillId="25" borderId="8" xfId="1" applyNumberFormat="1" applyFont="1" applyFill="1" applyBorder="1" applyAlignment="1">
      <alignment horizontal="center"/>
    </xf>
    <xf numFmtId="165" fontId="118" fillId="18" borderId="8" xfId="1" applyNumberFormat="1" applyFont="1" applyFill="1" applyBorder="1" applyAlignment="1">
      <alignment horizontal="center"/>
    </xf>
    <xf numFmtId="165" fontId="118" fillId="29" borderId="8" xfId="1" applyNumberFormat="1" applyFont="1" applyFill="1" applyBorder="1" applyAlignment="1">
      <alignment horizontal="center"/>
    </xf>
    <xf numFmtId="0" fontId="127" fillId="0" borderId="8" xfId="0" applyFont="1" applyBorder="1" applyAlignment="1">
      <alignment horizontal="center"/>
    </xf>
    <xf numFmtId="165" fontId="127" fillId="13" borderId="110" xfId="0" applyNumberFormat="1" applyFont="1" applyFill="1" applyBorder="1" applyAlignment="1">
      <alignment horizontal="center"/>
    </xf>
    <xf numFmtId="2" fontId="128" fillId="12" borderId="5" xfId="0" applyNumberFormat="1" applyFont="1" applyFill="1" applyBorder="1" applyAlignment="1">
      <alignment horizontal="left" wrapText="1"/>
    </xf>
    <xf numFmtId="0" fontId="34" fillId="19" borderId="24" xfId="0" applyFont="1" applyFill="1" applyBorder="1" applyAlignment="1">
      <alignment horizontal="left"/>
    </xf>
    <xf numFmtId="2" fontId="110" fillId="19" borderId="3" xfId="1" applyNumberFormat="1" applyFont="1" applyFill="1" applyBorder="1" applyAlignment="1">
      <alignment horizontal="center"/>
    </xf>
    <xf numFmtId="2" fontId="110" fillId="19" borderId="15" xfId="1" applyNumberFormat="1" applyFont="1" applyFill="1" applyBorder="1" applyAlignment="1">
      <alignment horizontal="center"/>
    </xf>
    <xf numFmtId="2" fontId="82" fillId="0" borderId="0" xfId="0" applyNumberFormat="1" applyFont="1"/>
    <xf numFmtId="0" fontId="173" fillId="30" borderId="8" xfId="0" applyFont="1" applyFill="1" applyBorder="1" applyAlignment="1">
      <alignment horizontal="center"/>
    </xf>
    <xf numFmtId="0" fontId="153" fillId="30" borderId="8" xfId="0" applyFont="1" applyFill="1" applyBorder="1" applyAlignment="1">
      <alignment horizontal="center"/>
    </xf>
    <xf numFmtId="0" fontId="164" fillId="30" borderId="8" xfId="0" applyFont="1" applyFill="1" applyBorder="1" applyAlignment="1">
      <alignment horizontal="center"/>
    </xf>
    <xf numFmtId="0" fontId="34" fillId="19" borderId="24" xfId="0" applyFont="1" applyFill="1" applyBorder="1" applyAlignment="1">
      <alignment horizontal="center" wrapText="1"/>
    </xf>
    <xf numFmtId="165" fontId="110" fillId="19" borderId="3" xfId="1" applyNumberFormat="1" applyFont="1" applyFill="1" applyBorder="1" applyAlignment="1">
      <alignment horizontal="center" wrapText="1"/>
    </xf>
    <xf numFmtId="0" fontId="34" fillId="19" borderId="9" xfId="0" applyFont="1" applyFill="1" applyBorder="1" applyAlignment="1">
      <alignment horizontal="center" wrapText="1"/>
    </xf>
    <xf numFmtId="0" fontId="43" fillId="0" borderId="0" xfId="0" applyFont="1" applyAlignment="1">
      <alignment horizontal="center" vertical="center" wrapText="1"/>
    </xf>
    <xf numFmtId="0" fontId="43" fillId="0" borderId="0" xfId="0" applyFont="1" applyAlignment="1">
      <alignment horizontal="center" vertical="center"/>
    </xf>
    <xf numFmtId="0" fontId="108" fillId="12" borderId="0" xfId="0" applyFont="1" applyFill="1"/>
    <xf numFmtId="0" fontId="45" fillId="25" borderId="18" xfId="0" applyFont="1" applyFill="1" applyBorder="1" applyAlignment="1">
      <alignment horizontal="center"/>
    </xf>
    <xf numFmtId="0" fontId="5" fillId="25" borderId="18" xfId="0" applyFont="1" applyFill="1" applyBorder="1" applyAlignment="1">
      <alignment horizontal="center"/>
    </xf>
    <xf numFmtId="0" fontId="175" fillId="12" borderId="0" xfId="0" applyFont="1" applyFill="1" applyAlignment="1">
      <alignment horizontal="left"/>
    </xf>
    <xf numFmtId="0" fontId="5" fillId="0" borderId="0" xfId="2" applyFont="1"/>
    <xf numFmtId="0" fontId="90" fillId="0" borderId="0" xfId="2" applyFont="1" applyAlignment="1">
      <alignment horizontal="center"/>
    </xf>
    <xf numFmtId="0" fontId="106" fillId="13" borderId="101" xfId="2" applyFont="1" applyFill="1" applyBorder="1" applyAlignment="1">
      <alignment horizontal="left"/>
    </xf>
    <xf numFmtId="0" fontId="171" fillId="13" borderId="102" xfId="2" applyFont="1" applyFill="1" applyBorder="1" applyAlignment="1">
      <alignment horizontal="center"/>
    </xf>
    <xf numFmtId="0" fontId="82" fillId="0" borderId="103" xfId="2" applyBorder="1"/>
    <xf numFmtId="0" fontId="82" fillId="0" borderId="104" xfId="2" applyBorder="1"/>
    <xf numFmtId="0" fontId="28" fillId="0" borderId="0" xfId="2" applyFont="1"/>
    <xf numFmtId="0" fontId="66" fillId="0" borderId="8" xfId="2" applyFont="1" applyBorder="1"/>
    <xf numFmtId="0" fontId="101" fillId="13" borderId="8" xfId="2" applyFont="1" applyFill="1" applyBorder="1" applyAlignment="1">
      <alignment horizontal="center"/>
    </xf>
    <xf numFmtId="0" fontId="92" fillId="19" borderId="8" xfId="2" applyFont="1" applyFill="1" applyBorder="1" applyAlignment="1">
      <alignment horizontal="center"/>
    </xf>
    <xf numFmtId="0" fontId="81" fillId="13" borderId="8" xfId="2" applyFont="1" applyFill="1" applyBorder="1" applyAlignment="1">
      <alignment horizontal="center"/>
    </xf>
    <xf numFmtId="0" fontId="90" fillId="19" borderId="8" xfId="2" applyFont="1" applyFill="1" applyBorder="1" applyAlignment="1">
      <alignment horizontal="center"/>
    </xf>
    <xf numFmtId="0" fontId="106" fillId="13" borderId="105" xfId="2" applyFont="1" applyFill="1" applyBorder="1" applyAlignment="1">
      <alignment horizontal="left"/>
    </xf>
    <xf numFmtId="0" fontId="171" fillId="13" borderId="8" xfId="2" applyFont="1" applyFill="1" applyBorder="1" applyAlignment="1">
      <alignment horizontal="center"/>
    </xf>
    <xf numFmtId="0" fontId="82" fillId="0" borderId="0" xfId="2"/>
    <xf numFmtId="0" fontId="82" fillId="0" borderId="106" xfId="2" applyBorder="1"/>
    <xf numFmtId="0" fontId="47" fillId="0" borderId="8" xfId="2" applyFont="1" applyBorder="1"/>
    <xf numFmtId="0" fontId="48" fillId="0" borderId="8" xfId="2" applyFont="1" applyBorder="1" applyAlignment="1">
      <alignment horizontal="center"/>
    </xf>
    <xf numFmtId="0" fontId="172" fillId="13" borderId="8" xfId="2" applyFont="1" applyFill="1" applyBorder="1" applyAlignment="1">
      <alignment horizontal="center"/>
    </xf>
    <xf numFmtId="0" fontId="106" fillId="0" borderId="0" xfId="2" applyFont="1"/>
    <xf numFmtId="0" fontId="46" fillId="2" borderId="8" xfId="2" applyFont="1" applyFill="1" applyBorder="1" applyAlignment="1">
      <alignment wrapText="1"/>
    </xf>
    <xf numFmtId="0" fontId="46" fillId="2" borderId="8" xfId="2" applyFont="1" applyFill="1" applyBorder="1" applyAlignment="1">
      <alignment horizontal="center"/>
    </xf>
    <xf numFmtId="0" fontId="106" fillId="15" borderId="105" xfId="2" applyFont="1" applyFill="1" applyBorder="1" applyAlignment="1">
      <alignment horizontal="left"/>
    </xf>
    <xf numFmtId="0" fontId="172" fillId="15" borderId="8" xfId="2" applyFont="1" applyFill="1" applyBorder="1" applyAlignment="1">
      <alignment horizontal="center"/>
    </xf>
    <xf numFmtId="0" fontId="106" fillId="12" borderId="5" xfId="2" applyFont="1" applyFill="1" applyBorder="1" applyAlignment="1">
      <alignment horizontal="center"/>
    </xf>
    <xf numFmtId="0" fontId="106" fillId="0" borderId="8" xfId="2" applyFont="1" applyBorder="1" applyAlignment="1">
      <alignment horizontal="center"/>
    </xf>
    <xf numFmtId="0" fontId="92" fillId="0" borderId="8" xfId="2" applyFont="1" applyBorder="1" applyAlignment="1">
      <alignment horizontal="center"/>
    </xf>
    <xf numFmtId="0" fontId="43" fillId="0" borderId="0" xfId="2" applyFont="1"/>
    <xf numFmtId="0" fontId="43" fillId="13" borderId="8" xfId="2" applyFont="1" applyFill="1" applyBorder="1"/>
    <xf numFmtId="0" fontId="49" fillId="13" borderId="8" xfId="2" applyFont="1" applyFill="1" applyBorder="1"/>
    <xf numFmtId="0" fontId="106" fillId="12" borderId="105" xfId="2" applyFont="1" applyFill="1" applyBorder="1" applyAlignment="1">
      <alignment horizontal="left"/>
    </xf>
    <xf numFmtId="0" fontId="173" fillId="13" borderId="8" xfId="2" applyFont="1" applyFill="1" applyBorder="1" applyAlignment="1">
      <alignment horizontal="center"/>
    </xf>
    <xf numFmtId="0" fontId="106" fillId="28" borderId="8" xfId="2" applyFont="1" applyFill="1" applyBorder="1" applyAlignment="1">
      <alignment horizontal="left"/>
    </xf>
    <xf numFmtId="0" fontId="82" fillId="0" borderId="107" xfId="2" applyBorder="1" applyAlignment="1">
      <alignment horizontal="center"/>
    </xf>
    <xf numFmtId="0" fontId="29" fillId="0" borderId="0" xfId="2" applyFont="1" applyAlignment="1">
      <alignment horizontal="center"/>
    </xf>
    <xf numFmtId="0" fontId="82" fillId="0" borderId="0" xfId="2" applyAlignment="1">
      <alignment horizontal="center"/>
    </xf>
    <xf numFmtId="0" fontId="12" fillId="0" borderId="0" xfId="2" applyFont="1" applyAlignment="1">
      <alignment wrapText="1"/>
    </xf>
    <xf numFmtId="0" fontId="112" fillId="13" borderId="0" xfId="2" applyFont="1" applyFill="1" applyAlignment="1">
      <alignment horizontal="center"/>
    </xf>
    <xf numFmtId="0" fontId="148" fillId="13" borderId="8" xfId="2" applyFont="1" applyFill="1" applyBorder="1"/>
    <xf numFmtId="165" fontId="106" fillId="0" borderId="8" xfId="2" applyNumberFormat="1" applyFont="1" applyBorder="1" applyAlignment="1">
      <alignment horizontal="center"/>
    </xf>
    <xf numFmtId="165" fontId="106" fillId="28" borderId="8" xfId="2" applyNumberFormat="1" applyFont="1" applyFill="1" applyBorder="1" applyAlignment="1">
      <alignment horizontal="center"/>
    </xf>
    <xf numFmtId="0" fontId="43" fillId="12" borderId="8" xfId="2" applyFont="1" applyFill="1" applyBorder="1" applyAlignment="1">
      <alignment horizontal="center" wrapText="1"/>
    </xf>
    <xf numFmtId="0" fontId="43" fillId="12" borderId="8" xfId="2" applyFont="1" applyFill="1" applyBorder="1"/>
    <xf numFmtId="0" fontId="28" fillId="12" borderId="8" xfId="2" applyFont="1" applyFill="1" applyBorder="1" applyAlignment="1">
      <alignment horizontal="center"/>
    </xf>
    <xf numFmtId="0" fontId="173" fillId="30" borderId="8" xfId="2" applyFont="1" applyFill="1" applyBorder="1" applyAlignment="1">
      <alignment horizontal="center"/>
    </xf>
    <xf numFmtId="0" fontId="43" fillId="12" borderId="8" xfId="2" applyFont="1" applyFill="1" applyBorder="1" applyAlignment="1">
      <alignment horizontal="right"/>
    </xf>
    <xf numFmtId="0" fontId="28" fillId="0" borderId="107" xfId="2" applyFont="1" applyBorder="1" applyAlignment="1">
      <alignment horizontal="center"/>
    </xf>
    <xf numFmtId="0" fontId="28" fillId="0" borderId="0" xfId="2" applyFont="1" applyAlignment="1">
      <alignment horizontal="center"/>
    </xf>
    <xf numFmtId="0" fontId="149" fillId="25" borderId="0" xfId="2" applyFont="1" applyFill="1"/>
    <xf numFmtId="0" fontId="112" fillId="25" borderId="0" xfId="2" applyFont="1" applyFill="1"/>
    <xf numFmtId="0" fontId="28" fillId="13" borderId="107" xfId="2" applyFont="1" applyFill="1" applyBorder="1" applyAlignment="1">
      <alignment horizontal="left"/>
    </xf>
    <xf numFmtId="1" fontId="174" fillId="25" borderId="0" xfId="2" applyNumberFormat="1" applyFont="1" applyFill="1" applyAlignment="1">
      <alignment horizontal="center"/>
    </xf>
    <xf numFmtId="0" fontId="106" fillId="18" borderId="0" xfId="2" applyFont="1" applyFill="1"/>
    <xf numFmtId="0" fontId="82" fillId="0" borderId="107" xfId="2" applyBorder="1"/>
    <xf numFmtId="0" fontId="112" fillId="18" borderId="0" xfId="2" applyFont="1" applyFill="1"/>
    <xf numFmtId="0" fontId="174" fillId="18" borderId="0" xfId="2" applyFont="1" applyFill="1" applyAlignment="1">
      <alignment horizontal="center"/>
    </xf>
    <xf numFmtId="0" fontId="28" fillId="0" borderId="106" xfId="2" applyFont="1" applyBorder="1"/>
    <xf numFmtId="0" fontId="112" fillId="0" borderId="0" xfId="2" applyFont="1"/>
    <xf numFmtId="0" fontId="98" fillId="29" borderId="0" xfId="2" applyFont="1" applyFill="1" applyAlignment="1">
      <alignment horizontal="center"/>
    </xf>
    <xf numFmtId="0" fontId="106" fillId="13" borderId="8" xfId="2" applyFont="1" applyFill="1" applyBorder="1" applyAlignment="1">
      <alignment horizontal="center"/>
    </xf>
    <xf numFmtId="0" fontId="34" fillId="0" borderId="0" xfId="2" applyFont="1" applyAlignment="1">
      <alignment horizontal="right"/>
    </xf>
    <xf numFmtId="0" fontId="34" fillId="0" borderId="0" xfId="2" applyFont="1"/>
    <xf numFmtId="0" fontId="34" fillId="0" borderId="0" xfId="2" applyFont="1" applyAlignment="1">
      <alignment horizontal="left"/>
    </xf>
    <xf numFmtId="0" fontId="55" fillId="0" borderId="0" xfId="2" applyFont="1"/>
    <xf numFmtId="0" fontId="16" fillId="0" borderId="0" xfId="2" applyFont="1" applyAlignment="1">
      <alignment horizontal="center"/>
    </xf>
    <xf numFmtId="0" fontId="152" fillId="0" borderId="0" xfId="2" applyFont="1"/>
    <xf numFmtId="0" fontId="35" fillId="0" borderId="5" xfId="2" applyFont="1" applyBorder="1" applyAlignment="1">
      <alignment horizontal="center" vertical="center" wrapText="1"/>
    </xf>
    <xf numFmtId="0" fontId="34" fillId="19" borderId="24" xfId="2" applyFont="1" applyFill="1" applyBorder="1" applyAlignment="1">
      <alignment horizontal="center" wrapText="1"/>
    </xf>
    <xf numFmtId="0" fontId="107" fillId="0" borderId="1" xfId="2" applyFont="1" applyBorder="1"/>
    <xf numFmtId="0" fontId="107" fillId="0" borderId="76" xfId="2" applyFont="1" applyBorder="1" applyAlignment="1">
      <alignment horizontal="left"/>
    </xf>
    <xf numFmtId="0" fontId="107" fillId="0" borderId="77" xfId="2" applyFont="1" applyBorder="1"/>
    <xf numFmtId="0" fontId="107" fillId="0" borderId="77" xfId="2" applyFont="1" applyBorder="1" applyAlignment="1">
      <alignment horizontal="right"/>
    </xf>
    <xf numFmtId="0" fontId="139" fillId="0" borderId="77" xfId="2" applyFont="1" applyBorder="1"/>
    <xf numFmtId="0" fontId="107" fillId="0" borderId="78" xfId="2" applyFont="1" applyBorder="1" applyAlignment="1">
      <alignment horizontal="right"/>
    </xf>
    <xf numFmtId="0" fontId="13" fillId="0" borderId="0" xfId="2" applyFont="1" applyAlignment="1">
      <alignment horizontal="center"/>
    </xf>
    <xf numFmtId="0" fontId="30" fillId="3" borderId="5" xfId="2" applyFont="1" applyFill="1" applyBorder="1" applyAlignment="1">
      <alignment horizontal="center" vertical="center"/>
    </xf>
    <xf numFmtId="0" fontId="107" fillId="0" borderId="2" xfId="2" applyFont="1" applyBorder="1" applyAlignment="1">
      <alignment wrapText="1"/>
    </xf>
    <xf numFmtId="0" fontId="107" fillId="0" borderId="80" xfId="2" applyFont="1" applyBorder="1"/>
    <xf numFmtId="2" fontId="107" fillId="0" borderId="80" xfId="2" applyNumberFormat="1" applyFont="1" applyBorder="1"/>
    <xf numFmtId="0" fontId="107" fillId="0" borderId="80" xfId="2" applyFont="1" applyBorder="1" applyAlignment="1">
      <alignment horizontal="center"/>
    </xf>
    <xf numFmtId="0" fontId="139" fillId="0" borderId="80" xfId="2" applyFont="1" applyBorder="1" applyAlignment="1">
      <alignment horizontal="center"/>
    </xf>
    <xf numFmtId="0" fontId="82" fillId="0" borderId="0" xfId="2" applyAlignment="1">
      <alignment vertical="center"/>
    </xf>
    <xf numFmtId="0" fontId="56" fillId="0" borderId="0" xfId="2" applyFont="1"/>
    <xf numFmtId="1" fontId="57" fillId="0" borderId="0" xfId="2" applyNumberFormat="1" applyFont="1"/>
    <xf numFmtId="0" fontId="58" fillId="0" borderId="0" xfId="2" applyFont="1" applyAlignment="1">
      <alignment horizontal="center"/>
    </xf>
    <xf numFmtId="0" fontId="15" fillId="0" borderId="0" xfId="2" applyFont="1" applyAlignment="1">
      <alignment horizontal="center" vertical="center" wrapText="1"/>
    </xf>
    <xf numFmtId="0" fontId="121" fillId="0" borderId="9" xfId="2" applyFont="1" applyBorder="1"/>
    <xf numFmtId="0" fontId="121" fillId="0" borderId="70" xfId="2" applyFont="1" applyBorder="1" applyAlignment="1">
      <alignment horizontal="left"/>
    </xf>
    <xf numFmtId="0" fontId="121" fillId="0" borderId="71" xfId="2" applyFont="1" applyBorder="1"/>
    <xf numFmtId="0" fontId="121" fillId="0" borderId="71" xfId="2" applyFont="1" applyBorder="1" applyAlignment="1">
      <alignment horizontal="right"/>
    </xf>
    <xf numFmtId="0" fontId="123" fillId="0" borderId="71" xfId="2" applyFont="1" applyBorder="1"/>
    <xf numFmtId="0" fontId="138" fillId="0" borderId="71" xfId="2" applyFont="1" applyBorder="1"/>
    <xf numFmtId="0" fontId="121" fillId="0" borderId="72" xfId="2" applyFont="1" applyBorder="1" applyAlignment="1">
      <alignment horizontal="right"/>
    </xf>
    <xf numFmtId="0" fontId="58" fillId="0" borderId="0" xfId="2" applyFont="1" applyAlignment="1">
      <alignment horizontal="right"/>
    </xf>
    <xf numFmtId="0" fontId="121" fillId="0" borderId="6" xfId="2" applyFont="1" applyBorder="1" applyAlignment="1">
      <alignment wrapText="1"/>
    </xf>
    <xf numFmtId="0" fontId="121" fillId="0" borderId="74" xfId="2" applyFont="1" applyBorder="1" applyAlignment="1">
      <alignment horizontal="center"/>
    </xf>
    <xf numFmtId="0" fontId="138" fillId="0" borderId="74" xfId="2" applyFont="1" applyBorder="1" applyAlignment="1">
      <alignment horizontal="center"/>
    </xf>
    <xf numFmtId="0" fontId="123" fillId="0" borderId="74" xfId="2" applyFont="1" applyBorder="1" applyAlignment="1">
      <alignment horizontal="center"/>
    </xf>
    <xf numFmtId="0" fontId="138" fillId="0" borderId="74" xfId="2" applyFont="1" applyBorder="1"/>
    <xf numFmtId="1" fontId="122" fillId="0" borderId="74" xfId="2" applyNumberFormat="1" applyFont="1" applyBorder="1" applyAlignment="1">
      <alignment horizontal="right"/>
    </xf>
    <xf numFmtId="1" fontId="59" fillId="0" borderId="0" xfId="2" applyNumberFormat="1" applyFont="1" applyAlignment="1">
      <alignment horizontal="right"/>
    </xf>
    <xf numFmtId="0" fontId="58" fillId="0" borderId="0" xfId="2" applyFont="1" applyAlignment="1">
      <alignment wrapText="1"/>
    </xf>
    <xf numFmtId="1" fontId="59" fillId="0" borderId="0" xfId="2" applyNumberFormat="1" applyFont="1" applyAlignment="1">
      <alignment horizontal="left"/>
    </xf>
    <xf numFmtId="0" fontId="55" fillId="0" borderId="0" xfId="2" applyFont="1" applyAlignment="1">
      <alignment horizontal="center"/>
    </xf>
    <xf numFmtId="0" fontId="124" fillId="0" borderId="9" xfId="2" applyFont="1" applyBorder="1"/>
    <xf numFmtId="0" fontId="124" fillId="0" borderId="36" xfId="2" applyFont="1" applyBorder="1" applyAlignment="1">
      <alignment horizontal="left"/>
    </xf>
    <xf numFmtId="0" fontId="124" fillId="0" borderId="37" xfId="2" applyFont="1" applyBorder="1"/>
    <xf numFmtId="0" fontId="124" fillId="0" borderId="37" xfId="2" applyFont="1" applyBorder="1" applyAlignment="1">
      <alignment horizontal="right"/>
    </xf>
    <xf numFmtId="0" fontId="140" fillId="0" borderId="37" xfId="2" applyFont="1" applyBorder="1"/>
    <xf numFmtId="0" fontId="124" fillId="0" borderId="38" xfId="2" applyFont="1" applyBorder="1" applyAlignment="1">
      <alignment horizontal="right"/>
    </xf>
    <xf numFmtId="0" fontId="124" fillId="0" borderId="6" xfId="2" applyFont="1" applyBorder="1"/>
    <xf numFmtId="0" fontId="124" fillId="0" borderId="94" xfId="2" applyFont="1" applyBorder="1" applyAlignment="1">
      <alignment horizontal="center"/>
    </xf>
    <xf numFmtId="0" fontId="140" fillId="0" borderId="94" xfId="2" applyFont="1" applyBorder="1" applyAlignment="1">
      <alignment horizontal="center"/>
    </xf>
    <xf numFmtId="0" fontId="140" fillId="0" borderId="94" xfId="2" applyFont="1" applyBorder="1"/>
    <xf numFmtId="0" fontId="124" fillId="0" borderId="94" xfId="2" applyFont="1" applyBorder="1"/>
    <xf numFmtId="2" fontId="82" fillId="0" borderId="0" xfId="2" applyNumberFormat="1"/>
    <xf numFmtId="0" fontId="61" fillId="0" borderId="0" xfId="2" applyFont="1"/>
    <xf numFmtId="1" fontId="62" fillId="0" borderId="0" xfId="2" applyNumberFormat="1" applyFont="1"/>
    <xf numFmtId="1" fontId="62" fillId="0" borderId="0" xfId="2" applyNumberFormat="1" applyFont="1" applyAlignment="1">
      <alignment horizontal="left"/>
    </xf>
    <xf numFmtId="0" fontId="61" fillId="0" borderId="0" xfId="2" applyFont="1" applyAlignment="1">
      <alignment horizontal="center"/>
    </xf>
    <xf numFmtId="1" fontId="62" fillId="0" borderId="0" xfId="2" applyNumberFormat="1" applyFont="1" applyAlignment="1">
      <alignment horizontal="right"/>
    </xf>
    <xf numFmtId="0" fontId="34" fillId="12" borderId="7" xfId="2" applyFont="1" applyFill="1" applyBorder="1"/>
    <xf numFmtId="0" fontId="58" fillId="12" borderId="14" xfId="2" applyFont="1" applyFill="1" applyBorder="1" applyAlignment="1">
      <alignment horizontal="center"/>
    </xf>
    <xf numFmtId="0" fontId="34" fillId="12" borderId="18" xfId="2" applyFont="1" applyFill="1" applyBorder="1"/>
    <xf numFmtId="0" fontId="30" fillId="0" borderId="0" xfId="2" applyFont="1" applyAlignment="1">
      <alignment horizontal="center"/>
    </xf>
    <xf numFmtId="0" fontId="58" fillId="12" borderId="2" xfId="2" applyFont="1" applyFill="1" applyBorder="1" applyAlignment="1">
      <alignment horizontal="center"/>
    </xf>
    <xf numFmtId="0" fontId="34" fillId="12" borderId="3" xfId="2" applyFont="1" applyFill="1" applyBorder="1"/>
    <xf numFmtId="0" fontId="89" fillId="0" borderId="0" xfId="2" applyFont="1" applyAlignment="1">
      <alignment vertical="center"/>
    </xf>
    <xf numFmtId="0" fontId="61" fillId="12" borderId="14" xfId="2" applyFont="1" applyFill="1" applyBorder="1"/>
    <xf numFmtId="0" fontId="61" fillId="12" borderId="2" xfId="2" applyFont="1" applyFill="1" applyBorder="1"/>
    <xf numFmtId="0" fontId="82" fillId="12" borderId="2" xfId="2" applyFill="1" applyBorder="1"/>
    <xf numFmtId="0" fontId="55" fillId="12" borderId="2" xfId="2" applyFont="1" applyFill="1" applyBorder="1"/>
    <xf numFmtId="2" fontId="65" fillId="0" borderId="0" xfId="2" applyNumberFormat="1" applyFont="1" applyAlignment="1">
      <alignment horizontal="center"/>
    </xf>
    <xf numFmtId="0" fontId="67" fillId="0" borderId="0" xfId="2" applyFont="1" applyAlignment="1">
      <alignment wrapText="1"/>
    </xf>
    <xf numFmtId="0" fontId="82" fillId="12" borderId="14" xfId="2" applyFill="1" applyBorder="1"/>
    <xf numFmtId="0" fontId="55" fillId="12" borderId="14" xfId="2" applyFont="1" applyFill="1" applyBorder="1"/>
    <xf numFmtId="0" fontId="58" fillId="0" borderId="0" xfId="2" applyFont="1"/>
    <xf numFmtId="1" fontId="59" fillId="0" borderId="0" xfId="2" applyNumberFormat="1" applyFont="1"/>
    <xf numFmtId="0" fontId="65" fillId="0" borderId="0" xfId="2" applyFont="1"/>
    <xf numFmtId="0" fontId="65" fillId="0" borderId="0" xfId="2" applyFont="1" applyAlignment="1">
      <alignment horizontal="center"/>
    </xf>
    <xf numFmtId="2" fontId="65" fillId="0" borderId="0" xfId="2" applyNumberFormat="1" applyFont="1"/>
    <xf numFmtId="0" fontId="34" fillId="12" borderId="6" xfId="2" applyFont="1" applyFill="1" applyBorder="1"/>
    <xf numFmtId="0" fontId="5" fillId="0" borderId="107" xfId="2" applyFont="1" applyBorder="1"/>
    <xf numFmtId="0" fontId="25" fillId="0" borderId="0" xfId="2" applyFont="1"/>
    <xf numFmtId="0" fontId="3" fillId="0" borderId="0" xfId="2" applyFont="1"/>
    <xf numFmtId="0" fontId="90" fillId="12" borderId="5" xfId="2" applyFont="1" applyFill="1" applyBorder="1" applyAlignment="1">
      <alignment horizontal="center"/>
    </xf>
    <xf numFmtId="0" fontId="34" fillId="19" borderId="8" xfId="2" applyFont="1" applyFill="1" applyBorder="1" applyAlignment="1">
      <alignment horizontal="center" wrapText="1"/>
    </xf>
    <xf numFmtId="2" fontId="112" fillId="0" borderId="0" xfId="2" applyNumberFormat="1" applyFont="1"/>
    <xf numFmtId="2" fontId="82" fillId="0" borderId="0" xfId="2" applyNumberFormat="1" applyAlignment="1">
      <alignment vertical="center"/>
    </xf>
    <xf numFmtId="0" fontId="124" fillId="0" borderId="5" xfId="2" applyFont="1" applyBorder="1" applyAlignment="1">
      <alignment wrapText="1"/>
    </xf>
    <xf numFmtId="0" fontId="58" fillId="10" borderId="7" xfId="2" applyFont="1" applyFill="1" applyBorder="1"/>
    <xf numFmtId="0" fontId="58" fillId="10" borderId="14" xfId="2" applyFont="1" applyFill="1" applyBorder="1"/>
    <xf numFmtId="0" fontId="93" fillId="22" borderId="61" xfId="2" applyFont="1" applyFill="1" applyBorder="1" applyAlignment="1">
      <alignment horizontal="center"/>
    </xf>
    <xf numFmtId="0" fontId="93" fillId="22" borderId="62" xfId="2" applyFont="1" applyFill="1" applyBorder="1" applyAlignment="1">
      <alignment horizontal="center"/>
    </xf>
    <xf numFmtId="0" fontId="93" fillId="22" borderId="63" xfId="2" applyFont="1" applyFill="1" applyBorder="1" applyAlignment="1">
      <alignment horizontal="center"/>
    </xf>
    <xf numFmtId="0" fontId="58" fillId="10" borderId="14" xfId="2" applyFont="1" applyFill="1" applyBorder="1" applyAlignment="1">
      <alignment horizontal="center"/>
    </xf>
    <xf numFmtId="0" fontId="58" fillId="10" borderId="18" xfId="2" applyFont="1" applyFill="1" applyBorder="1" applyAlignment="1">
      <alignment horizontal="center"/>
    </xf>
    <xf numFmtId="2" fontId="128" fillId="12" borderId="5" xfId="2" applyNumberFormat="1" applyFont="1" applyFill="1" applyBorder="1" applyAlignment="1">
      <alignment horizontal="left" wrapText="1"/>
    </xf>
    <xf numFmtId="0" fontId="34" fillId="0" borderId="0" xfId="2" applyFont="1" applyAlignment="1">
      <alignment wrapText="1"/>
    </xf>
    <xf numFmtId="49" fontId="5" fillId="0" borderId="0" xfId="2" applyNumberFormat="1" applyFont="1" applyAlignment="1">
      <alignment horizontal="center"/>
    </xf>
    <xf numFmtId="0" fontId="63" fillId="0" borderId="8" xfId="2" applyFont="1" applyBorder="1" applyAlignment="1">
      <alignment horizontal="center"/>
    </xf>
    <xf numFmtId="0" fontId="63" fillId="0" borderId="0" xfId="2" applyFont="1" applyAlignment="1">
      <alignment horizontal="center"/>
    </xf>
    <xf numFmtId="0" fontId="35" fillId="0" borderId="0" xfId="2" applyFont="1" applyAlignment="1">
      <alignment horizontal="center" wrapText="1"/>
    </xf>
    <xf numFmtId="0" fontId="43" fillId="0" borderId="0" xfId="2" applyFont="1" applyAlignment="1">
      <alignment horizontal="center" vertical="center" wrapText="1"/>
    </xf>
    <xf numFmtId="0" fontId="65" fillId="0" borderId="0" xfId="2" applyFont="1" applyAlignment="1">
      <alignment horizontal="center" vertical="center" wrapText="1"/>
    </xf>
    <xf numFmtId="0" fontId="14" fillId="0" borderId="0" xfId="2" applyFont="1" applyAlignment="1">
      <alignment horizontal="center" vertical="center" wrapText="1"/>
    </xf>
    <xf numFmtId="0" fontId="34" fillId="0" borderId="7" xfId="2" applyFont="1" applyBorder="1" applyAlignment="1">
      <alignment vertical="center"/>
    </xf>
    <xf numFmtId="0" fontId="120" fillId="0" borderId="64" xfId="2" applyFont="1" applyBorder="1" applyAlignment="1">
      <alignment horizontal="center"/>
    </xf>
    <xf numFmtId="0" fontId="120" fillId="0" borderId="65" xfId="2" applyFont="1" applyBorder="1" applyAlignment="1">
      <alignment horizontal="center"/>
    </xf>
    <xf numFmtId="0" fontId="118" fillId="0" borderId="61" xfId="2" applyFont="1" applyBorder="1" applyAlignment="1">
      <alignment horizontal="center"/>
    </xf>
    <xf numFmtId="0" fontId="118" fillId="0" borderId="62" xfId="2" applyFont="1" applyBorder="1" applyAlignment="1">
      <alignment horizontal="center"/>
    </xf>
    <xf numFmtId="0" fontId="118" fillId="0" borderId="63" xfId="2" applyFont="1" applyBorder="1" applyAlignment="1">
      <alignment horizontal="center"/>
    </xf>
    <xf numFmtId="0" fontId="116" fillId="0" borderId="67" xfId="2" applyFont="1" applyBorder="1" applyAlignment="1">
      <alignment horizontal="center"/>
    </xf>
    <xf numFmtId="0" fontId="116" fillId="0" borderId="69" xfId="2" applyFont="1" applyBorder="1" applyAlignment="1">
      <alignment horizontal="center"/>
    </xf>
    <xf numFmtId="0" fontId="94" fillId="0" borderId="0" xfId="2" applyFont="1" applyAlignment="1">
      <alignment horizontal="center"/>
    </xf>
    <xf numFmtId="0" fontId="34" fillId="0" borderId="83" xfId="2" applyFont="1" applyBorder="1" applyAlignment="1">
      <alignment horizontal="right"/>
    </xf>
    <xf numFmtId="0" fontId="125" fillId="0" borderId="32" xfId="2" applyFont="1" applyBorder="1" applyAlignment="1">
      <alignment horizontal="center"/>
    </xf>
    <xf numFmtId="0" fontId="125" fillId="0" borderId="85" xfId="2" applyFont="1" applyBorder="1" applyAlignment="1">
      <alignment horizontal="center"/>
    </xf>
    <xf numFmtId="0" fontId="34" fillId="0" borderId="0" xfId="2" applyFont="1" applyAlignment="1">
      <alignment horizontal="center"/>
    </xf>
    <xf numFmtId="0" fontId="43" fillId="0" borderId="0" xfId="2" applyFont="1" applyAlignment="1">
      <alignment horizontal="right"/>
    </xf>
    <xf numFmtId="0" fontId="58" fillId="10" borderId="0" xfId="2" applyFont="1" applyFill="1" applyAlignment="1">
      <alignment horizontal="center"/>
    </xf>
    <xf numFmtId="0" fontId="58" fillId="0" borderId="36" xfId="2" applyFont="1" applyBorder="1" applyAlignment="1">
      <alignment horizontal="center"/>
    </xf>
    <xf numFmtId="0" fontId="58" fillId="0" borderId="37" xfId="2" applyFont="1" applyBorder="1" applyAlignment="1">
      <alignment horizontal="center"/>
    </xf>
    <xf numFmtId="0" fontId="58" fillId="0" borderId="38" xfId="2" applyFont="1" applyBorder="1" applyAlignment="1">
      <alignment horizontal="center"/>
    </xf>
    <xf numFmtId="0" fontId="34" fillId="12" borderId="5" xfId="2" applyFont="1" applyFill="1" applyBorder="1"/>
    <xf numFmtId="1" fontId="59" fillId="12" borderId="14" xfId="2" applyNumberFormat="1" applyFont="1" applyFill="1" applyBorder="1" applyAlignment="1">
      <alignment horizontal="right"/>
    </xf>
    <xf numFmtId="0" fontId="58" fillId="0" borderId="39" xfId="2" applyFont="1" applyBorder="1" applyAlignment="1">
      <alignment horizontal="center"/>
    </xf>
    <xf numFmtId="0" fontId="58" fillId="0" borderId="40" xfId="2" applyFont="1" applyBorder="1" applyAlignment="1">
      <alignment horizontal="center"/>
    </xf>
    <xf numFmtId="0" fontId="58" fillId="0" borderId="39" xfId="2" applyFont="1" applyBorder="1"/>
    <xf numFmtId="0" fontId="58" fillId="0" borderId="40" xfId="2" applyFont="1" applyBorder="1"/>
    <xf numFmtId="1" fontId="59" fillId="12" borderId="14" xfId="2" applyNumberFormat="1" applyFont="1" applyFill="1" applyBorder="1"/>
    <xf numFmtId="0" fontId="55" fillId="0" borderId="39" xfId="2" applyFont="1" applyBorder="1"/>
    <xf numFmtId="0" fontId="55" fillId="0" borderId="40" xfId="2" applyFont="1" applyBorder="1"/>
    <xf numFmtId="0" fontId="34" fillId="12" borderId="14" xfId="2" applyFont="1" applyFill="1" applyBorder="1"/>
    <xf numFmtId="0" fontId="34" fillId="12" borderId="2" xfId="2" applyFont="1" applyFill="1" applyBorder="1"/>
    <xf numFmtId="0" fontId="34" fillId="12" borderId="50" xfId="2" applyFont="1" applyFill="1" applyBorder="1"/>
    <xf numFmtId="0" fontId="55" fillId="12" borderId="42" xfId="2" applyFont="1" applyFill="1" applyBorder="1"/>
    <xf numFmtId="0" fontId="55" fillId="12" borderId="43" xfId="2" applyFont="1" applyFill="1" applyBorder="1"/>
    <xf numFmtId="0" fontId="55" fillId="12" borderId="44" xfId="2" applyFont="1" applyFill="1" applyBorder="1"/>
    <xf numFmtId="0" fontId="34" fillId="12" borderId="43" xfId="2" applyFont="1" applyFill="1" applyBorder="1"/>
    <xf numFmtId="0" fontId="34" fillId="12" borderId="44" xfId="2" applyFont="1" applyFill="1" applyBorder="1"/>
    <xf numFmtId="0" fontId="55" fillId="0" borderId="14" xfId="2" applyFont="1" applyBorder="1"/>
    <xf numFmtId="0" fontId="55" fillId="12" borderId="41" xfId="2" applyFont="1" applyFill="1" applyBorder="1"/>
    <xf numFmtId="0" fontId="34" fillId="0" borderId="14" xfId="2" applyFont="1" applyBorder="1"/>
    <xf numFmtId="0" fontId="34" fillId="12" borderId="41" xfId="2" applyFont="1" applyFill="1" applyBorder="1"/>
    <xf numFmtId="0" fontId="34" fillId="12" borderId="42" xfId="2" applyFont="1" applyFill="1" applyBorder="1"/>
    <xf numFmtId="0" fontId="82" fillId="0" borderId="14" xfId="2" applyBorder="1"/>
    <xf numFmtId="0" fontId="34" fillId="12" borderId="9" xfId="2" applyFont="1" applyFill="1" applyBorder="1"/>
    <xf numFmtId="0" fontId="34" fillId="12" borderId="1" xfId="2" applyFont="1" applyFill="1" applyBorder="1"/>
    <xf numFmtId="0" fontId="82" fillId="12" borderId="1" xfId="2" applyFill="1" applyBorder="1"/>
    <xf numFmtId="0" fontId="34" fillId="12" borderId="48" xfId="2" applyFont="1" applyFill="1" applyBorder="1"/>
    <xf numFmtId="0" fontId="34" fillId="12" borderId="49" xfId="2" applyFont="1" applyFill="1" applyBorder="1"/>
    <xf numFmtId="0" fontId="55" fillId="12" borderId="1" xfId="2" applyFont="1" applyFill="1" applyBorder="1"/>
    <xf numFmtId="0" fontId="34" fillId="12" borderId="23" xfId="2" applyFont="1" applyFill="1" applyBorder="1"/>
    <xf numFmtId="0" fontId="34" fillId="0" borderId="2" xfId="2" applyFont="1" applyBorder="1"/>
    <xf numFmtId="0" fontId="82" fillId="0" borderId="2" xfId="2" applyBorder="1"/>
    <xf numFmtId="0" fontId="34" fillId="0" borderId="43" xfId="2" applyFont="1" applyBorder="1"/>
    <xf numFmtId="0" fontId="34" fillId="0" borderId="44" xfId="2" applyFont="1" applyBorder="1"/>
    <xf numFmtId="0" fontId="34" fillId="0" borderId="41" xfId="2" applyFont="1" applyBorder="1"/>
    <xf numFmtId="0" fontId="34" fillId="0" borderId="42" xfId="2" applyFont="1" applyBorder="1"/>
    <xf numFmtId="0" fontId="34" fillId="0" borderId="40" xfId="2" applyFont="1" applyBorder="1"/>
    <xf numFmtId="0" fontId="34" fillId="0" borderId="39" xfId="2" applyFont="1" applyBorder="1"/>
    <xf numFmtId="0" fontId="106" fillId="0" borderId="0" xfId="2" applyFont="1" applyAlignment="1">
      <alignment horizontal="center" wrapText="1"/>
    </xf>
    <xf numFmtId="0" fontId="106" fillId="25" borderId="8" xfId="2" applyFont="1" applyFill="1" applyBorder="1" applyAlignment="1">
      <alignment horizontal="center" wrapText="1"/>
    </xf>
    <xf numFmtId="0" fontId="106" fillId="18" borderId="8" xfId="2" applyFont="1" applyFill="1" applyBorder="1" applyAlignment="1">
      <alignment horizontal="center" wrapText="1"/>
    </xf>
    <xf numFmtId="0" fontId="106" fillId="29" borderId="8" xfId="2" applyFont="1" applyFill="1" applyBorder="1" applyAlignment="1">
      <alignment horizontal="center" wrapText="1"/>
    </xf>
    <xf numFmtId="0" fontId="34" fillId="19" borderId="12" xfId="2" applyFont="1" applyFill="1" applyBorder="1" applyAlignment="1">
      <alignment horizontal="center" wrapText="1"/>
    </xf>
    <xf numFmtId="0" fontId="34" fillId="25" borderId="8" xfId="2" applyFont="1" applyFill="1" applyBorder="1" applyAlignment="1">
      <alignment horizontal="center" wrapText="1"/>
    </xf>
    <xf numFmtId="0" fontId="34" fillId="18" borderId="8" xfId="2" applyFont="1" applyFill="1" applyBorder="1" applyAlignment="1">
      <alignment horizontal="center" wrapText="1"/>
    </xf>
    <xf numFmtId="0" fontId="34" fillId="29" borderId="8" xfId="2" applyFont="1" applyFill="1" applyBorder="1" applyAlignment="1">
      <alignment horizontal="center" wrapText="1"/>
    </xf>
    <xf numFmtId="0" fontId="34" fillId="4" borderId="0" xfId="2" applyFont="1" applyFill="1"/>
    <xf numFmtId="0" fontId="3" fillId="0" borderId="107" xfId="2" applyFont="1" applyBorder="1"/>
    <xf numFmtId="0" fontId="3" fillId="0" borderId="106" xfId="2" applyFont="1" applyBorder="1"/>
    <xf numFmtId="0" fontId="34" fillId="12" borderId="10" xfId="2" applyFont="1" applyFill="1" applyBorder="1"/>
    <xf numFmtId="0" fontId="34" fillId="12" borderId="0" xfId="2" applyFont="1" applyFill="1"/>
    <xf numFmtId="0" fontId="34" fillId="12" borderId="4" xfId="2" applyFont="1" applyFill="1" applyBorder="1"/>
    <xf numFmtId="0" fontId="31" fillId="0" borderId="0" xfId="2" applyFont="1" applyAlignment="1">
      <alignment vertical="center"/>
    </xf>
    <xf numFmtId="0" fontId="31" fillId="0" borderId="106" xfId="2" applyFont="1" applyBorder="1" applyAlignment="1">
      <alignment vertical="center"/>
    </xf>
    <xf numFmtId="0" fontId="55" fillId="0" borderId="0" xfId="2" applyFont="1" applyAlignment="1">
      <alignment wrapText="1"/>
    </xf>
    <xf numFmtId="0" fontId="60" fillId="0" borderId="8" xfId="2" applyFont="1" applyBorder="1"/>
    <xf numFmtId="0" fontId="60" fillId="0" borderId="35" xfId="2" applyFont="1" applyBorder="1"/>
    <xf numFmtId="0" fontId="60" fillId="0" borderId="45" xfId="2" applyFont="1" applyBorder="1"/>
    <xf numFmtId="0" fontId="60" fillId="0" borderId="46" xfId="2" applyFont="1" applyBorder="1"/>
    <xf numFmtId="0" fontId="60" fillId="0" borderId="47" xfId="2" applyFont="1" applyBorder="1"/>
    <xf numFmtId="0" fontId="60" fillId="0" borderId="12" xfId="2" applyFont="1" applyBorder="1"/>
    <xf numFmtId="0" fontId="35" fillId="6" borderId="5" xfId="2" applyFont="1" applyFill="1" applyBorder="1" applyAlignment="1">
      <alignment horizontal="center" wrapText="1"/>
    </xf>
    <xf numFmtId="0" fontId="60" fillId="0" borderId="0" xfId="2" applyFont="1"/>
    <xf numFmtId="0" fontId="60" fillId="0" borderId="34" xfId="2" applyFont="1" applyBorder="1"/>
    <xf numFmtId="0" fontId="149" fillId="0" borderId="0" xfId="2" applyFont="1" applyAlignment="1">
      <alignment horizontal="center"/>
    </xf>
    <xf numFmtId="0" fontId="34" fillId="0" borderId="7" xfId="2" applyFont="1" applyBorder="1" applyAlignment="1">
      <alignment wrapText="1"/>
    </xf>
    <xf numFmtId="0" fontId="93" fillId="22" borderId="64" xfId="2" applyFont="1" applyFill="1" applyBorder="1" applyAlignment="1">
      <alignment horizontal="center"/>
    </xf>
    <xf numFmtId="0" fontId="93" fillId="22" borderId="65" xfId="2" applyFont="1" applyFill="1" applyBorder="1" applyAlignment="1">
      <alignment horizontal="center"/>
    </xf>
    <xf numFmtId="0" fontId="111" fillId="22" borderId="66" xfId="2" applyFont="1" applyFill="1" applyBorder="1" applyAlignment="1">
      <alignment horizontal="center" wrapText="1"/>
    </xf>
    <xf numFmtId="0" fontId="93" fillId="22" borderId="7" xfId="2" applyFont="1" applyFill="1" applyBorder="1" applyAlignment="1">
      <alignment horizontal="center"/>
    </xf>
    <xf numFmtId="0" fontId="93" fillId="22" borderId="14" xfId="2" applyFont="1" applyFill="1" applyBorder="1" applyAlignment="1">
      <alignment horizontal="center"/>
    </xf>
    <xf numFmtId="0" fontId="93" fillId="22" borderId="18" xfId="2" applyFont="1" applyFill="1" applyBorder="1" applyAlignment="1">
      <alignment horizontal="center"/>
    </xf>
    <xf numFmtId="0" fontId="93" fillId="22" borderId="67" xfId="2" applyFont="1" applyFill="1" applyBorder="1" applyAlignment="1">
      <alignment horizontal="center"/>
    </xf>
    <xf numFmtId="0" fontId="111" fillId="22" borderId="68" xfId="2" applyFont="1" applyFill="1" applyBorder="1" applyAlignment="1">
      <alignment horizontal="center" wrapText="1"/>
    </xf>
    <xf numFmtId="0" fontId="93" fillId="22" borderId="69" xfId="2" applyFont="1" applyFill="1" applyBorder="1" applyAlignment="1">
      <alignment horizontal="center"/>
    </xf>
    <xf numFmtId="0" fontId="93" fillId="22" borderId="0" xfId="2" applyFont="1" applyFill="1" applyAlignment="1">
      <alignment horizontal="center"/>
    </xf>
    <xf numFmtId="0" fontId="35" fillId="0" borderId="107" xfId="2" applyFont="1" applyBorder="1" applyAlignment="1">
      <alignment horizontal="center" wrapText="1"/>
    </xf>
    <xf numFmtId="0" fontId="13" fillId="0" borderId="0" xfId="2" applyFont="1"/>
    <xf numFmtId="0" fontId="127" fillId="0" borderId="8" xfId="2" applyFont="1" applyBorder="1" applyAlignment="1">
      <alignment horizontal="center"/>
    </xf>
    <xf numFmtId="0" fontId="13" fillId="0" borderId="106" xfId="2" applyFont="1" applyBorder="1"/>
    <xf numFmtId="0" fontId="115" fillId="0" borderId="8" xfId="2" applyFont="1" applyBorder="1"/>
    <xf numFmtId="0" fontId="134" fillId="0" borderId="8" xfId="2" applyFont="1" applyBorder="1"/>
    <xf numFmtId="0" fontId="115" fillId="0" borderId="51" xfId="2" applyFont="1" applyBorder="1" applyAlignment="1">
      <alignment wrapText="1"/>
    </xf>
    <xf numFmtId="0" fontId="4" fillId="5" borderId="5" xfId="2" applyFont="1" applyFill="1" applyBorder="1" applyAlignment="1" applyProtection="1">
      <alignment horizontal="center" vertical="center"/>
      <protection locked="0"/>
    </xf>
    <xf numFmtId="0" fontId="35" fillId="6" borderId="5" xfId="2" applyFont="1" applyFill="1" applyBorder="1" applyAlignment="1">
      <alignment horizontal="center" vertical="center" wrapText="1"/>
    </xf>
    <xf numFmtId="0" fontId="35" fillId="0" borderId="108" xfId="2" applyFont="1" applyBorder="1" applyAlignment="1">
      <alignment horizontal="center" wrapText="1"/>
    </xf>
    <xf numFmtId="0" fontId="13" fillId="0" borderId="109" xfId="2" applyFont="1" applyBorder="1"/>
    <xf numFmtId="165" fontId="127" fillId="13" borderId="110" xfId="2" applyNumberFormat="1" applyFont="1" applyFill="1" applyBorder="1" applyAlignment="1">
      <alignment horizontal="center"/>
    </xf>
    <xf numFmtId="0" fontId="13" fillId="0" borderId="111" xfId="2" applyFont="1" applyBorder="1"/>
    <xf numFmtId="0" fontId="115" fillId="13" borderId="8" xfId="2" applyFont="1" applyFill="1" applyBorder="1"/>
    <xf numFmtId="0" fontId="115" fillId="0" borderId="8" xfId="2" applyFont="1" applyBorder="1" applyAlignment="1">
      <alignment wrapText="1"/>
    </xf>
    <xf numFmtId="0" fontId="127" fillId="0" borderId="60" xfId="2" applyFont="1" applyBorder="1"/>
    <xf numFmtId="0" fontId="111" fillId="22" borderId="0" xfId="2" applyFont="1" applyFill="1" applyAlignment="1">
      <alignment horizontal="center" wrapText="1"/>
    </xf>
    <xf numFmtId="49" fontId="34" fillId="15" borderId="5" xfId="2" applyNumberFormat="1" applyFont="1" applyFill="1" applyBorder="1" applyAlignment="1">
      <alignment horizontal="center" wrapText="1"/>
    </xf>
    <xf numFmtId="49" fontId="3" fillId="4" borderId="18" xfId="2" applyNumberFormat="1" applyFont="1" applyFill="1" applyBorder="1" applyAlignment="1">
      <alignment horizontal="center" wrapText="1"/>
    </xf>
    <xf numFmtId="0" fontId="82" fillId="0" borderId="10" xfId="2" applyBorder="1" applyAlignment="1">
      <alignment horizontal="center"/>
    </xf>
    <xf numFmtId="0" fontId="28" fillId="0" borderId="1" xfId="2" applyFont="1" applyBorder="1"/>
    <xf numFmtId="0" fontId="28" fillId="12" borderId="8" xfId="2" applyFont="1" applyFill="1" applyBorder="1"/>
    <xf numFmtId="0" fontId="28" fillId="0" borderId="0" xfId="2" applyFont="1" applyAlignment="1">
      <alignment horizontal="right"/>
    </xf>
    <xf numFmtId="0" fontId="98" fillId="0" borderId="8" xfId="2" applyFont="1" applyBorder="1"/>
    <xf numFmtId="164" fontId="99" fillId="0" borderId="8" xfId="2" applyNumberFormat="1" applyFont="1" applyBorder="1" applyAlignment="1">
      <alignment horizontal="center"/>
    </xf>
    <xf numFmtId="0" fontId="127" fillId="0" borderId="5" xfId="2" applyFont="1" applyBorder="1" applyAlignment="1">
      <alignment horizontal="left"/>
    </xf>
    <xf numFmtId="0" fontId="4" fillId="15" borderId="5" xfId="2" applyFont="1" applyFill="1" applyBorder="1" applyAlignment="1" applyProtection="1">
      <alignment horizontal="center"/>
      <protection locked="0"/>
    </xf>
    <xf numFmtId="0" fontId="4" fillId="2" borderId="14" xfId="2" applyFont="1" applyFill="1" applyBorder="1" applyAlignment="1">
      <alignment horizontal="center"/>
    </xf>
    <xf numFmtId="49" fontId="110" fillId="12" borderId="5" xfId="2" applyNumberFormat="1" applyFont="1" applyFill="1" applyBorder="1" applyAlignment="1">
      <alignment horizontal="center" wrapText="1"/>
    </xf>
    <xf numFmtId="49" fontId="34" fillId="0" borderId="0" xfId="2" applyNumberFormat="1" applyFont="1" applyAlignment="1">
      <alignment horizontal="center" wrapText="1"/>
    </xf>
    <xf numFmtId="49" fontId="43" fillId="4" borderId="18" xfId="2" applyNumberFormat="1" applyFont="1" applyFill="1" applyBorder="1" applyAlignment="1">
      <alignment horizontal="center" wrapText="1"/>
    </xf>
    <xf numFmtId="49" fontId="43" fillId="4" borderId="5" xfId="2" applyNumberFormat="1" applyFont="1" applyFill="1" applyBorder="1" applyAlignment="1">
      <alignment horizontal="center" wrapText="1"/>
    </xf>
    <xf numFmtId="49" fontId="43" fillId="4" borderId="15" xfId="2" applyNumberFormat="1" applyFont="1" applyFill="1" applyBorder="1" applyAlignment="1">
      <alignment horizontal="center" wrapText="1"/>
    </xf>
    <xf numFmtId="49" fontId="43" fillId="4" borderId="6" xfId="2" applyNumberFormat="1" applyFont="1" applyFill="1" applyBorder="1" applyAlignment="1">
      <alignment horizontal="center" wrapText="1"/>
    </xf>
    <xf numFmtId="0" fontId="43" fillId="0" borderId="0" xfId="2" applyFont="1" applyAlignment="1">
      <alignment horizontal="center"/>
    </xf>
    <xf numFmtId="0" fontId="4" fillId="0" borderId="0" xfId="2" applyFont="1" applyAlignment="1">
      <alignment horizontal="center"/>
    </xf>
    <xf numFmtId="0" fontId="63" fillId="0" borderId="0" xfId="2" applyFont="1"/>
    <xf numFmtId="0" fontId="5" fillId="0" borderId="1" xfId="2" applyFont="1" applyBorder="1"/>
    <xf numFmtId="0" fontId="82" fillId="12" borderId="24" xfId="2" applyFill="1" applyBorder="1"/>
    <xf numFmtId="0" fontId="43" fillId="11" borderId="17" xfId="2" applyFont="1" applyFill="1" applyBorder="1"/>
    <xf numFmtId="0" fontId="43" fillId="11" borderId="0" xfId="2" applyFont="1" applyFill="1"/>
    <xf numFmtId="0" fontId="28" fillId="0" borderId="23" xfId="2" applyFont="1" applyBorder="1" applyAlignment="1">
      <alignment horizontal="center" wrapText="1"/>
    </xf>
    <xf numFmtId="0" fontId="70" fillId="0" borderId="0" xfId="2" applyFont="1"/>
    <xf numFmtId="0" fontId="82" fillId="0" borderId="0" xfId="2" applyAlignment="1">
      <alignment horizontal="center" wrapText="1"/>
    </xf>
    <xf numFmtId="0" fontId="18" fillId="0" borderId="0" xfId="2" applyFont="1"/>
    <xf numFmtId="2" fontId="5" fillId="0" borderId="4" xfId="2" applyNumberFormat="1" applyFont="1" applyBorder="1"/>
    <xf numFmtId="2" fontId="5" fillId="0" borderId="9" xfId="2" applyNumberFormat="1" applyFont="1" applyBorder="1"/>
    <xf numFmtId="49" fontId="5" fillId="12" borderId="24" xfId="2" applyNumberFormat="1" applyFont="1" applyFill="1" applyBorder="1" applyAlignment="1">
      <alignment horizontal="center" wrapText="1"/>
    </xf>
    <xf numFmtId="49" fontId="5" fillId="4" borderId="24" xfId="2" applyNumberFormat="1" applyFont="1" applyFill="1" applyBorder="1" applyAlignment="1">
      <alignment horizontal="center" wrapText="1"/>
    </xf>
    <xf numFmtId="49" fontId="5" fillId="0" borderId="0" xfId="2" applyNumberFormat="1" applyFont="1" applyAlignment="1">
      <alignment horizontal="center" wrapText="1"/>
    </xf>
    <xf numFmtId="0" fontId="28" fillId="11" borderId="21" xfId="2" applyFont="1" applyFill="1" applyBorder="1"/>
    <xf numFmtId="0" fontId="28" fillId="11" borderId="22" xfId="2" applyFont="1" applyFill="1" applyBorder="1"/>
    <xf numFmtId="0" fontId="28" fillId="0" borderId="4" xfId="2" applyFont="1" applyBorder="1" applyAlignment="1">
      <alignment horizontal="center" wrapText="1"/>
    </xf>
    <xf numFmtId="0" fontId="28" fillId="7" borderId="0" xfId="2" applyFont="1" applyFill="1" applyAlignment="1">
      <alignment horizontal="center" wrapText="1"/>
    </xf>
    <xf numFmtId="0" fontId="28" fillId="12" borderId="13" xfId="2" applyFont="1" applyFill="1" applyBorder="1" applyAlignment="1">
      <alignment horizontal="center" wrapText="1"/>
    </xf>
    <xf numFmtId="0" fontId="5" fillId="11" borderId="8" xfId="2" applyFont="1" applyFill="1" applyBorder="1" applyAlignment="1">
      <alignment horizontal="center" wrapText="1"/>
    </xf>
    <xf numFmtId="0" fontId="28" fillId="7" borderId="0" xfId="2" applyFont="1" applyFill="1"/>
    <xf numFmtId="0" fontId="8" fillId="11" borderId="8" xfId="2" applyFont="1" applyFill="1" applyBorder="1" applyAlignment="1">
      <alignment horizontal="center" wrapText="1"/>
    </xf>
    <xf numFmtId="0" fontId="28" fillId="2" borderId="0" xfId="2" applyFont="1" applyFill="1" applyAlignment="1">
      <alignment horizontal="center" wrapText="1"/>
    </xf>
    <xf numFmtId="0" fontId="28" fillId="9" borderId="0" xfId="2" applyFont="1" applyFill="1" applyAlignment="1">
      <alignment horizontal="center" wrapText="1"/>
    </xf>
    <xf numFmtId="0" fontId="82" fillId="11" borderId="13" xfId="2" applyFill="1" applyBorder="1" applyAlignment="1">
      <alignment horizontal="center" wrapText="1"/>
    </xf>
    <xf numFmtId="0" fontId="43" fillId="8" borderId="0" xfId="2" applyFont="1" applyFill="1"/>
    <xf numFmtId="2" fontId="71" fillId="0" borderId="0" xfId="2" applyNumberFormat="1" applyFont="1" applyAlignment="1">
      <alignment horizontal="center"/>
    </xf>
    <xf numFmtId="2" fontId="71" fillId="0" borderId="24" xfId="2" applyNumberFormat="1" applyFont="1" applyBorder="1" applyAlignment="1">
      <alignment horizontal="center"/>
    </xf>
    <xf numFmtId="0" fontId="5" fillId="2" borderId="5" xfId="2" applyFont="1" applyFill="1" applyBorder="1"/>
    <xf numFmtId="0" fontId="5" fillId="0" borderId="7" xfId="2" applyFont="1" applyBorder="1"/>
    <xf numFmtId="0" fontId="8" fillId="2" borderId="5" xfId="2" applyFont="1" applyFill="1" applyBorder="1" applyAlignment="1" applyProtection="1">
      <alignment horizontal="center"/>
      <protection locked="0"/>
    </xf>
    <xf numFmtId="0" fontId="5" fillId="2" borderId="18" xfId="2" applyFont="1" applyFill="1" applyBorder="1" applyAlignment="1">
      <alignment horizontal="center"/>
    </xf>
    <xf numFmtId="0" fontId="5" fillId="2" borderId="5" xfId="2" applyFont="1" applyFill="1" applyBorder="1" applyAlignment="1">
      <alignment horizontal="center"/>
    </xf>
    <xf numFmtId="0" fontId="43" fillId="11" borderId="19" xfId="2" applyFont="1" applyFill="1" applyBorder="1"/>
    <xf numFmtId="0" fontId="43" fillId="11" borderId="20" xfId="2" applyFont="1" applyFill="1" applyBorder="1"/>
    <xf numFmtId="0" fontId="28" fillId="0" borderId="14" xfId="2" applyFont="1" applyBorder="1"/>
    <xf numFmtId="0" fontId="43" fillId="11" borderId="2" xfId="2" applyFont="1" applyFill="1" applyBorder="1"/>
    <xf numFmtId="0" fontId="28" fillId="0" borderId="18" xfId="2" applyFont="1" applyBorder="1"/>
    <xf numFmtId="0" fontId="67" fillId="0" borderId="1" xfId="2" applyFont="1" applyBorder="1" applyAlignment="1">
      <alignment horizontal="center"/>
    </xf>
    <xf numFmtId="0" fontId="43" fillId="11" borderId="1" xfId="2" applyFont="1" applyFill="1" applyBorder="1" applyAlignment="1">
      <alignment horizontal="center"/>
    </xf>
    <xf numFmtId="0" fontId="81" fillId="14" borderId="0" xfId="2" applyFont="1" applyFill="1"/>
    <xf numFmtId="0" fontId="43" fillId="2" borderId="5" xfId="2" applyFont="1" applyFill="1" applyBorder="1" applyAlignment="1">
      <alignment horizontal="center"/>
    </xf>
    <xf numFmtId="0" fontId="28" fillId="12" borderId="0" xfId="2" applyFont="1" applyFill="1"/>
    <xf numFmtId="0" fontId="67" fillId="7" borderId="1" xfId="2" applyFont="1" applyFill="1" applyBorder="1" applyAlignment="1">
      <alignment horizontal="center"/>
    </xf>
    <xf numFmtId="0" fontId="12" fillId="12" borderId="1" xfId="2" applyFont="1" applyFill="1" applyBorder="1" applyAlignment="1">
      <alignment horizontal="center"/>
    </xf>
    <xf numFmtId="0" fontId="5" fillId="11" borderId="0" xfId="2" applyFont="1" applyFill="1" applyAlignment="1">
      <alignment horizontal="center"/>
    </xf>
    <xf numFmtId="0" fontId="70" fillId="7" borderId="27" xfId="2" applyFont="1" applyFill="1" applyBorder="1"/>
    <xf numFmtId="0" fontId="105" fillId="11" borderId="0" xfId="2" applyFont="1" applyFill="1" applyAlignment="1">
      <alignment horizontal="center"/>
    </xf>
    <xf numFmtId="0" fontId="70" fillId="2" borderId="27" xfId="2" applyFont="1" applyFill="1" applyBorder="1"/>
    <xf numFmtId="0" fontId="37" fillId="11" borderId="0" xfId="2" applyFont="1" applyFill="1" applyAlignment="1">
      <alignment horizontal="center"/>
    </xf>
    <xf numFmtId="0" fontId="72" fillId="9" borderId="27" xfId="2" applyFont="1" applyFill="1" applyBorder="1" applyAlignment="1">
      <alignment horizontal="center"/>
    </xf>
    <xf numFmtId="0" fontId="37" fillId="11" borderId="1" xfId="2" applyFont="1" applyFill="1" applyBorder="1" applyAlignment="1">
      <alignment horizontal="center"/>
    </xf>
    <xf numFmtId="0" fontId="72" fillId="0" borderId="27" xfId="2" applyFont="1" applyBorder="1" applyAlignment="1">
      <alignment horizontal="center"/>
    </xf>
    <xf numFmtId="0" fontId="72" fillId="0" borderId="1" xfId="2" applyFont="1" applyBorder="1" applyAlignment="1">
      <alignment horizontal="center"/>
    </xf>
    <xf numFmtId="0" fontId="72" fillId="9" borderId="1" xfId="2" applyFont="1" applyFill="1" applyBorder="1" applyAlignment="1">
      <alignment horizontal="center"/>
    </xf>
    <xf numFmtId="0" fontId="72" fillId="8" borderId="1" xfId="2" applyFont="1" applyFill="1" applyBorder="1" applyAlignment="1">
      <alignment horizontal="center"/>
    </xf>
    <xf numFmtId="2" fontId="43" fillId="2" borderId="5" xfId="2" applyNumberFormat="1" applyFont="1" applyFill="1" applyBorder="1" applyAlignment="1">
      <alignment horizontal="center"/>
    </xf>
    <xf numFmtId="2" fontId="43" fillId="7" borderId="5" xfId="2" applyNumberFormat="1" applyFont="1" applyFill="1" applyBorder="1" applyAlignment="1">
      <alignment horizontal="center"/>
    </xf>
    <xf numFmtId="0" fontId="5" fillId="2" borderId="6" xfId="2" applyFont="1" applyFill="1" applyBorder="1"/>
    <xf numFmtId="0" fontId="5" fillId="0" borderId="6" xfId="2" applyFont="1" applyBorder="1"/>
    <xf numFmtId="0" fontId="9" fillId="2" borderId="18" xfId="2" applyFont="1" applyFill="1" applyBorder="1" applyAlignment="1">
      <alignment horizontal="center"/>
    </xf>
    <xf numFmtId="0" fontId="28" fillId="0" borderId="2" xfId="2" applyFont="1" applyBorder="1"/>
    <xf numFmtId="0" fontId="28" fillId="0" borderId="3" xfId="2" applyFont="1" applyBorder="1"/>
    <xf numFmtId="0" fontId="67" fillId="0" borderId="0" xfId="2" applyFont="1" applyAlignment="1">
      <alignment horizontal="center"/>
    </xf>
    <xf numFmtId="0" fontId="67" fillId="7" borderId="0" xfId="2" applyFont="1" applyFill="1" applyAlignment="1">
      <alignment horizontal="center"/>
    </xf>
    <xf numFmtId="0" fontId="70" fillId="7" borderId="8" xfId="2" applyFont="1" applyFill="1" applyBorder="1"/>
    <xf numFmtId="0" fontId="70" fillId="2" borderId="8" xfId="2" applyFont="1" applyFill="1" applyBorder="1"/>
    <xf numFmtId="0" fontId="72" fillId="0" borderId="8" xfId="2" applyFont="1" applyBorder="1" applyAlignment="1">
      <alignment horizontal="center"/>
    </xf>
    <xf numFmtId="0" fontId="72" fillId="0" borderId="0" xfId="2" applyFont="1" applyAlignment="1">
      <alignment horizontal="center"/>
    </xf>
    <xf numFmtId="0" fontId="72" fillId="9" borderId="0" xfId="2" applyFont="1" applyFill="1" applyAlignment="1">
      <alignment horizontal="center"/>
    </xf>
    <xf numFmtId="0" fontId="72" fillId="8" borderId="0" xfId="2" applyFont="1" applyFill="1" applyAlignment="1">
      <alignment horizontal="center"/>
    </xf>
    <xf numFmtId="0" fontId="64" fillId="0" borderId="0" xfId="2" applyFont="1" applyAlignment="1">
      <alignment horizontal="left"/>
    </xf>
    <xf numFmtId="0" fontId="3" fillId="0" borderId="0" xfId="2" applyFont="1" applyAlignment="1">
      <alignment horizontal="center"/>
    </xf>
    <xf numFmtId="0" fontId="82" fillId="0" borderId="4" xfId="2" applyBorder="1" applyAlignment="1">
      <alignment horizontal="center"/>
    </xf>
    <xf numFmtId="2" fontId="14" fillId="0" borderId="0" xfId="2" applyNumberFormat="1" applyFont="1" applyAlignment="1">
      <alignment horizontal="center"/>
    </xf>
    <xf numFmtId="0" fontId="86" fillId="0" borderId="6" xfId="2" applyFont="1" applyBorder="1"/>
    <xf numFmtId="0" fontId="88" fillId="2" borderId="5" xfId="2" applyFont="1" applyFill="1" applyBorder="1" applyAlignment="1" applyProtection="1">
      <alignment horizontal="center"/>
      <protection locked="0"/>
    </xf>
    <xf numFmtId="0" fontId="86" fillId="2" borderId="5" xfId="2" applyFont="1" applyFill="1" applyBorder="1" applyAlignment="1">
      <alignment horizontal="center"/>
    </xf>
    <xf numFmtId="0" fontId="85" fillId="0" borderId="2" xfId="2" applyFont="1" applyBorder="1"/>
    <xf numFmtId="0" fontId="85" fillId="0" borderId="3" xfId="2" applyFont="1" applyBorder="1"/>
    <xf numFmtId="0" fontId="85" fillId="0" borderId="0" xfId="2" applyFont="1"/>
    <xf numFmtId="0" fontId="87" fillId="0" borderId="0" xfId="2" applyFont="1" applyAlignment="1">
      <alignment horizontal="center"/>
    </xf>
    <xf numFmtId="0" fontId="87" fillId="2" borderId="5" xfId="2" applyFont="1" applyFill="1" applyBorder="1" applyAlignment="1">
      <alignment horizontal="center"/>
    </xf>
    <xf numFmtId="0" fontId="85" fillId="12" borderId="0" xfId="2" applyFont="1" applyFill="1"/>
    <xf numFmtId="0" fontId="87" fillId="7" borderId="0" xfId="2" applyFont="1" applyFill="1" applyAlignment="1">
      <alignment horizontal="center"/>
    </xf>
    <xf numFmtId="0" fontId="86" fillId="12" borderId="1" xfId="2" applyFont="1" applyFill="1" applyBorder="1" applyAlignment="1">
      <alignment horizontal="center"/>
    </xf>
    <xf numFmtId="0" fontId="85" fillId="7" borderId="8" xfId="2" applyFont="1" applyFill="1" applyBorder="1"/>
    <xf numFmtId="0" fontId="85" fillId="2" borderId="8" xfId="2" applyFont="1" applyFill="1" applyBorder="1"/>
    <xf numFmtId="0" fontId="87" fillId="0" borderId="8" xfId="2" applyFont="1" applyBorder="1" applyAlignment="1">
      <alignment horizontal="center"/>
    </xf>
    <xf numFmtId="0" fontId="87" fillId="9" borderId="0" xfId="2" applyFont="1" applyFill="1" applyAlignment="1">
      <alignment horizontal="center"/>
    </xf>
    <xf numFmtId="0" fontId="87" fillId="8" borderId="0" xfId="2" applyFont="1" applyFill="1" applyAlignment="1">
      <alignment horizontal="center"/>
    </xf>
    <xf numFmtId="2" fontId="87" fillId="2" borderId="5" xfId="2" applyNumberFormat="1" applyFont="1" applyFill="1" applyBorder="1" applyAlignment="1">
      <alignment horizontal="center"/>
    </xf>
    <xf numFmtId="2" fontId="15" fillId="0" borderId="0" xfId="2" applyNumberFormat="1" applyFont="1"/>
    <xf numFmtId="0" fontId="5" fillId="0" borderId="0" xfId="2" applyFont="1" applyAlignment="1">
      <alignment horizontal="center"/>
    </xf>
    <xf numFmtId="0" fontId="37" fillId="0" borderId="0" xfId="2" applyFont="1" applyAlignment="1">
      <alignment horizontal="center"/>
    </xf>
    <xf numFmtId="2" fontId="43" fillId="0" borderId="0" xfId="2" applyNumberFormat="1" applyFont="1" applyAlignment="1">
      <alignment horizontal="center"/>
    </xf>
    <xf numFmtId="0" fontId="19" fillId="0" borderId="0" xfId="2" applyFont="1"/>
    <xf numFmtId="0" fontId="76" fillId="0" borderId="7" xfId="2" applyFont="1" applyBorder="1" applyAlignment="1">
      <alignment wrapText="1"/>
    </xf>
    <xf numFmtId="0" fontId="76" fillId="0" borderId="18" xfId="2" applyFont="1" applyBorder="1" applyAlignment="1">
      <alignment horizontal="center"/>
    </xf>
    <xf numFmtId="0" fontId="16" fillId="19" borderId="90" xfId="2" applyFont="1" applyFill="1" applyBorder="1"/>
    <xf numFmtId="0" fontId="28" fillId="19" borderId="14" xfId="2" applyFont="1" applyFill="1" applyBorder="1"/>
    <xf numFmtId="0" fontId="28" fillId="19" borderId="18" xfId="2" applyFont="1" applyFill="1" applyBorder="1"/>
    <xf numFmtId="0" fontId="90" fillId="19" borderId="8" xfId="2" applyFont="1" applyFill="1" applyBorder="1" applyAlignment="1">
      <alignment horizontal="left"/>
    </xf>
    <xf numFmtId="0" fontId="76" fillId="0" borderId="0" xfId="2" applyFont="1" applyAlignment="1">
      <alignment wrapText="1"/>
    </xf>
    <xf numFmtId="0" fontId="76" fillId="0" borderId="0" xfId="2" applyFont="1" applyAlignment="1">
      <alignment horizontal="center"/>
    </xf>
    <xf numFmtId="0" fontId="115" fillId="13" borderId="91" xfId="2" applyFont="1" applyFill="1" applyBorder="1"/>
    <xf numFmtId="0" fontId="115" fillId="0" borderId="17" xfId="2" applyFont="1" applyBorder="1"/>
    <xf numFmtId="0" fontId="115" fillId="0" borderId="17" xfId="2" applyFont="1" applyBorder="1" applyAlignment="1">
      <alignment wrapText="1"/>
    </xf>
    <xf numFmtId="0" fontId="127" fillId="0" borderId="30" xfId="2" applyFont="1" applyBorder="1"/>
    <xf numFmtId="0" fontId="115" fillId="13" borderId="92" xfId="2" applyFont="1" applyFill="1" applyBorder="1"/>
    <xf numFmtId="0" fontId="115" fillId="0" borderId="13" xfId="2" applyFont="1" applyBorder="1"/>
    <xf numFmtId="0" fontId="98" fillId="0" borderId="13" xfId="2" applyFont="1" applyBorder="1"/>
    <xf numFmtId="164" fontId="99" fillId="19" borderId="13" xfId="2" applyNumberFormat="1" applyFont="1" applyFill="1" applyBorder="1" applyAlignment="1">
      <alignment horizontal="center"/>
    </xf>
    <xf numFmtId="0" fontId="127" fillId="0" borderId="24" xfId="2" applyFont="1" applyBorder="1" applyAlignment="1">
      <alignment horizontal="left"/>
    </xf>
    <xf numFmtId="0" fontId="16" fillId="12" borderId="90" xfId="2" applyFont="1" applyFill="1" applyBorder="1"/>
    <xf numFmtId="0" fontId="126" fillId="12" borderId="14" xfId="2" applyFont="1" applyFill="1" applyBorder="1"/>
    <xf numFmtId="0" fontId="16" fillId="12" borderId="18" xfId="2" applyFont="1" applyFill="1" applyBorder="1" applyAlignment="1">
      <alignment wrapText="1"/>
    </xf>
    <xf numFmtId="0" fontId="115" fillId="0" borderId="91" xfId="2" applyFont="1" applyBorder="1"/>
    <xf numFmtId="0" fontId="127" fillId="12" borderId="51" xfId="2" applyFont="1" applyFill="1" applyBorder="1" applyAlignment="1">
      <alignment horizontal="center" wrapText="1"/>
    </xf>
    <xf numFmtId="0" fontId="64" fillId="0" borderId="8" xfId="2" applyFont="1" applyBorder="1" applyAlignment="1">
      <alignment horizontal="center"/>
    </xf>
    <xf numFmtId="0" fontId="5" fillId="19" borderId="8" xfId="2" applyFont="1" applyFill="1" applyBorder="1"/>
    <xf numFmtId="0" fontId="90" fillId="13" borderId="8" xfId="2" applyFont="1" applyFill="1" applyBorder="1" applyAlignment="1">
      <alignment horizontal="center"/>
    </xf>
    <xf numFmtId="0" fontId="8" fillId="13" borderId="8" xfId="2" applyFont="1" applyFill="1" applyBorder="1"/>
    <xf numFmtId="0" fontId="8" fillId="0" borderId="8" xfId="2" applyFont="1" applyBorder="1"/>
    <xf numFmtId="0" fontId="8" fillId="19" borderId="8" xfId="2" applyFont="1" applyFill="1" applyBorder="1"/>
    <xf numFmtId="0" fontId="64" fillId="0" borderId="8" xfId="2" applyFont="1" applyBorder="1" applyAlignment="1">
      <alignment horizontal="left"/>
    </xf>
    <xf numFmtId="0" fontId="43" fillId="25" borderId="5" xfId="2" applyFont="1" applyFill="1" applyBorder="1" applyAlignment="1">
      <alignment horizontal="left"/>
    </xf>
    <xf numFmtId="0" fontId="115" fillId="0" borderId="57" xfId="2" applyFont="1" applyBorder="1"/>
    <xf numFmtId="0" fontId="115" fillId="0" borderId="20" xfId="2" applyFont="1" applyBorder="1"/>
    <xf numFmtId="0" fontId="98" fillId="0" borderId="20" xfId="2" applyFont="1" applyBorder="1"/>
    <xf numFmtId="164" fontId="99" fillId="0" borderId="20" xfId="2" applyNumberFormat="1" applyFont="1" applyBorder="1" applyAlignment="1">
      <alignment horizontal="center"/>
    </xf>
    <xf numFmtId="164" fontId="128" fillId="12" borderId="58" xfId="2" applyNumberFormat="1" applyFont="1" applyFill="1" applyBorder="1" applyAlignment="1">
      <alignment horizontal="center"/>
    </xf>
    <xf numFmtId="49" fontId="3" fillId="0" borderId="0" xfId="2" applyNumberFormat="1" applyFont="1" applyAlignment="1">
      <alignment horizontal="center" wrapText="1"/>
    </xf>
    <xf numFmtId="49" fontId="43" fillId="16" borderId="0" xfId="2" applyNumberFormat="1" applyFont="1" applyFill="1" applyAlignment="1">
      <alignment horizontal="center" wrapText="1"/>
    </xf>
    <xf numFmtId="49" fontId="43" fillId="0" borderId="0" xfId="2" applyNumberFormat="1" applyFont="1" applyAlignment="1">
      <alignment horizontal="center" wrapText="1"/>
    </xf>
    <xf numFmtId="0" fontId="55" fillId="0" borderId="24" xfId="2" applyFont="1" applyBorder="1"/>
    <xf numFmtId="0" fontId="28" fillId="13" borderId="8" xfId="2" applyFont="1" applyFill="1" applyBorder="1"/>
    <xf numFmtId="0" fontId="28" fillId="0" borderId="8" xfId="2" applyFont="1" applyBorder="1" applyAlignment="1">
      <alignment horizontal="center" wrapText="1"/>
    </xf>
    <xf numFmtId="2" fontId="5" fillId="0" borderId="3" xfId="2" applyNumberFormat="1" applyFont="1" applyBorder="1"/>
    <xf numFmtId="2" fontId="5" fillId="0" borderId="7" xfId="2" applyNumberFormat="1" applyFont="1" applyBorder="1"/>
    <xf numFmtId="49" fontId="5" fillId="12" borderId="5" xfId="2" applyNumberFormat="1" applyFont="1" applyFill="1" applyBorder="1" applyAlignment="1">
      <alignment horizontal="center" vertical="center" wrapText="1"/>
    </xf>
    <xf numFmtId="0" fontId="43" fillId="15" borderId="8" xfId="2" applyFont="1" applyFill="1" applyBorder="1" applyAlignment="1">
      <alignment horizontal="center" wrapText="1"/>
    </xf>
    <xf numFmtId="0" fontId="28" fillId="15" borderId="8" xfId="2" applyFont="1" applyFill="1" applyBorder="1" applyAlignment="1">
      <alignment horizontal="center" wrapText="1"/>
    </xf>
    <xf numFmtId="0" fontId="28" fillId="17" borderId="0" xfId="2" applyFont="1" applyFill="1" applyAlignment="1">
      <alignment horizontal="center" wrapText="1"/>
    </xf>
    <xf numFmtId="0" fontId="28" fillId="11" borderId="0" xfId="2" applyFont="1" applyFill="1" applyAlignment="1">
      <alignment horizontal="center" wrapText="1"/>
    </xf>
    <xf numFmtId="0" fontId="28" fillId="14" borderId="0" xfId="2" applyFont="1" applyFill="1" applyAlignment="1">
      <alignment horizontal="center" wrapText="1"/>
    </xf>
    <xf numFmtId="2" fontId="71" fillId="0" borderId="5" xfId="2" applyNumberFormat="1" applyFont="1" applyBorder="1" applyAlignment="1">
      <alignment horizontal="center"/>
    </xf>
    <xf numFmtId="0" fontId="6" fillId="0" borderId="0" xfId="2" applyFont="1"/>
    <xf numFmtId="0" fontId="34" fillId="14" borderId="8" xfId="2" applyFont="1" applyFill="1" applyBorder="1" applyAlignment="1">
      <alignment wrapText="1"/>
    </xf>
    <xf numFmtId="0" fontId="34" fillId="14" borderId="8" xfId="2" applyFont="1" applyFill="1" applyBorder="1" applyAlignment="1">
      <alignment horizontal="center"/>
    </xf>
    <xf numFmtId="0" fontId="40" fillId="0" borderId="0" xfId="2" applyFont="1"/>
    <xf numFmtId="0" fontId="3" fillId="0" borderId="0" xfId="2" applyFont="1" applyAlignment="1">
      <alignment horizontal="right"/>
    </xf>
    <xf numFmtId="0" fontId="22" fillId="0" borderId="0" xfId="2" applyFont="1" applyAlignment="1">
      <alignment horizontal="center"/>
    </xf>
    <xf numFmtId="49" fontId="5" fillId="4" borderId="5" xfId="2" applyNumberFormat="1" applyFont="1" applyFill="1" applyBorder="1" applyAlignment="1">
      <alignment horizontal="center" wrapText="1"/>
    </xf>
    <xf numFmtId="0" fontId="82" fillId="11" borderId="8" xfId="2" applyFill="1" applyBorder="1" applyAlignment="1">
      <alignment horizontal="center" wrapText="1"/>
    </xf>
    <xf numFmtId="0" fontId="22" fillId="0" borderId="0" xfId="2" applyFont="1"/>
    <xf numFmtId="0" fontId="64" fillId="0" borderId="13" xfId="2" applyFont="1" applyBorder="1" applyAlignment="1">
      <alignment horizontal="center"/>
    </xf>
    <xf numFmtId="0" fontId="5" fillId="19" borderId="13" xfId="2" applyFont="1" applyFill="1" applyBorder="1"/>
    <xf numFmtId="0" fontId="64" fillId="0" borderId="13" xfId="2" applyFont="1" applyBorder="1" applyAlignment="1">
      <alignment horizontal="left"/>
    </xf>
    <xf numFmtId="0" fontId="20" fillId="0" borderId="0" xfId="2" applyFont="1"/>
    <xf numFmtId="49" fontId="34" fillId="12" borderId="5" xfId="2" applyNumberFormat="1" applyFont="1" applyFill="1" applyBorder="1" applyAlignment="1">
      <alignment horizontal="center" wrapText="1"/>
    </xf>
    <xf numFmtId="49" fontId="5" fillId="0" borderId="5" xfId="2" applyNumberFormat="1" applyFont="1" applyBorder="1" applyAlignment="1">
      <alignment horizontal="center" wrapText="1"/>
    </xf>
    <xf numFmtId="0" fontId="55" fillId="0" borderId="21" xfId="2" applyFont="1" applyBorder="1"/>
    <xf numFmtId="0" fontId="55" fillId="0" borderId="22" xfId="2" applyFont="1" applyBorder="1"/>
    <xf numFmtId="0" fontId="8" fillId="12" borderId="5" xfId="2" applyFont="1" applyFill="1" applyBorder="1" applyAlignment="1" applyProtection="1">
      <alignment horizontal="center"/>
      <protection locked="0"/>
    </xf>
    <xf numFmtId="0" fontId="43" fillId="2" borderId="1" xfId="2" applyFont="1" applyFill="1" applyBorder="1" applyAlignment="1">
      <alignment horizontal="center"/>
    </xf>
    <xf numFmtId="0" fontId="43" fillId="2" borderId="0" xfId="2" applyFont="1" applyFill="1" applyAlignment="1">
      <alignment horizontal="center"/>
    </xf>
    <xf numFmtId="0" fontId="12" fillId="12" borderId="0" xfId="2" applyFont="1" applyFill="1" applyAlignment="1">
      <alignment horizontal="center"/>
    </xf>
    <xf numFmtId="0" fontId="72" fillId="9" borderId="8" xfId="2" applyFont="1" applyFill="1" applyBorder="1" applyAlignment="1">
      <alignment horizontal="center"/>
    </xf>
    <xf numFmtId="0" fontId="1" fillId="0" borderId="0" xfId="2" applyFont="1"/>
    <xf numFmtId="0" fontId="27" fillId="0" borderId="0" xfId="2" applyFont="1"/>
    <xf numFmtId="0" fontId="43" fillId="25" borderId="18" xfId="2" applyFont="1" applyFill="1" applyBorder="1" applyAlignment="1">
      <alignment horizontal="center"/>
    </xf>
    <xf numFmtId="0" fontId="176" fillId="13" borderId="8" xfId="0" applyFont="1" applyFill="1" applyBorder="1"/>
    <xf numFmtId="0" fontId="177" fillId="0" borderId="5" xfId="0" applyFont="1" applyBorder="1" applyAlignment="1">
      <alignment horizontal="left" vertical="top" wrapText="1"/>
    </xf>
    <xf numFmtId="0" fontId="178" fillId="12" borderId="8" xfId="0" applyFont="1" applyFill="1" applyBorder="1"/>
    <xf numFmtId="0" fontId="179" fillId="12" borderId="35" xfId="0" applyFont="1" applyFill="1" applyBorder="1" applyAlignment="1">
      <alignment horizontal="center"/>
    </xf>
    <xf numFmtId="0" fontId="180" fillId="12" borderId="5" xfId="0" applyFont="1" applyFill="1" applyBorder="1" applyAlignment="1">
      <alignment horizontal="left"/>
    </xf>
    <xf numFmtId="0" fontId="179" fillId="12" borderId="35" xfId="0" applyFont="1" applyFill="1" applyBorder="1" applyAlignment="1">
      <alignment horizontal="left"/>
    </xf>
    <xf numFmtId="0" fontId="181" fillId="12" borderId="5" xfId="0" applyFont="1" applyFill="1" applyBorder="1" applyAlignment="1">
      <alignment horizontal="center"/>
    </xf>
    <xf numFmtId="0" fontId="43" fillId="12" borderId="8" xfId="0" applyFont="1" applyFill="1" applyBorder="1"/>
    <xf numFmtId="0" fontId="43" fillId="12" borderId="8" xfId="0" applyFont="1" applyFill="1" applyBorder="1" applyAlignment="1">
      <alignment horizontal="right"/>
    </xf>
    <xf numFmtId="0" fontId="28" fillId="0" borderId="106" xfId="0" applyFont="1" applyBorder="1"/>
    <xf numFmtId="0" fontId="43" fillId="0" borderId="0" xfId="0" applyFont="1" applyAlignment="1">
      <alignment horizontal="right"/>
    </xf>
    <xf numFmtId="0" fontId="3" fillId="0" borderId="107" xfId="0" applyFont="1" applyBorder="1"/>
    <xf numFmtId="0" fontId="3" fillId="0" borderId="106" xfId="0" applyFont="1" applyBorder="1"/>
    <xf numFmtId="0" fontId="43" fillId="0" borderId="0" xfId="0" applyFont="1" applyAlignment="1">
      <alignment horizontal="center"/>
    </xf>
    <xf numFmtId="2" fontId="43" fillId="0" borderId="0" xfId="0" applyNumberFormat="1" applyFont="1" applyAlignment="1">
      <alignment horizontal="center"/>
    </xf>
    <xf numFmtId="0" fontId="182" fillId="0" borderId="5" xfId="0" applyFont="1" applyBorder="1" applyAlignment="1">
      <alignment horizontal="center"/>
    </xf>
    <xf numFmtId="49" fontId="43" fillId="0" borderId="0" xfId="0" applyNumberFormat="1" applyFont="1" applyAlignment="1">
      <alignment horizontal="center" wrapText="1"/>
    </xf>
    <xf numFmtId="0" fontId="181" fillId="12" borderId="0" xfId="0" applyFont="1" applyFill="1" applyAlignment="1">
      <alignment horizontal="center" wrapText="1"/>
    </xf>
    <xf numFmtId="0" fontId="28" fillId="7" borderId="8" xfId="0" applyFont="1" applyFill="1" applyBorder="1" applyAlignment="1">
      <alignment horizontal="center" wrapText="1"/>
    </xf>
    <xf numFmtId="0" fontId="183" fillId="11" borderId="8" xfId="0" applyFont="1" applyFill="1" applyBorder="1" applyAlignment="1">
      <alignment horizontal="center" wrapText="1"/>
    </xf>
    <xf numFmtId="0" fontId="184" fillId="11" borderId="8" xfId="0" applyFont="1" applyFill="1" applyBorder="1" applyAlignment="1">
      <alignment horizontal="center" wrapText="1"/>
    </xf>
    <xf numFmtId="0" fontId="184" fillId="11" borderId="0" xfId="0" applyFont="1" applyFill="1" applyAlignment="1">
      <alignment horizontal="center" wrapText="1"/>
    </xf>
    <xf numFmtId="0" fontId="43" fillId="8" borderId="0" xfId="0" applyFont="1" applyFill="1"/>
    <xf numFmtId="0" fontId="43" fillId="2" borderId="5" xfId="0" applyFont="1" applyFill="1" applyBorder="1" applyAlignment="1">
      <alignment horizontal="center"/>
    </xf>
    <xf numFmtId="0" fontId="183" fillId="11" borderId="8" xfId="0" applyFont="1" applyFill="1" applyBorder="1" applyAlignment="1">
      <alignment horizontal="center"/>
    </xf>
    <xf numFmtId="2" fontId="43" fillId="2" borderId="5" xfId="0" applyNumberFormat="1" applyFont="1" applyFill="1" applyBorder="1" applyAlignment="1">
      <alignment horizontal="center"/>
    </xf>
    <xf numFmtId="2" fontId="43" fillId="7" borderId="15" xfId="0" applyNumberFormat="1" applyFont="1" applyFill="1" applyBorder="1" applyAlignment="1">
      <alignment horizontal="center"/>
    </xf>
    <xf numFmtId="0" fontId="8" fillId="0" borderId="0" xfId="0" applyFont="1" applyAlignment="1">
      <alignment horizontal="center"/>
    </xf>
    <xf numFmtId="0" fontId="96" fillId="0" borderId="0" xfId="1" applyFont="1" applyAlignment="1">
      <alignment horizontal="center"/>
    </xf>
    <xf numFmtId="0" fontId="119" fillId="30" borderId="90" xfId="0" applyFont="1" applyFill="1" applyBorder="1"/>
    <xf numFmtId="0" fontId="185" fillId="30" borderId="14" xfId="0" applyFont="1" applyFill="1" applyBorder="1"/>
    <xf numFmtId="0" fontId="185" fillId="30" borderId="18" xfId="0" applyFont="1" applyFill="1" applyBorder="1"/>
    <xf numFmtId="0" fontId="119" fillId="30" borderId="91" xfId="0" applyFont="1" applyFill="1" applyBorder="1"/>
    <xf numFmtId="0" fontId="119" fillId="30" borderId="17" xfId="0" applyFont="1" applyFill="1" applyBorder="1"/>
    <xf numFmtId="0" fontId="119" fillId="30" borderId="17" xfId="0" applyFont="1" applyFill="1" applyBorder="1" applyAlignment="1">
      <alignment wrapText="1"/>
    </xf>
    <xf numFmtId="0" fontId="119" fillId="30" borderId="30" xfId="0" applyFont="1" applyFill="1" applyBorder="1"/>
    <xf numFmtId="0" fontId="119" fillId="30" borderId="92" xfId="0" applyFont="1" applyFill="1" applyBorder="1"/>
    <xf numFmtId="0" fontId="119" fillId="30" borderId="13" xfId="0" applyFont="1" applyFill="1" applyBorder="1"/>
    <xf numFmtId="0" fontId="185" fillId="30" borderId="13" xfId="0" applyFont="1" applyFill="1" applyBorder="1"/>
    <xf numFmtId="164" fontId="186" fillId="30" borderId="13" xfId="0" applyNumberFormat="1" applyFont="1" applyFill="1" applyBorder="1" applyAlignment="1">
      <alignment horizontal="center"/>
    </xf>
    <xf numFmtId="0" fontId="119" fillId="30" borderId="24" xfId="0" applyFont="1" applyFill="1" applyBorder="1" applyAlignment="1">
      <alignment horizontal="left"/>
    </xf>
    <xf numFmtId="0" fontId="119" fillId="30" borderId="14" xfId="0" applyFont="1" applyFill="1" applyBorder="1"/>
    <xf numFmtId="0" fontId="119" fillId="30" borderId="18" xfId="0" applyFont="1" applyFill="1" applyBorder="1" applyAlignment="1">
      <alignment wrapText="1"/>
    </xf>
    <xf numFmtId="0" fontId="119" fillId="30" borderId="51" xfId="0" applyFont="1" applyFill="1" applyBorder="1" applyAlignment="1">
      <alignment horizontal="center" wrapText="1"/>
    </xf>
    <xf numFmtId="0" fontId="109" fillId="12" borderId="0" xfId="0" applyFont="1" applyFill="1"/>
    <xf numFmtId="0" fontId="119" fillId="30" borderId="57" xfId="0" applyFont="1" applyFill="1" applyBorder="1"/>
    <xf numFmtId="0" fontId="119" fillId="30" borderId="20" xfId="0" applyFont="1" applyFill="1" applyBorder="1"/>
    <xf numFmtId="0" fontId="185" fillId="30" borderId="20" xfId="0" applyFont="1" applyFill="1" applyBorder="1"/>
    <xf numFmtId="164" fontId="186" fillId="30" borderId="20" xfId="0" applyNumberFormat="1" applyFont="1" applyFill="1" applyBorder="1" applyAlignment="1">
      <alignment horizontal="center"/>
    </xf>
    <xf numFmtId="164" fontId="186" fillId="30" borderId="58" xfId="0" applyNumberFormat="1" applyFont="1" applyFill="1" applyBorder="1" applyAlignment="1">
      <alignment horizontal="center"/>
    </xf>
    <xf numFmtId="0" fontId="187" fillId="12" borderId="0" xfId="0" applyFont="1" applyFill="1" applyAlignment="1">
      <alignment horizontal="center" vertical="center" wrapText="1"/>
    </xf>
    <xf numFmtId="49" fontId="43" fillId="4" borderId="5" xfId="0" applyNumberFormat="1" applyFont="1" applyFill="1" applyBorder="1" applyAlignment="1">
      <alignment horizontal="center" wrapText="1"/>
    </xf>
    <xf numFmtId="49" fontId="43" fillId="4" borderId="15" xfId="0" applyNumberFormat="1" applyFont="1" applyFill="1" applyBorder="1" applyAlignment="1">
      <alignment horizontal="center" wrapText="1"/>
    </xf>
    <xf numFmtId="49" fontId="43" fillId="4" borderId="6" xfId="0" applyNumberFormat="1" applyFont="1" applyFill="1" applyBorder="1" applyAlignment="1">
      <alignment horizontal="center" wrapText="1"/>
    </xf>
    <xf numFmtId="0" fontId="188" fillId="11" borderId="17" xfId="0" applyFont="1" applyFill="1" applyBorder="1" applyAlignment="1">
      <alignment horizontal="center"/>
    </xf>
    <xf numFmtId="0" fontId="189" fillId="11" borderId="17" xfId="0" applyFont="1" applyFill="1" applyBorder="1" applyAlignment="1">
      <alignment horizontal="center"/>
    </xf>
    <xf numFmtId="0" fontId="43" fillId="11" borderId="0" xfId="0" applyFont="1" applyFill="1"/>
    <xf numFmtId="0" fontId="184" fillId="11" borderId="8" xfId="2" applyFont="1" applyFill="1" applyBorder="1"/>
    <xf numFmtId="0" fontId="190" fillId="11" borderId="13" xfId="0" applyFont="1" applyFill="1" applyBorder="1" applyAlignment="1">
      <alignment horizontal="center" wrapText="1"/>
    </xf>
    <xf numFmtId="0" fontId="191" fillId="11" borderId="13" xfId="0" applyFont="1" applyFill="1" applyBorder="1" applyAlignment="1">
      <alignment horizontal="center" wrapText="1"/>
    </xf>
    <xf numFmtId="0" fontId="192" fillId="11" borderId="25" xfId="0" applyFont="1" applyFill="1" applyBorder="1" applyAlignment="1">
      <alignment horizontal="center"/>
    </xf>
    <xf numFmtId="0" fontId="192" fillId="11" borderId="26" xfId="0" applyFont="1" applyFill="1" applyBorder="1" applyAlignment="1">
      <alignment horizontal="center"/>
    </xf>
    <xf numFmtId="0" fontId="183" fillId="11" borderId="14" xfId="0" applyFont="1" applyFill="1" applyBorder="1"/>
    <xf numFmtId="0" fontId="43" fillId="0" borderId="8" xfId="0" applyFont="1" applyBorder="1" applyAlignment="1">
      <alignment horizontal="center"/>
    </xf>
    <xf numFmtId="0" fontId="43" fillId="2" borderId="0" xfId="0" applyFont="1" applyFill="1" applyAlignment="1">
      <alignment horizontal="center"/>
    </xf>
    <xf numFmtId="0" fontId="183" fillId="0" borderId="8" xfId="0" applyFont="1" applyBorder="1" applyAlignment="1">
      <alignment horizontal="center"/>
    </xf>
    <xf numFmtId="0" fontId="43" fillId="7" borderId="8" xfId="0" applyFont="1" applyFill="1" applyBorder="1" applyAlignment="1">
      <alignment horizontal="center"/>
    </xf>
    <xf numFmtId="0" fontId="190" fillId="11" borderId="0" xfId="0" applyFont="1" applyFill="1" applyAlignment="1">
      <alignment horizontal="center"/>
    </xf>
    <xf numFmtId="0" fontId="28" fillId="2" borderId="8" xfId="0" applyFont="1" applyFill="1" applyBorder="1"/>
    <xf numFmtId="0" fontId="43" fillId="2" borderId="8" xfId="0" applyFont="1" applyFill="1" applyBorder="1" applyAlignment="1">
      <alignment horizontal="center"/>
    </xf>
    <xf numFmtId="2" fontId="43" fillId="2" borderId="7" xfId="0" applyNumberFormat="1" applyFont="1" applyFill="1" applyBorder="1" applyAlignment="1">
      <alignment horizontal="center"/>
    </xf>
    <xf numFmtId="2" fontId="106" fillId="0" borderId="2" xfId="0" applyNumberFormat="1" applyFont="1" applyBorder="1"/>
    <xf numFmtId="0" fontId="190" fillId="0" borderId="6" xfId="0" applyFont="1" applyBorder="1"/>
    <xf numFmtId="0" fontId="109" fillId="12" borderId="8" xfId="0" applyFont="1" applyFill="1" applyBorder="1" applyAlignment="1">
      <alignment horizontal="center"/>
    </xf>
    <xf numFmtId="0" fontId="183" fillId="7" borderId="8" xfId="0" applyFont="1" applyFill="1" applyBorder="1" applyAlignment="1">
      <alignment horizontal="center"/>
    </xf>
    <xf numFmtId="0" fontId="190" fillId="0" borderId="10" xfId="0" applyFont="1" applyBorder="1"/>
    <xf numFmtId="0" fontId="190" fillId="0" borderId="5" xfId="0" applyFont="1" applyBorder="1"/>
    <xf numFmtId="0" fontId="109" fillId="0" borderId="0" xfId="0" applyFont="1" applyAlignment="1">
      <alignment horizontal="center"/>
    </xf>
    <xf numFmtId="0" fontId="183" fillId="0" borderId="0" xfId="0" applyFont="1" applyAlignment="1">
      <alignment horizontal="center"/>
    </xf>
    <xf numFmtId="0" fontId="108" fillId="0" borderId="0" xfId="0" applyFont="1" applyAlignment="1">
      <alignment horizontal="center"/>
    </xf>
    <xf numFmtId="0" fontId="8" fillId="0" borderId="0" xfId="0" applyFont="1" applyAlignment="1" applyProtection="1">
      <alignment horizontal="center"/>
      <protection locked="0"/>
    </xf>
    <xf numFmtId="0" fontId="9" fillId="0" borderId="0" xfId="0" applyFont="1" applyAlignment="1">
      <alignment horizontal="center"/>
    </xf>
    <xf numFmtId="0" fontId="193" fillId="0" borderId="0" xfId="1" applyFont="1"/>
    <xf numFmtId="0" fontId="190" fillId="0" borderId="0" xfId="0" applyFont="1" applyAlignment="1">
      <alignment horizontal="center"/>
    </xf>
    <xf numFmtId="2" fontId="0" fillId="0" borderId="8" xfId="0" applyNumberFormat="1" applyBorder="1"/>
    <xf numFmtId="0" fontId="5" fillId="19" borderId="8" xfId="0" applyFont="1" applyFill="1" applyBorder="1"/>
    <xf numFmtId="0" fontId="194" fillId="12" borderId="0" xfId="0" applyFont="1" applyFill="1" applyAlignment="1">
      <alignment horizontal="center" vertical="center" wrapText="1"/>
    </xf>
    <xf numFmtId="0" fontId="193" fillId="0" borderId="21" xfId="0" applyFont="1" applyBorder="1"/>
    <xf numFmtId="0" fontId="193" fillId="0" borderId="22" xfId="0" applyFont="1" applyBorder="1"/>
    <xf numFmtId="0" fontId="178" fillId="25" borderId="8" xfId="0" applyFont="1" applyFill="1" applyBorder="1"/>
    <xf numFmtId="0" fontId="179" fillId="25" borderId="35" xfId="0" applyFont="1" applyFill="1" applyBorder="1" applyAlignment="1">
      <alignment horizontal="center"/>
    </xf>
    <xf numFmtId="0" fontId="43" fillId="25" borderId="8" xfId="0" applyFont="1" applyFill="1" applyBorder="1"/>
    <xf numFmtId="0" fontId="49" fillId="25" borderId="8" xfId="0" applyFont="1" applyFill="1" applyBorder="1"/>
    <xf numFmtId="49" fontId="43" fillId="4" borderId="18" xfId="0" applyNumberFormat="1" applyFont="1" applyFill="1" applyBorder="1" applyAlignment="1">
      <alignment horizontal="center" vertical="center" wrapText="1"/>
    </xf>
    <xf numFmtId="49" fontId="43" fillId="4" borderId="5" xfId="0" applyNumberFormat="1" applyFont="1" applyFill="1" applyBorder="1" applyAlignment="1">
      <alignment horizontal="center" vertical="center" wrapText="1"/>
    </xf>
    <xf numFmtId="49" fontId="43" fillId="4" borderId="15" xfId="0" applyNumberFormat="1" applyFont="1" applyFill="1" applyBorder="1" applyAlignment="1">
      <alignment horizontal="center" vertical="center" wrapText="1"/>
    </xf>
    <xf numFmtId="49" fontId="43" fillId="4" borderId="6" xfId="0" applyNumberFormat="1" applyFont="1" applyFill="1" applyBorder="1" applyAlignment="1">
      <alignment horizontal="center" vertical="center" wrapText="1"/>
    </xf>
    <xf numFmtId="0" fontId="28" fillId="9" borderId="0" xfId="0" applyFont="1" applyFill="1" applyAlignment="1">
      <alignment horizontal="center" vertical="top" wrapText="1"/>
    </xf>
    <xf numFmtId="0" fontId="190" fillId="11" borderId="1" xfId="0" applyFont="1" applyFill="1" applyBorder="1" applyAlignment="1">
      <alignment horizontal="center"/>
    </xf>
    <xf numFmtId="0" fontId="115" fillId="12" borderId="51" xfId="0" applyFont="1" applyFill="1" applyBorder="1" applyAlignment="1">
      <alignment horizontal="center" wrapText="1"/>
    </xf>
    <xf numFmtId="164" fontId="99" fillId="12" borderId="58" xfId="0" applyNumberFormat="1" applyFont="1" applyFill="1" applyBorder="1" applyAlignment="1">
      <alignment horizontal="center"/>
    </xf>
    <xf numFmtId="0" fontId="0" fillId="25" borderId="18" xfId="0" applyFill="1" applyBorder="1"/>
    <xf numFmtId="0" fontId="187" fillId="12" borderId="0" xfId="0" applyFont="1" applyFill="1" applyAlignment="1">
      <alignment horizontal="center" vertical="top" wrapText="1"/>
    </xf>
    <xf numFmtId="0" fontId="184" fillId="11" borderId="0" xfId="0" applyFont="1" applyFill="1" applyAlignment="1">
      <alignment horizontal="center" vertical="top" wrapText="1"/>
    </xf>
    <xf numFmtId="0" fontId="181" fillId="12" borderId="0" xfId="0" applyFont="1" applyFill="1" applyAlignment="1">
      <alignment horizontal="center" vertical="center" wrapText="1"/>
    </xf>
    <xf numFmtId="0" fontId="81" fillId="0" borderId="8" xfId="0" applyFont="1" applyBorder="1" applyAlignment="1">
      <alignment horizontal="center"/>
    </xf>
    <xf numFmtId="0" fontId="195" fillId="11" borderId="8" xfId="0" applyFont="1" applyFill="1" applyBorder="1" applyAlignment="1">
      <alignment horizontal="center" wrapText="1"/>
    </xf>
    <xf numFmtId="0" fontId="5" fillId="19" borderId="13" xfId="0" applyFont="1" applyFill="1" applyBorder="1"/>
    <xf numFmtId="0" fontId="184" fillId="0" borderId="0" xfId="0" applyFont="1"/>
    <xf numFmtId="0" fontId="148" fillId="13" borderId="8" xfId="0" applyFont="1" applyFill="1" applyBorder="1" applyAlignment="1">
      <alignment horizontal="center"/>
    </xf>
    <xf numFmtId="0" fontId="179" fillId="13" borderId="35" xfId="0" applyFont="1" applyFill="1" applyBorder="1" applyAlignment="1">
      <alignment horizontal="center"/>
    </xf>
    <xf numFmtId="0" fontId="115" fillId="0" borderId="60" xfId="0" applyFont="1" applyBorder="1"/>
    <xf numFmtId="49" fontId="43" fillId="4" borderId="18" xfId="0" applyNumberFormat="1" applyFont="1" applyFill="1" applyBorder="1" applyAlignment="1">
      <alignment horizontal="center" wrapText="1"/>
    </xf>
    <xf numFmtId="0" fontId="195" fillId="11" borderId="13" xfId="0" applyFont="1" applyFill="1" applyBorder="1" applyAlignment="1">
      <alignment horizontal="center" wrapText="1"/>
    </xf>
    <xf numFmtId="0" fontId="191" fillId="11" borderId="1" xfId="0" applyFont="1" applyFill="1" applyBorder="1" applyAlignment="1">
      <alignment horizontal="center"/>
    </xf>
    <xf numFmtId="0" fontId="191" fillId="11" borderId="0" xfId="0" applyFont="1" applyFill="1" applyAlignment="1">
      <alignment horizontal="center"/>
    </xf>
    <xf numFmtId="0" fontId="28" fillId="0" borderId="0" xfId="0" applyFont="1" applyAlignment="1">
      <alignment horizontal="center" vertical="top" wrapText="1"/>
    </xf>
    <xf numFmtId="0" fontId="109" fillId="0" borderId="0" xfId="0" applyFont="1"/>
    <xf numFmtId="0" fontId="43" fillId="11" borderId="8" xfId="0" applyFont="1" applyFill="1" applyBorder="1" applyAlignment="1">
      <alignment horizontal="center"/>
    </xf>
    <xf numFmtId="2" fontId="43" fillId="2" borderId="0" xfId="0" applyNumberFormat="1" applyFont="1" applyFill="1" applyAlignment="1">
      <alignment horizontal="center"/>
    </xf>
    <xf numFmtId="2" fontId="43" fillId="7" borderId="0" xfId="0" applyNumberFormat="1" applyFont="1" applyFill="1" applyAlignment="1">
      <alignment horizontal="center"/>
    </xf>
    <xf numFmtId="0" fontId="117" fillId="0" borderId="5" xfId="0" applyFont="1" applyBorder="1" applyAlignment="1">
      <alignment horizontal="left" vertical="center"/>
    </xf>
    <xf numFmtId="0" fontId="178" fillId="31" borderId="8" xfId="0" applyFont="1" applyFill="1" applyBorder="1"/>
    <xf numFmtId="0" fontId="179" fillId="31" borderId="35" xfId="0" applyFont="1" applyFill="1" applyBorder="1" applyAlignment="1">
      <alignment horizontal="left"/>
    </xf>
    <xf numFmtId="0" fontId="43" fillId="31" borderId="8" xfId="0" applyFont="1" applyFill="1" applyBorder="1"/>
    <xf numFmtId="0" fontId="179" fillId="31" borderId="35" xfId="0" applyFont="1" applyFill="1" applyBorder="1" applyAlignment="1">
      <alignment horizontal="center"/>
    </xf>
    <xf numFmtId="0" fontId="49" fillId="31" borderId="8" xfId="0" applyFont="1" applyFill="1" applyBorder="1"/>
    <xf numFmtId="0" fontId="178" fillId="17" borderId="8" xfId="0" applyFont="1" applyFill="1" applyBorder="1"/>
    <xf numFmtId="0" fontId="179" fillId="17" borderId="35" xfId="0" applyFont="1" applyFill="1" applyBorder="1" applyAlignment="1">
      <alignment horizontal="left"/>
    </xf>
    <xf numFmtId="0" fontId="43" fillId="17" borderId="8" xfId="0" applyFont="1" applyFill="1" applyBorder="1"/>
    <xf numFmtId="0" fontId="179" fillId="17" borderId="35" xfId="0" applyFont="1" applyFill="1" applyBorder="1" applyAlignment="1">
      <alignment horizontal="center"/>
    </xf>
    <xf numFmtId="0" fontId="49" fillId="17" borderId="8" xfId="0" applyFont="1" applyFill="1" applyBorder="1"/>
    <xf numFmtId="0" fontId="178" fillId="13" borderId="8" xfId="0" applyFont="1" applyFill="1" applyBorder="1"/>
    <xf numFmtId="0" fontId="179" fillId="13" borderId="35" xfId="0" applyFont="1" applyFill="1" applyBorder="1" applyAlignment="1">
      <alignment horizontal="left"/>
    </xf>
    <xf numFmtId="0" fontId="178" fillId="24" borderId="8" xfId="0" applyFont="1" applyFill="1" applyBorder="1"/>
    <xf numFmtId="0" fontId="179" fillId="24" borderId="35" xfId="0" applyFont="1" applyFill="1" applyBorder="1" applyAlignment="1">
      <alignment horizontal="left"/>
    </xf>
    <xf numFmtId="0" fontId="43" fillId="24" borderId="8" xfId="0" applyFont="1" applyFill="1" applyBorder="1"/>
    <xf numFmtId="0" fontId="179" fillId="24" borderId="35" xfId="0" applyFont="1" applyFill="1" applyBorder="1" applyAlignment="1">
      <alignment horizontal="center"/>
    </xf>
    <xf numFmtId="0" fontId="148" fillId="24" borderId="8" xfId="0" applyFont="1" applyFill="1" applyBorder="1"/>
    <xf numFmtId="0" fontId="187" fillId="12" borderId="0" xfId="0" applyFont="1" applyFill="1" applyAlignment="1">
      <alignment horizontal="center" wrapText="1"/>
    </xf>
    <xf numFmtId="0" fontId="43" fillId="0" borderId="1" xfId="0" applyFont="1" applyBorder="1" applyAlignment="1">
      <alignment horizontal="center"/>
    </xf>
    <xf numFmtId="0" fontId="43" fillId="25" borderId="18" xfId="0" applyFont="1" applyFill="1" applyBorder="1" applyAlignment="1">
      <alignment horizontal="center"/>
    </xf>
    <xf numFmtId="0" fontId="108" fillId="12" borderId="0" xfId="0" applyFont="1" applyFill="1" applyAlignment="1">
      <alignment horizontal="center" wrapText="1"/>
    </xf>
    <xf numFmtId="0" fontId="196" fillId="11" borderId="8" xfId="0" applyFont="1" applyFill="1" applyBorder="1" applyAlignment="1">
      <alignment horizontal="center" wrapText="1"/>
    </xf>
    <xf numFmtId="0" fontId="43" fillId="2" borderId="1" xfId="0" applyFont="1" applyFill="1" applyBorder="1" applyAlignment="1">
      <alignment horizontal="center"/>
    </xf>
    <xf numFmtId="2" fontId="152" fillId="0" borderId="0" xfId="0" applyNumberFormat="1" applyFont="1"/>
    <xf numFmtId="0" fontId="34" fillId="25" borderId="5" xfId="0" applyFont="1" applyFill="1" applyBorder="1" applyAlignment="1">
      <alignment horizontal="left" vertical="center"/>
    </xf>
    <xf numFmtId="0" fontId="197" fillId="0" borderId="0" xfId="2" applyFont="1"/>
    <xf numFmtId="0" fontId="0" fillId="13" borderId="0" xfId="0" applyFill="1"/>
    <xf numFmtId="0" fontId="106" fillId="13" borderId="8" xfId="0" applyFont="1" applyFill="1" applyBorder="1" applyAlignment="1">
      <alignment horizontal="left"/>
    </xf>
    <xf numFmtId="0" fontId="90" fillId="0" borderId="0" xfId="0" applyFont="1"/>
    <xf numFmtId="0" fontId="198" fillId="0" borderId="0" xfId="0" applyFont="1"/>
    <xf numFmtId="0" fontId="82" fillId="0" borderId="8" xfId="0" applyFont="1" applyBorder="1"/>
    <xf numFmtId="0" fontId="82" fillId="18" borderId="8" xfId="0" applyFont="1" applyFill="1" applyBorder="1"/>
    <xf numFmtId="0" fontId="82" fillId="12" borderId="8" xfId="0" applyFont="1" applyFill="1" applyBorder="1"/>
    <xf numFmtId="0" fontId="82" fillId="13" borderId="8" xfId="0" applyFont="1" applyFill="1" applyBorder="1"/>
    <xf numFmtId="165" fontId="106" fillId="12" borderId="8" xfId="0" applyNumberFormat="1" applyFont="1" applyFill="1" applyBorder="1" applyAlignment="1">
      <alignment horizontal="center"/>
    </xf>
    <xf numFmtId="165" fontId="173" fillId="12" borderId="8" xfId="0" applyNumberFormat="1" applyFont="1" applyFill="1" applyBorder="1" applyAlignment="1">
      <alignment horizontal="center"/>
    </xf>
    <xf numFmtId="0" fontId="201" fillId="32" borderId="8" xfId="0" applyFont="1" applyFill="1" applyBorder="1" applyAlignment="1">
      <alignment vertical="center"/>
    </xf>
    <xf numFmtId="165" fontId="199" fillId="12" borderId="8" xfId="0" applyNumberFormat="1" applyFont="1" applyFill="1" applyBorder="1" applyAlignment="1">
      <alignment horizontal="center"/>
    </xf>
    <xf numFmtId="0" fontId="199" fillId="12" borderId="8" xfId="0" applyFont="1" applyFill="1" applyBorder="1" applyAlignment="1">
      <alignment horizontal="left"/>
    </xf>
    <xf numFmtId="165" fontId="137" fillId="12" borderId="8" xfId="0" applyNumberFormat="1" applyFont="1" applyFill="1" applyBorder="1" applyAlignment="1">
      <alignment horizontal="center"/>
    </xf>
    <xf numFmtId="0" fontId="137" fillId="12" borderId="8" xfId="0" applyFont="1" applyFill="1" applyBorder="1" applyAlignment="1">
      <alignment horizontal="left"/>
    </xf>
    <xf numFmtId="165" fontId="92" fillId="12" borderId="8" xfId="0" applyNumberFormat="1" applyFont="1" applyFill="1" applyBorder="1" applyAlignment="1">
      <alignment horizontal="center"/>
    </xf>
    <xf numFmtId="0" fontId="102" fillId="0" borderId="0" xfId="0" applyFont="1"/>
    <xf numFmtId="0" fontId="102" fillId="12" borderId="0" xfId="0" applyFont="1" applyFill="1"/>
    <xf numFmtId="0" fontId="106" fillId="13" borderId="8" xfId="0" applyFont="1" applyFill="1" applyBorder="1"/>
    <xf numFmtId="165" fontId="137" fillId="28" borderId="8" xfId="0" applyNumberFormat="1" applyFont="1" applyFill="1" applyBorder="1" applyAlignment="1">
      <alignment horizontal="center"/>
    </xf>
    <xf numFmtId="0" fontId="0" fillId="13" borderId="8" xfId="0" applyFill="1" applyBorder="1"/>
    <xf numFmtId="0" fontId="0" fillId="13" borderId="106" xfId="0" applyFill="1" applyBorder="1"/>
    <xf numFmtId="0" fontId="181" fillId="12" borderId="0" xfId="0" applyFont="1" applyFill="1"/>
    <xf numFmtId="0" fontId="202" fillId="0" borderId="8" xfId="0" applyFont="1" applyBorder="1"/>
    <xf numFmtId="0" fontId="200" fillId="0" borderId="8" xfId="0" applyFont="1" applyBorder="1" applyAlignment="1">
      <alignment horizontal="center"/>
    </xf>
    <xf numFmtId="0" fontId="203" fillId="0" borderId="8" xfId="0" applyFont="1" applyBorder="1" applyAlignment="1">
      <alignment horizontal="center"/>
    </xf>
    <xf numFmtId="165" fontId="200" fillId="0" borderId="8" xfId="0" applyNumberFormat="1" applyFont="1" applyBorder="1" applyAlignment="1">
      <alignment horizontal="center"/>
    </xf>
    <xf numFmtId="165" fontId="200" fillId="28" borderId="8" xfId="0" applyNumberFormat="1" applyFont="1" applyFill="1" applyBorder="1" applyAlignment="1">
      <alignment horizontal="center"/>
    </xf>
    <xf numFmtId="0" fontId="200" fillId="28" borderId="8" xfId="0" applyFont="1" applyFill="1" applyBorder="1" applyAlignment="1">
      <alignment horizontal="left"/>
    </xf>
    <xf numFmtId="0" fontId="202" fillId="0" borderId="0" xfId="0" applyFont="1"/>
    <xf numFmtId="0" fontId="203" fillId="0" borderId="8" xfId="0" applyFont="1" applyBorder="1" applyAlignment="1">
      <alignment horizontal="left"/>
    </xf>
    <xf numFmtId="0" fontId="200" fillId="13" borderId="8" xfId="0" applyFont="1" applyFill="1" applyBorder="1" applyAlignment="1">
      <alignment horizontal="left"/>
    </xf>
    <xf numFmtId="0" fontId="202" fillId="13" borderId="8" xfId="0" applyFont="1" applyFill="1" applyBorder="1"/>
    <xf numFmtId="0" fontId="200" fillId="13" borderId="8" xfId="0" applyFont="1" applyFill="1" applyBorder="1"/>
    <xf numFmtId="0" fontId="137" fillId="12" borderId="8" xfId="0" applyFont="1" applyFill="1" applyBorder="1" applyAlignment="1">
      <alignment vertical="center"/>
    </xf>
    <xf numFmtId="0" fontId="82" fillId="0" borderId="8" xfId="2" applyBorder="1"/>
    <xf numFmtId="0" fontId="106" fillId="13" borderId="8" xfId="2" applyFont="1" applyFill="1" applyBorder="1" applyAlignment="1">
      <alignment horizontal="left"/>
    </xf>
    <xf numFmtId="0" fontId="82" fillId="13" borderId="8" xfId="2" applyFill="1" applyBorder="1"/>
    <xf numFmtId="0" fontId="106" fillId="13" borderId="8" xfId="2" applyFont="1" applyFill="1" applyBorder="1"/>
    <xf numFmtId="0" fontId="82" fillId="13" borderId="0" xfId="2" applyFill="1"/>
    <xf numFmtId="165" fontId="137" fillId="12" borderId="8" xfId="2" applyNumberFormat="1" applyFont="1" applyFill="1" applyBorder="1" applyAlignment="1">
      <alignment horizontal="center"/>
    </xf>
    <xf numFmtId="165" fontId="110" fillId="19" borderId="2" xfId="1" applyNumberFormat="1" applyFont="1" applyFill="1" applyBorder="1" applyAlignment="1">
      <alignment horizontal="center"/>
    </xf>
    <xf numFmtId="0" fontId="99" fillId="12" borderId="0" xfId="0" applyFont="1" applyFill="1"/>
    <xf numFmtId="0" fontId="204" fillId="12" borderId="8" xfId="0" applyFont="1" applyFill="1" applyBorder="1" applyAlignment="1">
      <alignment horizontal="right"/>
    </xf>
    <xf numFmtId="0" fontId="204" fillId="12" borderId="8" xfId="0" applyFont="1" applyFill="1" applyBorder="1" applyAlignment="1">
      <alignment horizontal="center"/>
    </xf>
    <xf numFmtId="0" fontId="43" fillId="12" borderId="8" xfId="0" applyFont="1" applyFill="1" applyBorder="1" applyAlignment="1">
      <alignment horizontal="center"/>
    </xf>
    <xf numFmtId="1" fontId="137" fillId="12" borderId="8" xfId="0" applyNumberFormat="1" applyFont="1" applyFill="1" applyBorder="1" applyAlignment="1">
      <alignment horizontal="center"/>
    </xf>
    <xf numFmtId="0" fontId="81" fillId="12" borderId="8" xfId="0" applyFont="1" applyFill="1" applyBorder="1" applyAlignment="1">
      <alignment horizontal="center"/>
    </xf>
    <xf numFmtId="2" fontId="108" fillId="33" borderId="5" xfId="0" applyNumberFormat="1" applyFont="1" applyFill="1" applyBorder="1" applyAlignment="1">
      <alignment horizontal="center"/>
    </xf>
    <xf numFmtId="0" fontId="1" fillId="0" borderId="9" xfId="1" applyBorder="1"/>
    <xf numFmtId="0" fontId="28" fillId="12" borderId="27" xfId="0" applyFont="1" applyFill="1" applyBorder="1"/>
    <xf numFmtId="0" fontId="28" fillId="12" borderId="54" xfId="0" applyFont="1" applyFill="1" applyBorder="1"/>
    <xf numFmtId="0" fontId="43" fillId="12" borderId="55" xfId="0" applyFont="1" applyFill="1" applyBorder="1"/>
    <xf numFmtId="0" fontId="8" fillId="12" borderId="8" xfId="1" applyFont="1" applyFill="1" applyBorder="1"/>
    <xf numFmtId="0" fontId="28" fillId="12" borderId="56" xfId="0" applyFont="1" applyFill="1" applyBorder="1"/>
    <xf numFmtId="164" fontId="43" fillId="12" borderId="8" xfId="0" applyNumberFormat="1" applyFont="1" applyFill="1" applyBorder="1"/>
    <xf numFmtId="0" fontId="43" fillId="12" borderId="56" xfId="0" applyFont="1" applyFill="1" applyBorder="1"/>
    <xf numFmtId="0" fontId="1" fillId="0" borderId="10" xfId="1" applyBorder="1"/>
    <xf numFmtId="164" fontId="5" fillId="13" borderId="0" xfId="0" applyNumberFormat="1" applyFont="1" applyFill="1" applyAlignment="1">
      <alignment horizontal="center"/>
    </xf>
    <xf numFmtId="0" fontId="204" fillId="12" borderId="8" xfId="0" applyFont="1" applyFill="1" applyBorder="1" applyAlignment="1">
      <alignment horizontal="left"/>
    </xf>
    <xf numFmtId="0" fontId="1" fillId="12" borderId="8" xfId="1" applyFill="1" applyBorder="1"/>
    <xf numFmtId="0" fontId="204" fillId="12" borderId="56" xfId="0" applyFont="1" applyFill="1" applyBorder="1" applyAlignment="1">
      <alignment horizontal="center"/>
    </xf>
    <xf numFmtId="0" fontId="1" fillId="0" borderId="6" xfId="1" applyBorder="1"/>
    <xf numFmtId="0" fontId="204" fillId="12" borderId="20" xfId="0" applyFont="1" applyFill="1" applyBorder="1" applyAlignment="1">
      <alignment horizontal="left"/>
    </xf>
    <xf numFmtId="0" fontId="43" fillId="12" borderId="20" xfId="0" applyFont="1" applyFill="1" applyBorder="1" applyAlignment="1">
      <alignment horizontal="center"/>
    </xf>
    <xf numFmtId="0" fontId="1" fillId="12" borderId="20" xfId="1" applyFill="1" applyBorder="1"/>
    <xf numFmtId="1" fontId="137" fillId="12" borderId="58" xfId="0" applyNumberFormat="1" applyFont="1" applyFill="1" applyBorder="1" applyAlignment="1">
      <alignment horizontal="center"/>
    </xf>
    <xf numFmtId="2" fontId="108" fillId="33" borderId="15" xfId="1" applyNumberFormat="1" applyFont="1" applyFill="1" applyBorder="1" applyAlignment="1">
      <alignment horizontal="center"/>
    </xf>
    <xf numFmtId="0" fontId="205" fillId="19" borderId="20" xfId="0" applyFont="1" applyFill="1" applyBorder="1" applyAlignment="1">
      <alignment horizontal="left"/>
    </xf>
    <xf numFmtId="0" fontId="206" fillId="19" borderId="0" xfId="1" applyFont="1" applyFill="1"/>
    <xf numFmtId="1" fontId="207" fillId="19" borderId="58" xfId="0" applyNumberFormat="1" applyFont="1" applyFill="1" applyBorder="1" applyAlignment="1">
      <alignment horizontal="center"/>
    </xf>
    <xf numFmtId="1" fontId="137" fillId="12" borderId="17" xfId="0" applyNumberFormat="1" applyFont="1" applyFill="1" applyBorder="1" applyAlignment="1">
      <alignment horizontal="center"/>
    </xf>
    <xf numFmtId="0" fontId="28" fillId="12" borderId="0" xfId="0" applyFont="1" applyFill="1" applyAlignment="1">
      <alignment horizontal="center" wrapText="1"/>
    </xf>
    <xf numFmtId="0" fontId="70" fillId="12" borderId="0" xfId="0" applyFont="1" applyFill="1"/>
    <xf numFmtId="1" fontId="137" fillId="12" borderId="35" xfId="0" applyNumberFormat="1" applyFont="1" applyFill="1" applyBorder="1" applyAlignment="1">
      <alignment horizontal="center"/>
    </xf>
    <xf numFmtId="1" fontId="117" fillId="0" borderId="94" xfId="0" applyNumberFormat="1" applyFont="1" applyBorder="1" applyAlignment="1">
      <alignment horizontal="right"/>
    </xf>
    <xf numFmtId="1" fontId="117" fillId="0" borderId="95" xfId="0" applyNumberFormat="1" applyFont="1" applyBorder="1" applyAlignment="1">
      <alignment horizontal="right"/>
    </xf>
    <xf numFmtId="1" fontId="122" fillId="0" borderId="74" xfId="0" applyNumberFormat="1" applyFont="1" applyBorder="1" applyAlignment="1">
      <alignment horizontal="right"/>
    </xf>
    <xf numFmtId="1" fontId="122" fillId="0" borderId="75" xfId="0" applyNumberFormat="1" applyFont="1" applyBorder="1" applyAlignment="1">
      <alignment horizontal="right"/>
    </xf>
    <xf numFmtId="1" fontId="119" fillId="0" borderId="80" xfId="0" applyNumberFormat="1" applyFont="1" applyBorder="1" applyAlignment="1">
      <alignment horizontal="right"/>
    </xf>
    <xf numFmtId="1" fontId="119" fillId="0" borderId="81" xfId="0" applyNumberFormat="1" applyFont="1" applyBorder="1" applyAlignment="1">
      <alignment horizontal="right"/>
    </xf>
    <xf numFmtId="0" fontId="58" fillId="10" borderId="1" xfId="0" applyFont="1" applyFill="1" applyBorder="1" applyAlignment="1">
      <alignment horizontal="center"/>
    </xf>
    <xf numFmtId="0" fontId="58" fillId="10" borderId="23" xfId="0" applyFont="1" applyFill="1" applyBorder="1" applyAlignment="1">
      <alignment horizontal="center"/>
    </xf>
    <xf numFmtId="0" fontId="58" fillId="10" borderId="2" xfId="0" applyFont="1" applyFill="1" applyBorder="1" applyAlignment="1">
      <alignment horizontal="center"/>
    </xf>
    <xf numFmtId="0" fontId="58" fillId="10" borderId="3" xfId="0" applyFont="1" applyFill="1" applyBorder="1" applyAlignment="1">
      <alignment horizontal="center"/>
    </xf>
    <xf numFmtId="0" fontId="43" fillId="0" borderId="0" xfId="0" applyFont="1" applyAlignment="1">
      <alignment horizontal="center" vertical="center" wrapText="1"/>
    </xf>
    <xf numFmtId="0" fontId="43" fillId="0" borderId="0" xfId="0" applyFont="1" applyAlignment="1">
      <alignment horizontal="center" vertical="center"/>
    </xf>
    <xf numFmtId="1" fontId="117" fillId="0" borderId="93" xfId="0" applyNumberFormat="1" applyFont="1" applyBorder="1" applyAlignment="1">
      <alignment horizontal="left"/>
    </xf>
    <xf numFmtId="1" fontId="117" fillId="0" borderId="94" xfId="0" applyNumberFormat="1" applyFont="1" applyBorder="1" applyAlignment="1">
      <alignment horizontal="left"/>
    </xf>
    <xf numFmtId="1" fontId="119" fillId="0" borderId="79" xfId="0" applyNumberFormat="1" applyFont="1" applyBorder="1" applyAlignment="1">
      <alignment horizontal="left"/>
    </xf>
    <xf numFmtId="1" fontId="119" fillId="0" borderId="80" xfId="0" applyNumberFormat="1" applyFont="1" applyBorder="1" applyAlignment="1">
      <alignment horizontal="left"/>
    </xf>
    <xf numFmtId="0" fontId="58" fillId="10" borderId="9" xfId="0" applyFont="1" applyFill="1" applyBorder="1" applyAlignment="1">
      <alignment horizontal="center"/>
    </xf>
    <xf numFmtId="0" fontId="58" fillId="10" borderId="6" xfId="0" applyFont="1" applyFill="1" applyBorder="1" applyAlignment="1">
      <alignment horizontal="center"/>
    </xf>
    <xf numFmtId="1" fontId="24" fillId="0" borderId="0" xfId="0" applyNumberFormat="1" applyFont="1" applyAlignment="1">
      <alignment horizontal="right"/>
    </xf>
    <xf numFmtId="1" fontId="34" fillId="0" borderId="0" xfId="0" applyNumberFormat="1" applyFont="1" applyAlignment="1">
      <alignment horizontal="center"/>
    </xf>
    <xf numFmtId="0" fontId="16" fillId="0" borderId="0" xfId="0" applyFont="1" applyAlignment="1">
      <alignment horizontal="center"/>
    </xf>
    <xf numFmtId="49" fontId="110" fillId="15" borderId="51" xfId="0" applyNumberFormat="1" applyFont="1" applyFill="1" applyBorder="1" applyAlignment="1">
      <alignment horizontal="center" vertical="center" wrapText="1"/>
    </xf>
    <xf numFmtId="49" fontId="110" fillId="15" borderId="52" xfId="0" applyNumberFormat="1" applyFont="1" applyFill="1" applyBorder="1" applyAlignment="1">
      <alignment horizontal="center" vertical="center" wrapText="1"/>
    </xf>
    <xf numFmtId="0" fontId="5" fillId="0" borderId="0" xfId="0" applyFont="1" applyAlignment="1">
      <alignment horizontal="right"/>
    </xf>
    <xf numFmtId="1" fontId="24" fillId="0" borderId="0" xfId="0" applyNumberFormat="1" applyFont="1" applyAlignment="1">
      <alignment horizontal="left"/>
    </xf>
    <xf numFmtId="2" fontId="41" fillId="0" borderId="7" xfId="0" applyNumberFormat="1" applyFont="1" applyBorder="1" applyAlignment="1">
      <alignment horizontal="center" vertical="center"/>
    </xf>
    <xf numFmtId="2" fontId="41" fillId="0" borderId="18" xfId="0" applyNumberFormat="1" applyFont="1" applyBorder="1" applyAlignment="1">
      <alignment horizontal="center" vertical="center"/>
    </xf>
    <xf numFmtId="0" fontId="124" fillId="10" borderId="9" xfId="0" applyFont="1" applyFill="1" applyBorder="1" applyAlignment="1">
      <alignment horizontal="center"/>
    </xf>
    <xf numFmtId="0" fontId="124" fillId="10" borderId="1" xfId="0" applyFont="1" applyFill="1" applyBorder="1" applyAlignment="1">
      <alignment horizontal="center"/>
    </xf>
    <xf numFmtId="0" fontId="124" fillId="10" borderId="6" xfId="0" applyFont="1" applyFill="1" applyBorder="1" applyAlignment="1">
      <alignment horizontal="center"/>
    </xf>
    <xf numFmtId="0" fontId="124" fillId="10" borderId="2" xfId="0" applyFont="1" applyFill="1" applyBorder="1" applyAlignment="1">
      <alignment horizontal="center"/>
    </xf>
    <xf numFmtId="0" fontId="124" fillId="10" borderId="23" xfId="0" applyFont="1" applyFill="1" applyBorder="1" applyAlignment="1">
      <alignment horizontal="center"/>
    </xf>
    <xf numFmtId="0" fontId="124" fillId="10" borderId="3" xfId="0" applyFont="1" applyFill="1" applyBorder="1" applyAlignment="1">
      <alignment horizontal="center"/>
    </xf>
    <xf numFmtId="2" fontId="41" fillId="0" borderId="9" xfId="0" applyNumberFormat="1" applyFont="1" applyBorder="1" applyAlignment="1">
      <alignment horizontal="center"/>
    </xf>
    <xf numFmtId="2" fontId="41" fillId="0" borderId="23" xfId="0" applyNumberFormat="1" applyFont="1" applyBorder="1" applyAlignment="1">
      <alignment horizontal="center"/>
    </xf>
    <xf numFmtId="49" fontId="110" fillId="12" borderId="9" xfId="0" applyNumberFormat="1" applyFont="1" applyFill="1" applyBorder="1" applyAlignment="1">
      <alignment horizontal="center" vertical="center" wrapText="1"/>
    </xf>
    <xf numFmtId="49" fontId="110" fillId="12" borderId="18" xfId="0" applyNumberFormat="1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vertical="center"/>
    </xf>
    <xf numFmtId="0" fontId="121" fillId="10" borderId="9" xfId="0" applyFont="1" applyFill="1" applyBorder="1" applyAlignment="1">
      <alignment horizontal="center"/>
    </xf>
    <xf numFmtId="0" fontId="121" fillId="10" borderId="1" xfId="0" applyFont="1" applyFill="1" applyBorder="1" applyAlignment="1">
      <alignment horizontal="center"/>
    </xf>
    <xf numFmtId="0" fontId="121" fillId="10" borderId="6" xfId="0" applyFont="1" applyFill="1" applyBorder="1" applyAlignment="1">
      <alignment horizontal="center"/>
    </xf>
    <xf numFmtId="0" fontId="121" fillId="10" borderId="2" xfId="0" applyFont="1" applyFill="1" applyBorder="1" applyAlignment="1">
      <alignment horizontal="center"/>
    </xf>
    <xf numFmtId="49" fontId="34" fillId="5" borderId="24" xfId="0" applyNumberFormat="1" applyFont="1" applyFill="1" applyBorder="1" applyAlignment="1">
      <alignment horizontal="center" wrapText="1"/>
    </xf>
    <xf numFmtId="49" fontId="34" fillId="5" borderId="15" xfId="0" applyNumberFormat="1" applyFont="1" applyFill="1" applyBorder="1" applyAlignment="1">
      <alignment horizontal="center" wrapText="1"/>
    </xf>
    <xf numFmtId="1" fontId="24" fillId="0" borderId="11" xfId="0" applyNumberFormat="1" applyFont="1" applyBorder="1" applyAlignment="1">
      <alignment horizontal="right"/>
    </xf>
    <xf numFmtId="1" fontId="122" fillId="0" borderId="73" xfId="0" applyNumberFormat="1" applyFont="1" applyBorder="1" applyAlignment="1">
      <alignment horizontal="left"/>
    </xf>
    <xf numFmtId="1" fontId="122" fillId="0" borderId="74" xfId="0" applyNumberFormat="1" applyFont="1" applyBorder="1" applyAlignment="1">
      <alignment horizontal="left"/>
    </xf>
    <xf numFmtId="1" fontId="119" fillId="0" borderId="73" xfId="0" applyNumberFormat="1" applyFont="1" applyBorder="1" applyAlignment="1">
      <alignment horizontal="left"/>
    </xf>
    <xf numFmtId="1" fontId="119" fillId="0" borderId="74" xfId="0" applyNumberFormat="1" applyFont="1" applyBorder="1" applyAlignment="1">
      <alignment horizontal="left"/>
    </xf>
    <xf numFmtId="1" fontId="119" fillId="0" borderId="74" xfId="0" applyNumberFormat="1" applyFont="1" applyBorder="1" applyAlignment="1">
      <alignment horizontal="right"/>
    </xf>
    <xf numFmtId="1" fontId="119" fillId="0" borderId="75" xfId="0" applyNumberFormat="1" applyFont="1" applyBorder="1" applyAlignment="1">
      <alignment horizontal="right"/>
    </xf>
    <xf numFmtId="49" fontId="34" fillId="5" borderId="24" xfId="0" applyNumberFormat="1" applyFont="1" applyFill="1" applyBorder="1" applyAlignment="1">
      <alignment horizontal="center" vertical="center" wrapText="1"/>
    </xf>
    <xf numFmtId="49" fontId="34" fillId="5" borderId="15" xfId="0" applyNumberFormat="1" applyFont="1" applyFill="1" applyBorder="1" applyAlignment="1">
      <alignment horizontal="center" vertical="center" wrapText="1"/>
    </xf>
    <xf numFmtId="2" fontId="71" fillId="0" borderId="7" xfId="0" applyNumberFormat="1" applyFont="1" applyBorder="1" applyAlignment="1">
      <alignment horizontal="center"/>
    </xf>
    <xf numFmtId="2" fontId="71" fillId="0" borderId="18" xfId="0" applyNumberFormat="1" applyFont="1" applyBorder="1" applyAlignment="1">
      <alignment horizontal="center"/>
    </xf>
    <xf numFmtId="49" fontId="43" fillId="16" borderId="0" xfId="0" applyNumberFormat="1" applyFont="1" applyFill="1" applyAlignment="1">
      <alignment horizontal="center" wrapText="1"/>
    </xf>
    <xf numFmtId="0" fontId="89" fillId="0" borderId="0" xfId="0" applyFont="1" applyAlignment="1">
      <alignment horizontal="center" vertical="center"/>
    </xf>
    <xf numFmtId="1" fontId="141" fillId="0" borderId="94" xfId="0" applyNumberFormat="1" applyFont="1" applyBorder="1" applyAlignment="1">
      <alignment horizontal="right"/>
    </xf>
    <xf numFmtId="1" fontId="141" fillId="0" borderId="95" xfId="0" applyNumberFormat="1" applyFont="1" applyBorder="1" applyAlignment="1">
      <alignment horizontal="right"/>
    </xf>
    <xf numFmtId="49" fontId="34" fillId="25" borderId="24" xfId="0" applyNumberFormat="1" applyFont="1" applyFill="1" applyBorder="1" applyAlignment="1">
      <alignment horizontal="center" vertical="center" wrapText="1"/>
    </xf>
    <xf numFmtId="49" fontId="34" fillId="25" borderId="30" xfId="0" applyNumberFormat="1" applyFont="1" applyFill="1" applyBorder="1" applyAlignment="1">
      <alignment horizontal="center" vertical="center" wrapText="1"/>
    </xf>
    <xf numFmtId="49" fontId="34" fillId="25" borderId="15" xfId="0" applyNumberFormat="1" applyFont="1" applyFill="1" applyBorder="1" applyAlignment="1">
      <alignment horizontal="center" vertical="center" wrapText="1"/>
    </xf>
    <xf numFmtId="2" fontId="71" fillId="0" borderId="7" xfId="0" applyNumberFormat="1" applyFont="1" applyBorder="1" applyAlignment="1">
      <alignment horizontal="center" vertical="center"/>
    </xf>
    <xf numFmtId="2" fontId="71" fillId="0" borderId="18" xfId="0" applyNumberFormat="1" applyFont="1" applyBorder="1" applyAlignment="1">
      <alignment horizontal="center" vertical="center"/>
    </xf>
    <xf numFmtId="49" fontId="43" fillId="16" borderId="0" xfId="0" applyNumberFormat="1" applyFont="1" applyFill="1" applyAlignment="1">
      <alignment horizontal="center" vertical="center" wrapText="1"/>
    </xf>
    <xf numFmtId="2" fontId="41" fillId="15" borderId="7" xfId="1" applyNumberFormat="1" applyFont="1" applyFill="1" applyBorder="1" applyAlignment="1">
      <alignment horizontal="center"/>
    </xf>
    <xf numFmtId="2" fontId="41" fillId="15" borderId="18" xfId="1" applyNumberFormat="1" applyFont="1" applyFill="1" applyBorder="1" applyAlignment="1">
      <alignment horizontal="center"/>
    </xf>
    <xf numFmtId="2" fontId="41" fillId="15" borderId="9" xfId="1" applyNumberFormat="1" applyFont="1" applyFill="1" applyBorder="1" applyAlignment="1">
      <alignment horizontal="center"/>
    </xf>
    <xf numFmtId="2" fontId="41" fillId="15" borderId="23" xfId="1" applyNumberFormat="1" applyFont="1" applyFill="1" applyBorder="1" applyAlignment="1">
      <alignment horizontal="center"/>
    </xf>
    <xf numFmtId="1" fontId="143" fillId="0" borderId="73" xfId="1" applyNumberFormat="1" applyFont="1" applyBorder="1" applyAlignment="1">
      <alignment horizontal="left"/>
    </xf>
    <xf numFmtId="1" fontId="143" fillId="0" borderId="74" xfId="1" applyNumberFormat="1" applyFont="1" applyBorder="1" applyAlignment="1">
      <alignment horizontal="left"/>
    </xf>
    <xf numFmtId="49" fontId="34" fillId="5" borderId="24" xfId="1" applyNumberFormat="1" applyFont="1" applyFill="1" applyBorder="1" applyAlignment="1">
      <alignment horizontal="center" vertical="center" wrapText="1"/>
    </xf>
    <xf numFmtId="49" fontId="34" fillId="5" borderId="30" xfId="1" applyNumberFormat="1" applyFont="1" applyFill="1" applyBorder="1" applyAlignment="1">
      <alignment horizontal="center" vertical="center" wrapText="1"/>
    </xf>
    <xf numFmtId="49" fontId="34" fillId="5" borderId="15" xfId="1" applyNumberFormat="1" applyFont="1" applyFill="1" applyBorder="1" applyAlignment="1">
      <alignment horizontal="center" vertical="center" wrapText="1"/>
    </xf>
    <xf numFmtId="1" fontId="143" fillId="0" borderId="74" xfId="1" applyNumberFormat="1" applyFont="1" applyBorder="1" applyAlignment="1">
      <alignment horizontal="right"/>
    </xf>
    <xf numFmtId="1" fontId="143" fillId="0" borderId="75" xfId="1" applyNumberFormat="1" applyFont="1" applyBorder="1" applyAlignment="1">
      <alignment horizontal="right"/>
    </xf>
    <xf numFmtId="1" fontId="142" fillId="0" borderId="80" xfId="1" applyNumberFormat="1" applyFont="1" applyBorder="1" applyAlignment="1">
      <alignment horizontal="right"/>
    </xf>
    <xf numFmtId="1" fontId="142" fillId="0" borderId="81" xfId="1" applyNumberFormat="1" applyFont="1" applyBorder="1" applyAlignment="1">
      <alignment horizontal="right"/>
    </xf>
    <xf numFmtId="1" fontId="142" fillId="0" borderId="79" xfId="1" applyNumberFormat="1" applyFont="1" applyBorder="1" applyAlignment="1">
      <alignment horizontal="left"/>
    </xf>
    <xf numFmtId="1" fontId="142" fillId="0" borderId="80" xfId="1" applyNumberFormat="1" applyFont="1" applyBorder="1" applyAlignment="1">
      <alignment horizontal="left"/>
    </xf>
    <xf numFmtId="0" fontId="144" fillId="10" borderId="9" xfId="0" applyFont="1" applyFill="1" applyBorder="1" applyAlignment="1">
      <alignment horizontal="center"/>
    </xf>
    <xf numFmtId="0" fontId="144" fillId="10" borderId="1" xfId="0" applyFont="1" applyFill="1" applyBorder="1" applyAlignment="1">
      <alignment horizontal="center"/>
    </xf>
    <xf numFmtId="0" fontId="144" fillId="10" borderId="6" xfId="0" applyFont="1" applyFill="1" applyBorder="1" applyAlignment="1">
      <alignment horizontal="center"/>
    </xf>
    <xf numFmtId="0" fontId="144" fillId="10" borderId="2" xfId="0" applyFont="1" applyFill="1" applyBorder="1" applyAlignment="1">
      <alignment horizontal="center"/>
    </xf>
    <xf numFmtId="1" fontId="146" fillId="0" borderId="94" xfId="1" applyNumberFormat="1" applyFont="1" applyBorder="1" applyAlignment="1">
      <alignment horizontal="right"/>
    </xf>
    <xf numFmtId="1" fontId="146" fillId="0" borderId="95" xfId="1" applyNumberFormat="1" applyFont="1" applyBorder="1" applyAlignment="1">
      <alignment horizontal="right"/>
    </xf>
    <xf numFmtId="1" fontId="146" fillId="0" borderId="93" xfId="1" applyNumberFormat="1" applyFont="1" applyBorder="1" applyAlignment="1">
      <alignment horizontal="left"/>
    </xf>
    <xf numFmtId="1" fontId="146" fillId="0" borderId="94" xfId="1" applyNumberFormat="1" applyFont="1" applyBorder="1" applyAlignment="1">
      <alignment horizontal="left"/>
    </xf>
    <xf numFmtId="1" fontId="24" fillId="0" borderId="0" xfId="2" applyNumberFormat="1" applyFont="1" applyAlignment="1">
      <alignment horizontal="left"/>
    </xf>
    <xf numFmtId="1" fontId="24" fillId="0" borderId="0" xfId="2" applyNumberFormat="1" applyFont="1" applyAlignment="1">
      <alignment horizontal="right"/>
    </xf>
    <xf numFmtId="0" fontId="5" fillId="0" borderId="0" xfId="2" applyFont="1" applyAlignment="1">
      <alignment horizontal="right"/>
    </xf>
    <xf numFmtId="49" fontId="34" fillId="25" borderId="24" xfId="2" applyNumberFormat="1" applyFont="1" applyFill="1" applyBorder="1" applyAlignment="1">
      <alignment horizontal="center" vertical="center" wrapText="1"/>
    </xf>
    <xf numFmtId="49" fontId="34" fillId="25" borderId="15" xfId="2" applyNumberFormat="1" applyFont="1" applyFill="1" applyBorder="1" applyAlignment="1">
      <alignment horizontal="center" vertical="center" wrapText="1"/>
    </xf>
    <xf numFmtId="2" fontId="71" fillId="0" borderId="7" xfId="2" applyNumberFormat="1" applyFont="1" applyBorder="1" applyAlignment="1">
      <alignment horizontal="center"/>
    </xf>
    <xf numFmtId="2" fontId="71" fillId="0" borderId="18" xfId="2" applyNumberFormat="1" applyFont="1" applyBorder="1" applyAlignment="1">
      <alignment horizontal="center"/>
    </xf>
    <xf numFmtId="49" fontId="43" fillId="16" borderId="0" xfId="2" applyNumberFormat="1" applyFont="1" applyFill="1" applyAlignment="1">
      <alignment horizontal="center" wrapText="1"/>
    </xf>
    <xf numFmtId="1" fontId="34" fillId="0" borderId="0" xfId="2" applyNumberFormat="1" applyFont="1" applyAlignment="1">
      <alignment horizontal="center"/>
    </xf>
    <xf numFmtId="49" fontId="34" fillId="25" borderId="30" xfId="2" applyNumberFormat="1" applyFont="1" applyFill="1" applyBorder="1" applyAlignment="1">
      <alignment horizontal="center" vertical="center" wrapText="1"/>
    </xf>
    <xf numFmtId="49" fontId="34" fillId="5" borderId="24" xfId="2" applyNumberFormat="1" applyFont="1" applyFill="1" applyBorder="1" applyAlignment="1">
      <alignment horizontal="center" vertical="center" wrapText="1"/>
    </xf>
    <xf numFmtId="49" fontId="34" fillId="5" borderId="15" xfId="2" applyNumberFormat="1" applyFont="1" applyFill="1" applyBorder="1" applyAlignment="1">
      <alignment horizontal="center" vertical="center" wrapText="1"/>
    </xf>
    <xf numFmtId="0" fontId="124" fillId="10" borderId="9" xfId="2" applyFont="1" applyFill="1" applyBorder="1" applyAlignment="1">
      <alignment horizontal="center"/>
    </xf>
    <xf numFmtId="0" fontId="124" fillId="10" borderId="1" xfId="2" applyFont="1" applyFill="1" applyBorder="1" applyAlignment="1">
      <alignment horizontal="center"/>
    </xf>
    <xf numFmtId="0" fontId="124" fillId="10" borderId="6" xfId="2" applyFont="1" applyFill="1" applyBorder="1" applyAlignment="1">
      <alignment horizontal="center"/>
    </xf>
    <xf numFmtId="0" fontId="124" fillId="10" borderId="2" xfId="2" applyFont="1" applyFill="1" applyBorder="1" applyAlignment="1">
      <alignment horizontal="center"/>
    </xf>
    <xf numFmtId="0" fontId="58" fillId="10" borderId="1" xfId="2" applyFont="1" applyFill="1" applyBorder="1" applyAlignment="1">
      <alignment horizontal="center"/>
    </xf>
    <xf numFmtId="0" fontId="58" fillId="10" borderId="23" xfId="2" applyFont="1" applyFill="1" applyBorder="1" applyAlignment="1">
      <alignment horizontal="center"/>
    </xf>
    <xf numFmtId="0" fontId="58" fillId="10" borderId="2" xfId="2" applyFont="1" applyFill="1" applyBorder="1" applyAlignment="1">
      <alignment horizontal="center"/>
    </xf>
    <xf numFmtId="0" fontId="58" fillId="10" borderId="3" xfId="2" applyFont="1" applyFill="1" applyBorder="1" applyAlignment="1">
      <alignment horizontal="center"/>
    </xf>
    <xf numFmtId="1" fontId="117" fillId="0" borderId="93" xfId="2" applyNumberFormat="1" applyFont="1" applyBorder="1" applyAlignment="1">
      <alignment horizontal="left"/>
    </xf>
    <xf numFmtId="1" fontId="117" fillId="0" borderId="94" xfId="2" applyNumberFormat="1" applyFont="1" applyBorder="1" applyAlignment="1">
      <alignment horizontal="left"/>
    </xf>
    <xf numFmtId="1" fontId="117" fillId="0" borderId="94" xfId="2" applyNumberFormat="1" applyFont="1" applyBorder="1" applyAlignment="1">
      <alignment horizontal="right"/>
    </xf>
    <xf numFmtId="1" fontId="117" fillId="0" borderId="95" xfId="2" applyNumberFormat="1" applyFont="1" applyBorder="1" applyAlignment="1">
      <alignment horizontal="right"/>
    </xf>
    <xf numFmtId="1" fontId="119" fillId="0" borderId="79" xfId="2" applyNumberFormat="1" applyFont="1" applyBorder="1" applyAlignment="1">
      <alignment horizontal="left"/>
    </xf>
    <xf numFmtId="1" fontId="119" fillId="0" borderId="80" xfId="2" applyNumberFormat="1" applyFont="1" applyBorder="1" applyAlignment="1">
      <alignment horizontal="left"/>
    </xf>
    <xf numFmtId="1" fontId="119" fillId="0" borderId="80" xfId="2" applyNumberFormat="1" applyFont="1" applyBorder="1" applyAlignment="1">
      <alignment horizontal="right"/>
    </xf>
    <xf numFmtId="1" fontId="119" fillId="0" borderId="81" xfId="2" applyNumberFormat="1" applyFont="1" applyBorder="1" applyAlignment="1">
      <alignment horizontal="right"/>
    </xf>
    <xf numFmtId="0" fontId="121" fillId="10" borderId="9" xfId="2" applyFont="1" applyFill="1" applyBorder="1" applyAlignment="1">
      <alignment horizontal="center"/>
    </xf>
    <xf numFmtId="0" fontId="121" fillId="10" borderId="1" xfId="2" applyFont="1" applyFill="1" applyBorder="1" applyAlignment="1">
      <alignment horizontal="center"/>
    </xf>
    <xf numFmtId="0" fontId="121" fillId="10" borderId="6" xfId="2" applyFont="1" applyFill="1" applyBorder="1" applyAlignment="1">
      <alignment horizontal="center"/>
    </xf>
    <xf numFmtId="0" fontId="121" fillId="10" borderId="2" xfId="2" applyFont="1" applyFill="1" applyBorder="1" applyAlignment="1">
      <alignment horizontal="center"/>
    </xf>
    <xf numFmtId="1" fontId="122" fillId="0" borderId="73" xfId="2" applyNumberFormat="1" applyFont="1" applyBorder="1" applyAlignment="1">
      <alignment horizontal="left"/>
    </xf>
    <xf numFmtId="1" fontId="122" fillId="0" borderId="74" xfId="2" applyNumberFormat="1" applyFont="1" applyBorder="1" applyAlignment="1">
      <alignment horizontal="left"/>
    </xf>
    <xf numFmtId="1" fontId="122" fillId="0" borderId="74" xfId="2" applyNumberFormat="1" applyFont="1" applyBorder="1" applyAlignment="1">
      <alignment horizontal="right"/>
    </xf>
    <xf numFmtId="1" fontId="122" fillId="0" borderId="75" xfId="2" applyNumberFormat="1" applyFont="1" applyBorder="1" applyAlignment="1">
      <alignment horizontal="right"/>
    </xf>
    <xf numFmtId="1" fontId="147" fillId="0" borderId="93" xfId="1" applyNumberFormat="1" applyFont="1" applyBorder="1" applyAlignment="1">
      <alignment horizontal="left"/>
    </xf>
    <xf numFmtId="1" fontId="147" fillId="0" borderId="94" xfId="1" applyNumberFormat="1" applyFont="1" applyBorder="1" applyAlignment="1">
      <alignment horizontal="left"/>
    </xf>
    <xf numFmtId="1" fontId="147" fillId="0" borderId="94" xfId="1" applyNumberFormat="1" applyFont="1" applyBorder="1" applyAlignment="1">
      <alignment horizontal="right"/>
    </xf>
    <xf numFmtId="1" fontId="147" fillId="0" borderId="95" xfId="1" applyNumberFormat="1" applyFont="1" applyBorder="1" applyAlignment="1">
      <alignment horizontal="right"/>
    </xf>
    <xf numFmtId="49" fontId="34" fillId="0" borderId="0" xfId="0" applyNumberFormat="1" applyFont="1" applyAlignment="1">
      <alignment horizontal="center" vertical="center" wrapText="1"/>
    </xf>
    <xf numFmtId="1" fontId="119" fillId="0" borderId="99" xfId="0" applyNumberFormat="1" applyFont="1" applyBorder="1" applyAlignment="1">
      <alignment horizontal="left"/>
    </xf>
  </cellXfs>
  <cellStyles count="3">
    <cellStyle name="Normal 2" xfId="2" xr:uid="{00000000-0005-0000-0000-000001000000}"/>
    <cellStyle name="Normal 3" xfId="1" xr:uid="{00000000-0005-0000-0000-000002000000}"/>
    <cellStyle name="Standard" xfId="0" builtinId="0"/>
  </cellStyles>
  <dxfs count="1657">
    <dxf>
      <font>
        <color rgb="FF00B05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  <fill>
        <patternFill patternType="solid">
          <bgColor rgb="FFFFFF00"/>
        </patternFill>
      </fill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  <fill>
        <patternFill patternType="solid">
          <bgColor rgb="FFFFFF00"/>
        </patternFill>
      </fill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indexed="9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indexed="9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indexed="9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strike val="0"/>
        <color theme="0" tint="-4.9989318521683403E-2"/>
      </font>
    </dxf>
    <dxf>
      <font>
        <b/>
        <i val="0"/>
        <color rgb="FFFF33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FF000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</dxfs>
  <tableStyles count="0" defaultTableStyle="TableStyleMedium9" defaultPivotStyle="PivotStyleLight16"/>
  <colors>
    <mruColors>
      <color rgb="FFFF3300"/>
      <color rgb="FF00FFFF"/>
      <color rgb="FF99CCFF"/>
      <color rgb="FFFFFFCC"/>
      <color rgb="FF66CCFF"/>
      <color rgb="FF00FF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g"/><Relationship Id="rId2" Type="http://schemas.openxmlformats.org/officeDocument/2006/relationships/image" Target="../media/image5.jpg"/><Relationship Id="rId1" Type="http://schemas.openxmlformats.org/officeDocument/2006/relationships/image" Target="../media/image4.jp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7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8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9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0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1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2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3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4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5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jpg"/><Relationship Id="rId2" Type="http://schemas.openxmlformats.org/officeDocument/2006/relationships/image" Target="../media/image3.jpg"/><Relationship Id="rId1" Type="http://schemas.openxmlformats.org/officeDocument/2006/relationships/image" Target="../media/image2.jp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3.jpg"/><Relationship Id="rId1" Type="http://schemas.openxmlformats.org/officeDocument/2006/relationships/image" Target="../media/image2.jp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8.jp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9.jp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20.jp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jpg"/><Relationship Id="rId2" Type="http://schemas.openxmlformats.org/officeDocument/2006/relationships/image" Target="../media/image3.jpg"/><Relationship Id="rId1" Type="http://schemas.openxmlformats.org/officeDocument/2006/relationships/image" Target="../media/image2.jp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jpg"/><Relationship Id="rId2" Type="http://schemas.openxmlformats.org/officeDocument/2006/relationships/image" Target="../media/image3.jpg"/><Relationship Id="rId1" Type="http://schemas.openxmlformats.org/officeDocument/2006/relationships/image" Target="../media/image2.jp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jpg"/><Relationship Id="rId2" Type="http://schemas.openxmlformats.org/officeDocument/2006/relationships/image" Target="../media/image3.jpg"/><Relationship Id="rId1" Type="http://schemas.openxmlformats.org/officeDocument/2006/relationships/image" Target="../media/image2.jp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jpg"/><Relationship Id="rId2" Type="http://schemas.openxmlformats.org/officeDocument/2006/relationships/image" Target="../media/image3.jpg"/><Relationship Id="rId1" Type="http://schemas.openxmlformats.org/officeDocument/2006/relationships/image" Target="../media/image2.jp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jpg"/><Relationship Id="rId2" Type="http://schemas.openxmlformats.org/officeDocument/2006/relationships/image" Target="../media/image3.jpg"/><Relationship Id="rId1" Type="http://schemas.openxmlformats.org/officeDocument/2006/relationships/image" Target="../media/image2.jp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jpg"/><Relationship Id="rId2" Type="http://schemas.openxmlformats.org/officeDocument/2006/relationships/image" Target="../media/image3.jpg"/><Relationship Id="rId1" Type="http://schemas.openxmlformats.org/officeDocument/2006/relationships/image" Target="../media/image2.jp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jpg"/><Relationship Id="rId2" Type="http://schemas.openxmlformats.org/officeDocument/2006/relationships/image" Target="../media/image3.jpg"/><Relationship Id="rId1" Type="http://schemas.openxmlformats.org/officeDocument/2006/relationships/image" Target="../media/image2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47</xdr:row>
      <xdr:rowOff>232628</xdr:rowOff>
    </xdr:from>
    <xdr:to>
      <xdr:col>41</xdr:col>
      <xdr:colOff>223350</xdr:colOff>
      <xdr:row>79</xdr:row>
      <xdr:rowOff>139713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260355"/>
          <a:ext cx="10042759" cy="5482372"/>
        </a:xfrm>
        <a:prstGeom prst="rect">
          <a:avLst/>
        </a:prstGeom>
      </xdr:spPr>
    </xdr:pic>
    <xdr:clientData/>
  </xdr:twoCellAnchor>
  <xdr:twoCellAnchor editAs="oneCell">
    <xdr:from>
      <xdr:col>57</xdr:col>
      <xdr:colOff>2832387</xdr:colOff>
      <xdr:row>123</xdr:row>
      <xdr:rowOff>51956</xdr:rowOff>
    </xdr:from>
    <xdr:to>
      <xdr:col>95</xdr:col>
      <xdr:colOff>116032</xdr:colOff>
      <xdr:row>123</xdr:row>
      <xdr:rowOff>1766455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75751" y="7602683"/>
          <a:ext cx="18134736" cy="1714499"/>
        </a:xfrm>
        <a:prstGeom prst="rect">
          <a:avLst/>
        </a:prstGeom>
      </xdr:spPr>
    </xdr:pic>
    <xdr:clientData/>
  </xdr:twoCellAnchor>
  <xdr:twoCellAnchor editAs="oneCell">
    <xdr:from>
      <xdr:col>57</xdr:col>
      <xdr:colOff>2906857</xdr:colOff>
      <xdr:row>130</xdr:row>
      <xdr:rowOff>103909</xdr:rowOff>
    </xdr:from>
    <xdr:to>
      <xdr:col>95</xdr:col>
      <xdr:colOff>167989</xdr:colOff>
      <xdr:row>133</xdr:row>
      <xdr:rowOff>206264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06084" y="10148454"/>
          <a:ext cx="18112223" cy="186880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121227</xdr:colOff>
      <xdr:row>49</xdr:row>
      <xdr:rowOff>51956</xdr:rowOff>
    </xdr:from>
    <xdr:to>
      <xdr:col>39</xdr:col>
      <xdr:colOff>391902</xdr:colOff>
      <xdr:row>79</xdr:row>
      <xdr:rowOff>210294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27" y="311729"/>
          <a:ext cx="9368905" cy="5022272"/>
        </a:xfrm>
        <a:prstGeom prst="rect">
          <a:avLst/>
        </a:prstGeom>
      </xdr:spPr>
    </xdr:pic>
    <xdr:clientData/>
  </xdr:twoCellAnchor>
  <xdr:twoCellAnchor editAs="oneCell">
    <xdr:from>
      <xdr:col>56</xdr:col>
      <xdr:colOff>2836285</xdr:colOff>
      <xdr:row>123</xdr:row>
      <xdr:rowOff>30305</xdr:rowOff>
    </xdr:from>
    <xdr:to>
      <xdr:col>94</xdr:col>
      <xdr:colOff>152401</xdr:colOff>
      <xdr:row>123</xdr:row>
      <xdr:rowOff>1905449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18194" y="6334123"/>
          <a:ext cx="18184523" cy="1875144"/>
        </a:xfrm>
        <a:prstGeom prst="rect">
          <a:avLst/>
        </a:prstGeom>
      </xdr:spPr>
    </xdr:pic>
    <xdr:clientData/>
  </xdr:twoCellAnchor>
  <xdr:twoCellAnchor editAs="oneCell">
    <xdr:from>
      <xdr:col>56</xdr:col>
      <xdr:colOff>2876859</xdr:colOff>
      <xdr:row>129</xdr:row>
      <xdr:rowOff>74223</xdr:rowOff>
    </xdr:from>
    <xdr:to>
      <xdr:col>94</xdr:col>
      <xdr:colOff>110715</xdr:colOff>
      <xdr:row>132</xdr:row>
      <xdr:rowOff>495921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59609" y="10470080"/>
          <a:ext cx="17780640" cy="180467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49</xdr:row>
      <xdr:rowOff>17318</xdr:rowOff>
    </xdr:from>
    <xdr:to>
      <xdr:col>40</xdr:col>
      <xdr:colOff>713752</xdr:colOff>
      <xdr:row>79</xdr:row>
      <xdr:rowOff>34268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7091"/>
          <a:ext cx="8064083" cy="4527100"/>
        </a:xfrm>
        <a:prstGeom prst="rect">
          <a:avLst/>
        </a:prstGeom>
      </xdr:spPr>
    </xdr:pic>
    <xdr:clientData/>
  </xdr:twoCellAnchor>
  <xdr:twoCellAnchor editAs="oneCell">
    <xdr:from>
      <xdr:col>54</xdr:col>
      <xdr:colOff>3340</xdr:colOff>
      <xdr:row>123</xdr:row>
      <xdr:rowOff>40576</xdr:rowOff>
    </xdr:from>
    <xdr:to>
      <xdr:col>97</xdr:col>
      <xdr:colOff>155864</xdr:colOff>
      <xdr:row>123</xdr:row>
      <xdr:rowOff>1818410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85795" y="6881258"/>
          <a:ext cx="18094160" cy="1777834"/>
        </a:xfrm>
        <a:prstGeom prst="rect">
          <a:avLst/>
        </a:prstGeom>
      </xdr:spPr>
    </xdr:pic>
    <xdr:clientData/>
  </xdr:twoCellAnchor>
  <xdr:twoCellAnchor editAs="oneCell">
    <xdr:from>
      <xdr:col>53</xdr:col>
      <xdr:colOff>2842781</xdr:colOff>
      <xdr:row>126</xdr:row>
      <xdr:rowOff>48492</xdr:rowOff>
    </xdr:from>
    <xdr:to>
      <xdr:col>97</xdr:col>
      <xdr:colOff>86592</xdr:colOff>
      <xdr:row>134</xdr:row>
      <xdr:rowOff>12340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1372" y="10924310"/>
          <a:ext cx="18077584" cy="187404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48</xdr:row>
      <xdr:rowOff>450273</xdr:rowOff>
    </xdr:from>
    <xdr:to>
      <xdr:col>40</xdr:col>
      <xdr:colOff>451564</xdr:colOff>
      <xdr:row>78</xdr:row>
      <xdr:rowOff>86591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0273"/>
          <a:ext cx="7846428" cy="4017818"/>
        </a:xfrm>
        <a:prstGeom prst="rect">
          <a:avLst/>
        </a:prstGeom>
      </xdr:spPr>
    </xdr:pic>
    <xdr:clientData/>
  </xdr:twoCellAnchor>
  <xdr:twoCellAnchor editAs="oneCell">
    <xdr:from>
      <xdr:col>54</xdr:col>
      <xdr:colOff>38099</xdr:colOff>
      <xdr:row>122</xdr:row>
      <xdr:rowOff>83126</xdr:rowOff>
    </xdr:from>
    <xdr:to>
      <xdr:col>94</xdr:col>
      <xdr:colOff>176644</xdr:colOff>
      <xdr:row>122</xdr:row>
      <xdr:rowOff>1783774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75872" y="7599217"/>
          <a:ext cx="18080181" cy="1700648"/>
        </a:xfrm>
        <a:prstGeom prst="rect">
          <a:avLst/>
        </a:prstGeom>
      </xdr:spPr>
    </xdr:pic>
    <xdr:clientData/>
  </xdr:twoCellAnchor>
  <xdr:twoCellAnchor editAs="oneCell">
    <xdr:from>
      <xdr:col>53</xdr:col>
      <xdr:colOff>2770909</xdr:colOff>
      <xdr:row>132</xdr:row>
      <xdr:rowOff>69273</xdr:rowOff>
    </xdr:from>
    <xdr:to>
      <xdr:col>94</xdr:col>
      <xdr:colOff>109104</xdr:colOff>
      <xdr:row>135</xdr:row>
      <xdr:rowOff>410735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47273" y="10858500"/>
          <a:ext cx="18137331" cy="190009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25</xdr:row>
      <xdr:rowOff>51954</xdr:rowOff>
    </xdr:from>
    <xdr:to>
      <xdr:col>52</xdr:col>
      <xdr:colOff>392362</xdr:colOff>
      <xdr:row>57</xdr:row>
      <xdr:rowOff>176027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0272"/>
          <a:ext cx="9987872" cy="5766955"/>
        </a:xfrm>
        <a:prstGeom prst="rect">
          <a:avLst/>
        </a:prstGeom>
      </xdr:spPr>
    </xdr:pic>
    <xdr:clientData/>
  </xdr:twoCellAnchor>
  <xdr:twoCellAnchor editAs="oneCell">
    <xdr:from>
      <xdr:col>67</xdr:col>
      <xdr:colOff>3169228</xdr:colOff>
      <xdr:row>99</xdr:row>
      <xdr:rowOff>133353</xdr:rowOff>
    </xdr:from>
    <xdr:to>
      <xdr:col>149</xdr:col>
      <xdr:colOff>83128</xdr:colOff>
      <xdr:row>99</xdr:row>
      <xdr:rowOff>2007712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51137" y="6350580"/>
          <a:ext cx="18128674" cy="1874359"/>
        </a:xfrm>
        <a:prstGeom prst="rect">
          <a:avLst/>
        </a:prstGeom>
      </xdr:spPr>
    </xdr:pic>
    <xdr:clientData/>
  </xdr:twoCellAnchor>
  <xdr:twoCellAnchor editAs="oneCell">
    <xdr:from>
      <xdr:col>67</xdr:col>
      <xdr:colOff>3236768</xdr:colOff>
      <xdr:row>140</xdr:row>
      <xdr:rowOff>51955</xdr:rowOff>
    </xdr:from>
    <xdr:to>
      <xdr:col>104</xdr:col>
      <xdr:colOff>292677</xdr:colOff>
      <xdr:row>142</xdr:row>
      <xdr:rowOff>498938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18677" y="9144000"/>
          <a:ext cx="18109624" cy="1834170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/>
      </xdr:nvSpPr>
      <xdr:spPr>
        <a:xfrm>
          <a:off x="14838218" y="21658117"/>
          <a:ext cx="1390650" cy="2699039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6" name="Oval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/>
      </xdr:nvSpPr>
      <xdr:spPr>
        <a:xfrm>
          <a:off x="12172950" y="2535814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24</xdr:row>
      <xdr:rowOff>138545</xdr:rowOff>
    </xdr:from>
    <xdr:to>
      <xdr:col>52</xdr:col>
      <xdr:colOff>681220</xdr:colOff>
      <xdr:row>60</xdr:row>
      <xdr:rowOff>381000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8545"/>
          <a:ext cx="10985538" cy="6269182"/>
        </a:xfrm>
        <a:prstGeom prst="rect">
          <a:avLst/>
        </a:prstGeom>
      </xdr:spPr>
    </xdr:pic>
    <xdr:clientData/>
  </xdr:twoCellAnchor>
  <xdr:twoCellAnchor editAs="oneCell">
    <xdr:from>
      <xdr:col>67</xdr:col>
      <xdr:colOff>3772765</xdr:colOff>
      <xdr:row>98</xdr:row>
      <xdr:rowOff>48488</xdr:rowOff>
    </xdr:from>
    <xdr:to>
      <xdr:col>133</xdr:col>
      <xdr:colOff>138544</xdr:colOff>
      <xdr:row>98</xdr:row>
      <xdr:rowOff>1881849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64720" y="6854533"/>
          <a:ext cx="18082779" cy="1833361"/>
        </a:xfrm>
        <a:prstGeom prst="rect">
          <a:avLst/>
        </a:prstGeom>
      </xdr:spPr>
    </xdr:pic>
    <xdr:clientData/>
  </xdr:twoCellAnchor>
  <xdr:twoCellAnchor editAs="oneCell">
    <xdr:from>
      <xdr:col>67</xdr:col>
      <xdr:colOff>3722256</xdr:colOff>
      <xdr:row>143</xdr:row>
      <xdr:rowOff>69273</xdr:rowOff>
    </xdr:from>
    <xdr:to>
      <xdr:col>133</xdr:col>
      <xdr:colOff>101023</xdr:colOff>
      <xdr:row>146</xdr:row>
      <xdr:rowOff>150953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14211" y="10356273"/>
          <a:ext cx="18095767" cy="1848134"/>
        </a:xfrm>
        <a:prstGeom prst="rect">
          <a:avLst/>
        </a:prstGeom>
      </xdr:spPr>
    </xdr:pic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7" name="Oval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/>
      </xdr:nvSpPr>
      <xdr:spPr>
        <a:xfrm>
          <a:off x="12172950" y="2535814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52</xdr:col>
      <xdr:colOff>25978</xdr:colOff>
      <xdr:row>125</xdr:row>
      <xdr:rowOff>699862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741478" cy="7722384"/>
        </a:xfrm>
        <a:prstGeom prst="rect">
          <a:avLst/>
        </a:prstGeom>
      </xdr:spPr>
    </xdr:pic>
    <xdr:clientData/>
  </xdr:twoCellAnchor>
  <xdr:twoCellAnchor editAs="oneCell">
    <xdr:from>
      <xdr:col>68</xdr:col>
      <xdr:colOff>39832</xdr:colOff>
      <xdr:row>125</xdr:row>
      <xdr:rowOff>138546</xdr:rowOff>
    </xdr:from>
    <xdr:to>
      <xdr:col>111</xdr:col>
      <xdr:colOff>160071</xdr:colOff>
      <xdr:row>129</xdr:row>
      <xdr:rowOff>557905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18332" y="20227637"/>
          <a:ext cx="16156875" cy="1661319"/>
        </a:xfrm>
        <a:prstGeom prst="rect">
          <a:avLst/>
        </a:prstGeom>
      </xdr:spPr>
    </xdr:pic>
    <xdr:clientData/>
  </xdr:twoCellAnchor>
  <xdr:twoCellAnchor editAs="oneCell">
    <xdr:from>
      <xdr:col>67</xdr:col>
      <xdr:colOff>2884345</xdr:colOff>
      <xdr:row>132</xdr:row>
      <xdr:rowOff>112568</xdr:rowOff>
    </xdr:from>
    <xdr:to>
      <xdr:col>111</xdr:col>
      <xdr:colOff>158338</xdr:colOff>
      <xdr:row>135</xdr:row>
      <xdr:rowOff>111899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53390" y="23578704"/>
          <a:ext cx="16220084" cy="1644558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8" name="Oval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/>
      </xdr:nvSpPr>
      <xdr:spPr>
        <a:xfrm>
          <a:off x="14838218" y="21658117"/>
          <a:ext cx="1390650" cy="2699039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10" name="Oval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SpPr/>
      </xdr:nvSpPr>
      <xdr:spPr>
        <a:xfrm>
          <a:off x="12172950" y="2535814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30</xdr:row>
      <xdr:rowOff>207818</xdr:rowOff>
    </xdr:from>
    <xdr:to>
      <xdr:col>52</xdr:col>
      <xdr:colOff>848591</xdr:colOff>
      <xdr:row>89</xdr:row>
      <xdr:rowOff>1512828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230591"/>
          <a:ext cx="10789227" cy="8128373"/>
        </a:xfrm>
        <a:prstGeom prst="rect">
          <a:avLst/>
        </a:prstGeom>
      </xdr:spPr>
    </xdr:pic>
    <xdr:clientData/>
  </xdr:twoCellAnchor>
  <xdr:twoCellAnchor editAs="oneCell">
    <xdr:from>
      <xdr:col>67</xdr:col>
      <xdr:colOff>2880016</xdr:colOff>
      <xdr:row>89</xdr:row>
      <xdr:rowOff>76201</xdr:rowOff>
    </xdr:from>
    <xdr:to>
      <xdr:col>138</xdr:col>
      <xdr:colOff>103910</xdr:colOff>
      <xdr:row>89</xdr:row>
      <xdr:rowOff>1747821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03789" y="7592292"/>
          <a:ext cx="16308530" cy="1671620"/>
        </a:xfrm>
        <a:prstGeom prst="rect">
          <a:avLst/>
        </a:prstGeom>
      </xdr:spPr>
    </xdr:pic>
    <xdr:clientData/>
  </xdr:twoCellAnchor>
  <xdr:twoCellAnchor editAs="oneCell">
    <xdr:from>
      <xdr:col>67</xdr:col>
      <xdr:colOff>2867027</xdr:colOff>
      <xdr:row>130</xdr:row>
      <xdr:rowOff>45028</xdr:rowOff>
    </xdr:from>
    <xdr:to>
      <xdr:col>138</xdr:col>
      <xdr:colOff>123823</xdr:colOff>
      <xdr:row>133</xdr:row>
      <xdr:rowOff>432956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90800" y="10851573"/>
          <a:ext cx="16341432" cy="175606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52</xdr:col>
      <xdr:colOff>33514</xdr:colOff>
      <xdr:row>86</xdr:row>
      <xdr:rowOff>231321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0"/>
          <a:ext cx="9980334" cy="6232071"/>
        </a:xfrm>
        <a:prstGeom prst="rect">
          <a:avLst/>
        </a:prstGeom>
      </xdr:spPr>
    </xdr:pic>
    <xdr:clientData/>
  </xdr:twoCellAnchor>
  <xdr:twoCellAnchor editAs="oneCell">
    <xdr:from>
      <xdr:col>67</xdr:col>
      <xdr:colOff>3015468</xdr:colOff>
      <xdr:row>88</xdr:row>
      <xdr:rowOff>70757</xdr:rowOff>
    </xdr:from>
    <xdr:to>
      <xdr:col>133</xdr:col>
      <xdr:colOff>163163</xdr:colOff>
      <xdr:row>88</xdr:row>
      <xdr:rowOff>1880502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13325" y="24849364"/>
          <a:ext cx="17830554" cy="1809745"/>
        </a:xfrm>
        <a:prstGeom prst="rect">
          <a:avLst/>
        </a:prstGeom>
      </xdr:spPr>
    </xdr:pic>
    <xdr:clientData/>
  </xdr:twoCellAnchor>
  <xdr:twoCellAnchor editAs="oneCell">
    <xdr:from>
      <xdr:col>67</xdr:col>
      <xdr:colOff>2975266</xdr:colOff>
      <xdr:row>128</xdr:row>
      <xdr:rowOff>110836</xdr:rowOff>
    </xdr:from>
    <xdr:to>
      <xdr:col>133</xdr:col>
      <xdr:colOff>62345</xdr:colOff>
      <xdr:row>130</xdr:row>
      <xdr:rowOff>587723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25311" y="10709563"/>
          <a:ext cx="18094036" cy="1758434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7" name="Oval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SpPr/>
      </xdr:nvSpPr>
      <xdr:spPr>
        <a:xfrm>
          <a:off x="14838218" y="21753367"/>
          <a:ext cx="1390650" cy="2699039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8" name="Oval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SpPr/>
      </xdr:nvSpPr>
      <xdr:spPr>
        <a:xfrm>
          <a:off x="12172950" y="2545339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49</xdr:col>
      <xdr:colOff>870857</xdr:colOff>
      <xdr:row>153</xdr:row>
      <xdr:rowOff>13607</xdr:rowOff>
    </xdr:from>
    <xdr:to>
      <xdr:col>50</xdr:col>
      <xdr:colOff>340179</xdr:colOff>
      <xdr:row>157</xdr:row>
      <xdr:rowOff>570262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CxnSpPr/>
      </xdr:nvCxnSpPr>
      <xdr:spPr>
        <a:xfrm>
          <a:off x="57068357" y="18859500"/>
          <a:ext cx="1415143" cy="301954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48</xdr:col>
      <xdr:colOff>898072</xdr:colOff>
      <xdr:row>152</xdr:row>
      <xdr:rowOff>244929</xdr:rowOff>
    </xdr:from>
    <xdr:to>
      <xdr:col>49</xdr:col>
      <xdr:colOff>489857</xdr:colOff>
      <xdr:row>158</xdr:row>
      <xdr:rowOff>163285</xdr:rowOff>
    </xdr:to>
    <xdr:cxnSp macro="">
      <xdr:nvCxnSpPr>
        <xdr:cNvPr id="12" name="Straight Arrow Connector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CxnSpPr/>
      </xdr:nvCxnSpPr>
      <xdr:spPr>
        <a:xfrm flipV="1">
          <a:off x="55775679" y="18832286"/>
          <a:ext cx="911678" cy="3292928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24</xdr:row>
      <xdr:rowOff>170707</xdr:rowOff>
    </xdr:from>
    <xdr:to>
      <xdr:col>52</xdr:col>
      <xdr:colOff>579659</xdr:colOff>
      <xdr:row>60</xdr:row>
      <xdr:rowOff>133598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0707"/>
          <a:ext cx="9917870" cy="6405254"/>
        </a:xfrm>
        <a:prstGeom prst="rect">
          <a:avLst/>
        </a:prstGeom>
      </xdr:spPr>
    </xdr:pic>
    <xdr:clientData/>
  </xdr:twoCellAnchor>
  <xdr:twoCellAnchor editAs="oneCell">
    <xdr:from>
      <xdr:col>68</xdr:col>
      <xdr:colOff>12990</xdr:colOff>
      <xdr:row>81</xdr:row>
      <xdr:rowOff>93518</xdr:rowOff>
    </xdr:from>
    <xdr:to>
      <xdr:col>133</xdr:col>
      <xdr:colOff>166254</xdr:colOff>
      <xdr:row>83</xdr:row>
      <xdr:rowOff>1864835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48308" y="20321154"/>
          <a:ext cx="18094901" cy="1866073"/>
        </a:xfrm>
        <a:prstGeom prst="rect">
          <a:avLst/>
        </a:prstGeom>
      </xdr:spPr>
    </xdr:pic>
    <xdr:clientData/>
  </xdr:twoCellAnchor>
  <xdr:twoCellAnchor editAs="oneCell">
    <xdr:from>
      <xdr:col>67</xdr:col>
      <xdr:colOff>3042806</xdr:colOff>
      <xdr:row>141</xdr:row>
      <xdr:rowOff>77931</xdr:rowOff>
    </xdr:from>
    <xdr:to>
      <xdr:col>104</xdr:col>
      <xdr:colOff>387926</xdr:colOff>
      <xdr:row>144</xdr:row>
      <xdr:rowOff>58877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43124" y="15283295"/>
          <a:ext cx="18166770" cy="1792431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7" name="Oval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SpPr/>
      </xdr:nvSpPr>
      <xdr:spPr>
        <a:xfrm>
          <a:off x="14838218" y="21753367"/>
          <a:ext cx="1390650" cy="2699039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8" name="Oval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SpPr/>
      </xdr:nvSpPr>
      <xdr:spPr>
        <a:xfrm>
          <a:off x="12172950" y="2545339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49</xdr:col>
      <xdr:colOff>1102178</xdr:colOff>
      <xdr:row>164</xdr:row>
      <xdr:rowOff>258536</xdr:rowOff>
    </xdr:from>
    <xdr:to>
      <xdr:col>50</xdr:col>
      <xdr:colOff>639536</xdr:colOff>
      <xdr:row>170</xdr:row>
      <xdr:rowOff>12368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CxnSpPr/>
      </xdr:nvCxnSpPr>
      <xdr:spPr>
        <a:xfrm>
          <a:off x="58973357" y="17784536"/>
          <a:ext cx="1211036" cy="2380011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48</xdr:col>
      <xdr:colOff>530679</xdr:colOff>
      <xdr:row>164</xdr:row>
      <xdr:rowOff>261258</xdr:rowOff>
    </xdr:from>
    <xdr:to>
      <xdr:col>49</xdr:col>
      <xdr:colOff>356507</xdr:colOff>
      <xdr:row>170</xdr:row>
      <xdr:rowOff>122464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CxnSpPr/>
      </xdr:nvCxnSpPr>
      <xdr:spPr>
        <a:xfrm flipH="1">
          <a:off x="57013929" y="17787258"/>
          <a:ext cx="1213757" cy="248738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24</xdr:row>
      <xdr:rowOff>207818</xdr:rowOff>
    </xdr:from>
    <xdr:to>
      <xdr:col>51</xdr:col>
      <xdr:colOff>661340</xdr:colOff>
      <xdr:row>99</xdr:row>
      <xdr:rowOff>687530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7818"/>
          <a:ext cx="10559917" cy="6367894"/>
        </a:xfrm>
        <a:prstGeom prst="rect">
          <a:avLst/>
        </a:prstGeom>
      </xdr:spPr>
    </xdr:pic>
    <xdr:clientData/>
  </xdr:twoCellAnchor>
  <xdr:twoCellAnchor editAs="oneCell">
    <xdr:from>
      <xdr:col>68</xdr:col>
      <xdr:colOff>2961410</xdr:colOff>
      <xdr:row>61</xdr:row>
      <xdr:rowOff>69273</xdr:rowOff>
    </xdr:from>
    <xdr:to>
      <xdr:col>107</xdr:col>
      <xdr:colOff>121227</xdr:colOff>
      <xdr:row>99</xdr:row>
      <xdr:rowOff>1664536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01" y="7654637"/>
          <a:ext cx="16417635" cy="1664537"/>
        </a:xfrm>
        <a:prstGeom prst="rect">
          <a:avLst/>
        </a:prstGeom>
      </xdr:spPr>
    </xdr:pic>
    <xdr:clientData/>
  </xdr:twoCellAnchor>
  <xdr:twoCellAnchor editAs="oneCell">
    <xdr:from>
      <xdr:col>68</xdr:col>
      <xdr:colOff>2854040</xdr:colOff>
      <xdr:row>102</xdr:row>
      <xdr:rowOff>225136</xdr:rowOff>
    </xdr:from>
    <xdr:to>
      <xdr:col>107</xdr:col>
      <xdr:colOff>69273</xdr:colOff>
      <xdr:row>134</xdr:row>
      <xdr:rowOff>428090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51904" y="25959954"/>
          <a:ext cx="16473051" cy="1640364"/>
        </a:xfrm>
        <a:prstGeom prst="rect">
          <a:avLst/>
        </a:prstGeom>
      </xdr:spPr>
    </xdr:pic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9" name="Oval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SpPr/>
      </xdr:nvSpPr>
      <xdr:spPr>
        <a:xfrm>
          <a:off x="12172950" y="2545339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68</xdr:col>
      <xdr:colOff>5195</xdr:colOff>
      <xdr:row>90</xdr:row>
      <xdr:rowOff>145473</xdr:rowOff>
    </xdr:from>
    <xdr:to>
      <xdr:col>110</xdr:col>
      <xdr:colOff>140280</xdr:colOff>
      <xdr:row>128</xdr:row>
      <xdr:rowOff>598715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80922" y="7280564"/>
          <a:ext cx="16154402" cy="1659329"/>
        </a:xfrm>
        <a:prstGeom prst="rect">
          <a:avLst/>
        </a:prstGeom>
      </xdr:spPr>
    </xdr:pic>
    <xdr:clientData/>
  </xdr:twoCellAnchor>
  <xdr:twoCellAnchor editAs="oneCell">
    <xdr:from>
      <xdr:col>67</xdr:col>
      <xdr:colOff>2867028</xdr:colOff>
      <xdr:row>131</xdr:row>
      <xdr:rowOff>43297</xdr:rowOff>
    </xdr:from>
    <xdr:to>
      <xdr:col>110</xdr:col>
      <xdr:colOff>155866</xdr:colOff>
      <xdr:row>133</xdr:row>
      <xdr:rowOff>700716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87903" y="10473172"/>
          <a:ext cx="16062614" cy="1628969"/>
        </a:xfrm>
        <a:prstGeom prst="rect">
          <a:avLst/>
        </a:prstGeom>
      </xdr:spPr>
    </xdr:pic>
    <xdr:clientData/>
  </xdr:twoCellAnchor>
  <xdr:twoCellAnchor editAs="oneCell">
    <xdr:from>
      <xdr:col>1</xdr:col>
      <xdr:colOff>277090</xdr:colOff>
      <xdr:row>53</xdr:row>
      <xdr:rowOff>121227</xdr:rowOff>
    </xdr:from>
    <xdr:to>
      <xdr:col>52</xdr:col>
      <xdr:colOff>465116</xdr:colOff>
      <xdr:row>90</xdr:row>
      <xdr:rowOff>897122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865" y="121227"/>
          <a:ext cx="9092046" cy="7961332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SpPr/>
      </xdr:nvSpPr>
      <xdr:spPr>
        <a:xfrm>
          <a:off x="6724650" y="4379767"/>
          <a:ext cx="0" cy="3992708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6" name="Oval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SpPr/>
      </xdr:nvSpPr>
      <xdr:spPr>
        <a:xfrm>
          <a:off x="6724650" y="8372475"/>
          <a:ext cx="0" cy="169718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67</xdr:col>
      <xdr:colOff>2845377</xdr:colOff>
      <xdr:row>90</xdr:row>
      <xdr:rowOff>58880</xdr:rowOff>
    </xdr:from>
    <xdr:to>
      <xdr:col>118</xdr:col>
      <xdr:colOff>71004</xdr:colOff>
      <xdr:row>128</xdr:row>
      <xdr:rowOff>625444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51286" y="7090062"/>
          <a:ext cx="16154399" cy="1654764"/>
        </a:xfrm>
        <a:prstGeom prst="rect">
          <a:avLst/>
        </a:prstGeom>
      </xdr:spPr>
    </xdr:pic>
    <xdr:clientData/>
  </xdr:twoCellAnchor>
  <xdr:twoCellAnchor editAs="oneCell">
    <xdr:from>
      <xdr:col>67</xdr:col>
      <xdr:colOff>2849711</xdr:colOff>
      <xdr:row>131</xdr:row>
      <xdr:rowOff>60613</xdr:rowOff>
    </xdr:from>
    <xdr:to>
      <xdr:col>118</xdr:col>
      <xdr:colOff>138547</xdr:colOff>
      <xdr:row>133</xdr:row>
      <xdr:rowOff>718036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55620" y="10261022"/>
          <a:ext cx="16217608" cy="16445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</xdr:row>
      <xdr:rowOff>25977</xdr:rowOff>
    </xdr:from>
    <xdr:to>
      <xdr:col>27</xdr:col>
      <xdr:colOff>2209922</xdr:colOff>
      <xdr:row>90</xdr:row>
      <xdr:rowOff>942179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977"/>
          <a:ext cx="9942491" cy="8016657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24</xdr:row>
      <xdr:rowOff>17319</xdr:rowOff>
    </xdr:from>
    <xdr:to>
      <xdr:col>52</xdr:col>
      <xdr:colOff>436703</xdr:colOff>
      <xdr:row>60</xdr:row>
      <xdr:rowOff>69274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7319"/>
          <a:ext cx="10367442" cy="6875318"/>
        </a:xfrm>
        <a:prstGeom prst="rect">
          <a:avLst/>
        </a:prstGeom>
      </xdr:spPr>
    </xdr:pic>
    <xdr:clientData/>
  </xdr:twoCellAnchor>
  <xdr:twoCellAnchor editAs="oneCell">
    <xdr:from>
      <xdr:col>68</xdr:col>
      <xdr:colOff>2827193</xdr:colOff>
      <xdr:row>92</xdr:row>
      <xdr:rowOff>86591</xdr:rowOff>
    </xdr:from>
    <xdr:to>
      <xdr:col>130</xdr:col>
      <xdr:colOff>125561</xdr:colOff>
      <xdr:row>92</xdr:row>
      <xdr:rowOff>1751128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34238" y="7412182"/>
          <a:ext cx="16417639" cy="1664537"/>
        </a:xfrm>
        <a:prstGeom prst="rect">
          <a:avLst/>
        </a:prstGeom>
      </xdr:spPr>
    </xdr:pic>
    <xdr:clientData/>
  </xdr:twoCellAnchor>
  <xdr:twoCellAnchor editAs="oneCell">
    <xdr:from>
      <xdr:col>68</xdr:col>
      <xdr:colOff>2823732</xdr:colOff>
      <xdr:row>133</xdr:row>
      <xdr:rowOff>90053</xdr:rowOff>
    </xdr:from>
    <xdr:to>
      <xdr:col>130</xdr:col>
      <xdr:colOff>108242</xdr:colOff>
      <xdr:row>136</xdr:row>
      <xdr:rowOff>9018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30777" y="10619508"/>
          <a:ext cx="16403781" cy="1633465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7" name="Oval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SpPr/>
      </xdr:nvSpPr>
      <xdr:spPr>
        <a:xfrm>
          <a:off x="14838218" y="21753367"/>
          <a:ext cx="1390650" cy="2699039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8" name="Oval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SpPr/>
      </xdr:nvSpPr>
      <xdr:spPr>
        <a:xfrm>
          <a:off x="12172950" y="2545339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69272</xdr:colOff>
      <xdr:row>27</xdr:row>
      <xdr:rowOff>252068</xdr:rowOff>
    </xdr:from>
    <xdr:to>
      <xdr:col>52</xdr:col>
      <xdr:colOff>69272</xdr:colOff>
      <xdr:row>62</xdr:row>
      <xdr:rowOff>413733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50386"/>
          <a:ext cx="10442864" cy="6500120"/>
        </a:xfrm>
        <a:prstGeom prst="rect">
          <a:avLst/>
        </a:prstGeom>
      </xdr:spPr>
    </xdr:pic>
    <xdr:clientData/>
  </xdr:twoCellAnchor>
  <xdr:twoCellAnchor editAs="oneCell">
    <xdr:from>
      <xdr:col>67</xdr:col>
      <xdr:colOff>2987383</xdr:colOff>
      <xdr:row>100</xdr:row>
      <xdr:rowOff>69273</xdr:rowOff>
    </xdr:from>
    <xdr:to>
      <xdr:col>104</xdr:col>
      <xdr:colOff>383600</xdr:colOff>
      <xdr:row>100</xdr:row>
      <xdr:rowOff>1736444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58019" y="15378546"/>
          <a:ext cx="16443617" cy="1667171"/>
        </a:xfrm>
        <a:prstGeom prst="rect">
          <a:avLst/>
        </a:prstGeom>
      </xdr:spPr>
    </xdr:pic>
    <xdr:clientData/>
  </xdr:twoCellAnchor>
  <xdr:twoCellAnchor editAs="oneCell">
    <xdr:from>
      <xdr:col>67</xdr:col>
      <xdr:colOff>2954914</xdr:colOff>
      <xdr:row>128</xdr:row>
      <xdr:rowOff>103909</xdr:rowOff>
    </xdr:from>
    <xdr:to>
      <xdr:col>136</xdr:col>
      <xdr:colOff>80098</xdr:colOff>
      <xdr:row>130</xdr:row>
      <xdr:rowOff>363264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02141" y="16296409"/>
          <a:ext cx="16400319" cy="1643944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6" name="Oval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SpPr/>
      </xdr:nvSpPr>
      <xdr:spPr>
        <a:xfrm>
          <a:off x="14838218" y="21753367"/>
          <a:ext cx="1390650" cy="2699039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7" name="Oval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SpPr/>
      </xdr:nvSpPr>
      <xdr:spPr>
        <a:xfrm>
          <a:off x="12172950" y="2545339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155865</xdr:colOff>
      <xdr:row>27</xdr:row>
      <xdr:rowOff>155864</xdr:rowOff>
    </xdr:from>
    <xdr:to>
      <xdr:col>27</xdr:col>
      <xdr:colOff>2587913</xdr:colOff>
      <xdr:row>124</xdr:row>
      <xdr:rowOff>99695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774" y="571500"/>
          <a:ext cx="9923318" cy="6657225"/>
        </a:xfrm>
        <a:prstGeom prst="rect">
          <a:avLst/>
        </a:prstGeom>
      </xdr:spPr>
    </xdr:pic>
    <xdr:clientData/>
  </xdr:twoCellAnchor>
  <xdr:twoCellAnchor editAs="oneCell">
    <xdr:from>
      <xdr:col>67</xdr:col>
      <xdr:colOff>2743198</xdr:colOff>
      <xdr:row>124</xdr:row>
      <xdr:rowOff>51955</xdr:rowOff>
    </xdr:from>
    <xdr:to>
      <xdr:col>114</xdr:col>
      <xdr:colOff>121226</xdr:colOff>
      <xdr:row>124</xdr:row>
      <xdr:rowOff>1740776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2062" y="7256319"/>
          <a:ext cx="16462664" cy="1688821"/>
        </a:xfrm>
        <a:prstGeom prst="rect">
          <a:avLst/>
        </a:prstGeom>
      </xdr:spPr>
    </xdr:pic>
    <xdr:clientData/>
  </xdr:twoCellAnchor>
  <xdr:twoCellAnchor editAs="oneCell">
    <xdr:from>
      <xdr:col>67</xdr:col>
      <xdr:colOff>2717225</xdr:colOff>
      <xdr:row>128</xdr:row>
      <xdr:rowOff>51955</xdr:rowOff>
    </xdr:from>
    <xdr:to>
      <xdr:col>104</xdr:col>
      <xdr:colOff>413039</xdr:colOff>
      <xdr:row>130</xdr:row>
      <xdr:rowOff>381000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56089" y="10338955"/>
          <a:ext cx="16505956" cy="1749136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7" name="Oval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SpPr/>
      </xdr:nvSpPr>
      <xdr:spPr>
        <a:xfrm>
          <a:off x="14838218" y="21753367"/>
          <a:ext cx="1390650" cy="2699039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8" name="Oval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SpPr/>
      </xdr:nvSpPr>
      <xdr:spPr>
        <a:xfrm>
          <a:off x="12172950" y="2545339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67</xdr:col>
      <xdr:colOff>2743198</xdr:colOff>
      <xdr:row>124</xdr:row>
      <xdr:rowOff>51955</xdr:rowOff>
    </xdr:from>
    <xdr:to>
      <xdr:col>136</xdr:col>
      <xdr:colOff>121227</xdr:colOff>
      <xdr:row>124</xdr:row>
      <xdr:rowOff>1743323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83423" y="7100455"/>
          <a:ext cx="16304205" cy="1691368"/>
        </a:xfrm>
        <a:prstGeom prst="rect">
          <a:avLst/>
        </a:prstGeom>
      </xdr:spPr>
    </xdr:pic>
    <xdr:clientData/>
  </xdr:twoCellAnchor>
  <xdr:twoCellAnchor editAs="oneCell">
    <xdr:from>
      <xdr:col>67</xdr:col>
      <xdr:colOff>2786498</xdr:colOff>
      <xdr:row>128</xdr:row>
      <xdr:rowOff>86590</xdr:rowOff>
    </xdr:from>
    <xdr:to>
      <xdr:col>136</xdr:col>
      <xdr:colOff>207819</xdr:colOff>
      <xdr:row>130</xdr:row>
      <xdr:rowOff>519544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44907" y="10304317"/>
          <a:ext cx="16505958" cy="1749136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4" name="Oval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SpPr/>
      </xdr:nvSpPr>
      <xdr:spPr>
        <a:xfrm>
          <a:off x="10839450" y="7048500"/>
          <a:ext cx="0" cy="0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SpPr/>
      </xdr:nvSpPr>
      <xdr:spPr>
        <a:xfrm>
          <a:off x="10839450" y="7048500"/>
          <a:ext cx="0" cy="3076575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16</xdr:col>
      <xdr:colOff>411255</xdr:colOff>
      <xdr:row>172</xdr:row>
      <xdr:rowOff>262777</xdr:rowOff>
    </xdr:from>
    <xdr:to>
      <xdr:col>18</xdr:col>
      <xdr:colOff>54908</xdr:colOff>
      <xdr:row>174</xdr:row>
      <xdr:rowOff>206749</xdr:rowOff>
    </xdr:to>
    <xdr:sp macro="" textlink="">
      <xdr:nvSpPr>
        <xdr:cNvPr id="6" name="Oval 5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SpPr/>
      </xdr:nvSpPr>
      <xdr:spPr>
        <a:xfrm>
          <a:off x="10839450" y="19455652"/>
          <a:ext cx="0" cy="858372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26</xdr:row>
      <xdr:rowOff>398318</xdr:rowOff>
    </xdr:from>
    <xdr:to>
      <xdr:col>53</xdr:col>
      <xdr:colOff>398318</xdr:colOff>
      <xdr:row>124</xdr:row>
      <xdr:rowOff>975037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8318"/>
          <a:ext cx="12070773" cy="771181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67</xdr:col>
      <xdr:colOff>2743198</xdr:colOff>
      <xdr:row>124</xdr:row>
      <xdr:rowOff>51955</xdr:rowOff>
    </xdr:from>
    <xdr:to>
      <xdr:col>110</xdr:col>
      <xdr:colOff>121227</xdr:colOff>
      <xdr:row>124</xdr:row>
      <xdr:rowOff>1743323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54898" y="7071880"/>
          <a:ext cx="16304203" cy="1691368"/>
        </a:xfrm>
        <a:prstGeom prst="rect">
          <a:avLst/>
        </a:prstGeom>
      </xdr:spPr>
    </xdr:pic>
    <xdr:clientData/>
  </xdr:twoCellAnchor>
  <xdr:twoCellAnchor editAs="oneCell">
    <xdr:from>
      <xdr:col>67</xdr:col>
      <xdr:colOff>2717225</xdr:colOff>
      <xdr:row>128</xdr:row>
      <xdr:rowOff>51955</xdr:rowOff>
    </xdr:from>
    <xdr:to>
      <xdr:col>104</xdr:col>
      <xdr:colOff>402648</xdr:colOff>
      <xdr:row>130</xdr:row>
      <xdr:rowOff>484908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28925" y="10148455"/>
          <a:ext cx="16347495" cy="1747404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4" name="Oval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SpPr/>
      </xdr:nvSpPr>
      <xdr:spPr>
        <a:xfrm>
          <a:off x="8753475" y="7019925"/>
          <a:ext cx="0" cy="0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SpPr/>
      </xdr:nvSpPr>
      <xdr:spPr>
        <a:xfrm>
          <a:off x="8753475" y="7019925"/>
          <a:ext cx="0" cy="3246293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16</xdr:col>
      <xdr:colOff>411255</xdr:colOff>
      <xdr:row>172</xdr:row>
      <xdr:rowOff>262777</xdr:rowOff>
    </xdr:from>
    <xdr:to>
      <xdr:col>18</xdr:col>
      <xdr:colOff>54908</xdr:colOff>
      <xdr:row>174</xdr:row>
      <xdr:rowOff>206749</xdr:rowOff>
    </xdr:to>
    <xdr:sp macro="" textlink="">
      <xdr:nvSpPr>
        <xdr:cNvPr id="6" name="Oval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SpPr/>
      </xdr:nvSpPr>
      <xdr:spPr>
        <a:xfrm>
          <a:off x="8753475" y="22322677"/>
          <a:ext cx="0" cy="858372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53</xdr:col>
      <xdr:colOff>48243</xdr:colOff>
      <xdr:row>124</xdr:row>
      <xdr:rowOff>401221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2242717" cy="7674857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67</xdr:col>
      <xdr:colOff>2880016</xdr:colOff>
      <xdr:row>89</xdr:row>
      <xdr:rowOff>76201</xdr:rowOff>
    </xdr:from>
    <xdr:to>
      <xdr:col>134</xdr:col>
      <xdr:colOff>103908</xdr:colOff>
      <xdr:row>89</xdr:row>
      <xdr:rowOff>1756480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96341" y="6743701"/>
          <a:ext cx="16150067" cy="1680279"/>
        </a:xfrm>
        <a:prstGeom prst="rect">
          <a:avLst/>
        </a:prstGeom>
      </xdr:spPr>
    </xdr:pic>
    <xdr:clientData/>
  </xdr:twoCellAnchor>
  <xdr:twoCellAnchor editAs="oneCell">
    <xdr:from>
      <xdr:col>67</xdr:col>
      <xdr:colOff>2867027</xdr:colOff>
      <xdr:row>130</xdr:row>
      <xdr:rowOff>45028</xdr:rowOff>
    </xdr:from>
    <xdr:to>
      <xdr:col>134</xdr:col>
      <xdr:colOff>123821</xdr:colOff>
      <xdr:row>133</xdr:row>
      <xdr:rowOff>432955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83352" y="9865303"/>
          <a:ext cx="16182969" cy="17595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17319</xdr:rowOff>
    </xdr:from>
    <xdr:to>
      <xdr:col>52</xdr:col>
      <xdr:colOff>466354</xdr:colOff>
      <xdr:row>89</xdr:row>
      <xdr:rowOff>1414047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798137"/>
          <a:ext cx="11220945" cy="8044436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68</xdr:col>
      <xdr:colOff>39832</xdr:colOff>
      <xdr:row>125</xdr:row>
      <xdr:rowOff>138545</xdr:rowOff>
    </xdr:from>
    <xdr:to>
      <xdr:col>132</xdr:col>
      <xdr:colOff>160069</xdr:colOff>
      <xdr:row>129</xdr:row>
      <xdr:rowOff>585105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27882" y="6596495"/>
          <a:ext cx="16007938" cy="1522885"/>
        </a:xfrm>
        <a:prstGeom prst="rect">
          <a:avLst/>
        </a:prstGeom>
      </xdr:spPr>
    </xdr:pic>
    <xdr:clientData/>
  </xdr:twoCellAnchor>
  <xdr:twoCellAnchor editAs="oneCell">
    <xdr:from>
      <xdr:col>67</xdr:col>
      <xdr:colOff>2884345</xdr:colOff>
      <xdr:row>132</xdr:row>
      <xdr:rowOff>112568</xdr:rowOff>
    </xdr:from>
    <xdr:to>
      <xdr:col>132</xdr:col>
      <xdr:colOff>158340</xdr:colOff>
      <xdr:row>135</xdr:row>
      <xdr:rowOff>69844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57745" y="9685193"/>
          <a:ext cx="16076345" cy="1652725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4" name="Oval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SpPr/>
      </xdr:nvSpPr>
      <xdr:spPr>
        <a:xfrm>
          <a:off x="7953375" y="6457950"/>
          <a:ext cx="0" cy="0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SpPr/>
      </xdr:nvSpPr>
      <xdr:spPr>
        <a:xfrm>
          <a:off x="7953375" y="6457950"/>
          <a:ext cx="0" cy="1076325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52</xdr:col>
      <xdr:colOff>31173</xdr:colOff>
      <xdr:row>125</xdr:row>
      <xdr:rowOff>300752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058400" cy="7409865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67</xdr:col>
      <xdr:colOff>2987383</xdr:colOff>
      <xdr:row>100</xdr:row>
      <xdr:rowOff>69273</xdr:rowOff>
    </xdr:from>
    <xdr:to>
      <xdr:col>118</xdr:col>
      <xdr:colOff>136812</xdr:colOff>
      <xdr:row>100</xdr:row>
      <xdr:rowOff>1750051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94133" y="7222548"/>
          <a:ext cx="16285155" cy="1680778"/>
        </a:xfrm>
        <a:prstGeom prst="rect">
          <a:avLst/>
        </a:prstGeom>
      </xdr:spPr>
    </xdr:pic>
    <xdr:clientData/>
  </xdr:twoCellAnchor>
  <xdr:twoCellAnchor editAs="oneCell">
    <xdr:from>
      <xdr:col>67</xdr:col>
      <xdr:colOff>2954914</xdr:colOff>
      <xdr:row>128</xdr:row>
      <xdr:rowOff>103909</xdr:rowOff>
    </xdr:from>
    <xdr:to>
      <xdr:col>118</xdr:col>
      <xdr:colOff>80095</xdr:colOff>
      <xdr:row>130</xdr:row>
      <xdr:rowOff>431669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80714" y="10362334"/>
          <a:ext cx="16241857" cy="1642212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4" name="Oval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SpPr/>
      </xdr:nvSpPr>
      <xdr:spPr>
        <a:xfrm>
          <a:off x="7248525" y="7153275"/>
          <a:ext cx="0" cy="3105150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SpPr/>
      </xdr:nvSpPr>
      <xdr:spPr>
        <a:xfrm>
          <a:off x="7248525" y="10258425"/>
          <a:ext cx="0" cy="169718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53</xdr:col>
      <xdr:colOff>506247</xdr:colOff>
      <xdr:row>100</xdr:row>
      <xdr:rowOff>151710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62520" cy="739071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67</xdr:col>
      <xdr:colOff>2743198</xdr:colOff>
      <xdr:row>124</xdr:row>
      <xdr:rowOff>51955</xdr:rowOff>
    </xdr:from>
    <xdr:to>
      <xdr:col>133</xdr:col>
      <xdr:colOff>121225</xdr:colOff>
      <xdr:row>124</xdr:row>
      <xdr:rowOff>1743323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78623" y="7205230"/>
          <a:ext cx="16304202" cy="1691368"/>
        </a:xfrm>
        <a:prstGeom prst="rect">
          <a:avLst/>
        </a:prstGeom>
      </xdr:spPr>
    </xdr:pic>
    <xdr:clientData/>
  </xdr:twoCellAnchor>
  <xdr:twoCellAnchor editAs="oneCell">
    <xdr:from>
      <xdr:col>67</xdr:col>
      <xdr:colOff>2717225</xdr:colOff>
      <xdr:row>128</xdr:row>
      <xdr:rowOff>51955</xdr:rowOff>
    </xdr:from>
    <xdr:to>
      <xdr:col>133</xdr:col>
      <xdr:colOff>138544</xdr:colOff>
      <xdr:row>130</xdr:row>
      <xdr:rowOff>484910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52650" y="10672330"/>
          <a:ext cx="16347494" cy="1747405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4" name="Oval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SpPr/>
      </xdr:nvSpPr>
      <xdr:spPr>
        <a:xfrm>
          <a:off x="7839075" y="7153275"/>
          <a:ext cx="0" cy="0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SpPr/>
      </xdr:nvSpPr>
      <xdr:spPr>
        <a:xfrm>
          <a:off x="7839075" y="7153275"/>
          <a:ext cx="0" cy="3636818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52</xdr:col>
      <xdr:colOff>294409</xdr:colOff>
      <xdr:row>62</xdr:row>
      <xdr:rowOff>528268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014364" cy="717845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67</xdr:col>
      <xdr:colOff>2897331</xdr:colOff>
      <xdr:row>92</xdr:row>
      <xdr:rowOff>69271</xdr:rowOff>
    </xdr:from>
    <xdr:to>
      <xdr:col>118</xdr:col>
      <xdr:colOff>122955</xdr:colOff>
      <xdr:row>130</xdr:row>
      <xdr:rowOff>516585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66031" y="7136821"/>
          <a:ext cx="15999399" cy="1647465"/>
        </a:xfrm>
        <a:prstGeom prst="rect">
          <a:avLst/>
        </a:prstGeom>
      </xdr:spPr>
    </xdr:pic>
    <xdr:clientData/>
  </xdr:twoCellAnchor>
  <xdr:twoCellAnchor editAs="oneCell">
    <xdr:from>
      <xdr:col>67</xdr:col>
      <xdr:colOff>2849711</xdr:colOff>
      <xdr:row>133</xdr:row>
      <xdr:rowOff>60613</xdr:rowOff>
    </xdr:from>
    <xdr:to>
      <xdr:col>104</xdr:col>
      <xdr:colOff>392255</xdr:colOff>
      <xdr:row>135</xdr:row>
      <xdr:rowOff>718037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18411" y="10385713"/>
          <a:ext cx="16062608" cy="1628974"/>
        </a:xfrm>
        <a:prstGeom prst="rect">
          <a:avLst/>
        </a:prstGeom>
      </xdr:spPr>
    </xdr:pic>
    <xdr:clientData/>
  </xdr:twoCellAnchor>
  <xdr:twoCellAnchor>
    <xdr:from>
      <xdr:col>16</xdr:col>
      <xdr:colOff>751433</xdr:colOff>
      <xdr:row>194</xdr:row>
      <xdr:rowOff>262777</xdr:rowOff>
    </xdr:from>
    <xdr:to>
      <xdr:col>18</xdr:col>
      <xdr:colOff>395086</xdr:colOff>
      <xdr:row>196</xdr:row>
      <xdr:rowOff>206749</xdr:rowOff>
    </xdr:to>
    <xdr:sp macro="" textlink="">
      <xdr:nvSpPr>
        <xdr:cNvPr id="4" name="Oval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SpPr/>
      </xdr:nvSpPr>
      <xdr:spPr>
        <a:xfrm>
          <a:off x="7724775" y="27990052"/>
          <a:ext cx="0" cy="7535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28</xdr:col>
      <xdr:colOff>272144</xdr:colOff>
      <xdr:row>213</xdr:row>
      <xdr:rowOff>40821</xdr:rowOff>
    </xdr:from>
    <xdr:to>
      <xdr:col>28</xdr:col>
      <xdr:colOff>1728108</xdr:colOff>
      <xdr:row>221</xdr:row>
      <xdr:rowOff>258536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SpPr/>
      </xdr:nvSpPr>
      <xdr:spPr>
        <a:xfrm>
          <a:off x="10420350" y="33111621"/>
          <a:ext cx="0" cy="232274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55</xdr:row>
      <xdr:rowOff>25977</xdr:rowOff>
    </xdr:from>
    <xdr:to>
      <xdr:col>27</xdr:col>
      <xdr:colOff>997033</xdr:colOff>
      <xdr:row>92</xdr:row>
      <xdr:rowOff>926660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977"/>
          <a:ext cx="10539351" cy="798381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6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comments" Target="../comments7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comments" Target="../comments8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comments" Target="../comments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comments" Target="../comments10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comments" Target="../comments11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4" Type="http://schemas.openxmlformats.org/officeDocument/2006/relationships/comments" Target="../comments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4" Type="http://schemas.openxmlformats.org/officeDocument/2006/relationships/comments" Target="../comments13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comments" Target="../comments14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comments" Target="../comments15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Relationship Id="rId4" Type="http://schemas.openxmlformats.org/officeDocument/2006/relationships/comments" Target="../comments16.x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Relationship Id="rId4" Type="http://schemas.openxmlformats.org/officeDocument/2006/relationships/comments" Target="../comments17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Relationship Id="rId4" Type="http://schemas.openxmlformats.org/officeDocument/2006/relationships/comments" Target="../comments18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Relationship Id="rId4" Type="http://schemas.openxmlformats.org/officeDocument/2006/relationships/comments" Target="../comments19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Relationship Id="rId4" Type="http://schemas.openxmlformats.org/officeDocument/2006/relationships/comments" Target="../comments20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Relationship Id="rId4" Type="http://schemas.openxmlformats.org/officeDocument/2006/relationships/comments" Target="../comments21.xm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2.vml"/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Relationship Id="rId4" Type="http://schemas.openxmlformats.org/officeDocument/2006/relationships/comments" Target="../comments22.xml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3.vml"/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Relationship Id="rId4" Type="http://schemas.openxmlformats.org/officeDocument/2006/relationships/comments" Target="../comments2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tabColor theme="2" tint="-9.9978637043366805E-2"/>
  </sheetPr>
  <dimension ref="A1:CV205"/>
  <sheetViews>
    <sheetView tabSelected="1" topLeftCell="A49" zoomScale="50" zoomScaleNormal="50" workbookViewId="0">
      <selection activeCell="D138" sqref="D138"/>
    </sheetView>
  </sheetViews>
  <sheetFormatPr baseColWidth="10" defaultColWidth="9.1640625" defaultRowHeight="16" x14ac:dyDescent="0.2"/>
  <cols>
    <col min="1" max="1" width="3" customWidth="1"/>
    <col min="2" max="2" width="28.83203125" style="35" customWidth="1"/>
    <col min="3" max="3" width="19.33203125" style="35" hidden="1" customWidth="1"/>
    <col min="4" max="4" width="31" style="37" bestFit="1" customWidth="1"/>
    <col min="5" max="5" width="40.83203125" style="37" customWidth="1"/>
    <col min="6" max="6" width="31.5" style="37" customWidth="1"/>
    <col min="7" max="7" width="39.5" style="37" hidden="1" customWidth="1"/>
    <col min="8" max="8" width="22.5" hidden="1" customWidth="1"/>
    <col min="9" max="9" width="20.5" hidden="1" customWidth="1"/>
    <col min="10" max="10" width="22.1640625" hidden="1" customWidth="1"/>
    <col min="11" max="11" width="17.5" hidden="1" customWidth="1"/>
    <col min="12" max="12" width="19.6640625" hidden="1" customWidth="1"/>
    <col min="13" max="13" width="35" hidden="1" customWidth="1"/>
    <col min="14" max="14" width="20.5" hidden="1" customWidth="1"/>
    <col min="15" max="15" width="12.5" hidden="1" customWidth="1"/>
    <col min="16" max="16" width="7.6640625" hidden="1" customWidth="1"/>
    <col min="17" max="17" width="12.5" hidden="1" customWidth="1"/>
    <col min="18" max="18" width="13.1640625" hidden="1" customWidth="1"/>
    <col min="19" max="19" width="29.33203125" hidden="1" customWidth="1"/>
    <col min="20" max="20" width="12.5" hidden="1" customWidth="1"/>
    <col min="21" max="21" width="78" hidden="1" customWidth="1"/>
    <col min="22" max="22" width="13.6640625" hidden="1" customWidth="1"/>
    <col min="23" max="23" width="22.33203125" hidden="1" customWidth="1"/>
    <col min="24" max="24" width="29" hidden="1" customWidth="1"/>
    <col min="25" max="25" width="111" hidden="1" customWidth="1"/>
    <col min="26" max="26" width="12" hidden="1" customWidth="1"/>
    <col min="27" max="27" width="18" hidden="1" customWidth="1"/>
    <col min="28" max="28" width="16.33203125" hidden="1" customWidth="1"/>
    <col min="29" max="29" width="23.33203125" hidden="1" customWidth="1"/>
    <col min="30" max="30" width="18" hidden="1" customWidth="1"/>
    <col min="31" max="31" width="16.33203125" hidden="1" customWidth="1"/>
    <col min="32" max="32" width="20.1640625" hidden="1" customWidth="1"/>
    <col min="33" max="33" width="30" hidden="1" customWidth="1"/>
    <col min="34" max="34" width="19.83203125" hidden="1" customWidth="1"/>
    <col min="35" max="35" width="20.83203125" hidden="1" customWidth="1"/>
    <col min="36" max="36" width="19.83203125" hidden="1" customWidth="1"/>
    <col min="37" max="37" width="20.83203125" hidden="1" customWidth="1"/>
    <col min="38" max="38" width="19.83203125" hidden="1" customWidth="1"/>
    <col min="39" max="39" width="12.83203125" hidden="1" customWidth="1"/>
    <col min="40" max="40" width="10.83203125" hidden="1" customWidth="1"/>
    <col min="41" max="41" width="11.83203125" customWidth="1"/>
    <col min="42" max="42" width="12.1640625" customWidth="1"/>
    <col min="43" max="43" width="17.6640625" hidden="1" customWidth="1"/>
    <col min="44" max="44" width="17.5" hidden="1" customWidth="1"/>
    <col min="45" max="45" width="11.83203125" hidden="1" customWidth="1"/>
    <col min="46" max="46" width="14.83203125" hidden="1" customWidth="1"/>
    <col min="47" max="47" width="5.33203125" hidden="1" customWidth="1"/>
    <col min="48" max="48" width="8.5" hidden="1" customWidth="1"/>
    <col min="49" max="49" width="136" hidden="1" customWidth="1"/>
    <col min="50" max="50" width="17" hidden="1" customWidth="1"/>
    <col min="51" max="52" width="16.33203125" hidden="1" customWidth="1"/>
    <col min="53" max="53" width="5.83203125" hidden="1" customWidth="1"/>
    <col min="54" max="54" width="12.5" hidden="1" customWidth="1"/>
    <col min="55" max="55" width="17.5" hidden="1" customWidth="1"/>
    <col min="56" max="56" width="24.83203125" bestFit="1" customWidth="1"/>
    <col min="57" max="57" width="34.5" customWidth="1"/>
    <col min="58" max="58" width="43.5" customWidth="1"/>
    <col min="59" max="95" width="7.1640625" customWidth="1"/>
    <col min="96" max="96" width="7.6640625" customWidth="1"/>
    <col min="97" max="97" width="16" customWidth="1"/>
    <col min="98" max="98" width="41" hidden="1" customWidth="1"/>
    <col min="99" max="99" width="18" bestFit="1" customWidth="1"/>
    <col min="100" max="100" width="11.5" hidden="1" customWidth="1"/>
    <col min="101" max="132" width="0" hidden="1" customWidth="1"/>
  </cols>
  <sheetData>
    <row r="1" spans="2:15" ht="20" hidden="1" x14ac:dyDescent="0.2">
      <c r="D1" s="36" t="s">
        <v>104</v>
      </c>
      <c r="E1" s="36" t="s">
        <v>105</v>
      </c>
      <c r="F1" s="36" t="s">
        <v>106</v>
      </c>
      <c r="G1" s="990" t="s">
        <v>220</v>
      </c>
      <c r="H1" s="991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8" t="s">
        <v>26</v>
      </c>
      <c r="C2" s="39">
        <v>688</v>
      </c>
      <c r="D2" s="40">
        <f>+COS(($B$132*-1)*3.14159265358979/180)*C2</f>
        <v>688</v>
      </c>
      <c r="E2" s="41">
        <f>+COS(($B$132*-1)*3.14159265358979/180)*43</f>
        <v>43</v>
      </c>
      <c r="F2" s="955">
        <f>+COS((($B$132*-1)+72.969997)*3.14159265358979/180)*162.1867</f>
        <v>47.500013702602963</v>
      </c>
      <c r="G2" s="994" t="s">
        <v>212</v>
      </c>
      <c r="H2" s="957">
        <v>77</v>
      </c>
      <c r="O2" s="995"/>
    </row>
    <row r="3" spans="2:15" ht="21" hidden="1" thickBot="1" x14ac:dyDescent="0.25">
      <c r="B3" s="38" t="s">
        <v>113</v>
      </c>
      <c r="C3" s="43">
        <f>+C15-47.5</f>
        <v>236.6419197803213</v>
      </c>
      <c r="D3" s="40">
        <f>+C15-F2</f>
        <v>236.64190607771835</v>
      </c>
      <c r="G3" s="994" t="s">
        <v>213</v>
      </c>
      <c r="H3" s="958">
        <v>215</v>
      </c>
      <c r="I3" s="182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+COS(($B$132*-1)*3.14159265358979/180)*C4</f>
        <v>1075</v>
      </c>
      <c r="G4" s="996" t="s">
        <v>233</v>
      </c>
      <c r="H4" s="962">
        <v>860</v>
      </c>
      <c r="I4" s="984">
        <v>1</v>
      </c>
      <c r="J4" s="1721" t="s">
        <v>228</v>
      </c>
      <c r="K4" s="1740"/>
      <c r="L4" s="1740"/>
      <c r="M4" s="1740"/>
      <c r="O4" s="995"/>
    </row>
    <row r="5" spans="2:15" ht="38" hidden="1" x14ac:dyDescent="0.2">
      <c r="B5" s="44" t="s">
        <v>115</v>
      </c>
      <c r="C5" s="45">
        <f>+C15+425.5</f>
        <v>709.64191978032136</v>
      </c>
      <c r="D5" s="40">
        <f>+(COS(($B$132*-1)*3.14159265358979/180)*473)+$D$3</f>
        <v>709.64190607771832</v>
      </c>
      <c r="G5" s="996" t="s">
        <v>214</v>
      </c>
      <c r="H5" s="962">
        <v>688</v>
      </c>
      <c r="J5" s="961" t="s">
        <v>217</v>
      </c>
      <c r="K5" s="961" t="s">
        <v>225</v>
      </c>
      <c r="L5" s="972" t="s">
        <v>224</v>
      </c>
      <c r="M5" s="964"/>
      <c r="O5" s="995"/>
    </row>
    <row r="6" spans="2:15" ht="20" hidden="1" x14ac:dyDescent="0.2">
      <c r="B6" s="46"/>
      <c r="C6" s="47"/>
      <c r="G6" s="996" t="s">
        <v>259</v>
      </c>
      <c r="H6" s="962">
        <v>602</v>
      </c>
      <c r="J6" s="963">
        <f>+H9/H8*BG51</f>
        <v>115.82701247322196</v>
      </c>
      <c r="K6" s="963">
        <f>((H8-H9)/H8)*BG51</f>
        <v>-79.631071075340103</v>
      </c>
      <c r="L6" s="963">
        <f>+CE51</f>
        <v>70.304058602118147</v>
      </c>
      <c r="M6" s="961" t="s">
        <v>223</v>
      </c>
      <c r="O6" s="995"/>
    </row>
    <row r="7" spans="2:15" ht="38" hidden="1" x14ac:dyDescent="0.2">
      <c r="B7" s="48" t="s">
        <v>76</v>
      </c>
      <c r="C7" s="49">
        <v>5800</v>
      </c>
      <c r="D7" s="49">
        <v>10000</v>
      </c>
      <c r="G7" s="997" t="s">
        <v>230</v>
      </c>
      <c r="H7" s="956">
        <f>(+SIN(($B$132*-1)*3.14159265358979/180)*H2)</f>
        <v>0</v>
      </c>
      <c r="J7" s="965">
        <f>ABS($H$1/J6)</f>
        <v>155.40416363722943</v>
      </c>
      <c r="K7" s="965">
        <f>ABS($H$1/K6)</f>
        <v>226.04241983597007</v>
      </c>
      <c r="L7" s="965">
        <f>ABS($H$1/L6)</f>
        <v>256.03073788200459</v>
      </c>
      <c r="M7" s="967" t="s">
        <v>222</v>
      </c>
      <c r="O7" s="995"/>
    </row>
    <row r="8" spans="2:15" ht="21" hidden="1" thickBot="1" x14ac:dyDescent="0.25">
      <c r="B8" s="48" t="s">
        <v>86</v>
      </c>
      <c r="C8" s="50">
        <v>8000</v>
      </c>
      <c r="D8" s="50">
        <v>8000</v>
      </c>
      <c r="E8" s="49">
        <v>8000</v>
      </c>
      <c r="G8" s="997" t="s">
        <v>229</v>
      </c>
      <c r="H8" s="956">
        <f>(+COS(($B$132*-1)*3.14159265358979/180)*H3)</f>
        <v>215</v>
      </c>
      <c r="I8" s="1732" t="s">
        <v>353</v>
      </c>
      <c r="J8" s="1731">
        <f>ABS($E$8/BG51)</f>
        <v>221.01925495072632</v>
      </c>
      <c r="K8" s="1731"/>
      <c r="L8" s="1731">
        <f>ABS($E$8/CE51)</f>
        <v>113.7914390586687</v>
      </c>
      <c r="M8" s="1732" t="s">
        <v>350</v>
      </c>
      <c r="O8" s="995"/>
    </row>
    <row r="9" spans="2:15" ht="21" hidden="1" thickBot="1" x14ac:dyDescent="0.25">
      <c r="B9" s="51"/>
      <c r="C9" s="52" t="s">
        <v>20</v>
      </c>
      <c r="D9" s="52" t="s">
        <v>21</v>
      </c>
      <c r="G9" s="994" t="s">
        <v>227</v>
      </c>
      <c r="H9" s="956">
        <f>+D2+H7</f>
        <v>688</v>
      </c>
      <c r="O9" s="995"/>
    </row>
    <row r="10" spans="2:15" ht="21" hidden="1" thickBot="1" x14ac:dyDescent="0.25">
      <c r="B10" s="51" t="s">
        <v>17</v>
      </c>
      <c r="C10" s="53">
        <f>+((C13-C15)/C13)*C12</f>
        <v>45.043634328586066</v>
      </c>
      <c r="D10" s="53">
        <f>+(C15/C13)*C12</f>
        <v>61.456365671413934</v>
      </c>
      <c r="G10" s="998"/>
      <c r="I10" s="984">
        <v>2</v>
      </c>
      <c r="J10" s="1721" t="s">
        <v>235</v>
      </c>
      <c r="K10" s="1721"/>
      <c r="L10" s="1738"/>
      <c r="M10" s="1738"/>
      <c r="O10" s="995"/>
    </row>
    <row r="11" spans="2:15" ht="20" hidden="1" x14ac:dyDescent="0.2">
      <c r="B11" s="46"/>
      <c r="C11" s="47"/>
      <c r="G11" s="994" t="s">
        <v>226</v>
      </c>
      <c r="H11" s="956">
        <f>+D2-H7</f>
        <v>688</v>
      </c>
      <c r="J11" s="972" t="s">
        <v>218</v>
      </c>
      <c r="K11" s="961" t="s">
        <v>215</v>
      </c>
      <c r="L11" s="961" t="s">
        <v>216</v>
      </c>
      <c r="M11" s="964"/>
      <c r="O11" s="995"/>
    </row>
    <row r="12" spans="2:15" ht="20" hidden="1" x14ac:dyDescent="0.2">
      <c r="B12" s="54" t="s">
        <v>55</v>
      </c>
      <c r="C12" s="55">
        <f>+(B135*40.5)+31+4.5+0.5+30</f>
        <v>106.5</v>
      </c>
      <c r="G12" s="998"/>
      <c r="H12" s="37"/>
      <c r="J12" s="963">
        <f>(BR54)</f>
        <v>83.055941397881853</v>
      </c>
      <c r="K12" s="963">
        <f>((+H8-H11)/H8*CP54)</f>
        <v>-51.576928924659917</v>
      </c>
      <c r="L12" s="963">
        <f>(H11/H8*CP54)</f>
        <v>75.020987526778057</v>
      </c>
      <c r="M12" s="961" t="s">
        <v>223</v>
      </c>
      <c r="O12" s="995"/>
    </row>
    <row r="13" spans="2:15" ht="20" hidden="1" x14ac:dyDescent="0.2">
      <c r="B13" s="56" t="s">
        <v>56</v>
      </c>
      <c r="C13" s="55">
        <v>492.4</v>
      </c>
      <c r="G13" s="998"/>
      <c r="J13" s="965">
        <f>ABS($H$1/J12)</f>
        <v>216.72140122728231</v>
      </c>
      <c r="K13" s="965">
        <f>ABS($H$1/K12)</f>
        <v>348.99324902211958</v>
      </c>
      <c r="L13" s="965">
        <f>ABS($H$1/L12)</f>
        <v>239.93285870270722</v>
      </c>
      <c r="M13" s="967" t="s">
        <v>222</v>
      </c>
      <c r="O13" s="995"/>
    </row>
    <row r="14" spans="2:15" ht="20" hidden="1" x14ac:dyDescent="0.2">
      <c r="B14" s="57">
        <f>+B135</f>
        <v>1</v>
      </c>
      <c r="C14" s="58">
        <f>IF(B14&lt;=24,B14)</f>
        <v>1</v>
      </c>
      <c r="G14" s="998"/>
      <c r="I14" s="1732" t="s">
        <v>353</v>
      </c>
      <c r="J14" s="1731">
        <f>ABS($E$8/BR54)</f>
        <v>96.32062276768103</v>
      </c>
      <c r="K14" s="1731"/>
      <c r="L14" s="1731">
        <f>ABS($E$8/CP54)</f>
        <v>341.23784348829469</v>
      </c>
      <c r="M14" s="1732" t="s">
        <v>350</v>
      </c>
      <c r="O14" s="995"/>
    </row>
    <row r="15" spans="2:15" ht="19" hidden="1" thickBot="1" x14ac:dyDescent="0.25">
      <c r="B15" s="56" t="s">
        <v>57</v>
      </c>
      <c r="C15" s="54">
        <f>+Y133</f>
        <v>284.1419197803213</v>
      </c>
      <c r="G15" s="998"/>
      <c r="O15" s="995"/>
    </row>
    <row r="16" spans="2:15" ht="21" hidden="1" thickBot="1" x14ac:dyDescent="0.25">
      <c r="B16" s="46"/>
      <c r="C16" s="47"/>
      <c r="G16" s="994" t="s">
        <v>231</v>
      </c>
      <c r="H16" s="956">
        <f>+D2+H7-BB131</f>
        <v>-21.641906077718318</v>
      </c>
      <c r="I16" s="984" t="s">
        <v>251</v>
      </c>
      <c r="J16" s="1721" t="s">
        <v>232</v>
      </c>
      <c r="K16" s="1740"/>
      <c r="L16" s="1740"/>
      <c r="M16" s="1740"/>
      <c r="O16" s="995"/>
    </row>
    <row r="17" spans="1:15" ht="20" hidden="1" x14ac:dyDescent="0.2">
      <c r="B17" s="46"/>
      <c r="C17" s="47"/>
      <c r="G17" s="998"/>
      <c r="H17" s="37"/>
      <c r="I17" s="999"/>
      <c r="J17" s="961" t="s">
        <v>217</v>
      </c>
      <c r="K17" s="961" t="s">
        <v>225</v>
      </c>
      <c r="L17" s="961"/>
      <c r="M17" s="964"/>
      <c r="O17" s="995"/>
    </row>
    <row r="18" spans="1:15" ht="20" hidden="1" x14ac:dyDescent="0.2">
      <c r="B18" s="46"/>
      <c r="C18" s="47"/>
      <c r="G18" s="998"/>
      <c r="J18" s="963">
        <f>+H16/H8*BG49</f>
        <v>-10.720293010590701</v>
      </c>
      <c r="K18" s="963">
        <f>((H8-H16)/H8)*BG49</f>
        <v>117.22029301059071</v>
      </c>
      <c r="L18" s="963"/>
      <c r="M18" s="961" t="s">
        <v>223</v>
      </c>
      <c r="O18" s="995"/>
    </row>
    <row r="19" spans="1:15" ht="20" hidden="1" x14ac:dyDescent="0.2">
      <c r="B19" s="46"/>
      <c r="C19" s="47"/>
      <c r="G19" s="998"/>
      <c r="J19" s="965">
        <f>ABS($H$1/J18)</f>
        <v>1679.0585837735584</v>
      </c>
      <c r="K19" s="965">
        <f>ABS($H$1/K18)</f>
        <v>153.55702956973263</v>
      </c>
      <c r="L19" s="965"/>
      <c r="M19" s="967" t="s">
        <v>222</v>
      </c>
      <c r="O19" s="995"/>
    </row>
    <row r="20" spans="1:15" ht="20" hidden="1" x14ac:dyDescent="0.2">
      <c r="B20" s="46"/>
      <c r="C20" s="47"/>
      <c r="G20" s="998"/>
      <c r="I20" s="1732" t="s">
        <v>354</v>
      </c>
      <c r="J20" s="1733">
        <f>ABS($E$8/BG49)</f>
        <v>75.117370892018783</v>
      </c>
      <c r="K20" s="1733"/>
      <c r="L20" s="1733"/>
      <c r="M20" s="1734" t="s">
        <v>350</v>
      </c>
      <c r="N20" s="1732" t="s">
        <v>354</v>
      </c>
      <c r="O20" s="995"/>
    </row>
    <row r="21" spans="1:15" ht="19" hidden="1" thickBot="1" x14ac:dyDescent="0.25">
      <c r="B21" s="46"/>
      <c r="C21" s="47"/>
      <c r="G21" s="998"/>
      <c r="O21" s="995"/>
    </row>
    <row r="22" spans="1:15" ht="21" hidden="1" thickBot="1" x14ac:dyDescent="0.25">
      <c r="B22" s="46"/>
      <c r="C22" s="47"/>
      <c r="G22" s="994" t="s">
        <v>219</v>
      </c>
      <c r="H22" s="956">
        <f>(+COS(($B$132*-1)*3.14159265358979/180)*(H4))</f>
        <v>860</v>
      </c>
      <c r="I22" s="984" t="s">
        <v>251</v>
      </c>
      <c r="J22" s="1721" t="s">
        <v>254</v>
      </c>
      <c r="K22" s="1740"/>
      <c r="L22" s="1740"/>
      <c r="M22" s="1740"/>
      <c r="O22" s="995"/>
    </row>
    <row r="23" spans="1:15" ht="20" hidden="1" x14ac:dyDescent="0.2">
      <c r="B23" s="46"/>
      <c r="C23" s="47"/>
      <c r="G23" s="994" t="s">
        <v>234</v>
      </c>
      <c r="H23" s="1092">
        <f>+BB131-H22+H7</f>
        <v>-150.35809392228168</v>
      </c>
      <c r="I23" s="999"/>
      <c r="J23" s="961"/>
      <c r="K23" s="961" t="s">
        <v>215</v>
      </c>
      <c r="L23" s="961" t="s">
        <v>216</v>
      </c>
      <c r="M23" s="964"/>
      <c r="O23" s="995"/>
    </row>
    <row r="24" spans="1:15" ht="20" hidden="1" x14ac:dyDescent="0.2">
      <c r="B24" s="46"/>
      <c r="C24" s="47"/>
      <c r="G24" s="998"/>
      <c r="J24" s="963"/>
      <c r="K24" s="963">
        <f>((+H8-H23)/H8*BG49)</f>
        <v>180.97970698940929</v>
      </c>
      <c r="L24" s="963">
        <f>(H23/H8*BG49)</f>
        <v>-74.479706989409294</v>
      </c>
      <c r="M24" s="961" t="s">
        <v>223</v>
      </c>
      <c r="O24" s="995"/>
    </row>
    <row r="25" spans="1:15" ht="20" hidden="1" x14ac:dyDescent="0.2">
      <c r="B25" s="46"/>
      <c r="C25" s="47"/>
      <c r="G25" s="998"/>
      <c r="J25" s="965"/>
      <c r="K25" s="965">
        <f>ABS($H$1/K24)</f>
        <v>99.458664727826843</v>
      </c>
      <c r="L25" s="965">
        <f>ABS($H$1/L24)</f>
        <v>241.67656839143481</v>
      </c>
      <c r="M25" s="967" t="s">
        <v>222</v>
      </c>
      <c r="O25" s="995"/>
    </row>
    <row r="26" spans="1:15" ht="20" hidden="1" x14ac:dyDescent="0.2">
      <c r="B26" s="46"/>
      <c r="C26" s="47"/>
      <c r="G26" s="998"/>
      <c r="I26" s="1732" t="s">
        <v>354</v>
      </c>
      <c r="J26" s="1733"/>
      <c r="K26" s="1733"/>
      <c r="L26" s="1733">
        <f>ABS($E$8/BG49)</f>
        <v>75.117370892018783</v>
      </c>
      <c r="M26" s="1734" t="s">
        <v>350</v>
      </c>
      <c r="N26" s="1732" t="s">
        <v>354</v>
      </c>
      <c r="O26" s="995"/>
    </row>
    <row r="27" spans="1:15" ht="19" hidden="1" thickBot="1" x14ac:dyDescent="0.25">
      <c r="B27" s="46"/>
      <c r="C27" s="47"/>
      <c r="G27" s="998"/>
      <c r="O27" s="995"/>
    </row>
    <row r="28" spans="1:15" ht="21" hidden="1" thickBot="1" x14ac:dyDescent="0.25">
      <c r="A28" s="59"/>
      <c r="B28" s="60"/>
      <c r="C28" s="61"/>
      <c r="D28" s="62"/>
      <c r="E28" s="62"/>
      <c r="G28" s="998"/>
      <c r="I28" s="984">
        <v>60</v>
      </c>
      <c r="J28" s="1721" t="s">
        <v>241</v>
      </c>
      <c r="K28" s="1740"/>
      <c r="L28" s="1740"/>
      <c r="M28" s="1740"/>
      <c r="O28" s="995"/>
    </row>
    <row r="29" spans="1:15" ht="20" hidden="1" x14ac:dyDescent="0.2">
      <c r="A29" s="59"/>
      <c r="B29" s="60"/>
      <c r="C29" s="61"/>
      <c r="D29" s="62"/>
      <c r="E29" s="62"/>
      <c r="F29" s="62"/>
      <c r="G29" s="998"/>
      <c r="J29" s="961"/>
      <c r="K29" s="961" t="s">
        <v>215</v>
      </c>
      <c r="L29" s="961" t="s">
        <v>216</v>
      </c>
      <c r="M29" s="964"/>
      <c r="O29" s="995"/>
    </row>
    <row r="30" spans="1:15" ht="20" hidden="1" x14ac:dyDescent="0.2">
      <c r="A30" s="59"/>
      <c r="B30" s="63"/>
      <c r="D30" s="64"/>
      <c r="E30" s="62"/>
      <c r="F30" s="64"/>
      <c r="G30" s="1000"/>
      <c r="H30" s="63"/>
      <c r="J30" s="963"/>
      <c r="K30" s="963">
        <f>((+H8-H23)/H8*BG49)</f>
        <v>180.97970698940929</v>
      </c>
      <c r="L30" s="963">
        <f>(H23/H8*BG49)</f>
        <v>-74.479706989409294</v>
      </c>
      <c r="M30" s="961" t="s">
        <v>223</v>
      </c>
      <c r="O30" s="995"/>
    </row>
    <row r="31" spans="1:15" ht="20" hidden="1" x14ac:dyDescent="0.2">
      <c r="A31" s="59"/>
      <c r="B31" s="21"/>
      <c r="C31" s="65"/>
      <c r="D31" s="66"/>
      <c r="E31" s="21"/>
      <c r="F31" s="62"/>
      <c r="G31" s="1000"/>
      <c r="H31" s="63"/>
      <c r="J31" s="965"/>
      <c r="K31" s="965">
        <f>ABS($H$1/K30)</f>
        <v>99.458664727826843</v>
      </c>
      <c r="L31" s="965">
        <f>ABS($H$1/L30)</f>
        <v>241.67656839143481</v>
      </c>
      <c r="M31" s="967" t="s">
        <v>222</v>
      </c>
      <c r="O31" s="995"/>
    </row>
    <row r="32" spans="1:15" ht="30" hidden="1" x14ac:dyDescent="0.3">
      <c r="A32" s="59"/>
      <c r="B32" s="67"/>
      <c r="D32" s="62"/>
      <c r="E32" s="68"/>
      <c r="F32" s="62"/>
      <c r="G32" s="1000"/>
      <c r="H32" s="63"/>
      <c r="J32" s="1733"/>
      <c r="K32" s="1733"/>
      <c r="L32" s="1733">
        <f>ABS($E$8/BG49*2)</f>
        <v>150.23474178403757</v>
      </c>
      <c r="M32" s="1734" t="s">
        <v>350</v>
      </c>
      <c r="N32" s="1730" t="s">
        <v>352</v>
      </c>
      <c r="O32" s="995"/>
    </row>
    <row r="33" spans="1:57" ht="19" hidden="1" thickBot="1" x14ac:dyDescent="0.25">
      <c r="A33" s="59"/>
      <c r="B33" s="1805"/>
      <c r="C33" s="1806"/>
      <c r="D33" s="1806"/>
      <c r="E33" s="1806"/>
      <c r="F33" s="62"/>
      <c r="G33" s="1000"/>
      <c r="H33" s="63"/>
      <c r="O33" s="995"/>
    </row>
    <row r="34" spans="1:57" ht="21" hidden="1" thickBot="1" x14ac:dyDescent="0.25">
      <c r="A34" s="59"/>
      <c r="D34" s="35"/>
      <c r="E34" s="35"/>
      <c r="G34" s="1000"/>
      <c r="H34" s="63"/>
      <c r="I34" s="984">
        <v>61</v>
      </c>
      <c r="J34" s="1721" t="s">
        <v>255</v>
      </c>
      <c r="K34" s="1740"/>
      <c r="L34" s="1740"/>
      <c r="M34" s="1740"/>
      <c r="O34" s="995"/>
    </row>
    <row r="35" spans="1:57" ht="20" hidden="1" x14ac:dyDescent="0.2">
      <c r="A35" s="59"/>
      <c r="D35" s="35"/>
      <c r="E35" s="35"/>
      <c r="F35" s="62"/>
      <c r="G35" s="1000"/>
      <c r="H35" s="63"/>
      <c r="J35" s="961" t="s">
        <v>217</v>
      </c>
      <c r="K35" s="961" t="s">
        <v>225</v>
      </c>
      <c r="L35" s="961"/>
      <c r="M35" s="964"/>
      <c r="O35" s="995"/>
    </row>
    <row r="36" spans="1:57" ht="20" hidden="1" x14ac:dyDescent="0.2">
      <c r="A36" s="59"/>
      <c r="D36" s="35"/>
      <c r="E36" s="35"/>
      <c r="F36" s="62"/>
      <c r="G36" s="1000"/>
      <c r="H36" s="63"/>
      <c r="J36" s="963">
        <f>+H16/H8*BG49</f>
        <v>-10.720293010590701</v>
      </c>
      <c r="K36" s="963">
        <f>((H8-H16)/H8)*BG49</f>
        <v>117.22029301059071</v>
      </c>
      <c r="L36" s="963"/>
      <c r="M36" s="961" t="s">
        <v>223</v>
      </c>
      <c r="O36" s="995"/>
    </row>
    <row r="37" spans="1:57" ht="20" hidden="1" x14ac:dyDescent="0.2">
      <c r="A37" s="59"/>
      <c r="B37" s="69"/>
      <c r="C37" s="70"/>
      <c r="D37" s="69"/>
      <c r="E37" s="69"/>
      <c r="F37" s="62"/>
      <c r="G37" s="1000"/>
      <c r="H37" s="63"/>
      <c r="J37" s="965">
        <f>ABS($H$1/J36)</f>
        <v>1679.0585837735584</v>
      </c>
      <c r="K37" s="965">
        <f>ABS($H$1/K36)</f>
        <v>153.55702956973263</v>
      </c>
      <c r="L37" s="965"/>
      <c r="M37" s="967" t="s">
        <v>222</v>
      </c>
      <c r="O37" s="995"/>
    </row>
    <row r="38" spans="1:57" ht="24" hidden="1" customHeight="1" x14ac:dyDescent="0.2">
      <c r="A38" s="59"/>
      <c r="B38" s="69"/>
      <c r="C38" s="70"/>
      <c r="D38" s="69"/>
      <c r="E38" s="69"/>
      <c r="F38" s="62"/>
      <c r="G38" s="1000"/>
      <c r="H38" s="63"/>
      <c r="J38" s="1733">
        <f>ABS($E$8/BG49*2)</f>
        <v>150.23474178403757</v>
      </c>
      <c r="K38" s="1733"/>
      <c r="L38" s="1733"/>
      <c r="M38" s="1734" t="s">
        <v>350</v>
      </c>
      <c r="N38" s="1730" t="s">
        <v>352</v>
      </c>
      <c r="O38" s="995"/>
    </row>
    <row r="39" spans="1:57" ht="19" hidden="1" thickBot="1" x14ac:dyDescent="0.25">
      <c r="A39" s="59"/>
      <c r="B39" s="71"/>
      <c r="C39" s="70"/>
      <c r="D39" s="71"/>
      <c r="E39" s="72"/>
      <c r="G39" s="998"/>
      <c r="O39" s="995"/>
    </row>
    <row r="40" spans="1:57" ht="24" hidden="1" thickBot="1" x14ac:dyDescent="0.3">
      <c r="A40" s="59"/>
      <c r="B40" s="69"/>
      <c r="C40" s="70"/>
      <c r="D40" s="69"/>
      <c r="E40" s="22"/>
      <c r="G40" s="998"/>
      <c r="H40" s="1068" t="s">
        <v>262</v>
      </c>
      <c r="I40" s="984">
        <v>62</v>
      </c>
      <c r="J40" s="1721" t="s">
        <v>256</v>
      </c>
      <c r="K40" s="1740"/>
      <c r="L40" s="1740"/>
      <c r="M40" s="1740"/>
      <c r="O40" s="995"/>
    </row>
    <row r="41" spans="1:57" ht="20" hidden="1" x14ac:dyDescent="0.2">
      <c r="A41" s="59"/>
      <c r="B41" s="60"/>
      <c r="C41" s="61"/>
      <c r="D41" s="62"/>
      <c r="E41" s="62"/>
      <c r="F41" s="62"/>
      <c r="G41" s="998"/>
      <c r="H41" s="1001" t="s">
        <v>250</v>
      </c>
      <c r="J41" s="961" t="s">
        <v>217</v>
      </c>
      <c r="K41" s="961" t="s">
        <v>225</v>
      </c>
      <c r="L41" s="972" t="s">
        <v>242</v>
      </c>
      <c r="M41" s="964"/>
      <c r="O41" s="995"/>
    </row>
    <row r="42" spans="1:57" ht="23" hidden="1" x14ac:dyDescent="0.25">
      <c r="A42" s="59"/>
      <c r="B42" s="60"/>
      <c r="C42" s="61"/>
      <c r="D42" s="62"/>
      <c r="E42" s="62"/>
      <c r="F42" s="62"/>
      <c r="G42" s="1002" t="s">
        <v>245</v>
      </c>
      <c r="H42" s="1003">
        <f>SUM(BG123:BQ123)</f>
        <v>10</v>
      </c>
      <c r="J42" s="963">
        <f>+H43/H8*BG49/2</f>
        <v>74.55</v>
      </c>
      <c r="K42" s="963">
        <f>((H8-H43)/H8)*BG49/2</f>
        <v>-21.3</v>
      </c>
      <c r="L42" s="963">
        <f>+BG49/2</f>
        <v>53.25</v>
      </c>
      <c r="M42" s="961" t="s">
        <v>223</v>
      </c>
      <c r="O42" s="995"/>
    </row>
    <row r="43" spans="1:57" ht="20" hidden="1" x14ac:dyDescent="0.2">
      <c r="A43" s="59"/>
      <c r="B43" s="60"/>
      <c r="C43" s="61"/>
      <c r="D43" s="62"/>
      <c r="E43" s="62"/>
      <c r="G43" s="994" t="s">
        <v>243</v>
      </c>
      <c r="H43" s="956">
        <f>$H$5-((H42-1)*$E$2)</f>
        <v>301</v>
      </c>
      <c r="J43" s="965">
        <f>ABS($H$1/J42)</f>
        <v>241.44869215291752</v>
      </c>
      <c r="K43" s="965">
        <f>ABS($H$1/K42)</f>
        <v>845.07042253521126</v>
      </c>
      <c r="L43" s="965">
        <f>ABS($H$1/L42)</f>
        <v>338.02816901408448</v>
      </c>
      <c r="M43" s="967" t="s">
        <v>222</v>
      </c>
      <c r="O43" s="995"/>
    </row>
    <row r="44" spans="1:57" ht="24" hidden="1" customHeight="1" x14ac:dyDescent="0.2">
      <c r="A44" s="59"/>
      <c r="B44" s="60"/>
      <c r="C44" s="61"/>
      <c r="D44" s="62"/>
      <c r="E44" s="62"/>
      <c r="F44" s="62"/>
      <c r="G44" s="1000"/>
      <c r="H44" s="63"/>
      <c r="J44" s="1733"/>
      <c r="K44" s="1735"/>
      <c r="L44" s="1733">
        <f>ABS($E$8/BG49*2)</f>
        <v>150.23474178403757</v>
      </c>
      <c r="M44" s="1734" t="s">
        <v>350</v>
      </c>
      <c r="N44" s="1730" t="s">
        <v>352</v>
      </c>
      <c r="O44" s="995"/>
    </row>
    <row r="45" spans="1:57" ht="21" hidden="1" thickBot="1" x14ac:dyDescent="0.25">
      <c r="A45" s="59"/>
      <c r="D45" s="62"/>
      <c r="E45" s="62"/>
      <c r="G45" s="998"/>
      <c r="H45" s="1069" t="s">
        <v>263</v>
      </c>
      <c r="J45" s="1736"/>
      <c r="K45" s="1736"/>
      <c r="L45" s="1736"/>
      <c r="M45" s="1736"/>
      <c r="O45" s="995"/>
    </row>
    <row r="46" spans="1:57" ht="21" hidden="1" thickBot="1" x14ac:dyDescent="0.25">
      <c r="A46" s="59"/>
      <c r="D46" s="62"/>
      <c r="E46" s="62"/>
      <c r="F46" s="62"/>
      <c r="G46" s="1004"/>
      <c r="H46" s="1005" t="s">
        <v>250</v>
      </c>
      <c r="I46" s="984">
        <v>63</v>
      </c>
      <c r="J46" s="1721" t="s">
        <v>257</v>
      </c>
      <c r="K46" s="1740"/>
      <c r="L46" s="1740"/>
      <c r="M46" s="1740"/>
      <c r="O46" s="995"/>
    </row>
    <row r="47" spans="1:57" ht="24" hidden="1" thickBot="1" x14ac:dyDescent="0.3">
      <c r="A47" s="59"/>
      <c r="D47" s="62"/>
      <c r="E47" s="62"/>
      <c r="F47" s="62"/>
      <c r="G47" s="1002" t="s">
        <v>245</v>
      </c>
      <c r="H47" s="1006">
        <f>SUM(CG123:CQ123)</f>
        <v>0</v>
      </c>
      <c r="J47" s="972" t="s">
        <v>244</v>
      </c>
      <c r="K47" s="961" t="s">
        <v>215</v>
      </c>
      <c r="L47" s="961" t="s">
        <v>216</v>
      </c>
      <c r="M47" s="964"/>
      <c r="O47" s="995"/>
    </row>
    <row r="48" spans="1:57" ht="26" hidden="1" thickBot="1" x14ac:dyDescent="0.3">
      <c r="A48" s="59"/>
      <c r="D48" s="62"/>
      <c r="E48" s="62"/>
      <c r="G48" s="994" t="s">
        <v>243</v>
      </c>
      <c r="H48" s="956">
        <f>($E$2*(H47-1))-$H$4</f>
        <v>-903</v>
      </c>
      <c r="J48" s="963">
        <f>+BG49/2</f>
        <v>53.25</v>
      </c>
      <c r="K48" s="963">
        <f>((H8-H48)/H8)*BG49/2</f>
        <v>276.90000000000003</v>
      </c>
      <c r="L48" s="963">
        <f>+H48/H8*BG49/2</f>
        <v>-223.65</v>
      </c>
      <c r="M48" s="961" t="s">
        <v>223</v>
      </c>
      <c r="O48" s="995"/>
      <c r="BE48" s="1035"/>
    </row>
    <row r="49" spans="1:99" s="74" customFormat="1" ht="26.25" customHeight="1" thickBot="1" x14ac:dyDescent="0.25">
      <c r="A49" s="64"/>
      <c r="B49" s="73"/>
      <c r="C49" s="73"/>
      <c r="D49" s="63"/>
      <c r="E49" s="63"/>
      <c r="F49" s="37"/>
      <c r="G49" s="998"/>
      <c r="H49"/>
      <c r="I49"/>
      <c r="J49" s="965">
        <f>ABS($H$1/J48)</f>
        <v>338.02816901408448</v>
      </c>
      <c r="K49" s="965">
        <f>ABS($H$1/K48)</f>
        <v>65.005417118093163</v>
      </c>
      <c r="L49" s="965">
        <f>ABS($H$1/L48)</f>
        <v>80.482897384305829</v>
      </c>
      <c r="M49" s="967" t="s">
        <v>222</v>
      </c>
      <c r="O49" s="1010"/>
      <c r="AY49"/>
      <c r="AZ49"/>
      <c r="BA49"/>
      <c r="BB49"/>
      <c r="BC49"/>
      <c r="BD49"/>
      <c r="BF49" s="75" t="s">
        <v>25</v>
      </c>
      <c r="BG49" s="1814">
        <f>+C12</f>
        <v>106.5</v>
      </c>
      <c r="BH49" s="1814"/>
      <c r="BI49" s="76" t="s">
        <v>17</v>
      </c>
      <c r="BJ49" s="76"/>
      <c r="BK49" s="77" t="s">
        <v>127</v>
      </c>
      <c r="BL49" s="78"/>
      <c r="BM49" s="78"/>
      <c r="BN49" s="78"/>
      <c r="BO49" s="78"/>
      <c r="BP49" s="78"/>
      <c r="BQ49" s="78"/>
      <c r="BR49" s="78"/>
      <c r="BS49" s="78"/>
      <c r="BT49" s="78"/>
      <c r="BU49" s="78"/>
      <c r="BV49" s="78"/>
      <c r="BW49" s="78"/>
      <c r="BX49" s="78"/>
      <c r="BY49" s="78"/>
      <c r="BZ49" s="78"/>
      <c r="CA49" s="78"/>
      <c r="CB49" s="78"/>
      <c r="CC49" s="78"/>
      <c r="CD49" s="78"/>
      <c r="CE49" s="78"/>
      <c r="CF49" s="78"/>
      <c r="CG49" s="78"/>
      <c r="CH49" s="78"/>
      <c r="CI49" s="78"/>
      <c r="CJ49" s="78"/>
      <c r="CK49" s="78"/>
      <c r="CL49" s="78"/>
      <c r="CM49" s="78"/>
      <c r="CN49" s="78"/>
      <c r="CO49" s="78"/>
      <c r="CP49" s="78"/>
      <c r="CQ49" s="78"/>
      <c r="CR49" s="78"/>
      <c r="CS49" s="78"/>
      <c r="CT49" s="78"/>
    </row>
    <row r="50" spans="1:99" ht="39.75" customHeight="1" thickBot="1" x14ac:dyDescent="0.3">
      <c r="A50" s="59"/>
      <c r="D50" s="62"/>
      <c r="E50" s="62"/>
      <c r="G50" s="998"/>
      <c r="J50" s="1733">
        <f>ABS($E$8/BG49*2)</f>
        <v>150.23474178403757</v>
      </c>
      <c r="K50" s="1733"/>
      <c r="L50" s="1733"/>
      <c r="M50" s="1734" t="s">
        <v>350</v>
      </c>
      <c r="N50" s="1730" t="s">
        <v>352</v>
      </c>
      <c r="O50" s="995"/>
      <c r="AT50" s="79"/>
      <c r="AU50" s="80"/>
      <c r="AV50" s="80"/>
      <c r="AW50" s="80"/>
      <c r="AX50" s="80"/>
      <c r="BC50" s="953" t="b">
        <f>AND(BG51&gt;0,CE51&gt;0)</f>
        <v>1</v>
      </c>
      <c r="BD50" s="952" t="str">
        <f>IF(BC50=TRUE,"","negative force at the motor")</f>
        <v/>
      </c>
      <c r="BE50" s="1095" t="s">
        <v>128</v>
      </c>
      <c r="BF50" s="740" t="s">
        <v>27</v>
      </c>
      <c r="BG50" s="776" t="s">
        <v>28</v>
      </c>
      <c r="BH50" s="777"/>
      <c r="BI50" s="778"/>
      <c r="BJ50" s="778"/>
      <c r="BK50" s="778"/>
      <c r="BL50" s="778"/>
      <c r="BM50" s="778"/>
      <c r="BN50" s="778"/>
      <c r="BO50" s="778"/>
      <c r="BP50" s="778"/>
      <c r="BQ50" s="778"/>
      <c r="BR50" s="778"/>
      <c r="BS50" s="778"/>
      <c r="BT50" s="778"/>
      <c r="BU50" s="778"/>
      <c r="BV50" s="778"/>
      <c r="BW50" s="778"/>
      <c r="BX50" s="778"/>
      <c r="BY50" s="779"/>
      <c r="BZ50" s="780"/>
      <c r="CA50" s="781"/>
      <c r="CB50" s="781"/>
      <c r="CC50" s="781"/>
      <c r="CD50" s="781"/>
      <c r="CE50" s="777"/>
      <c r="CF50" s="782" t="s">
        <v>29</v>
      </c>
      <c r="CG50" s="1801"/>
      <c r="CH50" s="1801"/>
      <c r="CI50" s="1801"/>
      <c r="CJ50" s="1801"/>
      <c r="CK50" s="1801"/>
      <c r="CL50" s="1801"/>
      <c r="CM50" s="1801"/>
      <c r="CN50" s="1801"/>
      <c r="CO50" s="1801"/>
      <c r="CP50" s="1801"/>
      <c r="CQ50" s="1802"/>
      <c r="CR50" s="78"/>
      <c r="CS50" s="78"/>
      <c r="CT50" s="78"/>
    </row>
    <row r="51" spans="1:99" ht="49.5" customHeight="1" thickBot="1" x14ac:dyDescent="0.3">
      <c r="A51" s="59"/>
      <c r="D51" s="62"/>
      <c r="E51" s="62"/>
      <c r="G51" s="998"/>
      <c r="O51" s="995"/>
      <c r="AS51" s="1815"/>
      <c r="AT51" s="1815"/>
      <c r="AU51" s="80"/>
      <c r="AV51" s="80"/>
      <c r="AW51" s="80"/>
      <c r="AX51" s="80"/>
      <c r="BA51" s="968">
        <v>1</v>
      </c>
      <c r="BB51" s="966"/>
      <c r="BC51" s="966" t="b">
        <f>AND(BE51&gt;=10,$AO$138&gt;=10,$AP$138&gt;=10,MIN(J7:L8)&gt;=10)</f>
        <v>1</v>
      </c>
      <c r="BD51" s="84" t="str">
        <f>IF(BC51=TRUE,"O K","OVERLOAD")</f>
        <v>O K</v>
      </c>
      <c r="BE51" s="982">
        <f>+MIN(J7:L8)</f>
        <v>113.7914390586687</v>
      </c>
      <c r="BF51" s="741" t="s">
        <v>180</v>
      </c>
      <c r="BG51" s="1809">
        <f>+((D4-D5)/D4)*C12</f>
        <v>36.19594139788186</v>
      </c>
      <c r="BH51" s="1810"/>
      <c r="BI51" s="783"/>
      <c r="BJ51" s="783"/>
      <c r="BK51" s="783"/>
      <c r="BL51" s="784"/>
      <c r="BM51" s="784"/>
      <c r="BN51" s="784"/>
      <c r="BO51" s="785"/>
      <c r="BP51" s="785"/>
      <c r="BQ51" s="785"/>
      <c r="BR51" s="785"/>
      <c r="BS51" s="785"/>
      <c r="BT51" s="785"/>
      <c r="BU51" s="785"/>
      <c r="BV51" s="785"/>
      <c r="BW51" s="785"/>
      <c r="BX51" s="785"/>
      <c r="BY51" s="786"/>
      <c r="BZ51" s="783"/>
      <c r="CA51" s="783"/>
      <c r="CB51" s="783"/>
      <c r="CC51" s="784"/>
      <c r="CD51" s="784"/>
      <c r="CE51" s="1799">
        <f>+(D5/D4)*C12</f>
        <v>70.304058602118147</v>
      </c>
      <c r="CF51" s="1800"/>
      <c r="CG51" s="1803"/>
      <c r="CH51" s="1803"/>
      <c r="CI51" s="1803"/>
      <c r="CJ51" s="1803"/>
      <c r="CK51" s="1803"/>
      <c r="CL51" s="1803"/>
      <c r="CM51" s="1803"/>
      <c r="CN51" s="1803"/>
      <c r="CO51" s="1803"/>
      <c r="CP51" s="1803"/>
      <c r="CQ51" s="1804"/>
      <c r="CR51" s="78"/>
      <c r="CS51" s="78"/>
      <c r="CT51" s="78"/>
      <c r="CU51" s="78"/>
    </row>
    <row r="52" spans="1:99" ht="15.75" customHeight="1" thickBot="1" x14ac:dyDescent="0.3">
      <c r="G52" s="998"/>
      <c r="I52" s="984">
        <v>64</v>
      </c>
      <c r="J52" s="1721" t="s">
        <v>258</v>
      </c>
      <c r="K52" s="1740"/>
      <c r="L52" s="1740"/>
      <c r="M52" s="1740"/>
      <c r="O52" s="995"/>
      <c r="AS52" s="85"/>
      <c r="AT52" s="85"/>
      <c r="AU52" s="80"/>
      <c r="AV52" s="80"/>
      <c r="AW52" s="80"/>
      <c r="AX52" s="80"/>
      <c r="BC52" s="953"/>
      <c r="BD52" s="86"/>
      <c r="BE52" s="85"/>
      <c r="BF52" s="87"/>
      <c r="BG52" s="88"/>
      <c r="BH52" s="88"/>
      <c r="BI52" s="87"/>
      <c r="BJ52" s="87"/>
      <c r="BK52" s="87"/>
      <c r="BL52" s="87"/>
      <c r="BM52" s="87"/>
      <c r="BN52" s="87"/>
      <c r="BO52" s="87"/>
      <c r="BP52" s="87"/>
      <c r="BQ52" s="87"/>
      <c r="BR52" s="87"/>
      <c r="BS52" s="87"/>
      <c r="BT52" s="87"/>
      <c r="BU52" s="87"/>
      <c r="BV52" s="87"/>
      <c r="BW52" s="87"/>
      <c r="BX52" s="87"/>
      <c r="BZ52" s="76"/>
      <c r="CA52" s="76"/>
      <c r="CB52" s="88"/>
      <c r="CC52" s="89"/>
      <c r="CD52" s="89"/>
      <c r="CE52" s="89"/>
      <c r="CF52" s="89"/>
      <c r="CG52" s="89"/>
      <c r="CH52" s="89"/>
      <c r="CI52" s="89"/>
      <c r="CJ52" s="89"/>
      <c r="CK52" s="89"/>
      <c r="CL52" s="89"/>
      <c r="CM52" s="89"/>
      <c r="CN52" s="89"/>
      <c r="CO52" s="89"/>
      <c r="CP52" s="89"/>
      <c r="CQ52" s="89"/>
      <c r="CR52" s="89"/>
      <c r="CS52" s="78"/>
      <c r="CT52" s="78"/>
      <c r="CU52" s="78"/>
    </row>
    <row r="53" spans="1:99" ht="49.5" customHeight="1" thickBot="1" x14ac:dyDescent="0.3">
      <c r="F53" s="62"/>
      <c r="G53" s="1002" t="s">
        <v>245</v>
      </c>
      <c r="H53" s="1007" t="s">
        <v>252</v>
      </c>
      <c r="J53" s="972" t="s">
        <v>244</v>
      </c>
      <c r="K53" s="961"/>
      <c r="L53" s="972" t="s">
        <v>242</v>
      </c>
      <c r="M53" s="964"/>
      <c r="O53" s="995"/>
      <c r="AU53" s="80"/>
      <c r="AV53" s="80"/>
      <c r="AW53" s="80"/>
      <c r="AX53" s="80"/>
      <c r="BC53" s="953" t="b">
        <f>AND(BR54&gt;0,CP54&gt;0)</f>
        <v>1</v>
      </c>
      <c r="BD53" s="952" t="str">
        <f>IF(BC53=TRUE,"","negative force at the motor")</f>
        <v/>
      </c>
      <c r="BE53" s="1095" t="s">
        <v>128</v>
      </c>
      <c r="BF53" s="742" t="s">
        <v>27</v>
      </c>
      <c r="BG53" s="1811"/>
      <c r="BH53" s="1801"/>
      <c r="BI53" s="1801"/>
      <c r="BJ53" s="1801"/>
      <c r="BK53" s="1801"/>
      <c r="BL53" s="1801"/>
      <c r="BM53" s="1801"/>
      <c r="BN53" s="1801"/>
      <c r="BO53" s="1801"/>
      <c r="BP53" s="1801"/>
      <c r="BQ53" s="1801"/>
      <c r="BR53" s="772" t="s">
        <v>28</v>
      </c>
      <c r="BS53" s="774"/>
      <c r="BT53" s="761"/>
      <c r="BU53" s="761"/>
      <c r="BV53" s="761"/>
      <c r="BW53" s="761"/>
      <c r="BX53" s="761"/>
      <c r="BY53" s="761"/>
      <c r="BZ53" s="761"/>
      <c r="CA53" s="761"/>
      <c r="CB53" s="761"/>
      <c r="CC53" s="761"/>
      <c r="CD53" s="762"/>
      <c r="CE53" s="763"/>
      <c r="CF53" s="763"/>
      <c r="CG53" s="763"/>
      <c r="CH53" s="763"/>
      <c r="CI53" s="764"/>
      <c r="CJ53" s="764"/>
      <c r="CK53" s="762"/>
      <c r="CL53" s="762"/>
      <c r="CM53" s="762"/>
      <c r="CN53" s="762"/>
      <c r="CO53" s="762"/>
      <c r="CP53" s="765"/>
      <c r="CQ53" s="766" t="s">
        <v>29</v>
      </c>
      <c r="CR53" s="90"/>
      <c r="CS53" s="78"/>
      <c r="CT53" s="78"/>
      <c r="CU53" s="78"/>
    </row>
    <row r="54" spans="1:99" ht="49.5" customHeight="1" thickBot="1" x14ac:dyDescent="0.3">
      <c r="G54" s="994" t="s">
        <v>243</v>
      </c>
      <c r="H54" s="956"/>
      <c r="J54" s="963">
        <f>+((H6-D3)/H6)*BG49</f>
        <v>64.635609639074758</v>
      </c>
      <c r="K54" s="963"/>
      <c r="L54" s="963">
        <f>+(D3/H6)*BG49</f>
        <v>41.864390360925256</v>
      </c>
      <c r="M54" s="961" t="s">
        <v>223</v>
      </c>
      <c r="O54" s="995"/>
      <c r="BA54" s="968">
        <v>2</v>
      </c>
      <c r="BB54" s="966"/>
      <c r="BC54" s="966" t="b">
        <f>AND(BE54&gt;=10,$AO$138&gt;=10,$AP$138&gt;=10,MIN(J13:L14)&gt;=10)</f>
        <v>1</v>
      </c>
      <c r="BD54" s="84" t="str">
        <f>IF(BC54=TRUE,"O K","OVERLOAD")</f>
        <v>O K</v>
      </c>
      <c r="BE54" s="982">
        <f>+MIN(J13:L14)</f>
        <v>96.32062276768103</v>
      </c>
      <c r="BF54" s="743" t="s">
        <v>126</v>
      </c>
      <c r="BG54" s="1812"/>
      <c r="BH54" s="1803"/>
      <c r="BI54" s="1803"/>
      <c r="BJ54" s="1803"/>
      <c r="BK54" s="1803"/>
      <c r="BL54" s="1803"/>
      <c r="BM54" s="1803"/>
      <c r="BN54" s="1803"/>
      <c r="BO54" s="1803"/>
      <c r="BP54" s="1803"/>
      <c r="BQ54" s="1803"/>
      <c r="BR54" s="773">
        <f>+((D4-D3)/D4)*C12</f>
        <v>83.055941397881853</v>
      </c>
      <c r="BS54" s="775"/>
      <c r="BT54" s="767"/>
      <c r="BU54" s="767"/>
      <c r="BV54" s="767"/>
      <c r="BW54" s="767"/>
      <c r="BX54" s="767"/>
      <c r="BY54" s="767"/>
      <c r="BZ54" s="767"/>
      <c r="CA54" s="767"/>
      <c r="CB54" s="767"/>
      <c r="CC54" s="767"/>
      <c r="CD54" s="768"/>
      <c r="CE54" s="769"/>
      <c r="CF54" s="769"/>
      <c r="CG54" s="769"/>
      <c r="CH54" s="769"/>
      <c r="CI54" s="770"/>
      <c r="CJ54" s="770"/>
      <c r="CK54" s="771"/>
      <c r="CL54" s="771"/>
      <c r="CM54" s="771"/>
      <c r="CN54" s="771"/>
      <c r="CO54" s="771"/>
      <c r="CP54" s="1797">
        <f>+(D3/D4)*C12</f>
        <v>23.444058602118144</v>
      </c>
      <c r="CQ54" s="1798"/>
      <c r="CR54" s="92"/>
      <c r="CS54" s="78"/>
      <c r="CT54" s="78"/>
      <c r="CU54" s="78"/>
    </row>
    <row r="55" spans="1:99" ht="18" customHeight="1" thickBot="1" x14ac:dyDescent="0.3">
      <c r="F55" s="62"/>
      <c r="G55" s="1000"/>
      <c r="H55" s="63"/>
      <c r="J55" s="965">
        <f>ABS($H$1/J54)</f>
        <v>278.48426123791512</v>
      </c>
      <c r="K55" s="965"/>
      <c r="L55" s="965">
        <f>ABS($H$1/L54)</f>
        <v>429.9596827952513</v>
      </c>
      <c r="M55" s="967" t="s">
        <v>222</v>
      </c>
      <c r="O55" s="995"/>
      <c r="BC55" s="953"/>
      <c r="BD55" s="86"/>
      <c r="BE55" s="18"/>
      <c r="BF55" s="93"/>
      <c r="BG55" s="93"/>
      <c r="BH55" s="93"/>
      <c r="BI55" s="93"/>
      <c r="BJ55" s="93"/>
      <c r="BK55" s="93"/>
      <c r="BL55" s="93"/>
      <c r="BM55" s="93"/>
      <c r="BN55" s="93"/>
      <c r="BO55" s="94"/>
      <c r="BP55" s="94"/>
      <c r="BQ55" s="89"/>
      <c r="BR55" s="89"/>
      <c r="BS55" s="89"/>
      <c r="BT55" s="89"/>
      <c r="BU55" s="89"/>
      <c r="BV55" s="89"/>
      <c r="BW55" s="89"/>
      <c r="BX55" s="89"/>
      <c r="BY55" s="89"/>
      <c r="BZ55" s="89"/>
      <c r="CA55" s="89"/>
      <c r="CB55" s="89"/>
      <c r="CC55" s="89"/>
      <c r="CD55" s="37"/>
      <c r="CE55" s="95"/>
      <c r="CF55" s="95"/>
      <c r="CG55" s="95"/>
      <c r="CH55" s="95"/>
      <c r="CI55" s="92"/>
      <c r="CJ55" s="92"/>
      <c r="CK55" s="92"/>
      <c r="CL55" s="92"/>
      <c r="CM55" s="92"/>
      <c r="CN55" s="92"/>
      <c r="CO55" s="92"/>
      <c r="CP55" s="92"/>
      <c r="CQ55" s="92"/>
      <c r="CR55" s="92"/>
      <c r="CS55" s="78"/>
      <c r="CT55" s="78"/>
      <c r="CU55" s="78"/>
    </row>
    <row r="56" spans="1:99" ht="49.5" customHeight="1" thickBot="1" x14ac:dyDescent="0.3">
      <c r="F56" s="63"/>
      <c r="G56" s="1000"/>
      <c r="H56" s="63"/>
      <c r="I56" s="74"/>
      <c r="J56" s="1733">
        <f>ABS($E$8/BG49*2)</f>
        <v>150.23474178403757</v>
      </c>
      <c r="K56" s="1733"/>
      <c r="L56" s="1733"/>
      <c r="M56" s="1734" t="s">
        <v>350</v>
      </c>
      <c r="N56" s="1730" t="s">
        <v>352</v>
      </c>
      <c r="O56" s="995"/>
      <c r="BC56" s="953" t="b">
        <f>AND(BR57&gt;0,CG57&gt;0)</f>
        <v>1</v>
      </c>
      <c r="BD56" s="952" t="str">
        <f>IF(BC56=TRUE,"","negative force at the motor")</f>
        <v/>
      </c>
      <c r="BE56" s="1095" t="s">
        <v>128</v>
      </c>
      <c r="BF56" s="744" t="s">
        <v>27</v>
      </c>
      <c r="BG56" s="1811"/>
      <c r="BH56" s="1801"/>
      <c r="BI56" s="1801"/>
      <c r="BJ56" s="1801"/>
      <c r="BK56" s="1801"/>
      <c r="BL56" s="1801"/>
      <c r="BM56" s="1801"/>
      <c r="BN56" s="1801"/>
      <c r="BO56" s="1801"/>
      <c r="BP56" s="1801"/>
      <c r="BQ56" s="1801"/>
      <c r="BR56" s="894" t="s">
        <v>28</v>
      </c>
      <c r="BS56" s="895"/>
      <c r="BT56" s="905"/>
      <c r="BU56" s="905"/>
      <c r="BV56" s="905"/>
      <c r="BW56" s="905"/>
      <c r="BX56" s="905"/>
      <c r="BY56" s="906"/>
      <c r="BZ56" s="907"/>
      <c r="CA56" s="908"/>
      <c r="CB56" s="908"/>
      <c r="CC56" s="907"/>
      <c r="CD56" s="907"/>
      <c r="CE56" s="907"/>
      <c r="CF56" s="907"/>
      <c r="CG56" s="895"/>
      <c r="CH56" s="898" t="s">
        <v>29</v>
      </c>
      <c r="CI56" s="1801"/>
      <c r="CJ56" s="1801"/>
      <c r="CK56" s="1801"/>
      <c r="CL56" s="1801"/>
      <c r="CM56" s="1801"/>
      <c r="CN56" s="1801"/>
      <c r="CO56" s="1801"/>
      <c r="CP56" s="1801"/>
      <c r="CQ56" s="1802"/>
      <c r="CR56" s="89"/>
      <c r="CS56" s="78"/>
      <c r="CT56" s="78"/>
      <c r="CU56" s="78"/>
    </row>
    <row r="57" spans="1:99" ht="49.5" customHeight="1" thickBot="1" x14ac:dyDescent="0.3">
      <c r="G57" s="998"/>
      <c r="O57" s="995"/>
      <c r="BA57" s="968">
        <v>3</v>
      </c>
      <c r="BB57" s="1072"/>
      <c r="BC57" s="953" t="b">
        <f>AND(BE57&gt;=10,$AO$138&gt;=10,$AP$138&gt;=10)</f>
        <v>1</v>
      </c>
      <c r="BD57" s="84" t="str">
        <f>IF(BC57=TRUE,"O K","OVERLOAD")</f>
        <v>O K</v>
      </c>
      <c r="BE57" s="983">
        <f>+$E$8/(MAX(CG57,BR57))</f>
        <v>114.50055259806133</v>
      </c>
      <c r="BF57" s="745" t="s">
        <v>123</v>
      </c>
      <c r="BG57" s="1812"/>
      <c r="BH57" s="1803"/>
      <c r="BI57" s="1803"/>
      <c r="BJ57" s="1803"/>
      <c r="BK57" s="1803"/>
      <c r="BL57" s="1803"/>
      <c r="BM57" s="1803"/>
      <c r="BN57" s="1803"/>
      <c r="BO57" s="1803"/>
      <c r="BP57" s="1803"/>
      <c r="BQ57" s="1803"/>
      <c r="BR57" s="1807">
        <f>+((D2-D3)/D2)*C12</f>
        <v>69.868658434190408</v>
      </c>
      <c r="BS57" s="1808"/>
      <c r="BT57" s="909"/>
      <c r="BU57" s="909"/>
      <c r="BV57" s="909"/>
      <c r="BW57" s="909"/>
      <c r="BX57" s="909"/>
      <c r="BY57" s="910"/>
      <c r="BZ57" s="911"/>
      <c r="CA57" s="912"/>
      <c r="CB57" s="912"/>
      <c r="CC57" s="913"/>
      <c r="CD57" s="913"/>
      <c r="CE57" s="913"/>
      <c r="CF57" s="913"/>
      <c r="CG57" s="1795">
        <f>+(D3/D2)*C12</f>
        <v>36.631341565809599</v>
      </c>
      <c r="CH57" s="1796"/>
      <c r="CI57" s="1803"/>
      <c r="CJ57" s="1803"/>
      <c r="CK57" s="1803"/>
      <c r="CL57" s="1803"/>
      <c r="CM57" s="1803"/>
      <c r="CN57" s="1803"/>
      <c r="CO57" s="1803"/>
      <c r="CP57" s="1803"/>
      <c r="CQ57" s="1804"/>
      <c r="CR57" s="89"/>
      <c r="CS57" s="78"/>
      <c r="CT57" s="78"/>
      <c r="CU57" s="78"/>
    </row>
    <row r="58" spans="1:99" ht="23" hidden="1" x14ac:dyDescent="0.25">
      <c r="G58" s="998"/>
      <c r="O58" s="995"/>
      <c r="BC58" s="953"/>
      <c r="BD58" s="86"/>
      <c r="BE58" s="18"/>
      <c r="BF58" s="93"/>
      <c r="BG58" s="93"/>
      <c r="BH58" s="93"/>
      <c r="BI58" s="93"/>
      <c r="BJ58" s="93"/>
      <c r="BK58" s="93"/>
      <c r="BL58" s="93"/>
      <c r="BM58" s="93"/>
      <c r="BN58" s="93"/>
      <c r="BO58" s="94"/>
      <c r="BP58" s="94"/>
      <c r="BQ58" s="89"/>
      <c r="BR58" s="89"/>
      <c r="BS58" s="89"/>
      <c r="BT58" s="89"/>
      <c r="BU58" s="89"/>
      <c r="BV58" s="89"/>
      <c r="BW58" s="89"/>
      <c r="BX58" s="89"/>
      <c r="BY58" s="89"/>
      <c r="BZ58" s="89"/>
      <c r="CA58" s="93"/>
      <c r="CB58" s="89"/>
      <c r="CC58" s="89"/>
      <c r="CD58" s="37"/>
      <c r="CE58" s="95"/>
      <c r="CF58" s="95"/>
      <c r="CG58" s="95"/>
      <c r="CH58" s="95"/>
      <c r="CI58" s="92"/>
      <c r="CJ58" s="92"/>
      <c r="CK58" s="92"/>
      <c r="CL58" s="92"/>
      <c r="CM58" s="92"/>
      <c r="CN58" s="92"/>
      <c r="CO58" s="92"/>
      <c r="CP58" s="92"/>
      <c r="CQ58" s="92"/>
      <c r="CR58" s="92"/>
      <c r="CS58" s="78"/>
      <c r="CT58" s="78"/>
      <c r="CU58" s="78"/>
    </row>
    <row r="59" spans="1:99" ht="12.75" customHeight="1" thickBot="1" x14ac:dyDescent="0.3">
      <c r="G59" s="998"/>
      <c r="O59" s="995"/>
      <c r="U59" s="126"/>
      <c r="V59" s="126"/>
      <c r="W59" s="126"/>
      <c r="X59" s="126"/>
      <c r="Y59" s="126"/>
      <c r="Z59" s="126"/>
      <c r="AA59" s="126"/>
      <c r="AB59" s="126"/>
      <c r="AC59" s="126"/>
      <c r="AD59" s="126"/>
      <c r="AE59" s="126"/>
      <c r="AF59" s="126"/>
      <c r="AG59" s="126"/>
      <c r="AH59" s="126"/>
      <c r="AI59" s="126"/>
      <c r="AJ59" s="126"/>
      <c r="AK59" s="126"/>
      <c r="AL59" s="126"/>
      <c r="AM59" s="126"/>
      <c r="AN59" s="126"/>
      <c r="AO59" s="126"/>
      <c r="AP59" s="126"/>
      <c r="AR59" s="143"/>
      <c r="AS59" s="144"/>
      <c r="AT59" s="144"/>
      <c r="AU59" s="136"/>
      <c r="AV59" s="136"/>
      <c r="AW59" s="136"/>
      <c r="AX59" s="136"/>
      <c r="BC59" s="953"/>
      <c r="BD59" s="86"/>
    </row>
    <row r="60" spans="1:99" ht="23" hidden="1" x14ac:dyDescent="0.25">
      <c r="G60" s="998"/>
      <c r="O60" s="995"/>
      <c r="U60" s="126"/>
      <c r="V60" s="126"/>
      <c r="W60" s="126"/>
      <c r="X60" s="126"/>
      <c r="Y60" s="126"/>
      <c r="Z60" s="126"/>
      <c r="AA60" s="126"/>
      <c r="AB60" s="126"/>
      <c r="AC60" s="126"/>
      <c r="AD60" s="126"/>
      <c r="AE60" s="126"/>
      <c r="AF60" s="126"/>
      <c r="AG60" s="126"/>
      <c r="AH60" s="126"/>
      <c r="AI60" s="126"/>
      <c r="AJ60" s="126"/>
      <c r="AK60" s="126"/>
      <c r="AL60" s="126"/>
      <c r="AM60" s="126"/>
      <c r="AN60" s="126"/>
      <c r="AO60" s="126"/>
      <c r="AP60" s="126"/>
      <c r="AR60" s="143"/>
      <c r="AS60" s="144"/>
      <c r="AT60" s="144"/>
      <c r="AU60" s="136"/>
      <c r="AV60" s="136"/>
      <c r="AW60" s="136"/>
      <c r="AX60" s="136"/>
      <c r="BC60" s="953"/>
      <c r="BD60" s="86"/>
    </row>
    <row r="61" spans="1:99" ht="23" hidden="1" x14ac:dyDescent="0.25">
      <c r="G61" s="998"/>
      <c r="O61" s="995"/>
      <c r="U61" s="126"/>
      <c r="V61" s="126"/>
      <c r="W61" s="126"/>
      <c r="X61" s="126"/>
      <c r="Y61" s="126"/>
      <c r="Z61" s="126"/>
      <c r="AA61" s="126"/>
      <c r="AB61" s="126"/>
      <c r="AC61" s="126"/>
      <c r="AD61" s="126"/>
      <c r="AE61" s="126"/>
      <c r="AF61" s="126"/>
      <c r="AG61" s="126"/>
      <c r="AH61" s="126"/>
      <c r="AI61" s="126"/>
      <c r="AJ61" s="126"/>
      <c r="AK61" s="126"/>
      <c r="AL61" s="126"/>
      <c r="AM61" s="126"/>
      <c r="AN61" s="126"/>
      <c r="AO61" s="126"/>
      <c r="AP61" s="126"/>
      <c r="AR61" s="143"/>
      <c r="AS61" s="144"/>
      <c r="AT61" s="144"/>
      <c r="AU61" s="136"/>
      <c r="AV61" s="136"/>
      <c r="AW61" s="136"/>
      <c r="AX61" s="136"/>
      <c r="BC61" s="953"/>
      <c r="BD61" s="86"/>
      <c r="BE61" s="17"/>
      <c r="BF61" s="177"/>
      <c r="BG61" s="178"/>
      <c r="BH61" s="178"/>
      <c r="BI61" s="178"/>
      <c r="BJ61" s="178"/>
      <c r="BK61" s="178"/>
      <c r="BL61" s="178"/>
      <c r="BM61" s="178"/>
      <c r="BN61" s="178"/>
      <c r="BO61" s="179"/>
      <c r="BP61" s="179"/>
      <c r="BQ61" s="180"/>
      <c r="BR61" s="180"/>
      <c r="BS61" s="180"/>
      <c r="BT61" s="180"/>
      <c r="BU61" s="180"/>
      <c r="BV61" s="180"/>
      <c r="BW61" s="180"/>
      <c r="BX61" s="180"/>
      <c r="BY61" s="37"/>
      <c r="BZ61" s="89"/>
      <c r="CA61" s="181"/>
      <c r="CB61" s="181"/>
      <c r="CC61" s="89"/>
      <c r="CD61" s="89"/>
      <c r="CE61" s="89"/>
      <c r="CF61" s="89"/>
      <c r="CG61" s="89"/>
      <c r="CH61" s="89"/>
      <c r="CI61" s="89"/>
      <c r="CJ61" s="89"/>
      <c r="CK61" s="89"/>
      <c r="CL61" s="89"/>
      <c r="CM61" s="178"/>
      <c r="CN61" s="178"/>
      <c r="CO61" s="178"/>
      <c r="CP61" s="178"/>
      <c r="CQ61" s="178"/>
      <c r="CR61" s="178"/>
      <c r="CS61" s="178"/>
      <c r="CT61" s="178"/>
      <c r="CU61" s="178"/>
    </row>
    <row r="62" spans="1:99" ht="24" hidden="1" thickBot="1" x14ac:dyDescent="0.3">
      <c r="G62" s="998"/>
      <c r="O62" s="995"/>
      <c r="U62" s="126"/>
      <c r="V62" s="126"/>
      <c r="W62" s="126"/>
      <c r="X62" s="126"/>
      <c r="Y62" s="126"/>
      <c r="Z62" s="126"/>
      <c r="AA62" s="126"/>
      <c r="AB62" s="126"/>
      <c r="AC62" s="126"/>
      <c r="AD62" s="126"/>
      <c r="AE62" s="126"/>
      <c r="AF62" s="126"/>
      <c r="AG62" s="126"/>
      <c r="AH62" s="126"/>
      <c r="AI62" s="126"/>
      <c r="AJ62" s="126"/>
      <c r="AK62" s="126"/>
      <c r="AL62" s="126"/>
      <c r="AM62" s="126"/>
      <c r="AN62" s="126"/>
      <c r="AO62" s="126"/>
      <c r="AP62" s="126"/>
      <c r="AR62" s="143"/>
      <c r="AS62" s="144"/>
      <c r="AT62" s="144"/>
      <c r="AU62" s="136"/>
      <c r="AV62" s="136"/>
      <c r="AW62" s="136"/>
      <c r="AX62" s="136"/>
      <c r="BC62" s="953"/>
      <c r="BD62" s="86"/>
      <c r="BE62" s="17"/>
      <c r="BF62" s="177"/>
      <c r="BG62" s="178"/>
      <c r="BH62" s="178"/>
      <c r="BI62" s="178"/>
      <c r="BJ62" s="178"/>
      <c r="BK62" s="178"/>
      <c r="BL62" s="178"/>
      <c r="BM62" s="178"/>
      <c r="BN62" s="178"/>
      <c r="BO62" s="179"/>
      <c r="BP62" s="179"/>
      <c r="BQ62" s="180"/>
      <c r="BR62" s="180"/>
      <c r="BS62" s="180"/>
      <c r="BT62" s="180"/>
      <c r="BU62" s="180"/>
      <c r="BV62" s="180"/>
      <c r="BW62" s="180"/>
      <c r="BX62" s="180"/>
      <c r="BY62" s="37"/>
      <c r="BZ62" s="89"/>
      <c r="CA62" s="181"/>
      <c r="CB62" s="181"/>
      <c r="CC62" s="89"/>
      <c r="CD62" s="89"/>
      <c r="CE62" s="89"/>
      <c r="CF62" s="89"/>
      <c r="CG62" s="89"/>
      <c r="CH62" s="89"/>
      <c r="CI62" s="89"/>
      <c r="CJ62" s="89"/>
      <c r="CK62" s="89"/>
      <c r="CL62" s="89"/>
      <c r="CM62" s="178"/>
      <c r="CN62" s="178"/>
      <c r="CO62" s="178"/>
      <c r="CP62" s="178"/>
      <c r="CQ62" s="178"/>
      <c r="CR62" s="178"/>
      <c r="CS62" s="178"/>
      <c r="CT62" s="178"/>
      <c r="CU62" s="178"/>
    </row>
    <row r="63" spans="1:99" ht="24" hidden="1" thickBot="1" x14ac:dyDescent="0.3">
      <c r="G63" s="998"/>
      <c r="O63" s="995"/>
      <c r="U63" s="126"/>
      <c r="V63" s="126"/>
      <c r="W63" s="126"/>
      <c r="X63" s="126"/>
      <c r="Y63" s="126"/>
      <c r="Z63" s="126"/>
      <c r="AA63" s="126"/>
      <c r="AB63" s="126"/>
      <c r="AC63" s="126"/>
      <c r="AD63" s="126"/>
      <c r="AE63" s="126"/>
      <c r="AF63" s="126"/>
      <c r="AG63" s="126"/>
      <c r="AH63" s="126"/>
      <c r="AI63" s="126"/>
      <c r="AJ63" s="126"/>
      <c r="AK63" s="126"/>
      <c r="AL63" s="126"/>
      <c r="AM63" s="126"/>
      <c r="AN63" s="126"/>
      <c r="AO63" s="126"/>
      <c r="AP63" s="126"/>
      <c r="AR63" s="143"/>
      <c r="AS63" s="144"/>
      <c r="AT63" s="144"/>
      <c r="AU63" s="136"/>
      <c r="AV63" s="136"/>
      <c r="AW63" s="136"/>
      <c r="AX63" s="136"/>
      <c r="BC63" s="953"/>
      <c r="BD63" s="86"/>
      <c r="BE63" s="17"/>
      <c r="BF63" s="177"/>
      <c r="BG63" s="178"/>
      <c r="BH63" s="178"/>
      <c r="BI63" s="178"/>
      <c r="BJ63" s="178"/>
      <c r="BK63" s="178"/>
      <c r="BL63" s="178"/>
      <c r="BM63" s="178"/>
      <c r="BN63" s="178"/>
      <c r="BO63" s="179"/>
      <c r="BP63" s="179"/>
      <c r="BQ63" s="182">
        <v>16</v>
      </c>
      <c r="BR63" s="180"/>
      <c r="BS63" s="180"/>
      <c r="BT63" s="180"/>
      <c r="BU63" s="180"/>
      <c r="BV63" s="180"/>
      <c r="BW63" s="180"/>
      <c r="BX63" s="180"/>
      <c r="BY63" s="37"/>
      <c r="BZ63" s="89"/>
      <c r="CA63" s="181"/>
      <c r="CB63" s="181"/>
      <c r="CC63" s="89"/>
      <c r="CD63" s="89"/>
      <c r="CE63" s="89"/>
      <c r="CF63" s="117" t="b">
        <f>IF(CG81=27,15)</f>
        <v>0</v>
      </c>
      <c r="CG63" s="183"/>
      <c r="CH63" s="103" t="b">
        <f>IF(CG81=27,17)</f>
        <v>0</v>
      </c>
      <c r="CI63" s="89"/>
      <c r="CJ63" s="89"/>
      <c r="CK63" s="89"/>
      <c r="CL63" s="89"/>
      <c r="CM63" s="178"/>
      <c r="CN63" s="178"/>
      <c r="CO63" s="178"/>
      <c r="CP63" s="178"/>
      <c r="CQ63" s="178"/>
      <c r="CR63" s="178"/>
      <c r="CS63" s="178"/>
      <c r="CT63" s="178"/>
      <c r="CU63" s="178"/>
    </row>
    <row r="64" spans="1:99" ht="24" hidden="1" thickBot="1" x14ac:dyDescent="0.3">
      <c r="G64" s="998"/>
      <c r="O64" s="995"/>
      <c r="U64" s="126"/>
      <c r="V64" s="126"/>
      <c r="W64" s="126"/>
      <c r="X64" s="126"/>
      <c r="Y64" s="126"/>
      <c r="Z64" s="126"/>
      <c r="AA64" s="126"/>
      <c r="AB64" s="126"/>
      <c r="AC64" s="126"/>
      <c r="AD64" s="126"/>
      <c r="AE64" s="126"/>
      <c r="AF64" s="126"/>
      <c r="AG64" s="126"/>
      <c r="AH64" s="126"/>
      <c r="AI64" s="126"/>
      <c r="AJ64" s="126"/>
      <c r="AK64" s="126"/>
      <c r="AL64" s="126"/>
      <c r="AM64" s="126"/>
      <c r="AN64" s="126"/>
      <c r="AO64" s="126"/>
      <c r="AP64" s="126"/>
      <c r="AR64" s="143"/>
      <c r="AS64" s="144"/>
      <c r="AT64" s="144"/>
      <c r="AU64" s="136"/>
      <c r="AV64" s="136"/>
      <c r="AW64" s="136"/>
      <c r="AX64" s="136"/>
      <c r="BC64" s="953"/>
      <c r="BD64" s="86"/>
      <c r="BE64" s="17"/>
      <c r="BF64" s="177"/>
      <c r="BG64" s="178"/>
      <c r="BH64" s="178"/>
      <c r="BI64" s="178"/>
      <c r="BJ64" s="178"/>
      <c r="BK64" s="178"/>
      <c r="BL64" s="178"/>
      <c r="BM64" s="178"/>
      <c r="BN64" s="178"/>
      <c r="BO64" s="179"/>
      <c r="BP64" s="179"/>
      <c r="BQ64" s="182">
        <v>15</v>
      </c>
      <c r="BR64" s="180"/>
      <c r="BS64" s="180"/>
      <c r="BT64" s="180"/>
      <c r="BU64" s="180"/>
      <c r="BV64" s="180"/>
      <c r="BW64" s="180"/>
      <c r="BX64" s="180"/>
      <c r="BY64" s="37"/>
      <c r="BZ64" s="89"/>
      <c r="CA64" s="181"/>
      <c r="CB64" s="181"/>
      <c r="CC64" s="89"/>
      <c r="CD64" s="117" t="b">
        <f>IF(CF81=26,13)</f>
        <v>0</v>
      </c>
      <c r="CE64" s="183"/>
      <c r="CF64" s="183"/>
      <c r="CG64" s="183"/>
      <c r="CH64" s="103" t="b">
        <f>IF(CF81=26,17)</f>
        <v>0</v>
      </c>
      <c r="CI64" s="89"/>
      <c r="CJ64" s="89"/>
      <c r="CK64" s="89"/>
      <c r="CL64" s="89"/>
      <c r="CM64" s="178"/>
      <c r="CN64" s="178"/>
      <c r="CO64" s="178"/>
      <c r="CP64" s="178"/>
      <c r="CQ64" s="178"/>
      <c r="CR64" s="178"/>
      <c r="CS64" s="178"/>
      <c r="CT64" s="178"/>
      <c r="CU64" s="178"/>
    </row>
    <row r="65" spans="2:99" ht="24" hidden="1" thickBot="1" x14ac:dyDescent="0.3">
      <c r="G65" s="998"/>
      <c r="O65" s="995"/>
      <c r="U65" s="126"/>
      <c r="V65" s="126"/>
      <c r="W65" s="126"/>
      <c r="X65" s="126"/>
      <c r="Y65" s="126"/>
      <c r="Z65" s="126"/>
      <c r="AA65" s="126"/>
      <c r="AB65" s="126"/>
      <c r="AC65" s="126"/>
      <c r="AD65" s="126"/>
      <c r="AE65" s="126"/>
      <c r="AF65" s="126"/>
      <c r="AG65" s="126"/>
      <c r="AH65" s="126"/>
      <c r="AI65" s="126"/>
      <c r="AJ65" s="126"/>
      <c r="AK65" s="126"/>
      <c r="AL65" s="126"/>
      <c r="AM65" s="126"/>
      <c r="AN65" s="126"/>
      <c r="AO65" s="126"/>
      <c r="AP65" s="126"/>
      <c r="AR65" s="143"/>
      <c r="AS65" s="144"/>
      <c r="AT65" s="144"/>
      <c r="AU65" s="136"/>
      <c r="AV65" s="136"/>
      <c r="AW65" s="136"/>
      <c r="AX65" s="136"/>
      <c r="BC65" s="953"/>
      <c r="BD65" s="86"/>
      <c r="BE65" s="17"/>
      <c r="BF65" s="177"/>
      <c r="BG65" s="178"/>
      <c r="BH65" s="178"/>
      <c r="BI65" s="178"/>
      <c r="BJ65" s="178"/>
      <c r="BK65" s="178"/>
      <c r="BL65" s="178"/>
      <c r="BM65" s="178"/>
      <c r="BN65" s="178"/>
      <c r="BO65" s="179"/>
      <c r="BP65" s="179"/>
      <c r="BQ65" s="182">
        <v>14</v>
      </c>
      <c r="BR65" s="180"/>
      <c r="BS65" s="180"/>
      <c r="BT65" s="180"/>
      <c r="BU65" s="180"/>
      <c r="BV65" s="180"/>
      <c r="BW65" s="180"/>
      <c r="BX65" s="180"/>
      <c r="BY65" s="37"/>
      <c r="BZ65" s="89"/>
      <c r="CA65" s="181"/>
      <c r="CB65" s="117" t="b">
        <f>IF(CE81=25,11)</f>
        <v>0</v>
      </c>
      <c r="CC65" s="183"/>
      <c r="CD65" s="184"/>
      <c r="CE65" s="184"/>
      <c r="CF65" s="184"/>
      <c r="CG65" s="184"/>
      <c r="CH65" s="124" t="b">
        <f>IF(CE81=25,17)</f>
        <v>0</v>
      </c>
      <c r="CI65" s="89"/>
      <c r="CJ65" s="89"/>
      <c r="CK65" s="89"/>
      <c r="CL65" s="89"/>
      <c r="CM65" s="178"/>
      <c r="CN65" s="178"/>
      <c r="CO65" s="178"/>
      <c r="CP65" s="178"/>
      <c r="CQ65" s="178"/>
      <c r="CR65" s="178"/>
      <c r="CS65" s="178"/>
      <c r="CT65" s="178"/>
      <c r="CU65" s="178"/>
    </row>
    <row r="66" spans="2:99" ht="24" hidden="1" thickBot="1" x14ac:dyDescent="0.3">
      <c r="D66" s="63"/>
      <c r="G66" s="998"/>
      <c r="O66" s="995"/>
      <c r="U66" s="126"/>
      <c r="V66" s="126"/>
      <c r="W66" s="126"/>
      <c r="X66" s="126"/>
      <c r="Y66" s="126"/>
      <c r="Z66" s="126"/>
      <c r="AA66" s="126"/>
      <c r="AB66" s="126"/>
      <c r="AC66" s="126"/>
      <c r="AD66" s="126"/>
      <c r="AE66" s="126"/>
      <c r="AF66" s="126"/>
      <c r="AG66" s="126"/>
      <c r="AH66" s="126"/>
      <c r="AI66" s="126"/>
      <c r="AJ66" s="126"/>
      <c r="AK66" s="126"/>
      <c r="AL66" s="126"/>
      <c r="AM66" s="126"/>
      <c r="AN66" s="126"/>
      <c r="AO66" s="126"/>
      <c r="AP66" s="126"/>
      <c r="AR66" s="143"/>
      <c r="AS66" s="144"/>
      <c r="AT66" s="144"/>
      <c r="AU66" s="136"/>
      <c r="AV66" s="136"/>
      <c r="AW66" s="136"/>
      <c r="AX66" s="136"/>
      <c r="BC66" s="953"/>
      <c r="BD66" s="86"/>
      <c r="BE66" s="136"/>
      <c r="BF66" s="177"/>
      <c r="BG66" s="178"/>
      <c r="BH66" s="178"/>
      <c r="BI66" s="178"/>
      <c r="BJ66" s="178"/>
      <c r="BK66" s="178"/>
      <c r="BL66" s="178"/>
      <c r="BM66" s="178"/>
      <c r="BN66" s="178"/>
      <c r="BQ66" s="182">
        <v>13</v>
      </c>
      <c r="BR66" s="178"/>
      <c r="BS66" s="177"/>
      <c r="BT66" s="177"/>
      <c r="BU66" s="177"/>
      <c r="BV66" s="177"/>
      <c r="BW66" s="177"/>
      <c r="BX66" s="177"/>
      <c r="BY66" s="177"/>
      <c r="BZ66" s="117" t="b">
        <f>IF(CD81=24,9)</f>
        <v>0</v>
      </c>
      <c r="CA66" s="185"/>
      <c r="CB66" s="186"/>
      <c r="CC66" s="122"/>
      <c r="CD66" s="186"/>
      <c r="CE66" s="122"/>
      <c r="CF66" s="122"/>
      <c r="CG66" s="121"/>
      <c r="CH66" s="124" t="b">
        <f>IF(CD81=24,17)</f>
        <v>0</v>
      </c>
      <c r="CI66" s="78"/>
      <c r="CJ66" s="78"/>
      <c r="CK66" s="78"/>
      <c r="CL66" s="78"/>
      <c r="CM66" s="78"/>
      <c r="CN66" s="78"/>
      <c r="CO66" s="78"/>
      <c r="CP66" s="78"/>
      <c r="CQ66" s="78"/>
      <c r="CR66" s="78"/>
      <c r="CS66" s="78"/>
      <c r="CT66" s="78"/>
    </row>
    <row r="67" spans="2:99" ht="24" hidden="1" thickBot="1" x14ac:dyDescent="0.3">
      <c r="D67" s="63"/>
      <c r="G67" s="998"/>
      <c r="O67" s="995"/>
      <c r="U67" s="126"/>
      <c r="V67" s="126"/>
      <c r="W67" s="126"/>
      <c r="X67" s="126"/>
      <c r="Y67" s="126"/>
      <c r="Z67" s="126"/>
      <c r="AA67" s="126"/>
      <c r="AB67" s="126"/>
      <c r="AC67" s="126"/>
      <c r="AD67" s="126"/>
      <c r="AE67" s="126"/>
      <c r="AF67" s="126"/>
      <c r="AG67" s="126"/>
      <c r="AH67" s="126"/>
      <c r="AI67" s="126"/>
      <c r="AJ67" s="126"/>
      <c r="AK67" s="126"/>
      <c r="AL67" s="126"/>
      <c r="AM67" s="126"/>
      <c r="AN67" s="126"/>
      <c r="AO67" s="126"/>
      <c r="AP67" s="126"/>
      <c r="AR67" s="143"/>
      <c r="AS67" s="144"/>
      <c r="AT67" s="144"/>
      <c r="AU67" s="136"/>
      <c r="AV67" s="136"/>
      <c r="AW67" s="136"/>
      <c r="AX67" s="136"/>
      <c r="BC67" s="953"/>
      <c r="BD67" s="86"/>
      <c r="BE67" s="136"/>
      <c r="BF67" s="177"/>
      <c r="BG67" s="177"/>
      <c r="BH67" s="178"/>
      <c r="BI67" s="177"/>
      <c r="BJ67" s="177"/>
      <c r="BK67" s="177"/>
      <c r="BQ67" s="182">
        <v>12</v>
      </c>
      <c r="BR67" s="178"/>
      <c r="BS67" s="177"/>
      <c r="BT67" s="177"/>
      <c r="BU67" s="177"/>
      <c r="BV67" s="177"/>
      <c r="BW67" s="177"/>
      <c r="BX67" s="117" t="b">
        <f>IF(CC81=23,7)</f>
        <v>0</v>
      </c>
      <c r="BY67" s="185"/>
      <c r="BZ67" s="185"/>
      <c r="CA67" s="118"/>
      <c r="CB67" s="185"/>
      <c r="CC67" s="185"/>
      <c r="CD67" s="185"/>
      <c r="CE67" s="118"/>
      <c r="CF67" s="118"/>
      <c r="CG67" s="111"/>
      <c r="CH67" s="103" t="b">
        <f>IF(CC81=23,17)</f>
        <v>0</v>
      </c>
      <c r="CI67" s="78"/>
      <c r="CJ67" s="78"/>
      <c r="CK67" s="78"/>
      <c r="CL67" s="78"/>
      <c r="CM67" s="78"/>
      <c r="CN67" s="78"/>
      <c r="CO67" s="78"/>
      <c r="CP67" s="78"/>
      <c r="CQ67" s="78"/>
      <c r="CR67" s="78"/>
      <c r="CS67" s="78"/>
      <c r="CT67" s="78"/>
    </row>
    <row r="68" spans="2:99" ht="24" hidden="1" thickBot="1" x14ac:dyDescent="0.3">
      <c r="D68" s="63"/>
      <c r="G68" s="998"/>
      <c r="O68" s="995"/>
      <c r="U68" s="126"/>
      <c r="V68" s="126"/>
      <c r="W68" s="126"/>
      <c r="X68" s="126"/>
      <c r="Y68" s="126"/>
      <c r="Z68" s="126"/>
      <c r="AA68" s="126"/>
      <c r="AB68" s="126"/>
      <c r="AC68" s="126"/>
      <c r="AD68" s="126"/>
      <c r="AE68" s="126"/>
      <c r="AF68" s="126"/>
      <c r="AG68" s="126"/>
      <c r="AH68" s="126"/>
      <c r="AI68" s="126"/>
      <c r="AJ68" s="126"/>
      <c r="AK68" s="126"/>
      <c r="AL68" s="126"/>
      <c r="AM68" s="126"/>
      <c r="AN68" s="126"/>
      <c r="AO68" s="126"/>
      <c r="AP68" s="126"/>
      <c r="AR68" s="143"/>
      <c r="AS68" s="144"/>
      <c r="AT68" s="144"/>
      <c r="AU68" s="136"/>
      <c r="AV68" s="136"/>
      <c r="AW68" s="136"/>
      <c r="AX68" s="136"/>
      <c r="BC68" s="953"/>
      <c r="BD68" s="86"/>
      <c r="BE68" s="136"/>
      <c r="BF68" s="177"/>
      <c r="BG68" s="177"/>
      <c r="BH68" s="178"/>
      <c r="BI68" s="177"/>
      <c r="BJ68" s="177"/>
      <c r="BK68" s="177"/>
      <c r="BQ68" s="182">
        <v>11</v>
      </c>
      <c r="BR68" s="178"/>
      <c r="BS68" s="177"/>
      <c r="BT68" s="177"/>
      <c r="BU68" s="177"/>
      <c r="BV68" s="117" t="b">
        <f>IF(CB81=22,5)</f>
        <v>0</v>
      </c>
      <c r="BW68" s="185"/>
      <c r="BX68" s="185"/>
      <c r="BY68" s="118"/>
      <c r="BZ68" s="185"/>
      <c r="CA68" s="118"/>
      <c r="CB68" s="185"/>
      <c r="CC68" s="118"/>
      <c r="CD68" s="185"/>
      <c r="CE68" s="118"/>
      <c r="CF68" s="118"/>
      <c r="CG68" s="111"/>
      <c r="CH68" s="103" t="b">
        <f>IF(CB81=22,17)</f>
        <v>0</v>
      </c>
      <c r="CI68" s="78"/>
      <c r="CJ68" s="78"/>
      <c r="CK68" s="78"/>
      <c r="CL68" s="78"/>
      <c r="CM68" s="78"/>
      <c r="CN68" s="78"/>
      <c r="CO68" s="78"/>
      <c r="CP68" s="78"/>
      <c r="CQ68" s="78"/>
      <c r="CR68" s="78"/>
      <c r="CS68" s="78"/>
      <c r="CT68" s="78"/>
    </row>
    <row r="69" spans="2:99" ht="24" hidden="1" thickBot="1" x14ac:dyDescent="0.3">
      <c r="D69" s="63"/>
      <c r="G69" s="998"/>
      <c r="O69" s="995"/>
      <c r="U69" s="126"/>
      <c r="V69" s="126"/>
      <c r="W69" s="126"/>
      <c r="X69" s="126"/>
      <c r="Y69" s="126"/>
      <c r="Z69" s="126"/>
      <c r="AA69" s="126"/>
      <c r="AB69" s="126"/>
      <c r="AC69" s="126"/>
      <c r="AD69" s="126"/>
      <c r="AE69" s="126"/>
      <c r="AF69" s="126"/>
      <c r="AG69" s="126"/>
      <c r="AH69" s="126"/>
      <c r="AI69" s="126"/>
      <c r="AJ69" s="126"/>
      <c r="AK69" s="126"/>
      <c r="AL69" s="126"/>
      <c r="AM69" s="126"/>
      <c r="AN69" s="126"/>
      <c r="AO69" s="126"/>
      <c r="AP69" s="126"/>
      <c r="AR69" s="143"/>
      <c r="AS69" s="144"/>
      <c r="AT69" s="144"/>
      <c r="AU69" s="136"/>
      <c r="AV69" s="136"/>
      <c r="AW69" s="136"/>
      <c r="AX69" s="136"/>
      <c r="BC69" s="953"/>
      <c r="BD69" s="86"/>
      <c r="BE69" s="136"/>
      <c r="BF69" s="177"/>
      <c r="BG69" s="177"/>
      <c r="BH69" s="178"/>
      <c r="BI69" s="177"/>
      <c r="BJ69" s="177"/>
      <c r="BK69" s="177"/>
      <c r="BQ69" s="182">
        <v>10</v>
      </c>
      <c r="BR69" s="178"/>
      <c r="BS69" s="177"/>
      <c r="BT69" s="117" t="b">
        <f>IF(CA81=21,3)</f>
        <v>0</v>
      </c>
      <c r="BU69" s="185"/>
      <c r="BV69" s="185"/>
      <c r="BW69" s="118"/>
      <c r="BX69" s="118"/>
      <c r="BY69" s="118"/>
      <c r="BZ69" s="185"/>
      <c r="CA69" s="185"/>
      <c r="CB69" s="185"/>
      <c r="CC69" s="118"/>
      <c r="CD69" s="185"/>
      <c r="CE69" s="118"/>
      <c r="CF69" s="118"/>
      <c r="CG69" s="111"/>
      <c r="CH69" s="103" t="b">
        <f>IF(CA81=21,17)</f>
        <v>0</v>
      </c>
      <c r="CI69" s="78"/>
      <c r="CJ69" s="78"/>
      <c r="CK69" s="78"/>
      <c r="CL69" s="78"/>
      <c r="CM69" s="78"/>
      <c r="CN69" s="78"/>
      <c r="CO69" s="78"/>
      <c r="CP69" s="78"/>
      <c r="CQ69" s="78"/>
      <c r="CR69" s="78"/>
      <c r="CS69" s="78"/>
      <c r="CT69" s="78"/>
    </row>
    <row r="70" spans="2:99" ht="24" hidden="1" thickBot="1" x14ac:dyDescent="0.3">
      <c r="B70" s="187"/>
      <c r="C70" s="187"/>
      <c r="D70" s="63"/>
      <c r="G70" s="998"/>
      <c r="O70" s="995"/>
      <c r="U70" s="126"/>
      <c r="V70" s="126"/>
      <c r="W70" s="126"/>
      <c r="X70" s="126"/>
      <c r="Y70" s="126"/>
      <c r="Z70" s="126"/>
      <c r="AA70" s="126"/>
      <c r="AB70" s="126"/>
      <c r="AC70" s="126"/>
      <c r="AD70" s="126"/>
      <c r="AE70" s="126"/>
      <c r="AF70" s="126"/>
      <c r="AG70" s="126"/>
      <c r="AH70" s="126"/>
      <c r="AI70" s="126"/>
      <c r="AJ70" s="126"/>
      <c r="AK70" s="126"/>
      <c r="AL70" s="126"/>
      <c r="AM70" s="126"/>
      <c r="AN70" s="126"/>
      <c r="AO70" s="126"/>
      <c r="AP70" s="126"/>
      <c r="AR70" s="143"/>
      <c r="AS70" s="144"/>
      <c r="AT70" s="144"/>
      <c r="AU70" s="136"/>
      <c r="AV70" s="136"/>
      <c r="AW70" s="136"/>
      <c r="AX70" s="136"/>
      <c r="BC70" s="953"/>
      <c r="BD70" s="86"/>
      <c r="BE70" s="136"/>
      <c r="BF70" s="177"/>
      <c r="BG70" s="177"/>
      <c r="BH70" s="178"/>
      <c r="BI70" s="177"/>
      <c r="BJ70" s="177"/>
      <c r="BK70" s="177"/>
      <c r="BQ70" s="182">
        <v>9</v>
      </c>
      <c r="BR70" s="117" t="b">
        <f>IF(BZ81=20,1)</f>
        <v>0</v>
      </c>
      <c r="BS70" s="185"/>
      <c r="BT70" s="185"/>
      <c r="BU70" s="118"/>
      <c r="BV70" s="185"/>
      <c r="BW70" s="185"/>
      <c r="BX70" s="185"/>
      <c r="BY70" s="185"/>
      <c r="BZ70" s="185"/>
      <c r="CA70" s="185"/>
      <c r="CB70" s="185"/>
      <c r="CC70" s="185"/>
      <c r="CD70" s="185"/>
      <c r="CE70" s="118"/>
      <c r="CF70" s="118"/>
      <c r="CG70" s="111"/>
      <c r="CH70" s="103" t="b">
        <f>IF(BZ81=20,17)</f>
        <v>0</v>
      </c>
      <c r="CI70" s="78"/>
      <c r="CJ70" s="78"/>
      <c r="CK70" s="78"/>
      <c r="CL70" s="78"/>
      <c r="CM70" s="78"/>
      <c r="CN70" s="78"/>
      <c r="CO70" s="78"/>
      <c r="CP70" s="78"/>
      <c r="CQ70" s="78"/>
      <c r="CR70" s="78"/>
      <c r="CS70" s="78"/>
      <c r="CT70" s="78"/>
    </row>
    <row r="71" spans="2:99" ht="24" hidden="1" thickBot="1" x14ac:dyDescent="0.3">
      <c r="B71" s="187"/>
      <c r="C71" s="187"/>
      <c r="D71" s="63"/>
      <c r="G71" s="998"/>
      <c r="O71" s="995"/>
      <c r="U71" s="126"/>
      <c r="V71" s="126"/>
      <c r="W71" s="126"/>
      <c r="X71" s="126"/>
      <c r="Y71" s="126"/>
      <c r="Z71" s="126"/>
      <c r="AA71" s="126"/>
      <c r="AB71" s="126"/>
      <c r="AC71" s="126"/>
      <c r="AD71" s="126"/>
      <c r="AE71" s="126"/>
      <c r="AF71" s="126"/>
      <c r="AG71" s="126"/>
      <c r="AH71" s="126"/>
      <c r="AI71" s="126"/>
      <c r="AJ71" s="126"/>
      <c r="AK71" s="126"/>
      <c r="AL71" s="126"/>
      <c r="AM71" s="126"/>
      <c r="AN71" s="126"/>
      <c r="AO71" s="126"/>
      <c r="AP71" s="126"/>
      <c r="AR71" s="143"/>
      <c r="AS71" s="144"/>
      <c r="AT71" s="144"/>
      <c r="AU71" s="136"/>
      <c r="AV71" s="136"/>
      <c r="AW71" s="136"/>
      <c r="AX71" s="136"/>
      <c r="BC71" s="953"/>
      <c r="BD71" s="86"/>
      <c r="BE71" s="136"/>
      <c r="BF71" s="177"/>
      <c r="BG71" s="177"/>
      <c r="BH71" s="178"/>
      <c r="BI71" s="177"/>
      <c r="BJ71" s="177"/>
      <c r="BK71" s="177"/>
      <c r="BQ71" s="182">
        <v>8</v>
      </c>
      <c r="BR71" s="120" t="b">
        <f>IF(BY81=19,1)</f>
        <v>0</v>
      </c>
      <c r="BS71" s="122"/>
      <c r="BT71" s="186"/>
      <c r="BU71" s="186"/>
      <c r="BV71" s="186"/>
      <c r="BW71" s="186"/>
      <c r="BX71" s="186"/>
      <c r="BY71" s="186"/>
      <c r="BZ71" s="186"/>
      <c r="CA71" s="186"/>
      <c r="CB71" s="186"/>
      <c r="CC71" s="186"/>
      <c r="CD71" s="186"/>
      <c r="CE71" s="122"/>
      <c r="CF71" s="124" t="b">
        <f>IF(BY81=19,15)</f>
        <v>0</v>
      </c>
      <c r="CG71" s="78"/>
      <c r="CH71" s="78"/>
      <c r="CI71" s="78"/>
      <c r="CJ71" s="78"/>
      <c r="CK71" s="78"/>
      <c r="CL71" s="78"/>
      <c r="CM71" s="78"/>
      <c r="CN71" s="78"/>
      <c r="CO71" s="78"/>
      <c r="CP71" s="78"/>
      <c r="CQ71" s="78"/>
      <c r="CR71" s="78"/>
      <c r="CS71" s="78"/>
      <c r="CT71" s="78"/>
    </row>
    <row r="72" spans="2:99" ht="24" hidden="1" thickBot="1" x14ac:dyDescent="0.3">
      <c r="G72" s="998"/>
      <c r="O72" s="995"/>
      <c r="U72" s="126"/>
      <c r="V72" s="126"/>
      <c r="W72" s="126"/>
      <c r="X72" s="126"/>
      <c r="Y72" s="126"/>
      <c r="Z72" s="126"/>
      <c r="AA72" s="126"/>
      <c r="AB72" s="126"/>
      <c r="AC72" s="126"/>
      <c r="AD72" s="126"/>
      <c r="AE72" s="126"/>
      <c r="AF72" s="126"/>
      <c r="AG72" s="126"/>
      <c r="AH72" s="126"/>
      <c r="AI72" s="126"/>
      <c r="AJ72" s="126"/>
      <c r="AK72" s="126"/>
      <c r="AL72" s="126"/>
      <c r="AM72" s="126"/>
      <c r="AN72" s="126"/>
      <c r="AO72" s="126"/>
      <c r="AP72" s="126"/>
      <c r="AR72" s="143"/>
      <c r="AS72" s="144"/>
      <c r="AT72" s="144"/>
      <c r="AU72" s="136"/>
      <c r="AV72" s="136"/>
      <c r="AW72" s="136"/>
      <c r="AX72" s="136"/>
      <c r="BC72" s="953"/>
      <c r="BD72" s="86"/>
      <c r="BE72" s="136"/>
      <c r="BF72" s="177"/>
      <c r="BG72" s="177"/>
      <c r="BH72" s="178"/>
      <c r="BI72" s="177"/>
      <c r="BJ72" s="177"/>
      <c r="BK72" s="177"/>
      <c r="BQ72" s="182">
        <v>7</v>
      </c>
      <c r="BR72" s="120">
        <f>IF(BX81=18,1)</f>
        <v>1</v>
      </c>
      <c r="BS72" s="186"/>
      <c r="BT72" s="186"/>
      <c r="BU72" s="186"/>
      <c r="BV72" s="186"/>
      <c r="BW72" s="186"/>
      <c r="BX72" s="186"/>
      <c r="BY72" s="186"/>
      <c r="BZ72" s="186"/>
      <c r="CA72" s="186"/>
      <c r="CB72" s="186"/>
      <c r="CC72" s="186"/>
      <c r="CD72" s="124">
        <f>IF(BX81=18,13)</f>
        <v>13</v>
      </c>
      <c r="CE72" s="178"/>
      <c r="CG72" s="78"/>
      <c r="CH72" s="78"/>
      <c r="CI72" s="78"/>
      <c r="CJ72" s="78"/>
      <c r="CK72" s="78"/>
      <c r="CL72" s="78"/>
      <c r="CM72" s="78"/>
      <c r="CN72" s="78"/>
      <c r="CO72" s="78"/>
      <c r="CP72" s="78"/>
      <c r="CQ72" s="78"/>
      <c r="CR72" s="78"/>
      <c r="CS72" s="78"/>
      <c r="CT72" s="78"/>
    </row>
    <row r="73" spans="2:99" ht="24" hidden="1" thickBot="1" x14ac:dyDescent="0.3">
      <c r="G73" s="998"/>
      <c r="O73" s="995"/>
      <c r="U73" s="126"/>
      <c r="V73" s="126"/>
      <c r="W73" s="126"/>
      <c r="X73" s="126"/>
      <c r="Y73" s="126"/>
      <c r="Z73" s="126"/>
      <c r="AA73" s="126"/>
      <c r="AB73" s="126"/>
      <c r="AC73" s="126"/>
      <c r="AD73" s="126"/>
      <c r="AE73" s="126"/>
      <c r="AF73" s="126"/>
      <c r="AG73" s="126"/>
      <c r="AH73" s="126"/>
      <c r="AI73" s="126"/>
      <c r="AJ73" s="126"/>
      <c r="AK73" s="126"/>
      <c r="AL73" s="126"/>
      <c r="AM73" s="126"/>
      <c r="AN73" s="126"/>
      <c r="AO73" s="126"/>
      <c r="AP73" s="126"/>
      <c r="AR73" s="143"/>
      <c r="AS73" s="144"/>
      <c r="AT73" s="144"/>
      <c r="AU73" s="136"/>
      <c r="AV73" s="136"/>
      <c r="AW73" s="136"/>
      <c r="AX73" s="136"/>
      <c r="BC73" s="953"/>
      <c r="BD73" s="86"/>
      <c r="BE73" s="136"/>
      <c r="BF73" s="177"/>
      <c r="BG73" s="177"/>
      <c r="BH73" s="178"/>
      <c r="BI73" s="177"/>
      <c r="BJ73" s="177"/>
      <c r="BK73" s="177"/>
      <c r="BQ73" s="182">
        <v>6</v>
      </c>
      <c r="BR73" s="120" t="b">
        <f>IF(BW81=17,1)</f>
        <v>0</v>
      </c>
      <c r="BS73" s="186"/>
      <c r="BT73" s="186"/>
      <c r="BU73" s="186"/>
      <c r="BV73" s="186"/>
      <c r="BW73" s="186"/>
      <c r="BX73" s="186"/>
      <c r="BY73" s="186"/>
      <c r="BZ73" s="186"/>
      <c r="CA73" s="186"/>
      <c r="CB73" s="124" t="b">
        <f>IF(BW81=17,11)</f>
        <v>0</v>
      </c>
      <c r="CC73" s="177"/>
      <c r="CD73" s="177"/>
      <c r="CE73" s="178"/>
      <c r="CG73" s="78"/>
      <c r="CH73" s="78"/>
      <c r="CI73" s="78"/>
      <c r="CJ73" s="78"/>
      <c r="CK73" s="78"/>
      <c r="CL73" s="78"/>
      <c r="CM73" s="78"/>
      <c r="CN73" s="78"/>
      <c r="CO73" s="78"/>
      <c r="CP73" s="78"/>
      <c r="CQ73" s="78"/>
      <c r="CR73" s="78"/>
      <c r="CS73" s="78"/>
      <c r="CT73" s="78"/>
    </row>
    <row r="74" spans="2:99" ht="24" hidden="1" thickBot="1" x14ac:dyDescent="0.3">
      <c r="G74" s="998"/>
      <c r="O74" s="995"/>
      <c r="U74" s="126"/>
      <c r="V74" s="126"/>
      <c r="W74" s="126"/>
      <c r="X74" s="126"/>
      <c r="Y74" s="126"/>
      <c r="Z74" s="126"/>
      <c r="AA74" s="126"/>
      <c r="AB74" s="126"/>
      <c r="AC74" s="126"/>
      <c r="AD74" s="126"/>
      <c r="AE74" s="126"/>
      <c r="AF74" s="126"/>
      <c r="AG74" s="126"/>
      <c r="AH74" s="126"/>
      <c r="AI74" s="126"/>
      <c r="AJ74" s="126"/>
      <c r="AK74" s="126"/>
      <c r="AL74" s="126"/>
      <c r="AM74" s="126"/>
      <c r="AN74" s="126"/>
      <c r="AO74" s="126"/>
      <c r="AP74" s="126"/>
      <c r="AR74" s="143"/>
      <c r="AS74" s="144"/>
      <c r="AT74" s="144"/>
      <c r="AU74" s="136"/>
      <c r="AV74" s="136"/>
      <c r="AW74" s="136"/>
      <c r="AX74" s="136"/>
      <c r="BC74" s="953"/>
      <c r="BD74" s="86"/>
      <c r="BE74" s="136"/>
      <c r="BF74" s="177"/>
      <c r="BG74" s="177"/>
      <c r="BH74" s="178"/>
      <c r="BI74" s="177"/>
      <c r="BJ74" s="177"/>
      <c r="BK74" s="177"/>
      <c r="BQ74" s="182">
        <v>5</v>
      </c>
      <c r="BR74" s="117" t="b">
        <f>IF(BV81=16,1)</f>
        <v>0</v>
      </c>
      <c r="BS74" s="185"/>
      <c r="BT74" s="185"/>
      <c r="BU74" s="118"/>
      <c r="BV74" s="185"/>
      <c r="BW74" s="118"/>
      <c r="BX74" s="185"/>
      <c r="BY74" s="185"/>
      <c r="BZ74" s="103" t="b">
        <f>IF(BV81=16,9)</f>
        <v>0</v>
      </c>
      <c r="CA74" s="177"/>
      <c r="CB74" s="177"/>
      <c r="CC74" s="177"/>
      <c r="CD74" s="177"/>
      <c r="CE74" s="178"/>
      <c r="CG74" s="78"/>
      <c r="CH74" s="78"/>
      <c r="CI74" s="78"/>
      <c r="CJ74" s="78"/>
      <c r="CK74" s="78"/>
      <c r="CL74" s="78"/>
      <c r="CM74" s="78"/>
      <c r="CN74" s="78"/>
      <c r="CO74" s="78"/>
      <c r="CP74" s="78"/>
      <c r="CQ74" s="78"/>
      <c r="CR74" s="78"/>
      <c r="CS74" s="78"/>
      <c r="CT74" s="78"/>
    </row>
    <row r="75" spans="2:99" ht="24" hidden="1" thickBot="1" x14ac:dyDescent="0.3">
      <c r="B75" s="187"/>
      <c r="C75" s="187"/>
      <c r="D75" s="63"/>
      <c r="G75" s="998"/>
      <c r="O75" s="995"/>
      <c r="U75" s="126"/>
      <c r="V75" s="126"/>
      <c r="W75" s="126"/>
      <c r="X75" s="126"/>
      <c r="Y75" s="126"/>
      <c r="Z75" s="126"/>
      <c r="AA75" s="126"/>
      <c r="AB75" s="126"/>
      <c r="AC75" s="126"/>
      <c r="AD75" s="126"/>
      <c r="AE75" s="126"/>
      <c r="AF75" s="126"/>
      <c r="AG75" s="126"/>
      <c r="AH75" s="126"/>
      <c r="AI75" s="126"/>
      <c r="AJ75" s="126"/>
      <c r="AK75" s="126"/>
      <c r="AL75" s="126"/>
      <c r="AM75" s="126"/>
      <c r="AN75" s="126"/>
      <c r="AO75" s="126"/>
      <c r="AP75" s="126"/>
      <c r="AR75" s="143"/>
      <c r="AS75" s="144"/>
      <c r="AT75" s="144"/>
      <c r="AU75" s="136"/>
      <c r="AV75" s="136"/>
      <c r="AW75" s="136"/>
      <c r="AX75" s="136"/>
      <c r="BC75" s="953"/>
      <c r="BD75" s="86"/>
      <c r="BE75" s="136"/>
      <c r="BF75" s="177"/>
      <c r="BG75" s="177"/>
      <c r="BH75" s="178"/>
      <c r="BI75" s="177"/>
      <c r="BJ75" s="177"/>
      <c r="BK75" s="177"/>
      <c r="BQ75" s="182">
        <v>4</v>
      </c>
      <c r="BR75" s="117" t="b">
        <f>IF(BU81=15,1)</f>
        <v>0</v>
      </c>
      <c r="BS75" s="118"/>
      <c r="BT75" s="118"/>
      <c r="BU75" s="185"/>
      <c r="BV75" s="118"/>
      <c r="BW75" s="118"/>
      <c r="BX75" s="103" t="b">
        <f>IF(BU81=15,7)</f>
        <v>0</v>
      </c>
      <c r="BY75" s="177"/>
      <c r="BZ75" s="177"/>
      <c r="CA75" s="177"/>
      <c r="CB75" s="177"/>
      <c r="CC75" s="177"/>
      <c r="CD75" s="177"/>
      <c r="CE75" s="178"/>
      <c r="CG75" s="78"/>
      <c r="CH75" s="78"/>
      <c r="CI75" s="78"/>
      <c r="CJ75" s="78"/>
      <c r="CK75" s="78"/>
      <c r="CL75" s="78"/>
      <c r="CM75" s="78"/>
      <c r="CN75" s="78"/>
      <c r="CO75" s="78"/>
      <c r="CP75" s="78"/>
      <c r="CQ75" s="78"/>
      <c r="CR75" s="78"/>
      <c r="CS75" s="78"/>
      <c r="CT75" s="78"/>
    </row>
    <row r="76" spans="2:99" ht="24" hidden="1" thickBot="1" x14ac:dyDescent="0.3">
      <c r="B76" s="187"/>
      <c r="G76" s="998"/>
      <c r="O76" s="995"/>
      <c r="U76" s="126"/>
      <c r="V76" s="126"/>
      <c r="W76" s="126"/>
      <c r="X76" s="126"/>
      <c r="Y76" s="126"/>
      <c r="Z76" s="126"/>
      <c r="AA76" s="126"/>
      <c r="AB76" s="126"/>
      <c r="AC76" s="126"/>
      <c r="AD76" s="126"/>
      <c r="AE76" s="126"/>
      <c r="AF76" s="126"/>
      <c r="AG76" s="126"/>
      <c r="AH76" s="126"/>
      <c r="AI76" s="126"/>
      <c r="AJ76" s="126"/>
      <c r="AK76" s="126"/>
      <c r="AL76" s="126"/>
      <c r="AM76" s="126"/>
      <c r="AN76" s="126"/>
      <c r="AO76" s="126"/>
      <c r="AP76" s="126"/>
      <c r="AR76" s="143"/>
      <c r="AS76" s="144"/>
      <c r="AT76" s="144"/>
      <c r="AU76" s="136"/>
      <c r="AV76" s="136"/>
      <c r="AW76" s="136"/>
      <c r="AX76" s="136"/>
      <c r="BC76" s="953"/>
      <c r="BD76" s="86"/>
      <c r="BE76" s="136"/>
      <c r="BF76" s="177"/>
      <c r="BG76" s="177"/>
      <c r="BH76" s="178"/>
      <c r="BI76" s="177"/>
      <c r="BJ76" s="177"/>
      <c r="BK76" s="177"/>
      <c r="BQ76" s="182">
        <v>3</v>
      </c>
      <c r="BR76" s="120" t="b">
        <f>IF(BT81=14,1)</f>
        <v>0</v>
      </c>
      <c r="BS76" s="186"/>
      <c r="BT76" s="186"/>
      <c r="BU76" s="186"/>
      <c r="BV76" s="124" t="b">
        <f>IF(BT81=14,5)</f>
        <v>0</v>
      </c>
      <c r="BW76" s="177"/>
      <c r="BX76" s="177"/>
      <c r="BY76" s="177"/>
      <c r="BZ76" s="177"/>
      <c r="CA76" s="177"/>
      <c r="CB76" s="177"/>
      <c r="CC76" s="177"/>
      <c r="CD76" s="177"/>
      <c r="CE76" s="178"/>
      <c r="CG76" s="78"/>
      <c r="CH76" s="78"/>
      <c r="CI76" s="78"/>
      <c r="CJ76" s="78"/>
      <c r="CK76" s="78"/>
      <c r="CL76" s="78"/>
      <c r="CM76" s="78"/>
      <c r="CN76" s="78"/>
      <c r="CO76" s="78"/>
      <c r="CP76" s="78"/>
      <c r="CQ76" s="78"/>
      <c r="CR76" s="78"/>
      <c r="CS76" s="78"/>
      <c r="CT76" s="78"/>
    </row>
    <row r="77" spans="2:99" ht="24" hidden="1" thickBot="1" x14ac:dyDescent="0.3">
      <c r="G77" s="998"/>
      <c r="O77" s="995"/>
      <c r="U77" s="126"/>
      <c r="V77" s="126"/>
      <c r="W77" s="126"/>
      <c r="X77" s="126"/>
      <c r="Y77" s="126"/>
      <c r="Z77" s="126"/>
      <c r="AA77" s="126"/>
      <c r="AB77" s="126"/>
      <c r="AC77" s="126"/>
      <c r="AD77" s="126"/>
      <c r="AE77" s="126"/>
      <c r="AF77" s="126"/>
      <c r="AG77" s="126"/>
      <c r="AH77" s="126"/>
      <c r="AI77" s="126"/>
      <c r="AJ77" s="126"/>
      <c r="AK77" s="126"/>
      <c r="AL77" s="126"/>
      <c r="AM77" s="126"/>
      <c r="AN77" s="126"/>
      <c r="AO77" s="126"/>
      <c r="AP77" s="126"/>
      <c r="AR77" s="143"/>
      <c r="AS77" s="144"/>
      <c r="AT77" s="144"/>
      <c r="AU77" s="136"/>
      <c r="AV77" s="136"/>
      <c r="AW77" s="136"/>
      <c r="AX77" s="136"/>
      <c r="BC77" s="953"/>
      <c r="BD77" s="86"/>
      <c r="BE77" s="136"/>
      <c r="BF77" s="177"/>
      <c r="BG77" s="177"/>
      <c r="BH77" s="178"/>
      <c r="BI77" s="177"/>
      <c r="BJ77" s="177"/>
      <c r="BK77" s="177"/>
      <c r="BQ77" s="182">
        <v>2</v>
      </c>
      <c r="BR77" s="120" t="b">
        <f>IF(BS81=13,1)</f>
        <v>0</v>
      </c>
      <c r="BS77" s="186"/>
      <c r="BT77" s="124" t="b">
        <f>IF(BS81=13,3)</f>
        <v>0</v>
      </c>
      <c r="BU77" s="177"/>
      <c r="BV77" s="177"/>
      <c r="BW77" s="177"/>
      <c r="BX77" s="177"/>
      <c r="BY77" s="177"/>
      <c r="BZ77" s="177"/>
      <c r="CA77" s="177"/>
      <c r="CB77" s="177"/>
      <c r="CC77" s="177"/>
      <c r="CD77" s="177"/>
      <c r="CE77" s="178"/>
      <c r="CG77" s="78"/>
      <c r="CH77" s="78"/>
      <c r="CI77" s="78"/>
      <c r="CJ77" s="78"/>
      <c r="CK77" s="78"/>
      <c r="CL77" s="78"/>
      <c r="CM77" s="78"/>
      <c r="CN77" s="78"/>
      <c r="CO77" s="78"/>
      <c r="CP77" s="78"/>
      <c r="CQ77" s="78"/>
      <c r="CR77" s="78"/>
      <c r="CS77" s="78"/>
      <c r="CT77" s="78"/>
    </row>
    <row r="78" spans="2:99" ht="24" hidden="1" thickBot="1" x14ac:dyDescent="0.3">
      <c r="G78" s="998"/>
      <c r="O78" s="995"/>
      <c r="U78" s="126"/>
      <c r="V78" s="126"/>
      <c r="W78" s="126"/>
      <c r="X78" s="126"/>
      <c r="Y78" s="126"/>
      <c r="Z78" s="126"/>
      <c r="AA78" s="126"/>
      <c r="AB78" s="126"/>
      <c r="AC78" s="126"/>
      <c r="AD78" s="126"/>
      <c r="AE78" s="126"/>
      <c r="AF78" s="126"/>
      <c r="AG78" s="126"/>
      <c r="AH78" s="126"/>
      <c r="AI78" s="126"/>
      <c r="AJ78" s="126"/>
      <c r="AK78" s="126"/>
      <c r="AL78" s="126"/>
      <c r="AM78" s="126"/>
      <c r="AN78" s="126"/>
      <c r="AO78" s="126"/>
      <c r="AP78" s="126"/>
      <c r="AR78" s="143"/>
      <c r="AS78" s="144"/>
      <c r="AT78" s="144"/>
      <c r="AU78" s="136"/>
      <c r="AV78" s="136"/>
      <c r="AW78" s="136"/>
      <c r="AX78" s="136"/>
      <c r="BC78" s="953"/>
      <c r="BD78" s="86"/>
      <c r="BE78" s="136"/>
      <c r="BF78" s="177"/>
      <c r="BG78" s="177"/>
      <c r="BH78" s="178"/>
      <c r="BI78" s="177"/>
      <c r="BJ78" s="177"/>
      <c r="BK78" s="177"/>
      <c r="BL78" s="76"/>
      <c r="BM78" s="177"/>
      <c r="BQ78" s="177"/>
      <c r="BR78" s="177"/>
      <c r="BS78" s="177"/>
      <c r="BT78" s="177"/>
      <c r="BU78" s="177"/>
      <c r="BV78" s="177"/>
      <c r="BW78" s="177"/>
      <c r="BX78" s="177"/>
      <c r="BY78" s="177"/>
      <c r="BZ78" s="177"/>
      <c r="CA78" s="177"/>
      <c r="CB78" s="178"/>
      <c r="CC78" s="107"/>
      <c r="CD78" s="107"/>
      <c r="CE78" s="107"/>
      <c r="CG78" s="78"/>
      <c r="CH78" s="78"/>
      <c r="CI78" s="78"/>
      <c r="CJ78" s="78"/>
      <c r="CK78" s="78"/>
      <c r="CL78" s="78"/>
      <c r="CM78" s="78"/>
      <c r="CN78" s="78"/>
      <c r="CO78" s="78"/>
      <c r="CP78" s="78"/>
      <c r="CQ78" s="78"/>
      <c r="CR78" s="78"/>
      <c r="CS78" s="78"/>
      <c r="CT78" s="78"/>
    </row>
    <row r="79" spans="2:99" ht="44" thickBot="1" x14ac:dyDescent="0.3">
      <c r="G79" s="1008"/>
      <c r="O79" s="995"/>
      <c r="U79" s="126"/>
      <c r="V79" s="126"/>
      <c r="W79" s="126"/>
      <c r="X79" s="126"/>
      <c r="Y79" s="126"/>
      <c r="Z79" s="126"/>
      <c r="AA79" s="126"/>
      <c r="AB79" s="126"/>
      <c r="AC79" s="126"/>
      <c r="AD79" s="126"/>
      <c r="AE79" s="126"/>
      <c r="AF79" s="126"/>
      <c r="AG79" s="126"/>
      <c r="AH79" s="126"/>
      <c r="AI79" s="126"/>
      <c r="AJ79" s="126"/>
      <c r="AK79" s="126"/>
      <c r="AL79" s="126"/>
      <c r="AM79" s="126"/>
      <c r="AN79" s="126"/>
      <c r="AO79" s="126"/>
      <c r="AP79" s="126"/>
      <c r="AR79" s="143"/>
      <c r="AT79" s="144"/>
      <c r="AU79" s="136"/>
      <c r="AV79" s="136"/>
      <c r="AW79" s="136"/>
      <c r="AX79" s="136"/>
      <c r="AY79" s="136"/>
      <c r="BA79" s="136"/>
      <c r="BB79" s="136"/>
      <c r="BC79" s="954"/>
      <c r="BD79" s="188"/>
      <c r="BE79" s="1095" t="s">
        <v>128</v>
      </c>
      <c r="BF79" s="746" t="s">
        <v>125</v>
      </c>
      <c r="BG79" s="190"/>
      <c r="BH79" s="191"/>
      <c r="BI79" s="191"/>
      <c r="BJ79" s="191"/>
      <c r="BK79" s="191"/>
      <c r="BL79" s="191"/>
      <c r="BM79" s="191"/>
      <c r="BN79" s="191"/>
      <c r="BO79" s="191"/>
      <c r="BP79" s="191"/>
      <c r="BQ79" s="191"/>
      <c r="BR79" s="758">
        <f>SUM(BR63:BR78)</f>
        <v>1</v>
      </c>
      <c r="BS79" s="759">
        <f t="shared" ref="BS79:CH79" si="0">SUM(BS63:BS78)</f>
        <v>0</v>
      </c>
      <c r="BT79" s="759">
        <f t="shared" si="0"/>
        <v>0</v>
      </c>
      <c r="BU79" s="759">
        <f t="shared" si="0"/>
        <v>0</v>
      </c>
      <c r="BV79" s="759">
        <f t="shared" si="0"/>
        <v>0</v>
      </c>
      <c r="BW79" s="759">
        <f t="shared" si="0"/>
        <v>0</v>
      </c>
      <c r="BX79" s="759">
        <f t="shared" si="0"/>
        <v>0</v>
      </c>
      <c r="BY79" s="759">
        <f t="shared" si="0"/>
        <v>0</v>
      </c>
      <c r="BZ79" s="759">
        <f t="shared" si="0"/>
        <v>0</v>
      </c>
      <c r="CA79" s="759">
        <f t="shared" si="0"/>
        <v>0</v>
      </c>
      <c r="CB79" s="759">
        <f t="shared" si="0"/>
        <v>0</v>
      </c>
      <c r="CC79" s="759">
        <f t="shared" si="0"/>
        <v>0</v>
      </c>
      <c r="CD79" s="759">
        <f t="shared" si="0"/>
        <v>13</v>
      </c>
      <c r="CE79" s="759">
        <f t="shared" si="0"/>
        <v>0</v>
      </c>
      <c r="CF79" s="759">
        <f t="shared" si="0"/>
        <v>0</v>
      </c>
      <c r="CG79" s="759">
        <f t="shared" si="0"/>
        <v>0</v>
      </c>
      <c r="CH79" s="760">
        <f t="shared" si="0"/>
        <v>0</v>
      </c>
      <c r="CI79" s="191"/>
      <c r="CJ79" s="191"/>
      <c r="CK79" s="192"/>
      <c r="CL79" s="192"/>
      <c r="CM79" s="192"/>
      <c r="CN79" s="192"/>
      <c r="CO79" s="192"/>
      <c r="CP79" s="192"/>
      <c r="CQ79" s="193"/>
      <c r="CR79" s="89"/>
      <c r="CS79" s="78"/>
      <c r="CT79" s="78"/>
    </row>
    <row r="80" spans="2:99" ht="31" thickBot="1" x14ac:dyDescent="0.35">
      <c r="G80" s="998"/>
      <c r="K80" s="1723" t="s">
        <v>351</v>
      </c>
      <c r="O80" s="995"/>
      <c r="U80" s="126"/>
      <c r="V80" s="126"/>
      <c r="W80" s="126"/>
      <c r="X80" s="126"/>
      <c r="Y80" s="126"/>
      <c r="Z80" s="126"/>
      <c r="AA80" s="126"/>
      <c r="AB80" s="126"/>
      <c r="AC80" s="126"/>
      <c r="AD80" s="126"/>
      <c r="AE80" s="126"/>
      <c r="AF80" s="126"/>
      <c r="AG80" s="126"/>
      <c r="AH80" s="126"/>
      <c r="AI80" s="126"/>
      <c r="AJ80" s="126"/>
      <c r="AK80" s="126"/>
      <c r="AL80" s="126"/>
      <c r="AM80" s="126"/>
      <c r="AN80" s="126"/>
      <c r="AO80" s="126"/>
      <c r="AP80" s="126"/>
      <c r="AR80" s="143"/>
      <c r="AS80" s="144"/>
      <c r="AT80" s="144"/>
      <c r="AU80" s="136"/>
      <c r="AV80" s="136"/>
      <c r="AW80" s="136"/>
      <c r="AX80" s="136"/>
      <c r="AY80" s="136"/>
      <c r="AZ80" s="136"/>
      <c r="BA80" s="968">
        <v>4</v>
      </c>
      <c r="BB80" s="1072"/>
      <c r="BC80" s="953" t="b">
        <f>AND(BE80&gt;=10,$AO$138&gt;=10,$AP$138&gt;=10)</f>
        <v>1</v>
      </c>
      <c r="BD80" s="84" t="str">
        <f>IF(BC80=TRUE,"O K","OVERLOAD")</f>
        <v>O K</v>
      </c>
      <c r="BE80" s="982">
        <f>+$E$8/(BG49/2)</f>
        <v>150.23474178403757</v>
      </c>
      <c r="BF80" s="194"/>
      <c r="BG80" s="107"/>
      <c r="BH80" s="108"/>
      <c r="BI80" s="107"/>
      <c r="BJ80" s="107"/>
      <c r="BK80" s="107"/>
      <c r="BL80" s="108"/>
      <c r="BM80" s="107"/>
      <c r="BN80" s="107"/>
      <c r="BO80" s="107"/>
      <c r="BP80" s="107"/>
      <c r="BQ80" s="107"/>
      <c r="BR80" s="107"/>
      <c r="BS80" s="107"/>
      <c r="BT80" s="107"/>
      <c r="BU80" s="107"/>
      <c r="BV80" s="107"/>
      <c r="BW80" s="107"/>
      <c r="BX80" s="107"/>
      <c r="BY80" s="107"/>
      <c r="BZ80" s="107"/>
      <c r="CA80" s="107"/>
      <c r="CB80" s="107"/>
      <c r="CC80" s="107"/>
      <c r="CD80" s="107"/>
      <c r="CE80" s="107"/>
      <c r="CF80" s="107"/>
      <c r="CG80" s="107"/>
      <c r="CH80" s="107"/>
      <c r="CI80" s="78"/>
      <c r="CJ80" s="78"/>
      <c r="CK80" s="78"/>
      <c r="CL80" s="78"/>
      <c r="CM80" s="78"/>
      <c r="CN80" s="78"/>
      <c r="CO80" s="78"/>
      <c r="CP80" s="78"/>
      <c r="CQ80" s="78"/>
      <c r="CR80" s="78"/>
      <c r="CS80" s="78"/>
      <c r="CT80" s="78"/>
    </row>
    <row r="81" spans="7:98" ht="23" hidden="1" x14ac:dyDescent="0.25">
      <c r="G81" s="998"/>
      <c r="O81" s="995"/>
      <c r="U81" s="126"/>
      <c r="V81" s="126"/>
      <c r="W81" s="126"/>
      <c r="X81" s="126"/>
      <c r="Y81" s="126"/>
      <c r="Z81" s="126"/>
      <c r="AA81" s="126"/>
      <c r="AB81" s="126"/>
      <c r="AC81" s="126"/>
      <c r="AD81" s="126"/>
      <c r="AE81" s="126"/>
      <c r="AF81" s="126"/>
      <c r="AG81" s="126"/>
      <c r="AH81" s="126"/>
      <c r="AI81" s="126"/>
      <c r="AJ81" s="126"/>
      <c r="AK81" s="126"/>
      <c r="AL81" s="126"/>
      <c r="AM81" s="126"/>
      <c r="AN81" s="126"/>
      <c r="AO81" s="126"/>
      <c r="AP81" s="126"/>
      <c r="AR81" s="143"/>
      <c r="AS81" s="144"/>
      <c r="AT81" s="144"/>
      <c r="AU81" s="136"/>
      <c r="AV81" s="136"/>
      <c r="AW81" s="136"/>
      <c r="AX81" s="136"/>
      <c r="AY81" s="136"/>
      <c r="AZ81" s="136"/>
      <c r="BA81" s="136"/>
      <c r="BB81" s="136"/>
      <c r="BC81" s="954"/>
      <c r="BD81" s="188"/>
      <c r="BE81" s="136"/>
      <c r="BF81" s="76"/>
      <c r="BG81" s="195" t="b">
        <f>+BA162</f>
        <v>0</v>
      </c>
      <c r="BH81" s="195" t="b">
        <f>+BA163</f>
        <v>0</v>
      </c>
      <c r="BI81" s="195" t="b">
        <f>+BA164</f>
        <v>0</v>
      </c>
      <c r="BJ81" s="195" t="b">
        <f>+BA165</f>
        <v>0</v>
      </c>
      <c r="BK81" s="195" t="b">
        <f>+BA166</f>
        <v>0</v>
      </c>
      <c r="BL81" s="195" t="b">
        <f>+BA167</f>
        <v>0</v>
      </c>
      <c r="BM81" s="195" t="b">
        <f>+BA168</f>
        <v>0</v>
      </c>
      <c r="BN81" s="195" t="b">
        <f>+BA169</f>
        <v>0</v>
      </c>
      <c r="BO81" s="195" t="b">
        <f>+BA170</f>
        <v>0</v>
      </c>
      <c r="BP81" s="195" t="b">
        <f>+BA171</f>
        <v>0</v>
      </c>
      <c r="BQ81" s="195" t="b">
        <f>+BA172</f>
        <v>0</v>
      </c>
      <c r="BR81" s="195" t="b">
        <f>+BA173</f>
        <v>0</v>
      </c>
      <c r="BS81" s="195" t="b">
        <f>+BA174</f>
        <v>0</v>
      </c>
      <c r="BT81" s="195" t="b">
        <f>+BA175</f>
        <v>0</v>
      </c>
      <c r="BU81" s="195" t="b">
        <f>+BA176</f>
        <v>0</v>
      </c>
      <c r="BV81" s="195" t="b">
        <f>+BA177</f>
        <v>0</v>
      </c>
      <c r="BW81" s="195" t="b">
        <f>+BA178</f>
        <v>0</v>
      </c>
      <c r="BX81" s="195">
        <f>+BA179</f>
        <v>18</v>
      </c>
      <c r="BY81" s="195" t="b">
        <f>+BA180</f>
        <v>0</v>
      </c>
      <c r="BZ81" s="195" t="b">
        <f>+BA181</f>
        <v>0</v>
      </c>
      <c r="CA81" s="195" t="b">
        <f>+BA182</f>
        <v>0</v>
      </c>
      <c r="CB81" s="195" t="b">
        <f>+BA183</f>
        <v>0</v>
      </c>
      <c r="CC81" s="195" t="b">
        <f>+BA184</f>
        <v>0</v>
      </c>
      <c r="CD81" s="195" t="b">
        <f>+BA185</f>
        <v>0</v>
      </c>
      <c r="CE81" s="195" t="b">
        <f>+BA186</f>
        <v>0</v>
      </c>
      <c r="CF81" s="195" t="b">
        <f>+BA187</f>
        <v>0</v>
      </c>
      <c r="CG81" s="195" t="b">
        <f>+BA188</f>
        <v>0</v>
      </c>
      <c r="CH81" s="195" t="b">
        <f>+BA189</f>
        <v>0</v>
      </c>
      <c r="CI81" s="195" t="b">
        <f>+BA190</f>
        <v>0</v>
      </c>
      <c r="CJ81" s="195" t="b">
        <f>+BA191</f>
        <v>0</v>
      </c>
      <c r="CK81" s="195" t="b">
        <f>+BA192</f>
        <v>0</v>
      </c>
      <c r="CL81" s="195" t="b">
        <f>+BA193</f>
        <v>0</v>
      </c>
      <c r="CM81" s="195" t="b">
        <f>+BA194</f>
        <v>0</v>
      </c>
      <c r="CN81" s="195" t="b">
        <f>+BA195</f>
        <v>0</v>
      </c>
      <c r="CO81" s="195" t="b">
        <f>+BA196</f>
        <v>0</v>
      </c>
      <c r="CP81" s="195" t="b">
        <f>+BA197</f>
        <v>0</v>
      </c>
      <c r="CQ81" s="195" t="b">
        <f>+BA198</f>
        <v>0</v>
      </c>
      <c r="CR81" s="196"/>
      <c r="CS81" s="78"/>
      <c r="CT81" s="78"/>
    </row>
    <row r="82" spans="7:98" ht="24" hidden="1" thickBot="1" x14ac:dyDescent="0.3">
      <c r="G82" s="998"/>
      <c r="O82" s="995"/>
      <c r="U82" s="126"/>
      <c r="V82" s="126"/>
      <c r="W82" s="126"/>
      <c r="X82" s="126"/>
      <c r="Y82" s="126"/>
      <c r="Z82" s="126"/>
      <c r="AA82" s="126"/>
      <c r="AB82" s="126"/>
      <c r="AC82" s="126"/>
      <c r="AD82" s="126"/>
      <c r="AE82" s="126"/>
      <c r="AF82" s="126"/>
      <c r="AG82" s="126"/>
      <c r="AH82" s="126"/>
      <c r="AI82" s="126"/>
      <c r="AJ82" s="126"/>
      <c r="AK82" s="126"/>
      <c r="AL82" s="126"/>
      <c r="AM82" s="126"/>
      <c r="AN82" s="126"/>
      <c r="AO82" s="126"/>
      <c r="AP82" s="126"/>
      <c r="AR82" s="143"/>
      <c r="AS82" s="144"/>
      <c r="AT82" s="144"/>
      <c r="AU82" s="136"/>
      <c r="AV82" s="136"/>
      <c r="AW82" s="136"/>
      <c r="AX82" s="136"/>
      <c r="AY82" s="136"/>
      <c r="AZ82" s="136"/>
      <c r="BA82" s="136"/>
      <c r="BB82" s="136"/>
      <c r="BC82" s="954"/>
      <c r="BD82" s="188"/>
      <c r="BE82" s="136"/>
      <c r="BF82" s="78"/>
      <c r="BG82" s="196" t="b">
        <f>+BG81</f>
        <v>0</v>
      </c>
      <c r="BH82" s="196" t="b">
        <f t="shared" ref="BH82:BY82" si="1">+BH81</f>
        <v>0</v>
      </c>
      <c r="BI82" s="196" t="b">
        <f>+BI81</f>
        <v>0</v>
      </c>
      <c r="BJ82" s="196" t="b">
        <f t="shared" si="1"/>
        <v>0</v>
      </c>
      <c r="BK82" s="196" t="b">
        <f t="shared" si="1"/>
        <v>0</v>
      </c>
      <c r="BL82" s="196" t="b">
        <f t="shared" si="1"/>
        <v>0</v>
      </c>
      <c r="BM82" s="196" t="b">
        <f>+BM81</f>
        <v>0</v>
      </c>
      <c r="BN82" s="196" t="b">
        <f t="shared" si="1"/>
        <v>0</v>
      </c>
      <c r="BO82" s="196" t="b">
        <f t="shared" si="1"/>
        <v>0</v>
      </c>
      <c r="BP82" s="196" t="b">
        <f t="shared" si="1"/>
        <v>0</v>
      </c>
      <c r="BQ82" s="196" t="b">
        <f t="shared" si="1"/>
        <v>0</v>
      </c>
      <c r="BR82" s="196" t="b">
        <f>+BR81</f>
        <v>0</v>
      </c>
      <c r="BS82" s="196" t="b">
        <f>+BS81</f>
        <v>0</v>
      </c>
      <c r="BT82" s="196" t="b">
        <f>+BT81</f>
        <v>0</v>
      </c>
      <c r="BU82" s="196" t="b">
        <f>+BU81</f>
        <v>0</v>
      </c>
      <c r="BV82" s="196" t="b">
        <f>+BV81</f>
        <v>0</v>
      </c>
      <c r="BW82" s="196" t="b">
        <f t="shared" si="1"/>
        <v>0</v>
      </c>
      <c r="BX82" s="196">
        <f t="shared" si="1"/>
        <v>18</v>
      </c>
      <c r="BY82" s="196" t="b">
        <f t="shared" si="1"/>
        <v>0</v>
      </c>
      <c r="BZ82" s="196" t="b">
        <f>+BZ81</f>
        <v>0</v>
      </c>
      <c r="CA82" s="196" t="b">
        <f>+CA81</f>
        <v>0</v>
      </c>
      <c r="CB82" s="196" t="b">
        <f t="shared" ref="CB82:CQ82" si="2">+CB81</f>
        <v>0</v>
      </c>
      <c r="CC82" s="196" t="b">
        <f t="shared" si="2"/>
        <v>0</v>
      </c>
      <c r="CD82" s="196" t="b">
        <f t="shared" si="2"/>
        <v>0</v>
      </c>
      <c r="CE82" s="196" t="b">
        <f t="shared" si="2"/>
        <v>0</v>
      </c>
      <c r="CF82" s="196" t="b">
        <f t="shared" si="2"/>
        <v>0</v>
      </c>
      <c r="CG82" s="196" t="b">
        <f t="shared" si="2"/>
        <v>0</v>
      </c>
      <c r="CH82" s="196" t="b">
        <f t="shared" si="2"/>
        <v>0</v>
      </c>
      <c r="CI82" s="196" t="b">
        <f t="shared" si="2"/>
        <v>0</v>
      </c>
      <c r="CJ82" s="196" t="b">
        <f t="shared" si="2"/>
        <v>0</v>
      </c>
      <c r="CK82" s="196" t="b">
        <f t="shared" si="2"/>
        <v>0</v>
      </c>
      <c r="CL82" s="196" t="b">
        <f t="shared" si="2"/>
        <v>0</v>
      </c>
      <c r="CM82" s="196" t="b">
        <f t="shared" si="2"/>
        <v>0</v>
      </c>
      <c r="CN82" s="196" t="b">
        <f t="shared" si="2"/>
        <v>0</v>
      </c>
      <c r="CO82" s="196" t="b">
        <f t="shared" si="2"/>
        <v>0</v>
      </c>
      <c r="CP82" s="196" t="b">
        <f t="shared" si="2"/>
        <v>0</v>
      </c>
      <c r="CQ82" s="196" t="b">
        <f t="shared" si="2"/>
        <v>0</v>
      </c>
      <c r="CR82" s="196"/>
      <c r="CS82" s="78"/>
      <c r="CT82" s="78"/>
    </row>
    <row r="83" spans="7:98" ht="14.25" customHeight="1" thickBot="1" x14ac:dyDescent="0.3">
      <c r="G83" s="998"/>
      <c r="K83" s="988">
        <v>5</v>
      </c>
      <c r="M83" s="988">
        <v>51</v>
      </c>
      <c r="O83" s="995"/>
      <c r="U83" s="126"/>
      <c r="V83" s="126"/>
      <c r="W83" s="126"/>
      <c r="X83" s="126"/>
      <c r="Y83" s="126"/>
      <c r="Z83" s="126"/>
      <c r="AA83" s="126"/>
      <c r="AB83" s="126"/>
      <c r="AC83" s="126"/>
      <c r="AD83" s="126"/>
      <c r="AE83" s="126"/>
      <c r="AF83" s="126"/>
      <c r="AG83" s="126"/>
      <c r="AH83" s="126"/>
      <c r="AI83" s="126"/>
      <c r="AJ83" s="126"/>
      <c r="AK83" s="126"/>
      <c r="AL83" s="126"/>
      <c r="AM83" s="126"/>
      <c r="AN83" s="126"/>
      <c r="AO83" s="126"/>
      <c r="AP83" s="126"/>
      <c r="AR83" s="143"/>
      <c r="AS83" s="144"/>
      <c r="AT83" s="144"/>
      <c r="AU83" s="136"/>
      <c r="AV83" s="136"/>
      <c r="AW83" s="136"/>
      <c r="AX83" s="136"/>
      <c r="AY83" s="136"/>
      <c r="AZ83" s="136"/>
      <c r="BA83" s="136"/>
      <c r="BB83" s="136"/>
      <c r="BC83" s="954"/>
      <c r="BD83" s="188"/>
      <c r="BE83" s="136"/>
      <c r="BF83" s="78"/>
      <c r="BG83" s="196"/>
      <c r="BH83" s="196"/>
      <c r="BI83" s="196"/>
      <c r="BJ83" s="196"/>
      <c r="BK83" s="196"/>
      <c r="BL83" s="196"/>
      <c r="BM83" s="196"/>
      <c r="BN83" s="196"/>
      <c r="BO83" s="196"/>
      <c r="BP83" s="196"/>
      <c r="BQ83" s="196"/>
      <c r="BR83" s="196"/>
      <c r="BS83" s="196"/>
      <c r="BT83" s="196"/>
      <c r="BU83" s="196"/>
      <c r="BV83" s="196"/>
      <c r="BW83" s="196"/>
      <c r="BX83" s="196"/>
      <c r="BY83" s="196"/>
      <c r="BZ83" s="196"/>
      <c r="CA83" s="196"/>
      <c r="CB83" s="196"/>
      <c r="CC83" s="196"/>
      <c r="CD83" s="196"/>
      <c r="CE83" s="196"/>
      <c r="CF83" s="196"/>
      <c r="CG83" s="196"/>
      <c r="CH83" s="196"/>
      <c r="CI83" s="196"/>
      <c r="CJ83" s="196"/>
      <c r="CK83" s="196"/>
      <c r="CL83" s="196"/>
      <c r="CM83" s="196"/>
      <c r="CN83" s="196"/>
      <c r="CO83" s="196"/>
      <c r="CP83" s="196"/>
      <c r="CQ83" s="196"/>
      <c r="CR83" s="196"/>
      <c r="CS83" s="78"/>
      <c r="CT83" s="78"/>
    </row>
    <row r="84" spans="7:98" ht="54" customHeight="1" thickBot="1" x14ac:dyDescent="0.3">
      <c r="G84" s="998"/>
      <c r="K84" s="969" t="s">
        <v>236</v>
      </c>
      <c r="L84" s="969" t="s">
        <v>238</v>
      </c>
      <c r="M84" s="969" t="s">
        <v>237</v>
      </c>
      <c r="O84" s="995"/>
      <c r="U84" s="126"/>
      <c r="V84" s="126"/>
      <c r="W84" s="126"/>
      <c r="X84" s="126"/>
      <c r="Y84" s="126"/>
      <c r="Z84" s="126"/>
      <c r="AA84" s="126"/>
      <c r="AB84" s="126"/>
      <c r="AC84" s="126"/>
      <c r="AD84" s="126"/>
      <c r="AE84" s="126"/>
      <c r="AF84" s="126"/>
      <c r="AG84" s="126"/>
      <c r="AH84" s="126"/>
      <c r="AI84" s="126"/>
      <c r="AJ84" s="126"/>
      <c r="AK84" s="126"/>
      <c r="AL84" s="126"/>
      <c r="AM84" s="126"/>
      <c r="AN84" s="126"/>
      <c r="AO84" s="126"/>
      <c r="AP84" s="126"/>
      <c r="AR84" s="143"/>
      <c r="AT84" s="144"/>
      <c r="AU84" s="136"/>
      <c r="AV84" s="136"/>
      <c r="AW84" s="136"/>
      <c r="AX84" s="136"/>
      <c r="AY84" s="136"/>
      <c r="AZ84" s="136"/>
      <c r="BA84" s="136"/>
      <c r="BB84" s="136"/>
      <c r="BD84" s="188"/>
      <c r="BE84" s="1095" t="s">
        <v>128</v>
      </c>
      <c r="BF84" s="197" t="s">
        <v>129</v>
      </c>
      <c r="BG84" s="748" t="str">
        <f>IF(BG82=1,17,"")</f>
        <v/>
      </c>
      <c r="BH84" s="749" t="str">
        <f>IF(BH82=2,16,"")</f>
        <v/>
      </c>
      <c r="BI84" s="749" t="str">
        <f>IF(BI82=3,15,"")</f>
        <v/>
      </c>
      <c r="BJ84" s="749" t="str">
        <f>IF(BJ82=4,14,"")</f>
        <v/>
      </c>
      <c r="BK84" s="749" t="str">
        <f>IF(BK82=5,13,"")</f>
        <v/>
      </c>
      <c r="BL84" s="749" t="str">
        <f>IF(BL82=6,12,"")</f>
        <v/>
      </c>
      <c r="BM84" s="749" t="str">
        <f>IF(BM82=7,11,"")</f>
        <v/>
      </c>
      <c r="BN84" s="749" t="str">
        <f>IF(BN82=8,10,"")</f>
        <v/>
      </c>
      <c r="BO84" s="749" t="str">
        <f>IF(BO82=9,9,"")</f>
        <v/>
      </c>
      <c r="BP84" s="749" t="str">
        <f>IF(BP82=10,8,"")</f>
        <v/>
      </c>
      <c r="BQ84" s="749" t="str">
        <f>IF(BQ82=11,7,"")</f>
        <v/>
      </c>
      <c r="BR84" s="928" t="str">
        <f>IF(BR82=12,1,"")</f>
        <v/>
      </c>
      <c r="BS84" s="747" t="str">
        <f>IF(BS82=13,2,"")</f>
        <v/>
      </c>
      <c r="BT84" s="747" t="str">
        <f>IF(BT82=14,3,"")</f>
        <v/>
      </c>
      <c r="BU84" s="747" t="str">
        <f>IF(BU82=15,4,"")</f>
        <v/>
      </c>
      <c r="BV84" s="747" t="str">
        <f>IF(BV82=16,5,"")</f>
        <v/>
      </c>
      <c r="BW84" s="747" t="str">
        <f>IF(BW82=17,6,"")</f>
        <v/>
      </c>
      <c r="BX84" s="747">
        <f>IF(BX82=18,7,"")</f>
        <v>7</v>
      </c>
      <c r="BY84" s="747" t="str">
        <f>IF(BY82=19,8,"")</f>
        <v/>
      </c>
      <c r="BZ84" s="747" t="str">
        <f>IF(BZ82=20,9,"")</f>
        <v/>
      </c>
      <c r="CA84" s="747" t="str">
        <f>IF(CA82=21,10,"")</f>
        <v/>
      </c>
      <c r="CB84" s="747" t="str">
        <f>IF(CB82=22,11,"")</f>
        <v/>
      </c>
      <c r="CC84" s="747" t="str">
        <f>IF(CC82=23,12,"")</f>
        <v/>
      </c>
      <c r="CD84" s="747" t="str">
        <f>IF(CD82=24,13,"")</f>
        <v/>
      </c>
      <c r="CE84" s="747" t="str">
        <f>IF(CE82=25,14,"")</f>
        <v/>
      </c>
      <c r="CF84" s="747" t="str">
        <f>IF(CF82=26,15,"")</f>
        <v/>
      </c>
      <c r="CG84" s="747" t="str">
        <f>IF(CG82=27,16,"")</f>
        <v/>
      </c>
      <c r="CH84" s="929" t="str">
        <f>IF(CH82=28,17,"")</f>
        <v/>
      </c>
      <c r="CI84" s="756" t="str">
        <f>IF(CI82=29,9,"")</f>
        <v/>
      </c>
      <c r="CJ84" s="756" t="str">
        <f>IF(CJ82=30,10,"")</f>
        <v/>
      </c>
      <c r="CK84" s="756" t="str">
        <f>IF(CK82=31,11,"")</f>
        <v/>
      </c>
      <c r="CL84" s="756" t="str">
        <f>IF(CL82=32,12,"")</f>
        <v/>
      </c>
      <c r="CM84" s="756" t="str">
        <f>IF(CM82=33,13,"")</f>
        <v/>
      </c>
      <c r="CN84" s="756" t="str">
        <f>IF(CN82=34,14,"")</f>
        <v/>
      </c>
      <c r="CO84" s="756" t="str">
        <f>IF(CO82=35,15,"")</f>
        <v/>
      </c>
      <c r="CP84" s="756" t="str">
        <f>IF(CP82=36,16,"")</f>
        <v/>
      </c>
      <c r="CQ84" s="757" t="str">
        <f>IF(CQ82=37,17,"")</f>
        <v/>
      </c>
      <c r="CR84" s="198"/>
      <c r="CS84" s="78"/>
      <c r="CT84" s="78"/>
    </row>
    <row r="85" spans="7:98" ht="49.5" customHeight="1" thickBot="1" x14ac:dyDescent="0.3">
      <c r="G85" s="998"/>
      <c r="J85" s="1056" t="s">
        <v>264</v>
      </c>
      <c r="K85" s="979">
        <f>+MIN(J19:K20)</f>
        <v>75.117370892018783</v>
      </c>
      <c r="L85" s="981">
        <f>+$E$8/(BG49)</f>
        <v>75.117370892018783</v>
      </c>
      <c r="M85" s="981">
        <f>+MIN(K25:L26)</f>
        <v>75.117370892018783</v>
      </c>
      <c r="O85" s="995"/>
      <c r="U85" s="126"/>
      <c r="V85" s="126"/>
      <c r="W85" s="126"/>
      <c r="X85" s="126"/>
      <c r="Y85" s="126"/>
      <c r="Z85" s="126"/>
      <c r="AA85" s="126"/>
      <c r="AB85" s="126"/>
      <c r="AC85" s="126"/>
      <c r="AD85" s="126"/>
      <c r="AE85" s="126"/>
      <c r="AF85" s="126"/>
      <c r="AG85" s="126"/>
      <c r="AH85" s="126"/>
      <c r="AI85" s="126"/>
      <c r="AJ85" s="126"/>
      <c r="AK85" s="126"/>
      <c r="AL85" s="126"/>
      <c r="AM85" s="126"/>
      <c r="AN85" s="126"/>
      <c r="AO85" s="126"/>
      <c r="AP85" s="126"/>
      <c r="AR85" s="143"/>
      <c r="AT85" s="144"/>
      <c r="AU85" s="136"/>
      <c r="AV85" s="136"/>
      <c r="AW85" s="136"/>
      <c r="AX85" s="136"/>
      <c r="AY85" s="136"/>
      <c r="AZ85" s="136"/>
      <c r="BA85" s="968">
        <v>5</v>
      </c>
      <c r="BB85" s="966"/>
      <c r="BC85" s="953" t="b">
        <f>AND(BE85&gt;=10,$AO$138&gt;=10,$AP$138&gt;=10)</f>
        <v>1</v>
      </c>
      <c r="BD85" s="84" t="str">
        <f>IF(BC85=TRUE,"O K","OVERLOAD")</f>
        <v>O K</v>
      </c>
      <c r="BE85" s="982">
        <f>IF(SUM(BG84:BQ84)&gt;0,K85,0)+IF(SUM(BR84:CH84)&gt;0,L85,0)+IF(SUM(CI84:CQ84)&gt;0,M85,0)</f>
        <v>75.117370892018783</v>
      </c>
      <c r="BF85" s="788" t="s">
        <v>185</v>
      </c>
      <c r="BG85" s="789">
        <v>-10</v>
      </c>
      <c r="BH85" s="789">
        <v>-9</v>
      </c>
      <c r="BI85" s="789">
        <v>-8</v>
      </c>
      <c r="BJ85" s="789">
        <v>-7</v>
      </c>
      <c r="BK85" s="789">
        <v>-6</v>
      </c>
      <c r="BL85" s="789">
        <v>-5</v>
      </c>
      <c r="BM85" s="789">
        <v>-4</v>
      </c>
      <c r="BN85" s="789">
        <v>-3</v>
      </c>
      <c r="BO85" s="789">
        <v>-2</v>
      </c>
      <c r="BP85" s="789">
        <v>-1</v>
      </c>
      <c r="BQ85" s="789">
        <v>0</v>
      </c>
      <c r="BR85" s="789">
        <v>1</v>
      </c>
      <c r="BS85" s="789">
        <v>2</v>
      </c>
      <c r="BT85" s="789">
        <v>3</v>
      </c>
      <c r="BU85" s="789">
        <v>4</v>
      </c>
      <c r="BV85" s="789">
        <v>5</v>
      </c>
      <c r="BW85" s="789">
        <v>6</v>
      </c>
      <c r="BX85" s="789">
        <v>7</v>
      </c>
      <c r="BY85" s="789">
        <v>8</v>
      </c>
      <c r="BZ85" s="789">
        <v>9</v>
      </c>
      <c r="CA85" s="790">
        <v>10</v>
      </c>
      <c r="CB85" s="789">
        <v>11</v>
      </c>
      <c r="CC85" s="789">
        <v>12</v>
      </c>
      <c r="CD85" s="789">
        <v>13</v>
      </c>
      <c r="CE85" s="789">
        <v>14</v>
      </c>
      <c r="CF85" s="789">
        <v>15</v>
      </c>
      <c r="CG85" s="789">
        <v>16</v>
      </c>
      <c r="CH85" s="789">
        <v>17</v>
      </c>
      <c r="CI85" s="789">
        <v>18</v>
      </c>
      <c r="CJ85" s="789">
        <v>19</v>
      </c>
      <c r="CK85" s="789">
        <v>20</v>
      </c>
      <c r="CL85" s="789">
        <v>21</v>
      </c>
      <c r="CM85" s="789">
        <v>22</v>
      </c>
      <c r="CN85" s="789">
        <v>23</v>
      </c>
      <c r="CO85" s="789">
        <v>24</v>
      </c>
      <c r="CP85" s="789">
        <v>25</v>
      </c>
      <c r="CQ85" s="791">
        <v>26</v>
      </c>
      <c r="CR85" s="78"/>
      <c r="CS85" s="78"/>
      <c r="CT85" s="78"/>
    </row>
    <row r="86" spans="7:98" ht="24" hidden="1" thickBot="1" x14ac:dyDescent="0.3">
      <c r="G86" s="998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O86" s="995"/>
      <c r="U86" s="126"/>
      <c r="V86" s="126"/>
      <c r="W86" s="126"/>
      <c r="X86" s="126"/>
      <c r="Y86" s="126"/>
      <c r="Z86" s="126"/>
      <c r="AA86" s="126"/>
      <c r="AB86" s="126"/>
      <c r="AC86" s="126"/>
      <c r="AD86" s="126"/>
      <c r="AE86" s="126"/>
      <c r="AF86" s="126"/>
      <c r="AG86" s="126"/>
      <c r="AH86" s="126"/>
      <c r="AI86" s="126"/>
      <c r="AJ86" s="126"/>
      <c r="AK86" s="126"/>
      <c r="AL86" s="126"/>
      <c r="AM86" s="126"/>
      <c r="AN86" s="126"/>
      <c r="AO86" s="126"/>
      <c r="AP86" s="126"/>
      <c r="AR86" s="143"/>
      <c r="AS86" s="144"/>
      <c r="AT86" s="144"/>
      <c r="AU86" s="136"/>
      <c r="AV86" s="136"/>
      <c r="AW86" s="136"/>
      <c r="AX86" s="136"/>
      <c r="AY86" s="136"/>
      <c r="AZ86" s="136"/>
      <c r="BA86" s="136"/>
      <c r="BB86" s="136"/>
      <c r="BC86" s="954"/>
      <c r="BD86" s="136"/>
      <c r="BF86" s="78"/>
      <c r="BG86" s="199">
        <v>1</v>
      </c>
      <c r="BH86" s="199">
        <v>2</v>
      </c>
      <c r="BI86" s="199">
        <v>3</v>
      </c>
      <c r="BJ86" s="199">
        <v>4</v>
      </c>
      <c r="BK86" s="199">
        <v>5</v>
      </c>
      <c r="BL86" s="199">
        <v>6</v>
      </c>
      <c r="BM86" s="199">
        <v>7</v>
      </c>
      <c r="BN86" s="199">
        <v>8</v>
      </c>
      <c r="BO86" s="199">
        <v>9</v>
      </c>
      <c r="BP86" s="199">
        <v>10</v>
      </c>
      <c r="BQ86" s="199">
        <v>11</v>
      </c>
      <c r="BR86" s="199">
        <v>12</v>
      </c>
      <c r="BS86" s="199">
        <v>13</v>
      </c>
      <c r="BT86" s="199">
        <v>14</v>
      </c>
      <c r="BU86" s="199">
        <v>15</v>
      </c>
      <c r="BV86" s="199">
        <v>16</v>
      </c>
      <c r="BW86" s="199">
        <v>17</v>
      </c>
      <c r="BX86" s="199">
        <v>18</v>
      </c>
      <c r="BY86" s="199">
        <v>19</v>
      </c>
      <c r="BZ86" s="199">
        <v>20</v>
      </c>
      <c r="CA86" s="199">
        <v>21</v>
      </c>
      <c r="CB86" s="199">
        <v>22</v>
      </c>
      <c r="CC86" s="199">
        <v>23</v>
      </c>
      <c r="CD86" s="199">
        <v>24</v>
      </c>
      <c r="CE86" s="199">
        <v>25</v>
      </c>
      <c r="CF86" s="199">
        <v>26</v>
      </c>
      <c r="CG86" s="199">
        <v>27</v>
      </c>
      <c r="CH86" s="199">
        <v>28</v>
      </c>
      <c r="CI86" s="199">
        <v>29</v>
      </c>
      <c r="CJ86" s="199">
        <v>30</v>
      </c>
      <c r="CK86" s="199">
        <v>31</v>
      </c>
      <c r="CL86" s="199">
        <v>32</v>
      </c>
      <c r="CM86" s="199">
        <v>33</v>
      </c>
      <c r="CN86" s="199">
        <v>34</v>
      </c>
      <c r="CO86" s="199">
        <v>35</v>
      </c>
      <c r="CP86" s="199">
        <v>36</v>
      </c>
      <c r="CQ86" s="199">
        <v>37</v>
      </c>
      <c r="CR86" s="199"/>
      <c r="CS86" s="78"/>
      <c r="CT86" s="78"/>
    </row>
    <row r="87" spans="7:98" ht="24" hidden="1" thickBot="1" x14ac:dyDescent="0.3">
      <c r="G87" s="998"/>
      <c r="O87" s="995"/>
      <c r="BC87" s="953"/>
      <c r="BD87" s="86"/>
      <c r="BE87" s="18"/>
      <c r="BF87" s="96"/>
      <c r="BG87" s="97"/>
      <c r="BH87" s="97"/>
      <c r="BI87" s="97"/>
      <c r="BJ87" s="97"/>
      <c r="BK87" s="97"/>
      <c r="BL87" s="97"/>
      <c r="BM87" s="97"/>
      <c r="BN87" s="97"/>
      <c r="BO87" s="94"/>
      <c r="BP87" s="94"/>
      <c r="BQ87" s="89"/>
      <c r="BR87" s="89"/>
      <c r="BS87" s="89"/>
      <c r="BT87" s="89"/>
      <c r="BU87" s="89"/>
      <c r="BV87" s="89"/>
      <c r="BW87" s="89"/>
      <c r="BX87" s="89"/>
      <c r="BY87" s="89"/>
      <c r="BZ87" s="89"/>
      <c r="CA87" s="89"/>
      <c r="CB87" s="89"/>
      <c r="CC87" s="89"/>
      <c r="CD87" s="37"/>
      <c r="CE87" s="95"/>
      <c r="CF87" s="95"/>
      <c r="CG87" s="95"/>
      <c r="CH87" s="95"/>
      <c r="CI87" s="92"/>
      <c r="CJ87" s="92"/>
      <c r="CK87" s="92"/>
      <c r="CL87" s="92"/>
      <c r="CM87" s="92"/>
      <c r="CN87" s="92"/>
      <c r="CO87" s="92"/>
      <c r="CP87" s="92"/>
      <c r="CQ87" s="92"/>
      <c r="CR87" s="92"/>
      <c r="CS87" s="17"/>
      <c r="CT87" s="78"/>
    </row>
    <row r="88" spans="7:98" ht="24" hidden="1" thickBot="1" x14ac:dyDescent="0.3">
      <c r="G88" s="998"/>
      <c r="O88" s="995"/>
      <c r="BC88" s="953"/>
      <c r="BD88" s="86"/>
      <c r="BE88" s="18"/>
      <c r="BF88" s="96">
        <v>36</v>
      </c>
      <c r="BG88" s="97"/>
      <c r="BH88" s="97"/>
      <c r="BI88" s="97"/>
      <c r="BJ88" s="97"/>
      <c r="BK88" s="97"/>
      <c r="BL88" s="97"/>
      <c r="BM88" s="97"/>
      <c r="BN88" s="97"/>
      <c r="BO88" s="94"/>
      <c r="BP88" s="94"/>
      <c r="BQ88" s="89"/>
      <c r="BR88" s="89"/>
      <c r="BS88" s="89"/>
      <c r="BT88" s="89"/>
      <c r="BU88" s="89"/>
      <c r="BV88" s="89"/>
      <c r="BW88" s="89"/>
      <c r="BX88" s="98"/>
      <c r="BY88" s="99"/>
      <c r="BZ88" s="100"/>
      <c r="CA88" s="89"/>
      <c r="CB88" s="89"/>
      <c r="CC88" s="89"/>
      <c r="CD88" s="37"/>
      <c r="CE88" s="95"/>
      <c r="CF88" s="95"/>
      <c r="CG88" s="95"/>
      <c r="CH88" s="95"/>
      <c r="CI88" s="92"/>
      <c r="CJ88" s="92"/>
      <c r="CK88" s="92"/>
      <c r="CL88" s="92"/>
      <c r="CM88" s="92"/>
      <c r="CN88" s="92"/>
      <c r="CO88" s="101" t="b">
        <f>IF(CP81=36,35)</f>
        <v>0</v>
      </c>
      <c r="CP88" s="102"/>
      <c r="CQ88" s="103" t="b">
        <f>IF(CP81=36,37)</f>
        <v>0</v>
      </c>
      <c r="CR88" s="92"/>
      <c r="CS88" s="17"/>
      <c r="CT88" s="78"/>
    </row>
    <row r="89" spans="7:98" ht="24" hidden="1" thickBot="1" x14ac:dyDescent="0.3">
      <c r="G89" s="998"/>
      <c r="O89" s="995"/>
      <c r="BC89" s="953"/>
      <c r="BD89" s="86"/>
      <c r="BE89" s="18"/>
      <c r="BF89" s="96">
        <v>35</v>
      </c>
      <c r="BG89" s="97"/>
      <c r="BH89" s="97"/>
      <c r="BI89" s="97"/>
      <c r="BJ89" s="97"/>
      <c r="BK89" s="97"/>
      <c r="BL89" s="97"/>
      <c r="BM89" s="97"/>
      <c r="BN89" s="97"/>
      <c r="BO89" s="94"/>
      <c r="BP89" s="94"/>
      <c r="BQ89" s="89"/>
      <c r="BR89" s="89"/>
      <c r="BS89" s="89"/>
      <c r="BT89" s="89"/>
      <c r="BU89" s="89"/>
      <c r="BV89" s="89"/>
      <c r="BW89" s="89"/>
      <c r="BX89" s="104"/>
      <c r="BY89" s="89"/>
      <c r="BZ89" s="105"/>
      <c r="CA89" s="89"/>
      <c r="CB89" s="89"/>
      <c r="CC89" s="89"/>
      <c r="CD89" s="37"/>
      <c r="CE89" s="95"/>
      <c r="CF89" s="95"/>
      <c r="CG89" s="95"/>
      <c r="CH89" s="95"/>
      <c r="CI89" s="92"/>
      <c r="CJ89" s="92"/>
      <c r="CK89" s="92"/>
      <c r="CL89" s="92"/>
      <c r="CM89" s="101" t="b">
        <f>IF(CO81=35,33)</f>
        <v>0</v>
      </c>
      <c r="CN89" s="102"/>
      <c r="CO89" s="102"/>
      <c r="CP89" s="102"/>
      <c r="CQ89" s="103" t="b">
        <f>IF(CO81=35,37)</f>
        <v>0</v>
      </c>
      <c r="CR89" s="92"/>
      <c r="CS89" s="17"/>
      <c r="CT89" s="78"/>
    </row>
    <row r="90" spans="7:98" ht="24" hidden="1" thickBot="1" x14ac:dyDescent="0.3">
      <c r="G90" s="998"/>
      <c r="O90" s="995"/>
      <c r="BC90" s="953"/>
      <c r="BD90" s="86"/>
      <c r="BE90" s="18"/>
      <c r="BF90" s="96">
        <v>34</v>
      </c>
      <c r="BG90" s="97"/>
      <c r="BH90" s="97"/>
      <c r="BI90" s="97"/>
      <c r="BJ90" s="97"/>
      <c r="BK90" s="97"/>
      <c r="BL90" s="97"/>
      <c r="BM90" s="97"/>
      <c r="BN90" s="97"/>
      <c r="BO90" s="94"/>
      <c r="BP90" s="94"/>
      <c r="BQ90" s="89"/>
      <c r="BR90" s="89"/>
      <c r="BS90" s="89"/>
      <c r="BT90" s="89"/>
      <c r="BU90" s="89"/>
      <c r="BV90" s="89"/>
      <c r="BW90" s="89"/>
      <c r="BX90" s="104"/>
      <c r="BY90" s="89"/>
      <c r="BZ90" s="105"/>
      <c r="CA90" s="89"/>
      <c r="CB90" s="89"/>
      <c r="CC90" s="89"/>
      <c r="CD90" s="37"/>
      <c r="CE90" s="95"/>
      <c r="CF90" s="95"/>
      <c r="CG90" s="95"/>
      <c r="CH90" s="95"/>
      <c r="CI90" s="92"/>
      <c r="CJ90" s="92"/>
      <c r="CK90" s="101" t="b">
        <f>IF(CN81=34,31)</f>
        <v>0</v>
      </c>
      <c r="CL90" s="102"/>
      <c r="CM90" s="102"/>
      <c r="CN90" s="102"/>
      <c r="CO90" s="102"/>
      <c r="CP90" s="102"/>
      <c r="CQ90" s="103" t="b">
        <f>IF(CN81=34,37)</f>
        <v>0</v>
      </c>
      <c r="CR90" s="92"/>
      <c r="CS90" s="17"/>
      <c r="CT90" s="78"/>
    </row>
    <row r="91" spans="7:98" ht="24" hidden="1" thickBot="1" x14ac:dyDescent="0.3">
      <c r="G91" s="998"/>
      <c r="O91" s="995"/>
      <c r="BC91" s="953"/>
      <c r="BD91" s="86"/>
      <c r="BE91" s="18"/>
      <c r="BF91" s="96">
        <v>33</v>
      </c>
      <c r="BG91" s="97"/>
      <c r="BH91" s="97"/>
      <c r="BI91" s="97"/>
      <c r="BJ91" s="97"/>
      <c r="BK91" s="97"/>
      <c r="BL91" s="97"/>
      <c r="BM91" s="97"/>
      <c r="BN91" s="97"/>
      <c r="BO91" s="94"/>
      <c r="BP91" s="94"/>
      <c r="BQ91" s="89"/>
      <c r="BR91" s="89"/>
      <c r="BS91" s="89"/>
      <c r="BT91" s="89"/>
      <c r="BU91" s="89"/>
      <c r="BV91" s="89"/>
      <c r="BW91" s="89"/>
      <c r="BX91" s="104"/>
      <c r="BY91" s="89"/>
      <c r="BZ91" s="105"/>
      <c r="CA91" s="89"/>
      <c r="CB91" s="89"/>
      <c r="CC91" s="89"/>
      <c r="CD91" s="37"/>
      <c r="CE91" s="95"/>
      <c r="CF91" s="95"/>
      <c r="CG91" s="95"/>
      <c r="CH91" s="95"/>
      <c r="CI91" s="101" t="b">
        <f>IF(CM81=33,29)</f>
        <v>0</v>
      </c>
      <c r="CJ91" s="102"/>
      <c r="CK91" s="102"/>
      <c r="CL91" s="102"/>
      <c r="CM91" s="102"/>
      <c r="CN91" s="102"/>
      <c r="CO91" s="102"/>
      <c r="CP91" s="102"/>
      <c r="CQ91" s="103" t="b">
        <f>IF(CM81=33,37)</f>
        <v>0</v>
      </c>
      <c r="CR91" s="92"/>
      <c r="CS91" s="17"/>
      <c r="CT91" s="78"/>
    </row>
    <row r="92" spans="7:98" ht="24" hidden="1" thickBot="1" x14ac:dyDescent="0.3">
      <c r="G92" s="998"/>
      <c r="O92" s="995"/>
      <c r="AS92" s="106"/>
      <c r="AT92" s="106"/>
      <c r="BC92" s="953"/>
      <c r="BD92" s="86"/>
      <c r="BF92" s="96">
        <v>32</v>
      </c>
      <c r="BG92" s="107"/>
      <c r="BH92" s="107"/>
      <c r="BI92" s="107"/>
      <c r="BJ92" s="107"/>
      <c r="BK92" s="107"/>
      <c r="BL92" s="108"/>
      <c r="BM92" s="107"/>
      <c r="BN92" s="107"/>
      <c r="BO92" s="107"/>
      <c r="BP92" s="107"/>
      <c r="BQ92" s="107"/>
      <c r="BR92" s="107"/>
      <c r="BS92" s="107"/>
      <c r="BT92" s="107"/>
      <c r="BU92" s="107"/>
      <c r="BV92" s="107"/>
      <c r="BW92" s="107"/>
      <c r="BX92" s="109"/>
      <c r="BY92" s="107"/>
      <c r="BZ92" s="110"/>
      <c r="CA92" s="107"/>
      <c r="CB92" s="107"/>
      <c r="CC92" s="107"/>
      <c r="CD92" s="108"/>
      <c r="CE92" s="78"/>
      <c r="CF92" s="78"/>
      <c r="CG92" s="101" t="b">
        <f>IF(CL81=32,27)</f>
        <v>0</v>
      </c>
      <c r="CH92" s="111"/>
      <c r="CI92" s="111"/>
      <c r="CJ92" s="111"/>
      <c r="CK92" s="111"/>
      <c r="CL92" s="111"/>
      <c r="CM92" s="111"/>
      <c r="CN92" s="111"/>
      <c r="CO92" s="111"/>
      <c r="CP92" s="111"/>
      <c r="CQ92" s="103" t="b">
        <f>IF(CL81=32,37)</f>
        <v>0</v>
      </c>
      <c r="CR92" s="78"/>
      <c r="CS92" s="78"/>
      <c r="CT92" s="78"/>
    </row>
    <row r="93" spans="7:98" ht="24" hidden="1" thickBot="1" x14ac:dyDescent="0.3">
      <c r="G93" s="998"/>
      <c r="O93" s="995"/>
      <c r="AS93" s="106"/>
      <c r="AT93" s="106"/>
      <c r="BC93" s="953"/>
      <c r="BD93" s="86"/>
      <c r="BF93" s="96">
        <v>31</v>
      </c>
      <c r="BG93" s="107"/>
      <c r="BH93" s="107"/>
      <c r="BI93" s="107"/>
      <c r="BJ93" s="107"/>
      <c r="BK93" s="107"/>
      <c r="BL93" s="108"/>
      <c r="BM93" s="107"/>
      <c r="BN93" s="107"/>
      <c r="BO93" s="107"/>
      <c r="BP93" s="107"/>
      <c r="BQ93" s="107"/>
      <c r="BR93" s="107"/>
      <c r="BS93" s="107"/>
      <c r="BT93" s="107"/>
      <c r="BU93" s="107"/>
      <c r="BV93" s="107"/>
      <c r="BW93" s="107"/>
      <c r="BX93" s="109"/>
      <c r="BY93" s="107"/>
      <c r="BZ93" s="110"/>
      <c r="CA93" s="107"/>
      <c r="CB93" s="107"/>
      <c r="CC93" s="107"/>
      <c r="CD93" s="108"/>
      <c r="CE93" s="101" t="b">
        <f>IF(CK81=31,25)</f>
        <v>0</v>
      </c>
      <c r="CF93" s="111"/>
      <c r="CG93" s="111"/>
      <c r="CH93" s="111"/>
      <c r="CI93" s="111"/>
      <c r="CJ93" s="111"/>
      <c r="CK93" s="111"/>
      <c r="CL93" s="111"/>
      <c r="CM93" s="111"/>
      <c r="CN93" s="111"/>
      <c r="CO93" s="111"/>
      <c r="CP93" s="111"/>
      <c r="CQ93" s="103" t="b">
        <f>IF(CK81=31,37)</f>
        <v>0</v>
      </c>
      <c r="CR93" s="78"/>
      <c r="CS93" s="78"/>
      <c r="CT93" s="78"/>
    </row>
    <row r="94" spans="7:98" ht="24" hidden="1" thickBot="1" x14ac:dyDescent="0.3">
      <c r="G94" s="998"/>
      <c r="O94" s="995"/>
      <c r="AS94" s="106"/>
      <c r="AT94" s="106"/>
      <c r="BC94" s="953"/>
      <c r="BD94" s="86"/>
      <c r="BF94" s="96">
        <v>30</v>
      </c>
      <c r="BG94" s="107"/>
      <c r="BH94" s="107"/>
      <c r="BI94" s="107"/>
      <c r="BJ94" s="107"/>
      <c r="BK94" s="107"/>
      <c r="BL94" s="108"/>
      <c r="BM94" s="107"/>
      <c r="BN94" s="107"/>
      <c r="BO94" s="107"/>
      <c r="BP94" s="107"/>
      <c r="BQ94" s="107"/>
      <c r="BR94" s="107"/>
      <c r="BS94" s="107"/>
      <c r="BT94" s="107"/>
      <c r="BU94" s="107"/>
      <c r="BV94" s="107"/>
      <c r="BW94" s="107"/>
      <c r="BX94" s="109"/>
      <c r="BY94" s="107"/>
      <c r="BZ94" s="110"/>
      <c r="CA94" s="107"/>
      <c r="CB94" s="107"/>
      <c r="CC94" s="101" t="b">
        <f>IF(CJ81=30,23)</f>
        <v>0</v>
      </c>
      <c r="CD94" s="112"/>
      <c r="CE94" s="111"/>
      <c r="CF94" s="111"/>
      <c r="CG94" s="111"/>
      <c r="CH94" s="111"/>
      <c r="CI94" s="111"/>
      <c r="CJ94" s="111"/>
      <c r="CK94" s="111"/>
      <c r="CL94" s="111"/>
      <c r="CM94" s="111"/>
      <c r="CN94" s="111"/>
      <c r="CO94" s="111"/>
      <c r="CP94" s="111"/>
      <c r="CQ94" s="103" t="b">
        <f>IF(CJ81=30,37)</f>
        <v>0</v>
      </c>
      <c r="CR94" s="78"/>
      <c r="CS94" s="78"/>
      <c r="CT94" s="78"/>
    </row>
    <row r="95" spans="7:98" ht="24" hidden="1" thickBot="1" x14ac:dyDescent="0.3">
      <c r="G95" s="998"/>
      <c r="O95" s="995"/>
      <c r="AU95" s="113"/>
      <c r="AV95" s="113"/>
      <c r="AW95" s="113"/>
      <c r="AX95" s="113"/>
      <c r="BC95" s="953"/>
      <c r="BD95" s="86"/>
      <c r="BE95" s="114"/>
      <c r="BF95" s="96">
        <v>29</v>
      </c>
      <c r="BG95" s="78"/>
      <c r="BH95" s="78"/>
      <c r="BI95" s="78"/>
      <c r="BJ95" s="78"/>
      <c r="BK95" s="78"/>
      <c r="BL95" s="78"/>
      <c r="BM95" s="78"/>
      <c r="BN95" s="78"/>
      <c r="BO95" s="78"/>
      <c r="BP95" s="78"/>
      <c r="BQ95" s="78"/>
      <c r="BR95" s="78"/>
      <c r="BS95" s="78"/>
      <c r="BT95" s="78"/>
      <c r="BU95" s="78"/>
      <c r="BV95" s="78"/>
      <c r="BW95" s="78"/>
      <c r="BX95" s="115"/>
      <c r="BY95" s="78"/>
      <c r="BZ95" s="116"/>
      <c r="CA95" s="117" t="b">
        <f>IF(CI81=29,21)</f>
        <v>0</v>
      </c>
      <c r="CB95" s="111"/>
      <c r="CC95" s="111"/>
      <c r="CD95" s="111"/>
      <c r="CE95" s="111"/>
      <c r="CF95" s="111"/>
      <c r="CG95" s="111"/>
      <c r="CH95" s="118"/>
      <c r="CI95" s="111"/>
      <c r="CJ95" s="118"/>
      <c r="CK95" s="119"/>
      <c r="CL95" s="119"/>
      <c r="CM95" s="119"/>
      <c r="CN95" s="119"/>
      <c r="CO95" s="119"/>
      <c r="CP95" s="119"/>
      <c r="CQ95" s="103" t="b">
        <f>IF(CI81=29,37)</f>
        <v>0</v>
      </c>
      <c r="CR95" s="76"/>
      <c r="CS95" s="78"/>
      <c r="CT95" s="78"/>
    </row>
    <row r="96" spans="7:98" ht="24" hidden="1" thickBot="1" x14ac:dyDescent="0.3">
      <c r="G96" s="998"/>
      <c r="O96" s="995"/>
      <c r="AU96" s="113"/>
      <c r="AV96" s="113"/>
      <c r="AW96" s="113"/>
      <c r="AX96" s="113"/>
      <c r="BC96" s="953"/>
      <c r="BD96" s="86"/>
      <c r="BE96" s="114"/>
      <c r="BF96" s="96">
        <v>28</v>
      </c>
      <c r="BG96" s="78"/>
      <c r="BH96" s="78"/>
      <c r="BI96" s="78"/>
      <c r="BJ96" s="78"/>
      <c r="BK96" s="78"/>
      <c r="BL96" s="78"/>
      <c r="BM96" s="78"/>
      <c r="BN96" s="78"/>
      <c r="BO96" s="78"/>
      <c r="BP96" s="78"/>
      <c r="BQ96" s="78"/>
      <c r="BR96" s="78"/>
      <c r="BS96" s="78"/>
      <c r="BT96" s="78"/>
      <c r="BU96" s="78"/>
      <c r="BV96" s="78"/>
      <c r="BW96" s="78"/>
      <c r="BX96" s="115"/>
      <c r="BY96" s="78"/>
      <c r="BZ96" s="116"/>
      <c r="CA96" s="120" t="b">
        <f>IF(CH81=28,21)</f>
        <v>0</v>
      </c>
      <c r="CB96" s="121"/>
      <c r="CC96" s="121"/>
      <c r="CD96" s="121"/>
      <c r="CE96" s="121"/>
      <c r="CF96" s="122"/>
      <c r="CG96" s="121"/>
      <c r="CH96" s="121"/>
      <c r="CI96" s="121"/>
      <c r="CJ96" s="122"/>
      <c r="CK96" s="123"/>
      <c r="CL96" s="123"/>
      <c r="CM96" s="123"/>
      <c r="CN96" s="123"/>
      <c r="CO96" s="124" t="b">
        <f>IF(CH81=28,35)</f>
        <v>0</v>
      </c>
      <c r="CP96" s="76"/>
      <c r="CQ96" s="76"/>
      <c r="CR96" s="76"/>
      <c r="CS96" s="78"/>
      <c r="CT96" s="78"/>
    </row>
    <row r="97" spans="5:98" ht="24" hidden="1" thickBot="1" x14ac:dyDescent="0.3">
      <c r="G97" s="998"/>
      <c r="O97" s="995"/>
      <c r="AS97" s="113"/>
      <c r="AT97" s="113"/>
      <c r="AU97" s="113"/>
      <c r="AV97" s="113"/>
      <c r="AW97" s="113"/>
      <c r="AX97" s="113"/>
      <c r="BC97" s="953"/>
      <c r="BD97" s="86"/>
      <c r="BE97" s="114"/>
      <c r="BF97" s="96">
        <v>27</v>
      </c>
      <c r="BG97" s="78"/>
      <c r="BH97" s="78"/>
      <c r="BI97" s="78"/>
      <c r="BJ97" s="78"/>
      <c r="BK97" s="78"/>
      <c r="BL97" s="78"/>
      <c r="BM97" s="78"/>
      <c r="BN97" s="78"/>
      <c r="BO97" s="78"/>
      <c r="BP97" s="78"/>
      <c r="BQ97" s="78"/>
      <c r="BR97" s="78"/>
      <c r="BS97" s="78"/>
      <c r="BT97" s="78"/>
      <c r="BU97" s="78"/>
      <c r="BV97" s="78"/>
      <c r="BW97" s="78"/>
      <c r="BX97" s="115"/>
      <c r="BY97" s="78"/>
      <c r="BZ97" s="116"/>
      <c r="CA97" s="120" t="b">
        <f>IF(CG81=27,21)</f>
        <v>0</v>
      </c>
      <c r="CB97" s="121"/>
      <c r="CC97" s="121"/>
      <c r="CD97" s="122"/>
      <c r="CE97" s="121"/>
      <c r="CF97" s="121"/>
      <c r="CG97" s="121"/>
      <c r="CH97" s="121"/>
      <c r="CI97" s="121"/>
      <c r="CJ97" s="122"/>
      <c r="CK97" s="123"/>
      <c r="CL97" s="123"/>
      <c r="CM97" s="124" t="b">
        <f>IF(CG81=27,33)</f>
        <v>0</v>
      </c>
      <c r="CN97" s="76"/>
      <c r="CO97" s="76"/>
      <c r="CP97" s="76"/>
      <c r="CQ97" s="76"/>
      <c r="CR97" s="76"/>
      <c r="CS97" s="78"/>
      <c r="CT97" s="78"/>
    </row>
    <row r="98" spans="5:98" ht="24" hidden="1" thickBot="1" x14ac:dyDescent="0.3">
      <c r="G98" s="998"/>
      <c r="O98" s="995"/>
      <c r="V98" s="125"/>
      <c r="W98" s="126"/>
      <c r="X98" s="126"/>
      <c r="Y98" s="126"/>
      <c r="Z98" s="126"/>
      <c r="AA98" s="126"/>
      <c r="AB98" s="126"/>
      <c r="AC98" s="126"/>
      <c r="AD98" s="126"/>
      <c r="AE98" s="126"/>
      <c r="AF98" s="126"/>
      <c r="AG98" s="126"/>
      <c r="AH98" s="126"/>
      <c r="AI98" s="126"/>
      <c r="AJ98" s="126"/>
      <c r="AK98" s="126"/>
      <c r="AL98" s="126"/>
      <c r="AM98" s="126"/>
      <c r="AN98" s="126"/>
      <c r="AO98" s="126"/>
      <c r="AP98" s="126"/>
      <c r="BC98" s="953"/>
      <c r="BD98" s="86"/>
      <c r="BF98" s="96">
        <v>26</v>
      </c>
      <c r="BG98" s="78"/>
      <c r="BH98" s="78"/>
      <c r="BI98" s="78"/>
      <c r="BJ98" s="78"/>
      <c r="BK98" s="78"/>
      <c r="BL98" s="78"/>
      <c r="BM98" s="78"/>
      <c r="BN98" s="78"/>
      <c r="BO98" s="78"/>
      <c r="BP98" s="78"/>
      <c r="BQ98" s="78"/>
      <c r="BR98" s="78"/>
      <c r="BS98" s="78"/>
      <c r="BT98" s="78"/>
      <c r="BU98" s="78"/>
      <c r="BV98" s="78"/>
      <c r="BW98" s="78"/>
      <c r="BX98" s="115"/>
      <c r="BY98" s="78"/>
      <c r="BZ98" s="116"/>
      <c r="CA98" s="120" t="b">
        <f>IF(CF81=26,21)</f>
        <v>0</v>
      </c>
      <c r="CB98" s="122"/>
      <c r="CC98" s="121"/>
      <c r="CD98" s="121"/>
      <c r="CE98" s="121"/>
      <c r="CF98" s="121"/>
      <c r="CG98" s="121"/>
      <c r="CH98" s="121"/>
      <c r="CI98" s="121"/>
      <c r="CJ98" s="122"/>
      <c r="CK98" s="124" t="b">
        <f>IF(CF81=26,31)</f>
        <v>0</v>
      </c>
      <c r="CL98" s="76"/>
      <c r="CM98" s="76"/>
      <c r="CN98" s="76"/>
      <c r="CO98" s="76"/>
      <c r="CP98" s="76"/>
      <c r="CQ98" s="76"/>
      <c r="CR98" s="76"/>
      <c r="CS98" s="78"/>
      <c r="CT98" s="78"/>
    </row>
    <row r="99" spans="5:98" ht="24" hidden="1" thickBot="1" x14ac:dyDescent="0.3">
      <c r="E99" s="127"/>
      <c r="F99" s="127"/>
      <c r="G99" s="998"/>
      <c r="O99" s="995"/>
      <c r="V99" s="125"/>
      <c r="W99" s="126"/>
      <c r="X99" s="126"/>
      <c r="Y99" s="126"/>
      <c r="Z99" s="126"/>
      <c r="AA99" s="126"/>
      <c r="AB99" s="126"/>
      <c r="AC99" s="126"/>
      <c r="AD99" s="126"/>
      <c r="AE99" s="126"/>
      <c r="AF99" s="126"/>
      <c r="AG99" s="126"/>
      <c r="AH99" s="126"/>
      <c r="AI99" s="126"/>
      <c r="AJ99" s="126"/>
      <c r="AK99" s="126"/>
      <c r="AL99" s="126"/>
      <c r="AM99" s="126"/>
      <c r="AN99" s="126"/>
      <c r="AO99" s="126"/>
      <c r="AP99" s="126"/>
      <c r="AU99" s="126"/>
      <c r="AV99" s="126"/>
      <c r="AW99" s="126"/>
      <c r="AX99" s="126"/>
      <c r="BC99" s="953"/>
      <c r="BD99" s="86"/>
      <c r="BE99" s="126"/>
      <c r="BF99" s="96">
        <v>25</v>
      </c>
      <c r="BG99" s="78"/>
      <c r="BH99" s="78"/>
      <c r="BI99" s="78"/>
      <c r="BJ99" s="78"/>
      <c r="BK99" s="78"/>
      <c r="BL99" s="78"/>
      <c r="BM99" s="78"/>
      <c r="BN99" s="78"/>
      <c r="BO99" s="78"/>
      <c r="BP99" s="78"/>
      <c r="BQ99" s="78"/>
      <c r="BS99" s="78"/>
      <c r="BT99" s="78"/>
      <c r="BU99" s="78"/>
      <c r="BV99" s="78"/>
      <c r="BW99" s="78"/>
      <c r="BX99" s="115"/>
      <c r="BY99" s="78"/>
      <c r="CA99" s="128" t="b">
        <f>IF(CE81=25,21)</f>
        <v>0</v>
      </c>
      <c r="CB99" s="121"/>
      <c r="CC99" s="121"/>
      <c r="CD99" s="121"/>
      <c r="CE99" s="121"/>
      <c r="CF99" s="121"/>
      <c r="CG99" s="121"/>
      <c r="CH99" s="121"/>
      <c r="CI99" s="124" t="b">
        <f>IF(CE81=25,29)</f>
        <v>0</v>
      </c>
      <c r="CK99" s="76"/>
      <c r="CL99" s="76"/>
      <c r="CM99" s="76"/>
      <c r="CN99" s="76"/>
      <c r="CO99" s="76"/>
      <c r="CP99" s="76"/>
      <c r="CQ99" s="76"/>
      <c r="CR99" s="76"/>
      <c r="CS99" s="78"/>
      <c r="CT99" s="78"/>
    </row>
    <row r="100" spans="5:98" ht="24" hidden="1" thickBot="1" x14ac:dyDescent="0.3">
      <c r="E100" s="127"/>
      <c r="F100" s="127"/>
      <c r="G100" s="998"/>
      <c r="O100" s="995"/>
      <c r="V100" s="125"/>
      <c r="W100" s="126"/>
      <c r="X100" s="126"/>
      <c r="Y100" s="126"/>
      <c r="Z100" s="126"/>
      <c r="AA100" s="126"/>
      <c r="AB100" s="126"/>
      <c r="AC100" s="126"/>
      <c r="AD100" s="126"/>
      <c r="AE100" s="126"/>
      <c r="AF100" s="126"/>
      <c r="AG100" s="126"/>
      <c r="AH100" s="126"/>
      <c r="AI100" s="126"/>
      <c r="AJ100" s="126"/>
      <c r="AK100" s="126"/>
      <c r="AL100" s="126"/>
      <c r="AM100" s="126"/>
      <c r="AN100" s="126"/>
      <c r="AO100" s="126"/>
      <c r="AP100" s="126"/>
      <c r="AU100" s="126"/>
      <c r="AV100" s="126"/>
      <c r="AW100" s="126"/>
      <c r="AX100" s="126"/>
      <c r="BC100" s="953"/>
      <c r="BD100" s="86"/>
      <c r="BE100" s="126"/>
      <c r="BF100" s="96">
        <v>24</v>
      </c>
      <c r="BG100" s="78"/>
      <c r="BH100" s="78"/>
      <c r="BI100" s="78"/>
      <c r="BJ100" s="78"/>
      <c r="BK100" s="78"/>
      <c r="BL100" s="78"/>
      <c r="BM100" s="78"/>
      <c r="BN100" s="78"/>
      <c r="BO100" s="78"/>
      <c r="BP100" s="78"/>
      <c r="BQ100" s="78"/>
      <c r="BR100" s="117" t="b">
        <f>IF(CD81=24,12)</f>
        <v>0</v>
      </c>
      <c r="BS100" s="111"/>
      <c r="BT100" s="111"/>
      <c r="BU100" s="111"/>
      <c r="BV100" s="111"/>
      <c r="BW100" s="111"/>
      <c r="BX100" s="118"/>
      <c r="BY100" s="111"/>
      <c r="BZ100" s="129"/>
      <c r="CA100" s="111"/>
      <c r="CB100" s="111"/>
      <c r="CC100" s="111"/>
      <c r="CD100" s="111"/>
      <c r="CE100" s="111"/>
      <c r="CF100" s="111"/>
      <c r="CG100" s="111"/>
      <c r="CH100" s="111"/>
      <c r="CI100" s="111"/>
      <c r="CJ100" s="118"/>
      <c r="CK100" s="119"/>
      <c r="CL100" s="119"/>
      <c r="CM100" s="119"/>
      <c r="CN100" s="119"/>
      <c r="CO100" s="119"/>
      <c r="CP100" s="103" t="b">
        <f>IF(CD81=24,36)</f>
        <v>0</v>
      </c>
      <c r="CQ100" s="76"/>
      <c r="CR100" s="76"/>
      <c r="CS100" s="78"/>
      <c r="CT100" s="78"/>
    </row>
    <row r="101" spans="5:98" ht="24" hidden="1" thickBot="1" x14ac:dyDescent="0.3">
      <c r="E101" s="130"/>
      <c r="F101" s="130"/>
      <c r="G101" s="998"/>
      <c r="O101" s="995"/>
      <c r="V101" s="131"/>
      <c r="W101" s="126"/>
      <c r="X101" s="126"/>
      <c r="Y101" s="126"/>
      <c r="Z101" s="126"/>
      <c r="AA101" s="126"/>
      <c r="AB101" s="126"/>
      <c r="AC101" s="126"/>
      <c r="AD101" s="126"/>
      <c r="AE101" s="126"/>
      <c r="AF101" s="126"/>
      <c r="AG101" s="126"/>
      <c r="AH101" s="126"/>
      <c r="AI101" s="126"/>
      <c r="AJ101" s="126"/>
      <c r="AK101" s="126"/>
      <c r="AL101" s="126"/>
      <c r="AM101" s="126"/>
      <c r="AN101" s="126"/>
      <c r="AO101" s="126"/>
      <c r="AP101" s="126"/>
      <c r="AU101" s="126"/>
      <c r="AV101" s="126"/>
      <c r="AW101" s="126"/>
      <c r="AX101" s="126"/>
      <c r="BC101" s="953"/>
      <c r="BD101" s="86"/>
      <c r="BE101" s="126"/>
      <c r="BF101" s="96">
        <v>23</v>
      </c>
      <c r="BG101" s="78"/>
      <c r="BH101" s="78"/>
      <c r="BI101" s="78"/>
      <c r="BJ101" s="78"/>
      <c r="BK101" s="78"/>
      <c r="BL101" s="78"/>
      <c r="BM101" s="78"/>
      <c r="BN101" s="78"/>
      <c r="BO101" s="78"/>
      <c r="BP101" s="78"/>
      <c r="BQ101" s="78"/>
      <c r="BR101" s="120" t="b">
        <f>IF(CC81=23,12)</f>
        <v>0</v>
      </c>
      <c r="BS101" s="121"/>
      <c r="BT101" s="121"/>
      <c r="BU101" s="121"/>
      <c r="BV101" s="122"/>
      <c r="BW101" s="121"/>
      <c r="BX101" s="132"/>
      <c r="BY101" s="121"/>
      <c r="BZ101" s="133"/>
      <c r="CA101" s="121"/>
      <c r="CB101" s="121"/>
      <c r="CC101" s="121"/>
      <c r="CD101" s="121"/>
      <c r="CE101" s="121"/>
      <c r="CF101" s="121"/>
      <c r="CG101" s="121"/>
      <c r="CH101" s="121"/>
      <c r="CI101" s="121"/>
      <c r="CJ101" s="122"/>
      <c r="CK101" s="123"/>
      <c r="CL101" s="123"/>
      <c r="CM101" s="123"/>
      <c r="CN101" s="124" t="b">
        <f>IF(CC81=23,34)</f>
        <v>0</v>
      </c>
      <c r="CO101" s="76"/>
      <c r="CP101" s="76"/>
      <c r="CQ101" s="76"/>
      <c r="CR101" s="76"/>
      <c r="CS101" s="78"/>
      <c r="CT101" s="78"/>
    </row>
    <row r="102" spans="5:98" ht="24" hidden="1" thickBot="1" x14ac:dyDescent="0.3">
      <c r="E102" s="130"/>
      <c r="F102" s="130"/>
      <c r="G102" s="998"/>
      <c r="O102" s="995"/>
      <c r="V102" s="125"/>
      <c r="W102" s="126"/>
      <c r="X102" s="126"/>
      <c r="Y102" s="126"/>
      <c r="Z102" s="126"/>
      <c r="AA102" s="126"/>
      <c r="AB102" s="126"/>
      <c r="AC102" s="126"/>
      <c r="AD102" s="126"/>
      <c r="AE102" s="126"/>
      <c r="AF102" s="126"/>
      <c r="AG102" s="126"/>
      <c r="AH102" s="126"/>
      <c r="AI102" s="126"/>
      <c r="AJ102" s="126"/>
      <c r="AK102" s="126"/>
      <c r="AL102" s="126"/>
      <c r="AM102" s="126"/>
      <c r="AN102" s="126"/>
      <c r="AO102" s="126"/>
      <c r="AP102" s="126"/>
      <c r="AU102" s="126"/>
      <c r="AV102" s="126"/>
      <c r="AW102" s="126"/>
      <c r="AX102" s="126"/>
      <c r="BC102" s="953"/>
      <c r="BD102" s="86"/>
      <c r="BE102" s="126"/>
      <c r="BF102" s="96">
        <v>22</v>
      </c>
      <c r="BG102" s="76"/>
      <c r="BH102" s="76"/>
      <c r="BI102" s="76"/>
      <c r="BJ102" s="76"/>
      <c r="BK102" s="76"/>
      <c r="BL102" s="76"/>
      <c r="BM102" s="76"/>
      <c r="BN102" s="76"/>
      <c r="BO102" s="76"/>
      <c r="BP102" s="76"/>
      <c r="BQ102" s="76"/>
      <c r="BR102" s="120" t="b">
        <f>IF(CB81=22,12)</f>
        <v>0</v>
      </c>
      <c r="BS102" s="123"/>
      <c r="BT102" s="123"/>
      <c r="BU102" s="123"/>
      <c r="BV102" s="122"/>
      <c r="BW102" s="123"/>
      <c r="BX102" s="134"/>
      <c r="BY102" s="123"/>
      <c r="BZ102" s="135"/>
      <c r="CA102" s="123"/>
      <c r="CB102" s="123"/>
      <c r="CC102" s="123"/>
      <c r="CD102" s="123"/>
      <c r="CE102" s="121"/>
      <c r="CF102" s="121"/>
      <c r="CG102" s="122"/>
      <c r="CH102" s="121"/>
      <c r="CI102" s="121"/>
      <c r="CJ102" s="121"/>
      <c r="CK102" s="121"/>
      <c r="CL102" s="124" t="b">
        <f>IF(CB81=22,32)</f>
        <v>0</v>
      </c>
      <c r="CM102" s="78"/>
      <c r="CN102" s="78"/>
      <c r="CO102" s="78"/>
      <c r="CP102" s="78"/>
      <c r="CQ102" s="78"/>
      <c r="CR102" s="78"/>
      <c r="CS102" s="78"/>
      <c r="CT102" s="78"/>
    </row>
    <row r="103" spans="5:98" ht="24" hidden="1" thickBot="1" x14ac:dyDescent="0.3">
      <c r="G103" s="998"/>
      <c r="O103" s="995"/>
      <c r="U103" s="126"/>
      <c r="V103" s="126"/>
      <c r="W103" s="126"/>
      <c r="X103" s="126"/>
      <c r="Y103" s="126"/>
      <c r="Z103" s="126"/>
      <c r="AA103" s="126"/>
      <c r="AB103" s="126"/>
      <c r="AC103" s="126"/>
      <c r="AD103" s="126"/>
      <c r="AE103" s="126"/>
      <c r="AF103" s="126"/>
      <c r="AG103" s="126"/>
      <c r="AH103" s="126"/>
      <c r="AI103" s="126"/>
      <c r="AJ103" s="126"/>
      <c r="AK103" s="126"/>
      <c r="AL103" s="126"/>
      <c r="AM103" s="126"/>
      <c r="AN103" s="126"/>
      <c r="AO103" s="126"/>
      <c r="AP103" s="126"/>
      <c r="AU103" s="126"/>
      <c r="AV103" s="126"/>
      <c r="AW103" s="126"/>
      <c r="AX103" s="126"/>
      <c r="BC103" s="953"/>
      <c r="BD103" s="86"/>
      <c r="BE103" s="126"/>
      <c r="BF103" s="96">
        <v>21</v>
      </c>
      <c r="BG103" s="78"/>
      <c r="BH103" s="78"/>
      <c r="BI103" s="78"/>
      <c r="BJ103" s="78"/>
      <c r="BK103" s="78"/>
      <c r="BL103" s="78"/>
      <c r="BM103" s="78"/>
      <c r="BN103" s="78"/>
      <c r="BO103" s="78"/>
      <c r="BP103" s="78"/>
      <c r="BQ103" s="78"/>
      <c r="BR103" s="120" t="b">
        <f>IF(CA81=21,12)</f>
        <v>0</v>
      </c>
      <c r="BS103" s="121"/>
      <c r="BT103" s="121"/>
      <c r="BU103" s="121"/>
      <c r="BV103" s="121"/>
      <c r="BW103" s="121"/>
      <c r="BX103" s="132"/>
      <c r="BY103" s="121"/>
      <c r="BZ103" s="133"/>
      <c r="CA103" s="121"/>
      <c r="CB103" s="121"/>
      <c r="CC103" s="121"/>
      <c r="CD103" s="121"/>
      <c r="CE103" s="121"/>
      <c r="CF103" s="121"/>
      <c r="CG103" s="121"/>
      <c r="CH103" s="121"/>
      <c r="CI103" s="121"/>
      <c r="CJ103" s="124" t="b">
        <f>IF(CA81=21,30)</f>
        <v>0</v>
      </c>
      <c r="CK103" s="76"/>
      <c r="CL103" s="76"/>
      <c r="CM103" s="76"/>
      <c r="CN103" s="76"/>
      <c r="CO103" s="76"/>
      <c r="CP103" s="76"/>
      <c r="CQ103" s="76"/>
      <c r="CR103" s="76"/>
      <c r="CS103" s="78"/>
      <c r="CT103" s="78"/>
    </row>
    <row r="104" spans="5:98" ht="24" hidden="1" thickBot="1" x14ac:dyDescent="0.3">
      <c r="G104" s="998"/>
      <c r="O104" s="995"/>
      <c r="U104" s="126"/>
      <c r="V104" s="126"/>
      <c r="W104" s="126"/>
      <c r="X104" s="126"/>
      <c r="Y104" s="126"/>
      <c r="Z104" s="126"/>
      <c r="AA104" s="126"/>
      <c r="AB104" s="126"/>
      <c r="AC104" s="126"/>
      <c r="AD104" s="126"/>
      <c r="AE104" s="126"/>
      <c r="AF104" s="126"/>
      <c r="AG104" s="126"/>
      <c r="AH104" s="126"/>
      <c r="AI104" s="126"/>
      <c r="AJ104" s="126"/>
      <c r="AK104" s="126"/>
      <c r="AL104" s="126"/>
      <c r="AM104" s="126"/>
      <c r="AN104" s="126"/>
      <c r="AO104" s="126"/>
      <c r="AP104" s="126"/>
      <c r="AU104" s="136"/>
      <c r="AV104" s="136"/>
      <c r="AW104" s="136"/>
      <c r="AX104" s="136"/>
      <c r="BC104" s="953"/>
      <c r="BD104" s="86"/>
      <c r="BE104" s="136"/>
      <c r="BF104" s="96">
        <v>20</v>
      </c>
      <c r="BG104" s="78"/>
      <c r="BH104" s="78"/>
      <c r="BI104" s="78"/>
      <c r="BJ104" s="78"/>
      <c r="BK104" s="78"/>
      <c r="BL104" s="78"/>
      <c r="BM104" s="78"/>
      <c r="BN104" s="78"/>
      <c r="BQ104" s="137"/>
      <c r="BR104" s="117" t="b">
        <f>IF(BZ81=20,12)</f>
        <v>0</v>
      </c>
      <c r="BS104" s="111"/>
      <c r="BT104" s="111"/>
      <c r="BU104" s="111"/>
      <c r="BV104" s="111"/>
      <c r="BW104" s="111"/>
      <c r="BX104" s="138"/>
      <c r="BY104" s="111"/>
      <c r="BZ104" s="129"/>
      <c r="CA104" s="111"/>
      <c r="CB104" s="111"/>
      <c r="CC104" s="111"/>
      <c r="CD104" s="111"/>
      <c r="CE104" s="111"/>
      <c r="CF104" s="111"/>
      <c r="CG104" s="111"/>
      <c r="CH104" s="103" t="b">
        <f>IF(BZ81=20,28)</f>
        <v>0</v>
      </c>
      <c r="CI104" s="137"/>
      <c r="CK104" s="76"/>
      <c r="CL104" s="76"/>
      <c r="CM104" s="76"/>
      <c r="CN104" s="76"/>
      <c r="CO104" s="76"/>
      <c r="CP104" s="76"/>
      <c r="CQ104" s="76"/>
      <c r="CR104" s="76"/>
      <c r="CS104" s="78"/>
      <c r="CT104" s="78"/>
    </row>
    <row r="105" spans="5:98" ht="24" hidden="1" thickBot="1" x14ac:dyDescent="0.3">
      <c r="G105" s="998"/>
      <c r="O105" s="995"/>
      <c r="AU105" s="136"/>
      <c r="AV105" s="136"/>
      <c r="AW105" s="136"/>
      <c r="AX105" s="136"/>
      <c r="BC105" s="953"/>
      <c r="BD105" s="86"/>
      <c r="BE105" s="136"/>
      <c r="BF105" s="96">
        <v>19</v>
      </c>
      <c r="BG105" s="78"/>
      <c r="BH105" s="78"/>
      <c r="BI105" s="78"/>
      <c r="BJ105" s="78"/>
      <c r="BK105" s="78"/>
      <c r="BL105" s="78"/>
      <c r="BM105" s="78"/>
      <c r="BN105" s="78"/>
      <c r="BP105" s="139"/>
      <c r="BQ105" s="139"/>
      <c r="BR105" s="117" t="b">
        <f>IF(BY81=19,12)</f>
        <v>0</v>
      </c>
      <c r="BS105" s="119"/>
      <c r="BT105" s="119"/>
      <c r="BU105" s="118"/>
      <c r="BV105" s="119"/>
      <c r="BW105" s="119"/>
      <c r="BX105" s="140"/>
      <c r="BY105" s="119"/>
      <c r="BZ105" s="141"/>
      <c r="CA105" s="118"/>
      <c r="CB105" s="119"/>
      <c r="CC105" s="119"/>
      <c r="CD105" s="119"/>
      <c r="CE105" s="111"/>
      <c r="CF105" s="103" t="b">
        <f>IF(BY81=19,26)</f>
        <v>0</v>
      </c>
      <c r="CG105" s="142"/>
      <c r="CH105" s="137"/>
      <c r="CJ105" s="78"/>
      <c r="CK105" s="78"/>
      <c r="CL105" s="78"/>
      <c r="CM105" s="78"/>
      <c r="CN105" s="78"/>
      <c r="CO105" s="78"/>
      <c r="CP105" s="78"/>
      <c r="CQ105" s="78"/>
      <c r="CR105" s="78"/>
      <c r="CS105" s="78"/>
      <c r="CT105" s="78"/>
    </row>
    <row r="106" spans="5:98" ht="24" hidden="1" thickBot="1" x14ac:dyDescent="0.3">
      <c r="G106" s="998"/>
      <c r="O106" s="995"/>
      <c r="AU106" s="136"/>
      <c r="AV106" s="136"/>
      <c r="AW106" s="136"/>
      <c r="AX106" s="136"/>
      <c r="BC106" s="953"/>
      <c r="BD106" s="86"/>
      <c r="BE106" s="136"/>
      <c r="BF106" s="96">
        <v>18</v>
      </c>
      <c r="BG106" s="76"/>
      <c r="BH106" s="76"/>
      <c r="BI106" s="76"/>
      <c r="BJ106" s="76"/>
      <c r="BK106" s="76"/>
      <c r="BL106" s="76"/>
      <c r="BM106" s="76"/>
      <c r="BN106" s="76"/>
      <c r="BP106" s="117">
        <f>IF(BX81=18,10)</f>
        <v>10</v>
      </c>
      <c r="BQ106" s="119"/>
      <c r="BR106" s="119"/>
      <c r="BS106" s="119"/>
      <c r="BT106" s="119"/>
      <c r="BU106" s="118"/>
      <c r="BV106" s="119"/>
      <c r="BW106" s="119"/>
      <c r="BX106" s="140"/>
      <c r="BY106" s="119"/>
      <c r="BZ106" s="141"/>
      <c r="CA106" s="118"/>
      <c r="CB106" s="119"/>
      <c r="CC106" s="119"/>
      <c r="CD106" s="119"/>
      <c r="CE106" s="111"/>
      <c r="CF106" s="103">
        <f>IF(BX81=18,26)</f>
        <v>26</v>
      </c>
      <c r="CH106" s="78"/>
      <c r="CI106" s="78"/>
      <c r="CJ106" s="78"/>
      <c r="CK106" s="78"/>
      <c r="CL106" s="78"/>
      <c r="CM106" s="78"/>
      <c r="CN106" s="78"/>
      <c r="CO106" s="78"/>
      <c r="CP106" s="78"/>
      <c r="CQ106" s="78"/>
      <c r="CR106" s="78"/>
      <c r="CS106" s="78"/>
      <c r="CT106" s="78"/>
    </row>
    <row r="107" spans="5:98" ht="24" hidden="1" thickBot="1" x14ac:dyDescent="0.3">
      <c r="G107" s="998"/>
      <c r="O107" s="995"/>
      <c r="AU107" s="136"/>
      <c r="AV107" s="136"/>
      <c r="AW107" s="136"/>
      <c r="AX107" s="136"/>
      <c r="BC107" s="953"/>
      <c r="BD107" s="86"/>
      <c r="BE107" s="136"/>
      <c r="BF107" s="96">
        <v>17</v>
      </c>
      <c r="BG107" s="76"/>
      <c r="BH107" s="76"/>
      <c r="BI107" s="76"/>
      <c r="BJ107" s="76"/>
      <c r="BK107" s="76"/>
      <c r="BL107" s="76"/>
      <c r="BM107" s="76"/>
      <c r="BN107" s="117" t="b">
        <f>IF(BW81=17,8)</f>
        <v>0</v>
      </c>
      <c r="BO107" s="118"/>
      <c r="BP107" s="118"/>
      <c r="BQ107" s="119"/>
      <c r="BR107" s="119"/>
      <c r="BS107" s="119"/>
      <c r="BT107" s="119"/>
      <c r="BU107" s="119"/>
      <c r="BV107" s="119"/>
      <c r="BW107" s="119"/>
      <c r="BX107" s="140"/>
      <c r="BY107" s="119"/>
      <c r="BZ107" s="141"/>
      <c r="CA107" s="119"/>
      <c r="CB107" s="119"/>
      <c r="CC107" s="119"/>
      <c r="CD107" s="118"/>
      <c r="CE107" s="118"/>
      <c r="CF107" s="103" t="b">
        <f>IF(BW81=17,26)</f>
        <v>0</v>
      </c>
      <c r="CG107" s="78"/>
      <c r="CH107" s="78"/>
      <c r="CI107" s="78"/>
      <c r="CJ107" s="78"/>
      <c r="CK107" s="78"/>
      <c r="CL107" s="78"/>
      <c r="CM107" s="78"/>
      <c r="CN107" s="78"/>
      <c r="CO107" s="78"/>
      <c r="CP107" s="78"/>
      <c r="CQ107" s="78"/>
      <c r="CR107" s="78"/>
      <c r="CS107" s="78"/>
      <c r="CT107" s="78"/>
    </row>
    <row r="108" spans="5:98" ht="24" hidden="1" thickBot="1" x14ac:dyDescent="0.3">
      <c r="G108" s="998"/>
      <c r="O108" s="995"/>
      <c r="U108" s="126"/>
      <c r="V108" s="126"/>
      <c r="W108" s="126"/>
      <c r="X108" s="126"/>
      <c r="Y108" s="126"/>
      <c r="Z108" s="126"/>
      <c r="AA108" s="126"/>
      <c r="AB108" s="126"/>
      <c r="AC108" s="126"/>
      <c r="AD108" s="126"/>
      <c r="AE108" s="126"/>
      <c r="AF108" s="126"/>
      <c r="AG108" s="126"/>
      <c r="AH108" s="126"/>
      <c r="AI108" s="126"/>
      <c r="AJ108" s="126"/>
      <c r="AK108" s="126"/>
      <c r="AL108" s="126"/>
      <c r="AM108" s="126"/>
      <c r="AN108" s="126"/>
      <c r="AO108" s="126"/>
      <c r="AP108" s="126"/>
      <c r="AR108" s="143"/>
      <c r="AS108" s="144"/>
      <c r="AT108" s="144"/>
      <c r="AU108" s="136"/>
      <c r="AV108" s="136"/>
      <c r="AW108" s="136"/>
      <c r="AX108" s="136"/>
      <c r="BC108" s="953"/>
      <c r="BD108" s="86"/>
      <c r="BE108" s="136"/>
      <c r="BF108" s="96">
        <v>16</v>
      </c>
      <c r="BG108" s="76"/>
      <c r="BH108" s="76"/>
      <c r="BI108" s="76"/>
      <c r="BJ108" s="76"/>
      <c r="BK108" s="76"/>
      <c r="BL108" s="145" t="b">
        <f>IF(BV81=16,6)</f>
        <v>0</v>
      </c>
      <c r="BM108" s="146"/>
      <c r="BN108" s="147"/>
      <c r="BO108" s="147"/>
      <c r="BP108" s="146"/>
      <c r="BQ108" s="146"/>
      <c r="BR108" s="146"/>
      <c r="BS108" s="146"/>
      <c r="BT108" s="146"/>
      <c r="BU108" s="146"/>
      <c r="BV108" s="146"/>
      <c r="BW108" s="146"/>
      <c r="BX108" s="148"/>
      <c r="BY108" s="146"/>
      <c r="BZ108" s="149"/>
      <c r="CA108" s="146"/>
      <c r="CB108" s="146"/>
      <c r="CC108" s="147"/>
      <c r="CD108" s="147"/>
      <c r="CE108" s="150"/>
      <c r="CF108" s="151" t="b">
        <f>IF(BV81=16,26)</f>
        <v>0</v>
      </c>
      <c r="CG108" s="78"/>
      <c r="CH108" s="78"/>
      <c r="CI108" s="78"/>
      <c r="CJ108" s="78"/>
      <c r="CK108" s="78"/>
      <c r="CL108" s="78"/>
      <c r="CM108" s="78"/>
      <c r="CN108" s="78"/>
      <c r="CO108" s="78"/>
      <c r="CP108" s="78"/>
      <c r="CQ108" s="78"/>
      <c r="CR108" s="78"/>
      <c r="CS108" s="78"/>
      <c r="CT108" s="78"/>
    </row>
    <row r="109" spans="5:98" ht="24" hidden="1" thickBot="1" x14ac:dyDescent="0.3">
      <c r="G109" s="998"/>
      <c r="O109" s="995"/>
      <c r="U109" s="126"/>
      <c r="V109" s="126"/>
      <c r="W109" s="126"/>
      <c r="X109" s="126"/>
      <c r="Y109" s="126"/>
      <c r="Z109" s="126"/>
      <c r="AA109" s="126"/>
      <c r="AB109" s="126"/>
      <c r="AC109" s="126"/>
      <c r="AD109" s="126"/>
      <c r="AE109" s="126"/>
      <c r="AF109" s="126"/>
      <c r="AG109" s="126"/>
      <c r="AH109" s="126"/>
      <c r="AI109" s="126"/>
      <c r="AJ109" s="126"/>
      <c r="AK109" s="126"/>
      <c r="AL109" s="126"/>
      <c r="AM109" s="126"/>
      <c r="AN109" s="126"/>
      <c r="AO109" s="126"/>
      <c r="AP109" s="126"/>
      <c r="AR109" s="143"/>
      <c r="AS109" s="144"/>
      <c r="AT109" s="144"/>
      <c r="AU109" s="136"/>
      <c r="AV109" s="136"/>
      <c r="AW109" s="136"/>
      <c r="AX109" s="136"/>
      <c r="BC109" s="953"/>
      <c r="BD109" s="86"/>
      <c r="BE109" s="136"/>
      <c r="BF109" s="96">
        <v>15</v>
      </c>
      <c r="BG109" s="76"/>
      <c r="BH109" s="76"/>
      <c r="BI109" s="76"/>
      <c r="BJ109" s="117" t="b">
        <f>IF(BU81=15,4)</f>
        <v>0</v>
      </c>
      <c r="BK109" s="119"/>
      <c r="BL109" s="119"/>
      <c r="BM109" s="119"/>
      <c r="BN109" s="118"/>
      <c r="BO109" s="119"/>
      <c r="BP109" s="119"/>
      <c r="BQ109" s="118"/>
      <c r="BR109" s="119"/>
      <c r="BS109" s="119"/>
      <c r="BT109" s="119"/>
      <c r="BU109" s="119"/>
      <c r="BV109" s="119"/>
      <c r="BW109" s="119"/>
      <c r="BX109" s="140"/>
      <c r="BY109" s="118"/>
      <c r="BZ109" s="141"/>
      <c r="CA109" s="119"/>
      <c r="CB109" s="118"/>
      <c r="CC109" s="119"/>
      <c r="CD109" s="119"/>
      <c r="CE109" s="111"/>
      <c r="CF109" s="103" t="b">
        <f>IF(BU81=15,26)</f>
        <v>0</v>
      </c>
      <c r="CG109" s="78"/>
      <c r="CH109" s="78"/>
      <c r="CI109" s="78"/>
      <c r="CJ109" s="78"/>
      <c r="CK109" s="78"/>
      <c r="CL109" s="78"/>
      <c r="CM109" s="78"/>
      <c r="CN109" s="78"/>
      <c r="CO109" s="78"/>
      <c r="CP109" s="78"/>
      <c r="CQ109" s="78"/>
      <c r="CR109" s="78"/>
      <c r="CS109" s="78"/>
      <c r="CT109" s="78"/>
    </row>
    <row r="110" spans="5:98" ht="24" hidden="1" thickBot="1" x14ac:dyDescent="0.3">
      <c r="G110" s="998"/>
      <c r="O110" s="995"/>
      <c r="U110" s="126"/>
      <c r="V110" s="126"/>
      <c r="W110" s="126"/>
      <c r="X110" s="126"/>
      <c r="Y110" s="126"/>
      <c r="Z110" s="126"/>
      <c r="AA110" s="126"/>
      <c r="AB110" s="126"/>
      <c r="AC110" s="126"/>
      <c r="AD110" s="126"/>
      <c r="AE110" s="126"/>
      <c r="AF110" s="126"/>
      <c r="AG110" s="126"/>
      <c r="AH110" s="126"/>
      <c r="AI110" s="126"/>
      <c r="AJ110" s="126"/>
      <c r="AK110" s="126"/>
      <c r="AL110" s="126"/>
      <c r="AM110" s="126"/>
      <c r="AN110" s="126"/>
      <c r="AO110" s="126"/>
      <c r="AP110" s="126"/>
      <c r="AR110" s="143"/>
      <c r="AS110" s="144"/>
      <c r="AT110" s="144"/>
      <c r="AU110" s="136"/>
      <c r="AV110" s="136"/>
      <c r="AW110" s="136"/>
      <c r="AX110" s="136"/>
      <c r="BC110" s="953"/>
      <c r="BD110" s="86"/>
      <c r="BE110" s="136"/>
      <c r="BF110" s="96">
        <v>14</v>
      </c>
      <c r="BG110" s="76"/>
      <c r="BH110" s="117" t="b">
        <f>IF(BT81=14,2)</f>
        <v>0</v>
      </c>
      <c r="BI110" s="119"/>
      <c r="BJ110" s="119"/>
      <c r="BK110" s="119"/>
      <c r="BL110" s="118"/>
      <c r="BM110" s="119"/>
      <c r="BN110" s="119"/>
      <c r="BO110" s="118"/>
      <c r="BP110" s="119"/>
      <c r="BQ110" s="119"/>
      <c r="BR110" s="119"/>
      <c r="BS110" s="119"/>
      <c r="BT110" s="119"/>
      <c r="BU110" s="119"/>
      <c r="BV110" s="119"/>
      <c r="BW110" s="119"/>
      <c r="BX110" s="140"/>
      <c r="BY110" s="118"/>
      <c r="BZ110" s="141"/>
      <c r="CA110" s="119"/>
      <c r="CB110" s="118"/>
      <c r="CC110" s="119"/>
      <c r="CD110" s="119"/>
      <c r="CE110" s="111"/>
      <c r="CF110" s="103" t="b">
        <f>IF(BT81=14,26)</f>
        <v>0</v>
      </c>
      <c r="CG110" s="78"/>
      <c r="CH110" s="78"/>
      <c r="CI110" s="78"/>
      <c r="CJ110" s="78"/>
      <c r="CK110" s="78"/>
      <c r="CL110" s="78"/>
      <c r="CM110" s="78"/>
      <c r="CN110" s="78"/>
      <c r="CO110" s="78"/>
      <c r="CP110" s="78"/>
      <c r="CQ110" s="78"/>
      <c r="CR110" s="78"/>
      <c r="CS110" s="78"/>
      <c r="CT110" s="78"/>
    </row>
    <row r="111" spans="5:98" ht="24" hidden="1" thickBot="1" x14ac:dyDescent="0.3">
      <c r="G111" s="998"/>
      <c r="O111" s="995"/>
      <c r="U111" s="126"/>
      <c r="V111" s="126"/>
      <c r="W111" s="126"/>
      <c r="X111" s="126"/>
      <c r="Y111" s="126"/>
      <c r="Z111" s="126"/>
      <c r="AA111" s="126"/>
      <c r="AB111" s="126"/>
      <c r="AC111" s="126"/>
      <c r="AD111" s="126"/>
      <c r="AE111" s="126"/>
      <c r="AF111" s="126"/>
      <c r="AG111" s="126"/>
      <c r="AH111" s="126"/>
      <c r="AI111" s="126"/>
      <c r="AJ111" s="126"/>
      <c r="AK111" s="126"/>
      <c r="AL111" s="126"/>
      <c r="AM111" s="126"/>
      <c r="AN111" s="126"/>
      <c r="AO111" s="126"/>
      <c r="AP111" s="126"/>
      <c r="AR111" s="143"/>
      <c r="AS111" s="144"/>
      <c r="AT111" s="144"/>
      <c r="AU111" s="136"/>
      <c r="AV111" s="136"/>
      <c r="AW111" s="136"/>
      <c r="AX111" s="136"/>
      <c r="BC111" s="953"/>
      <c r="BD111" s="86"/>
      <c r="BE111" s="136"/>
      <c r="BF111" s="96">
        <v>13</v>
      </c>
      <c r="BG111" s="76"/>
      <c r="BH111" s="76"/>
      <c r="BI111" s="76"/>
      <c r="BK111" s="152"/>
      <c r="BL111" s="152"/>
      <c r="BM111" s="91"/>
      <c r="BN111" s="152"/>
      <c r="BO111" s="120" t="b">
        <f>IF(BS81=13,9)</f>
        <v>0</v>
      </c>
      <c r="BP111" s="123"/>
      <c r="BQ111" s="123"/>
      <c r="BR111" s="123"/>
      <c r="BS111" s="123"/>
      <c r="BT111" s="123"/>
      <c r="BU111" s="123"/>
      <c r="BV111" s="123"/>
      <c r="BW111" s="124" t="b">
        <f>IF(BS81=13,17)</f>
        <v>0</v>
      </c>
      <c r="BX111" s="153"/>
      <c r="BY111" s="91"/>
      <c r="BZ111" s="154"/>
      <c r="CA111" s="152"/>
      <c r="CC111" s="76"/>
      <c r="CD111" s="76"/>
      <c r="CE111" s="78"/>
      <c r="CF111" s="78"/>
      <c r="CG111" s="78"/>
      <c r="CH111" s="78"/>
      <c r="CI111" s="78"/>
      <c r="CJ111" s="78"/>
      <c r="CK111" s="78"/>
      <c r="CL111" s="78"/>
      <c r="CM111" s="78"/>
      <c r="CN111" s="78"/>
      <c r="CO111" s="78"/>
      <c r="CP111" s="78"/>
      <c r="CQ111" s="78"/>
      <c r="CR111" s="78"/>
      <c r="CS111" s="78"/>
      <c r="CT111" s="78"/>
    </row>
    <row r="112" spans="5:98" ht="24" hidden="1" thickBot="1" x14ac:dyDescent="0.3">
      <c r="G112" s="998"/>
      <c r="O112" s="995"/>
      <c r="U112" s="126"/>
      <c r="V112" s="126"/>
      <c r="W112" s="126"/>
      <c r="X112" s="126"/>
      <c r="Y112" s="126"/>
      <c r="Z112" s="126"/>
      <c r="AA112" s="126"/>
      <c r="AB112" s="126"/>
      <c r="AC112" s="126"/>
      <c r="AD112" s="126"/>
      <c r="AE112" s="126"/>
      <c r="AF112" s="126"/>
      <c r="AG112" s="126"/>
      <c r="AH112" s="126"/>
      <c r="AI112" s="126"/>
      <c r="AJ112" s="126"/>
      <c r="AK112" s="126"/>
      <c r="AL112" s="126"/>
      <c r="AM112" s="126"/>
      <c r="AN112" s="126"/>
      <c r="AO112" s="126"/>
      <c r="AP112" s="126"/>
      <c r="AR112" s="143"/>
      <c r="AS112" s="144"/>
      <c r="AT112" s="144"/>
      <c r="AU112" s="136"/>
      <c r="AV112" s="136"/>
      <c r="AW112" s="136"/>
      <c r="AX112" s="136"/>
      <c r="BC112" s="953"/>
      <c r="BD112" s="86"/>
      <c r="BE112" s="136"/>
      <c r="BF112" s="96">
        <v>12</v>
      </c>
      <c r="BG112" s="76"/>
      <c r="BI112" s="139"/>
      <c r="BJ112" s="139"/>
      <c r="BK112" s="142"/>
      <c r="BL112" s="139"/>
      <c r="BM112" s="117" t="b">
        <f>IF(BR81=12,7)</f>
        <v>0</v>
      </c>
      <c r="BN112" s="119"/>
      <c r="BO112" s="119"/>
      <c r="BP112" s="119"/>
      <c r="BQ112" s="119"/>
      <c r="BR112" s="119"/>
      <c r="BS112" s="119"/>
      <c r="BT112" s="119"/>
      <c r="BU112" s="119"/>
      <c r="BV112" s="119"/>
      <c r="BW112" s="103" t="b">
        <f>IF(BR81=12,17)</f>
        <v>0</v>
      </c>
      <c r="BX112" s="155"/>
      <c r="BY112" s="142"/>
      <c r="BZ112" s="156"/>
      <c r="CA112" s="139"/>
      <c r="CC112" s="76"/>
      <c r="CD112" s="76"/>
      <c r="CE112" s="78"/>
      <c r="CF112" s="78"/>
      <c r="CG112" s="78"/>
      <c r="CH112" s="78"/>
      <c r="CI112" s="78"/>
      <c r="CJ112" s="78"/>
      <c r="CK112" s="78"/>
      <c r="CL112" s="78"/>
      <c r="CM112" s="78"/>
      <c r="CN112" s="78"/>
      <c r="CO112" s="78"/>
      <c r="CP112" s="78"/>
      <c r="CQ112" s="78"/>
      <c r="CR112" s="78"/>
      <c r="CS112" s="78"/>
      <c r="CT112" s="78"/>
    </row>
    <row r="113" spans="2:98" ht="24" hidden="1" thickBot="1" x14ac:dyDescent="0.3">
      <c r="G113" s="998"/>
      <c r="O113" s="995"/>
      <c r="U113" s="126"/>
      <c r="V113" s="126"/>
      <c r="W113" s="126"/>
      <c r="X113" s="126"/>
      <c r="Y113" s="126"/>
      <c r="Z113" s="126"/>
      <c r="AA113" s="126"/>
      <c r="AB113" s="126"/>
      <c r="AC113" s="126"/>
      <c r="AD113" s="126"/>
      <c r="AE113" s="126"/>
      <c r="AF113" s="126"/>
      <c r="AG113" s="126"/>
      <c r="AH113" s="126"/>
      <c r="AI113" s="126"/>
      <c r="AJ113" s="126"/>
      <c r="AK113" s="126"/>
      <c r="AL113" s="126"/>
      <c r="AM113" s="126"/>
      <c r="AN113" s="126"/>
      <c r="AO113" s="126"/>
      <c r="AP113" s="126"/>
      <c r="AR113" s="143"/>
      <c r="AS113" s="144"/>
      <c r="AT113" s="144"/>
      <c r="AU113" s="136"/>
      <c r="AV113" s="136"/>
      <c r="AW113" s="136"/>
      <c r="AX113" s="136"/>
      <c r="BC113" s="953"/>
      <c r="BD113" s="86"/>
      <c r="BE113" s="136"/>
      <c r="BF113" s="96">
        <v>11</v>
      </c>
      <c r="BH113" s="152"/>
      <c r="BI113" s="91"/>
      <c r="BJ113" s="152"/>
      <c r="BK113" s="117" t="b">
        <f>IF(BQ81=11,5)</f>
        <v>0</v>
      </c>
      <c r="BL113" s="119"/>
      <c r="BM113" s="119"/>
      <c r="BN113" s="119"/>
      <c r="BO113" s="119"/>
      <c r="BP113" s="119"/>
      <c r="BQ113" s="119"/>
      <c r="BR113" s="119"/>
      <c r="BS113" s="119"/>
      <c r="BT113" s="119"/>
      <c r="BU113" s="119"/>
      <c r="BV113" s="119"/>
      <c r="BW113" s="103" t="b">
        <f>IF(BQ81=11,17)</f>
        <v>0</v>
      </c>
      <c r="BX113" s="153"/>
      <c r="BY113" s="91"/>
      <c r="BZ113" s="154"/>
      <c r="CB113" s="76"/>
      <c r="CC113" s="76"/>
      <c r="CD113" s="76"/>
      <c r="CE113" s="78"/>
      <c r="CF113" s="78"/>
      <c r="CG113" s="78"/>
      <c r="CH113" s="78"/>
      <c r="CI113" s="78"/>
      <c r="CJ113" s="78"/>
      <c r="CK113" s="78"/>
      <c r="CL113" s="78"/>
      <c r="CM113" s="78"/>
      <c r="CN113" s="78"/>
      <c r="CO113" s="78"/>
      <c r="CP113" s="78"/>
      <c r="CQ113" s="78"/>
      <c r="CR113" s="78"/>
      <c r="CS113" s="78"/>
      <c r="CT113" s="78"/>
    </row>
    <row r="114" spans="2:98" ht="24" hidden="1" thickBot="1" x14ac:dyDescent="0.3">
      <c r="B114" s="63"/>
      <c r="G114" s="998"/>
      <c r="O114" s="995"/>
      <c r="U114" s="126"/>
      <c r="V114" s="126"/>
      <c r="W114" s="126"/>
      <c r="X114" s="126"/>
      <c r="Y114" s="126"/>
      <c r="Z114" s="126"/>
      <c r="AA114" s="126"/>
      <c r="AB114" s="126"/>
      <c r="AC114" s="126"/>
      <c r="AD114" s="126"/>
      <c r="AE114" s="126"/>
      <c r="AF114" s="126"/>
      <c r="AG114" s="126"/>
      <c r="AH114" s="126"/>
      <c r="AI114" s="126"/>
      <c r="AJ114" s="126"/>
      <c r="AK114" s="126"/>
      <c r="AL114" s="126"/>
      <c r="AM114" s="126"/>
      <c r="AN114" s="126"/>
      <c r="AO114" s="126"/>
      <c r="AP114" s="126"/>
      <c r="AR114" s="143"/>
      <c r="AS114" s="144"/>
      <c r="AT114" s="144"/>
      <c r="AU114" s="136"/>
      <c r="AV114" s="136"/>
      <c r="AW114" s="136"/>
      <c r="AX114" s="136"/>
      <c r="BC114" s="953"/>
      <c r="BD114" s="86"/>
      <c r="BE114" s="136"/>
      <c r="BF114" s="96">
        <v>10</v>
      </c>
      <c r="BH114" s="152"/>
      <c r="BI114" s="117" t="b">
        <f>IF(BP81=10,3)</f>
        <v>0</v>
      </c>
      <c r="BJ114" s="119"/>
      <c r="BK114" s="119"/>
      <c r="BL114" s="119"/>
      <c r="BM114" s="119"/>
      <c r="BN114" s="119"/>
      <c r="BO114" s="119"/>
      <c r="BP114" s="119"/>
      <c r="BQ114" s="119"/>
      <c r="BR114" s="119"/>
      <c r="BS114" s="119"/>
      <c r="BT114" s="119"/>
      <c r="BU114" s="119"/>
      <c r="BV114" s="119"/>
      <c r="BW114" s="103" t="b">
        <f>IF(BP81=10,17)</f>
        <v>0</v>
      </c>
      <c r="BX114" s="153"/>
      <c r="BZ114" s="157"/>
      <c r="CA114" s="76"/>
      <c r="CB114" s="76"/>
      <c r="CC114" s="76"/>
      <c r="CD114" s="76"/>
      <c r="CE114" s="78"/>
      <c r="CF114" s="78"/>
      <c r="CG114" s="78"/>
      <c r="CH114" s="78"/>
      <c r="CI114" s="78"/>
      <c r="CJ114" s="78"/>
      <c r="CK114" s="78"/>
      <c r="CL114" s="78"/>
      <c r="CM114" s="78"/>
      <c r="CN114" s="78"/>
      <c r="CO114" s="78"/>
      <c r="CP114" s="78"/>
      <c r="CQ114" s="78"/>
      <c r="CR114" s="78"/>
      <c r="CS114" s="78"/>
      <c r="CT114" s="78"/>
    </row>
    <row r="115" spans="2:98" ht="24" hidden="1" thickBot="1" x14ac:dyDescent="0.3">
      <c r="G115" s="998"/>
      <c r="O115" s="995"/>
      <c r="U115" s="126"/>
      <c r="V115" s="126"/>
      <c r="W115" s="126"/>
      <c r="X115" s="126"/>
      <c r="Y115" s="126"/>
      <c r="Z115" s="126"/>
      <c r="AA115" s="126"/>
      <c r="AB115" s="126"/>
      <c r="AC115" s="126"/>
      <c r="AD115" s="126"/>
      <c r="AE115" s="126"/>
      <c r="AF115" s="126"/>
      <c r="AG115" s="126"/>
      <c r="AH115" s="126"/>
      <c r="AI115" s="126"/>
      <c r="AJ115" s="126"/>
      <c r="AK115" s="126"/>
      <c r="AL115" s="126"/>
      <c r="AM115" s="126"/>
      <c r="AN115" s="126"/>
      <c r="AO115" s="126"/>
      <c r="AP115" s="126"/>
      <c r="AR115" s="143"/>
      <c r="AS115" s="144"/>
      <c r="AT115" s="144"/>
      <c r="AV115" s="136"/>
      <c r="AW115" s="136"/>
      <c r="AX115" s="136"/>
      <c r="BC115" s="953"/>
      <c r="BD115" s="86"/>
      <c r="BE115" s="136"/>
      <c r="BF115" s="96">
        <v>9</v>
      </c>
      <c r="BG115" s="117" t="b">
        <f>IF(BO81=9,1)</f>
        <v>0</v>
      </c>
      <c r="BH115" s="119"/>
      <c r="BI115" s="119"/>
      <c r="BJ115" s="119"/>
      <c r="BK115" s="119"/>
      <c r="BL115" s="119"/>
      <c r="BM115" s="119"/>
      <c r="BN115" s="119"/>
      <c r="BO115" s="119"/>
      <c r="BP115" s="119"/>
      <c r="BQ115" s="119"/>
      <c r="BR115" s="119"/>
      <c r="BS115" s="119"/>
      <c r="BT115" s="119"/>
      <c r="BU115" s="119"/>
      <c r="BV115" s="119"/>
      <c r="BW115" s="103" t="b">
        <f>IF(BO81=9,17)</f>
        <v>0</v>
      </c>
      <c r="BX115" s="76"/>
      <c r="BY115" s="76"/>
      <c r="BZ115" s="157"/>
      <c r="CA115" s="76"/>
      <c r="CB115" s="76"/>
      <c r="CC115" s="76"/>
      <c r="CD115" s="76"/>
      <c r="CE115" s="78"/>
      <c r="CF115" s="78"/>
      <c r="CG115" s="78"/>
      <c r="CH115" s="78"/>
      <c r="CI115" s="78"/>
      <c r="CJ115" s="78"/>
      <c r="CK115" s="78"/>
      <c r="CL115" s="78"/>
      <c r="CM115" s="78"/>
      <c r="CN115" s="78"/>
      <c r="CO115" s="78"/>
      <c r="CP115" s="78"/>
      <c r="CQ115" s="78"/>
      <c r="CR115" s="78"/>
      <c r="CS115" s="78"/>
      <c r="CT115" s="78"/>
    </row>
    <row r="116" spans="2:98" ht="24" hidden="1" thickBot="1" x14ac:dyDescent="0.3">
      <c r="G116" s="998"/>
      <c r="O116" s="995"/>
      <c r="U116" s="126"/>
      <c r="V116" s="126"/>
      <c r="W116" s="126"/>
      <c r="X116" s="126"/>
      <c r="Y116" s="126"/>
      <c r="Z116" s="126"/>
      <c r="AA116" s="126"/>
      <c r="AB116" s="126"/>
      <c r="AC116" s="126"/>
      <c r="AD116" s="126"/>
      <c r="AE116" s="126"/>
      <c r="AF116" s="126"/>
      <c r="AG116" s="126"/>
      <c r="AH116" s="126"/>
      <c r="AI116" s="126"/>
      <c r="AJ116" s="126"/>
      <c r="AK116" s="126"/>
      <c r="AL116" s="126"/>
      <c r="AM116" s="126"/>
      <c r="AN116" s="126"/>
      <c r="AO116" s="126"/>
      <c r="AP116" s="126"/>
      <c r="AR116" s="143"/>
      <c r="AS116" s="144"/>
      <c r="AT116" s="144"/>
      <c r="AU116" s="136"/>
      <c r="AV116" s="136"/>
      <c r="AW116" s="136"/>
      <c r="AX116" s="136"/>
      <c r="BC116" s="953"/>
      <c r="BD116" s="86"/>
      <c r="BE116" s="136"/>
      <c r="BF116" s="96">
        <v>8</v>
      </c>
      <c r="BG116" s="117" t="b">
        <f>IF(BN81=8,1)</f>
        <v>0</v>
      </c>
      <c r="BH116" s="119"/>
      <c r="BI116" s="118"/>
      <c r="BJ116" s="119"/>
      <c r="BK116" s="119"/>
      <c r="BL116" s="119"/>
      <c r="BM116" s="119"/>
      <c r="BN116" s="119"/>
      <c r="BO116" s="119"/>
      <c r="BP116" s="119"/>
      <c r="BQ116" s="119"/>
      <c r="BR116" s="119"/>
      <c r="BS116" s="118"/>
      <c r="BT116" s="119"/>
      <c r="BU116" s="103" t="b">
        <f>IF(BN81=8,15)</f>
        <v>0</v>
      </c>
      <c r="BV116" s="76"/>
      <c r="BW116" s="76"/>
      <c r="BX116" s="158"/>
      <c r="BY116" s="76"/>
      <c r="BZ116" s="157"/>
      <c r="CA116" s="76"/>
      <c r="CB116" s="76"/>
      <c r="CC116" s="76"/>
      <c r="CD116" s="76"/>
      <c r="CE116" s="78"/>
      <c r="CF116" s="78"/>
      <c r="CG116" s="78"/>
      <c r="CH116" s="78"/>
      <c r="CI116" s="78"/>
      <c r="CJ116" s="78"/>
      <c r="CK116" s="78"/>
      <c r="CL116" s="78"/>
      <c r="CM116" s="78"/>
      <c r="CN116" s="78"/>
      <c r="CO116" s="78"/>
      <c r="CP116" s="78"/>
      <c r="CQ116" s="78"/>
      <c r="CR116" s="78"/>
      <c r="CS116" s="78"/>
      <c r="CT116" s="78"/>
    </row>
    <row r="117" spans="2:98" ht="24" hidden="1" thickBot="1" x14ac:dyDescent="0.3">
      <c r="G117" s="998"/>
      <c r="O117" s="995"/>
      <c r="U117" s="126"/>
      <c r="V117" s="126"/>
      <c r="W117" s="126"/>
      <c r="X117" s="126"/>
      <c r="Y117" s="126"/>
      <c r="Z117" s="126"/>
      <c r="AA117" s="126"/>
      <c r="AB117" s="126"/>
      <c r="AC117" s="126"/>
      <c r="AD117" s="126"/>
      <c r="AE117" s="126"/>
      <c r="AF117" s="126"/>
      <c r="AG117" s="126"/>
      <c r="AH117" s="126"/>
      <c r="AI117" s="126"/>
      <c r="AJ117" s="126"/>
      <c r="AK117" s="126"/>
      <c r="AL117" s="126"/>
      <c r="AM117" s="126"/>
      <c r="AN117" s="126"/>
      <c r="AO117" s="126"/>
      <c r="AP117" s="126"/>
      <c r="AR117" s="143"/>
      <c r="AS117" s="144"/>
      <c r="AT117" s="144"/>
      <c r="AV117" s="136"/>
      <c r="AW117" s="136"/>
      <c r="AX117" s="136"/>
      <c r="BC117" s="953"/>
      <c r="BD117" s="86"/>
      <c r="BE117" s="136"/>
      <c r="BF117" s="96">
        <v>7</v>
      </c>
      <c r="BG117" s="117" t="b">
        <f>IF(BM81=7,1)</f>
        <v>0</v>
      </c>
      <c r="BH117" s="118"/>
      <c r="BI117" s="119"/>
      <c r="BJ117" s="119"/>
      <c r="BK117" s="119"/>
      <c r="BL117" s="119"/>
      <c r="BM117" s="119"/>
      <c r="BN117" s="119"/>
      <c r="BO117" s="119"/>
      <c r="BP117" s="119"/>
      <c r="BQ117" s="118"/>
      <c r="BR117" s="118"/>
      <c r="BS117" s="103" t="b">
        <f>IF(BM81=7,13)</f>
        <v>0</v>
      </c>
      <c r="BT117" s="76"/>
      <c r="BU117" s="76"/>
      <c r="BV117" s="76"/>
      <c r="BW117" s="76"/>
      <c r="BX117" s="158"/>
      <c r="BY117" s="76"/>
      <c r="BZ117" s="157"/>
      <c r="CA117" s="76"/>
      <c r="CB117" s="76"/>
      <c r="CC117" s="76"/>
      <c r="CD117" s="76"/>
      <c r="CE117" s="78"/>
      <c r="CF117" s="78"/>
      <c r="CG117" s="78"/>
      <c r="CH117" s="78"/>
      <c r="CI117" s="78"/>
      <c r="CJ117" s="78"/>
      <c r="CK117" s="78"/>
      <c r="CL117" s="78"/>
      <c r="CM117" s="78"/>
      <c r="CN117" s="78"/>
      <c r="CO117" s="78"/>
      <c r="CP117" s="78"/>
      <c r="CQ117" s="78"/>
      <c r="CR117" s="78"/>
      <c r="CS117" s="78"/>
      <c r="CT117" s="78"/>
    </row>
    <row r="118" spans="2:98" ht="24" hidden="1" thickBot="1" x14ac:dyDescent="0.3">
      <c r="G118" s="998"/>
      <c r="O118" s="995"/>
      <c r="U118" s="126"/>
      <c r="V118" s="126"/>
      <c r="W118" s="126"/>
      <c r="X118" s="126"/>
      <c r="Y118" s="126"/>
      <c r="Z118" s="126"/>
      <c r="AA118" s="126"/>
      <c r="AB118" s="126"/>
      <c r="AC118" s="126"/>
      <c r="AD118" s="126"/>
      <c r="AE118" s="126"/>
      <c r="AF118" s="126"/>
      <c r="AG118" s="126"/>
      <c r="AH118" s="126"/>
      <c r="AI118" s="126"/>
      <c r="AJ118" s="126"/>
      <c r="AK118" s="126"/>
      <c r="AL118" s="126"/>
      <c r="AM118" s="126"/>
      <c r="AN118" s="126"/>
      <c r="AO118" s="126"/>
      <c r="AP118" s="126"/>
      <c r="AR118" s="143"/>
      <c r="AS118" s="144"/>
      <c r="AT118" s="144"/>
      <c r="AV118" s="136"/>
      <c r="AW118" s="136"/>
      <c r="AX118" s="136"/>
      <c r="BC118" s="953"/>
      <c r="BD118" s="86"/>
      <c r="BE118" s="136"/>
      <c r="BF118" s="96">
        <v>6</v>
      </c>
      <c r="BG118" s="120" t="b">
        <f>IF(BL81=6,1)</f>
        <v>0</v>
      </c>
      <c r="BH118" s="123"/>
      <c r="BI118" s="123"/>
      <c r="BJ118" s="123"/>
      <c r="BK118" s="123"/>
      <c r="BL118" s="123"/>
      <c r="BM118" s="123"/>
      <c r="BN118" s="123"/>
      <c r="BO118" s="123"/>
      <c r="BP118" s="123"/>
      <c r="BQ118" s="124" t="b">
        <f>IF(BL81=6,11)</f>
        <v>0</v>
      </c>
      <c r="BR118" s="76"/>
      <c r="BS118" s="76"/>
      <c r="BT118" s="76"/>
      <c r="BU118" s="76"/>
      <c r="BV118" s="76"/>
      <c r="BW118" s="76"/>
      <c r="BX118" s="158"/>
      <c r="BY118" s="76"/>
      <c r="BZ118" s="157"/>
      <c r="CA118" s="76"/>
      <c r="CB118" s="76"/>
      <c r="CC118" s="76"/>
      <c r="CD118" s="76"/>
      <c r="CE118" s="78"/>
      <c r="CF118" s="78"/>
      <c r="CG118" s="78"/>
      <c r="CH118" s="78"/>
      <c r="CI118" s="78"/>
      <c r="CJ118" s="78"/>
      <c r="CK118" s="78"/>
      <c r="CL118" s="78"/>
      <c r="CM118" s="78"/>
      <c r="CN118" s="78"/>
      <c r="CO118" s="78"/>
      <c r="CP118" s="78"/>
      <c r="CQ118" s="78"/>
      <c r="CR118" s="78"/>
      <c r="CS118" s="78"/>
      <c r="CT118" s="78"/>
    </row>
    <row r="119" spans="2:98" ht="24" hidden="1" thickBot="1" x14ac:dyDescent="0.3">
      <c r="G119" s="998"/>
      <c r="O119" s="995"/>
      <c r="U119" s="126"/>
      <c r="V119" s="126"/>
      <c r="W119" s="126"/>
      <c r="X119" s="126"/>
      <c r="Y119" s="126"/>
      <c r="Z119" s="126"/>
      <c r="AA119" s="126"/>
      <c r="AB119" s="126"/>
      <c r="AC119" s="126"/>
      <c r="AD119" s="126"/>
      <c r="AE119" s="126"/>
      <c r="AF119" s="126"/>
      <c r="AG119" s="126"/>
      <c r="AH119" s="126"/>
      <c r="AI119" s="126"/>
      <c r="AJ119" s="126"/>
      <c r="AK119" s="126"/>
      <c r="AL119" s="126"/>
      <c r="AM119" s="126"/>
      <c r="AN119" s="126"/>
      <c r="AO119" s="126"/>
      <c r="AP119" s="126"/>
      <c r="AR119" s="143"/>
      <c r="AS119" s="144"/>
      <c r="AT119" s="144"/>
      <c r="AU119" s="136"/>
      <c r="AV119" s="136"/>
      <c r="AW119" s="136"/>
      <c r="AX119" s="136"/>
      <c r="BC119" s="953"/>
      <c r="BD119" s="86"/>
      <c r="BE119" s="136"/>
      <c r="BF119" s="96">
        <v>5</v>
      </c>
      <c r="BG119" s="120" t="b">
        <f>IF(BK81=5,1)</f>
        <v>0</v>
      </c>
      <c r="BH119" s="122"/>
      <c r="BI119" s="123"/>
      <c r="BJ119" s="123"/>
      <c r="BK119" s="123"/>
      <c r="BL119" s="123"/>
      <c r="BM119" s="123"/>
      <c r="BN119" s="122"/>
      <c r="BO119" s="124" t="b">
        <f>IF(BK81=5,9)</f>
        <v>0</v>
      </c>
      <c r="BP119" s="76"/>
      <c r="BQ119" s="76"/>
      <c r="BR119" s="76"/>
      <c r="BS119" s="76"/>
      <c r="BT119" s="76"/>
      <c r="BU119" s="76"/>
      <c r="BV119" s="76"/>
      <c r="BW119" s="76"/>
      <c r="BX119" s="158"/>
      <c r="BY119" s="76"/>
      <c r="BZ119" s="157"/>
      <c r="CA119" s="76"/>
      <c r="CB119" s="76"/>
      <c r="CC119" s="76"/>
      <c r="CD119" s="76"/>
      <c r="CE119" s="78"/>
      <c r="CF119" s="78"/>
      <c r="CG119" s="78"/>
      <c r="CH119" s="78"/>
      <c r="CI119" s="78"/>
      <c r="CJ119" s="78"/>
      <c r="CK119" s="78"/>
      <c r="CL119" s="78"/>
      <c r="CM119" s="78"/>
      <c r="CN119" s="78"/>
      <c r="CO119" s="78"/>
      <c r="CP119" s="78"/>
      <c r="CQ119" s="78"/>
      <c r="CR119" s="78"/>
      <c r="CS119" s="78"/>
      <c r="CT119" s="78"/>
    </row>
    <row r="120" spans="2:98" ht="24" hidden="1" thickBot="1" x14ac:dyDescent="0.3">
      <c r="G120" s="998"/>
      <c r="O120" s="995"/>
      <c r="U120" s="126"/>
      <c r="V120" s="126"/>
      <c r="W120" s="126"/>
      <c r="X120" s="126"/>
      <c r="Y120" s="126"/>
      <c r="Z120" s="126"/>
      <c r="AA120" s="126"/>
      <c r="AB120" s="126"/>
      <c r="AC120" s="126"/>
      <c r="AD120" s="126"/>
      <c r="AE120" s="126"/>
      <c r="AF120" s="126"/>
      <c r="AG120" s="126"/>
      <c r="AH120" s="126"/>
      <c r="AI120" s="126"/>
      <c r="AJ120" s="126"/>
      <c r="AK120" s="126"/>
      <c r="AL120" s="126"/>
      <c r="AM120" s="126"/>
      <c r="AN120" s="126"/>
      <c r="AO120" s="126"/>
      <c r="AP120" s="126"/>
      <c r="AR120" s="143"/>
      <c r="AS120" s="144"/>
      <c r="AT120" s="144"/>
      <c r="AV120" s="136"/>
      <c r="AW120" s="136"/>
      <c r="AX120" s="136"/>
      <c r="BC120" s="953"/>
      <c r="BD120" s="86"/>
      <c r="BE120" s="136"/>
      <c r="BF120" s="96">
        <v>4</v>
      </c>
      <c r="BG120" s="120" t="b">
        <f>IF(BJ81=4,1)</f>
        <v>0</v>
      </c>
      <c r="BH120" s="123"/>
      <c r="BI120" s="123"/>
      <c r="BJ120" s="123"/>
      <c r="BK120" s="123"/>
      <c r="BL120" s="123"/>
      <c r="BM120" s="124" t="b">
        <f>IF(BJ81=4,7)</f>
        <v>0</v>
      </c>
      <c r="BN120" s="76"/>
      <c r="BO120" s="159"/>
      <c r="BP120" s="159"/>
      <c r="BQ120" s="76"/>
      <c r="BR120" s="159"/>
      <c r="BS120" s="76"/>
      <c r="BT120" s="76"/>
      <c r="BU120" s="76"/>
      <c r="BV120" s="76"/>
      <c r="BW120" s="76"/>
      <c r="BX120" s="158"/>
      <c r="BY120" s="76"/>
      <c r="BZ120" s="157"/>
      <c r="CA120" s="76"/>
      <c r="CB120" s="76"/>
      <c r="CC120" s="76"/>
      <c r="CD120" s="76"/>
      <c r="CE120" s="78"/>
      <c r="CF120" s="78"/>
      <c r="CG120" s="78"/>
      <c r="CH120" s="78"/>
      <c r="CI120" s="78"/>
      <c r="CJ120" s="78"/>
      <c r="CK120" s="78"/>
      <c r="CL120" s="78"/>
      <c r="CM120" s="78"/>
      <c r="CN120" s="78"/>
      <c r="CO120" s="78"/>
      <c r="CP120" s="78"/>
      <c r="CQ120" s="78"/>
      <c r="CR120" s="78"/>
      <c r="CS120" s="78"/>
      <c r="CT120" s="78"/>
    </row>
    <row r="121" spans="2:98" ht="24" hidden="1" thickBot="1" x14ac:dyDescent="0.3">
      <c r="G121" s="998"/>
      <c r="O121" s="995"/>
      <c r="U121" s="126"/>
      <c r="V121" s="126"/>
      <c r="W121" s="126"/>
      <c r="X121" s="126"/>
      <c r="Y121" s="126"/>
      <c r="Z121" s="126"/>
      <c r="AA121" s="126"/>
      <c r="AB121" s="126"/>
      <c r="AC121" s="126"/>
      <c r="AD121" s="126"/>
      <c r="AE121" s="126"/>
      <c r="AF121" s="126"/>
      <c r="AG121" s="126"/>
      <c r="AH121" s="126"/>
      <c r="AI121" s="126"/>
      <c r="AJ121" s="126"/>
      <c r="AK121" s="126"/>
      <c r="AL121" s="126"/>
      <c r="AM121" s="126"/>
      <c r="AN121" s="126"/>
      <c r="AO121" s="126"/>
      <c r="AP121" s="126"/>
      <c r="AR121" s="143"/>
      <c r="AS121" s="144"/>
      <c r="AT121" s="144"/>
      <c r="AU121" s="136"/>
      <c r="AV121" s="136"/>
      <c r="AW121" s="136"/>
      <c r="AX121" s="136"/>
      <c r="BC121" s="953"/>
      <c r="BD121" s="86"/>
      <c r="BE121" s="136"/>
      <c r="BF121" s="96">
        <v>3</v>
      </c>
      <c r="BG121" s="120" t="b">
        <f>IF(BI81=3,1)</f>
        <v>0</v>
      </c>
      <c r="BH121" s="123"/>
      <c r="BI121" s="123"/>
      <c r="BJ121" s="123"/>
      <c r="BK121" s="124" t="b">
        <f>IF(BI81=3,5)</f>
        <v>0</v>
      </c>
      <c r="BL121" s="76"/>
      <c r="BM121" s="76"/>
      <c r="BN121" s="76"/>
      <c r="BO121" s="76"/>
      <c r="BP121" s="76"/>
      <c r="BQ121" s="76"/>
      <c r="BR121" s="76"/>
      <c r="BS121" s="76"/>
      <c r="BT121" s="76"/>
      <c r="BU121" s="76"/>
      <c r="BV121" s="76"/>
      <c r="BW121" s="76"/>
      <c r="BX121" s="158"/>
      <c r="BY121" s="76"/>
      <c r="BZ121" s="157"/>
      <c r="CA121" s="76"/>
      <c r="CB121" s="76"/>
      <c r="CC121" s="76"/>
      <c r="CD121" s="76"/>
      <c r="CE121" s="78"/>
      <c r="CF121" s="78"/>
      <c r="CG121" s="78"/>
      <c r="CH121" s="78"/>
      <c r="CI121" s="78"/>
      <c r="CJ121" s="78"/>
      <c r="CK121" s="78"/>
      <c r="CL121" s="78"/>
      <c r="CM121" s="78"/>
      <c r="CN121" s="78"/>
      <c r="CO121" s="78"/>
      <c r="CP121" s="78"/>
      <c r="CQ121" s="78"/>
      <c r="CR121" s="78"/>
      <c r="CS121" s="78"/>
      <c r="CT121" s="78"/>
    </row>
    <row r="122" spans="2:98" ht="23" hidden="1" x14ac:dyDescent="0.25">
      <c r="G122" s="998"/>
      <c r="O122" s="995"/>
      <c r="U122" s="126"/>
      <c r="V122" s="126"/>
      <c r="W122" s="126"/>
      <c r="X122" s="126"/>
      <c r="Y122" s="126"/>
      <c r="Z122" s="126"/>
      <c r="AA122" s="126"/>
      <c r="AB122" s="126"/>
      <c r="AC122" s="126"/>
      <c r="AD122" s="126"/>
      <c r="AE122" s="126"/>
      <c r="AF122" s="126"/>
      <c r="AG122" s="126"/>
      <c r="AH122" s="126"/>
      <c r="AI122" s="126"/>
      <c r="AJ122" s="126"/>
      <c r="AK122" s="126"/>
      <c r="AL122" s="126"/>
      <c r="AM122" s="126"/>
      <c r="AN122" s="126"/>
      <c r="AO122" s="126"/>
      <c r="AP122" s="126"/>
      <c r="AR122" s="143"/>
      <c r="AS122" s="144"/>
      <c r="AT122" s="144"/>
      <c r="AU122" s="136"/>
      <c r="AV122" s="136"/>
      <c r="AW122" s="136"/>
      <c r="AX122" s="136"/>
      <c r="BC122" s="953"/>
      <c r="BD122" s="86"/>
      <c r="BE122" s="136"/>
      <c r="BF122" s="96">
        <v>2</v>
      </c>
      <c r="BG122" s="160" t="b">
        <f>IF(BH81=2,1)</f>
        <v>0</v>
      </c>
      <c r="BH122" s="161"/>
      <c r="BI122" s="162" t="b">
        <f>IF(BH81=2,3)</f>
        <v>0</v>
      </c>
      <c r="BJ122" s="76"/>
      <c r="BK122" s="76"/>
      <c r="BL122" s="76"/>
      <c r="BM122" s="76"/>
      <c r="BN122" s="76"/>
      <c r="BO122" s="76"/>
      <c r="BP122" s="76"/>
      <c r="BQ122" s="76"/>
      <c r="BR122" s="76"/>
      <c r="BS122" s="76"/>
      <c r="BT122" s="76"/>
      <c r="BU122" s="76"/>
      <c r="BV122" s="76"/>
      <c r="BW122" s="76"/>
      <c r="BX122" s="158"/>
      <c r="BY122" s="76"/>
      <c r="BZ122" s="157"/>
      <c r="CA122" s="76"/>
      <c r="CB122" s="76"/>
      <c r="CC122" s="76"/>
      <c r="CD122" s="76"/>
      <c r="CE122" s="78"/>
      <c r="CF122" s="78"/>
      <c r="CG122" s="78"/>
      <c r="CH122" s="78"/>
      <c r="CI122" s="78"/>
      <c r="CJ122" s="78"/>
      <c r="CK122" s="78"/>
      <c r="CL122" s="78"/>
      <c r="CM122" s="78"/>
      <c r="CN122" s="78"/>
      <c r="CO122" s="78"/>
      <c r="CP122" s="78"/>
      <c r="CQ122" s="78"/>
      <c r="CR122" s="78"/>
      <c r="CS122" s="78"/>
      <c r="CT122" s="78"/>
    </row>
    <row r="123" spans="2:98" ht="24" hidden="1" thickBot="1" x14ac:dyDescent="0.3">
      <c r="G123" s="998"/>
      <c r="O123" s="995"/>
      <c r="U123" s="126"/>
      <c r="V123" s="126"/>
      <c r="W123" s="126"/>
      <c r="X123" s="126"/>
      <c r="Y123" s="126"/>
      <c r="Z123" s="126"/>
      <c r="AA123" s="126"/>
      <c r="AB123" s="126"/>
      <c r="AC123" s="126"/>
      <c r="AD123" s="126"/>
      <c r="AE123" s="126"/>
      <c r="AF123" s="126"/>
      <c r="AG123" s="126"/>
      <c r="AH123" s="126"/>
      <c r="AI123" s="126"/>
      <c r="AJ123" s="126"/>
      <c r="AK123" s="126"/>
      <c r="AL123" s="126"/>
      <c r="AM123" s="126"/>
      <c r="AN123" s="126"/>
      <c r="AO123" s="126"/>
      <c r="AP123" s="126"/>
      <c r="AR123" s="143"/>
      <c r="AS123" s="144"/>
      <c r="AT123" s="144"/>
      <c r="AU123" s="136"/>
      <c r="AV123" s="136"/>
      <c r="AW123" s="136"/>
      <c r="AX123" s="136"/>
      <c r="BC123" s="953"/>
      <c r="BD123" s="86"/>
      <c r="BE123" s="136"/>
      <c r="BF123" s="163"/>
      <c r="BG123" s="164">
        <f t="shared" ref="BG123:BW123" si="3">SUM(BG88:BG122)</f>
        <v>0</v>
      </c>
      <c r="BH123" s="164">
        <f t="shared" si="3"/>
        <v>0</v>
      </c>
      <c r="BI123" s="164">
        <f t="shared" si="3"/>
        <v>0</v>
      </c>
      <c r="BJ123" s="164">
        <f t="shared" si="3"/>
        <v>0</v>
      </c>
      <c r="BK123" s="164">
        <f t="shared" si="3"/>
        <v>0</v>
      </c>
      <c r="BL123" s="164">
        <f t="shared" si="3"/>
        <v>0</v>
      </c>
      <c r="BM123" s="164">
        <f t="shared" si="3"/>
        <v>0</v>
      </c>
      <c r="BN123" s="164">
        <f t="shared" si="3"/>
        <v>0</v>
      </c>
      <c r="BO123" s="164">
        <f t="shared" si="3"/>
        <v>0</v>
      </c>
      <c r="BP123" s="164">
        <f t="shared" si="3"/>
        <v>10</v>
      </c>
      <c r="BQ123" s="164">
        <f t="shared" si="3"/>
        <v>0</v>
      </c>
      <c r="BR123" s="164">
        <f t="shared" si="3"/>
        <v>0</v>
      </c>
      <c r="BS123" s="164">
        <f t="shared" si="3"/>
        <v>0</v>
      </c>
      <c r="BT123" s="164">
        <f t="shared" si="3"/>
        <v>0</v>
      </c>
      <c r="BU123" s="164">
        <f t="shared" si="3"/>
        <v>0</v>
      </c>
      <c r="BV123" s="164">
        <f t="shared" si="3"/>
        <v>0</v>
      </c>
      <c r="BW123" s="165">
        <f t="shared" si="3"/>
        <v>0</v>
      </c>
      <c r="BX123" s="166"/>
      <c r="BY123" s="167"/>
      <c r="BZ123" s="168"/>
      <c r="CA123" s="787">
        <f t="shared" ref="CA123:CQ123" si="4">SUM(CA88:CA122)</f>
        <v>0</v>
      </c>
      <c r="CB123" s="164">
        <f t="shared" si="4"/>
        <v>0</v>
      </c>
      <c r="CC123" s="164">
        <f t="shared" si="4"/>
        <v>0</v>
      </c>
      <c r="CD123" s="164">
        <f t="shared" si="4"/>
        <v>0</v>
      </c>
      <c r="CE123" s="164">
        <f t="shared" si="4"/>
        <v>0</v>
      </c>
      <c r="CF123" s="164">
        <f t="shared" si="4"/>
        <v>26</v>
      </c>
      <c r="CG123" s="164">
        <f t="shared" si="4"/>
        <v>0</v>
      </c>
      <c r="CH123" s="164">
        <f t="shared" si="4"/>
        <v>0</v>
      </c>
      <c r="CI123" s="164">
        <f t="shared" si="4"/>
        <v>0</v>
      </c>
      <c r="CJ123" s="164">
        <f t="shared" si="4"/>
        <v>0</v>
      </c>
      <c r="CK123" s="164">
        <f t="shared" si="4"/>
        <v>0</v>
      </c>
      <c r="CL123" s="164">
        <f t="shared" si="4"/>
        <v>0</v>
      </c>
      <c r="CM123" s="164">
        <f t="shared" si="4"/>
        <v>0</v>
      </c>
      <c r="CN123" s="164">
        <f t="shared" si="4"/>
        <v>0</v>
      </c>
      <c r="CO123" s="164">
        <f t="shared" si="4"/>
        <v>0</v>
      </c>
      <c r="CP123" s="164">
        <f t="shared" si="4"/>
        <v>0</v>
      </c>
      <c r="CQ123" s="164">
        <f t="shared" si="4"/>
        <v>0</v>
      </c>
      <c r="CR123" s="78"/>
      <c r="CS123" s="78"/>
      <c r="CT123" s="78"/>
    </row>
    <row r="124" spans="2:98" ht="145.5" customHeight="1" thickBot="1" x14ac:dyDescent="0.3">
      <c r="G124" s="998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O124" s="995"/>
      <c r="U124" s="126"/>
      <c r="V124" s="126"/>
      <c r="W124" s="126"/>
      <c r="X124" s="126"/>
      <c r="Y124" s="126"/>
      <c r="Z124" s="126"/>
      <c r="AA124" s="126"/>
      <c r="AB124" s="126"/>
      <c r="AC124" s="126"/>
      <c r="AD124" s="126"/>
      <c r="AE124" s="126"/>
      <c r="AF124" s="126"/>
      <c r="AG124" s="126"/>
      <c r="AH124" s="126"/>
      <c r="AI124" s="126"/>
      <c r="AJ124" s="126"/>
      <c r="AK124" s="126"/>
      <c r="AL124" s="126"/>
      <c r="AM124" s="126"/>
      <c r="AN124" s="126"/>
      <c r="AO124" s="126"/>
      <c r="AP124" s="126"/>
      <c r="AR124" s="143"/>
      <c r="AS124" s="144"/>
      <c r="AT124" s="144"/>
      <c r="AU124" s="136"/>
      <c r="AV124" s="136"/>
      <c r="AW124" s="136"/>
      <c r="AX124" s="136"/>
      <c r="BC124" s="953"/>
      <c r="BD124" s="86"/>
      <c r="BE124" s="136"/>
      <c r="BF124" s="163"/>
      <c r="BG124" s="170"/>
      <c r="BH124" s="170"/>
      <c r="BI124" s="170"/>
      <c r="BJ124" s="170"/>
      <c r="BK124" s="170"/>
      <c r="BL124" s="170"/>
      <c r="BM124" s="170"/>
      <c r="BN124" s="170"/>
      <c r="BO124" s="170"/>
      <c r="BP124" s="170"/>
      <c r="BQ124" s="170"/>
      <c r="BR124" s="170"/>
      <c r="BS124" s="170"/>
      <c r="BT124" s="170"/>
      <c r="BU124" s="170"/>
      <c r="BV124" s="170"/>
      <c r="BW124" s="170"/>
      <c r="BX124" s="170"/>
      <c r="BY124" s="170"/>
      <c r="BZ124" s="170"/>
      <c r="CA124" s="170"/>
      <c r="CB124" s="170"/>
      <c r="CC124" s="170"/>
      <c r="CD124" s="170"/>
      <c r="CE124" s="170"/>
      <c r="CF124" s="170"/>
      <c r="CG124" s="170"/>
      <c r="CH124" s="170"/>
      <c r="CI124" s="170"/>
      <c r="CJ124" s="170"/>
      <c r="CK124" s="170"/>
      <c r="CL124" s="170"/>
      <c r="CM124" s="170"/>
      <c r="CN124" s="170"/>
      <c r="CO124" s="170"/>
      <c r="CP124" s="170"/>
      <c r="CQ124" s="170"/>
      <c r="CR124" s="78"/>
      <c r="CS124" s="78"/>
      <c r="CT124" s="78"/>
    </row>
    <row r="125" spans="2:98" ht="44.25" customHeight="1" thickBot="1" x14ac:dyDescent="0.3">
      <c r="G125" s="998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O125" s="995"/>
      <c r="U125" s="126"/>
      <c r="V125" s="126"/>
      <c r="W125" s="126"/>
      <c r="X125" s="126"/>
      <c r="Y125" s="126"/>
      <c r="Z125" s="126"/>
      <c r="AA125" s="126"/>
      <c r="AB125" s="126"/>
      <c r="AC125" s="126"/>
      <c r="AD125" s="126"/>
      <c r="AE125" s="126"/>
      <c r="AF125" s="126"/>
      <c r="AG125" s="126"/>
      <c r="AH125" s="126"/>
      <c r="AI125" s="126"/>
      <c r="AJ125" s="126"/>
      <c r="AK125" s="126"/>
      <c r="AL125" s="126"/>
      <c r="AM125" s="126"/>
      <c r="AN125" s="126"/>
      <c r="AO125" s="126"/>
      <c r="AP125" s="126"/>
      <c r="AR125" s="143"/>
      <c r="AS125" s="144"/>
      <c r="AT125" s="144"/>
      <c r="AU125" s="136"/>
      <c r="AV125" s="136"/>
      <c r="AW125" s="136"/>
      <c r="AX125" s="136"/>
      <c r="BC125" s="954"/>
      <c r="BD125" s="86"/>
      <c r="BE125" s="1095" t="s">
        <v>128</v>
      </c>
      <c r="BF125" s="172" t="s">
        <v>124</v>
      </c>
      <c r="BG125" s="750" t="str">
        <f>IF(BG123=1,17,"")</f>
        <v/>
      </c>
      <c r="BH125" s="751" t="str">
        <f>IF(BH123=2,16,"")</f>
        <v/>
      </c>
      <c r="BI125" s="751" t="str">
        <f>IF(BI123=3,15,"")</f>
        <v/>
      </c>
      <c r="BJ125" s="751" t="str">
        <f>IF(BJ123=4,14,"")</f>
        <v/>
      </c>
      <c r="BK125" s="751" t="str">
        <f>IF(BK123=5,13,"")</f>
        <v/>
      </c>
      <c r="BL125" s="751" t="str">
        <f>IF(BL123=6,12,"")</f>
        <v/>
      </c>
      <c r="BM125" s="751" t="str">
        <f>IF(BM123=7,11,"")</f>
        <v/>
      </c>
      <c r="BN125" s="751" t="str">
        <f>IF(BN123=8,10,"")</f>
        <v/>
      </c>
      <c r="BO125" s="751" t="str">
        <f>IF(BO123=9,9,"")</f>
        <v/>
      </c>
      <c r="BP125" s="751">
        <f>IF(BP123=10,8,"")</f>
        <v>8</v>
      </c>
      <c r="BQ125" s="751" t="str">
        <f>IF(BQ123=11,7,"")</f>
        <v/>
      </c>
      <c r="BR125" s="752" t="str">
        <f>IF(BR123=12,"6  ADS ","")</f>
        <v/>
      </c>
      <c r="BS125" s="751" t="str">
        <f>IF(BS123=13,5,"")</f>
        <v/>
      </c>
      <c r="BT125" s="751" t="str">
        <f>IF(BT123=14,4,"")</f>
        <v/>
      </c>
      <c r="BU125" s="751" t="str">
        <f>IF(BU123=15,3,"")</f>
        <v/>
      </c>
      <c r="BV125" s="751" t="str">
        <f>IF(BV123=16,2,"")</f>
        <v/>
      </c>
      <c r="BW125" s="751" t="str">
        <f>IF(BW123=17,1,"")</f>
        <v/>
      </c>
      <c r="BX125" s="173"/>
      <c r="BY125" s="174"/>
      <c r="BZ125" s="175"/>
      <c r="CA125" s="792" t="str">
        <f>IF(CA123=21,1,"")</f>
        <v/>
      </c>
      <c r="CB125" s="753" t="str">
        <f>IF(CB123=22,2,"")</f>
        <v/>
      </c>
      <c r="CC125" s="753" t="str">
        <f>IF(CC123=23,3,"")</f>
        <v/>
      </c>
      <c r="CD125" s="753" t="str">
        <f>IF(CD123=24,4,"")</f>
        <v/>
      </c>
      <c r="CE125" s="753" t="str">
        <f>IF(CE123=25,5,"")</f>
        <v/>
      </c>
      <c r="CF125" s="754" t="str">
        <f>IF(CF123=26,"6  ADS ","")</f>
        <v xml:space="preserve">6  ADS </v>
      </c>
      <c r="CG125" s="753" t="str">
        <f>IF(CG123=27,7,"")</f>
        <v/>
      </c>
      <c r="CH125" s="753" t="str">
        <f>IF(CH123=28,8,"")</f>
        <v/>
      </c>
      <c r="CI125" s="753" t="str">
        <f>IF(CI123=29,9,"")</f>
        <v/>
      </c>
      <c r="CJ125" s="753" t="str">
        <f>IF(CJ123=30,10,"")</f>
        <v/>
      </c>
      <c r="CK125" s="753" t="str">
        <f>IF(CK123=31,11,"")</f>
        <v/>
      </c>
      <c r="CL125" s="753" t="str">
        <f>IF(CL123=32,12,"")</f>
        <v/>
      </c>
      <c r="CM125" s="753" t="str">
        <f>IF(CM123=33,13,"")</f>
        <v/>
      </c>
      <c r="CN125" s="753" t="str">
        <f>IF(CN123=34,14,"")</f>
        <v/>
      </c>
      <c r="CO125" s="753" t="str">
        <f>IF(CO123=35,15,"")</f>
        <v/>
      </c>
      <c r="CP125" s="989" t="str">
        <f>IF(CP123=36,16,"")</f>
        <v/>
      </c>
      <c r="CQ125" s="755" t="str">
        <f>IF(CQ123=37,17,"")</f>
        <v/>
      </c>
      <c r="CR125" s="176"/>
      <c r="CS125" s="78"/>
      <c r="CT125" s="78"/>
    </row>
    <row r="126" spans="2:98" ht="50.25" customHeight="1" thickBot="1" x14ac:dyDescent="0.3">
      <c r="G126" s="998"/>
      <c r="H126" s="1056" t="s">
        <v>265</v>
      </c>
      <c r="I126" s="979">
        <f>+MIN(K31:L32)</f>
        <v>99.458664727826843</v>
      </c>
      <c r="J126" s="979">
        <f>+MIN(J37:K38)</f>
        <v>150.23474178403757</v>
      </c>
      <c r="K126" s="978">
        <f>+MIN(J43:L44)</f>
        <v>150.23474178403757</v>
      </c>
      <c r="L126" s="980">
        <f>+MIN(J49:L50)</f>
        <v>65.005417118093163</v>
      </c>
      <c r="M126" s="987">
        <f>+MIN(J55:L56)</f>
        <v>150.23474178403757</v>
      </c>
      <c r="O126" s="995"/>
      <c r="U126" s="126"/>
      <c r="V126" s="126"/>
      <c r="W126" s="126"/>
      <c r="X126" s="126"/>
      <c r="Y126" s="126"/>
      <c r="Z126" s="126"/>
      <c r="AA126" s="126"/>
      <c r="AB126" s="126"/>
      <c r="AC126" s="126"/>
      <c r="AD126" s="126"/>
      <c r="AE126" s="126"/>
      <c r="AF126" s="126"/>
      <c r="AG126" s="126"/>
      <c r="AH126" s="126"/>
      <c r="AI126" s="126"/>
      <c r="AJ126" s="126"/>
      <c r="AK126" s="126"/>
      <c r="AL126" s="126"/>
      <c r="AM126" s="126"/>
      <c r="AN126" s="126"/>
      <c r="AO126" s="126"/>
      <c r="AP126" s="126"/>
      <c r="AR126" s="143"/>
      <c r="AS126" s="144"/>
      <c r="AT126" s="144"/>
      <c r="AU126" s="136"/>
      <c r="AV126" s="136"/>
      <c r="AW126" s="136"/>
      <c r="AX126" s="136"/>
      <c r="BA126" s="968">
        <v>6</v>
      </c>
      <c r="BB126" s="966"/>
      <c r="BC126" s="953" t="b">
        <f>AND(BE126&gt;=10,$AO$138&gt;=10,$AP$138&gt;=10)</f>
        <v>1</v>
      </c>
      <c r="BD126" s="84" t="str">
        <f>IF(BC126=TRUE,"O K","OVERLOAD")</f>
        <v>O K</v>
      </c>
      <c r="BE126" s="982">
        <f>SUM(I132:M132)</f>
        <v>150.23474178403757</v>
      </c>
      <c r="BF126" s="788" t="s">
        <v>185</v>
      </c>
      <c r="BG126" s="789">
        <v>-10</v>
      </c>
      <c r="BH126" s="789">
        <v>-9</v>
      </c>
      <c r="BI126" s="789">
        <v>-8</v>
      </c>
      <c r="BJ126" s="789">
        <v>-7</v>
      </c>
      <c r="BK126" s="789">
        <v>-6</v>
      </c>
      <c r="BL126" s="789">
        <v>-5</v>
      </c>
      <c r="BM126" s="789">
        <v>-4</v>
      </c>
      <c r="BN126" s="789">
        <v>-3</v>
      </c>
      <c r="BO126" s="789">
        <v>-2</v>
      </c>
      <c r="BP126" s="789">
        <v>-1</v>
      </c>
      <c r="BQ126" s="789">
        <v>0</v>
      </c>
      <c r="BR126" s="789">
        <v>1</v>
      </c>
      <c r="BS126" s="789">
        <v>2</v>
      </c>
      <c r="BT126" s="789">
        <v>3</v>
      </c>
      <c r="BU126" s="789">
        <v>4</v>
      </c>
      <c r="BV126" s="789">
        <v>5</v>
      </c>
      <c r="BW126" s="789">
        <v>6</v>
      </c>
      <c r="BX126" s="789">
        <v>7</v>
      </c>
      <c r="BY126" s="789">
        <v>8</v>
      </c>
      <c r="BZ126" s="789">
        <v>9</v>
      </c>
      <c r="CA126" s="789">
        <v>10</v>
      </c>
      <c r="CB126" s="789">
        <v>11</v>
      </c>
      <c r="CC126" s="789">
        <v>12</v>
      </c>
      <c r="CD126" s="789">
        <v>13</v>
      </c>
      <c r="CE126" s="789">
        <v>14</v>
      </c>
      <c r="CF126" s="789">
        <v>15</v>
      </c>
      <c r="CG126" s="789">
        <v>16</v>
      </c>
      <c r="CH126" s="789">
        <v>17</v>
      </c>
      <c r="CI126" s="789">
        <v>18</v>
      </c>
      <c r="CJ126" s="789">
        <v>19</v>
      </c>
      <c r="CK126" s="789">
        <v>20</v>
      </c>
      <c r="CL126" s="789">
        <v>21</v>
      </c>
      <c r="CM126" s="789">
        <v>22</v>
      </c>
      <c r="CN126" s="789">
        <v>23</v>
      </c>
      <c r="CO126" s="789">
        <v>24</v>
      </c>
      <c r="CP126" s="789">
        <v>25</v>
      </c>
      <c r="CQ126" s="791">
        <v>26</v>
      </c>
      <c r="CR126" s="78"/>
      <c r="CS126" s="78"/>
      <c r="CT126" s="78"/>
    </row>
    <row r="127" spans="2:98" ht="25" hidden="1" x14ac:dyDescent="0.25">
      <c r="G127" s="1011"/>
      <c r="H127" s="131"/>
      <c r="I127" s="131"/>
      <c r="J127" s="131"/>
      <c r="K127" s="131"/>
      <c r="L127" s="131"/>
      <c r="M127" s="131"/>
      <c r="N127" s="131"/>
      <c r="O127" s="1012"/>
      <c r="P127" s="131"/>
      <c r="Q127" s="131"/>
      <c r="R127" s="131"/>
      <c r="S127" s="131"/>
      <c r="T127" s="131"/>
      <c r="U127" s="131"/>
      <c r="V127" s="131"/>
      <c r="W127" s="131"/>
      <c r="X127" s="131"/>
      <c r="Y127" s="131"/>
      <c r="Z127" s="131"/>
      <c r="AA127" s="131"/>
      <c r="AB127" s="131"/>
      <c r="AC127" s="131"/>
      <c r="AD127" s="131"/>
      <c r="AE127" s="131"/>
      <c r="AF127" s="131"/>
      <c r="AG127" s="131"/>
      <c r="AH127" s="131"/>
      <c r="AI127" s="131"/>
      <c r="AJ127" s="131"/>
      <c r="AK127" s="131"/>
      <c r="AL127" s="131"/>
      <c r="AM127" s="131"/>
      <c r="AN127" s="131"/>
      <c r="AO127" s="131"/>
      <c r="AP127" s="131"/>
      <c r="AQ127" s="131"/>
      <c r="AR127" s="131"/>
      <c r="AS127" s="131"/>
      <c r="AT127" s="200"/>
      <c r="AU127" s="136"/>
      <c r="AV127" s="136"/>
      <c r="AW127" s="136"/>
      <c r="AX127" s="136"/>
      <c r="AY127" s="136"/>
      <c r="AZ127" s="136"/>
      <c r="BA127" s="136"/>
      <c r="BB127" s="136"/>
      <c r="BC127" s="136"/>
      <c r="BD127" s="136"/>
      <c r="BE127" s="136"/>
      <c r="BF127" s="78"/>
      <c r="BG127" s="199"/>
      <c r="BH127" s="199"/>
      <c r="BI127" s="199"/>
      <c r="BJ127" s="199"/>
      <c r="BK127" s="199"/>
      <c r="BL127" s="199"/>
      <c r="BM127" s="199"/>
      <c r="BN127" s="199"/>
      <c r="BO127" s="199"/>
      <c r="BP127" s="199"/>
      <c r="BQ127" s="199"/>
      <c r="BR127" s="199"/>
      <c r="BS127" s="199"/>
      <c r="BT127" s="199"/>
      <c r="BU127" s="199"/>
      <c r="BV127" s="199"/>
      <c r="BW127" s="199"/>
      <c r="BX127" s="199"/>
      <c r="BY127" s="199"/>
      <c r="BZ127" s="199"/>
      <c r="CA127" s="199"/>
      <c r="CB127" s="199"/>
      <c r="CC127" s="199"/>
      <c r="CD127" s="199"/>
      <c r="CE127" s="199"/>
      <c r="CF127" s="199"/>
      <c r="CG127" s="199"/>
      <c r="CH127" s="199"/>
      <c r="CI127" s="199"/>
      <c r="CJ127" s="199"/>
      <c r="CK127" s="199"/>
      <c r="CL127" s="199"/>
      <c r="CM127" s="199"/>
      <c r="CN127" s="199"/>
      <c r="CO127" s="199"/>
      <c r="CP127" s="199"/>
      <c r="CQ127" s="199"/>
      <c r="CR127" s="199"/>
    </row>
    <row r="128" spans="2:98" ht="30" hidden="1" x14ac:dyDescent="0.2">
      <c r="G128" s="998"/>
      <c r="H128" s="201"/>
      <c r="I128" s="201"/>
      <c r="J128" s="201"/>
      <c r="K128" s="201"/>
      <c r="L128" s="201"/>
      <c r="M128" s="201"/>
      <c r="N128" s="201"/>
      <c r="O128" s="1013"/>
      <c r="P128" s="201"/>
      <c r="Q128" s="201"/>
      <c r="R128" s="201"/>
      <c r="S128" s="201"/>
      <c r="T128" s="201"/>
      <c r="U128" s="201"/>
      <c r="V128" s="201"/>
      <c r="W128" s="201"/>
      <c r="X128" s="201"/>
      <c r="Y128" s="201"/>
      <c r="Z128" s="201"/>
      <c r="AA128" s="201"/>
      <c r="AB128" s="201"/>
      <c r="AC128" s="201"/>
      <c r="AD128" s="201"/>
      <c r="AE128" s="201"/>
      <c r="AF128" s="201"/>
      <c r="AG128" s="201"/>
      <c r="AH128" s="201"/>
      <c r="AI128" s="201"/>
      <c r="AJ128" s="201"/>
      <c r="AK128" s="201"/>
      <c r="AL128" s="201"/>
      <c r="AM128" s="201"/>
      <c r="AN128" s="201"/>
      <c r="AO128" s="201"/>
      <c r="AP128" s="201"/>
      <c r="AQ128" s="201"/>
      <c r="AR128" s="201"/>
      <c r="AS128" s="201"/>
      <c r="AU128" s="136"/>
      <c r="AV128" s="136"/>
      <c r="AW128" s="136"/>
      <c r="AX128" s="136"/>
      <c r="AY128" s="136"/>
      <c r="AZ128" s="136"/>
      <c r="BA128" s="136"/>
      <c r="BB128" s="136"/>
      <c r="BC128" s="136"/>
      <c r="BD128" s="136"/>
      <c r="BE128" s="136"/>
      <c r="BF128" s="76"/>
      <c r="BG128" s="76"/>
      <c r="BH128" s="76"/>
      <c r="BI128" s="76"/>
      <c r="BJ128" s="76"/>
      <c r="BK128" s="76"/>
      <c r="BL128" s="202"/>
      <c r="BM128" s="202"/>
      <c r="BN128" s="202"/>
      <c r="BO128" s="202"/>
      <c r="BP128" s="202"/>
      <c r="BQ128" s="202"/>
      <c r="BR128" s="202"/>
      <c r="BS128" s="202"/>
      <c r="BT128" s="202"/>
      <c r="BU128" s="202"/>
      <c r="BV128" s="202"/>
      <c r="BW128" s="202"/>
      <c r="BX128" s="202"/>
      <c r="BY128" s="202"/>
      <c r="BZ128" s="78"/>
      <c r="CA128" s="78"/>
      <c r="CB128" s="78"/>
      <c r="CC128" s="78"/>
      <c r="CD128" s="78"/>
      <c r="CE128" s="78"/>
      <c r="CF128" s="78"/>
      <c r="CG128" s="78"/>
      <c r="CH128" s="78"/>
      <c r="CI128" s="78"/>
      <c r="CJ128" s="78"/>
      <c r="CK128" s="78"/>
      <c r="CL128" s="78"/>
      <c r="CM128" s="78"/>
      <c r="CN128" s="78"/>
      <c r="CO128" s="78"/>
      <c r="CP128" s="78"/>
      <c r="CQ128" s="78"/>
      <c r="CR128" s="78"/>
      <c r="CS128" s="78"/>
      <c r="CT128" s="78"/>
    </row>
    <row r="129" spans="2:98" hidden="1" x14ac:dyDescent="0.2">
      <c r="G129" s="998"/>
      <c r="O129" s="995"/>
      <c r="U129" s="126"/>
      <c r="V129" s="126"/>
      <c r="W129" s="126"/>
      <c r="X129" s="126"/>
      <c r="Y129" s="126"/>
      <c r="Z129" s="126"/>
      <c r="AA129" s="126"/>
      <c r="AB129" s="126"/>
      <c r="AC129" s="126"/>
      <c r="AD129" s="126"/>
      <c r="AE129" s="126"/>
      <c r="AF129" s="126"/>
      <c r="AG129" s="126"/>
      <c r="AH129" s="126"/>
      <c r="AI129" s="126"/>
      <c r="AJ129" s="126"/>
      <c r="AK129" s="126"/>
      <c r="AL129" s="126"/>
      <c r="AM129" s="126"/>
      <c r="AN129" s="126"/>
      <c r="AO129" s="126"/>
      <c r="AP129" s="126"/>
      <c r="AR129" s="143"/>
      <c r="AS129" s="144"/>
      <c r="AU129" s="136"/>
      <c r="AV129" s="136"/>
      <c r="AW129" s="136"/>
      <c r="AX129" s="136"/>
      <c r="AY129" s="136"/>
      <c r="AZ129" s="136"/>
      <c r="BA129" s="136"/>
      <c r="BB129" s="136"/>
      <c r="BC129" s="136"/>
      <c r="BD129" s="136"/>
      <c r="BE129" s="136"/>
      <c r="BF129" s="126"/>
      <c r="BG129" s="126"/>
      <c r="BH129" s="126"/>
      <c r="BI129" s="126"/>
      <c r="BJ129" s="126"/>
      <c r="BK129" s="126"/>
      <c r="BL129" s="203"/>
      <c r="BM129" s="203"/>
      <c r="BN129" s="203"/>
      <c r="BO129" s="203"/>
      <c r="BP129" s="203"/>
      <c r="BQ129" s="203"/>
      <c r="BR129" s="203"/>
      <c r="BS129" s="203"/>
      <c r="BT129" s="203"/>
      <c r="BU129" s="203"/>
      <c r="BV129" s="203"/>
      <c r="BW129" s="203"/>
      <c r="BX129" s="203"/>
      <c r="BY129" s="203"/>
    </row>
    <row r="130" spans="2:98" ht="24" hidden="1" thickBot="1" x14ac:dyDescent="0.3">
      <c r="G130" s="998"/>
      <c r="I130" s="1070" t="s">
        <v>263</v>
      </c>
      <c r="J130" s="1070" t="s">
        <v>262</v>
      </c>
      <c r="O130" s="995"/>
      <c r="U130" s="126"/>
      <c r="V130" s="126"/>
      <c r="W130" s="126"/>
      <c r="X130" s="126"/>
      <c r="Y130" s="126"/>
      <c r="Z130" s="126"/>
      <c r="AA130" s="126"/>
      <c r="AB130" s="126"/>
      <c r="AC130" s="126"/>
      <c r="AD130" s="126"/>
      <c r="AE130" s="126"/>
      <c r="AF130" s="126"/>
      <c r="AG130" s="126"/>
      <c r="AH130" s="126"/>
      <c r="AI130" s="126"/>
      <c r="AJ130" s="126"/>
      <c r="AK130" s="126"/>
      <c r="AL130" s="126"/>
      <c r="AM130" s="126"/>
      <c r="AN130" s="126"/>
      <c r="AO130" s="126"/>
      <c r="AP130" s="126"/>
      <c r="AR130" s="143"/>
      <c r="AS130" s="144"/>
      <c r="AT130" s="144"/>
      <c r="AU130" s="136"/>
      <c r="AV130" s="136"/>
      <c r="AW130" s="136"/>
      <c r="AX130" s="136"/>
      <c r="AY130" s="136"/>
      <c r="AZ130" s="136"/>
      <c r="BB130" s="204" t="s">
        <v>59</v>
      </c>
      <c r="BC130" s="136"/>
      <c r="BD130" s="187"/>
      <c r="BE130" s="136"/>
      <c r="BF130" s="64"/>
      <c r="BI130" s="126"/>
      <c r="BJ130" s="126"/>
      <c r="BK130" s="126"/>
      <c r="BL130" s="203"/>
      <c r="BM130" s="203"/>
      <c r="BN130" s="203"/>
      <c r="BO130" s="203"/>
      <c r="BP130" s="203"/>
      <c r="BQ130" s="203"/>
      <c r="BR130" s="203"/>
      <c r="BS130" s="203"/>
      <c r="BT130" s="203"/>
      <c r="BU130" s="203"/>
      <c r="BV130" s="203"/>
      <c r="BW130" s="203"/>
      <c r="BX130" s="203"/>
      <c r="BY130" s="203"/>
      <c r="CH130" s="64"/>
      <c r="CT130" s="204" t="s">
        <v>58</v>
      </c>
    </row>
    <row r="131" spans="2:98" ht="45.75" customHeight="1" thickBot="1" x14ac:dyDescent="0.3">
      <c r="B131" s="205" t="s">
        <v>116</v>
      </c>
      <c r="C131" s="206"/>
      <c r="D131" s="207" t="str">
        <f>IF(BB131&gt;0," ","change the angle of frame or of cabinets")</f>
        <v xml:space="preserve"> </v>
      </c>
      <c r="E131" s="208"/>
      <c r="F131" s="208"/>
      <c r="G131" s="1014"/>
      <c r="H131" s="209"/>
      <c r="I131" s="1060">
        <f>COUNTIF(CA123:CQ123,"&gt;0")</f>
        <v>1</v>
      </c>
      <c r="J131" s="1060">
        <f>COUNTIF(BG123:BW123,"&gt;0")</f>
        <v>1</v>
      </c>
      <c r="K131" s="1060" t="b">
        <f>AND(IF(SUM(BG125:BQ125)&gt;0,1,0),IF(CF125="6  ADS ",1,0))</f>
        <v>1</v>
      </c>
      <c r="L131" s="1060" t="b">
        <f>AND(IF(SUM(CG125:CQ125)&gt;0,1,0),IF(BR125="6  ADS ",1,0))</f>
        <v>0</v>
      </c>
      <c r="M131" s="1060" t="b">
        <f>AND(IF(CF125="6  ADS ",1,0),IF(BR125="6  ADS ",1,0))</f>
        <v>0</v>
      </c>
      <c r="N131" s="209"/>
      <c r="O131" s="1015"/>
      <c r="P131" s="209"/>
      <c r="Q131" s="209"/>
      <c r="U131" s="802" t="s">
        <v>174</v>
      </c>
      <c r="V131" s="794"/>
      <c r="W131" s="794"/>
      <c r="X131" s="794"/>
      <c r="Y131" s="803" t="s">
        <v>178</v>
      </c>
      <c r="Z131" s="209"/>
      <c r="AA131" s="210"/>
      <c r="AB131" s="210"/>
      <c r="AC131" s="210"/>
      <c r="AD131" s="210"/>
      <c r="AE131" s="210"/>
      <c r="AF131" s="210"/>
      <c r="AG131" s="210"/>
      <c r="AH131" s="210"/>
      <c r="AI131" s="210"/>
      <c r="AJ131" s="210"/>
      <c r="AK131" s="210"/>
      <c r="AL131" s="210"/>
      <c r="AM131" s="210"/>
      <c r="AN131" s="210"/>
      <c r="AO131" s="210"/>
      <c r="AP131" s="210"/>
      <c r="AQ131" s="209"/>
      <c r="AR131" s="210"/>
      <c r="AS131" s="210"/>
      <c r="AT131" s="211"/>
      <c r="AU131" s="136"/>
      <c r="AV131" s="136"/>
      <c r="AW131" s="136"/>
      <c r="AX131" s="136"/>
      <c r="AY131" s="136"/>
      <c r="AZ131" s="136"/>
      <c r="BA131" s="212"/>
      <c r="BB131" s="204">
        <f>-+AX162</f>
        <v>709.64190607771832</v>
      </c>
      <c r="BC131" s="136"/>
      <c r="BD131" s="187"/>
      <c r="BE131" s="136"/>
      <c r="BF131" s="64"/>
      <c r="BG131" s="953"/>
      <c r="BH131" s="953"/>
      <c r="BI131" s="953"/>
      <c r="BJ131" s="953"/>
      <c r="BK131" s="953"/>
      <c r="BL131" s="953"/>
      <c r="BM131" s="953"/>
      <c r="BN131" s="953"/>
      <c r="BO131" s="953"/>
      <c r="BP131" s="953"/>
      <c r="BQ131" s="953"/>
      <c r="BR131" s="953"/>
      <c r="BS131" s="953"/>
      <c r="BT131" s="953"/>
      <c r="BU131" s="953"/>
      <c r="BV131" s="953"/>
      <c r="BW131" s="953"/>
      <c r="BX131" s="953"/>
      <c r="BY131" s="953"/>
      <c r="BZ131" s="953"/>
      <c r="CA131" s="953"/>
      <c r="CB131" s="953"/>
      <c r="CC131" s="953"/>
      <c r="CD131" s="953"/>
      <c r="CE131" s="953"/>
      <c r="CF131" s="953"/>
      <c r="CG131" s="953"/>
      <c r="CH131" s="953"/>
      <c r="CI131" s="953"/>
      <c r="CJ131" s="953"/>
      <c r="CK131" s="953"/>
      <c r="CL131" s="953"/>
      <c r="CM131" s="953"/>
      <c r="CN131" s="953"/>
      <c r="CO131" s="953"/>
      <c r="CP131" s="182"/>
      <c r="CQ131" s="953"/>
      <c r="CT131" s="204">
        <f>+-AX198</f>
        <v>-838.35809392228168</v>
      </c>
    </row>
    <row r="132" spans="2:98" ht="45.75" customHeight="1" thickBot="1" x14ac:dyDescent="0.3">
      <c r="B132" s="2">
        <v>0</v>
      </c>
      <c r="D132" s="207" t="str">
        <f>IF(CT131&lt;0," ","change the angle of frame or of cabinets")</f>
        <v xml:space="preserve"> </v>
      </c>
      <c r="E132" s="208"/>
      <c r="F132" s="208"/>
      <c r="G132" s="1016"/>
      <c r="H132" s="1017"/>
      <c r="I132" s="1061">
        <f>IF(I131=2,I126,0)</f>
        <v>0</v>
      </c>
      <c r="J132" s="1061">
        <f>IF(J131=2,J126,0)</f>
        <v>0</v>
      </c>
      <c r="K132" s="1061">
        <f t="shared" ref="K132:M132" si="5">IF(K131=TRUE,K126,0)</f>
        <v>150.23474178403757</v>
      </c>
      <c r="L132" s="1061">
        <f t="shared" si="5"/>
        <v>0</v>
      </c>
      <c r="M132" s="1061">
        <f t="shared" si="5"/>
        <v>0</v>
      </c>
      <c r="N132" s="1017"/>
      <c r="O132" s="1018"/>
      <c r="P132" s="209"/>
      <c r="Q132" s="209"/>
      <c r="U132" s="738" t="s">
        <v>175</v>
      </c>
      <c r="V132" s="797" t="s">
        <v>176</v>
      </c>
      <c r="W132" s="797" t="s">
        <v>177</v>
      </c>
      <c r="X132" s="798" t="s">
        <v>181</v>
      </c>
      <c r="Y132" s="799" t="s">
        <v>179</v>
      </c>
      <c r="Z132" s="209"/>
      <c r="AA132" s="209"/>
      <c r="AB132" s="209"/>
      <c r="AC132" s="209"/>
      <c r="AD132" s="209"/>
      <c r="AE132" s="209"/>
      <c r="AF132" s="209"/>
      <c r="AG132" s="210"/>
      <c r="AH132" s="210"/>
      <c r="AI132" s="210"/>
      <c r="AJ132" s="210"/>
      <c r="AK132" s="210"/>
      <c r="AL132" s="210"/>
      <c r="AM132" s="210"/>
      <c r="AN132" s="210"/>
      <c r="AO132" s="210"/>
      <c r="AP132" s="210"/>
      <c r="AQ132" s="209"/>
      <c r="AR132" s="210"/>
      <c r="AS132" s="210"/>
      <c r="AT132" s="211"/>
      <c r="BC132" s="136"/>
      <c r="BD132" s="136"/>
      <c r="BE132" s="136"/>
      <c r="BF132" s="126"/>
      <c r="BG132" s="126"/>
      <c r="BH132" s="126"/>
      <c r="BI132" s="126"/>
      <c r="BJ132" s="126"/>
      <c r="BK132" s="126"/>
      <c r="BL132" s="203"/>
      <c r="BM132" s="203"/>
      <c r="BN132" s="203"/>
      <c r="BO132" s="203"/>
      <c r="BP132" s="203"/>
      <c r="BQ132" s="203"/>
      <c r="BR132" s="203"/>
      <c r="BS132" s="203"/>
      <c r="BT132" s="203"/>
      <c r="BU132" s="203"/>
      <c r="BV132" s="203"/>
      <c r="BW132" s="203"/>
      <c r="BX132" s="203"/>
      <c r="BY132" s="203"/>
    </row>
    <row r="133" spans="2:98" ht="45.75" customHeight="1" thickBot="1" x14ac:dyDescent="0.35">
      <c r="B133" s="1816" t="s">
        <v>118</v>
      </c>
      <c r="C133" s="213"/>
      <c r="D133" s="207" t="str">
        <f>IF(BB131&gt;(+COS(($B$132*-1)*3.14159265358979/180)*451.5)," ","USE EXBAR AR AT THE FRONT")</f>
        <v xml:space="preserve"> </v>
      </c>
      <c r="E133" s="208"/>
      <c r="F133" s="208"/>
      <c r="G133" s="208"/>
      <c r="H133" s="209"/>
      <c r="I133" s="209"/>
      <c r="J133" s="209"/>
      <c r="K133" s="209"/>
      <c r="L133" s="209"/>
      <c r="M133" s="209"/>
      <c r="N133" s="209"/>
      <c r="O133" s="209"/>
      <c r="P133" s="209"/>
      <c r="Q133" s="209"/>
      <c r="U133" s="738">
        <v>6.8623010000000004</v>
      </c>
      <c r="V133" s="797">
        <f>+$B$132-U133</f>
        <v>-6.8623010000000004</v>
      </c>
      <c r="W133" s="800">
        <f>COS(V133*3.14159265358979/180)</f>
        <v>0.99283617366519983</v>
      </c>
      <c r="X133" s="793">
        <f>+W133*378.71303</f>
        <v>375.99999562235405</v>
      </c>
      <c r="Y133" s="801">
        <f>+((Y138*AG138)+(X133*31))/(AG138+31)</f>
        <v>284.1419197803213</v>
      </c>
      <c r="Z133" s="209"/>
      <c r="AA133" s="209"/>
      <c r="AB133" s="228"/>
      <c r="AC133" s="739"/>
      <c r="AD133" s="209"/>
      <c r="AE133" s="209"/>
      <c r="AF133" s="209"/>
      <c r="AG133" s="210"/>
      <c r="AH133" s="210"/>
      <c r="AI133" s="210"/>
      <c r="AJ133" s="210"/>
      <c r="AK133" s="210"/>
      <c r="AL133" s="210"/>
      <c r="AM133" s="210"/>
      <c r="AN133" s="210"/>
      <c r="AO133" s="210"/>
      <c r="AP133" s="210"/>
      <c r="AQ133" s="209"/>
      <c r="AR133" s="106"/>
      <c r="AS133" s="210"/>
      <c r="BC133" s="214"/>
      <c r="BD133" s="214"/>
      <c r="BE133" s="214"/>
      <c r="BF133" s="126"/>
      <c r="BG133" s="126"/>
      <c r="BH133" s="126"/>
      <c r="BI133" s="126"/>
      <c r="BJ133" s="126"/>
      <c r="BK133" s="126"/>
      <c r="BL133" s="203"/>
      <c r="BM133" s="203"/>
      <c r="BN133" s="203"/>
      <c r="BO133" s="203"/>
      <c r="BP133" s="203"/>
      <c r="BQ133" s="203"/>
      <c r="BR133" s="203"/>
      <c r="BS133" s="203"/>
      <c r="BT133" s="203"/>
      <c r="BU133" s="203"/>
      <c r="BV133" s="203"/>
      <c r="BW133" s="203"/>
      <c r="BX133" s="203"/>
      <c r="BY133" s="203"/>
    </row>
    <row r="134" spans="2:98" ht="45.75" customHeight="1" thickBot="1" x14ac:dyDescent="0.35">
      <c r="B134" s="1817"/>
      <c r="C134" s="213"/>
      <c r="D134" s="215" t="str">
        <f>IF(CT131&lt;-(+COS(($B$132*-1)*3.14159265358979/180)*365.5)," ","USE EXBAR AR AT THE BACK")</f>
        <v xml:space="preserve"> </v>
      </c>
      <c r="E134" s="208"/>
      <c r="F134" s="208"/>
      <c r="G134" s="208"/>
      <c r="H134" s="209"/>
      <c r="I134" s="209"/>
      <c r="J134" s="209"/>
      <c r="K134" s="209"/>
      <c r="L134" s="209"/>
      <c r="M134" s="209"/>
      <c r="N134" s="209"/>
      <c r="O134" s="209"/>
      <c r="P134" s="209"/>
      <c r="Q134" s="209"/>
      <c r="R134" s="209"/>
      <c r="S134" s="209"/>
      <c r="T134" s="209"/>
      <c r="U134" s="209"/>
      <c r="V134" s="209"/>
      <c r="W134" s="210"/>
      <c r="X134" s="210"/>
      <c r="Y134" s="210"/>
      <c r="Z134" s="210"/>
      <c r="AA134" s="210"/>
      <c r="AB134" s="210"/>
      <c r="AC134" s="210"/>
      <c r="AD134" s="210"/>
      <c r="AE134" s="210"/>
      <c r="AF134" s="210"/>
      <c r="AG134" s="210"/>
      <c r="AH134" s="210"/>
      <c r="AI134" s="210"/>
      <c r="AJ134" s="210"/>
      <c r="AK134" s="210"/>
      <c r="AL134" s="210"/>
      <c r="AM134" s="210"/>
      <c r="AN134" s="210"/>
      <c r="AO134" s="210"/>
      <c r="AP134" s="210"/>
      <c r="AQ134" s="209"/>
      <c r="AR134" s="106"/>
      <c r="AS134" s="210"/>
      <c r="BC134" s="214"/>
      <c r="BD134" s="214"/>
      <c r="BE134" s="214"/>
      <c r="BF134" s="126"/>
      <c r="BG134" s="126"/>
      <c r="BH134" s="126"/>
      <c r="BI134" s="126"/>
      <c r="BJ134" s="126"/>
      <c r="BK134" s="126"/>
      <c r="BL134" s="203"/>
      <c r="BM134" s="203"/>
      <c r="BN134" s="203"/>
      <c r="BO134" s="203"/>
      <c r="BP134" s="203"/>
      <c r="BQ134" s="203"/>
      <c r="BR134" s="203"/>
      <c r="BS134" s="203"/>
      <c r="BT134" s="203"/>
      <c r="BU134" s="203"/>
      <c r="BV134" s="203"/>
      <c r="BW134" s="203"/>
      <c r="BX134" s="203"/>
      <c r="BY134" s="203"/>
    </row>
    <row r="135" spans="2:98" ht="27" thickBot="1" x14ac:dyDescent="0.35">
      <c r="B135" s="27">
        <v>1</v>
      </c>
      <c r="C135" s="216"/>
      <c r="D135" s="217" t="s">
        <v>117</v>
      </c>
      <c r="E135" s="218"/>
      <c r="F135" s="219"/>
      <c r="G135" s="219"/>
      <c r="H135" s="220"/>
      <c r="I135" s="220"/>
      <c r="J135" s="220"/>
      <c r="K135" s="220"/>
      <c r="L135" s="220"/>
      <c r="M135" s="220"/>
      <c r="N135" s="220"/>
      <c r="O135" s="220"/>
      <c r="P135" s="220"/>
      <c r="Q135" s="220"/>
      <c r="R135" s="220"/>
      <c r="S135" s="220"/>
      <c r="T135" s="220"/>
      <c r="U135" s="220"/>
      <c r="V135" s="218"/>
      <c r="W135" s="218"/>
      <c r="X135" s="218"/>
      <c r="Y135" s="218"/>
      <c r="Z135" s="218"/>
      <c r="AA135" s="218"/>
      <c r="AB135" s="218"/>
      <c r="AC135" s="218"/>
      <c r="AD135" s="218"/>
      <c r="AE135" s="218"/>
      <c r="AF135" s="218"/>
      <c r="AG135" s="218"/>
      <c r="AH135" s="218"/>
      <c r="AI135" s="218"/>
      <c r="AJ135" s="218"/>
      <c r="AK135" s="218"/>
      <c r="AL135" s="218"/>
      <c r="AM135" s="218"/>
      <c r="AN135" s="218"/>
      <c r="AO135" s="1820" t="s">
        <v>52</v>
      </c>
      <c r="AP135" s="1821"/>
      <c r="AQ135" s="221"/>
      <c r="AR135" s="222"/>
      <c r="BC135" s="214"/>
      <c r="BD135" s="214"/>
      <c r="BE135" s="214"/>
      <c r="BF135" s="126"/>
      <c r="BG135" s="126"/>
      <c r="BH135" s="126"/>
      <c r="BI135" s="126"/>
      <c r="BJ135" s="126"/>
      <c r="BK135" s="126"/>
      <c r="BL135" s="126"/>
      <c r="BM135" s="126"/>
      <c r="BN135" s="126"/>
      <c r="BO135" s="126"/>
      <c r="BP135" s="126"/>
      <c r="BQ135" s="126"/>
      <c r="BR135" s="126"/>
      <c r="BS135" s="126"/>
      <c r="BT135" s="126"/>
      <c r="BU135" s="126"/>
      <c r="BV135" s="126"/>
      <c r="BW135" s="126"/>
      <c r="BX135" s="126"/>
      <c r="BY135" s="126"/>
      <c r="BZ135" s="126"/>
      <c r="CA135" s="126"/>
      <c r="CB135" s="126"/>
      <c r="CC135" s="126"/>
      <c r="CD135" s="126"/>
      <c r="CE135" s="126"/>
      <c r="CF135" s="126"/>
      <c r="CG135" s="126"/>
      <c r="CH135" s="126"/>
      <c r="CI135" s="126"/>
      <c r="CJ135" s="126"/>
      <c r="CK135" s="126"/>
      <c r="CL135" s="126"/>
      <c r="CM135" s="126"/>
      <c r="CN135" s="126"/>
      <c r="CO135" s="126"/>
      <c r="CP135" s="126"/>
      <c r="CQ135" s="126"/>
    </row>
    <row r="136" spans="2:98" ht="20" hidden="1" thickBot="1" x14ac:dyDescent="0.35">
      <c r="B136" s="223"/>
      <c r="C136" s="224"/>
      <c r="D136" s="225"/>
      <c r="F136" s="226"/>
      <c r="H136" s="227" t="s">
        <v>4</v>
      </c>
      <c r="I136" s="227" t="s">
        <v>1</v>
      </c>
      <c r="J136" s="228" t="s">
        <v>0</v>
      </c>
      <c r="K136" s="228" t="s">
        <v>2</v>
      </c>
      <c r="L136" s="228"/>
      <c r="M136" s="228" t="s">
        <v>3</v>
      </c>
      <c r="N136" s="228" t="s">
        <v>8</v>
      </c>
      <c r="O136" s="228" t="s">
        <v>5</v>
      </c>
      <c r="P136" s="228" t="s">
        <v>6</v>
      </c>
      <c r="Q136" s="228" t="s">
        <v>7</v>
      </c>
      <c r="R136" s="228" t="s">
        <v>9</v>
      </c>
      <c r="S136" s="229" t="s">
        <v>10</v>
      </c>
      <c r="T136" s="228" t="s">
        <v>11</v>
      </c>
      <c r="U136" s="230" t="s">
        <v>12</v>
      </c>
      <c r="V136" s="231"/>
      <c r="W136" s="231"/>
      <c r="X136" s="232"/>
      <c r="Y136" s="231"/>
      <c r="Z136" s="231"/>
      <c r="AA136" s="231"/>
      <c r="AB136" s="231"/>
      <c r="AC136" s="231"/>
      <c r="AD136" s="231"/>
      <c r="AE136" s="231"/>
      <c r="AF136" s="231"/>
      <c r="AG136" s="231"/>
      <c r="AH136" s="231"/>
      <c r="AI136" s="231"/>
      <c r="AJ136" s="231"/>
      <c r="AK136" s="231"/>
      <c r="AL136" s="231"/>
      <c r="AM136" s="232" t="s">
        <v>44</v>
      </c>
      <c r="AN136" s="232" t="s">
        <v>44</v>
      </c>
      <c r="AO136" s="233"/>
      <c r="AP136" s="234"/>
      <c r="AR136" s="235"/>
      <c r="BC136" s="214"/>
      <c r="BD136" s="214"/>
      <c r="BE136" s="214"/>
      <c r="BY136" s="236"/>
      <c r="BZ136" s="236"/>
      <c r="CA136" s="236"/>
      <c r="CB136" s="236"/>
      <c r="CC136" s="236"/>
      <c r="CD136" s="236"/>
    </row>
    <row r="137" spans="2:98" ht="42" customHeight="1" thickBot="1" x14ac:dyDescent="0.35">
      <c r="B137" s="237"/>
      <c r="C137" s="238"/>
      <c r="D137" s="239" t="s">
        <v>22</v>
      </c>
      <c r="E137" s="218"/>
      <c r="F137" s="240"/>
      <c r="H137" s="241"/>
      <c r="I137" s="242"/>
      <c r="S137" s="126"/>
      <c r="U137" s="243"/>
      <c r="V137" s="231"/>
      <c r="W137" s="231"/>
      <c r="X137" s="231"/>
      <c r="Y137" s="231" t="s">
        <v>38</v>
      </c>
      <c r="Z137" s="244" t="s">
        <v>31</v>
      </c>
      <c r="AA137" s="245" t="s">
        <v>120</v>
      </c>
      <c r="AB137" s="246" t="s">
        <v>32</v>
      </c>
      <c r="AC137" s="247" t="s">
        <v>33</v>
      </c>
      <c r="AD137" s="245" t="s">
        <v>121</v>
      </c>
      <c r="AE137" s="248" t="s">
        <v>34</v>
      </c>
      <c r="AF137" s="249" t="s">
        <v>35</v>
      </c>
      <c r="AG137" s="250" t="s">
        <v>36</v>
      </c>
      <c r="AH137" s="231" t="s">
        <v>37</v>
      </c>
      <c r="AI137" s="231" t="s">
        <v>39</v>
      </c>
      <c r="AJ137" s="231" t="s">
        <v>40</v>
      </c>
      <c r="AK137" s="251" t="s">
        <v>41</v>
      </c>
      <c r="AL137" s="251" t="s">
        <v>42</v>
      </c>
      <c r="AM137" s="252" t="s">
        <v>23</v>
      </c>
      <c r="AN137" s="252" t="s">
        <v>24</v>
      </c>
      <c r="AO137" s="253" t="s">
        <v>23</v>
      </c>
      <c r="AP137" s="253" t="s">
        <v>24</v>
      </c>
      <c r="AS137" s="254"/>
      <c r="BC137" s="214"/>
      <c r="BD137" s="214"/>
      <c r="BE137" s="214"/>
    </row>
    <row r="138" spans="2:98" ht="21" thickBot="1" x14ac:dyDescent="0.35">
      <c r="B138" s="255">
        <v>1</v>
      </c>
      <c r="C138" s="256">
        <f>+($B$132*-1)+D138</f>
        <v>0</v>
      </c>
      <c r="D138" s="25">
        <v>0</v>
      </c>
      <c r="E138" s="257" t="s">
        <v>119</v>
      </c>
      <c r="F138" s="258" t="str">
        <f>IF(AN138&lt;0,"use the locking pin"," ")</f>
        <v xml:space="preserve"> </v>
      </c>
      <c r="G138" s="258">
        <f>+D138</f>
        <v>0</v>
      </c>
      <c r="H138" s="259">
        <v>279.06049999999999</v>
      </c>
      <c r="I138" s="260">
        <v>79.962900599999998</v>
      </c>
      <c r="J138" s="142">
        <f>+I138-C138</f>
        <v>79.962900599999998</v>
      </c>
      <c r="K138" s="142">
        <f t="shared" ref="K138:K157" si="6">+J138/2</f>
        <v>39.981450299999999</v>
      </c>
      <c r="L138" s="142"/>
      <c r="M138" s="142">
        <f t="shared" ref="M138:M157" si="7">SIN(K138*3.14159265358979/180)</f>
        <v>0.64253956655634092</v>
      </c>
      <c r="N138" s="142">
        <f t="shared" ref="N138:N157" si="8">+M138*H138</f>
        <v>179.30741271299578</v>
      </c>
      <c r="O138" s="142">
        <f t="shared" ref="O138:O157" si="9">+N138*2</f>
        <v>358.61482542599157</v>
      </c>
      <c r="P138" s="142">
        <f>+C138/2</f>
        <v>0</v>
      </c>
      <c r="Q138" s="142">
        <f t="shared" ref="Q138:Q157" si="10">SIN(P138*3.14159265358979/180)</f>
        <v>0</v>
      </c>
      <c r="R138" s="142">
        <f t="shared" ref="R138:R157" si="11">+Q138*O138</f>
        <v>0</v>
      </c>
      <c r="S138" s="261">
        <v>213.83080000000001</v>
      </c>
      <c r="T138" s="142">
        <f>+S138+R138</f>
        <v>213.83080000000001</v>
      </c>
      <c r="U138" s="262">
        <f t="shared" ref="U138:U157" si="12">+T138</f>
        <v>213.83080000000001</v>
      </c>
      <c r="V138" s="83"/>
      <c r="W138" s="263">
        <f t="shared" ref="W138:W157" si="13">IF(B138&lt;($B$135+1),U138,0)</f>
        <v>213.83080000000001</v>
      </c>
      <c r="X138" s="258"/>
      <c r="Y138" s="263">
        <f>SUM(W138:W157)/($B$135)</f>
        <v>213.83080000000001</v>
      </c>
      <c r="Z138" s="264">
        <f>+C138</f>
        <v>0</v>
      </c>
      <c r="AA138" s="265">
        <f>66.2555484-Z138</f>
        <v>66.255548399999995</v>
      </c>
      <c r="AB138" s="266">
        <f t="shared" ref="AB138:AB157" si="14">SIN(AA138*3.14159265358979/180)</f>
        <v>0.91535047595051022</v>
      </c>
      <c r="AC138" s="267">
        <f>+AB138*304.3209</f>
        <v>278.56028065668761</v>
      </c>
      <c r="AD138" s="265">
        <f>50.0185497+Z138</f>
        <v>50.018549700000001</v>
      </c>
      <c r="AE138" s="268">
        <f>SIN(AD138*3.14159265358979/180)</f>
        <v>0.76625250760411079</v>
      </c>
      <c r="AF138" s="269">
        <f>+AE138*279.0605</f>
        <v>213.83080789825695</v>
      </c>
      <c r="AG138" s="270">
        <f>40.5*B135</f>
        <v>40.5</v>
      </c>
      <c r="AH138" s="271">
        <f>+AF138+AC138</f>
        <v>492.39108855494453</v>
      </c>
      <c r="AI138" s="271">
        <f>+W138-AF138</f>
        <v>-7.8982569391428115E-6</v>
      </c>
      <c r="AJ138" s="271">
        <f>+Y138-AI138</f>
        <v>213.83080789825695</v>
      </c>
      <c r="AK138" s="272">
        <f>+((AH138-AJ138)/AH138)*AG138</f>
        <v>22.912054317849329</v>
      </c>
      <c r="AL138" s="272">
        <f>+(AJ138/AH138)*AG138</f>
        <v>17.587945682150675</v>
      </c>
      <c r="AM138" s="273">
        <f t="shared" ref="AM138:AM157" si="15">2*$C$7/AK138</f>
        <v>506.28371594611554</v>
      </c>
      <c r="AN138" s="274">
        <f t="shared" ref="AN138:AN157" si="16">$D$7/AL138</f>
        <v>568.57123513569934</v>
      </c>
      <c r="AO138" s="275">
        <f>ABS(AM138)</f>
        <v>506.28371594611554</v>
      </c>
      <c r="AP138" s="275">
        <f>ABS(AN138)</f>
        <v>568.57123513569934</v>
      </c>
      <c r="AQ138" s="91"/>
      <c r="AS138" s="276"/>
      <c r="BC138" s="214"/>
      <c r="BD138" s="214"/>
      <c r="BE138" s="214"/>
    </row>
    <row r="139" spans="2:98" ht="20" thickBot="1" x14ac:dyDescent="0.35">
      <c r="B139" s="277">
        <v>2</v>
      </c>
      <c r="C139" s="278"/>
      <c r="D139" s="25">
        <v>0</v>
      </c>
      <c r="E139" s="279" t="s">
        <v>130</v>
      </c>
      <c r="F139" s="280" t="e">
        <f t="shared" ref="F139:F157" si="17">IF(AN139&lt;0,"use the locking pin"," ")</f>
        <v>#DIV/0!</v>
      </c>
      <c r="G139" s="281">
        <f t="shared" ref="G139:G157" si="18">+D139+AQ139</f>
        <v>0</v>
      </c>
      <c r="H139" s="282">
        <v>279.06049999999999</v>
      </c>
      <c r="I139" s="283">
        <v>79.962900599999998</v>
      </c>
      <c r="J139" s="91">
        <f t="shared" ref="J139:J157" si="19">+I139-D139</f>
        <v>79.962900599999998</v>
      </c>
      <c r="K139" s="91">
        <f t="shared" si="6"/>
        <v>39.981450299999999</v>
      </c>
      <c r="L139" s="91"/>
      <c r="M139" s="91">
        <f>SIN(K139*3.14159265358979/180)</f>
        <v>0.64253956655634092</v>
      </c>
      <c r="N139" s="91">
        <f t="shared" si="8"/>
        <v>179.30741271299578</v>
      </c>
      <c r="O139" s="91">
        <f t="shared" si="9"/>
        <v>358.61482542599157</v>
      </c>
      <c r="P139" s="91">
        <f>+C138+(D139/2)</f>
        <v>0</v>
      </c>
      <c r="Q139" s="91">
        <f t="shared" si="10"/>
        <v>0</v>
      </c>
      <c r="R139" s="91">
        <f t="shared" si="11"/>
        <v>0</v>
      </c>
      <c r="S139" s="91">
        <f t="shared" ref="S139:S157" si="20">+U138</f>
        <v>213.83080000000001</v>
      </c>
      <c r="T139" s="91">
        <f>+S139+R139</f>
        <v>213.83080000000001</v>
      </c>
      <c r="U139" s="284">
        <f t="shared" si="12"/>
        <v>213.83080000000001</v>
      </c>
      <c r="W139" s="285">
        <f t="shared" si="13"/>
        <v>0</v>
      </c>
      <c r="X139" s="258"/>
      <c r="Y139" s="285" t="e">
        <f t="shared" ref="Y139:Y157" si="21">SUM(W139:W158)/($B$135-B138)</f>
        <v>#DIV/0!</v>
      </c>
      <c r="Z139" s="286">
        <f>SUM(D139)+$C$138</f>
        <v>0</v>
      </c>
      <c r="AA139" s="287">
        <f t="shared" ref="AA139:AA157" si="22">66.2555484-Z139</f>
        <v>66.255548399999995</v>
      </c>
      <c r="AB139" s="288">
        <f t="shared" si="14"/>
        <v>0.91535047595051022</v>
      </c>
      <c r="AC139" s="289">
        <f t="shared" ref="AC139:AC157" si="23">+AB139*304.3209</f>
        <v>278.56028065668761</v>
      </c>
      <c r="AD139" s="287">
        <f t="shared" ref="AD139:AD157" si="24">50.0185497+Z139</f>
        <v>50.018549700000001</v>
      </c>
      <c r="AE139" s="290">
        <f t="shared" ref="AE139:AE157" si="25">SIN(AD139*3.14159265358979/180)</f>
        <v>0.76625250760411079</v>
      </c>
      <c r="AF139" s="291">
        <f t="shared" ref="AF139:AF157" si="26">+AE139*279.0605</f>
        <v>213.83080789825695</v>
      </c>
      <c r="AG139" s="291">
        <f>40.5*($B$135-B138)</f>
        <v>0</v>
      </c>
      <c r="AH139" s="292">
        <f t="shared" ref="AH139:AH157" si="27">+AF139+AC139</f>
        <v>492.39108855494453</v>
      </c>
      <c r="AI139" s="292">
        <f>+W139-AF139</f>
        <v>-213.83080789825695</v>
      </c>
      <c r="AJ139" s="292" t="e">
        <f>+Y139-AI139</f>
        <v>#DIV/0!</v>
      </c>
      <c r="AK139" s="293" t="e">
        <f t="shared" ref="AK139:AK157" si="28">+((AH139-AJ139)/AH139)*AG139</f>
        <v>#DIV/0!</v>
      </c>
      <c r="AL139" s="293" t="e">
        <f t="shared" ref="AL139:AL157" si="29">+(AJ139/AH139)*AG139</f>
        <v>#DIV/0!</v>
      </c>
      <c r="AM139" s="273" t="e">
        <f t="shared" si="15"/>
        <v>#DIV/0!</v>
      </c>
      <c r="AN139" s="274" t="e">
        <f t="shared" si="16"/>
        <v>#DIV/0!</v>
      </c>
      <c r="AO139" s="294" t="e">
        <f t="shared" ref="AO139:AO157" si="30">ABS(AM139)</f>
        <v>#DIV/0!</v>
      </c>
      <c r="AP139" s="275" t="e">
        <f t="shared" ref="AP139:AP157" si="31">ABS(AN139)</f>
        <v>#DIV/0!</v>
      </c>
      <c r="BC139" s="214"/>
      <c r="BD139" s="214"/>
      <c r="BE139" s="214"/>
    </row>
    <row r="140" spans="2:98" ht="20" thickBot="1" x14ac:dyDescent="0.35">
      <c r="B140" s="277">
        <v>3</v>
      </c>
      <c r="C140" s="278"/>
      <c r="D140" s="25">
        <v>0</v>
      </c>
      <c r="E140" s="257" t="s">
        <v>130</v>
      </c>
      <c r="F140" s="295" t="str">
        <f t="shared" si="17"/>
        <v>use the locking pin</v>
      </c>
      <c r="G140" s="281">
        <f t="shared" si="18"/>
        <v>0</v>
      </c>
      <c r="H140" s="282">
        <v>279.06049999999999</v>
      </c>
      <c r="I140" s="283">
        <v>79.962900599999998</v>
      </c>
      <c r="J140" s="91">
        <f t="shared" si="19"/>
        <v>79.962900599999998</v>
      </c>
      <c r="K140" s="91">
        <f t="shared" si="6"/>
        <v>39.981450299999999</v>
      </c>
      <c r="L140" s="91"/>
      <c r="M140" s="91">
        <f t="shared" si="7"/>
        <v>0.64253956655634092</v>
      </c>
      <c r="N140" s="91">
        <f t="shared" si="8"/>
        <v>179.30741271299578</v>
      </c>
      <c r="O140" s="91">
        <f t="shared" si="9"/>
        <v>358.61482542599157</v>
      </c>
      <c r="P140" s="91">
        <f>+C138+D139+(D140/2)</f>
        <v>0</v>
      </c>
      <c r="Q140" s="91">
        <f t="shared" si="10"/>
        <v>0</v>
      </c>
      <c r="R140" s="91">
        <f t="shared" si="11"/>
        <v>0</v>
      </c>
      <c r="S140" s="91">
        <f t="shared" si="20"/>
        <v>213.83080000000001</v>
      </c>
      <c r="T140" s="91">
        <f t="shared" ref="T140:T157" si="32">+T139+R140</f>
        <v>213.83080000000001</v>
      </c>
      <c r="U140" s="284">
        <f t="shared" si="12"/>
        <v>213.83080000000001</v>
      </c>
      <c r="W140" s="285">
        <f t="shared" si="13"/>
        <v>0</v>
      </c>
      <c r="X140" s="258"/>
      <c r="Y140" s="285">
        <f t="shared" si="21"/>
        <v>0</v>
      </c>
      <c r="Z140" s="286">
        <f>SUM(D139:D140)+$C$138</f>
        <v>0</v>
      </c>
      <c r="AA140" s="287">
        <f t="shared" si="22"/>
        <v>66.255548399999995</v>
      </c>
      <c r="AB140" s="288">
        <f t="shared" si="14"/>
        <v>0.91535047595051022</v>
      </c>
      <c r="AC140" s="289">
        <f t="shared" si="23"/>
        <v>278.56028065668761</v>
      </c>
      <c r="AD140" s="287">
        <f t="shared" si="24"/>
        <v>50.018549700000001</v>
      </c>
      <c r="AE140" s="290">
        <f t="shared" si="25"/>
        <v>0.76625250760411079</v>
      </c>
      <c r="AF140" s="291">
        <f t="shared" si="26"/>
        <v>213.83080789825695</v>
      </c>
      <c r="AG140" s="291">
        <f t="shared" ref="AG140:AG157" si="33">40.5*($B$135-B139)</f>
        <v>-40.5</v>
      </c>
      <c r="AH140" s="292">
        <f t="shared" si="27"/>
        <v>492.39108855494453</v>
      </c>
      <c r="AI140" s="292">
        <f>+W140-AF140</f>
        <v>-213.83080789825695</v>
      </c>
      <c r="AJ140" s="292">
        <f>+Y140-AI140</f>
        <v>213.83080789825695</v>
      </c>
      <c r="AK140" s="293">
        <f t="shared" si="28"/>
        <v>-22.912054317849329</v>
      </c>
      <c r="AL140" s="293">
        <f t="shared" si="29"/>
        <v>-17.587945682150675</v>
      </c>
      <c r="AM140" s="273">
        <f t="shared" si="15"/>
        <v>-506.28371594611554</v>
      </c>
      <c r="AN140" s="274">
        <f t="shared" si="16"/>
        <v>-568.57123513569934</v>
      </c>
      <c r="AO140" s="275">
        <f t="shared" si="30"/>
        <v>506.28371594611554</v>
      </c>
      <c r="AP140" s="275">
        <f t="shared" si="31"/>
        <v>568.57123513569934</v>
      </c>
      <c r="BC140" s="214"/>
      <c r="BD140" s="214"/>
      <c r="BE140" s="214"/>
    </row>
    <row r="141" spans="2:98" ht="20" thickBot="1" x14ac:dyDescent="0.35">
      <c r="B141" s="277">
        <v>4</v>
      </c>
      <c r="C141" s="278"/>
      <c r="D141" s="25">
        <v>0</v>
      </c>
      <c r="E141" s="257" t="s">
        <v>130</v>
      </c>
      <c r="F141" s="295" t="str">
        <f t="shared" si="17"/>
        <v>use the locking pin</v>
      </c>
      <c r="G141" s="281">
        <f t="shared" si="18"/>
        <v>0</v>
      </c>
      <c r="H141" s="282">
        <v>279.06049999999999</v>
      </c>
      <c r="I141" s="283">
        <v>79.962900599999998</v>
      </c>
      <c r="J141" s="91">
        <f t="shared" si="19"/>
        <v>79.962900599999998</v>
      </c>
      <c r="K141" s="91">
        <f t="shared" si="6"/>
        <v>39.981450299999999</v>
      </c>
      <c r="L141" s="91"/>
      <c r="M141" s="91">
        <f t="shared" si="7"/>
        <v>0.64253956655634092</v>
      </c>
      <c r="N141" s="91">
        <f t="shared" si="8"/>
        <v>179.30741271299578</v>
      </c>
      <c r="O141" s="91">
        <f t="shared" si="9"/>
        <v>358.61482542599157</v>
      </c>
      <c r="P141" s="91">
        <f>+C138+D139+D140+(D141/2)</f>
        <v>0</v>
      </c>
      <c r="Q141" s="91">
        <f t="shared" si="10"/>
        <v>0</v>
      </c>
      <c r="R141" s="91">
        <f t="shared" si="11"/>
        <v>0</v>
      </c>
      <c r="S141" s="91">
        <f t="shared" si="20"/>
        <v>213.83080000000001</v>
      </c>
      <c r="T141" s="91">
        <f t="shared" si="32"/>
        <v>213.83080000000001</v>
      </c>
      <c r="U141" s="284">
        <f t="shared" si="12"/>
        <v>213.83080000000001</v>
      </c>
      <c r="W141" s="285">
        <f t="shared" si="13"/>
        <v>0</v>
      </c>
      <c r="X141" s="258"/>
      <c r="Y141" s="285">
        <f t="shared" si="21"/>
        <v>0</v>
      </c>
      <c r="Z141" s="286">
        <f>SUM(D139:D141)+$C$138</f>
        <v>0</v>
      </c>
      <c r="AA141" s="287">
        <f t="shared" si="22"/>
        <v>66.255548399999995</v>
      </c>
      <c r="AB141" s="288">
        <f t="shared" si="14"/>
        <v>0.91535047595051022</v>
      </c>
      <c r="AC141" s="289">
        <f t="shared" si="23"/>
        <v>278.56028065668761</v>
      </c>
      <c r="AD141" s="287">
        <f t="shared" si="24"/>
        <v>50.018549700000001</v>
      </c>
      <c r="AE141" s="290">
        <f t="shared" si="25"/>
        <v>0.76625250760411079</v>
      </c>
      <c r="AF141" s="291">
        <f t="shared" si="26"/>
        <v>213.83080789825695</v>
      </c>
      <c r="AG141" s="291">
        <f t="shared" si="33"/>
        <v>-81</v>
      </c>
      <c r="AH141" s="292">
        <f t="shared" si="27"/>
        <v>492.39108855494453</v>
      </c>
      <c r="AI141" s="292">
        <f>+W141-AF141</f>
        <v>-213.83080789825695</v>
      </c>
      <c r="AJ141" s="292">
        <f t="shared" ref="AJ141:AJ157" si="34">+Y141-AI141</f>
        <v>213.83080789825695</v>
      </c>
      <c r="AK141" s="293">
        <f t="shared" si="28"/>
        <v>-45.824108635698657</v>
      </c>
      <c r="AL141" s="293">
        <f t="shared" si="29"/>
        <v>-35.17589136430135</v>
      </c>
      <c r="AM141" s="273">
        <f t="shared" si="15"/>
        <v>-253.14185797305777</v>
      </c>
      <c r="AN141" s="274">
        <f t="shared" si="16"/>
        <v>-284.28561756784967</v>
      </c>
      <c r="AO141" s="275">
        <f t="shared" si="30"/>
        <v>253.14185797305777</v>
      </c>
      <c r="AP141" s="275">
        <f t="shared" si="31"/>
        <v>284.28561756784967</v>
      </c>
      <c r="BC141" s="214"/>
      <c r="BD141" s="214"/>
      <c r="BE141" s="214"/>
    </row>
    <row r="142" spans="2:98" ht="20" thickBot="1" x14ac:dyDescent="0.35">
      <c r="B142" s="277">
        <v>5</v>
      </c>
      <c r="C142" s="278"/>
      <c r="D142" s="25">
        <v>0</v>
      </c>
      <c r="E142" s="257" t="s">
        <v>130</v>
      </c>
      <c r="F142" s="295" t="str">
        <f t="shared" si="17"/>
        <v>use the locking pin</v>
      </c>
      <c r="G142" s="281">
        <f t="shared" si="18"/>
        <v>0</v>
      </c>
      <c r="H142" s="282">
        <v>279.06049999999999</v>
      </c>
      <c r="I142" s="283">
        <v>79.962900599999998</v>
      </c>
      <c r="J142" s="91">
        <f t="shared" si="19"/>
        <v>79.962900599999998</v>
      </c>
      <c r="K142" s="91">
        <f t="shared" si="6"/>
        <v>39.981450299999999</v>
      </c>
      <c r="L142" s="91"/>
      <c r="M142" s="91">
        <f t="shared" si="7"/>
        <v>0.64253956655634092</v>
      </c>
      <c r="N142" s="91">
        <f t="shared" si="8"/>
        <v>179.30741271299578</v>
      </c>
      <c r="O142" s="91">
        <f t="shared" si="9"/>
        <v>358.61482542599157</v>
      </c>
      <c r="P142" s="91">
        <f>+C138+D139+D140+D141+(D142/2)</f>
        <v>0</v>
      </c>
      <c r="Q142" s="91">
        <f t="shared" si="10"/>
        <v>0</v>
      </c>
      <c r="R142" s="91">
        <f t="shared" si="11"/>
        <v>0</v>
      </c>
      <c r="S142" s="91">
        <f t="shared" si="20"/>
        <v>213.83080000000001</v>
      </c>
      <c r="T142" s="91">
        <f t="shared" si="32"/>
        <v>213.83080000000001</v>
      </c>
      <c r="U142" s="284">
        <f t="shared" si="12"/>
        <v>213.83080000000001</v>
      </c>
      <c r="W142" s="285">
        <f t="shared" si="13"/>
        <v>0</v>
      </c>
      <c r="X142" s="258"/>
      <c r="Y142" s="285">
        <f t="shared" si="21"/>
        <v>0</v>
      </c>
      <c r="Z142" s="286">
        <f>SUM(D139:D142)+$C$138</f>
        <v>0</v>
      </c>
      <c r="AA142" s="287">
        <f t="shared" si="22"/>
        <v>66.255548399999995</v>
      </c>
      <c r="AB142" s="288">
        <f t="shared" si="14"/>
        <v>0.91535047595051022</v>
      </c>
      <c r="AC142" s="289">
        <f t="shared" si="23"/>
        <v>278.56028065668761</v>
      </c>
      <c r="AD142" s="287">
        <f t="shared" si="24"/>
        <v>50.018549700000001</v>
      </c>
      <c r="AE142" s="290">
        <f t="shared" si="25"/>
        <v>0.76625250760411079</v>
      </c>
      <c r="AF142" s="291">
        <f t="shared" si="26"/>
        <v>213.83080789825695</v>
      </c>
      <c r="AG142" s="291">
        <f t="shared" si="33"/>
        <v>-121.5</v>
      </c>
      <c r="AH142" s="292">
        <f t="shared" si="27"/>
        <v>492.39108855494453</v>
      </c>
      <c r="AI142" s="292">
        <f t="shared" ref="AI142:AI157" si="35">+W142-AF142</f>
        <v>-213.83080789825695</v>
      </c>
      <c r="AJ142" s="292">
        <f t="shared" si="34"/>
        <v>213.83080789825695</v>
      </c>
      <c r="AK142" s="293">
        <f t="shared" si="28"/>
        <v>-68.736162953547989</v>
      </c>
      <c r="AL142" s="293">
        <f t="shared" si="29"/>
        <v>-52.763837046452025</v>
      </c>
      <c r="AM142" s="273">
        <f t="shared" si="15"/>
        <v>-168.76123864870519</v>
      </c>
      <c r="AN142" s="274">
        <f t="shared" si="16"/>
        <v>-189.52374504523311</v>
      </c>
      <c r="AO142" s="275">
        <f t="shared" si="30"/>
        <v>168.76123864870519</v>
      </c>
      <c r="AP142" s="275">
        <f t="shared" si="31"/>
        <v>189.52374504523311</v>
      </c>
      <c r="AS142" s="131"/>
      <c r="BC142" s="214"/>
      <c r="BD142" s="214"/>
      <c r="BE142" s="214"/>
    </row>
    <row r="143" spans="2:98" ht="20" thickBot="1" x14ac:dyDescent="0.35">
      <c r="B143" s="277">
        <v>6</v>
      </c>
      <c r="C143" s="278"/>
      <c r="D143" s="25">
        <v>0</v>
      </c>
      <c r="E143" s="257" t="s">
        <v>130</v>
      </c>
      <c r="F143" s="295" t="str">
        <f t="shared" si="17"/>
        <v>use the locking pin</v>
      </c>
      <c r="G143" s="281">
        <f t="shared" si="18"/>
        <v>0</v>
      </c>
      <c r="H143" s="282">
        <v>279.06049999999999</v>
      </c>
      <c r="I143" s="283">
        <v>79.962900599999998</v>
      </c>
      <c r="J143" s="91">
        <f t="shared" si="19"/>
        <v>79.962900599999998</v>
      </c>
      <c r="K143" s="91">
        <f t="shared" si="6"/>
        <v>39.981450299999999</v>
      </c>
      <c r="L143" s="91"/>
      <c r="M143" s="91">
        <f t="shared" si="7"/>
        <v>0.64253956655634092</v>
      </c>
      <c r="N143" s="91">
        <f t="shared" si="8"/>
        <v>179.30741271299578</v>
      </c>
      <c r="O143" s="91">
        <f t="shared" si="9"/>
        <v>358.61482542599157</v>
      </c>
      <c r="P143" s="91">
        <f>+C138+D139+D140+D141+D142+(D143/2)</f>
        <v>0</v>
      </c>
      <c r="Q143" s="91">
        <f t="shared" si="10"/>
        <v>0</v>
      </c>
      <c r="R143" s="91">
        <f t="shared" si="11"/>
        <v>0</v>
      </c>
      <c r="S143" s="91">
        <f t="shared" si="20"/>
        <v>213.83080000000001</v>
      </c>
      <c r="T143" s="91">
        <f t="shared" si="32"/>
        <v>213.83080000000001</v>
      </c>
      <c r="U143" s="284">
        <f t="shared" si="12"/>
        <v>213.83080000000001</v>
      </c>
      <c r="W143" s="285">
        <f t="shared" si="13"/>
        <v>0</v>
      </c>
      <c r="X143" s="258"/>
      <c r="Y143" s="285">
        <f t="shared" si="21"/>
        <v>0</v>
      </c>
      <c r="Z143" s="286">
        <f>SUM(D139:D143)+$C$138</f>
        <v>0</v>
      </c>
      <c r="AA143" s="287">
        <f t="shared" si="22"/>
        <v>66.255548399999995</v>
      </c>
      <c r="AB143" s="288">
        <f t="shared" si="14"/>
        <v>0.91535047595051022</v>
      </c>
      <c r="AC143" s="289">
        <f t="shared" si="23"/>
        <v>278.56028065668761</v>
      </c>
      <c r="AD143" s="287">
        <f t="shared" si="24"/>
        <v>50.018549700000001</v>
      </c>
      <c r="AE143" s="290">
        <f t="shared" si="25"/>
        <v>0.76625250760411079</v>
      </c>
      <c r="AF143" s="291">
        <f t="shared" si="26"/>
        <v>213.83080789825695</v>
      </c>
      <c r="AG143" s="291">
        <f t="shared" si="33"/>
        <v>-162</v>
      </c>
      <c r="AH143" s="292">
        <f t="shared" si="27"/>
        <v>492.39108855494453</v>
      </c>
      <c r="AI143" s="292">
        <f t="shared" si="35"/>
        <v>-213.83080789825695</v>
      </c>
      <c r="AJ143" s="292">
        <f t="shared" si="34"/>
        <v>213.83080789825695</v>
      </c>
      <c r="AK143" s="293">
        <f t="shared" si="28"/>
        <v>-91.648217271397314</v>
      </c>
      <c r="AL143" s="293">
        <f t="shared" si="29"/>
        <v>-70.3517827286027</v>
      </c>
      <c r="AM143" s="273">
        <f t="shared" si="15"/>
        <v>-126.57092898652888</v>
      </c>
      <c r="AN143" s="274">
        <f t="shared" si="16"/>
        <v>-142.14280878392483</v>
      </c>
      <c r="AO143" s="275">
        <f t="shared" si="30"/>
        <v>126.57092898652888</v>
      </c>
      <c r="AP143" s="275">
        <f t="shared" si="31"/>
        <v>142.14280878392483</v>
      </c>
      <c r="BC143" s="214"/>
      <c r="BD143" s="214"/>
      <c r="BE143" s="214"/>
    </row>
    <row r="144" spans="2:98" ht="20" thickBot="1" x14ac:dyDescent="0.35">
      <c r="B144" s="277">
        <v>7</v>
      </c>
      <c r="C144" s="278"/>
      <c r="D144" s="25">
        <v>0</v>
      </c>
      <c r="E144" s="257" t="s">
        <v>130</v>
      </c>
      <c r="F144" s="295" t="str">
        <f t="shared" si="17"/>
        <v>use the locking pin</v>
      </c>
      <c r="G144" s="281">
        <f t="shared" si="18"/>
        <v>0</v>
      </c>
      <c r="H144" s="282">
        <v>279.06049999999999</v>
      </c>
      <c r="I144" s="283">
        <v>79.962900599999998</v>
      </c>
      <c r="J144" s="91">
        <f t="shared" si="19"/>
        <v>79.962900599999998</v>
      </c>
      <c r="K144" s="91">
        <f t="shared" si="6"/>
        <v>39.981450299999999</v>
      </c>
      <c r="L144" s="91"/>
      <c r="M144" s="91">
        <f t="shared" si="7"/>
        <v>0.64253956655634092</v>
      </c>
      <c r="N144" s="91">
        <f t="shared" si="8"/>
        <v>179.30741271299578</v>
      </c>
      <c r="O144" s="91">
        <f t="shared" si="9"/>
        <v>358.61482542599157</v>
      </c>
      <c r="P144" s="91">
        <f>+C138+D139+D140+D141+D142+D143+(D144/2)</f>
        <v>0</v>
      </c>
      <c r="Q144" s="91">
        <f t="shared" si="10"/>
        <v>0</v>
      </c>
      <c r="R144" s="91">
        <f t="shared" si="11"/>
        <v>0</v>
      </c>
      <c r="S144" s="91">
        <f t="shared" si="20"/>
        <v>213.83080000000001</v>
      </c>
      <c r="T144" s="91">
        <f t="shared" si="32"/>
        <v>213.83080000000001</v>
      </c>
      <c r="U144" s="284">
        <f t="shared" si="12"/>
        <v>213.83080000000001</v>
      </c>
      <c r="W144" s="285">
        <f t="shared" si="13"/>
        <v>0</v>
      </c>
      <c r="X144" s="258"/>
      <c r="Y144" s="285">
        <f t="shared" si="21"/>
        <v>0</v>
      </c>
      <c r="Z144" s="286">
        <f>SUM(D139:D144)+$C$138</f>
        <v>0</v>
      </c>
      <c r="AA144" s="287">
        <f t="shared" si="22"/>
        <v>66.255548399999995</v>
      </c>
      <c r="AB144" s="288">
        <f t="shared" si="14"/>
        <v>0.91535047595051022</v>
      </c>
      <c r="AC144" s="289">
        <f t="shared" si="23"/>
        <v>278.56028065668761</v>
      </c>
      <c r="AD144" s="287">
        <f t="shared" si="24"/>
        <v>50.018549700000001</v>
      </c>
      <c r="AE144" s="290">
        <f t="shared" si="25"/>
        <v>0.76625250760411079</v>
      </c>
      <c r="AF144" s="291">
        <f t="shared" si="26"/>
        <v>213.83080789825695</v>
      </c>
      <c r="AG144" s="291">
        <f t="shared" si="33"/>
        <v>-202.5</v>
      </c>
      <c r="AH144" s="292">
        <f t="shared" si="27"/>
        <v>492.39108855494453</v>
      </c>
      <c r="AI144" s="292">
        <f t="shared" si="35"/>
        <v>-213.83080789825695</v>
      </c>
      <c r="AJ144" s="292">
        <f t="shared" si="34"/>
        <v>213.83080789825695</v>
      </c>
      <c r="AK144" s="293">
        <f t="shared" si="28"/>
        <v>-114.56027158924665</v>
      </c>
      <c r="AL144" s="293">
        <f t="shared" si="29"/>
        <v>-87.939728410753375</v>
      </c>
      <c r="AM144" s="273">
        <f t="shared" si="15"/>
        <v>-101.2567431892231</v>
      </c>
      <c r="AN144" s="274">
        <f t="shared" si="16"/>
        <v>-113.71424702713988</v>
      </c>
      <c r="AO144" s="275">
        <f t="shared" si="30"/>
        <v>101.2567431892231</v>
      </c>
      <c r="AP144" s="275">
        <f t="shared" si="31"/>
        <v>113.71424702713988</v>
      </c>
      <c r="BC144" s="214"/>
      <c r="BD144" s="214"/>
      <c r="BE144" s="214"/>
    </row>
    <row r="145" spans="1:57" ht="20" thickBot="1" x14ac:dyDescent="0.35">
      <c r="B145" s="277">
        <v>8</v>
      </c>
      <c r="C145" s="278"/>
      <c r="D145" s="25">
        <v>0</v>
      </c>
      <c r="E145" s="257" t="s">
        <v>130</v>
      </c>
      <c r="F145" s="295" t="str">
        <f t="shared" si="17"/>
        <v>use the locking pin</v>
      </c>
      <c r="G145" s="281">
        <f t="shared" si="18"/>
        <v>0</v>
      </c>
      <c r="H145" s="282">
        <v>279.06049999999999</v>
      </c>
      <c r="I145" s="283">
        <v>79.962900599999998</v>
      </c>
      <c r="J145" s="91">
        <f t="shared" si="19"/>
        <v>79.962900599999998</v>
      </c>
      <c r="K145" s="91">
        <f t="shared" si="6"/>
        <v>39.981450299999999</v>
      </c>
      <c r="L145" s="91"/>
      <c r="M145" s="91">
        <f t="shared" si="7"/>
        <v>0.64253956655634092</v>
      </c>
      <c r="N145" s="91">
        <f t="shared" si="8"/>
        <v>179.30741271299578</v>
      </c>
      <c r="O145" s="91">
        <f t="shared" si="9"/>
        <v>358.61482542599157</v>
      </c>
      <c r="P145" s="91">
        <f>+C138+D139+D140+D141+D142+D143+D144+(D145/2)</f>
        <v>0</v>
      </c>
      <c r="Q145" s="91">
        <f t="shared" si="10"/>
        <v>0</v>
      </c>
      <c r="R145" s="91">
        <f t="shared" si="11"/>
        <v>0</v>
      </c>
      <c r="S145" s="91">
        <f t="shared" si="20"/>
        <v>213.83080000000001</v>
      </c>
      <c r="T145" s="91">
        <f t="shared" si="32"/>
        <v>213.83080000000001</v>
      </c>
      <c r="U145" s="284">
        <f t="shared" si="12"/>
        <v>213.83080000000001</v>
      </c>
      <c r="W145" s="285">
        <f t="shared" si="13"/>
        <v>0</v>
      </c>
      <c r="X145" s="258"/>
      <c r="Y145" s="285">
        <f t="shared" si="21"/>
        <v>0</v>
      </c>
      <c r="Z145" s="286">
        <f>SUM(D139:D145)+$C$138</f>
        <v>0</v>
      </c>
      <c r="AA145" s="287">
        <f t="shared" si="22"/>
        <v>66.255548399999995</v>
      </c>
      <c r="AB145" s="288">
        <f t="shared" si="14"/>
        <v>0.91535047595051022</v>
      </c>
      <c r="AC145" s="289">
        <f t="shared" si="23"/>
        <v>278.56028065668761</v>
      </c>
      <c r="AD145" s="287">
        <f t="shared" si="24"/>
        <v>50.018549700000001</v>
      </c>
      <c r="AE145" s="290">
        <f t="shared" si="25"/>
        <v>0.76625250760411079</v>
      </c>
      <c r="AF145" s="291">
        <f t="shared" si="26"/>
        <v>213.83080789825695</v>
      </c>
      <c r="AG145" s="291">
        <f t="shared" si="33"/>
        <v>-243</v>
      </c>
      <c r="AH145" s="292">
        <f t="shared" si="27"/>
        <v>492.39108855494453</v>
      </c>
      <c r="AI145" s="292">
        <f t="shared" si="35"/>
        <v>-213.83080789825695</v>
      </c>
      <c r="AJ145" s="292">
        <f t="shared" si="34"/>
        <v>213.83080789825695</v>
      </c>
      <c r="AK145" s="293">
        <f t="shared" si="28"/>
        <v>-137.47232590709598</v>
      </c>
      <c r="AL145" s="293">
        <f t="shared" si="29"/>
        <v>-105.52767409290405</v>
      </c>
      <c r="AM145" s="273">
        <f t="shared" si="15"/>
        <v>-84.380619324352594</v>
      </c>
      <c r="AN145" s="274">
        <f t="shared" si="16"/>
        <v>-94.761872522616557</v>
      </c>
      <c r="AO145" s="275">
        <f t="shared" si="30"/>
        <v>84.380619324352594</v>
      </c>
      <c r="AP145" s="275">
        <f t="shared" si="31"/>
        <v>94.761872522616557</v>
      </c>
      <c r="BC145" s="214"/>
      <c r="BD145" s="214"/>
      <c r="BE145" s="214"/>
    </row>
    <row r="146" spans="1:57" ht="20" thickBot="1" x14ac:dyDescent="0.35">
      <c r="B146" s="277">
        <v>9</v>
      </c>
      <c r="C146" s="278"/>
      <c r="D146" s="25">
        <v>0</v>
      </c>
      <c r="E146" s="257" t="s">
        <v>130</v>
      </c>
      <c r="F146" s="295" t="str">
        <f t="shared" si="17"/>
        <v>use the locking pin</v>
      </c>
      <c r="G146" s="281">
        <f t="shared" si="18"/>
        <v>0</v>
      </c>
      <c r="H146" s="282">
        <v>279.06049999999999</v>
      </c>
      <c r="I146" s="283">
        <v>79.962900599999998</v>
      </c>
      <c r="J146" s="91">
        <f t="shared" si="19"/>
        <v>79.962900599999998</v>
      </c>
      <c r="K146" s="91">
        <f t="shared" si="6"/>
        <v>39.981450299999999</v>
      </c>
      <c r="L146" s="91"/>
      <c r="M146" s="91">
        <f t="shared" si="7"/>
        <v>0.64253956655634092</v>
      </c>
      <c r="N146" s="91">
        <f t="shared" si="8"/>
        <v>179.30741271299578</v>
      </c>
      <c r="O146" s="91">
        <f t="shared" si="9"/>
        <v>358.61482542599157</v>
      </c>
      <c r="P146" s="91">
        <f>+C138+D139+D140+D141+D142+D143+D144+D145+(D146/2)</f>
        <v>0</v>
      </c>
      <c r="Q146" s="91">
        <f t="shared" si="10"/>
        <v>0</v>
      </c>
      <c r="R146" s="91">
        <f t="shared" si="11"/>
        <v>0</v>
      </c>
      <c r="S146" s="91">
        <f t="shared" si="20"/>
        <v>213.83080000000001</v>
      </c>
      <c r="T146" s="91">
        <f t="shared" si="32"/>
        <v>213.83080000000001</v>
      </c>
      <c r="U146" s="284">
        <f t="shared" si="12"/>
        <v>213.83080000000001</v>
      </c>
      <c r="W146" s="285">
        <f t="shared" si="13"/>
        <v>0</v>
      </c>
      <c r="X146" s="258"/>
      <c r="Y146" s="285">
        <f t="shared" si="21"/>
        <v>0</v>
      </c>
      <c r="Z146" s="286">
        <f>SUM(D139:D146)+$C$138</f>
        <v>0</v>
      </c>
      <c r="AA146" s="287">
        <f t="shared" si="22"/>
        <v>66.255548399999995</v>
      </c>
      <c r="AB146" s="288">
        <f t="shared" si="14"/>
        <v>0.91535047595051022</v>
      </c>
      <c r="AC146" s="289">
        <f t="shared" si="23"/>
        <v>278.56028065668761</v>
      </c>
      <c r="AD146" s="287">
        <f t="shared" si="24"/>
        <v>50.018549700000001</v>
      </c>
      <c r="AE146" s="290">
        <f t="shared" si="25"/>
        <v>0.76625250760411079</v>
      </c>
      <c r="AF146" s="291">
        <f t="shared" si="26"/>
        <v>213.83080789825695</v>
      </c>
      <c r="AG146" s="291">
        <f t="shared" si="33"/>
        <v>-283.5</v>
      </c>
      <c r="AH146" s="292">
        <f t="shared" si="27"/>
        <v>492.39108855494453</v>
      </c>
      <c r="AI146" s="292">
        <f t="shared" si="35"/>
        <v>-213.83080789825695</v>
      </c>
      <c r="AJ146" s="292">
        <f t="shared" si="34"/>
        <v>213.83080789825695</v>
      </c>
      <c r="AK146" s="293">
        <f t="shared" si="28"/>
        <v>-160.38438022494532</v>
      </c>
      <c r="AL146" s="293">
        <f t="shared" si="29"/>
        <v>-123.11561977505472</v>
      </c>
      <c r="AM146" s="273">
        <f t="shared" si="15"/>
        <v>-72.326245135159354</v>
      </c>
      <c r="AN146" s="274">
        <f t="shared" si="16"/>
        <v>-81.224462162242773</v>
      </c>
      <c r="AO146" s="275">
        <f t="shared" si="30"/>
        <v>72.326245135159354</v>
      </c>
      <c r="AP146" s="275">
        <f t="shared" si="31"/>
        <v>81.224462162242773</v>
      </c>
      <c r="BC146" s="214"/>
      <c r="BD146" s="214"/>
      <c r="BE146" s="214"/>
    </row>
    <row r="147" spans="1:57" ht="20" thickBot="1" x14ac:dyDescent="0.35">
      <c r="B147" s="277">
        <v>10</v>
      </c>
      <c r="C147" s="278"/>
      <c r="D147" s="25">
        <v>0</v>
      </c>
      <c r="E147" s="257" t="s">
        <v>130</v>
      </c>
      <c r="F147" s="295" t="str">
        <f t="shared" si="17"/>
        <v>use the locking pin</v>
      </c>
      <c r="G147" s="281">
        <f t="shared" si="18"/>
        <v>0</v>
      </c>
      <c r="H147" s="282">
        <v>279.06049999999999</v>
      </c>
      <c r="I147" s="283">
        <v>79.962900599999998</v>
      </c>
      <c r="J147" s="91">
        <f t="shared" si="19"/>
        <v>79.962900599999998</v>
      </c>
      <c r="K147" s="91">
        <f t="shared" si="6"/>
        <v>39.981450299999999</v>
      </c>
      <c r="L147" s="91"/>
      <c r="M147" s="91">
        <f t="shared" si="7"/>
        <v>0.64253956655634092</v>
      </c>
      <c r="N147" s="91">
        <f t="shared" si="8"/>
        <v>179.30741271299578</v>
      </c>
      <c r="O147" s="91">
        <f t="shared" si="9"/>
        <v>358.61482542599157</v>
      </c>
      <c r="P147" s="91">
        <f>+C138+D139+D140+D141+D142+D143+D144+D145+D146+(D147/2)</f>
        <v>0</v>
      </c>
      <c r="Q147" s="91">
        <f t="shared" si="10"/>
        <v>0</v>
      </c>
      <c r="R147" s="91">
        <f t="shared" si="11"/>
        <v>0</v>
      </c>
      <c r="S147" s="91">
        <f t="shared" si="20"/>
        <v>213.83080000000001</v>
      </c>
      <c r="T147" s="91">
        <f t="shared" si="32"/>
        <v>213.83080000000001</v>
      </c>
      <c r="U147" s="284">
        <f t="shared" si="12"/>
        <v>213.83080000000001</v>
      </c>
      <c r="W147" s="285">
        <f t="shared" si="13"/>
        <v>0</v>
      </c>
      <c r="X147" s="258"/>
      <c r="Y147" s="285">
        <f t="shared" si="21"/>
        <v>0</v>
      </c>
      <c r="Z147" s="286">
        <f>SUM(D139:D147)+$C$138</f>
        <v>0</v>
      </c>
      <c r="AA147" s="287">
        <f t="shared" si="22"/>
        <v>66.255548399999995</v>
      </c>
      <c r="AB147" s="288">
        <f t="shared" si="14"/>
        <v>0.91535047595051022</v>
      </c>
      <c r="AC147" s="289">
        <f t="shared" si="23"/>
        <v>278.56028065668761</v>
      </c>
      <c r="AD147" s="287">
        <f t="shared" si="24"/>
        <v>50.018549700000001</v>
      </c>
      <c r="AE147" s="290">
        <f t="shared" si="25"/>
        <v>0.76625250760411079</v>
      </c>
      <c r="AF147" s="291">
        <f t="shared" si="26"/>
        <v>213.83080789825695</v>
      </c>
      <c r="AG147" s="291">
        <f t="shared" si="33"/>
        <v>-324</v>
      </c>
      <c r="AH147" s="292">
        <f t="shared" si="27"/>
        <v>492.39108855494453</v>
      </c>
      <c r="AI147" s="292">
        <f t="shared" si="35"/>
        <v>-213.83080789825695</v>
      </c>
      <c r="AJ147" s="292">
        <f t="shared" si="34"/>
        <v>213.83080789825695</v>
      </c>
      <c r="AK147" s="293">
        <f t="shared" si="28"/>
        <v>-183.29643454279463</v>
      </c>
      <c r="AL147" s="293">
        <f t="shared" si="29"/>
        <v>-140.7035654572054</v>
      </c>
      <c r="AM147" s="273">
        <f t="shared" si="15"/>
        <v>-63.285464493264442</v>
      </c>
      <c r="AN147" s="274">
        <f t="shared" si="16"/>
        <v>-71.071404391962417</v>
      </c>
      <c r="AO147" s="275">
        <f t="shared" si="30"/>
        <v>63.285464493264442</v>
      </c>
      <c r="AP147" s="275">
        <f t="shared" si="31"/>
        <v>71.071404391962417</v>
      </c>
      <c r="BC147" s="214"/>
      <c r="BD147" s="214"/>
      <c r="BE147" s="214"/>
    </row>
    <row r="148" spans="1:57" ht="20" thickBot="1" x14ac:dyDescent="0.35">
      <c r="A148" s="296"/>
      <c r="B148" s="277">
        <v>11</v>
      </c>
      <c r="C148" s="278"/>
      <c r="D148" s="25">
        <v>0</v>
      </c>
      <c r="E148" s="257" t="s">
        <v>130</v>
      </c>
      <c r="F148" s="295" t="str">
        <f t="shared" si="17"/>
        <v>use the locking pin</v>
      </c>
      <c r="G148" s="281">
        <f t="shared" si="18"/>
        <v>0</v>
      </c>
      <c r="H148" s="282">
        <v>279.06049999999999</v>
      </c>
      <c r="I148" s="283">
        <v>79.962900599999998</v>
      </c>
      <c r="J148" s="91">
        <f t="shared" si="19"/>
        <v>79.962900599999998</v>
      </c>
      <c r="K148" s="91">
        <f t="shared" si="6"/>
        <v>39.981450299999999</v>
      </c>
      <c r="L148" s="91"/>
      <c r="M148" s="91">
        <f t="shared" si="7"/>
        <v>0.64253956655634092</v>
      </c>
      <c r="N148" s="91">
        <f t="shared" si="8"/>
        <v>179.30741271299578</v>
      </c>
      <c r="O148" s="91">
        <f t="shared" si="9"/>
        <v>358.61482542599157</v>
      </c>
      <c r="P148" s="91">
        <f>+C138+D139+D140+D141+D142+D143+D144+D145+D146+D147+(D148/2)</f>
        <v>0</v>
      </c>
      <c r="Q148" s="91">
        <f t="shared" si="10"/>
        <v>0</v>
      </c>
      <c r="R148" s="91">
        <f t="shared" si="11"/>
        <v>0</v>
      </c>
      <c r="S148" s="91">
        <f t="shared" si="20"/>
        <v>213.83080000000001</v>
      </c>
      <c r="T148" s="91">
        <f t="shared" si="32"/>
        <v>213.83080000000001</v>
      </c>
      <c r="U148" s="284">
        <f t="shared" si="12"/>
        <v>213.83080000000001</v>
      </c>
      <c r="W148" s="285">
        <f t="shared" si="13"/>
        <v>0</v>
      </c>
      <c r="X148" s="258"/>
      <c r="Y148" s="285">
        <f t="shared" si="21"/>
        <v>0</v>
      </c>
      <c r="Z148" s="286">
        <f>SUM(D139:D148)+$C$138</f>
        <v>0</v>
      </c>
      <c r="AA148" s="287">
        <f t="shared" si="22"/>
        <v>66.255548399999995</v>
      </c>
      <c r="AB148" s="288">
        <f t="shared" si="14"/>
        <v>0.91535047595051022</v>
      </c>
      <c r="AC148" s="289">
        <f t="shared" si="23"/>
        <v>278.56028065668761</v>
      </c>
      <c r="AD148" s="287">
        <f t="shared" si="24"/>
        <v>50.018549700000001</v>
      </c>
      <c r="AE148" s="290">
        <f t="shared" si="25"/>
        <v>0.76625250760411079</v>
      </c>
      <c r="AF148" s="291">
        <f t="shared" si="26"/>
        <v>213.83080789825695</v>
      </c>
      <c r="AG148" s="291">
        <f t="shared" si="33"/>
        <v>-364.5</v>
      </c>
      <c r="AH148" s="292">
        <f t="shared" si="27"/>
        <v>492.39108855494453</v>
      </c>
      <c r="AI148" s="292">
        <f t="shared" si="35"/>
        <v>-213.83080789825695</v>
      </c>
      <c r="AJ148" s="292">
        <f t="shared" si="34"/>
        <v>213.83080789825695</v>
      </c>
      <c r="AK148" s="293">
        <f t="shared" si="28"/>
        <v>-206.20848886064397</v>
      </c>
      <c r="AL148" s="293">
        <f t="shared" si="29"/>
        <v>-158.29151113935606</v>
      </c>
      <c r="AM148" s="273">
        <f t="shared" si="15"/>
        <v>-56.253746216235058</v>
      </c>
      <c r="AN148" s="274">
        <f t="shared" si="16"/>
        <v>-63.174581681744378</v>
      </c>
      <c r="AO148" s="275">
        <f t="shared" si="30"/>
        <v>56.253746216235058</v>
      </c>
      <c r="AP148" s="275">
        <f t="shared" si="31"/>
        <v>63.174581681744378</v>
      </c>
      <c r="BC148" s="214"/>
      <c r="BD148" s="214"/>
      <c r="BE148" s="214"/>
    </row>
    <row r="149" spans="1:57" ht="20" thickBot="1" x14ac:dyDescent="0.35">
      <c r="A149" s="296"/>
      <c r="B149" s="277">
        <v>12</v>
      </c>
      <c r="C149" s="278"/>
      <c r="D149" s="25">
        <v>0</v>
      </c>
      <c r="E149" s="257" t="s">
        <v>130</v>
      </c>
      <c r="F149" s="295" t="str">
        <f t="shared" si="17"/>
        <v>use the locking pin</v>
      </c>
      <c r="G149" s="281">
        <f t="shared" si="18"/>
        <v>0</v>
      </c>
      <c r="H149" s="282">
        <v>279.06049999999999</v>
      </c>
      <c r="I149" s="283">
        <v>79.962900599999998</v>
      </c>
      <c r="J149" s="91">
        <f t="shared" si="19"/>
        <v>79.962900599999998</v>
      </c>
      <c r="K149" s="91">
        <f t="shared" si="6"/>
        <v>39.981450299999999</v>
      </c>
      <c r="L149" s="91"/>
      <c r="M149" s="91">
        <f t="shared" si="7"/>
        <v>0.64253956655634092</v>
      </c>
      <c r="N149" s="91">
        <f t="shared" si="8"/>
        <v>179.30741271299578</v>
      </c>
      <c r="O149" s="91">
        <f t="shared" si="9"/>
        <v>358.61482542599157</v>
      </c>
      <c r="P149" s="91">
        <f>+C138+D139+D140+D141+D142+D143+D144+D145+D146+D147+D148+(D149/2)</f>
        <v>0</v>
      </c>
      <c r="Q149" s="91">
        <f t="shared" si="10"/>
        <v>0</v>
      </c>
      <c r="R149" s="91">
        <f t="shared" si="11"/>
        <v>0</v>
      </c>
      <c r="S149" s="91">
        <f t="shared" si="20"/>
        <v>213.83080000000001</v>
      </c>
      <c r="T149" s="91">
        <f t="shared" si="32"/>
        <v>213.83080000000001</v>
      </c>
      <c r="U149" s="284">
        <f t="shared" si="12"/>
        <v>213.83080000000001</v>
      </c>
      <c r="W149" s="285">
        <f t="shared" si="13"/>
        <v>0</v>
      </c>
      <c r="X149" s="258"/>
      <c r="Y149" s="285">
        <f t="shared" si="21"/>
        <v>0</v>
      </c>
      <c r="Z149" s="286">
        <f>SUM(D139:D149)+$C$138</f>
        <v>0</v>
      </c>
      <c r="AA149" s="287">
        <f t="shared" si="22"/>
        <v>66.255548399999995</v>
      </c>
      <c r="AB149" s="288">
        <f t="shared" si="14"/>
        <v>0.91535047595051022</v>
      </c>
      <c r="AC149" s="289">
        <f t="shared" si="23"/>
        <v>278.56028065668761</v>
      </c>
      <c r="AD149" s="287">
        <f t="shared" si="24"/>
        <v>50.018549700000001</v>
      </c>
      <c r="AE149" s="290">
        <f t="shared" si="25"/>
        <v>0.76625250760411079</v>
      </c>
      <c r="AF149" s="291">
        <f t="shared" si="26"/>
        <v>213.83080789825695</v>
      </c>
      <c r="AG149" s="291">
        <f t="shared" si="33"/>
        <v>-405</v>
      </c>
      <c r="AH149" s="292">
        <f t="shared" si="27"/>
        <v>492.39108855494453</v>
      </c>
      <c r="AI149" s="292">
        <f t="shared" si="35"/>
        <v>-213.83080789825695</v>
      </c>
      <c r="AJ149" s="292">
        <f t="shared" si="34"/>
        <v>213.83080789825695</v>
      </c>
      <c r="AK149" s="293">
        <f t="shared" si="28"/>
        <v>-229.12054317849331</v>
      </c>
      <c r="AL149" s="293">
        <f t="shared" si="29"/>
        <v>-175.87945682150675</v>
      </c>
      <c r="AM149" s="273">
        <f t="shared" si="15"/>
        <v>-50.628371594611551</v>
      </c>
      <c r="AN149" s="274">
        <f t="shared" si="16"/>
        <v>-56.857123513569938</v>
      </c>
      <c r="AO149" s="275">
        <f t="shared" si="30"/>
        <v>50.628371594611551</v>
      </c>
      <c r="AP149" s="275">
        <f t="shared" si="31"/>
        <v>56.857123513569938</v>
      </c>
      <c r="BC149" s="214"/>
      <c r="BD149" s="214"/>
      <c r="BE149" s="214"/>
    </row>
    <row r="150" spans="1:57" ht="20" thickBot="1" x14ac:dyDescent="0.35">
      <c r="B150" s="277">
        <v>13</v>
      </c>
      <c r="C150" s="278"/>
      <c r="D150" s="25">
        <v>0</v>
      </c>
      <c r="E150" s="257" t="s">
        <v>130</v>
      </c>
      <c r="F150" s="295" t="str">
        <f t="shared" si="17"/>
        <v>use the locking pin</v>
      </c>
      <c r="G150" s="281">
        <f t="shared" si="18"/>
        <v>0</v>
      </c>
      <c r="H150" s="282">
        <v>279.06049999999999</v>
      </c>
      <c r="I150" s="283">
        <v>79.962900599999998</v>
      </c>
      <c r="J150" s="91">
        <f t="shared" si="19"/>
        <v>79.962900599999998</v>
      </c>
      <c r="K150" s="91">
        <f t="shared" si="6"/>
        <v>39.981450299999999</v>
      </c>
      <c r="L150" s="91"/>
      <c r="M150" s="91">
        <f t="shared" si="7"/>
        <v>0.64253956655634092</v>
      </c>
      <c r="N150" s="91">
        <f t="shared" si="8"/>
        <v>179.30741271299578</v>
      </c>
      <c r="O150" s="91">
        <f t="shared" si="9"/>
        <v>358.61482542599157</v>
      </c>
      <c r="P150" s="91">
        <f>+C138+D139+D140+D141+D142+D143+D144+D145+D146+D147+D148+D149+(D150/2)</f>
        <v>0</v>
      </c>
      <c r="Q150" s="91">
        <f t="shared" si="10"/>
        <v>0</v>
      </c>
      <c r="R150" s="91">
        <f t="shared" si="11"/>
        <v>0</v>
      </c>
      <c r="S150" s="91">
        <f t="shared" si="20"/>
        <v>213.83080000000001</v>
      </c>
      <c r="T150" s="91">
        <f t="shared" si="32"/>
        <v>213.83080000000001</v>
      </c>
      <c r="U150" s="284">
        <f t="shared" si="12"/>
        <v>213.83080000000001</v>
      </c>
      <c r="W150" s="285">
        <f t="shared" si="13"/>
        <v>0</v>
      </c>
      <c r="X150" s="258"/>
      <c r="Y150" s="285">
        <f t="shared" si="21"/>
        <v>0</v>
      </c>
      <c r="Z150" s="286">
        <f>SUM(D139:D150)+$C$138</f>
        <v>0</v>
      </c>
      <c r="AA150" s="287">
        <f t="shared" si="22"/>
        <v>66.255548399999995</v>
      </c>
      <c r="AB150" s="288">
        <f t="shared" si="14"/>
        <v>0.91535047595051022</v>
      </c>
      <c r="AC150" s="289">
        <f t="shared" si="23"/>
        <v>278.56028065668761</v>
      </c>
      <c r="AD150" s="287">
        <f t="shared" si="24"/>
        <v>50.018549700000001</v>
      </c>
      <c r="AE150" s="290">
        <f t="shared" si="25"/>
        <v>0.76625250760411079</v>
      </c>
      <c r="AF150" s="291">
        <f t="shared" si="26"/>
        <v>213.83080789825695</v>
      </c>
      <c r="AG150" s="291">
        <f t="shared" si="33"/>
        <v>-445.5</v>
      </c>
      <c r="AH150" s="292">
        <f t="shared" si="27"/>
        <v>492.39108855494453</v>
      </c>
      <c r="AI150" s="292">
        <f t="shared" si="35"/>
        <v>-213.83080789825695</v>
      </c>
      <c r="AJ150" s="292">
        <f t="shared" si="34"/>
        <v>213.83080789825695</v>
      </c>
      <c r="AK150" s="293">
        <f t="shared" si="28"/>
        <v>-252.03259749634262</v>
      </c>
      <c r="AL150" s="293">
        <f t="shared" si="29"/>
        <v>-193.46740250365741</v>
      </c>
      <c r="AM150" s="273">
        <f t="shared" si="15"/>
        <v>-46.025792358737775</v>
      </c>
      <c r="AN150" s="274">
        <f t="shared" si="16"/>
        <v>-51.688294103245404</v>
      </c>
      <c r="AO150" s="275">
        <f t="shared" si="30"/>
        <v>46.025792358737775</v>
      </c>
      <c r="AP150" s="275">
        <f t="shared" si="31"/>
        <v>51.688294103245404</v>
      </c>
      <c r="BC150" s="214"/>
      <c r="BD150" s="214"/>
      <c r="BE150" s="214"/>
    </row>
    <row r="151" spans="1:57" ht="20" thickBot="1" x14ac:dyDescent="0.35">
      <c r="B151" s="277">
        <v>14</v>
      </c>
      <c r="C151" s="278"/>
      <c r="D151" s="25">
        <v>0</v>
      </c>
      <c r="E151" s="257" t="s">
        <v>130</v>
      </c>
      <c r="F151" s="295" t="str">
        <f t="shared" si="17"/>
        <v>use the locking pin</v>
      </c>
      <c r="G151" s="281">
        <f t="shared" si="18"/>
        <v>0</v>
      </c>
      <c r="H151" s="282">
        <v>279.06049999999999</v>
      </c>
      <c r="I151" s="283">
        <v>79.962900599999998</v>
      </c>
      <c r="J151" s="91">
        <f t="shared" si="19"/>
        <v>79.962900599999998</v>
      </c>
      <c r="K151" s="91">
        <f t="shared" si="6"/>
        <v>39.981450299999999</v>
      </c>
      <c r="L151" s="91"/>
      <c r="M151" s="91">
        <f t="shared" si="7"/>
        <v>0.64253956655634092</v>
      </c>
      <c r="N151" s="91">
        <f t="shared" si="8"/>
        <v>179.30741271299578</v>
      </c>
      <c r="O151" s="91">
        <f t="shared" si="9"/>
        <v>358.61482542599157</v>
      </c>
      <c r="P151" s="91">
        <f>+C138+D139+D140+D141+D142+D143+D144+D145+D146+D147+D148+D149+D150+(D151/2)</f>
        <v>0</v>
      </c>
      <c r="Q151" s="91">
        <f t="shared" si="10"/>
        <v>0</v>
      </c>
      <c r="R151" s="91">
        <f t="shared" si="11"/>
        <v>0</v>
      </c>
      <c r="S151" s="91">
        <f t="shared" si="20"/>
        <v>213.83080000000001</v>
      </c>
      <c r="T151" s="91">
        <f t="shared" si="32"/>
        <v>213.83080000000001</v>
      </c>
      <c r="U151" s="284">
        <f t="shared" si="12"/>
        <v>213.83080000000001</v>
      </c>
      <c r="W151" s="285">
        <f t="shared" si="13"/>
        <v>0</v>
      </c>
      <c r="X151" s="258"/>
      <c r="Y151" s="285">
        <f t="shared" si="21"/>
        <v>0</v>
      </c>
      <c r="Z151" s="286">
        <f>SUM(D139:D151)+$C$138</f>
        <v>0</v>
      </c>
      <c r="AA151" s="287">
        <f t="shared" si="22"/>
        <v>66.255548399999995</v>
      </c>
      <c r="AB151" s="288">
        <f t="shared" si="14"/>
        <v>0.91535047595051022</v>
      </c>
      <c r="AC151" s="289">
        <f t="shared" si="23"/>
        <v>278.56028065668761</v>
      </c>
      <c r="AD151" s="287">
        <f t="shared" si="24"/>
        <v>50.018549700000001</v>
      </c>
      <c r="AE151" s="290">
        <f t="shared" si="25"/>
        <v>0.76625250760411079</v>
      </c>
      <c r="AF151" s="291">
        <f t="shared" si="26"/>
        <v>213.83080789825695</v>
      </c>
      <c r="AG151" s="291">
        <f t="shared" si="33"/>
        <v>-486</v>
      </c>
      <c r="AH151" s="292">
        <f t="shared" si="27"/>
        <v>492.39108855494453</v>
      </c>
      <c r="AI151" s="292">
        <f t="shared" si="35"/>
        <v>-213.83080789825695</v>
      </c>
      <c r="AJ151" s="292">
        <f t="shared" si="34"/>
        <v>213.83080789825695</v>
      </c>
      <c r="AK151" s="293">
        <f t="shared" si="28"/>
        <v>-274.94465181419196</v>
      </c>
      <c r="AL151" s="293">
        <f t="shared" si="29"/>
        <v>-211.0553481858081</v>
      </c>
      <c r="AM151" s="273">
        <f t="shared" si="15"/>
        <v>-42.190309662176297</v>
      </c>
      <c r="AN151" s="274">
        <f t="shared" si="16"/>
        <v>-47.380936261308278</v>
      </c>
      <c r="AO151" s="275">
        <f t="shared" si="30"/>
        <v>42.190309662176297</v>
      </c>
      <c r="AP151" s="275">
        <f t="shared" si="31"/>
        <v>47.380936261308278</v>
      </c>
      <c r="BC151" s="214"/>
      <c r="BD151" s="214"/>
      <c r="BE151" s="214"/>
    </row>
    <row r="152" spans="1:57" ht="20" thickBot="1" x14ac:dyDescent="0.35">
      <c r="B152" s="277">
        <v>15</v>
      </c>
      <c r="C152" s="278"/>
      <c r="D152" s="25">
        <v>0</v>
      </c>
      <c r="E152" s="257" t="s">
        <v>130</v>
      </c>
      <c r="F152" s="295" t="str">
        <f t="shared" si="17"/>
        <v>use the locking pin</v>
      </c>
      <c r="G152" s="281">
        <f t="shared" si="18"/>
        <v>0</v>
      </c>
      <c r="H152" s="282">
        <v>279.06049999999999</v>
      </c>
      <c r="I152" s="283">
        <v>79.962900599999998</v>
      </c>
      <c r="J152" s="91">
        <f t="shared" si="19"/>
        <v>79.962900599999998</v>
      </c>
      <c r="K152" s="91">
        <f t="shared" si="6"/>
        <v>39.981450299999999</v>
      </c>
      <c r="L152" s="91"/>
      <c r="M152" s="91">
        <f t="shared" si="7"/>
        <v>0.64253956655634092</v>
      </c>
      <c r="N152" s="91">
        <f t="shared" si="8"/>
        <v>179.30741271299578</v>
      </c>
      <c r="O152" s="91">
        <f t="shared" si="9"/>
        <v>358.61482542599157</v>
      </c>
      <c r="P152" s="91">
        <f>+C138+D139+D140+D141+D142+D143+D144+D145+D146+D147+D148+D149+D150+D151+(D152/2)</f>
        <v>0</v>
      </c>
      <c r="Q152" s="91">
        <f t="shared" si="10"/>
        <v>0</v>
      </c>
      <c r="R152" s="91">
        <f t="shared" si="11"/>
        <v>0</v>
      </c>
      <c r="S152" s="91">
        <f t="shared" si="20"/>
        <v>213.83080000000001</v>
      </c>
      <c r="T152" s="91">
        <f t="shared" si="32"/>
        <v>213.83080000000001</v>
      </c>
      <c r="U152" s="284">
        <f t="shared" si="12"/>
        <v>213.83080000000001</v>
      </c>
      <c r="W152" s="285">
        <f t="shared" si="13"/>
        <v>0</v>
      </c>
      <c r="X152" s="258"/>
      <c r="Y152" s="285">
        <f t="shared" si="21"/>
        <v>0</v>
      </c>
      <c r="Z152" s="286">
        <f>SUM(D139:D152)+$C$138</f>
        <v>0</v>
      </c>
      <c r="AA152" s="287">
        <f t="shared" si="22"/>
        <v>66.255548399999995</v>
      </c>
      <c r="AB152" s="288">
        <f t="shared" si="14"/>
        <v>0.91535047595051022</v>
      </c>
      <c r="AC152" s="289">
        <f t="shared" si="23"/>
        <v>278.56028065668761</v>
      </c>
      <c r="AD152" s="287">
        <f t="shared" si="24"/>
        <v>50.018549700000001</v>
      </c>
      <c r="AE152" s="290">
        <f t="shared" si="25"/>
        <v>0.76625250760411079</v>
      </c>
      <c r="AF152" s="291">
        <f t="shared" si="26"/>
        <v>213.83080789825695</v>
      </c>
      <c r="AG152" s="291">
        <f t="shared" si="33"/>
        <v>-526.5</v>
      </c>
      <c r="AH152" s="292">
        <f t="shared" si="27"/>
        <v>492.39108855494453</v>
      </c>
      <c r="AI152" s="292">
        <f t="shared" si="35"/>
        <v>-213.83080789825695</v>
      </c>
      <c r="AJ152" s="292">
        <f t="shared" si="34"/>
        <v>213.83080789825695</v>
      </c>
      <c r="AK152" s="293">
        <f t="shared" si="28"/>
        <v>-297.85670613204127</v>
      </c>
      <c r="AL152" s="293">
        <f t="shared" si="29"/>
        <v>-228.64329386795876</v>
      </c>
      <c r="AM152" s="273">
        <f t="shared" si="15"/>
        <v>-38.944901226624275</v>
      </c>
      <c r="AN152" s="274">
        <f t="shared" si="16"/>
        <v>-43.736248856592262</v>
      </c>
      <c r="AO152" s="275">
        <f t="shared" si="30"/>
        <v>38.944901226624275</v>
      </c>
      <c r="AP152" s="275">
        <f t="shared" si="31"/>
        <v>43.736248856592262</v>
      </c>
      <c r="BC152" s="214"/>
      <c r="BD152" s="214"/>
      <c r="BE152" s="214"/>
    </row>
    <row r="153" spans="1:57" ht="20" thickBot="1" x14ac:dyDescent="0.35">
      <c r="B153" s="277">
        <v>16</v>
      </c>
      <c r="C153" s="278"/>
      <c r="D153" s="25">
        <v>0</v>
      </c>
      <c r="E153" s="257" t="s">
        <v>130</v>
      </c>
      <c r="F153" s="295" t="str">
        <f t="shared" si="17"/>
        <v>use the locking pin</v>
      </c>
      <c r="G153" s="281">
        <f t="shared" si="18"/>
        <v>0</v>
      </c>
      <c r="H153" s="282">
        <v>279.06049999999999</v>
      </c>
      <c r="I153" s="283">
        <v>79.962900599999998</v>
      </c>
      <c r="J153" s="91">
        <f t="shared" si="19"/>
        <v>79.962900599999998</v>
      </c>
      <c r="K153" s="91">
        <f t="shared" si="6"/>
        <v>39.981450299999999</v>
      </c>
      <c r="L153" s="91"/>
      <c r="M153" s="91">
        <f t="shared" si="7"/>
        <v>0.64253956655634092</v>
      </c>
      <c r="N153" s="91">
        <f t="shared" si="8"/>
        <v>179.30741271299578</v>
      </c>
      <c r="O153" s="91">
        <f t="shared" si="9"/>
        <v>358.61482542599157</v>
      </c>
      <c r="P153" s="91">
        <f>+C138+D139+D140+D141+D142+D143+D144+D145+D146+D147+D148+D149+D150+D151+D152+(D153/2)</f>
        <v>0</v>
      </c>
      <c r="Q153" s="91">
        <f t="shared" si="10"/>
        <v>0</v>
      </c>
      <c r="R153" s="91">
        <f t="shared" si="11"/>
        <v>0</v>
      </c>
      <c r="S153" s="91">
        <f t="shared" si="20"/>
        <v>213.83080000000001</v>
      </c>
      <c r="T153" s="91">
        <f t="shared" si="32"/>
        <v>213.83080000000001</v>
      </c>
      <c r="U153" s="284">
        <f t="shared" si="12"/>
        <v>213.83080000000001</v>
      </c>
      <c r="W153" s="285">
        <f t="shared" si="13"/>
        <v>0</v>
      </c>
      <c r="X153" s="258"/>
      <c r="Y153" s="285">
        <f t="shared" si="21"/>
        <v>0</v>
      </c>
      <c r="Z153" s="286">
        <f>SUM(D139:D153)+$C$138</f>
        <v>0</v>
      </c>
      <c r="AA153" s="287">
        <f t="shared" si="22"/>
        <v>66.255548399999995</v>
      </c>
      <c r="AB153" s="288">
        <f t="shared" si="14"/>
        <v>0.91535047595051022</v>
      </c>
      <c r="AC153" s="289">
        <f t="shared" si="23"/>
        <v>278.56028065668761</v>
      </c>
      <c r="AD153" s="287">
        <f t="shared" si="24"/>
        <v>50.018549700000001</v>
      </c>
      <c r="AE153" s="290">
        <f t="shared" si="25"/>
        <v>0.76625250760411079</v>
      </c>
      <c r="AF153" s="291">
        <f t="shared" si="26"/>
        <v>213.83080789825695</v>
      </c>
      <c r="AG153" s="291">
        <f t="shared" si="33"/>
        <v>-567</v>
      </c>
      <c r="AH153" s="292">
        <f t="shared" si="27"/>
        <v>492.39108855494453</v>
      </c>
      <c r="AI153" s="292">
        <f t="shared" si="35"/>
        <v>-213.83080789825695</v>
      </c>
      <c r="AJ153" s="292">
        <f t="shared" si="34"/>
        <v>213.83080789825695</v>
      </c>
      <c r="AK153" s="293">
        <f t="shared" si="28"/>
        <v>-320.76876044989064</v>
      </c>
      <c r="AL153" s="293">
        <f t="shared" si="29"/>
        <v>-246.23123955010945</v>
      </c>
      <c r="AM153" s="273">
        <f t="shared" si="15"/>
        <v>-36.163122567579677</v>
      </c>
      <c r="AN153" s="274">
        <f t="shared" si="16"/>
        <v>-40.612231081121386</v>
      </c>
      <c r="AO153" s="275">
        <f t="shared" si="30"/>
        <v>36.163122567579677</v>
      </c>
      <c r="AP153" s="275">
        <f t="shared" si="31"/>
        <v>40.612231081121386</v>
      </c>
      <c r="BC153" s="214"/>
      <c r="BD153" s="214"/>
      <c r="BE153" s="214"/>
    </row>
    <row r="154" spans="1:57" ht="20" thickBot="1" x14ac:dyDescent="0.35">
      <c r="B154" s="277">
        <v>17</v>
      </c>
      <c r="C154" s="278"/>
      <c r="D154" s="25">
        <v>0</v>
      </c>
      <c r="E154" s="257" t="s">
        <v>130</v>
      </c>
      <c r="F154" s="295" t="str">
        <f t="shared" si="17"/>
        <v>use the locking pin</v>
      </c>
      <c r="G154" s="281">
        <f t="shared" si="18"/>
        <v>0</v>
      </c>
      <c r="H154" s="282">
        <v>279.06049999999999</v>
      </c>
      <c r="I154" s="283">
        <v>79.962900599999998</v>
      </c>
      <c r="J154" s="91">
        <f t="shared" si="19"/>
        <v>79.962900599999998</v>
      </c>
      <c r="K154" s="91">
        <f t="shared" si="6"/>
        <v>39.981450299999999</v>
      </c>
      <c r="L154" s="91"/>
      <c r="M154" s="91">
        <f t="shared" si="7"/>
        <v>0.64253956655634092</v>
      </c>
      <c r="N154" s="91">
        <f t="shared" si="8"/>
        <v>179.30741271299578</v>
      </c>
      <c r="O154" s="91">
        <f t="shared" si="9"/>
        <v>358.61482542599157</v>
      </c>
      <c r="P154" s="91">
        <f>+C138+D139+D140+D141+D142+D143+D144+D145+D146+D147+D148+D149+D150+D151+D152+D153+(D154/2)</f>
        <v>0</v>
      </c>
      <c r="Q154" s="91">
        <f t="shared" si="10"/>
        <v>0</v>
      </c>
      <c r="R154" s="91">
        <f t="shared" si="11"/>
        <v>0</v>
      </c>
      <c r="S154" s="91">
        <f t="shared" si="20"/>
        <v>213.83080000000001</v>
      </c>
      <c r="T154" s="91">
        <f t="shared" si="32"/>
        <v>213.83080000000001</v>
      </c>
      <c r="U154" s="284">
        <f t="shared" si="12"/>
        <v>213.83080000000001</v>
      </c>
      <c r="W154" s="285">
        <f t="shared" si="13"/>
        <v>0</v>
      </c>
      <c r="X154" s="258"/>
      <c r="Y154" s="285">
        <f t="shared" si="21"/>
        <v>0</v>
      </c>
      <c r="Z154" s="286">
        <f>SUM(D139:D154)+$C$138</f>
        <v>0</v>
      </c>
      <c r="AA154" s="287">
        <f t="shared" si="22"/>
        <v>66.255548399999995</v>
      </c>
      <c r="AB154" s="288">
        <f t="shared" si="14"/>
        <v>0.91535047595051022</v>
      </c>
      <c r="AC154" s="289">
        <f t="shared" si="23"/>
        <v>278.56028065668761</v>
      </c>
      <c r="AD154" s="287">
        <f t="shared" si="24"/>
        <v>50.018549700000001</v>
      </c>
      <c r="AE154" s="290">
        <f t="shared" si="25"/>
        <v>0.76625250760411079</v>
      </c>
      <c r="AF154" s="291">
        <f t="shared" si="26"/>
        <v>213.83080789825695</v>
      </c>
      <c r="AG154" s="291">
        <f t="shared" si="33"/>
        <v>-607.5</v>
      </c>
      <c r="AH154" s="292">
        <f t="shared" si="27"/>
        <v>492.39108855494453</v>
      </c>
      <c r="AI154" s="292">
        <f t="shared" si="35"/>
        <v>-213.83080789825695</v>
      </c>
      <c r="AJ154" s="292">
        <f t="shared" si="34"/>
        <v>213.83080789825695</v>
      </c>
      <c r="AK154" s="293">
        <f t="shared" si="28"/>
        <v>-343.68081476773995</v>
      </c>
      <c r="AL154" s="293">
        <f t="shared" si="29"/>
        <v>-263.81918523226011</v>
      </c>
      <c r="AM154" s="273">
        <f t="shared" si="15"/>
        <v>-33.752247729741036</v>
      </c>
      <c r="AN154" s="274">
        <f t="shared" si="16"/>
        <v>-37.904749009046625</v>
      </c>
      <c r="AO154" s="275">
        <f t="shared" si="30"/>
        <v>33.752247729741036</v>
      </c>
      <c r="AP154" s="275">
        <f t="shared" si="31"/>
        <v>37.904749009046625</v>
      </c>
      <c r="BC154" s="214"/>
      <c r="BD154" s="214"/>
      <c r="BE154" s="214"/>
    </row>
    <row r="155" spans="1:57" ht="20" thickBot="1" x14ac:dyDescent="0.35">
      <c r="B155" s="277">
        <v>18</v>
      </c>
      <c r="C155" s="278"/>
      <c r="D155" s="25">
        <v>0</v>
      </c>
      <c r="E155" s="257" t="s">
        <v>130</v>
      </c>
      <c r="F155" s="295" t="str">
        <f t="shared" si="17"/>
        <v>use the locking pin</v>
      </c>
      <c r="G155" s="281">
        <f t="shared" si="18"/>
        <v>0</v>
      </c>
      <c r="H155" s="282">
        <v>279.06049999999999</v>
      </c>
      <c r="I155" s="283">
        <v>79.962900599999998</v>
      </c>
      <c r="J155" s="91">
        <f t="shared" si="19"/>
        <v>79.962900599999998</v>
      </c>
      <c r="K155" s="91">
        <f t="shared" si="6"/>
        <v>39.981450299999999</v>
      </c>
      <c r="L155" s="91"/>
      <c r="M155" s="91">
        <f t="shared" si="7"/>
        <v>0.64253956655634092</v>
      </c>
      <c r="N155" s="91">
        <f t="shared" si="8"/>
        <v>179.30741271299578</v>
      </c>
      <c r="O155" s="91">
        <f t="shared" si="9"/>
        <v>358.61482542599157</v>
      </c>
      <c r="P155" s="91">
        <f>+C138+D139+D140+D141+D142+D143+D144+D145+D146+D147+D148+D149+D150+D151+D152+D153+D154+(D155/2)</f>
        <v>0</v>
      </c>
      <c r="Q155" s="91">
        <f t="shared" si="10"/>
        <v>0</v>
      </c>
      <c r="R155" s="91">
        <f t="shared" si="11"/>
        <v>0</v>
      </c>
      <c r="S155" s="91">
        <f t="shared" si="20"/>
        <v>213.83080000000001</v>
      </c>
      <c r="T155" s="91">
        <f t="shared" si="32"/>
        <v>213.83080000000001</v>
      </c>
      <c r="U155" s="284">
        <f t="shared" si="12"/>
        <v>213.83080000000001</v>
      </c>
      <c r="W155" s="285">
        <f t="shared" si="13"/>
        <v>0</v>
      </c>
      <c r="X155" s="258"/>
      <c r="Y155" s="285">
        <f t="shared" si="21"/>
        <v>0</v>
      </c>
      <c r="Z155" s="286">
        <f>SUM(D139:D155)+$C$138</f>
        <v>0</v>
      </c>
      <c r="AA155" s="287">
        <f t="shared" si="22"/>
        <v>66.255548399999995</v>
      </c>
      <c r="AB155" s="288">
        <f t="shared" si="14"/>
        <v>0.91535047595051022</v>
      </c>
      <c r="AC155" s="289">
        <f t="shared" si="23"/>
        <v>278.56028065668761</v>
      </c>
      <c r="AD155" s="287">
        <f t="shared" si="24"/>
        <v>50.018549700000001</v>
      </c>
      <c r="AE155" s="290">
        <f t="shared" si="25"/>
        <v>0.76625250760411079</v>
      </c>
      <c r="AF155" s="291">
        <f t="shared" si="26"/>
        <v>213.83080789825695</v>
      </c>
      <c r="AG155" s="291">
        <f t="shared" si="33"/>
        <v>-648</v>
      </c>
      <c r="AH155" s="292">
        <f t="shared" si="27"/>
        <v>492.39108855494453</v>
      </c>
      <c r="AI155" s="292">
        <f t="shared" si="35"/>
        <v>-213.83080789825695</v>
      </c>
      <c r="AJ155" s="292">
        <f t="shared" si="34"/>
        <v>213.83080789825695</v>
      </c>
      <c r="AK155" s="293">
        <f t="shared" si="28"/>
        <v>-366.59286908558926</v>
      </c>
      <c r="AL155" s="293">
        <f t="shared" si="29"/>
        <v>-281.4071309144108</v>
      </c>
      <c r="AM155" s="273">
        <f t="shared" si="15"/>
        <v>-31.642732246632221</v>
      </c>
      <c r="AN155" s="274">
        <f t="shared" si="16"/>
        <v>-35.535702195981209</v>
      </c>
      <c r="AO155" s="275">
        <f t="shared" si="30"/>
        <v>31.642732246632221</v>
      </c>
      <c r="AP155" s="275">
        <f t="shared" si="31"/>
        <v>35.535702195981209</v>
      </c>
      <c r="BC155" s="214"/>
      <c r="BD155" s="214"/>
      <c r="BE155" s="214"/>
    </row>
    <row r="156" spans="1:57" ht="20" thickBot="1" x14ac:dyDescent="0.35">
      <c r="B156" s="277">
        <v>19</v>
      </c>
      <c r="C156" s="278"/>
      <c r="D156" s="25">
        <v>0</v>
      </c>
      <c r="E156" s="257" t="s">
        <v>130</v>
      </c>
      <c r="F156" s="295" t="str">
        <f t="shared" si="17"/>
        <v>use the locking pin</v>
      </c>
      <c r="G156" s="281">
        <f t="shared" si="18"/>
        <v>0</v>
      </c>
      <c r="H156" s="282">
        <v>279.06049999999999</v>
      </c>
      <c r="I156" s="283">
        <v>79.962900599999998</v>
      </c>
      <c r="J156" s="91">
        <f t="shared" si="19"/>
        <v>79.962900599999998</v>
      </c>
      <c r="K156" s="91">
        <f t="shared" si="6"/>
        <v>39.981450299999999</v>
      </c>
      <c r="L156" s="91"/>
      <c r="M156" s="91">
        <f t="shared" si="7"/>
        <v>0.64253956655634092</v>
      </c>
      <c r="N156" s="91">
        <f t="shared" si="8"/>
        <v>179.30741271299578</v>
      </c>
      <c r="O156" s="91">
        <f t="shared" si="9"/>
        <v>358.61482542599157</v>
      </c>
      <c r="P156" s="91">
        <f>+C138+D139+D140+D141+D142+D143+D144+D145+D146+D147+D148+D149+D150+D151+D152+D153+D154+D155+(D156/2)</f>
        <v>0</v>
      </c>
      <c r="Q156" s="91">
        <f t="shared" si="10"/>
        <v>0</v>
      </c>
      <c r="R156" s="91">
        <f t="shared" si="11"/>
        <v>0</v>
      </c>
      <c r="S156" s="91">
        <f t="shared" si="20"/>
        <v>213.83080000000001</v>
      </c>
      <c r="T156" s="91">
        <f t="shared" si="32"/>
        <v>213.83080000000001</v>
      </c>
      <c r="U156" s="284">
        <f t="shared" si="12"/>
        <v>213.83080000000001</v>
      </c>
      <c r="W156" s="285">
        <f t="shared" si="13"/>
        <v>0</v>
      </c>
      <c r="X156" s="258"/>
      <c r="Y156" s="285">
        <f t="shared" si="21"/>
        <v>0</v>
      </c>
      <c r="Z156" s="286">
        <f>SUM(D139:D156)+$C$138</f>
        <v>0</v>
      </c>
      <c r="AA156" s="287">
        <f t="shared" si="22"/>
        <v>66.255548399999995</v>
      </c>
      <c r="AB156" s="288">
        <f t="shared" si="14"/>
        <v>0.91535047595051022</v>
      </c>
      <c r="AC156" s="289">
        <f t="shared" si="23"/>
        <v>278.56028065668761</v>
      </c>
      <c r="AD156" s="287">
        <f t="shared" si="24"/>
        <v>50.018549700000001</v>
      </c>
      <c r="AE156" s="290">
        <f t="shared" si="25"/>
        <v>0.76625250760411079</v>
      </c>
      <c r="AF156" s="291">
        <f t="shared" si="26"/>
        <v>213.83080789825695</v>
      </c>
      <c r="AG156" s="291">
        <f t="shared" si="33"/>
        <v>-688.5</v>
      </c>
      <c r="AH156" s="292">
        <f t="shared" si="27"/>
        <v>492.39108855494453</v>
      </c>
      <c r="AI156" s="292">
        <f t="shared" si="35"/>
        <v>-213.83080789825695</v>
      </c>
      <c r="AJ156" s="292">
        <f t="shared" si="34"/>
        <v>213.83080789825695</v>
      </c>
      <c r="AK156" s="293">
        <f t="shared" si="28"/>
        <v>-389.50492340343862</v>
      </c>
      <c r="AL156" s="293">
        <f t="shared" si="29"/>
        <v>-298.99507659656149</v>
      </c>
      <c r="AM156" s="273">
        <f t="shared" si="15"/>
        <v>-29.781395055653853</v>
      </c>
      <c r="AN156" s="274">
        <f t="shared" si="16"/>
        <v>-33.445366772688196</v>
      </c>
      <c r="AO156" s="275">
        <f t="shared" si="30"/>
        <v>29.781395055653853</v>
      </c>
      <c r="AP156" s="275">
        <f t="shared" si="31"/>
        <v>33.445366772688196</v>
      </c>
      <c r="BC156" s="214"/>
      <c r="BD156" s="214"/>
      <c r="BE156" s="214"/>
    </row>
    <row r="157" spans="1:57" ht="20" thickBot="1" x14ac:dyDescent="0.35">
      <c r="B157" s="277">
        <v>20</v>
      </c>
      <c r="C157" s="278"/>
      <c r="D157" s="25">
        <v>0</v>
      </c>
      <c r="E157" s="257" t="s">
        <v>130</v>
      </c>
      <c r="F157" s="295" t="str">
        <f t="shared" si="17"/>
        <v>use the locking pin</v>
      </c>
      <c r="G157" s="281">
        <f t="shared" si="18"/>
        <v>0</v>
      </c>
      <c r="H157" s="282">
        <v>279.06049999999999</v>
      </c>
      <c r="I157" s="283">
        <v>79.962900599999998</v>
      </c>
      <c r="J157" s="91">
        <f t="shared" si="19"/>
        <v>79.962900599999998</v>
      </c>
      <c r="K157" s="91">
        <f t="shared" si="6"/>
        <v>39.981450299999999</v>
      </c>
      <c r="L157" s="91"/>
      <c r="M157" s="91">
        <f t="shared" si="7"/>
        <v>0.64253956655634092</v>
      </c>
      <c r="N157" s="91">
        <f t="shared" si="8"/>
        <v>179.30741271299578</v>
      </c>
      <c r="O157" s="91">
        <f t="shared" si="9"/>
        <v>358.61482542599157</v>
      </c>
      <c r="P157" s="91">
        <f>+C138+D139+D140+D141+D142+D143+D144+D145+D146+D147+D148+D149+D150+D151+D152+D153+D154+D155+D156+(D157/2)</f>
        <v>0</v>
      </c>
      <c r="Q157" s="91">
        <f t="shared" si="10"/>
        <v>0</v>
      </c>
      <c r="R157" s="91">
        <f t="shared" si="11"/>
        <v>0</v>
      </c>
      <c r="S157" s="91">
        <f t="shared" si="20"/>
        <v>213.83080000000001</v>
      </c>
      <c r="T157" s="91">
        <f t="shared" si="32"/>
        <v>213.83080000000001</v>
      </c>
      <c r="U157" s="284">
        <f t="shared" si="12"/>
        <v>213.83080000000001</v>
      </c>
      <c r="W157" s="285">
        <f t="shared" si="13"/>
        <v>0</v>
      </c>
      <c r="X157" s="258"/>
      <c r="Y157" s="285">
        <f t="shared" si="21"/>
        <v>0</v>
      </c>
      <c r="Z157" s="286">
        <f>SUM(D139:D157)+$C$138</f>
        <v>0</v>
      </c>
      <c r="AA157" s="287">
        <f t="shared" si="22"/>
        <v>66.255548399999995</v>
      </c>
      <c r="AB157" s="288">
        <f t="shared" si="14"/>
        <v>0.91535047595051022</v>
      </c>
      <c r="AC157" s="289">
        <f t="shared" si="23"/>
        <v>278.56028065668761</v>
      </c>
      <c r="AD157" s="287">
        <f t="shared" si="24"/>
        <v>50.018549700000001</v>
      </c>
      <c r="AE157" s="290">
        <f t="shared" si="25"/>
        <v>0.76625250760411079</v>
      </c>
      <c r="AF157" s="291">
        <f t="shared" si="26"/>
        <v>213.83080789825695</v>
      </c>
      <c r="AG157" s="291">
        <f t="shared" si="33"/>
        <v>-729</v>
      </c>
      <c r="AH157" s="292">
        <f t="shared" si="27"/>
        <v>492.39108855494453</v>
      </c>
      <c r="AI157" s="292">
        <f t="shared" si="35"/>
        <v>-213.83080789825695</v>
      </c>
      <c r="AJ157" s="292">
        <f t="shared" si="34"/>
        <v>213.83080789825695</v>
      </c>
      <c r="AK157" s="293">
        <f t="shared" si="28"/>
        <v>-412.41697772128794</v>
      </c>
      <c r="AL157" s="293">
        <f t="shared" si="29"/>
        <v>-316.58302227871212</v>
      </c>
      <c r="AM157" s="273">
        <f t="shared" si="15"/>
        <v>-28.126873108117529</v>
      </c>
      <c r="AN157" s="274">
        <f t="shared" si="16"/>
        <v>-31.587290840872189</v>
      </c>
      <c r="AO157" s="275">
        <f t="shared" si="30"/>
        <v>28.126873108117529</v>
      </c>
      <c r="AP157" s="275">
        <f t="shared" si="31"/>
        <v>31.587290840872189</v>
      </c>
      <c r="BC157" s="214"/>
      <c r="BD157" s="214"/>
      <c r="BE157" s="214"/>
    </row>
    <row r="158" spans="1:57" ht="19" x14ac:dyDescent="0.3">
      <c r="BC158" s="214"/>
      <c r="BD158" s="214"/>
      <c r="BE158" s="214"/>
    </row>
    <row r="159" spans="1:57" ht="19" x14ac:dyDescent="0.3">
      <c r="BC159" s="214"/>
      <c r="BD159" s="214"/>
      <c r="BE159" s="214"/>
    </row>
    <row r="160" spans="1:57" ht="19" x14ac:dyDescent="0.3">
      <c r="BC160" s="214"/>
      <c r="BD160" s="214"/>
      <c r="BE160" s="214"/>
    </row>
    <row r="161" spans="47:57" ht="20" x14ac:dyDescent="0.3">
      <c r="AU161" s="136"/>
      <c r="AV161" s="136"/>
      <c r="AW161" s="297" t="s">
        <v>122</v>
      </c>
      <c r="AX161" s="136"/>
      <c r="AY161" s="136"/>
      <c r="AZ161" s="136"/>
      <c r="BA161" s="136"/>
      <c r="BB161" s="136"/>
      <c r="BC161" s="214"/>
      <c r="BD161" s="214"/>
      <c r="BE161" s="214"/>
    </row>
    <row r="162" spans="47:57" ht="20" x14ac:dyDescent="0.3">
      <c r="AU162" s="298">
        <v>1</v>
      </c>
      <c r="AV162" s="299">
        <v>-473</v>
      </c>
      <c r="AW162" s="300">
        <f>+COS(($B$132*-1)*3.14159265358979/180)*AV162</f>
        <v>-473</v>
      </c>
      <c r="AX162" s="301">
        <f t="shared" ref="AX162:AX198" si="36">+AW162-D$3</f>
        <v>-709.64190607771832</v>
      </c>
      <c r="AY162" s="302">
        <f t="shared" ref="AY162:AY198" si="37">ABS(AX162)</f>
        <v>709.64190607771832</v>
      </c>
      <c r="AZ162" s="303">
        <f>MIN(AY162:AY198)</f>
        <v>21.358093922281654</v>
      </c>
      <c r="BA162" s="302" t="b">
        <f>IF(AZ162=AY162,AU162)</f>
        <v>0</v>
      </c>
      <c r="BB162" s="304">
        <v>1</v>
      </c>
      <c r="BC162" s="214"/>
      <c r="BD162" s="214"/>
      <c r="BE162" s="214"/>
    </row>
    <row r="163" spans="47:57" ht="20" x14ac:dyDescent="0.3">
      <c r="AU163" s="298">
        <v>2</v>
      </c>
      <c r="AV163" s="299">
        <f>+AV162+43</f>
        <v>-430</v>
      </c>
      <c r="AW163" s="42">
        <f>+AW162+$E$2</f>
        <v>-430</v>
      </c>
      <c r="AX163" s="301">
        <f t="shared" si="36"/>
        <v>-666.64190607771832</v>
      </c>
      <c r="AY163" s="302">
        <f t="shared" si="37"/>
        <v>666.64190607771832</v>
      </c>
      <c r="AZ163" s="302">
        <f>+AZ162</f>
        <v>21.358093922281654</v>
      </c>
      <c r="BA163" s="302" t="b">
        <f t="shared" ref="BA163:BA198" si="38">IF(AZ163=AY163,AU163)</f>
        <v>0</v>
      </c>
      <c r="BB163" s="304">
        <v>2</v>
      </c>
      <c r="BC163" s="214"/>
      <c r="BD163" s="214"/>
      <c r="BE163" s="214"/>
    </row>
    <row r="164" spans="47:57" ht="20" x14ac:dyDescent="0.3">
      <c r="AU164" s="298">
        <v>3</v>
      </c>
      <c r="AV164" s="299">
        <f t="shared" ref="AV164:AV198" si="39">+AV163+43</f>
        <v>-387</v>
      </c>
      <c r="AW164" s="42">
        <f t="shared" ref="AW164:AW198" si="40">+AW163+$E$2</f>
        <v>-387</v>
      </c>
      <c r="AX164" s="301">
        <f t="shared" si="36"/>
        <v>-623.64190607771832</v>
      </c>
      <c r="AY164" s="302">
        <f t="shared" si="37"/>
        <v>623.64190607771832</v>
      </c>
      <c r="AZ164" s="302">
        <f t="shared" ref="AZ164:AZ198" si="41">+AZ163</f>
        <v>21.358093922281654</v>
      </c>
      <c r="BA164" s="302" t="b">
        <f t="shared" si="38"/>
        <v>0</v>
      </c>
      <c r="BB164" s="304">
        <v>3</v>
      </c>
      <c r="BC164" s="214"/>
      <c r="BD164" s="214"/>
      <c r="BE164" s="214"/>
    </row>
    <row r="165" spans="47:57" ht="20" x14ac:dyDescent="0.3">
      <c r="AU165" s="298">
        <v>4</v>
      </c>
      <c r="AV165" s="299">
        <f t="shared" si="39"/>
        <v>-344</v>
      </c>
      <c r="AW165" s="42">
        <f t="shared" si="40"/>
        <v>-344</v>
      </c>
      <c r="AX165" s="301">
        <f t="shared" si="36"/>
        <v>-580.64190607771832</v>
      </c>
      <c r="AY165" s="302">
        <f t="shared" si="37"/>
        <v>580.64190607771832</v>
      </c>
      <c r="AZ165" s="302">
        <f t="shared" si="41"/>
        <v>21.358093922281654</v>
      </c>
      <c r="BA165" s="302" t="b">
        <f t="shared" si="38"/>
        <v>0</v>
      </c>
      <c r="BB165" s="304">
        <v>4</v>
      </c>
      <c r="BC165" s="214"/>
      <c r="BD165" s="214"/>
      <c r="BE165" s="214"/>
    </row>
    <row r="166" spans="47:57" ht="20" x14ac:dyDescent="0.3">
      <c r="AU166" s="298">
        <v>5</v>
      </c>
      <c r="AV166" s="299">
        <f t="shared" si="39"/>
        <v>-301</v>
      </c>
      <c r="AW166" s="42">
        <f t="shared" si="40"/>
        <v>-301</v>
      </c>
      <c r="AX166" s="301">
        <f t="shared" si="36"/>
        <v>-537.64190607771832</v>
      </c>
      <c r="AY166" s="302">
        <f t="shared" si="37"/>
        <v>537.64190607771832</v>
      </c>
      <c r="AZ166" s="302">
        <f t="shared" si="41"/>
        <v>21.358093922281654</v>
      </c>
      <c r="BA166" s="302" t="b">
        <f t="shared" si="38"/>
        <v>0</v>
      </c>
      <c r="BB166" s="304">
        <v>5</v>
      </c>
    </row>
    <row r="167" spans="47:57" ht="20" x14ac:dyDescent="0.3">
      <c r="AU167" s="298">
        <v>6</v>
      </c>
      <c r="AV167" s="299">
        <f t="shared" si="39"/>
        <v>-258</v>
      </c>
      <c r="AW167" s="42">
        <f t="shared" si="40"/>
        <v>-258</v>
      </c>
      <c r="AX167" s="301">
        <f t="shared" si="36"/>
        <v>-494.64190607771832</v>
      </c>
      <c r="AY167" s="302">
        <f t="shared" si="37"/>
        <v>494.64190607771832</v>
      </c>
      <c r="AZ167" s="302">
        <f t="shared" si="41"/>
        <v>21.358093922281654</v>
      </c>
      <c r="BA167" s="302" t="b">
        <f t="shared" si="38"/>
        <v>0</v>
      </c>
      <c r="BB167" s="304">
        <v>6</v>
      </c>
    </row>
    <row r="168" spans="47:57" ht="20" x14ac:dyDescent="0.3">
      <c r="AU168" s="298">
        <v>7</v>
      </c>
      <c r="AV168" s="299">
        <f t="shared" si="39"/>
        <v>-215</v>
      </c>
      <c r="AW168" s="42">
        <f t="shared" si="40"/>
        <v>-215</v>
      </c>
      <c r="AX168" s="301">
        <f t="shared" si="36"/>
        <v>-451.64190607771832</v>
      </c>
      <c r="AY168" s="302">
        <f t="shared" si="37"/>
        <v>451.64190607771832</v>
      </c>
      <c r="AZ168" s="302">
        <f t="shared" si="41"/>
        <v>21.358093922281654</v>
      </c>
      <c r="BA168" s="302" t="b">
        <f t="shared" si="38"/>
        <v>0</v>
      </c>
      <c r="BB168" s="304">
        <v>7</v>
      </c>
    </row>
    <row r="169" spans="47:57" ht="20" x14ac:dyDescent="0.3">
      <c r="AU169" s="298">
        <v>8</v>
      </c>
      <c r="AV169" s="299">
        <f t="shared" si="39"/>
        <v>-172</v>
      </c>
      <c r="AW169" s="42">
        <f t="shared" si="40"/>
        <v>-172</v>
      </c>
      <c r="AX169" s="301">
        <f t="shared" si="36"/>
        <v>-408.64190607771832</v>
      </c>
      <c r="AY169" s="302">
        <f t="shared" si="37"/>
        <v>408.64190607771832</v>
      </c>
      <c r="AZ169" s="302">
        <f t="shared" si="41"/>
        <v>21.358093922281654</v>
      </c>
      <c r="BA169" s="302" t="b">
        <f t="shared" si="38"/>
        <v>0</v>
      </c>
      <c r="BB169" s="304">
        <v>8</v>
      </c>
    </row>
    <row r="170" spans="47:57" ht="20" x14ac:dyDescent="0.3">
      <c r="AU170" s="298">
        <v>9</v>
      </c>
      <c r="AV170" s="299">
        <f t="shared" si="39"/>
        <v>-129</v>
      </c>
      <c r="AW170" s="42">
        <f t="shared" si="40"/>
        <v>-129</v>
      </c>
      <c r="AX170" s="301">
        <f t="shared" si="36"/>
        <v>-365.64190607771832</v>
      </c>
      <c r="AY170" s="302">
        <f t="shared" si="37"/>
        <v>365.64190607771832</v>
      </c>
      <c r="AZ170" s="302">
        <f t="shared" si="41"/>
        <v>21.358093922281654</v>
      </c>
      <c r="BA170" s="302" t="b">
        <f t="shared" si="38"/>
        <v>0</v>
      </c>
      <c r="BB170" s="304">
        <v>9</v>
      </c>
    </row>
    <row r="171" spans="47:57" ht="20" x14ac:dyDescent="0.3">
      <c r="AU171" s="298">
        <v>10</v>
      </c>
      <c r="AV171" s="299">
        <f t="shared" si="39"/>
        <v>-86</v>
      </c>
      <c r="AW171" s="42">
        <f t="shared" si="40"/>
        <v>-86</v>
      </c>
      <c r="AX171" s="301">
        <f t="shared" si="36"/>
        <v>-322.64190607771832</v>
      </c>
      <c r="AY171" s="302">
        <f t="shared" si="37"/>
        <v>322.64190607771832</v>
      </c>
      <c r="AZ171" s="302">
        <f t="shared" si="41"/>
        <v>21.358093922281654</v>
      </c>
      <c r="BA171" s="302" t="b">
        <f t="shared" si="38"/>
        <v>0</v>
      </c>
      <c r="BB171" s="304">
        <v>10</v>
      </c>
    </row>
    <row r="172" spans="47:57" ht="20" x14ac:dyDescent="0.3">
      <c r="AU172" s="298">
        <v>11</v>
      </c>
      <c r="AV172" s="299">
        <f t="shared" si="39"/>
        <v>-43</v>
      </c>
      <c r="AW172" s="42">
        <f t="shared" si="40"/>
        <v>-43</v>
      </c>
      <c r="AX172" s="301">
        <f t="shared" si="36"/>
        <v>-279.64190607771832</v>
      </c>
      <c r="AY172" s="302">
        <f t="shared" si="37"/>
        <v>279.64190607771832</v>
      </c>
      <c r="AZ172" s="302">
        <f t="shared" si="41"/>
        <v>21.358093922281654</v>
      </c>
      <c r="BA172" s="302" t="b">
        <f t="shared" si="38"/>
        <v>0</v>
      </c>
      <c r="BB172" s="304">
        <v>11</v>
      </c>
    </row>
    <row r="173" spans="47:57" ht="20" x14ac:dyDescent="0.3">
      <c r="AU173" s="298">
        <v>12</v>
      </c>
      <c r="AV173" s="299">
        <f t="shared" si="39"/>
        <v>0</v>
      </c>
      <c r="AW173" s="42">
        <f t="shared" si="40"/>
        <v>0</v>
      </c>
      <c r="AX173" s="301">
        <f t="shared" si="36"/>
        <v>-236.64190607771835</v>
      </c>
      <c r="AY173" s="302">
        <f t="shared" si="37"/>
        <v>236.64190607771835</v>
      </c>
      <c r="AZ173" s="302">
        <f t="shared" si="41"/>
        <v>21.358093922281654</v>
      </c>
      <c r="BA173" s="302" t="b">
        <f t="shared" si="38"/>
        <v>0</v>
      </c>
      <c r="BB173" s="304">
        <v>12</v>
      </c>
    </row>
    <row r="174" spans="47:57" ht="20" x14ac:dyDescent="0.3">
      <c r="AU174" s="298">
        <v>13</v>
      </c>
      <c r="AV174" s="299">
        <f t="shared" si="39"/>
        <v>43</v>
      </c>
      <c r="AW174" s="42">
        <f t="shared" si="40"/>
        <v>43</v>
      </c>
      <c r="AX174" s="301">
        <f t="shared" si="36"/>
        <v>-193.64190607771835</v>
      </c>
      <c r="AY174" s="302">
        <f t="shared" si="37"/>
        <v>193.64190607771835</v>
      </c>
      <c r="AZ174" s="302">
        <f t="shared" si="41"/>
        <v>21.358093922281654</v>
      </c>
      <c r="BA174" s="302" t="b">
        <f t="shared" si="38"/>
        <v>0</v>
      </c>
      <c r="BB174" s="304">
        <v>13</v>
      </c>
    </row>
    <row r="175" spans="47:57" ht="20" x14ac:dyDescent="0.3">
      <c r="AU175" s="298">
        <v>14</v>
      </c>
      <c r="AV175" s="299">
        <f t="shared" si="39"/>
        <v>86</v>
      </c>
      <c r="AW175" s="42">
        <f t="shared" si="40"/>
        <v>86</v>
      </c>
      <c r="AX175" s="301">
        <f t="shared" si="36"/>
        <v>-150.64190607771835</v>
      </c>
      <c r="AY175" s="302">
        <f t="shared" si="37"/>
        <v>150.64190607771835</v>
      </c>
      <c r="AZ175" s="302">
        <f t="shared" si="41"/>
        <v>21.358093922281654</v>
      </c>
      <c r="BA175" s="302" t="b">
        <f t="shared" si="38"/>
        <v>0</v>
      </c>
      <c r="BB175" s="304">
        <v>14</v>
      </c>
    </row>
    <row r="176" spans="47:57" ht="20" x14ac:dyDescent="0.3">
      <c r="AU176" s="298">
        <v>15</v>
      </c>
      <c r="AV176" s="299">
        <f t="shared" si="39"/>
        <v>129</v>
      </c>
      <c r="AW176" s="42">
        <f t="shared" si="40"/>
        <v>129</v>
      </c>
      <c r="AX176" s="301">
        <f t="shared" si="36"/>
        <v>-107.64190607771835</v>
      </c>
      <c r="AY176" s="302">
        <f t="shared" si="37"/>
        <v>107.64190607771835</v>
      </c>
      <c r="AZ176" s="302">
        <f t="shared" si="41"/>
        <v>21.358093922281654</v>
      </c>
      <c r="BA176" s="302" t="b">
        <f t="shared" si="38"/>
        <v>0</v>
      </c>
      <c r="BB176" s="304">
        <v>15</v>
      </c>
    </row>
    <row r="177" spans="47:77" ht="20" x14ac:dyDescent="0.3">
      <c r="AU177" s="298">
        <v>16</v>
      </c>
      <c r="AV177" s="299">
        <f t="shared" si="39"/>
        <v>172</v>
      </c>
      <c r="AW177" s="42">
        <f t="shared" si="40"/>
        <v>172</v>
      </c>
      <c r="AX177" s="301">
        <f t="shared" si="36"/>
        <v>-64.641906077718346</v>
      </c>
      <c r="AY177" s="302">
        <f t="shared" si="37"/>
        <v>64.641906077718346</v>
      </c>
      <c r="AZ177" s="302">
        <f t="shared" si="41"/>
        <v>21.358093922281654</v>
      </c>
      <c r="BA177" s="302" t="b">
        <f t="shared" si="38"/>
        <v>0</v>
      </c>
      <c r="BB177" s="304">
        <v>16</v>
      </c>
    </row>
    <row r="178" spans="47:77" ht="20" x14ac:dyDescent="0.3">
      <c r="AU178" s="298">
        <v>17</v>
      </c>
      <c r="AV178" s="299">
        <f t="shared" si="39"/>
        <v>215</v>
      </c>
      <c r="AW178" s="42">
        <f t="shared" si="40"/>
        <v>215</v>
      </c>
      <c r="AX178" s="301">
        <f t="shared" si="36"/>
        <v>-21.641906077718346</v>
      </c>
      <c r="AY178" s="302">
        <f t="shared" si="37"/>
        <v>21.641906077718346</v>
      </c>
      <c r="AZ178" s="302">
        <f t="shared" si="41"/>
        <v>21.358093922281654</v>
      </c>
      <c r="BA178" s="302" t="b">
        <f t="shared" si="38"/>
        <v>0</v>
      </c>
      <c r="BB178" s="304">
        <v>17</v>
      </c>
      <c r="BF178" s="305"/>
      <c r="BG178" s="305"/>
      <c r="BH178" s="305"/>
      <c r="BI178" s="305"/>
      <c r="BJ178" s="305"/>
      <c r="BK178" s="305"/>
      <c r="BL178" s="1818"/>
      <c r="BM178" s="1818"/>
      <c r="BN178" s="1818"/>
      <c r="BO178" s="126"/>
    </row>
    <row r="179" spans="47:77" ht="20" x14ac:dyDescent="0.3">
      <c r="AU179" s="298">
        <v>18</v>
      </c>
      <c r="AV179" s="299">
        <f t="shared" si="39"/>
        <v>258</v>
      </c>
      <c r="AW179" s="42">
        <f t="shared" si="40"/>
        <v>258</v>
      </c>
      <c r="AX179" s="301">
        <f t="shared" si="36"/>
        <v>21.358093922281654</v>
      </c>
      <c r="AY179" s="302">
        <f t="shared" si="37"/>
        <v>21.358093922281654</v>
      </c>
      <c r="AZ179" s="302">
        <f t="shared" si="41"/>
        <v>21.358093922281654</v>
      </c>
      <c r="BA179" s="302">
        <f t="shared" si="38"/>
        <v>18</v>
      </c>
      <c r="BB179" s="304">
        <v>18</v>
      </c>
      <c r="BL179" s="306"/>
      <c r="BY179" s="306"/>
    </row>
    <row r="180" spans="47:77" ht="20" x14ac:dyDescent="0.3">
      <c r="AU180" s="298">
        <v>19</v>
      </c>
      <c r="AV180" s="299">
        <f t="shared" si="39"/>
        <v>301</v>
      </c>
      <c r="AW180" s="42">
        <f t="shared" si="40"/>
        <v>301</v>
      </c>
      <c r="AX180" s="301">
        <f t="shared" si="36"/>
        <v>64.358093922281654</v>
      </c>
      <c r="AY180" s="302">
        <f t="shared" si="37"/>
        <v>64.358093922281654</v>
      </c>
      <c r="AZ180" s="302">
        <f t="shared" si="41"/>
        <v>21.358093922281654</v>
      </c>
      <c r="BA180" s="302" t="b">
        <f t="shared" si="38"/>
        <v>0</v>
      </c>
      <c r="BB180" s="304">
        <v>19</v>
      </c>
      <c r="BF180" s="307"/>
      <c r="BG180" s="307"/>
      <c r="BH180" s="307"/>
      <c r="BI180" s="307"/>
      <c r="BJ180" s="307"/>
      <c r="BK180" s="307"/>
      <c r="BL180" s="1819"/>
      <c r="BM180" s="1819"/>
      <c r="BX180" s="1813"/>
      <c r="BY180" s="1813"/>
    </row>
    <row r="181" spans="47:77" ht="20" x14ac:dyDescent="0.3">
      <c r="AU181" s="298">
        <v>20</v>
      </c>
      <c r="AV181" s="299">
        <f t="shared" si="39"/>
        <v>344</v>
      </c>
      <c r="AW181" s="42">
        <f t="shared" si="40"/>
        <v>344</v>
      </c>
      <c r="AX181" s="301">
        <f t="shared" si="36"/>
        <v>107.35809392228165</v>
      </c>
      <c r="AY181" s="302">
        <f t="shared" si="37"/>
        <v>107.35809392228165</v>
      </c>
      <c r="AZ181" s="302">
        <f t="shared" si="41"/>
        <v>21.358093922281654</v>
      </c>
      <c r="BA181" s="302" t="b">
        <f t="shared" si="38"/>
        <v>0</v>
      </c>
      <c r="BB181" s="304">
        <v>20</v>
      </c>
    </row>
    <row r="182" spans="47:77" ht="20" x14ac:dyDescent="0.3">
      <c r="AU182" s="298">
        <v>21</v>
      </c>
      <c r="AV182" s="299">
        <f t="shared" si="39"/>
        <v>387</v>
      </c>
      <c r="AW182" s="42">
        <f t="shared" si="40"/>
        <v>387</v>
      </c>
      <c r="AX182" s="301">
        <f t="shared" si="36"/>
        <v>150.35809392228165</v>
      </c>
      <c r="AY182" s="302">
        <f t="shared" si="37"/>
        <v>150.35809392228165</v>
      </c>
      <c r="AZ182" s="302">
        <f t="shared" si="41"/>
        <v>21.358093922281654</v>
      </c>
      <c r="BA182" s="302" t="b">
        <f t="shared" si="38"/>
        <v>0</v>
      </c>
      <c r="BB182" s="304">
        <v>21</v>
      </c>
    </row>
    <row r="183" spans="47:77" ht="20" x14ac:dyDescent="0.3">
      <c r="AU183" s="298">
        <v>22</v>
      </c>
      <c r="AV183" s="299">
        <f t="shared" si="39"/>
        <v>430</v>
      </c>
      <c r="AW183" s="42">
        <f t="shared" si="40"/>
        <v>430</v>
      </c>
      <c r="AX183" s="301">
        <f t="shared" si="36"/>
        <v>193.35809392228165</v>
      </c>
      <c r="AY183" s="302">
        <f t="shared" si="37"/>
        <v>193.35809392228165</v>
      </c>
      <c r="AZ183" s="302">
        <f t="shared" si="41"/>
        <v>21.358093922281654</v>
      </c>
      <c r="BA183" s="302" t="b">
        <f t="shared" si="38"/>
        <v>0</v>
      </c>
      <c r="BB183" s="304">
        <v>22</v>
      </c>
    </row>
    <row r="184" spans="47:77" ht="20" x14ac:dyDescent="0.3">
      <c r="AU184" s="298">
        <v>23</v>
      </c>
      <c r="AV184" s="299">
        <f t="shared" si="39"/>
        <v>473</v>
      </c>
      <c r="AW184" s="42">
        <f t="shared" si="40"/>
        <v>473</v>
      </c>
      <c r="AX184" s="301">
        <f t="shared" si="36"/>
        <v>236.35809392228165</v>
      </c>
      <c r="AY184" s="302">
        <f t="shared" si="37"/>
        <v>236.35809392228165</v>
      </c>
      <c r="AZ184" s="302">
        <f t="shared" si="41"/>
        <v>21.358093922281654</v>
      </c>
      <c r="BA184" s="302" t="b">
        <f t="shared" si="38"/>
        <v>0</v>
      </c>
      <c r="BB184" s="304">
        <v>23</v>
      </c>
    </row>
    <row r="185" spans="47:77" ht="20" x14ac:dyDescent="0.3">
      <c r="AU185" s="298">
        <v>24</v>
      </c>
      <c r="AV185" s="299">
        <f t="shared" si="39"/>
        <v>516</v>
      </c>
      <c r="AW185" s="42">
        <f t="shared" si="40"/>
        <v>516</v>
      </c>
      <c r="AX185" s="301">
        <f t="shared" si="36"/>
        <v>279.35809392228168</v>
      </c>
      <c r="AY185" s="302">
        <f t="shared" si="37"/>
        <v>279.35809392228168</v>
      </c>
      <c r="AZ185" s="302">
        <f t="shared" si="41"/>
        <v>21.358093922281654</v>
      </c>
      <c r="BA185" s="302" t="b">
        <f t="shared" si="38"/>
        <v>0</v>
      </c>
      <c r="BB185" s="304">
        <v>24</v>
      </c>
    </row>
    <row r="186" spans="47:77" ht="20" x14ac:dyDescent="0.3">
      <c r="AU186" s="298">
        <v>25</v>
      </c>
      <c r="AV186" s="299">
        <f t="shared" si="39"/>
        <v>559</v>
      </c>
      <c r="AW186" s="42">
        <f t="shared" si="40"/>
        <v>559</v>
      </c>
      <c r="AX186" s="301">
        <f t="shared" si="36"/>
        <v>322.35809392228168</v>
      </c>
      <c r="AY186" s="302">
        <f t="shared" si="37"/>
        <v>322.35809392228168</v>
      </c>
      <c r="AZ186" s="302">
        <f t="shared" si="41"/>
        <v>21.358093922281654</v>
      </c>
      <c r="BA186" s="302" t="b">
        <f t="shared" si="38"/>
        <v>0</v>
      </c>
      <c r="BB186" s="304">
        <v>25</v>
      </c>
    </row>
    <row r="187" spans="47:77" ht="20" x14ac:dyDescent="0.3">
      <c r="AU187" s="298">
        <v>26</v>
      </c>
      <c r="AV187" s="299">
        <f t="shared" si="39"/>
        <v>602</v>
      </c>
      <c r="AW187" s="42">
        <f t="shared" si="40"/>
        <v>602</v>
      </c>
      <c r="AX187" s="301">
        <f t="shared" si="36"/>
        <v>365.35809392228168</v>
      </c>
      <c r="AY187" s="302">
        <f t="shared" si="37"/>
        <v>365.35809392228168</v>
      </c>
      <c r="AZ187" s="302">
        <f t="shared" si="41"/>
        <v>21.358093922281654</v>
      </c>
      <c r="BA187" s="302" t="b">
        <f t="shared" si="38"/>
        <v>0</v>
      </c>
      <c r="BB187" s="304">
        <v>26</v>
      </c>
    </row>
    <row r="188" spans="47:77" ht="20" x14ac:dyDescent="0.3">
      <c r="AU188" s="298">
        <v>27</v>
      </c>
      <c r="AV188" s="299">
        <f t="shared" si="39"/>
        <v>645</v>
      </c>
      <c r="AW188" s="42">
        <f t="shared" si="40"/>
        <v>645</v>
      </c>
      <c r="AX188" s="301">
        <f t="shared" si="36"/>
        <v>408.35809392228168</v>
      </c>
      <c r="AY188" s="302">
        <f t="shared" si="37"/>
        <v>408.35809392228168</v>
      </c>
      <c r="AZ188" s="302">
        <f t="shared" si="41"/>
        <v>21.358093922281654</v>
      </c>
      <c r="BA188" s="302" t="b">
        <f t="shared" si="38"/>
        <v>0</v>
      </c>
      <c r="BB188" s="304">
        <v>27</v>
      </c>
    </row>
    <row r="189" spans="47:77" ht="20" x14ac:dyDescent="0.3">
      <c r="AU189" s="298">
        <v>28</v>
      </c>
      <c r="AV189" s="299">
        <f t="shared" si="39"/>
        <v>688</v>
      </c>
      <c r="AW189" s="42">
        <f t="shared" si="40"/>
        <v>688</v>
      </c>
      <c r="AX189" s="301">
        <f t="shared" si="36"/>
        <v>451.35809392228168</v>
      </c>
      <c r="AY189" s="302">
        <f t="shared" si="37"/>
        <v>451.35809392228168</v>
      </c>
      <c r="AZ189" s="302">
        <f t="shared" si="41"/>
        <v>21.358093922281654</v>
      </c>
      <c r="BA189" s="302" t="b">
        <f t="shared" si="38"/>
        <v>0</v>
      </c>
      <c r="BB189" s="304">
        <v>28</v>
      </c>
    </row>
    <row r="190" spans="47:77" ht="20" x14ac:dyDescent="0.3">
      <c r="AU190" s="298">
        <v>29</v>
      </c>
      <c r="AV190" s="299">
        <f t="shared" si="39"/>
        <v>731</v>
      </c>
      <c r="AW190" s="42">
        <f t="shared" si="40"/>
        <v>731</v>
      </c>
      <c r="AX190" s="301">
        <f t="shared" si="36"/>
        <v>494.35809392228168</v>
      </c>
      <c r="AY190" s="302">
        <f t="shared" si="37"/>
        <v>494.35809392228168</v>
      </c>
      <c r="AZ190" s="302">
        <f t="shared" si="41"/>
        <v>21.358093922281654</v>
      </c>
      <c r="BA190" s="302" t="b">
        <f t="shared" si="38"/>
        <v>0</v>
      </c>
      <c r="BB190" s="304">
        <v>29</v>
      </c>
    </row>
    <row r="191" spans="47:77" ht="20" x14ac:dyDescent="0.3">
      <c r="AU191" s="298">
        <v>30</v>
      </c>
      <c r="AV191" s="299">
        <f t="shared" si="39"/>
        <v>774</v>
      </c>
      <c r="AW191" s="42">
        <f t="shared" si="40"/>
        <v>774</v>
      </c>
      <c r="AX191" s="301">
        <f t="shared" si="36"/>
        <v>537.35809392228168</v>
      </c>
      <c r="AY191" s="302">
        <f t="shared" si="37"/>
        <v>537.35809392228168</v>
      </c>
      <c r="AZ191" s="302">
        <f t="shared" si="41"/>
        <v>21.358093922281654</v>
      </c>
      <c r="BA191" s="302" t="b">
        <f t="shared" si="38"/>
        <v>0</v>
      </c>
      <c r="BB191" s="304">
        <v>30</v>
      </c>
    </row>
    <row r="192" spans="47:77" ht="20" x14ac:dyDescent="0.3">
      <c r="AU192" s="298">
        <v>31</v>
      </c>
      <c r="AV192" s="299">
        <f t="shared" si="39"/>
        <v>817</v>
      </c>
      <c r="AW192" s="42">
        <f t="shared" si="40"/>
        <v>817</v>
      </c>
      <c r="AX192" s="301">
        <f t="shared" si="36"/>
        <v>580.35809392228168</v>
      </c>
      <c r="AY192" s="302">
        <f t="shared" si="37"/>
        <v>580.35809392228168</v>
      </c>
      <c r="AZ192" s="302">
        <f t="shared" si="41"/>
        <v>21.358093922281654</v>
      </c>
      <c r="BA192" s="302" t="b">
        <f t="shared" si="38"/>
        <v>0</v>
      </c>
      <c r="BB192" s="304">
        <v>31</v>
      </c>
    </row>
    <row r="193" spans="47:82" ht="20" x14ac:dyDescent="0.3">
      <c r="AU193" s="298">
        <v>32</v>
      </c>
      <c r="AV193" s="299">
        <f t="shared" si="39"/>
        <v>860</v>
      </c>
      <c r="AW193" s="42">
        <f t="shared" si="40"/>
        <v>860</v>
      </c>
      <c r="AX193" s="301">
        <f t="shared" si="36"/>
        <v>623.35809392228168</v>
      </c>
      <c r="AY193" s="302">
        <f t="shared" si="37"/>
        <v>623.35809392228168</v>
      </c>
      <c r="AZ193" s="302">
        <f t="shared" si="41"/>
        <v>21.358093922281654</v>
      </c>
      <c r="BA193" s="302" t="b">
        <f t="shared" si="38"/>
        <v>0</v>
      </c>
      <c r="BB193" s="304">
        <v>32</v>
      </c>
    </row>
    <row r="194" spans="47:82" ht="20" x14ac:dyDescent="0.3">
      <c r="AU194" s="298">
        <v>33</v>
      </c>
      <c r="AV194" s="299">
        <f t="shared" si="39"/>
        <v>903</v>
      </c>
      <c r="AW194" s="42">
        <f t="shared" si="40"/>
        <v>903</v>
      </c>
      <c r="AX194" s="301">
        <f t="shared" si="36"/>
        <v>666.35809392228168</v>
      </c>
      <c r="AY194" s="302">
        <f t="shared" si="37"/>
        <v>666.35809392228168</v>
      </c>
      <c r="AZ194" s="302">
        <f t="shared" si="41"/>
        <v>21.358093922281654</v>
      </c>
      <c r="BA194" s="302" t="b">
        <f t="shared" si="38"/>
        <v>0</v>
      </c>
      <c r="BB194" s="304">
        <v>33</v>
      </c>
    </row>
    <row r="195" spans="47:82" ht="20" x14ac:dyDescent="0.3">
      <c r="AU195" s="298">
        <v>34</v>
      </c>
      <c r="AV195" s="299">
        <f t="shared" si="39"/>
        <v>946</v>
      </c>
      <c r="AW195" s="42">
        <f t="shared" si="40"/>
        <v>946</v>
      </c>
      <c r="AX195" s="301">
        <f t="shared" si="36"/>
        <v>709.35809392228168</v>
      </c>
      <c r="AY195" s="302">
        <f t="shared" si="37"/>
        <v>709.35809392228168</v>
      </c>
      <c r="AZ195" s="302">
        <f t="shared" si="41"/>
        <v>21.358093922281654</v>
      </c>
      <c r="BA195" s="302" t="b">
        <f t="shared" si="38"/>
        <v>0</v>
      </c>
      <c r="BB195" s="304">
        <v>34</v>
      </c>
    </row>
    <row r="196" spans="47:82" ht="20" x14ac:dyDescent="0.3">
      <c r="AU196" s="298">
        <v>35</v>
      </c>
      <c r="AV196" s="299">
        <f t="shared" si="39"/>
        <v>989</v>
      </c>
      <c r="AW196" s="42">
        <f t="shared" si="40"/>
        <v>989</v>
      </c>
      <c r="AX196" s="301">
        <f t="shared" si="36"/>
        <v>752.35809392228168</v>
      </c>
      <c r="AY196" s="302">
        <f t="shared" si="37"/>
        <v>752.35809392228168</v>
      </c>
      <c r="AZ196" s="302">
        <f t="shared" si="41"/>
        <v>21.358093922281654</v>
      </c>
      <c r="BA196" s="302" t="b">
        <f t="shared" si="38"/>
        <v>0</v>
      </c>
      <c r="BB196" s="304">
        <v>35</v>
      </c>
    </row>
    <row r="197" spans="47:82" ht="20" x14ac:dyDescent="0.3">
      <c r="AU197" s="298">
        <v>36</v>
      </c>
      <c r="AV197" s="299">
        <f t="shared" si="39"/>
        <v>1032</v>
      </c>
      <c r="AW197" s="42">
        <f t="shared" si="40"/>
        <v>1032</v>
      </c>
      <c r="AX197" s="301">
        <f t="shared" si="36"/>
        <v>795.35809392228168</v>
      </c>
      <c r="AY197" s="302">
        <f t="shared" si="37"/>
        <v>795.35809392228168</v>
      </c>
      <c r="AZ197" s="302">
        <f t="shared" si="41"/>
        <v>21.358093922281654</v>
      </c>
      <c r="BA197" s="302" t="b">
        <f t="shared" si="38"/>
        <v>0</v>
      </c>
      <c r="BB197" s="304">
        <v>36</v>
      </c>
      <c r="BF197" s="126"/>
      <c r="BH197" s="126"/>
      <c r="BJ197" s="126"/>
    </row>
    <row r="198" spans="47:82" ht="20" x14ac:dyDescent="0.3">
      <c r="AU198" s="308">
        <v>37</v>
      </c>
      <c r="AV198" s="309">
        <f t="shared" si="39"/>
        <v>1075</v>
      </c>
      <c r="AW198" s="42">
        <f t="shared" si="40"/>
        <v>1075</v>
      </c>
      <c r="AX198" s="301">
        <f t="shared" si="36"/>
        <v>838.35809392228168</v>
      </c>
      <c r="AY198" s="302">
        <f t="shared" si="37"/>
        <v>838.35809392228168</v>
      </c>
      <c r="AZ198" s="302">
        <f t="shared" si="41"/>
        <v>21.358093922281654</v>
      </c>
      <c r="BA198" s="302" t="b">
        <f t="shared" si="38"/>
        <v>0</v>
      </c>
      <c r="BB198" s="310">
        <v>37</v>
      </c>
      <c r="BF198" s="126"/>
      <c r="BJ198" s="126"/>
    </row>
    <row r="199" spans="47:82" x14ac:dyDescent="0.2">
      <c r="BF199" s="126"/>
      <c r="BG199" s="311"/>
      <c r="BH199" s="311"/>
      <c r="BI199" s="311"/>
      <c r="BJ199" s="311"/>
      <c r="BK199" s="311"/>
      <c r="BL199" s="311"/>
      <c r="BM199" s="311"/>
      <c r="BN199" s="311"/>
      <c r="BO199" s="311"/>
      <c r="BP199" s="311"/>
      <c r="BQ199" s="311"/>
      <c r="BR199" s="311"/>
      <c r="BS199" s="311"/>
      <c r="BT199" s="311"/>
      <c r="BU199" s="311"/>
      <c r="BV199" s="311"/>
      <c r="BW199" s="311"/>
      <c r="BX199" s="311"/>
      <c r="BY199" s="311"/>
      <c r="BZ199" s="311"/>
      <c r="CA199" s="311"/>
      <c r="CB199" s="311"/>
      <c r="CC199" s="311"/>
      <c r="CD199" s="311"/>
    </row>
    <row r="200" spans="47:82" x14ac:dyDescent="0.2">
      <c r="BF200" s="126"/>
    </row>
    <row r="201" spans="47:82" x14ac:dyDescent="0.2">
      <c r="BF201" s="235"/>
      <c r="BG201" s="312"/>
      <c r="BH201" s="312"/>
      <c r="BI201" s="312"/>
      <c r="BJ201" s="312"/>
      <c r="BK201" s="312"/>
      <c r="BL201" s="312"/>
      <c r="BM201" s="312"/>
      <c r="BN201" s="312"/>
      <c r="BO201" s="312"/>
      <c r="BP201" s="312"/>
      <c r="BQ201" s="312"/>
      <c r="BR201" s="312"/>
      <c r="BS201" s="312"/>
      <c r="BT201" s="312"/>
      <c r="BU201" s="312"/>
      <c r="BV201" s="312"/>
      <c r="BW201" s="312"/>
      <c r="BX201" s="312"/>
      <c r="BY201" s="312"/>
      <c r="BZ201" s="312"/>
      <c r="CA201" s="312"/>
      <c r="CB201" s="312"/>
      <c r="CC201" s="312"/>
      <c r="CD201" s="312"/>
    </row>
    <row r="202" spans="47:82" x14ac:dyDescent="0.2">
      <c r="BF202" s="126"/>
      <c r="BG202" s="203"/>
      <c r="BH202" s="203"/>
      <c r="BI202" s="203"/>
      <c r="BJ202" s="203"/>
      <c r="BK202" s="203"/>
      <c r="BL202" s="203"/>
      <c r="BM202" s="203"/>
      <c r="BN202" s="203"/>
      <c r="BO202" s="203"/>
      <c r="BP202" s="203"/>
      <c r="BQ202" s="203"/>
      <c r="BR202" s="203"/>
      <c r="BS202" s="203"/>
      <c r="BT202" s="203"/>
      <c r="BU202" s="203"/>
      <c r="BV202" s="203"/>
      <c r="BW202" s="203"/>
      <c r="BX202" s="203"/>
      <c r="BY202" s="203"/>
      <c r="BZ202" s="203"/>
      <c r="CA202" s="203"/>
      <c r="CB202" s="203"/>
      <c r="CC202" s="203"/>
      <c r="CD202" s="203"/>
    </row>
    <row r="204" spans="47:82" x14ac:dyDescent="0.2">
      <c r="BG204" s="236"/>
      <c r="BH204" s="236"/>
      <c r="BI204" s="236"/>
      <c r="BJ204" s="236"/>
      <c r="BK204" s="236"/>
      <c r="BL204" s="236"/>
      <c r="BM204" s="126"/>
      <c r="BN204" s="126"/>
      <c r="BO204" s="126"/>
      <c r="BP204" s="126"/>
      <c r="BQ204" s="126"/>
      <c r="BR204" s="236"/>
      <c r="BS204" s="236"/>
      <c r="BT204" s="236"/>
      <c r="BU204" s="126"/>
      <c r="BV204" s="126"/>
      <c r="BW204" s="126"/>
      <c r="BX204" s="126"/>
      <c r="BY204" s="126"/>
      <c r="BZ204" s="126"/>
      <c r="CA204" s="126"/>
      <c r="CB204" s="126"/>
      <c r="CC204" s="126"/>
      <c r="CD204" s="126"/>
    </row>
    <row r="205" spans="47:82" x14ac:dyDescent="0.2">
      <c r="BG205" s="236"/>
      <c r="BH205" s="236"/>
      <c r="BI205" s="236"/>
      <c r="BJ205" s="236"/>
      <c r="BK205" s="236"/>
      <c r="BL205" s="236"/>
      <c r="BQ205" s="236"/>
      <c r="BR205" s="236"/>
      <c r="BS205" s="236"/>
      <c r="BT205" s="236"/>
      <c r="BY205" s="236"/>
      <c r="BZ205" s="236"/>
      <c r="CA205" s="236"/>
      <c r="CB205" s="236"/>
      <c r="CC205" s="236"/>
      <c r="CD205" s="236"/>
    </row>
  </sheetData>
  <sheetProtection algorithmName="SHA-512" hashValue="eUzrFnsWUvW8RLWpYCqBZPKRGffYdlbQF9A9Sx0+US6ZTu0rQ/LYacFal89DFY1tAVITJrOThJmksJ7ufSD8BQ==" saltValue="WTWfTGKB2UIG1Am0HnQaIA==" spinCount="100000" sheet="1" objects="1" scenarios="1" selectLockedCells="1"/>
  <protectedRanges>
    <protectedRange sqref="B132 B135 D138:D157" name="Range1"/>
  </protectedRanges>
  <mergeCells count="17">
    <mergeCell ref="BX180:BY180"/>
    <mergeCell ref="BG49:BH49"/>
    <mergeCell ref="AS51:AT51"/>
    <mergeCell ref="B133:B134"/>
    <mergeCell ref="BL178:BN178"/>
    <mergeCell ref="BL180:BM180"/>
    <mergeCell ref="AO135:AP135"/>
    <mergeCell ref="B33:E33"/>
    <mergeCell ref="BR57:BS57"/>
    <mergeCell ref="BG51:BH51"/>
    <mergeCell ref="BG56:BQ57"/>
    <mergeCell ref="BG53:BQ54"/>
    <mergeCell ref="CG57:CH57"/>
    <mergeCell ref="CP54:CQ54"/>
    <mergeCell ref="CE51:CF51"/>
    <mergeCell ref="CI56:CQ57"/>
    <mergeCell ref="CG50:CQ51"/>
  </mergeCells>
  <phoneticPr fontId="2" type="noConversion"/>
  <conditionalFormatting sqref="B139:AP139">
    <cfRule type="expression" dxfId="1656" priority="38">
      <formula>$B$135&lt;2</formula>
    </cfRule>
  </conditionalFormatting>
  <conditionalFormatting sqref="B140:AP140">
    <cfRule type="expression" dxfId="1655" priority="37">
      <formula>$B$135&lt;3</formula>
    </cfRule>
  </conditionalFormatting>
  <conditionalFormatting sqref="B141:AP141">
    <cfRule type="expression" dxfId="1654" priority="36">
      <formula>$B$135&lt;4</formula>
    </cfRule>
  </conditionalFormatting>
  <conditionalFormatting sqref="B142:AP142">
    <cfRule type="expression" dxfId="1653" priority="35">
      <formula>$B$135&lt;5</formula>
    </cfRule>
  </conditionalFormatting>
  <conditionalFormatting sqref="B143:AP143">
    <cfRule type="expression" dxfId="1652" priority="34">
      <formula>$B$135&lt;6</formula>
    </cfRule>
  </conditionalFormatting>
  <conditionalFormatting sqref="B144:AP144">
    <cfRule type="expression" dxfId="1651" priority="33">
      <formula>$B$135&lt;7</formula>
    </cfRule>
  </conditionalFormatting>
  <conditionalFormatting sqref="B145:AP145">
    <cfRule type="expression" dxfId="1650" priority="32">
      <formula>$B$135&lt;8</formula>
    </cfRule>
  </conditionalFormatting>
  <conditionalFormatting sqref="B146:AP146">
    <cfRule type="expression" dxfId="1649" priority="31">
      <formula>$B$135&lt;9</formula>
    </cfRule>
  </conditionalFormatting>
  <conditionalFormatting sqref="B147:AP147">
    <cfRule type="expression" dxfId="1648" priority="30">
      <formula>$B$135&lt;10</formula>
    </cfRule>
  </conditionalFormatting>
  <conditionalFormatting sqref="B148:AP148">
    <cfRule type="expression" dxfId="1647" priority="29">
      <formula>$B$135&lt;11</formula>
    </cfRule>
  </conditionalFormatting>
  <conditionalFormatting sqref="B149:AP149">
    <cfRule type="expression" dxfId="1646" priority="28">
      <formula>$B$135&lt;12</formula>
    </cfRule>
  </conditionalFormatting>
  <conditionalFormatting sqref="B150:AP150">
    <cfRule type="expression" dxfId="1645" priority="27">
      <formula>$B$135&lt;13</formula>
    </cfRule>
  </conditionalFormatting>
  <conditionalFormatting sqref="B151:AP151">
    <cfRule type="expression" dxfId="1644" priority="26">
      <formula>$B$135&lt;14</formula>
    </cfRule>
  </conditionalFormatting>
  <conditionalFormatting sqref="B152:AP152">
    <cfRule type="expression" dxfId="1643" priority="25">
      <formula>$B$135&lt;15</formula>
    </cfRule>
  </conditionalFormatting>
  <conditionalFormatting sqref="B153:AP153">
    <cfRule type="expression" dxfId="1642" priority="24">
      <formula>$B$135&lt;16</formula>
    </cfRule>
  </conditionalFormatting>
  <conditionalFormatting sqref="B154:AP154">
    <cfRule type="expression" dxfId="1641" priority="23">
      <formula>$B$135&lt;17</formula>
    </cfRule>
  </conditionalFormatting>
  <conditionalFormatting sqref="B155:AP155">
    <cfRule type="expression" dxfId="1640" priority="22">
      <formula>$B$135&lt;18</formula>
    </cfRule>
  </conditionalFormatting>
  <conditionalFormatting sqref="B156:AP156">
    <cfRule type="expression" dxfId="1639" priority="21">
      <formula>$B$135&lt;19</formula>
    </cfRule>
  </conditionalFormatting>
  <conditionalFormatting sqref="B157:AP157">
    <cfRule type="expression" dxfId="1638" priority="19">
      <formula>$B$135&lt;20</formula>
    </cfRule>
  </conditionalFormatting>
  <conditionalFormatting sqref="D131:D132">
    <cfRule type="cellIs" dxfId="1637" priority="43" stopIfTrue="1" operator="equal">
      <formula>"change the angle of frame or of cabinets"</formula>
    </cfRule>
  </conditionalFormatting>
  <conditionalFormatting sqref="D133">
    <cfRule type="cellIs" dxfId="1636" priority="42" stopIfTrue="1" operator="equal">
      <formula>"USE EXBAR AR AT THE FRONT"</formula>
    </cfRule>
  </conditionalFormatting>
  <conditionalFormatting sqref="D134">
    <cfRule type="cellIs" dxfId="1635" priority="41" stopIfTrue="1" operator="equal">
      <formula>"USE EXBAR AR AT THE BACK"</formula>
    </cfRule>
  </conditionalFormatting>
  <conditionalFormatting sqref="D138:D157">
    <cfRule type="cellIs" dxfId="1634" priority="40" operator="notEqual">
      <formula>0</formula>
    </cfRule>
  </conditionalFormatting>
  <conditionalFormatting sqref="AO138:AP157">
    <cfRule type="cellIs" dxfId="1633" priority="39" operator="lessThan">
      <formula>10</formula>
    </cfRule>
  </conditionalFormatting>
  <conditionalFormatting sqref="BD50">
    <cfRule type="cellIs" dxfId="1632" priority="2" operator="equal">
      <formula>"""OK"""</formula>
    </cfRule>
    <cfRule type="cellIs" dxfId="1631" priority="3" stopIfTrue="1" operator="equal">
      <formula>"negative force at the motor"</formula>
    </cfRule>
  </conditionalFormatting>
  <conditionalFormatting sqref="BD51 BD54 BD57 BD85">
    <cfRule type="cellIs" dxfId="1630" priority="7" operator="equal">
      <formula>"OVERLOAD"</formula>
    </cfRule>
  </conditionalFormatting>
  <conditionalFormatting sqref="BD53">
    <cfRule type="cellIs" dxfId="1629" priority="16" stopIfTrue="1" operator="equal">
      <formula>"negative force at the motor"</formula>
    </cfRule>
    <cfRule type="cellIs" dxfId="1628" priority="15" operator="equal">
      <formula>"""OK"""</formula>
    </cfRule>
  </conditionalFormatting>
  <conditionalFormatting sqref="BD56">
    <cfRule type="cellIs" dxfId="1627" priority="5" stopIfTrue="1" operator="equal">
      <formula>"negative force at the motor"</formula>
    </cfRule>
    <cfRule type="cellIs" dxfId="1626" priority="4" operator="equal">
      <formula>"""OK"""</formula>
    </cfRule>
  </conditionalFormatting>
  <conditionalFormatting sqref="BD80 BD126">
    <cfRule type="cellIs" dxfId="1625" priority="10" operator="equal">
      <formula>"OVERLOAD"</formula>
    </cfRule>
  </conditionalFormatting>
  <conditionalFormatting sqref="BE79:BE80 BD80 BE125:BE126 BD126">
    <cfRule type="expression" dxfId="1624" priority="6">
      <formula>$B$132&lt;&gt;0</formula>
    </cfRule>
  </conditionalFormatting>
  <conditionalFormatting sqref="BG125:BW125">
    <cfRule type="expression" dxfId="1623" priority="12">
      <formula>$B$132=0</formula>
    </cfRule>
  </conditionalFormatting>
  <conditionalFormatting sqref="BR79:CH79">
    <cfRule type="expression" dxfId="1622" priority="11">
      <formula>$B$132=0</formula>
    </cfRule>
    <cfRule type="cellIs" dxfId="1621" priority="8" operator="equal">
      <formula>0</formula>
    </cfRule>
  </conditionalFormatting>
  <conditionalFormatting sqref="CA125:CQ125">
    <cfRule type="expression" dxfId="1620" priority="9">
      <formula>$B$132=0</formula>
    </cfRule>
  </conditionalFormatting>
  <dataValidations count="6">
    <dataValidation type="whole" allowBlank="1" showInputMessage="1" showErrorMessage="1" errorTitle="Coda Audio" error="YOU HAVE ENTERED A WRONG NUMBER OF CABINETS" promptTitle="Coda Audio" prompt="ENTER THE NUMBER OF CABINETS FROM 1 UP TO 20" sqref="B135" xr:uid="{00000000-0002-0000-0000-000000000000}">
      <formula1>1</formula1>
      <formula2>20</formula2>
    </dataValidation>
    <dataValidation type="decimal" allowBlank="1" showInputMessage="1" showErrorMessage="1" sqref="G138" xr:uid="{00000000-0002-0000-0000-000001000000}">
      <formula1>0</formula1>
      <formula2>4</formula2>
    </dataValidation>
    <dataValidation type="decimal" allowBlank="1" showInputMessage="1" showErrorMessage="1" sqref="G139:G157" xr:uid="{00000000-0002-0000-0000-000002000000}">
      <formula1>0</formula1>
      <formula2>8</formula2>
    </dataValidation>
    <dataValidation type="whole" allowBlank="1" showInputMessage="1" showErrorMessage="1" sqref="D138" xr:uid="{00000000-0002-0000-0000-000003000000}">
      <formula1>-2</formula1>
      <formula2>4</formula2>
    </dataValidation>
    <dataValidation type="decimal" allowBlank="1" showInputMessage="1" showErrorMessage="1" sqref="B132" xr:uid="{00000000-0002-0000-0000-000004000000}">
      <formula1>-89.9</formula1>
      <formula2>89.9</formula2>
    </dataValidation>
    <dataValidation type="custom" allowBlank="1" showInputMessage="1" showErrorMessage="1" sqref="D139:D157" xr:uid="{00000000-0002-0000-0000-000005000000}">
      <formula1>OR(D139=0,D139=0.5,D139=1,D139=2,D139=2.5,D139=3,D139=4,D139=5,D139=6,D139=7,D139=8)</formula1>
    </dataValidation>
  </dataValidations>
  <pageMargins left="0.75" right="0.75" top="1" bottom="1" header="0.5" footer="0.5"/>
  <pageSetup paperSize="9" orientation="portrait" horizontalDpi="4294967293" verticalDpi="200" r:id="rId1"/>
  <headerFooter alignWithMargins="0"/>
  <ignoredErrors>
    <ignoredError sqref="BD52:BE52 BD59:BE78 BD50 BD55:BE55 BD53 BD58:BE58 BD56 BD81:BE83 BD79 BD85 BD84 BD54 BD51 BD57 BD80" unlockedFormula="1"/>
  </ignoredErrors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2" tint="-9.9978637043366805E-2"/>
  </sheetPr>
  <dimension ref="A1:CU205"/>
  <sheetViews>
    <sheetView topLeftCell="A49" zoomScale="50" zoomScaleNormal="50" workbookViewId="0">
      <selection activeCell="B135" sqref="B135"/>
    </sheetView>
  </sheetViews>
  <sheetFormatPr baseColWidth="10" defaultColWidth="9.1640625" defaultRowHeight="16" x14ac:dyDescent="0.2"/>
  <cols>
    <col min="1" max="1" width="3" customWidth="1"/>
    <col min="2" max="2" width="30.6640625" style="35" customWidth="1"/>
    <col min="3" max="3" width="20.1640625" style="35" hidden="1" customWidth="1"/>
    <col min="4" max="4" width="31.33203125" style="37" customWidth="1"/>
    <col min="5" max="5" width="40.5" style="37" customWidth="1"/>
    <col min="6" max="6" width="30.83203125" style="37" customWidth="1"/>
    <col min="7" max="7" width="20.83203125" style="37" hidden="1" customWidth="1"/>
    <col min="8" max="8" width="20.83203125" hidden="1" customWidth="1"/>
    <col min="9" max="9" width="13.83203125" hidden="1" customWidth="1"/>
    <col min="10" max="13" width="22.33203125" hidden="1" customWidth="1"/>
    <col min="14" max="14" width="21.5" hidden="1" customWidth="1"/>
    <col min="15" max="15" width="7" hidden="1" customWidth="1"/>
    <col min="16" max="17" width="13.1640625" hidden="1" customWidth="1"/>
    <col min="18" max="18" width="24.5" hidden="1" customWidth="1"/>
    <col min="19" max="19" width="13.1640625" hidden="1" customWidth="1"/>
    <col min="20" max="20" width="28.5" hidden="1" customWidth="1"/>
    <col min="21" max="21" width="6.33203125" hidden="1" customWidth="1"/>
    <col min="22" max="22" width="16.33203125" hidden="1" customWidth="1"/>
    <col min="23" max="23" width="28.5" hidden="1" customWidth="1"/>
    <col min="24" max="24" width="63.83203125" hidden="1" customWidth="1"/>
    <col min="25" max="25" width="12.5" hidden="1" customWidth="1"/>
    <col min="26" max="26" width="14.33203125" hidden="1" customWidth="1"/>
    <col min="27" max="27" width="15.5" hidden="1" customWidth="1"/>
    <col min="28" max="28" width="21.5" hidden="1" customWidth="1"/>
    <col min="29" max="29" width="14.33203125" hidden="1" customWidth="1"/>
    <col min="30" max="30" width="15.5" hidden="1" customWidth="1"/>
    <col min="31" max="31" width="18.83203125" hidden="1" customWidth="1"/>
    <col min="32" max="32" width="29.6640625" hidden="1" customWidth="1"/>
    <col min="33" max="33" width="14.33203125" hidden="1" customWidth="1"/>
    <col min="34" max="34" width="16.5" hidden="1" customWidth="1"/>
    <col min="35" max="37" width="16.33203125" hidden="1" customWidth="1"/>
    <col min="38" max="38" width="9" hidden="1" customWidth="1"/>
    <col min="39" max="39" width="17.83203125" hidden="1" customWidth="1"/>
    <col min="40" max="41" width="11.6640625" customWidth="1"/>
    <col min="42" max="42" width="17.6640625" hidden="1" customWidth="1"/>
    <col min="43" max="43" width="17.5" hidden="1" customWidth="1"/>
    <col min="44" max="44" width="11.83203125" hidden="1" customWidth="1"/>
    <col min="45" max="45" width="14.83203125" hidden="1" customWidth="1"/>
    <col min="46" max="46" width="5.33203125" hidden="1" customWidth="1"/>
    <col min="47" max="47" width="8.5" hidden="1" customWidth="1"/>
    <col min="48" max="48" width="136" hidden="1" customWidth="1"/>
    <col min="49" max="51" width="16.33203125" hidden="1" customWidth="1"/>
    <col min="52" max="52" width="9.83203125" hidden="1" customWidth="1"/>
    <col min="53" max="53" width="12.5" hidden="1" customWidth="1"/>
    <col min="54" max="54" width="16" hidden="1" customWidth="1"/>
    <col min="55" max="55" width="24.83203125" bestFit="1" customWidth="1"/>
    <col min="56" max="56" width="35.83203125" style="59" customWidth="1"/>
    <col min="57" max="57" width="43.83203125" customWidth="1"/>
    <col min="58" max="94" width="7.1640625" customWidth="1"/>
    <col min="95" max="95" width="7.6640625" customWidth="1"/>
    <col min="96" max="96" width="16" customWidth="1"/>
    <col min="97" max="97" width="41" hidden="1" customWidth="1"/>
    <col min="98" max="98" width="18" bestFit="1" customWidth="1"/>
    <col min="99" max="99" width="11.5" hidden="1" customWidth="1"/>
    <col min="100" max="131" width="0" hidden="1" customWidth="1"/>
  </cols>
  <sheetData>
    <row r="1" spans="2:15" ht="20" hidden="1" x14ac:dyDescent="0.2">
      <c r="D1" s="36" t="s">
        <v>104</v>
      </c>
      <c r="E1" s="36" t="s">
        <v>105</v>
      </c>
      <c r="F1" s="36" t="s">
        <v>106</v>
      </c>
      <c r="G1" s="990" t="s">
        <v>220</v>
      </c>
      <c r="H1" s="991">
        <v>18000</v>
      </c>
      <c r="I1" s="1019"/>
      <c r="J1" s="1019"/>
      <c r="K1" s="1019"/>
      <c r="L1" s="1019"/>
      <c r="M1" s="1019"/>
      <c r="N1" s="1019"/>
      <c r="O1" s="993"/>
    </row>
    <row r="2" spans="2:15" ht="20" hidden="1" x14ac:dyDescent="0.2">
      <c r="B2" s="38" t="s">
        <v>26</v>
      </c>
      <c r="C2" s="39">
        <v>688</v>
      </c>
      <c r="D2" s="40">
        <f>+COS(($B$132*-1)*3.14159265358979/180)*C2</f>
        <v>688</v>
      </c>
      <c r="E2" s="41">
        <f>+COS(($B$132*-1)*3.14159265358979/180)*43</f>
        <v>43</v>
      </c>
      <c r="F2" s="42">
        <f>+COS((($B$132*-1)+72.969997)*3.14159265358979/180)*162.1867</f>
        <v>47.500013702602963</v>
      </c>
      <c r="G2" s="994" t="s">
        <v>212</v>
      </c>
      <c r="H2" s="957">
        <v>77</v>
      </c>
      <c r="O2" s="995"/>
    </row>
    <row r="3" spans="2:15" ht="21" hidden="1" thickBot="1" x14ac:dyDescent="0.25">
      <c r="B3" s="38" t="s">
        <v>113</v>
      </c>
      <c r="C3" s="43">
        <f>+C15-47.5</f>
        <v>170.53608600766287</v>
      </c>
      <c r="D3" s="40">
        <f>+C15-F2</f>
        <v>170.53607230505992</v>
      </c>
      <c r="G3" s="994" t="s">
        <v>213</v>
      </c>
      <c r="H3" s="958">
        <v>215</v>
      </c>
      <c r="I3" s="182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+COS(($B$132*-1)*3.14159265358979/180)*C4</f>
        <v>1075</v>
      </c>
      <c r="G4" s="996" t="s">
        <v>233</v>
      </c>
      <c r="H4" s="962">
        <v>860</v>
      </c>
      <c r="I4" s="984">
        <v>1</v>
      </c>
      <c r="J4" s="1721" t="s">
        <v>228</v>
      </c>
      <c r="K4" s="1727"/>
      <c r="L4" s="1727"/>
      <c r="M4" s="1727"/>
      <c r="O4" s="995"/>
    </row>
    <row r="5" spans="2:15" ht="38" hidden="1" x14ac:dyDescent="0.2">
      <c r="B5" s="44" t="s">
        <v>115</v>
      </c>
      <c r="C5" s="45">
        <f>+C15+425.5</f>
        <v>643.5360860076629</v>
      </c>
      <c r="D5" s="40">
        <f>+(COS(($B$132*-1)*3.14159265358979/180)*473)+$D$3</f>
        <v>643.53607230505986</v>
      </c>
      <c r="G5" s="996" t="s">
        <v>214</v>
      </c>
      <c r="H5" s="962">
        <v>688</v>
      </c>
      <c r="J5" s="961" t="s">
        <v>217</v>
      </c>
      <c r="K5" s="961" t="s">
        <v>225</v>
      </c>
      <c r="L5" s="972" t="s">
        <v>224</v>
      </c>
      <c r="M5" s="1724"/>
      <c r="O5" s="995"/>
    </row>
    <row r="6" spans="2:15" ht="20" hidden="1" x14ac:dyDescent="0.2">
      <c r="B6" s="46"/>
      <c r="C6" s="47"/>
      <c r="G6" s="996" t="s">
        <v>259</v>
      </c>
      <c r="H6" s="962">
        <v>602</v>
      </c>
      <c r="J6" s="963">
        <f>+H9/H8*BF51</f>
        <v>121.37180626506968</v>
      </c>
      <c r="K6" s="963">
        <f>((H8-H9)/H8)*BF51</f>
        <v>-83.443116807235413</v>
      </c>
      <c r="L6" s="963">
        <f>+CD51</f>
        <v>56.571310542165719</v>
      </c>
      <c r="M6" s="961" t="s">
        <v>223</v>
      </c>
      <c r="O6" s="995"/>
    </row>
    <row r="7" spans="2:15" ht="38" hidden="1" x14ac:dyDescent="0.2">
      <c r="B7" s="48" t="s">
        <v>76</v>
      </c>
      <c r="C7" s="49">
        <v>5800</v>
      </c>
      <c r="D7" s="49">
        <v>10000</v>
      </c>
      <c r="G7" s="997" t="s">
        <v>230</v>
      </c>
      <c r="H7" s="1020">
        <f>(+SIN(($B$132*-1)*3.14159265358979/180)*H2)</f>
        <v>0</v>
      </c>
      <c r="J7" s="965">
        <f>ABS($H$1/J6)</f>
        <v>148.30462323918078</v>
      </c>
      <c r="K7" s="965">
        <f>ABS($H$1/K6)</f>
        <v>215.71581562062656</v>
      </c>
      <c r="L7" s="965">
        <f>ABS($H$1/L6)</f>
        <v>318.18248203006726</v>
      </c>
      <c r="M7" s="967" t="s">
        <v>222</v>
      </c>
      <c r="O7" s="995"/>
    </row>
    <row r="8" spans="2:15" ht="21" hidden="1" thickBot="1" x14ac:dyDescent="0.25">
      <c r="B8" s="48" t="s">
        <v>86</v>
      </c>
      <c r="C8" s="50">
        <v>8000</v>
      </c>
      <c r="D8" s="50">
        <v>8000</v>
      </c>
      <c r="E8" s="49">
        <v>8000</v>
      </c>
      <c r="G8" s="997" t="s">
        <v>229</v>
      </c>
      <c r="H8" s="1020">
        <f>(+COS(($B$132*-1)*3.14159265358979/180)*H3)</f>
        <v>215</v>
      </c>
      <c r="J8" s="1733">
        <f>ABS($E$8/BF51)</f>
        <v>210.92213082905712</v>
      </c>
      <c r="K8" s="1733"/>
      <c r="L8" s="1733">
        <f>ABS($E$8/CD51)</f>
        <v>141.41443645780768</v>
      </c>
      <c r="M8" s="1734" t="s">
        <v>350</v>
      </c>
      <c r="O8" s="995"/>
    </row>
    <row r="9" spans="2:15" ht="21" hidden="1" thickBot="1" x14ac:dyDescent="0.25">
      <c r="B9" s="51"/>
      <c r="C9" s="52" t="s">
        <v>20</v>
      </c>
      <c r="D9" s="52" t="s">
        <v>21</v>
      </c>
      <c r="G9" s="994" t="s">
        <v>227</v>
      </c>
      <c r="H9" s="1020">
        <f>+D2+H7</f>
        <v>688</v>
      </c>
      <c r="J9" s="59"/>
      <c r="K9" s="59"/>
      <c r="L9" s="59"/>
      <c r="M9" s="59"/>
      <c r="O9" s="995"/>
    </row>
    <row r="10" spans="2:15" ht="21" hidden="1" thickBot="1" x14ac:dyDescent="0.25">
      <c r="B10" s="51" t="s">
        <v>17</v>
      </c>
      <c r="C10" s="53">
        <f>+((C13-C15)/C13)*C12</f>
        <v>52.65513783971538</v>
      </c>
      <c r="D10" s="53">
        <f>+(C15/C13)*C12</f>
        <v>41.844862160284613</v>
      </c>
      <c r="G10" s="998"/>
      <c r="I10" s="984">
        <v>2</v>
      </c>
      <c r="J10" s="1721" t="s">
        <v>235</v>
      </c>
      <c r="K10" s="1721"/>
      <c r="L10" s="1738"/>
      <c r="M10" s="1738"/>
      <c r="O10" s="995"/>
    </row>
    <row r="11" spans="2:15" ht="20" hidden="1" x14ac:dyDescent="0.2">
      <c r="B11" s="46"/>
      <c r="C11" s="47"/>
      <c r="G11" s="994" t="s">
        <v>226</v>
      </c>
      <c r="H11" s="1020">
        <f>+D2-H7</f>
        <v>688</v>
      </c>
      <c r="J11" s="972" t="s">
        <v>218</v>
      </c>
      <c r="K11" s="961" t="s">
        <v>215</v>
      </c>
      <c r="L11" s="961" t="s">
        <v>216</v>
      </c>
      <c r="M11" s="1724"/>
      <c r="O11" s="995"/>
    </row>
    <row r="12" spans="2:15" ht="20" hidden="1" x14ac:dyDescent="0.2">
      <c r="B12" s="54" t="s">
        <v>55</v>
      </c>
      <c r="C12" s="55">
        <f>+(B135*40.5)+19+4.5+0.5+30</f>
        <v>94.5</v>
      </c>
      <c r="G12" s="998"/>
      <c r="H12" s="37"/>
      <c r="J12" s="963">
        <f>(BQ54)</f>
        <v>79.508689457834279</v>
      </c>
      <c r="K12" s="963">
        <f>((+H8-H11)/H8*CO54)</f>
        <v>-32.980883192764615</v>
      </c>
      <c r="L12" s="963">
        <f>(H11/H8*CO54)</f>
        <v>47.97219373493035</v>
      </c>
      <c r="M12" s="961" t="s">
        <v>223</v>
      </c>
      <c r="O12" s="995"/>
    </row>
    <row r="13" spans="2:15" ht="20" hidden="1" x14ac:dyDescent="0.2">
      <c r="B13" s="56" t="s">
        <v>56</v>
      </c>
      <c r="C13" s="55">
        <v>492.4</v>
      </c>
      <c r="G13" s="998"/>
      <c r="J13" s="965">
        <f>ABS($H$1/J12)</f>
        <v>226.39034956733769</v>
      </c>
      <c r="K13" s="965">
        <f>ABS($H$1/K12)</f>
        <v>545.77070889201843</v>
      </c>
      <c r="L13" s="965">
        <f>ABS($H$1/L12)</f>
        <v>375.21736236326268</v>
      </c>
      <c r="M13" s="967" t="s">
        <v>222</v>
      </c>
      <c r="O13" s="995"/>
    </row>
    <row r="14" spans="2:15" ht="25.5" hidden="1" customHeight="1" x14ac:dyDescent="0.2">
      <c r="B14" s="57">
        <f>+B135</f>
        <v>1</v>
      </c>
      <c r="C14" s="58">
        <f>IF(B14&lt;=24,B14)</f>
        <v>1</v>
      </c>
      <c r="G14" s="998"/>
      <c r="J14" s="1733">
        <f>ABS($E$8/BQ54)</f>
        <v>100.61793314103898</v>
      </c>
      <c r="K14" s="1733"/>
      <c r="L14" s="1733">
        <f>ABS($E$8/CO54)</f>
        <v>533.64247091664026</v>
      </c>
      <c r="M14" s="1734" t="s">
        <v>350</v>
      </c>
      <c r="O14" s="995"/>
    </row>
    <row r="15" spans="2:15" ht="19" hidden="1" thickBot="1" x14ac:dyDescent="0.25">
      <c r="B15" s="56" t="s">
        <v>57</v>
      </c>
      <c r="C15" s="54">
        <f>+X133</f>
        <v>218.03608600766287</v>
      </c>
      <c r="G15" s="998"/>
      <c r="J15" s="59"/>
      <c r="K15" s="59"/>
      <c r="L15" s="59"/>
      <c r="M15" s="59"/>
      <c r="O15" s="995"/>
    </row>
    <row r="16" spans="2:15" ht="21" hidden="1" thickBot="1" x14ac:dyDescent="0.25">
      <c r="B16" s="46"/>
      <c r="C16" s="47"/>
      <c r="G16" s="994" t="s">
        <v>231</v>
      </c>
      <c r="H16" s="1021">
        <f>+D2+H7-BA131</f>
        <v>44.463927694940139</v>
      </c>
      <c r="I16" s="984" t="s">
        <v>251</v>
      </c>
      <c r="J16" s="1721" t="s">
        <v>232</v>
      </c>
      <c r="K16" s="1727"/>
      <c r="L16" s="1727"/>
      <c r="M16" s="1727"/>
      <c r="O16" s="995"/>
    </row>
    <row r="17" spans="1:15" ht="20" hidden="1" x14ac:dyDescent="0.2">
      <c r="B17" s="46"/>
      <c r="C17" s="47"/>
      <c r="G17" s="998"/>
      <c r="H17" s="37"/>
      <c r="I17" s="999"/>
      <c r="J17" s="961" t="s">
        <v>217</v>
      </c>
      <c r="K17" s="961" t="s">
        <v>225</v>
      </c>
      <c r="L17" s="961"/>
      <c r="M17" s="1724"/>
      <c r="O17" s="995"/>
    </row>
    <row r="18" spans="1:15" ht="20" hidden="1" x14ac:dyDescent="0.2">
      <c r="B18" s="46"/>
      <c r="C18" s="47"/>
      <c r="G18" s="998"/>
      <c r="J18" s="963">
        <f>+H16/H8*BF49</f>
        <v>19.543447289171361</v>
      </c>
      <c r="K18" s="963">
        <f>((H8-H16)/H8)*BF49</f>
        <v>74.956552710828632</v>
      </c>
      <c r="L18" s="963"/>
      <c r="M18" s="961" t="s">
        <v>223</v>
      </c>
      <c r="O18" s="995"/>
    </row>
    <row r="19" spans="1:15" ht="20" hidden="1" x14ac:dyDescent="0.2">
      <c r="B19" s="46"/>
      <c r="C19" s="47"/>
      <c r="G19" s="998"/>
      <c r="J19" s="965">
        <f>ABS($H$1/J18)</f>
        <v>921.02481889023977</v>
      </c>
      <c r="K19" s="965">
        <f>ABS($H$1/K18)</f>
        <v>240.13911191248823</v>
      </c>
      <c r="L19" s="965"/>
      <c r="M19" s="967" t="s">
        <v>222</v>
      </c>
      <c r="O19" s="995"/>
    </row>
    <row r="20" spans="1:15" ht="20" hidden="1" x14ac:dyDescent="0.2">
      <c r="B20" s="46"/>
      <c r="C20" s="47"/>
      <c r="G20" s="998"/>
      <c r="J20" s="1733">
        <f>ABS($E$8/BF49)</f>
        <v>84.656084656084658</v>
      </c>
      <c r="K20" s="1733"/>
      <c r="L20" s="1733"/>
      <c r="M20" s="1734" t="s">
        <v>350</v>
      </c>
      <c r="N20" s="1737"/>
      <c r="O20" s="995"/>
    </row>
    <row r="21" spans="1:15" ht="19" hidden="1" thickBot="1" x14ac:dyDescent="0.25">
      <c r="B21" s="46"/>
      <c r="C21" s="47"/>
      <c r="G21" s="998"/>
      <c r="J21" s="59"/>
      <c r="K21" s="59"/>
      <c r="L21" s="59"/>
      <c r="M21" s="59"/>
      <c r="O21" s="995"/>
    </row>
    <row r="22" spans="1:15" ht="21" hidden="1" thickBot="1" x14ac:dyDescent="0.25">
      <c r="B22" s="46"/>
      <c r="C22" s="47"/>
      <c r="G22" s="994" t="s">
        <v>219</v>
      </c>
      <c r="H22" s="1020">
        <f>(+COS(($B$132*-1)*3.14159265358979/180)*(H4))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O22" s="995"/>
    </row>
    <row r="23" spans="1:15" ht="20" hidden="1" x14ac:dyDescent="0.2">
      <c r="B23" s="46"/>
      <c r="C23" s="47"/>
      <c r="G23" s="994" t="s">
        <v>234</v>
      </c>
      <c r="H23" s="1093">
        <f>+BA131-H22+H7</f>
        <v>-216.46392769494014</v>
      </c>
      <c r="I23" s="999"/>
      <c r="J23" s="961"/>
      <c r="K23" s="961" t="s">
        <v>215</v>
      </c>
      <c r="L23" s="961" t="s">
        <v>216</v>
      </c>
      <c r="M23" s="1724"/>
      <c r="O23" s="995"/>
    </row>
    <row r="24" spans="1:15" ht="20" hidden="1" x14ac:dyDescent="0.2">
      <c r="B24" s="46"/>
      <c r="C24" s="47"/>
      <c r="G24" s="998"/>
      <c r="J24" s="963"/>
      <c r="K24" s="963">
        <f>((+H8-H23)/H8*BF49)</f>
        <v>189.64344728917138</v>
      </c>
      <c r="L24" s="963">
        <f>(H23/H8*BF49)</f>
        <v>-95.143447289171363</v>
      </c>
      <c r="M24" s="961" t="s">
        <v>223</v>
      </c>
      <c r="O24" s="995"/>
    </row>
    <row r="25" spans="1:15" ht="20" hidden="1" x14ac:dyDescent="0.2">
      <c r="B25" s="46"/>
      <c r="C25" s="47"/>
      <c r="G25" s="998"/>
      <c r="J25" s="965"/>
      <c r="K25" s="965">
        <f>ABS($H$1/K24)</f>
        <v>94.91495887307569</v>
      </c>
      <c r="L25" s="965">
        <f>ABS($H$1/L24)</f>
        <v>189.1880157052986</v>
      </c>
      <c r="M25" s="967" t="s">
        <v>222</v>
      </c>
      <c r="O25" s="995"/>
    </row>
    <row r="26" spans="1:15" ht="32.25" hidden="1" customHeight="1" x14ac:dyDescent="0.2">
      <c r="B26" s="46"/>
      <c r="C26" s="47"/>
      <c r="G26" s="998"/>
      <c r="J26" s="1729"/>
      <c r="K26" s="1729"/>
      <c r="L26" s="1733">
        <f>ABS($E$8/BF49)</f>
        <v>84.656084656084658</v>
      </c>
      <c r="M26" s="1734" t="s">
        <v>350</v>
      </c>
      <c r="O26" s="995"/>
    </row>
    <row r="27" spans="1:15" ht="19" hidden="1" thickBot="1" x14ac:dyDescent="0.25">
      <c r="B27" s="46"/>
      <c r="C27" s="47"/>
      <c r="G27" s="998"/>
      <c r="J27" s="59"/>
      <c r="K27" s="59"/>
      <c r="L27" s="59"/>
      <c r="M27" s="59"/>
      <c r="O27" s="995"/>
    </row>
    <row r="28" spans="1:15" ht="21" hidden="1" thickBot="1" x14ac:dyDescent="0.25">
      <c r="A28" s="59"/>
      <c r="B28" s="60"/>
      <c r="C28" s="61"/>
      <c r="D28" s="62"/>
      <c r="E28" s="62"/>
      <c r="F28" s="62"/>
      <c r="G28" s="998"/>
      <c r="I28" s="984">
        <v>60</v>
      </c>
      <c r="J28" s="1721" t="s">
        <v>241</v>
      </c>
      <c r="K28" s="1727"/>
      <c r="L28" s="1727"/>
      <c r="M28" s="1727"/>
      <c r="N28" s="1720"/>
      <c r="O28" s="995"/>
    </row>
    <row r="29" spans="1:15" ht="20" hidden="1" x14ac:dyDescent="0.2">
      <c r="A29" s="59"/>
      <c r="B29" s="60"/>
      <c r="C29" s="61"/>
      <c r="D29" s="62"/>
      <c r="E29" s="62"/>
      <c r="F29" s="62"/>
      <c r="G29" s="998"/>
      <c r="J29" s="961"/>
      <c r="K29" s="961" t="s">
        <v>215</v>
      </c>
      <c r="L29" s="961" t="s">
        <v>216</v>
      </c>
      <c r="M29" s="1724"/>
      <c r="O29" s="995"/>
    </row>
    <row r="30" spans="1:15" ht="20" hidden="1" x14ac:dyDescent="0.2">
      <c r="A30" s="59"/>
      <c r="B30" s="63"/>
      <c r="D30" s="64"/>
      <c r="E30" s="62"/>
      <c r="F30" s="64"/>
      <c r="G30" s="1000"/>
      <c r="H30" s="63"/>
      <c r="J30" s="963"/>
      <c r="K30" s="963">
        <f>((+H8-H23)/H8*BF49)</f>
        <v>189.64344728917138</v>
      </c>
      <c r="L30" s="963">
        <f>(H23/H8*BF49)</f>
        <v>-95.143447289171363</v>
      </c>
      <c r="M30" s="961" t="s">
        <v>223</v>
      </c>
      <c r="O30" s="995"/>
    </row>
    <row r="31" spans="1:15" ht="20" hidden="1" x14ac:dyDescent="0.2">
      <c r="A31" s="59"/>
      <c r="B31" s="21"/>
      <c r="C31" s="65"/>
      <c r="D31" s="66"/>
      <c r="E31" s="21"/>
      <c r="F31" s="62"/>
      <c r="G31" s="1000"/>
      <c r="H31" s="63"/>
      <c r="J31" s="965"/>
      <c r="K31" s="965">
        <f>ABS($H$1/K30)</f>
        <v>94.91495887307569</v>
      </c>
      <c r="L31" s="965">
        <f>ABS($H$1/L30)</f>
        <v>189.1880157052986</v>
      </c>
      <c r="M31" s="967" t="s">
        <v>222</v>
      </c>
      <c r="O31" s="995"/>
    </row>
    <row r="32" spans="1:15" ht="30" hidden="1" x14ac:dyDescent="0.3">
      <c r="A32" s="59"/>
      <c r="B32" s="67"/>
      <c r="D32" s="62"/>
      <c r="E32" s="68"/>
      <c r="F32" s="62"/>
      <c r="G32" s="1000"/>
      <c r="H32" s="63"/>
      <c r="J32" s="1728"/>
      <c r="K32" s="1728"/>
      <c r="L32" s="1733">
        <f>ABS($E$8/BF49)*2</f>
        <v>169.31216931216932</v>
      </c>
      <c r="M32" s="1734" t="s">
        <v>350</v>
      </c>
      <c r="N32" s="1730" t="s">
        <v>352</v>
      </c>
      <c r="O32" s="995"/>
    </row>
    <row r="33" spans="1:56" ht="19" hidden="1" thickBot="1" x14ac:dyDescent="0.25">
      <c r="A33" s="59"/>
      <c r="B33" s="1805"/>
      <c r="C33" s="1806"/>
      <c r="D33" s="1806"/>
      <c r="E33" s="1806"/>
      <c r="F33" s="62"/>
      <c r="G33" s="1000"/>
      <c r="H33" s="63"/>
      <c r="J33" s="59"/>
      <c r="K33" s="59"/>
      <c r="L33" s="59"/>
      <c r="M33" s="59"/>
      <c r="O33" s="995"/>
    </row>
    <row r="34" spans="1:56" ht="21" hidden="1" thickBot="1" x14ac:dyDescent="0.25">
      <c r="A34" s="59"/>
      <c r="D34" s="35"/>
      <c r="E34" s="35"/>
      <c r="F34" s="62"/>
      <c r="G34" s="1000"/>
      <c r="H34" s="63"/>
      <c r="I34" s="984">
        <v>61</v>
      </c>
      <c r="J34" s="1721" t="s">
        <v>255</v>
      </c>
      <c r="K34" s="1727"/>
      <c r="L34" s="1727"/>
      <c r="M34" s="1727"/>
      <c r="N34" s="1720"/>
      <c r="O34" s="995"/>
    </row>
    <row r="35" spans="1:56" ht="20" hidden="1" x14ac:dyDescent="0.2">
      <c r="A35" s="59"/>
      <c r="D35" s="35"/>
      <c r="E35" s="35"/>
      <c r="F35" s="62"/>
      <c r="G35" s="1000"/>
      <c r="H35" s="63"/>
      <c r="J35" s="961" t="s">
        <v>217</v>
      </c>
      <c r="K35" s="961" t="s">
        <v>225</v>
      </c>
      <c r="L35" s="961"/>
      <c r="M35" s="1724"/>
      <c r="O35" s="995"/>
    </row>
    <row r="36" spans="1:56" ht="20" hidden="1" x14ac:dyDescent="0.2">
      <c r="A36" s="59"/>
      <c r="D36" s="35"/>
      <c r="E36" s="35"/>
      <c r="F36" s="62"/>
      <c r="G36" s="1000"/>
      <c r="H36" s="63"/>
      <c r="J36" s="963">
        <f>+H16/H8*BF49</f>
        <v>19.543447289171361</v>
      </c>
      <c r="K36" s="963">
        <f>((H8-H16)/H8)*BF49</f>
        <v>74.956552710828632</v>
      </c>
      <c r="L36" s="963"/>
      <c r="M36" s="961" t="s">
        <v>223</v>
      </c>
      <c r="O36" s="995"/>
    </row>
    <row r="37" spans="1:56" ht="20" hidden="1" x14ac:dyDescent="0.2">
      <c r="A37" s="59"/>
      <c r="B37" s="69"/>
      <c r="C37" s="70"/>
      <c r="D37" s="69"/>
      <c r="E37" s="69"/>
      <c r="F37" s="62"/>
      <c r="G37" s="1000"/>
      <c r="H37" s="63"/>
      <c r="J37" s="965">
        <f>ABS($H$1/J36)</f>
        <v>921.02481889023977</v>
      </c>
      <c r="K37" s="965">
        <f>ABS($H$1/K36)</f>
        <v>240.13911191248823</v>
      </c>
      <c r="L37" s="965"/>
      <c r="M37" s="967" t="s">
        <v>222</v>
      </c>
      <c r="O37" s="995"/>
    </row>
    <row r="38" spans="1:56" ht="31.5" hidden="1" customHeight="1" x14ac:dyDescent="0.2">
      <c r="A38" s="59"/>
      <c r="B38" s="69"/>
      <c r="C38" s="70"/>
      <c r="D38" s="69"/>
      <c r="E38" s="69"/>
      <c r="F38" s="62"/>
      <c r="G38" s="1000"/>
      <c r="H38" s="63"/>
      <c r="J38" s="1733">
        <f>ABS($E$8/BF49)*2</f>
        <v>169.31216931216932</v>
      </c>
      <c r="K38" s="1733"/>
      <c r="L38" s="1733"/>
      <c r="M38" s="1734" t="s">
        <v>350</v>
      </c>
      <c r="N38" s="1730" t="s">
        <v>352</v>
      </c>
      <c r="O38" s="995"/>
    </row>
    <row r="39" spans="1:56" ht="18" hidden="1" x14ac:dyDescent="0.2">
      <c r="A39" s="59"/>
      <c r="B39" s="71"/>
      <c r="C39" s="70"/>
      <c r="D39" s="71"/>
      <c r="E39" s="72"/>
      <c r="F39" s="62"/>
      <c r="G39" s="998"/>
      <c r="J39" s="59"/>
      <c r="K39" s="59"/>
      <c r="L39" s="59"/>
      <c r="M39" s="59"/>
      <c r="O39" s="995"/>
    </row>
    <row r="40" spans="1:56" ht="20" hidden="1" x14ac:dyDescent="0.2">
      <c r="A40" s="59"/>
      <c r="B40" s="69"/>
      <c r="C40" s="70"/>
      <c r="D40" s="69"/>
      <c r="E40" s="22"/>
      <c r="F40" s="62"/>
      <c r="G40" s="998"/>
      <c r="J40" s="1721" t="s">
        <v>256</v>
      </c>
      <c r="K40" s="1727"/>
      <c r="L40" s="1727"/>
      <c r="M40" s="1727"/>
      <c r="O40" s="995"/>
    </row>
    <row r="41" spans="1:56" ht="20" hidden="1" x14ac:dyDescent="0.2">
      <c r="A41" s="59"/>
      <c r="B41" s="60"/>
      <c r="C41" s="61"/>
      <c r="D41" s="62"/>
      <c r="E41" s="62"/>
      <c r="F41" s="62"/>
      <c r="G41" s="998"/>
      <c r="H41" s="1001" t="s">
        <v>250</v>
      </c>
      <c r="J41" s="961" t="s">
        <v>217</v>
      </c>
      <c r="K41" s="961" t="s">
        <v>225</v>
      </c>
      <c r="L41" s="972" t="s">
        <v>242</v>
      </c>
      <c r="M41" s="1724"/>
      <c r="O41" s="995"/>
    </row>
    <row r="42" spans="1:56" ht="24" hidden="1" thickBot="1" x14ac:dyDescent="0.3">
      <c r="A42" s="59"/>
      <c r="B42" s="60"/>
      <c r="C42" s="61"/>
      <c r="D42" s="62"/>
      <c r="E42" s="62"/>
      <c r="F42" s="62"/>
      <c r="G42" s="1002" t="s">
        <v>245</v>
      </c>
      <c r="H42" s="1022">
        <f>SUM(BF123:BP123)</f>
        <v>6</v>
      </c>
      <c r="J42" s="963">
        <f>+H43/H8*BF49/2</f>
        <v>103.95</v>
      </c>
      <c r="K42" s="963">
        <f>((H8-H43)/H8)*BF49/2</f>
        <v>-56.699999999999996</v>
      </c>
      <c r="L42" s="963">
        <f>+BF49/2</f>
        <v>47.25</v>
      </c>
      <c r="M42" s="961" t="s">
        <v>223</v>
      </c>
      <c r="O42" s="995"/>
    </row>
    <row r="43" spans="1:56" ht="21" hidden="1" thickBot="1" x14ac:dyDescent="0.25">
      <c r="A43" s="59"/>
      <c r="B43" s="60"/>
      <c r="C43" s="61"/>
      <c r="D43" s="62"/>
      <c r="E43" s="62"/>
      <c r="F43" s="62"/>
      <c r="G43" s="994" t="s">
        <v>243</v>
      </c>
      <c r="H43" s="1020">
        <f>$H$5-((H42-1)*$E$2)</f>
        <v>473</v>
      </c>
      <c r="I43" s="984">
        <v>62</v>
      </c>
      <c r="J43" s="965">
        <f>ABS($H$1/J42)</f>
        <v>173.16017316017314</v>
      </c>
      <c r="K43" s="965">
        <f>ABS($H$1/K42)</f>
        <v>317.46031746031747</v>
      </c>
      <c r="L43" s="965">
        <f>ABS($H$1/L42)</f>
        <v>380.95238095238096</v>
      </c>
      <c r="M43" s="967" t="s">
        <v>222</v>
      </c>
      <c r="O43" s="995"/>
    </row>
    <row r="44" spans="1:56" ht="28.5" hidden="1" customHeight="1" x14ac:dyDescent="0.2">
      <c r="A44" s="59"/>
      <c r="B44" s="60"/>
      <c r="C44" s="61"/>
      <c r="D44" s="62"/>
      <c r="E44" s="62"/>
      <c r="F44" s="62"/>
      <c r="G44" s="1000"/>
      <c r="H44" s="63"/>
      <c r="J44" s="1733"/>
      <c r="K44" s="1733"/>
      <c r="L44" s="1733">
        <f>ABS($E$8/BF49)*2</f>
        <v>169.31216931216932</v>
      </c>
      <c r="M44" s="1734" t="s">
        <v>350</v>
      </c>
      <c r="N44" s="1730" t="s">
        <v>352</v>
      </c>
      <c r="O44" s="995"/>
    </row>
    <row r="45" spans="1:56" ht="18" hidden="1" x14ac:dyDescent="0.2">
      <c r="A45" s="59"/>
      <c r="B45" s="60"/>
      <c r="C45" s="61"/>
      <c r="D45" s="62"/>
      <c r="E45" s="62"/>
      <c r="F45" s="62"/>
      <c r="G45" s="998"/>
      <c r="J45" s="59"/>
      <c r="K45" s="59"/>
      <c r="L45" s="59"/>
      <c r="M45" s="59"/>
      <c r="O45" s="995"/>
    </row>
    <row r="46" spans="1:56" ht="20" hidden="1" x14ac:dyDescent="0.2">
      <c r="A46" s="59"/>
      <c r="B46" s="60"/>
      <c r="C46" s="61"/>
      <c r="D46" s="62"/>
      <c r="E46" s="62"/>
      <c r="F46" s="62"/>
      <c r="G46" s="1004"/>
      <c r="H46" s="1005" t="s">
        <v>250</v>
      </c>
      <c r="J46" s="1721" t="s">
        <v>257</v>
      </c>
      <c r="K46" s="1727"/>
      <c r="L46" s="1727"/>
      <c r="M46" s="1727"/>
      <c r="O46" s="995"/>
    </row>
    <row r="47" spans="1:56" ht="24" hidden="1" thickBot="1" x14ac:dyDescent="0.3">
      <c r="A47" s="59"/>
      <c r="D47" s="62"/>
      <c r="E47" s="62"/>
      <c r="F47" s="62"/>
      <c r="G47" s="1002" t="s">
        <v>245</v>
      </c>
      <c r="H47" s="1023">
        <f>SUM(CF123:CP123)</f>
        <v>0</v>
      </c>
      <c r="J47" s="972" t="s">
        <v>244</v>
      </c>
      <c r="K47" s="961" t="s">
        <v>215</v>
      </c>
      <c r="L47" s="961" t="s">
        <v>216</v>
      </c>
      <c r="M47" s="1724"/>
      <c r="O47" s="995"/>
    </row>
    <row r="48" spans="1:56" ht="26" hidden="1" thickBot="1" x14ac:dyDescent="0.3">
      <c r="A48" s="59"/>
      <c r="D48" s="62"/>
      <c r="E48" s="62"/>
      <c r="F48" s="62"/>
      <c r="G48" s="994" t="s">
        <v>243</v>
      </c>
      <c r="H48" s="1020">
        <f>($E$2*(H47-1))-$H$4</f>
        <v>-903</v>
      </c>
      <c r="I48" s="984">
        <v>63</v>
      </c>
      <c r="J48" s="963">
        <f>+BF49/2</f>
        <v>47.25</v>
      </c>
      <c r="K48" s="963">
        <f>((H8-H48)/H8)*BF49/2</f>
        <v>245.70000000000002</v>
      </c>
      <c r="L48" s="963">
        <f>+H48/H8*BF49/2</f>
        <v>-198.45000000000002</v>
      </c>
      <c r="M48" s="961" t="s">
        <v>223</v>
      </c>
      <c r="O48" s="995"/>
      <c r="BD48" s="1035" t="s">
        <v>261</v>
      </c>
    </row>
    <row r="49" spans="1:98" s="74" customFormat="1" ht="34.5" customHeight="1" thickBot="1" x14ac:dyDescent="0.25">
      <c r="A49" s="64"/>
      <c r="B49" s="73"/>
      <c r="C49" s="73"/>
      <c r="D49" s="63"/>
      <c r="E49" s="63"/>
      <c r="F49" s="63"/>
      <c r="G49" s="998"/>
      <c r="H49"/>
      <c r="I49"/>
      <c r="J49" s="965">
        <f>ABS($H$1/J48)</f>
        <v>380.95238095238096</v>
      </c>
      <c r="K49" s="965">
        <f>ABS($H$1/K48)</f>
        <v>73.260073260073256</v>
      </c>
      <c r="L49" s="965">
        <f>ABS($H$1/L48)</f>
        <v>90.702947845804985</v>
      </c>
      <c r="M49" s="967" t="s">
        <v>222</v>
      </c>
      <c r="O49" s="1010"/>
      <c r="AX49"/>
      <c r="AY49"/>
      <c r="AZ49"/>
      <c r="BA49"/>
      <c r="BB49"/>
      <c r="BC49"/>
      <c r="BD49" s="64"/>
      <c r="BE49" s="75" t="s">
        <v>25</v>
      </c>
      <c r="BF49" s="1814">
        <f>+C12</f>
        <v>94.5</v>
      </c>
      <c r="BG49" s="1814"/>
      <c r="BH49" s="76" t="s">
        <v>17</v>
      </c>
      <c r="BI49" s="76"/>
      <c r="BJ49" s="77" t="s">
        <v>187</v>
      </c>
      <c r="BK49" s="78"/>
      <c r="BL49" s="78"/>
      <c r="BM49" s="78"/>
      <c r="BN49" s="78"/>
      <c r="BO49" s="78"/>
      <c r="BP49" s="78"/>
      <c r="BQ49" s="78"/>
      <c r="BR49" s="78"/>
      <c r="BS49" s="78"/>
      <c r="BT49" s="78"/>
      <c r="BU49" s="78"/>
      <c r="BV49" s="78"/>
      <c r="BW49" s="78"/>
      <c r="BX49" s="78"/>
      <c r="BY49" s="78"/>
      <c r="BZ49" s="78"/>
      <c r="CA49" s="78"/>
      <c r="CB49" s="78"/>
      <c r="CC49" s="78"/>
      <c r="CD49" s="78"/>
      <c r="CE49" s="78"/>
      <c r="CF49" s="78"/>
      <c r="CG49" s="78"/>
      <c r="CH49" s="78"/>
      <c r="CI49" s="78"/>
      <c r="CJ49" s="78"/>
      <c r="CK49" s="78"/>
      <c r="CL49" s="78"/>
      <c r="CM49" s="78"/>
      <c r="CN49" s="78"/>
      <c r="CO49" s="78"/>
      <c r="CP49" s="78"/>
      <c r="CQ49" s="78"/>
      <c r="CR49" s="78"/>
      <c r="CS49" s="78"/>
    </row>
    <row r="50" spans="1:98" ht="41.25" customHeight="1" thickBot="1" x14ac:dyDescent="0.3">
      <c r="A50" s="59"/>
      <c r="D50" s="62"/>
      <c r="E50" s="62"/>
      <c r="F50" s="62"/>
      <c r="G50" s="998"/>
      <c r="J50" s="1733">
        <f>ABS($E$8/BF49)*2</f>
        <v>169.31216931216932</v>
      </c>
      <c r="K50" s="1733"/>
      <c r="L50" s="1733"/>
      <c r="M50" s="1734" t="s">
        <v>221</v>
      </c>
      <c r="N50" s="1730" t="s">
        <v>352</v>
      </c>
      <c r="O50" s="995"/>
      <c r="AS50" s="79"/>
      <c r="AT50" s="80"/>
      <c r="AU50" s="80"/>
      <c r="AV50" s="80"/>
      <c r="AW50" s="80"/>
      <c r="BB50" s="182" t="b">
        <f>AND(BF51&gt;0,CD51&gt;0)</f>
        <v>1</v>
      </c>
      <c r="BC50" s="952" t="str">
        <f>IF(BB50=TRUE,"","negative force at the motor")</f>
        <v/>
      </c>
      <c r="BD50" s="1095" t="s">
        <v>186</v>
      </c>
      <c r="BE50" s="740" t="s">
        <v>27</v>
      </c>
      <c r="BF50" s="776" t="s">
        <v>28</v>
      </c>
      <c r="BG50" s="777"/>
      <c r="BH50" s="778"/>
      <c r="BI50" s="778"/>
      <c r="BJ50" s="778"/>
      <c r="BK50" s="778"/>
      <c r="BL50" s="778"/>
      <c r="BM50" s="778"/>
      <c r="BN50" s="778"/>
      <c r="BO50" s="778"/>
      <c r="BP50" s="778"/>
      <c r="BQ50" s="778"/>
      <c r="BR50" s="778"/>
      <c r="BS50" s="778"/>
      <c r="BT50" s="778"/>
      <c r="BU50" s="778"/>
      <c r="BV50" s="778"/>
      <c r="BW50" s="778"/>
      <c r="BX50" s="779"/>
      <c r="BY50" s="780"/>
      <c r="BZ50" s="781"/>
      <c r="CA50" s="781"/>
      <c r="CB50" s="781"/>
      <c r="CC50" s="781"/>
      <c r="CD50" s="777"/>
      <c r="CE50" s="782" t="s">
        <v>29</v>
      </c>
      <c r="CF50" s="1801"/>
      <c r="CG50" s="1801"/>
      <c r="CH50" s="1801"/>
      <c r="CI50" s="1801"/>
      <c r="CJ50" s="1801"/>
      <c r="CK50" s="1801"/>
      <c r="CL50" s="1801"/>
      <c r="CM50" s="1801"/>
      <c r="CN50" s="1801"/>
      <c r="CO50" s="1801"/>
      <c r="CP50" s="1802"/>
      <c r="CQ50" s="78"/>
      <c r="CR50" s="78"/>
      <c r="CS50" s="78"/>
    </row>
    <row r="51" spans="1:98" ht="44" thickBot="1" x14ac:dyDescent="0.3">
      <c r="A51" s="59"/>
      <c r="D51" s="62"/>
      <c r="E51" s="62"/>
      <c r="F51" s="62"/>
      <c r="G51" s="998"/>
      <c r="J51" s="59"/>
      <c r="K51" s="59"/>
      <c r="L51" s="59"/>
      <c r="M51" s="59"/>
      <c r="O51" s="995"/>
      <c r="AR51" s="1815"/>
      <c r="AS51" s="1815"/>
      <c r="AT51" s="80"/>
      <c r="AU51" s="80"/>
      <c r="AV51" s="80"/>
      <c r="AW51" s="80"/>
      <c r="BA51" s="968">
        <v>1</v>
      </c>
      <c r="BB51" s="182" t="b">
        <f>AND(BD51&gt;=10,$AN$138&gt;=10,$AO$138&gt;=10)</f>
        <v>1</v>
      </c>
      <c r="BC51" s="84" t="str">
        <f>IF(BB51=TRUE,"O K","OVERLOAD")</f>
        <v>O K</v>
      </c>
      <c r="BD51" s="982">
        <f>+MIN(J7:L8)</f>
        <v>141.41443645780768</v>
      </c>
      <c r="BE51" s="741" t="s">
        <v>180</v>
      </c>
      <c r="BF51" s="1809">
        <f>+((D4-D5)/D4)*C12</f>
        <v>37.928689457834274</v>
      </c>
      <c r="BG51" s="1810"/>
      <c r="BH51" s="783"/>
      <c r="BI51" s="783"/>
      <c r="BJ51" s="783"/>
      <c r="BK51" s="784"/>
      <c r="BL51" s="784"/>
      <c r="BM51" s="784"/>
      <c r="BN51" s="785"/>
      <c r="BO51" s="785"/>
      <c r="BP51" s="785"/>
      <c r="BQ51" s="785"/>
      <c r="BR51" s="785"/>
      <c r="BS51" s="785"/>
      <c r="BT51" s="785"/>
      <c r="BU51" s="785"/>
      <c r="BV51" s="785"/>
      <c r="BW51" s="785"/>
      <c r="BX51" s="786"/>
      <c r="BY51" s="783"/>
      <c r="BZ51" s="783"/>
      <c r="CA51" s="783"/>
      <c r="CB51" s="784"/>
      <c r="CC51" s="784"/>
      <c r="CD51" s="1799">
        <f>+(D5/D4)*C12</f>
        <v>56.571310542165719</v>
      </c>
      <c r="CE51" s="1800"/>
      <c r="CF51" s="1803"/>
      <c r="CG51" s="1803"/>
      <c r="CH51" s="1803"/>
      <c r="CI51" s="1803"/>
      <c r="CJ51" s="1803"/>
      <c r="CK51" s="1803"/>
      <c r="CL51" s="1803"/>
      <c r="CM51" s="1803"/>
      <c r="CN51" s="1803"/>
      <c r="CO51" s="1803"/>
      <c r="CP51" s="1804"/>
      <c r="CQ51" s="78"/>
      <c r="CR51" s="78"/>
      <c r="CS51" s="78"/>
      <c r="CT51" s="78"/>
    </row>
    <row r="52" spans="1:98" ht="16.5" customHeight="1" thickBot="1" x14ac:dyDescent="0.3">
      <c r="G52" s="998"/>
      <c r="J52" s="1721" t="s">
        <v>258</v>
      </c>
      <c r="K52" s="1727"/>
      <c r="L52" s="1727"/>
      <c r="M52" s="1727"/>
      <c r="O52" s="995"/>
      <c r="AR52" s="85"/>
      <c r="AS52" s="85"/>
      <c r="AT52" s="80"/>
      <c r="AU52" s="80"/>
      <c r="AV52" s="80"/>
      <c r="AW52" s="80"/>
      <c r="BB52" s="182"/>
      <c r="BC52" s="86"/>
      <c r="BD52" s="85"/>
      <c r="BE52" s="87"/>
      <c r="BF52" s="88"/>
      <c r="BG52" s="88"/>
      <c r="BH52" s="87"/>
      <c r="BI52" s="87"/>
      <c r="BJ52" s="87"/>
      <c r="BK52" s="87"/>
      <c r="BL52" s="87"/>
      <c r="BM52" s="87"/>
      <c r="BN52" s="87"/>
      <c r="BO52" s="87"/>
      <c r="BP52" s="87"/>
      <c r="BQ52" s="87"/>
      <c r="BR52" s="87"/>
      <c r="BS52" s="87"/>
      <c r="BT52" s="87"/>
      <c r="BU52" s="87"/>
      <c r="BV52" s="87"/>
      <c r="BW52" s="87"/>
      <c r="BY52" s="76"/>
      <c r="BZ52" s="76"/>
      <c r="CA52" s="88"/>
      <c r="CB52" s="89"/>
      <c r="CC52" s="89"/>
      <c r="CD52" s="89"/>
      <c r="CE52" s="89"/>
      <c r="CF52" s="89"/>
      <c r="CG52" s="89"/>
      <c r="CH52" s="89"/>
      <c r="CI52" s="89"/>
      <c r="CJ52" s="89"/>
      <c r="CK52" s="89"/>
      <c r="CL52" s="89"/>
      <c r="CM52" s="89"/>
      <c r="CN52" s="89"/>
      <c r="CO52" s="89"/>
      <c r="CP52" s="89"/>
      <c r="CQ52" s="89"/>
      <c r="CR52" s="78"/>
      <c r="CS52" s="78"/>
      <c r="CT52" s="78"/>
    </row>
    <row r="53" spans="1:98" ht="45.75" customHeight="1" thickBot="1" x14ac:dyDescent="0.3">
      <c r="G53" s="1002" t="s">
        <v>245</v>
      </c>
      <c r="H53" s="1007" t="s">
        <v>252</v>
      </c>
      <c r="J53" s="972" t="s">
        <v>244</v>
      </c>
      <c r="K53" s="961"/>
      <c r="L53" s="972" t="s">
        <v>242</v>
      </c>
      <c r="M53" s="1724"/>
      <c r="O53" s="995"/>
      <c r="AT53" s="80"/>
      <c r="AU53" s="80"/>
      <c r="AV53" s="80"/>
      <c r="AW53" s="80"/>
      <c r="BB53" s="182" t="b">
        <f>AND(BQ54&gt;0,CO54&gt;0)</f>
        <v>1</v>
      </c>
      <c r="BC53" s="952" t="str">
        <f>IF(BB53=TRUE,"","negative force at the motor")</f>
        <v/>
      </c>
      <c r="BD53" s="1095" t="s">
        <v>186</v>
      </c>
      <c r="BE53" s="742" t="s">
        <v>27</v>
      </c>
      <c r="BF53" s="1811"/>
      <c r="BG53" s="1801"/>
      <c r="BH53" s="1801"/>
      <c r="BI53" s="1801"/>
      <c r="BJ53" s="1801"/>
      <c r="BK53" s="1801"/>
      <c r="BL53" s="1801"/>
      <c r="BM53" s="1801"/>
      <c r="BN53" s="1801"/>
      <c r="BO53" s="1801"/>
      <c r="BP53" s="1801"/>
      <c r="BQ53" s="772" t="s">
        <v>28</v>
      </c>
      <c r="BR53" s="774"/>
      <c r="BS53" s="761"/>
      <c r="BT53" s="761"/>
      <c r="BU53" s="761"/>
      <c r="BV53" s="761"/>
      <c r="BW53" s="761"/>
      <c r="BX53" s="761"/>
      <c r="BY53" s="761"/>
      <c r="BZ53" s="761"/>
      <c r="CA53" s="761"/>
      <c r="CB53" s="761"/>
      <c r="CC53" s="762"/>
      <c r="CD53" s="763"/>
      <c r="CE53" s="763"/>
      <c r="CF53" s="763"/>
      <c r="CG53" s="763"/>
      <c r="CH53" s="764"/>
      <c r="CI53" s="764"/>
      <c r="CJ53" s="762"/>
      <c r="CK53" s="762"/>
      <c r="CL53" s="762"/>
      <c r="CM53" s="762"/>
      <c r="CN53" s="762"/>
      <c r="CO53" s="765"/>
      <c r="CP53" s="766" t="s">
        <v>29</v>
      </c>
      <c r="CQ53" s="90"/>
      <c r="CR53" s="78"/>
      <c r="CS53" s="78"/>
      <c r="CT53" s="78"/>
    </row>
    <row r="54" spans="1:98" ht="42.75" customHeight="1" thickBot="1" x14ac:dyDescent="0.3">
      <c r="G54" s="994" t="s">
        <v>243</v>
      </c>
      <c r="H54" s="956"/>
      <c r="I54" s="984">
        <v>64</v>
      </c>
      <c r="J54" s="963">
        <f>+((H6-D3)/H6)*BF49</f>
        <v>67.729802603275473</v>
      </c>
      <c r="K54" s="963"/>
      <c r="L54" s="963">
        <f>+(D3/H6)*BF49</f>
        <v>26.770197396724519</v>
      </c>
      <c r="M54" s="961" t="s">
        <v>223</v>
      </c>
      <c r="O54" s="995"/>
      <c r="BA54" s="968">
        <v>2</v>
      </c>
      <c r="BB54" s="182" t="b">
        <f>AND(BD54&gt;=10,$AN$138&gt;=10,$AO$138&gt;=10)</f>
        <v>1</v>
      </c>
      <c r="BC54" s="84" t="str">
        <f>IF(BB54=TRUE,"O K","OVERLOAD")</f>
        <v>O K</v>
      </c>
      <c r="BD54" s="982">
        <f>+MIN(J13:L14)</f>
        <v>100.61793314103898</v>
      </c>
      <c r="BE54" s="743" t="s">
        <v>126</v>
      </c>
      <c r="BF54" s="1812"/>
      <c r="BG54" s="1803"/>
      <c r="BH54" s="1803"/>
      <c r="BI54" s="1803"/>
      <c r="BJ54" s="1803"/>
      <c r="BK54" s="1803"/>
      <c r="BL54" s="1803"/>
      <c r="BM54" s="1803"/>
      <c r="BN54" s="1803"/>
      <c r="BO54" s="1803"/>
      <c r="BP54" s="1803"/>
      <c r="BQ54" s="773">
        <f>+((D4-D3)/D4)*C12</f>
        <v>79.508689457834279</v>
      </c>
      <c r="BR54" s="775"/>
      <c r="BS54" s="767"/>
      <c r="BT54" s="767"/>
      <c r="BU54" s="767"/>
      <c r="BV54" s="767"/>
      <c r="BW54" s="767"/>
      <c r="BX54" s="767"/>
      <c r="BY54" s="767"/>
      <c r="BZ54" s="767"/>
      <c r="CA54" s="767"/>
      <c r="CB54" s="767"/>
      <c r="CC54" s="768"/>
      <c r="CD54" s="769"/>
      <c r="CE54" s="769"/>
      <c r="CF54" s="769"/>
      <c r="CG54" s="769"/>
      <c r="CH54" s="770"/>
      <c r="CI54" s="770"/>
      <c r="CJ54" s="771"/>
      <c r="CK54" s="771"/>
      <c r="CL54" s="771"/>
      <c r="CM54" s="771"/>
      <c r="CN54" s="771"/>
      <c r="CO54" s="1797">
        <f>+(D3/D4)*C12</f>
        <v>14.991310542165733</v>
      </c>
      <c r="CP54" s="1798"/>
      <c r="CQ54" s="92"/>
      <c r="CR54" s="78"/>
      <c r="CS54" s="78"/>
      <c r="CT54" s="78"/>
    </row>
    <row r="55" spans="1:98" ht="18" customHeight="1" thickBot="1" x14ac:dyDescent="0.3">
      <c r="G55" s="1000"/>
      <c r="H55" s="63"/>
      <c r="J55" s="965">
        <f>ABS($H$1/J54)</f>
        <v>265.76188484461204</v>
      </c>
      <c r="K55" s="965"/>
      <c r="L55" s="965">
        <f>ABS($H$1/L54)</f>
        <v>672.38951335496688</v>
      </c>
      <c r="M55" s="967" t="s">
        <v>222</v>
      </c>
      <c r="O55" s="995"/>
      <c r="BB55" s="182"/>
      <c r="BC55" s="86"/>
      <c r="BD55" s="18"/>
      <c r="BE55" s="93"/>
      <c r="BF55" s="93"/>
      <c r="BG55" s="93"/>
      <c r="BH55" s="93"/>
      <c r="BI55" s="93"/>
      <c r="BJ55" s="93"/>
      <c r="BK55" s="93"/>
      <c r="BL55" s="93"/>
      <c r="BM55" s="93"/>
      <c r="BN55" s="94"/>
      <c r="BO55" s="94"/>
      <c r="BP55" s="89"/>
      <c r="BQ55" s="89"/>
      <c r="BR55" s="89"/>
      <c r="BS55" s="89"/>
      <c r="BT55" s="89"/>
      <c r="BU55" s="89"/>
      <c r="BV55" s="89"/>
      <c r="BW55" s="89"/>
      <c r="BX55" s="89"/>
      <c r="BY55" s="89"/>
      <c r="BZ55" s="89"/>
      <c r="CA55" s="89"/>
      <c r="CB55" s="89"/>
      <c r="CC55" s="37"/>
      <c r="CD55" s="95"/>
      <c r="CE55" s="95"/>
      <c r="CF55" s="95"/>
      <c r="CG55" s="95"/>
      <c r="CH55" s="92"/>
      <c r="CI55" s="92"/>
      <c r="CJ55" s="92"/>
      <c r="CK55" s="92"/>
      <c r="CL55" s="92"/>
      <c r="CM55" s="92"/>
      <c r="CN55" s="92"/>
      <c r="CO55" s="92"/>
      <c r="CP55" s="92"/>
      <c r="CQ55" s="92"/>
      <c r="CR55" s="78"/>
      <c r="CS55" s="78"/>
      <c r="CT55" s="78"/>
    </row>
    <row r="56" spans="1:98" ht="42.75" customHeight="1" thickBot="1" x14ac:dyDescent="0.25">
      <c r="G56" s="1000"/>
      <c r="H56" s="63"/>
      <c r="I56" s="74"/>
      <c r="J56" s="1733">
        <f>ABS($E$8/BF49)*2</f>
        <v>169.31216931216932</v>
      </c>
      <c r="K56" s="1733"/>
      <c r="L56" s="1733"/>
      <c r="M56" s="1734" t="s">
        <v>221</v>
      </c>
      <c r="N56" s="1730" t="s">
        <v>352</v>
      </c>
      <c r="O56" s="995"/>
      <c r="BB56" s="182" t="b">
        <f>AND(BQ57&gt;0,CF57&gt;0)</f>
        <v>1</v>
      </c>
      <c r="BC56" s="952" t="str">
        <f>IF(BB56=TRUE,"","negative force at the motor")</f>
        <v/>
      </c>
      <c r="BD56" s="1095" t="s">
        <v>186</v>
      </c>
      <c r="BE56" s="744" t="s">
        <v>27</v>
      </c>
      <c r="BF56" s="1811"/>
      <c r="BG56" s="1801"/>
      <c r="BH56" s="1801"/>
      <c r="BI56" s="1801"/>
      <c r="BJ56" s="1801"/>
      <c r="BK56" s="1801"/>
      <c r="BL56" s="1801"/>
      <c r="BM56" s="1801"/>
      <c r="BN56" s="1801"/>
      <c r="BO56" s="1801"/>
      <c r="BP56" s="1801"/>
      <c r="BQ56" s="894" t="s">
        <v>28</v>
      </c>
      <c r="BR56" s="895"/>
      <c r="BS56" s="905"/>
      <c r="BT56" s="905"/>
      <c r="BU56" s="905"/>
      <c r="BV56" s="905"/>
      <c r="BW56" s="905"/>
      <c r="BX56" s="906"/>
      <c r="BY56" s="907"/>
      <c r="BZ56" s="908"/>
      <c r="CA56" s="908"/>
      <c r="CB56" s="907"/>
      <c r="CC56" s="907"/>
      <c r="CD56" s="907"/>
      <c r="CE56" s="907"/>
      <c r="CF56" s="895"/>
      <c r="CG56" s="898" t="s">
        <v>29</v>
      </c>
      <c r="CH56" s="1801"/>
      <c r="CI56" s="1801"/>
      <c r="CJ56" s="1801"/>
      <c r="CK56" s="1801"/>
      <c r="CL56" s="1801"/>
      <c r="CM56" s="1801"/>
      <c r="CN56" s="1801"/>
      <c r="CO56" s="1801"/>
      <c r="CP56" s="1802"/>
      <c r="CQ56" s="89"/>
      <c r="CR56" s="78"/>
      <c r="CS56" s="78"/>
      <c r="CT56" s="78"/>
    </row>
    <row r="57" spans="1:98" ht="42.75" customHeight="1" thickBot="1" x14ac:dyDescent="0.3">
      <c r="G57" s="998"/>
      <c r="O57" s="995"/>
      <c r="BA57" s="968">
        <v>3</v>
      </c>
      <c r="BB57" s="182" t="b">
        <f>AND(BD57&gt;=10,$AN$138&gt;=10,$AO$138&gt;=10)</f>
        <v>1</v>
      </c>
      <c r="BC57" s="84" t="str">
        <f>IF(BB57=TRUE,"O K","OVERLOAD")</f>
        <v>O K</v>
      </c>
      <c r="BD57" s="983">
        <f>+$E$8/(MAX(CF57,BQ57))</f>
        <v>112.55545193813471</v>
      </c>
      <c r="BE57" s="745" t="s">
        <v>123</v>
      </c>
      <c r="BF57" s="1812"/>
      <c r="BG57" s="1803"/>
      <c r="BH57" s="1803"/>
      <c r="BI57" s="1803"/>
      <c r="BJ57" s="1803"/>
      <c r="BK57" s="1803"/>
      <c r="BL57" s="1803"/>
      <c r="BM57" s="1803"/>
      <c r="BN57" s="1803"/>
      <c r="BO57" s="1803"/>
      <c r="BP57" s="1803"/>
      <c r="BQ57" s="1807">
        <f>+((D2-D3)/D2)*C12</f>
        <v>71.076077277866048</v>
      </c>
      <c r="BR57" s="1808"/>
      <c r="BS57" s="909"/>
      <c r="BT57" s="909"/>
      <c r="BU57" s="909"/>
      <c r="BV57" s="909"/>
      <c r="BW57" s="909"/>
      <c r="BX57" s="910"/>
      <c r="BY57" s="911"/>
      <c r="BZ57" s="912"/>
      <c r="CA57" s="912"/>
      <c r="CB57" s="913"/>
      <c r="CC57" s="913"/>
      <c r="CD57" s="913"/>
      <c r="CE57" s="913"/>
      <c r="CF57" s="1795">
        <f>+(D3/D2)*C12</f>
        <v>23.423922722133959</v>
      </c>
      <c r="CG57" s="1796"/>
      <c r="CH57" s="1803"/>
      <c r="CI57" s="1803"/>
      <c r="CJ57" s="1803"/>
      <c r="CK57" s="1803"/>
      <c r="CL57" s="1803"/>
      <c r="CM57" s="1803"/>
      <c r="CN57" s="1803"/>
      <c r="CO57" s="1803"/>
      <c r="CP57" s="1804"/>
      <c r="CQ57" s="89"/>
      <c r="CR57" s="78"/>
      <c r="CS57" s="78"/>
      <c r="CT57" s="78"/>
    </row>
    <row r="58" spans="1:98" ht="23" hidden="1" x14ac:dyDescent="0.25">
      <c r="G58" s="998"/>
      <c r="O58" s="995"/>
      <c r="BB58" s="182"/>
      <c r="BC58" s="86"/>
      <c r="BD58" s="18"/>
      <c r="BE58" s="93"/>
      <c r="BF58" s="93"/>
      <c r="BG58" s="93"/>
      <c r="BH58" s="93"/>
      <c r="BI58" s="93"/>
      <c r="BJ58" s="93"/>
      <c r="BK58" s="93"/>
      <c r="BL58" s="93"/>
      <c r="BM58" s="93"/>
      <c r="BN58" s="94"/>
      <c r="BO58" s="94"/>
      <c r="BP58" s="89"/>
      <c r="BQ58" s="89"/>
      <c r="BR58" s="89"/>
      <c r="BS58" s="89"/>
      <c r="BT58" s="89"/>
      <c r="BU58" s="89"/>
      <c r="BV58" s="89"/>
      <c r="BW58" s="89"/>
      <c r="BX58" s="89"/>
      <c r="BY58" s="89"/>
      <c r="BZ58" s="93"/>
      <c r="CA58" s="89"/>
      <c r="CB58" s="89"/>
      <c r="CC58" s="37"/>
      <c r="CD58" s="95"/>
      <c r="CE58" s="95"/>
      <c r="CF58" s="95"/>
      <c r="CG58" s="95"/>
      <c r="CH58" s="92"/>
      <c r="CI58" s="92"/>
      <c r="CJ58" s="92"/>
      <c r="CK58" s="92"/>
      <c r="CL58" s="92"/>
      <c r="CM58" s="92"/>
      <c r="CN58" s="92"/>
      <c r="CO58" s="92"/>
      <c r="CP58" s="92"/>
      <c r="CQ58" s="92"/>
      <c r="CR58" s="78"/>
      <c r="CS58" s="78"/>
      <c r="CT58" s="78"/>
    </row>
    <row r="59" spans="1:98" ht="12.75" hidden="1" customHeight="1" x14ac:dyDescent="0.2">
      <c r="G59" s="998"/>
      <c r="O59" s="995"/>
      <c r="T59" s="126"/>
      <c r="U59" s="126"/>
      <c r="V59" s="126"/>
      <c r="W59" s="126"/>
      <c r="X59" s="126"/>
      <c r="Y59" s="126"/>
      <c r="Z59" s="126"/>
      <c r="AA59" s="126"/>
      <c r="AB59" s="126"/>
      <c r="AC59" s="126"/>
      <c r="AD59" s="126"/>
      <c r="AE59" s="126"/>
      <c r="AF59" s="126"/>
      <c r="AG59" s="126"/>
      <c r="AH59" s="126"/>
      <c r="AI59" s="126"/>
      <c r="AJ59" s="126"/>
      <c r="AK59" s="126"/>
      <c r="AL59" s="126"/>
      <c r="AM59" s="126"/>
      <c r="AN59" s="126"/>
      <c r="AO59" s="126"/>
      <c r="AQ59" s="143"/>
      <c r="AR59" s="144"/>
      <c r="AS59" s="144"/>
      <c r="AT59" s="136"/>
      <c r="AU59" s="136"/>
      <c r="AV59" s="136"/>
      <c r="AW59" s="136"/>
      <c r="BB59" s="182"/>
      <c r="BC59" s="86"/>
    </row>
    <row r="60" spans="1:98" ht="20" hidden="1" x14ac:dyDescent="0.2">
      <c r="G60" s="998"/>
      <c r="O60" s="995"/>
      <c r="T60" s="126"/>
      <c r="U60" s="126"/>
      <c r="V60" s="126"/>
      <c r="W60" s="126"/>
      <c r="X60" s="126"/>
      <c r="Y60" s="126"/>
      <c r="Z60" s="126"/>
      <c r="AA60" s="126"/>
      <c r="AB60" s="126"/>
      <c r="AC60" s="126"/>
      <c r="AD60" s="126"/>
      <c r="AE60" s="126"/>
      <c r="AF60" s="126"/>
      <c r="AG60" s="126"/>
      <c r="AH60" s="126"/>
      <c r="AI60" s="126"/>
      <c r="AJ60" s="126"/>
      <c r="AK60" s="126"/>
      <c r="AL60" s="126"/>
      <c r="AM60" s="126"/>
      <c r="AN60" s="126"/>
      <c r="AO60" s="126"/>
      <c r="AQ60" s="143"/>
      <c r="AR60" s="144"/>
      <c r="AS60" s="144"/>
      <c r="AT60" s="136"/>
      <c r="AU60" s="136"/>
      <c r="AV60" s="136"/>
      <c r="AW60" s="136"/>
      <c r="BB60" s="182"/>
      <c r="BC60" s="86"/>
    </row>
    <row r="61" spans="1:98" ht="23" hidden="1" x14ac:dyDescent="0.25">
      <c r="G61" s="998"/>
      <c r="O61" s="995"/>
      <c r="T61" s="126"/>
      <c r="U61" s="126"/>
      <c r="V61" s="126"/>
      <c r="W61" s="126"/>
      <c r="X61" s="126"/>
      <c r="Y61" s="126"/>
      <c r="Z61" s="126"/>
      <c r="AA61" s="126"/>
      <c r="AB61" s="126"/>
      <c r="AC61" s="126"/>
      <c r="AD61" s="126"/>
      <c r="AE61" s="126"/>
      <c r="AF61" s="126"/>
      <c r="AG61" s="126"/>
      <c r="AH61" s="126"/>
      <c r="AI61" s="126"/>
      <c r="AJ61" s="126"/>
      <c r="AK61" s="126"/>
      <c r="AL61" s="126"/>
      <c r="AM61" s="126"/>
      <c r="AN61" s="126"/>
      <c r="AO61" s="126"/>
      <c r="AQ61" s="143"/>
      <c r="AR61" s="144"/>
      <c r="AS61" s="144"/>
      <c r="AT61" s="136"/>
      <c r="AU61" s="136"/>
      <c r="AV61" s="136"/>
      <c r="AW61" s="136"/>
      <c r="BB61" s="182"/>
      <c r="BC61" s="86"/>
      <c r="BD61" s="17"/>
      <c r="BE61" s="177"/>
      <c r="BF61" s="178"/>
      <c r="BG61" s="178"/>
      <c r="BH61" s="178"/>
      <c r="BI61" s="178"/>
      <c r="BJ61" s="178"/>
      <c r="BK61" s="178"/>
      <c r="BL61" s="178"/>
      <c r="BM61" s="178"/>
      <c r="BN61" s="179"/>
      <c r="BO61" s="179"/>
      <c r="BP61" s="180"/>
      <c r="BQ61" s="180"/>
      <c r="BR61" s="180"/>
      <c r="BS61" s="180"/>
      <c r="BT61" s="180"/>
      <c r="BU61" s="180"/>
      <c r="BV61" s="180"/>
      <c r="BW61" s="180"/>
      <c r="BX61" s="37"/>
      <c r="BY61" s="89"/>
      <c r="BZ61" s="181"/>
      <c r="CA61" s="181"/>
      <c r="CB61" s="89"/>
      <c r="CC61" s="89"/>
      <c r="CD61" s="89"/>
      <c r="CE61" s="89"/>
      <c r="CF61" s="89"/>
      <c r="CG61" s="89"/>
      <c r="CH61" s="89"/>
      <c r="CI61" s="89"/>
      <c r="CJ61" s="89"/>
      <c r="CK61" s="89"/>
      <c r="CL61" s="178"/>
      <c r="CM61" s="178"/>
      <c r="CN61" s="178"/>
      <c r="CO61" s="178"/>
      <c r="CP61" s="178"/>
      <c r="CQ61" s="178"/>
      <c r="CR61" s="178"/>
      <c r="CS61" s="178"/>
      <c r="CT61" s="178"/>
    </row>
    <row r="62" spans="1:98" ht="24" hidden="1" thickBot="1" x14ac:dyDescent="0.3">
      <c r="G62" s="998"/>
      <c r="O62" s="995"/>
      <c r="T62" s="126"/>
      <c r="U62" s="126"/>
      <c r="V62" s="126"/>
      <c r="W62" s="126"/>
      <c r="X62" s="126"/>
      <c r="Y62" s="126"/>
      <c r="Z62" s="126"/>
      <c r="AA62" s="126"/>
      <c r="AB62" s="126"/>
      <c r="AC62" s="126"/>
      <c r="AD62" s="126"/>
      <c r="AE62" s="126"/>
      <c r="AF62" s="126"/>
      <c r="AG62" s="126"/>
      <c r="AH62" s="126"/>
      <c r="AI62" s="126"/>
      <c r="AJ62" s="126"/>
      <c r="AK62" s="126"/>
      <c r="AL62" s="126"/>
      <c r="AM62" s="126"/>
      <c r="AN62" s="126"/>
      <c r="AO62" s="126"/>
      <c r="AQ62" s="143"/>
      <c r="AR62" s="144"/>
      <c r="AS62" s="144"/>
      <c r="AT62" s="136"/>
      <c r="AU62" s="136"/>
      <c r="AV62" s="136"/>
      <c r="AW62" s="136"/>
      <c r="BB62" s="182"/>
      <c r="BC62" s="86"/>
      <c r="BD62" s="17"/>
      <c r="BE62" s="177"/>
      <c r="BF62" s="178"/>
      <c r="BG62" s="178"/>
      <c r="BH62" s="178"/>
      <c r="BI62" s="178"/>
      <c r="BJ62" s="178"/>
      <c r="BK62" s="178"/>
      <c r="BL62" s="178"/>
      <c r="BM62" s="178"/>
      <c r="BN62" s="179"/>
      <c r="BO62" s="179"/>
      <c r="BP62" s="180"/>
      <c r="BQ62" s="180"/>
      <c r="BR62" s="180"/>
      <c r="BS62" s="180"/>
      <c r="BT62" s="180"/>
      <c r="BU62" s="180"/>
      <c r="BV62" s="180"/>
      <c r="BW62" s="180"/>
      <c r="BX62" s="37"/>
      <c r="BY62" s="89"/>
      <c r="BZ62" s="181"/>
      <c r="CA62" s="181"/>
      <c r="CB62" s="89"/>
      <c r="CC62" s="89"/>
      <c r="CD62" s="89"/>
      <c r="CE62" s="89"/>
      <c r="CF62" s="89"/>
      <c r="CG62" s="89"/>
      <c r="CH62" s="89"/>
      <c r="CI62" s="89"/>
      <c r="CJ62" s="89"/>
      <c r="CK62" s="89"/>
      <c r="CL62" s="178"/>
      <c r="CM62" s="178"/>
      <c r="CN62" s="178"/>
      <c r="CO62" s="178"/>
      <c r="CP62" s="178"/>
      <c r="CQ62" s="178"/>
      <c r="CR62" s="178"/>
      <c r="CS62" s="178"/>
      <c r="CT62" s="178"/>
    </row>
    <row r="63" spans="1:98" ht="24" hidden="1" thickBot="1" x14ac:dyDescent="0.3">
      <c r="G63" s="998"/>
      <c r="O63" s="995"/>
      <c r="T63" s="126"/>
      <c r="U63" s="126"/>
      <c r="V63" s="126"/>
      <c r="W63" s="126"/>
      <c r="X63" s="126"/>
      <c r="Y63" s="126"/>
      <c r="Z63" s="126"/>
      <c r="AA63" s="126"/>
      <c r="AB63" s="126"/>
      <c r="AC63" s="126"/>
      <c r="AD63" s="126"/>
      <c r="AE63" s="126"/>
      <c r="AF63" s="126"/>
      <c r="AG63" s="126"/>
      <c r="AH63" s="126"/>
      <c r="AI63" s="126"/>
      <c r="AJ63" s="126"/>
      <c r="AK63" s="126"/>
      <c r="AL63" s="126"/>
      <c r="AM63" s="126"/>
      <c r="AN63" s="126"/>
      <c r="AO63" s="126"/>
      <c r="AQ63" s="143"/>
      <c r="AR63" s="144"/>
      <c r="AS63" s="144"/>
      <c r="AT63" s="136"/>
      <c r="AU63" s="136"/>
      <c r="AV63" s="136"/>
      <c r="AW63" s="136"/>
      <c r="BB63" s="182"/>
      <c r="BC63" s="86"/>
      <c r="BD63" s="17"/>
      <c r="BE63" s="177"/>
      <c r="BF63" s="178"/>
      <c r="BG63" s="178"/>
      <c r="BH63" s="178"/>
      <c r="BI63" s="178"/>
      <c r="BJ63" s="178"/>
      <c r="BK63" s="178"/>
      <c r="BL63" s="178"/>
      <c r="BM63" s="178"/>
      <c r="BN63" s="179"/>
      <c r="BO63" s="179"/>
      <c r="BP63" s="182">
        <v>16</v>
      </c>
      <c r="BQ63" s="180"/>
      <c r="BR63" s="180"/>
      <c r="BS63" s="180"/>
      <c r="BT63" s="180"/>
      <c r="BU63" s="180"/>
      <c r="BV63" s="180"/>
      <c r="BW63" s="180"/>
      <c r="BX63" s="37"/>
      <c r="BY63" s="89"/>
      <c r="BZ63" s="181"/>
      <c r="CA63" s="181"/>
      <c r="CB63" s="89"/>
      <c r="CC63" s="89"/>
      <c r="CD63" s="89"/>
      <c r="CE63" s="117" t="b">
        <f>IF(CF81=27,15)</f>
        <v>0</v>
      </c>
      <c r="CF63" s="183"/>
      <c r="CG63" s="103" t="b">
        <f>IF(CF81=27,17)</f>
        <v>0</v>
      </c>
      <c r="CH63" s="89"/>
      <c r="CI63" s="89"/>
      <c r="CJ63" s="89"/>
      <c r="CK63" s="89"/>
      <c r="CL63" s="178"/>
      <c r="CM63" s="178"/>
      <c r="CN63" s="178"/>
      <c r="CO63" s="178"/>
      <c r="CP63" s="178"/>
      <c r="CQ63" s="178"/>
      <c r="CR63" s="178"/>
      <c r="CS63" s="178"/>
      <c r="CT63" s="178"/>
    </row>
    <row r="64" spans="1:98" ht="24" hidden="1" thickBot="1" x14ac:dyDescent="0.3">
      <c r="G64" s="998"/>
      <c r="O64" s="995"/>
      <c r="T64" s="126"/>
      <c r="U64" s="126"/>
      <c r="V64" s="126"/>
      <c r="W64" s="126"/>
      <c r="X64" s="126"/>
      <c r="Y64" s="126"/>
      <c r="Z64" s="126"/>
      <c r="AA64" s="126"/>
      <c r="AB64" s="126"/>
      <c r="AC64" s="126"/>
      <c r="AD64" s="126"/>
      <c r="AE64" s="126"/>
      <c r="AF64" s="126"/>
      <c r="AG64" s="126"/>
      <c r="AH64" s="126"/>
      <c r="AI64" s="126"/>
      <c r="AJ64" s="126"/>
      <c r="AK64" s="126"/>
      <c r="AL64" s="126"/>
      <c r="AM64" s="126"/>
      <c r="AN64" s="126"/>
      <c r="AO64" s="126"/>
      <c r="AQ64" s="143"/>
      <c r="AR64" s="144"/>
      <c r="AS64" s="144"/>
      <c r="AT64" s="136"/>
      <c r="AU64" s="136"/>
      <c r="AV64" s="136"/>
      <c r="AW64" s="136"/>
      <c r="BB64" s="182"/>
      <c r="BC64" s="86"/>
      <c r="BD64" s="17"/>
      <c r="BE64" s="177"/>
      <c r="BF64" s="178"/>
      <c r="BG64" s="178"/>
      <c r="BH64" s="178"/>
      <c r="BI64" s="178"/>
      <c r="BJ64" s="178"/>
      <c r="BK64" s="178"/>
      <c r="BL64" s="178"/>
      <c r="BM64" s="178"/>
      <c r="BN64" s="179"/>
      <c r="BO64" s="179"/>
      <c r="BP64" s="182">
        <v>15</v>
      </c>
      <c r="BQ64" s="180"/>
      <c r="BR64" s="180"/>
      <c r="BS64" s="180"/>
      <c r="BT64" s="180"/>
      <c r="BU64" s="180"/>
      <c r="BV64" s="180"/>
      <c r="BW64" s="180"/>
      <c r="BX64" s="37"/>
      <c r="BY64" s="89"/>
      <c r="BZ64" s="181"/>
      <c r="CA64" s="181"/>
      <c r="CB64" s="89"/>
      <c r="CC64" s="117" t="b">
        <f>IF(CE81=26,13)</f>
        <v>0</v>
      </c>
      <c r="CD64" s="183"/>
      <c r="CE64" s="183"/>
      <c r="CF64" s="183"/>
      <c r="CG64" s="103" t="b">
        <f>IF(CE81=26,17)</f>
        <v>0</v>
      </c>
      <c r="CH64" s="89"/>
      <c r="CI64" s="89"/>
      <c r="CJ64" s="89"/>
      <c r="CK64" s="89"/>
      <c r="CL64" s="178"/>
      <c r="CM64" s="178"/>
      <c r="CN64" s="178"/>
      <c r="CO64" s="178"/>
      <c r="CP64" s="178"/>
      <c r="CQ64" s="178"/>
      <c r="CR64" s="178"/>
      <c r="CS64" s="178"/>
      <c r="CT64" s="178"/>
    </row>
    <row r="65" spans="2:98" ht="24" hidden="1" thickBot="1" x14ac:dyDescent="0.3">
      <c r="G65" s="998"/>
      <c r="O65" s="995"/>
      <c r="T65" s="126"/>
      <c r="U65" s="126"/>
      <c r="V65" s="126"/>
      <c r="W65" s="126"/>
      <c r="X65" s="126"/>
      <c r="Y65" s="126"/>
      <c r="Z65" s="126"/>
      <c r="AA65" s="126"/>
      <c r="AB65" s="126"/>
      <c r="AC65" s="126"/>
      <c r="AD65" s="126"/>
      <c r="AE65" s="126"/>
      <c r="AF65" s="126"/>
      <c r="AG65" s="126"/>
      <c r="AH65" s="126"/>
      <c r="AI65" s="126"/>
      <c r="AJ65" s="126"/>
      <c r="AK65" s="126"/>
      <c r="AL65" s="126"/>
      <c r="AM65" s="126"/>
      <c r="AN65" s="126"/>
      <c r="AO65" s="126"/>
      <c r="AQ65" s="143"/>
      <c r="AR65" s="144"/>
      <c r="AS65" s="144"/>
      <c r="AT65" s="136"/>
      <c r="AU65" s="136"/>
      <c r="AV65" s="136"/>
      <c r="AW65" s="136"/>
      <c r="BB65" s="182"/>
      <c r="BC65" s="86"/>
      <c r="BD65" s="17"/>
      <c r="BE65" s="177"/>
      <c r="BF65" s="178"/>
      <c r="BG65" s="178"/>
      <c r="BH65" s="178"/>
      <c r="BI65" s="178"/>
      <c r="BJ65" s="178"/>
      <c r="BK65" s="178"/>
      <c r="BL65" s="178"/>
      <c r="BM65" s="178"/>
      <c r="BN65" s="179"/>
      <c r="BO65" s="179"/>
      <c r="BP65" s="182">
        <v>14</v>
      </c>
      <c r="BQ65" s="180"/>
      <c r="BR65" s="180"/>
      <c r="BS65" s="180"/>
      <c r="BT65" s="180"/>
      <c r="BU65" s="180"/>
      <c r="BV65" s="180"/>
      <c r="BW65" s="180"/>
      <c r="BX65" s="37"/>
      <c r="BY65" s="89"/>
      <c r="BZ65" s="181"/>
      <c r="CA65" s="117" t="b">
        <f>IF(CD81=25,11)</f>
        <v>0</v>
      </c>
      <c r="CB65" s="183"/>
      <c r="CC65" s="184"/>
      <c r="CD65" s="184"/>
      <c r="CE65" s="184"/>
      <c r="CF65" s="184"/>
      <c r="CG65" s="124" t="b">
        <f>IF(CD81=25,17)</f>
        <v>0</v>
      </c>
      <c r="CH65" s="89"/>
      <c r="CI65" s="89"/>
      <c r="CJ65" s="89"/>
      <c r="CK65" s="89"/>
      <c r="CL65" s="178"/>
      <c r="CM65" s="178"/>
      <c r="CN65" s="178"/>
      <c r="CO65" s="178"/>
      <c r="CP65" s="178"/>
      <c r="CQ65" s="178"/>
      <c r="CR65" s="178"/>
      <c r="CS65" s="178"/>
      <c r="CT65" s="178"/>
    </row>
    <row r="66" spans="2:98" ht="21" hidden="1" thickBot="1" x14ac:dyDescent="0.25">
      <c r="D66" s="63"/>
      <c r="G66" s="998"/>
      <c r="O66" s="995"/>
      <c r="T66" s="126"/>
      <c r="U66" s="126"/>
      <c r="V66" s="126"/>
      <c r="W66" s="126"/>
      <c r="X66" s="126"/>
      <c r="Y66" s="126"/>
      <c r="Z66" s="126"/>
      <c r="AA66" s="126"/>
      <c r="AB66" s="126"/>
      <c r="AC66" s="126"/>
      <c r="AD66" s="126"/>
      <c r="AE66" s="126"/>
      <c r="AF66" s="126"/>
      <c r="AG66" s="126"/>
      <c r="AH66" s="126"/>
      <c r="AI66" s="126"/>
      <c r="AJ66" s="126"/>
      <c r="AK66" s="126"/>
      <c r="AL66" s="126"/>
      <c r="AM66" s="126"/>
      <c r="AN66" s="126"/>
      <c r="AO66" s="126"/>
      <c r="AQ66" s="143"/>
      <c r="AR66" s="144"/>
      <c r="AS66" s="144"/>
      <c r="AT66" s="136"/>
      <c r="AU66" s="136"/>
      <c r="AV66" s="136"/>
      <c r="AW66" s="136"/>
      <c r="BB66" s="182"/>
      <c r="BC66" s="86"/>
      <c r="BD66" s="1091"/>
      <c r="BE66" s="177"/>
      <c r="BF66" s="178"/>
      <c r="BG66" s="178"/>
      <c r="BH66" s="178"/>
      <c r="BI66" s="178"/>
      <c r="BJ66" s="178"/>
      <c r="BK66" s="178"/>
      <c r="BL66" s="178"/>
      <c r="BM66" s="178"/>
      <c r="BP66" s="182">
        <v>13</v>
      </c>
      <c r="BQ66" s="178"/>
      <c r="BR66" s="177"/>
      <c r="BS66" s="177"/>
      <c r="BT66" s="177"/>
      <c r="BU66" s="177"/>
      <c r="BV66" s="177"/>
      <c r="BW66" s="177"/>
      <c r="BX66" s="177"/>
      <c r="BY66" s="117" t="b">
        <f>IF(CC81=24,9)</f>
        <v>0</v>
      </c>
      <c r="BZ66" s="185"/>
      <c r="CA66" s="186"/>
      <c r="CB66" s="122"/>
      <c r="CC66" s="186"/>
      <c r="CD66" s="122"/>
      <c r="CE66" s="122"/>
      <c r="CF66" s="121"/>
      <c r="CG66" s="124" t="b">
        <f>IF(CC81=24,17)</f>
        <v>0</v>
      </c>
      <c r="CH66" s="78"/>
      <c r="CI66" s="78"/>
      <c r="CJ66" s="78"/>
      <c r="CK66" s="78"/>
      <c r="CL66" s="78"/>
      <c r="CM66" s="78"/>
      <c r="CN66" s="78"/>
      <c r="CO66" s="78"/>
      <c r="CP66" s="78"/>
      <c r="CQ66" s="78"/>
      <c r="CR66" s="78"/>
      <c r="CS66" s="78"/>
    </row>
    <row r="67" spans="2:98" ht="21" hidden="1" thickBot="1" x14ac:dyDescent="0.25">
      <c r="D67" s="63"/>
      <c r="G67" s="998"/>
      <c r="O67" s="995"/>
      <c r="T67" s="126"/>
      <c r="U67" s="126"/>
      <c r="V67" s="126"/>
      <c r="W67" s="126"/>
      <c r="X67" s="126"/>
      <c r="Y67" s="126"/>
      <c r="Z67" s="126"/>
      <c r="AA67" s="126"/>
      <c r="AB67" s="126"/>
      <c r="AC67" s="126"/>
      <c r="AD67" s="126"/>
      <c r="AE67" s="126"/>
      <c r="AF67" s="126"/>
      <c r="AG67" s="126"/>
      <c r="AH67" s="126"/>
      <c r="AI67" s="126"/>
      <c r="AJ67" s="126"/>
      <c r="AK67" s="126"/>
      <c r="AL67" s="126"/>
      <c r="AM67" s="126"/>
      <c r="AN67" s="126"/>
      <c r="AO67" s="126"/>
      <c r="AQ67" s="143"/>
      <c r="AR67" s="144"/>
      <c r="AS67" s="144"/>
      <c r="AT67" s="136"/>
      <c r="AU67" s="136"/>
      <c r="AV67" s="136"/>
      <c r="AW67" s="136"/>
      <c r="BB67" s="182"/>
      <c r="BC67" s="86"/>
      <c r="BD67" s="1091"/>
      <c r="BE67" s="177"/>
      <c r="BF67" s="177"/>
      <c r="BG67" s="178"/>
      <c r="BH67" s="177"/>
      <c r="BI67" s="177"/>
      <c r="BJ67" s="177"/>
      <c r="BP67" s="182">
        <v>12</v>
      </c>
      <c r="BQ67" s="178"/>
      <c r="BR67" s="177"/>
      <c r="BS67" s="177"/>
      <c r="BT67" s="177"/>
      <c r="BU67" s="177"/>
      <c r="BV67" s="177"/>
      <c r="BW67" s="117" t="b">
        <f>IF(CB81=23,7)</f>
        <v>0</v>
      </c>
      <c r="BX67" s="185"/>
      <c r="BY67" s="185"/>
      <c r="BZ67" s="118"/>
      <c r="CA67" s="185"/>
      <c r="CB67" s="185"/>
      <c r="CC67" s="185"/>
      <c r="CD67" s="118"/>
      <c r="CE67" s="118"/>
      <c r="CF67" s="111"/>
      <c r="CG67" s="103" t="b">
        <f>IF(CB81=23,17)</f>
        <v>0</v>
      </c>
      <c r="CH67" s="78"/>
      <c r="CI67" s="78"/>
      <c r="CJ67" s="78"/>
      <c r="CK67" s="78"/>
      <c r="CL67" s="78"/>
      <c r="CM67" s="78"/>
      <c r="CN67" s="78"/>
      <c r="CO67" s="78"/>
      <c r="CP67" s="78"/>
      <c r="CQ67" s="78"/>
      <c r="CR67" s="78"/>
      <c r="CS67" s="78"/>
    </row>
    <row r="68" spans="2:98" ht="21" hidden="1" thickBot="1" x14ac:dyDescent="0.25">
      <c r="D68" s="63"/>
      <c r="G68" s="998"/>
      <c r="O68" s="995"/>
      <c r="T68" s="126"/>
      <c r="U68" s="126"/>
      <c r="V68" s="126"/>
      <c r="W68" s="126"/>
      <c r="X68" s="126"/>
      <c r="Y68" s="126"/>
      <c r="Z68" s="126"/>
      <c r="AA68" s="126"/>
      <c r="AB68" s="126"/>
      <c r="AC68" s="126"/>
      <c r="AD68" s="126"/>
      <c r="AE68" s="126"/>
      <c r="AF68" s="126"/>
      <c r="AG68" s="126"/>
      <c r="AH68" s="126"/>
      <c r="AI68" s="126"/>
      <c r="AJ68" s="126"/>
      <c r="AK68" s="126"/>
      <c r="AL68" s="126"/>
      <c r="AM68" s="126"/>
      <c r="AN68" s="126"/>
      <c r="AO68" s="126"/>
      <c r="AQ68" s="143"/>
      <c r="AR68" s="144"/>
      <c r="AS68" s="144"/>
      <c r="AT68" s="136"/>
      <c r="AU68" s="136"/>
      <c r="AV68" s="136"/>
      <c r="AW68" s="136"/>
      <c r="BB68" s="182"/>
      <c r="BC68" s="86"/>
      <c r="BD68" s="1091"/>
      <c r="BE68" s="177"/>
      <c r="BF68" s="177"/>
      <c r="BG68" s="178"/>
      <c r="BH68" s="177"/>
      <c r="BI68" s="177"/>
      <c r="BJ68" s="177"/>
      <c r="BP68" s="182">
        <v>11</v>
      </c>
      <c r="BQ68" s="178"/>
      <c r="BR68" s="177"/>
      <c r="BS68" s="177"/>
      <c r="BT68" s="177"/>
      <c r="BU68" s="117" t="b">
        <f>IF(CA81=22,5)</f>
        <v>0</v>
      </c>
      <c r="BV68" s="185"/>
      <c r="BW68" s="185"/>
      <c r="BX68" s="118"/>
      <c r="BY68" s="185"/>
      <c r="BZ68" s="118"/>
      <c r="CA68" s="185"/>
      <c r="CB68" s="118"/>
      <c r="CC68" s="185"/>
      <c r="CD68" s="118"/>
      <c r="CE68" s="118"/>
      <c r="CF68" s="111"/>
      <c r="CG68" s="103" t="b">
        <f>IF(CA81=22,17)</f>
        <v>0</v>
      </c>
      <c r="CH68" s="78"/>
      <c r="CI68" s="78"/>
      <c r="CJ68" s="78"/>
      <c r="CK68" s="78"/>
      <c r="CL68" s="78"/>
      <c r="CM68" s="78"/>
      <c r="CN68" s="78"/>
      <c r="CO68" s="78"/>
      <c r="CP68" s="78"/>
      <c r="CQ68" s="78"/>
      <c r="CR68" s="78"/>
      <c r="CS68" s="78"/>
    </row>
    <row r="69" spans="2:98" ht="21" hidden="1" thickBot="1" x14ac:dyDescent="0.25">
      <c r="D69" s="63"/>
      <c r="G69" s="998"/>
      <c r="O69" s="995"/>
      <c r="T69" s="126"/>
      <c r="U69" s="126"/>
      <c r="V69" s="126"/>
      <c r="W69" s="126"/>
      <c r="X69" s="126"/>
      <c r="Y69" s="126"/>
      <c r="Z69" s="126"/>
      <c r="AA69" s="126"/>
      <c r="AB69" s="126"/>
      <c r="AC69" s="126"/>
      <c r="AD69" s="126"/>
      <c r="AE69" s="126"/>
      <c r="AF69" s="126"/>
      <c r="AG69" s="126"/>
      <c r="AH69" s="126"/>
      <c r="AI69" s="126"/>
      <c r="AJ69" s="126"/>
      <c r="AK69" s="126"/>
      <c r="AL69" s="126"/>
      <c r="AM69" s="126"/>
      <c r="AN69" s="126"/>
      <c r="AO69" s="126"/>
      <c r="AQ69" s="143"/>
      <c r="AR69" s="144"/>
      <c r="AS69" s="144"/>
      <c r="AT69" s="136"/>
      <c r="AU69" s="136"/>
      <c r="AV69" s="136"/>
      <c r="AW69" s="136"/>
      <c r="BB69" s="182"/>
      <c r="BC69" s="86"/>
      <c r="BD69" s="1091"/>
      <c r="BE69" s="177"/>
      <c r="BF69" s="177"/>
      <c r="BG69" s="178"/>
      <c r="BH69" s="177"/>
      <c r="BI69" s="177"/>
      <c r="BJ69" s="177"/>
      <c r="BP69" s="182">
        <v>10</v>
      </c>
      <c r="BQ69" s="178"/>
      <c r="BR69" s="177"/>
      <c r="BS69" s="117" t="b">
        <f>IF(BZ81=21,3)</f>
        <v>0</v>
      </c>
      <c r="BT69" s="185"/>
      <c r="BU69" s="185"/>
      <c r="BV69" s="118"/>
      <c r="BW69" s="118"/>
      <c r="BX69" s="118"/>
      <c r="BY69" s="185"/>
      <c r="BZ69" s="185"/>
      <c r="CA69" s="185"/>
      <c r="CB69" s="118"/>
      <c r="CC69" s="185"/>
      <c r="CD69" s="118"/>
      <c r="CE69" s="118"/>
      <c r="CF69" s="111"/>
      <c r="CG69" s="103" t="b">
        <f>IF(BZ81=21,17)</f>
        <v>0</v>
      </c>
      <c r="CH69" s="78"/>
      <c r="CI69" s="78"/>
      <c r="CJ69" s="78"/>
      <c r="CK69" s="78"/>
      <c r="CL69" s="78"/>
      <c r="CM69" s="78"/>
      <c r="CN69" s="78"/>
      <c r="CO69" s="78"/>
      <c r="CP69" s="78"/>
      <c r="CQ69" s="78"/>
      <c r="CR69" s="78"/>
      <c r="CS69" s="78"/>
    </row>
    <row r="70" spans="2:98" ht="21" hidden="1" thickBot="1" x14ac:dyDescent="0.25">
      <c r="B70" s="187"/>
      <c r="C70" s="187"/>
      <c r="D70" s="63"/>
      <c r="G70" s="998"/>
      <c r="O70" s="995"/>
      <c r="T70" s="126"/>
      <c r="U70" s="126"/>
      <c r="V70" s="126"/>
      <c r="W70" s="126"/>
      <c r="X70" s="126"/>
      <c r="Y70" s="126"/>
      <c r="Z70" s="126"/>
      <c r="AA70" s="126"/>
      <c r="AB70" s="126"/>
      <c r="AC70" s="126"/>
      <c r="AD70" s="126"/>
      <c r="AE70" s="126"/>
      <c r="AF70" s="126"/>
      <c r="AG70" s="126"/>
      <c r="AH70" s="126"/>
      <c r="AI70" s="126"/>
      <c r="AJ70" s="126"/>
      <c r="AK70" s="126"/>
      <c r="AL70" s="126"/>
      <c r="AM70" s="126"/>
      <c r="AN70" s="126"/>
      <c r="AO70" s="126"/>
      <c r="AQ70" s="143"/>
      <c r="AR70" s="144"/>
      <c r="AS70" s="144"/>
      <c r="AT70" s="136"/>
      <c r="AU70" s="136"/>
      <c r="AV70" s="136"/>
      <c r="AW70" s="136"/>
      <c r="BB70" s="182"/>
      <c r="BC70" s="86"/>
      <c r="BD70" s="1091"/>
      <c r="BE70" s="177"/>
      <c r="BF70" s="177"/>
      <c r="BG70" s="178"/>
      <c r="BH70" s="177"/>
      <c r="BI70" s="177"/>
      <c r="BJ70" s="177"/>
      <c r="BP70" s="182">
        <v>9</v>
      </c>
      <c r="BQ70" s="117" t="b">
        <f>IF(BY81=20,1)</f>
        <v>0</v>
      </c>
      <c r="BR70" s="185"/>
      <c r="BS70" s="185"/>
      <c r="BT70" s="118"/>
      <c r="BU70" s="185"/>
      <c r="BV70" s="185"/>
      <c r="BW70" s="185"/>
      <c r="BX70" s="185"/>
      <c r="BY70" s="185"/>
      <c r="BZ70" s="185"/>
      <c r="CA70" s="185"/>
      <c r="CB70" s="185"/>
      <c r="CC70" s="185"/>
      <c r="CD70" s="118"/>
      <c r="CE70" s="118"/>
      <c r="CF70" s="111"/>
      <c r="CG70" s="103" t="b">
        <f>IF(BY81=20,17)</f>
        <v>0</v>
      </c>
      <c r="CH70" s="78"/>
      <c r="CI70" s="78"/>
      <c r="CJ70" s="78"/>
      <c r="CK70" s="78"/>
      <c r="CL70" s="78"/>
      <c r="CM70" s="78"/>
      <c r="CN70" s="78"/>
      <c r="CO70" s="78"/>
      <c r="CP70" s="78"/>
      <c r="CQ70" s="78"/>
      <c r="CR70" s="78"/>
      <c r="CS70" s="78"/>
    </row>
    <row r="71" spans="2:98" ht="21" hidden="1" thickBot="1" x14ac:dyDescent="0.25">
      <c r="B71" s="187"/>
      <c r="C71" s="187"/>
      <c r="D71" s="63"/>
      <c r="G71" s="998"/>
      <c r="O71" s="995"/>
      <c r="T71" s="126"/>
      <c r="U71" s="126"/>
      <c r="V71" s="126"/>
      <c r="W71" s="126"/>
      <c r="X71" s="126"/>
      <c r="Y71" s="126"/>
      <c r="Z71" s="126"/>
      <c r="AA71" s="126"/>
      <c r="AB71" s="126"/>
      <c r="AC71" s="126"/>
      <c r="AD71" s="126"/>
      <c r="AE71" s="126"/>
      <c r="AF71" s="126"/>
      <c r="AG71" s="126"/>
      <c r="AH71" s="126"/>
      <c r="AI71" s="126"/>
      <c r="AJ71" s="126"/>
      <c r="AK71" s="126"/>
      <c r="AL71" s="126"/>
      <c r="AM71" s="126"/>
      <c r="AN71" s="126"/>
      <c r="AO71" s="126"/>
      <c r="AQ71" s="143"/>
      <c r="AR71" s="144"/>
      <c r="AS71" s="144"/>
      <c r="AT71" s="136"/>
      <c r="AU71" s="136"/>
      <c r="AV71" s="136"/>
      <c r="AW71" s="136"/>
      <c r="BB71" s="182"/>
      <c r="BC71" s="86"/>
      <c r="BD71" s="1091"/>
      <c r="BE71" s="177"/>
      <c r="BF71" s="177"/>
      <c r="BG71" s="178"/>
      <c r="BH71" s="177"/>
      <c r="BI71" s="177"/>
      <c r="BJ71" s="177"/>
      <c r="BP71" s="182">
        <v>8</v>
      </c>
      <c r="BQ71" s="120" t="b">
        <f>IF(BX81=19,1)</f>
        <v>0</v>
      </c>
      <c r="BR71" s="122"/>
      <c r="BS71" s="186"/>
      <c r="BT71" s="186"/>
      <c r="BU71" s="186"/>
      <c r="BV71" s="186"/>
      <c r="BW71" s="186"/>
      <c r="BX71" s="186"/>
      <c r="BY71" s="186"/>
      <c r="BZ71" s="186"/>
      <c r="CA71" s="186"/>
      <c r="CB71" s="186"/>
      <c r="CC71" s="186"/>
      <c r="CD71" s="122"/>
      <c r="CE71" s="124" t="b">
        <f>IF(BX81=19,15)</f>
        <v>0</v>
      </c>
      <c r="CF71" s="78"/>
      <c r="CG71" s="78"/>
      <c r="CH71" s="78"/>
      <c r="CI71" s="78"/>
      <c r="CJ71" s="78"/>
      <c r="CK71" s="78"/>
      <c r="CL71" s="78"/>
      <c r="CM71" s="78"/>
      <c r="CN71" s="78"/>
      <c r="CO71" s="78"/>
      <c r="CP71" s="78"/>
      <c r="CQ71" s="78"/>
      <c r="CR71" s="78"/>
      <c r="CS71" s="78"/>
    </row>
    <row r="72" spans="2:98" ht="21" hidden="1" thickBot="1" x14ac:dyDescent="0.25">
      <c r="G72" s="998"/>
      <c r="O72" s="995"/>
      <c r="T72" s="126"/>
      <c r="U72" s="126"/>
      <c r="V72" s="126"/>
      <c r="W72" s="126"/>
      <c r="X72" s="126"/>
      <c r="Y72" s="126"/>
      <c r="Z72" s="126"/>
      <c r="AA72" s="126"/>
      <c r="AB72" s="126"/>
      <c r="AC72" s="126"/>
      <c r="AD72" s="126"/>
      <c r="AE72" s="126"/>
      <c r="AF72" s="126"/>
      <c r="AG72" s="126"/>
      <c r="AH72" s="126"/>
      <c r="AI72" s="126"/>
      <c r="AJ72" s="126"/>
      <c r="AK72" s="126"/>
      <c r="AL72" s="126"/>
      <c r="AM72" s="126"/>
      <c r="AN72" s="126"/>
      <c r="AO72" s="126"/>
      <c r="AQ72" s="143"/>
      <c r="AR72" s="144"/>
      <c r="AS72" s="144"/>
      <c r="AT72" s="136"/>
      <c r="AU72" s="136"/>
      <c r="AV72" s="136"/>
      <c r="AW72" s="136"/>
      <c r="BB72" s="182"/>
      <c r="BC72" s="86"/>
      <c r="BD72" s="1091"/>
      <c r="BE72" s="177"/>
      <c r="BF72" s="177"/>
      <c r="BG72" s="178"/>
      <c r="BH72" s="177"/>
      <c r="BI72" s="177"/>
      <c r="BJ72" s="177"/>
      <c r="BP72" s="182">
        <v>7</v>
      </c>
      <c r="BQ72" s="120" t="b">
        <f>IF(BW81=18,1)</f>
        <v>0</v>
      </c>
      <c r="BR72" s="186"/>
      <c r="BS72" s="186"/>
      <c r="BT72" s="186"/>
      <c r="BU72" s="186"/>
      <c r="BV72" s="186"/>
      <c r="BW72" s="186"/>
      <c r="BX72" s="186"/>
      <c r="BY72" s="186"/>
      <c r="BZ72" s="186"/>
      <c r="CA72" s="186"/>
      <c r="CB72" s="186"/>
      <c r="CC72" s="124" t="b">
        <f>IF(BW81=18,13)</f>
        <v>0</v>
      </c>
      <c r="CD72" s="178"/>
      <c r="CF72" s="78"/>
      <c r="CG72" s="78"/>
      <c r="CH72" s="78"/>
      <c r="CI72" s="78"/>
      <c r="CJ72" s="78"/>
      <c r="CK72" s="78"/>
      <c r="CL72" s="78"/>
      <c r="CM72" s="78"/>
      <c r="CN72" s="78"/>
      <c r="CO72" s="78"/>
      <c r="CP72" s="78"/>
      <c r="CQ72" s="78"/>
      <c r="CR72" s="78"/>
      <c r="CS72" s="78"/>
    </row>
    <row r="73" spans="2:98" ht="21" hidden="1" thickBot="1" x14ac:dyDescent="0.25">
      <c r="G73" s="998"/>
      <c r="O73" s="995"/>
      <c r="T73" s="126"/>
      <c r="U73" s="126"/>
      <c r="V73" s="126"/>
      <c r="W73" s="126"/>
      <c r="X73" s="126"/>
      <c r="Y73" s="126"/>
      <c r="Z73" s="126"/>
      <c r="AA73" s="126"/>
      <c r="AB73" s="126"/>
      <c r="AC73" s="126"/>
      <c r="AD73" s="126"/>
      <c r="AE73" s="126"/>
      <c r="AF73" s="126"/>
      <c r="AG73" s="126"/>
      <c r="AH73" s="126"/>
      <c r="AI73" s="126"/>
      <c r="AJ73" s="126"/>
      <c r="AK73" s="126"/>
      <c r="AL73" s="126"/>
      <c r="AM73" s="126"/>
      <c r="AN73" s="126"/>
      <c r="AO73" s="126"/>
      <c r="AQ73" s="143"/>
      <c r="AR73" s="144"/>
      <c r="AS73" s="144"/>
      <c r="AT73" s="136"/>
      <c r="AU73" s="136"/>
      <c r="AV73" s="136"/>
      <c r="AW73" s="136"/>
      <c r="BB73" s="182"/>
      <c r="BC73" s="86"/>
      <c r="BD73" s="1091"/>
      <c r="BE73" s="177"/>
      <c r="BF73" s="177"/>
      <c r="BG73" s="178"/>
      <c r="BH73" s="177"/>
      <c r="BI73" s="177"/>
      <c r="BJ73" s="177"/>
      <c r="BP73" s="182">
        <v>6</v>
      </c>
      <c r="BQ73" s="120" t="b">
        <f>IF(BV81=17,1)</f>
        <v>0</v>
      </c>
      <c r="BR73" s="186"/>
      <c r="BS73" s="186"/>
      <c r="BT73" s="186"/>
      <c r="BU73" s="186"/>
      <c r="BV73" s="186"/>
      <c r="BW73" s="186"/>
      <c r="BX73" s="186"/>
      <c r="BY73" s="186"/>
      <c r="BZ73" s="186"/>
      <c r="CA73" s="124" t="b">
        <f>IF(BV81=17,11)</f>
        <v>0</v>
      </c>
      <c r="CB73" s="177"/>
      <c r="CC73" s="177"/>
      <c r="CD73" s="178"/>
      <c r="CF73" s="78"/>
      <c r="CG73" s="78"/>
      <c r="CH73" s="78"/>
      <c r="CI73" s="78"/>
      <c r="CJ73" s="78"/>
      <c r="CK73" s="78"/>
      <c r="CL73" s="78"/>
      <c r="CM73" s="78"/>
      <c r="CN73" s="78"/>
      <c r="CO73" s="78"/>
      <c r="CP73" s="78"/>
      <c r="CQ73" s="78"/>
      <c r="CR73" s="78"/>
      <c r="CS73" s="78"/>
    </row>
    <row r="74" spans="2:98" ht="21" hidden="1" thickBot="1" x14ac:dyDescent="0.25">
      <c r="G74" s="998"/>
      <c r="O74" s="995"/>
      <c r="T74" s="126"/>
      <c r="U74" s="126"/>
      <c r="V74" s="126"/>
      <c r="W74" s="126"/>
      <c r="X74" s="126"/>
      <c r="Y74" s="126"/>
      <c r="Z74" s="126"/>
      <c r="AA74" s="126"/>
      <c r="AB74" s="126"/>
      <c r="AC74" s="126"/>
      <c r="AD74" s="126"/>
      <c r="AE74" s="126"/>
      <c r="AF74" s="126"/>
      <c r="AG74" s="126"/>
      <c r="AH74" s="126"/>
      <c r="AI74" s="126"/>
      <c r="AJ74" s="126"/>
      <c r="AK74" s="126"/>
      <c r="AL74" s="126"/>
      <c r="AM74" s="126"/>
      <c r="AN74" s="126"/>
      <c r="AO74" s="126"/>
      <c r="AQ74" s="143"/>
      <c r="AR74" s="144"/>
      <c r="AS74" s="144"/>
      <c r="AT74" s="136"/>
      <c r="AU74" s="136"/>
      <c r="AV74" s="136"/>
      <c r="AW74" s="136"/>
      <c r="BB74" s="182"/>
      <c r="BC74" s="86"/>
      <c r="BD74" s="1091"/>
      <c r="BE74" s="177"/>
      <c r="BF74" s="177"/>
      <c r="BG74" s="178"/>
      <c r="BH74" s="177"/>
      <c r="BI74" s="177"/>
      <c r="BJ74" s="177"/>
      <c r="BP74" s="182">
        <v>5</v>
      </c>
      <c r="BQ74" s="117">
        <f>IF(BU81=16,1)</f>
        <v>1</v>
      </c>
      <c r="BR74" s="185"/>
      <c r="BS74" s="185"/>
      <c r="BT74" s="118"/>
      <c r="BU74" s="185"/>
      <c r="BV74" s="118"/>
      <c r="BW74" s="185"/>
      <c r="BX74" s="185"/>
      <c r="BY74" s="103">
        <f>IF(BU81=16,9)</f>
        <v>9</v>
      </c>
      <c r="BZ74" s="177"/>
      <c r="CA74" s="177"/>
      <c r="CB74" s="177"/>
      <c r="CC74" s="177"/>
      <c r="CD74" s="178"/>
      <c r="CF74" s="78"/>
      <c r="CG74" s="78"/>
      <c r="CH74" s="78"/>
      <c r="CI74" s="78"/>
      <c r="CJ74" s="78"/>
      <c r="CK74" s="78"/>
      <c r="CL74" s="78"/>
      <c r="CM74" s="78"/>
      <c r="CN74" s="78"/>
      <c r="CO74" s="78"/>
      <c r="CP74" s="78"/>
      <c r="CQ74" s="78"/>
      <c r="CR74" s="78"/>
      <c r="CS74" s="78"/>
    </row>
    <row r="75" spans="2:98" ht="21" hidden="1" thickBot="1" x14ac:dyDescent="0.25">
      <c r="B75" s="187"/>
      <c r="C75" s="187"/>
      <c r="D75" s="63"/>
      <c r="G75" s="998"/>
      <c r="O75" s="995"/>
      <c r="T75" s="126"/>
      <c r="U75" s="126"/>
      <c r="V75" s="126"/>
      <c r="W75" s="126"/>
      <c r="X75" s="126"/>
      <c r="Y75" s="126"/>
      <c r="Z75" s="126"/>
      <c r="AA75" s="126"/>
      <c r="AB75" s="126"/>
      <c r="AC75" s="126"/>
      <c r="AD75" s="126"/>
      <c r="AE75" s="126"/>
      <c r="AF75" s="126"/>
      <c r="AG75" s="126"/>
      <c r="AH75" s="126"/>
      <c r="AI75" s="126"/>
      <c r="AJ75" s="126"/>
      <c r="AK75" s="126"/>
      <c r="AL75" s="126"/>
      <c r="AM75" s="126"/>
      <c r="AN75" s="126"/>
      <c r="AO75" s="126"/>
      <c r="AQ75" s="143"/>
      <c r="AR75" s="144"/>
      <c r="AS75" s="144"/>
      <c r="AT75" s="136"/>
      <c r="AU75" s="136"/>
      <c r="AV75" s="136"/>
      <c r="AW75" s="136"/>
      <c r="BB75" s="182"/>
      <c r="BC75" s="86"/>
      <c r="BD75" s="1091"/>
      <c r="BE75" s="177"/>
      <c r="BF75" s="177"/>
      <c r="BG75" s="178"/>
      <c r="BH75" s="177"/>
      <c r="BI75" s="177"/>
      <c r="BJ75" s="177"/>
      <c r="BP75" s="182">
        <v>4</v>
      </c>
      <c r="BQ75" s="117" t="b">
        <f>IF(BT81=15,1)</f>
        <v>0</v>
      </c>
      <c r="BR75" s="118"/>
      <c r="BS75" s="118"/>
      <c r="BT75" s="185"/>
      <c r="BU75" s="118"/>
      <c r="BV75" s="118"/>
      <c r="BW75" s="103" t="b">
        <f>IF(BT81=15,7)</f>
        <v>0</v>
      </c>
      <c r="BX75" s="177"/>
      <c r="BY75" s="177"/>
      <c r="BZ75" s="177"/>
      <c r="CA75" s="177"/>
      <c r="CB75" s="177"/>
      <c r="CC75" s="177"/>
      <c r="CD75" s="178"/>
      <c r="CF75" s="78"/>
      <c r="CG75" s="78"/>
      <c r="CH75" s="78"/>
      <c r="CI75" s="78"/>
      <c r="CJ75" s="78"/>
      <c r="CK75" s="78"/>
      <c r="CL75" s="78"/>
      <c r="CM75" s="78"/>
      <c r="CN75" s="78"/>
      <c r="CO75" s="78"/>
      <c r="CP75" s="78"/>
      <c r="CQ75" s="78"/>
      <c r="CR75" s="78"/>
      <c r="CS75" s="78"/>
    </row>
    <row r="76" spans="2:98" ht="21" hidden="1" thickBot="1" x14ac:dyDescent="0.25">
      <c r="B76" s="187"/>
      <c r="G76" s="998"/>
      <c r="O76" s="995"/>
      <c r="T76" s="126"/>
      <c r="U76" s="126"/>
      <c r="V76" s="126"/>
      <c r="W76" s="126"/>
      <c r="X76" s="126"/>
      <c r="Y76" s="126"/>
      <c r="Z76" s="126"/>
      <c r="AA76" s="126"/>
      <c r="AB76" s="126"/>
      <c r="AC76" s="126"/>
      <c r="AD76" s="126"/>
      <c r="AE76" s="126"/>
      <c r="AF76" s="126"/>
      <c r="AG76" s="126"/>
      <c r="AH76" s="126"/>
      <c r="AI76" s="126"/>
      <c r="AJ76" s="126"/>
      <c r="AK76" s="126"/>
      <c r="AL76" s="126"/>
      <c r="AM76" s="126"/>
      <c r="AN76" s="126"/>
      <c r="AO76" s="126"/>
      <c r="AQ76" s="143"/>
      <c r="AR76" s="144"/>
      <c r="AS76" s="144"/>
      <c r="AT76" s="136"/>
      <c r="AU76" s="136"/>
      <c r="AV76" s="136"/>
      <c r="AW76" s="136"/>
      <c r="BB76" s="182"/>
      <c r="BC76" s="86"/>
      <c r="BD76" s="1091"/>
      <c r="BE76" s="177"/>
      <c r="BF76" s="177"/>
      <c r="BG76" s="178"/>
      <c r="BH76" s="177"/>
      <c r="BI76" s="177"/>
      <c r="BJ76" s="177"/>
      <c r="BP76" s="182">
        <v>3</v>
      </c>
      <c r="BQ76" s="120" t="b">
        <f>IF(BS81=14,1)</f>
        <v>0</v>
      </c>
      <c r="BR76" s="186"/>
      <c r="BS76" s="186"/>
      <c r="BT76" s="186"/>
      <c r="BU76" s="124" t="b">
        <f>IF(BS81=14,5)</f>
        <v>0</v>
      </c>
      <c r="BV76" s="177"/>
      <c r="BW76" s="177"/>
      <c r="BX76" s="177"/>
      <c r="BY76" s="177"/>
      <c r="BZ76" s="177"/>
      <c r="CA76" s="177"/>
      <c r="CB76" s="177"/>
      <c r="CC76" s="177"/>
      <c r="CD76" s="178"/>
      <c r="CF76" s="78"/>
      <c r="CG76" s="78"/>
      <c r="CH76" s="78"/>
      <c r="CI76" s="78"/>
      <c r="CJ76" s="78"/>
      <c r="CK76" s="78"/>
      <c r="CL76" s="78"/>
      <c r="CM76" s="78"/>
      <c r="CN76" s="78"/>
      <c r="CO76" s="78"/>
      <c r="CP76" s="78"/>
      <c r="CQ76" s="78"/>
      <c r="CR76" s="78"/>
      <c r="CS76" s="78"/>
    </row>
    <row r="77" spans="2:98" ht="21" hidden="1" thickBot="1" x14ac:dyDescent="0.25">
      <c r="G77" s="998"/>
      <c r="O77" s="995"/>
      <c r="T77" s="126"/>
      <c r="U77" s="126"/>
      <c r="V77" s="126"/>
      <c r="W77" s="126"/>
      <c r="X77" s="126"/>
      <c r="Y77" s="126"/>
      <c r="Z77" s="126"/>
      <c r="AA77" s="126"/>
      <c r="AB77" s="126"/>
      <c r="AC77" s="126"/>
      <c r="AD77" s="126"/>
      <c r="AE77" s="126"/>
      <c r="AF77" s="126"/>
      <c r="AG77" s="126"/>
      <c r="AH77" s="126"/>
      <c r="AI77" s="126"/>
      <c r="AJ77" s="126"/>
      <c r="AK77" s="126"/>
      <c r="AL77" s="126"/>
      <c r="AM77" s="126"/>
      <c r="AN77" s="126"/>
      <c r="AO77" s="126"/>
      <c r="AQ77" s="143"/>
      <c r="AR77" s="144"/>
      <c r="AS77" s="144"/>
      <c r="AT77" s="136"/>
      <c r="AU77" s="136"/>
      <c r="AV77" s="136"/>
      <c r="AW77" s="136"/>
      <c r="BB77" s="182"/>
      <c r="BC77" s="86"/>
      <c r="BD77" s="1091"/>
      <c r="BE77" s="177"/>
      <c r="BF77" s="177"/>
      <c r="BG77" s="178"/>
      <c r="BH77" s="177"/>
      <c r="BI77" s="177"/>
      <c r="BJ77" s="177"/>
      <c r="BP77" s="182">
        <v>2</v>
      </c>
      <c r="BQ77" s="120" t="b">
        <f>IF(BR81=13,1)</f>
        <v>0</v>
      </c>
      <c r="BR77" s="186"/>
      <c r="BS77" s="124" t="b">
        <f>IF(BR81=13,3)</f>
        <v>0</v>
      </c>
      <c r="BT77" s="177"/>
      <c r="BU77" s="177"/>
      <c r="BV77" s="177"/>
      <c r="BW77" s="177"/>
      <c r="BX77" s="177"/>
      <c r="BY77" s="177"/>
      <c r="BZ77" s="177"/>
      <c r="CA77" s="177"/>
      <c r="CB77" s="177"/>
      <c r="CC77" s="177"/>
      <c r="CD77" s="178"/>
      <c r="CF77" s="78"/>
      <c r="CG77" s="78"/>
      <c r="CH77" s="78"/>
      <c r="CI77" s="78"/>
      <c r="CJ77" s="78"/>
      <c r="CK77" s="78"/>
      <c r="CL77" s="78"/>
      <c r="CM77" s="78"/>
      <c r="CN77" s="78"/>
      <c r="CO77" s="78"/>
      <c r="CP77" s="78"/>
      <c r="CQ77" s="78"/>
      <c r="CR77" s="78"/>
      <c r="CS77" s="78"/>
    </row>
    <row r="78" spans="2:98" ht="21" thickBot="1" x14ac:dyDescent="0.25">
      <c r="G78" s="998"/>
      <c r="O78" s="995"/>
      <c r="T78" s="126"/>
      <c r="U78" s="126"/>
      <c r="V78" s="126"/>
      <c r="W78" s="126"/>
      <c r="X78" s="126"/>
      <c r="Y78" s="126"/>
      <c r="Z78" s="126"/>
      <c r="AA78" s="126"/>
      <c r="AB78" s="126"/>
      <c r="AC78" s="126"/>
      <c r="AD78" s="126"/>
      <c r="AE78" s="126"/>
      <c r="AF78" s="126"/>
      <c r="AG78" s="126"/>
      <c r="AH78" s="126"/>
      <c r="AI78" s="126"/>
      <c r="AJ78" s="126"/>
      <c r="AK78" s="126"/>
      <c r="AL78" s="126"/>
      <c r="AM78" s="126"/>
      <c r="AN78" s="126"/>
      <c r="AO78" s="126"/>
      <c r="AQ78" s="143"/>
      <c r="AR78" s="144"/>
      <c r="AS78" s="144"/>
      <c r="AT78" s="136"/>
      <c r="AU78" s="136"/>
      <c r="AV78" s="136"/>
      <c r="AW78" s="136"/>
      <c r="BB78" s="182"/>
      <c r="BC78" s="86"/>
      <c r="BD78" s="1091"/>
      <c r="BE78" s="177"/>
      <c r="BF78" s="177"/>
      <c r="BG78" s="178"/>
      <c r="BH78" s="177"/>
      <c r="BI78" s="177"/>
      <c r="BJ78" s="177"/>
      <c r="BK78" s="76"/>
      <c r="BL78" s="177"/>
      <c r="BP78" s="177"/>
      <c r="BQ78" s="177"/>
      <c r="BR78" s="177"/>
      <c r="BS78" s="177"/>
      <c r="BT78" s="177"/>
      <c r="BU78" s="177"/>
      <c r="BV78" s="177"/>
      <c r="BW78" s="177"/>
      <c r="BX78" s="177"/>
      <c r="BY78" s="177"/>
      <c r="BZ78" s="177"/>
      <c r="CA78" s="178"/>
      <c r="CB78" s="107"/>
      <c r="CC78" s="107"/>
      <c r="CD78" s="107"/>
      <c r="CF78" s="78"/>
      <c r="CG78" s="78"/>
      <c r="CH78" s="78"/>
      <c r="CI78" s="78"/>
      <c r="CJ78" s="78"/>
      <c r="CK78" s="78"/>
      <c r="CL78" s="78"/>
      <c r="CM78" s="78"/>
      <c r="CN78" s="78"/>
      <c r="CO78" s="78"/>
      <c r="CP78" s="78"/>
      <c r="CQ78" s="78"/>
      <c r="CR78" s="78"/>
      <c r="CS78" s="78"/>
    </row>
    <row r="79" spans="2:98" ht="44" thickBot="1" x14ac:dyDescent="0.3">
      <c r="G79" s="1008"/>
      <c r="O79" s="995"/>
      <c r="T79" s="126"/>
      <c r="U79" s="126"/>
      <c r="V79" s="126"/>
      <c r="W79" s="126"/>
      <c r="X79" s="126"/>
      <c r="Y79" s="126"/>
      <c r="Z79" s="126"/>
      <c r="AA79" s="126"/>
      <c r="AB79" s="126"/>
      <c r="AC79" s="126"/>
      <c r="AD79" s="126"/>
      <c r="AE79" s="126"/>
      <c r="AF79" s="126"/>
      <c r="AG79" s="126"/>
      <c r="AH79" s="126"/>
      <c r="AI79" s="126"/>
      <c r="AJ79" s="126"/>
      <c r="AK79" s="126"/>
      <c r="AL79" s="126"/>
      <c r="AM79" s="126"/>
      <c r="AN79" s="126"/>
      <c r="AO79" s="126"/>
      <c r="AQ79" s="143"/>
      <c r="AS79" s="144"/>
      <c r="AT79" s="136"/>
      <c r="AU79" s="136"/>
      <c r="AV79" s="136"/>
      <c r="AW79" s="136"/>
      <c r="AX79" s="136"/>
      <c r="AZ79" s="136"/>
      <c r="BA79" s="136"/>
      <c r="BB79" s="1027"/>
      <c r="BC79" s="188"/>
      <c r="BD79" s="1095" t="s">
        <v>186</v>
      </c>
      <c r="BE79" s="746" t="s">
        <v>125</v>
      </c>
      <c r="BF79" s="190"/>
      <c r="BG79" s="191"/>
      <c r="BH79" s="191"/>
      <c r="BI79" s="191"/>
      <c r="BJ79" s="191"/>
      <c r="BK79" s="191"/>
      <c r="BL79" s="191"/>
      <c r="BM79" s="191"/>
      <c r="BN79" s="191"/>
      <c r="BO79" s="191"/>
      <c r="BP79" s="191"/>
      <c r="BQ79" s="758">
        <f>SUM(BQ63:BQ78)</f>
        <v>1</v>
      </c>
      <c r="BR79" s="759">
        <f t="shared" ref="BR79:CG79" si="0">SUM(BR63:BR78)</f>
        <v>0</v>
      </c>
      <c r="BS79" s="759">
        <f t="shared" si="0"/>
        <v>0</v>
      </c>
      <c r="BT79" s="759">
        <f t="shared" si="0"/>
        <v>0</v>
      </c>
      <c r="BU79" s="759">
        <f t="shared" si="0"/>
        <v>0</v>
      </c>
      <c r="BV79" s="759">
        <f t="shared" si="0"/>
        <v>0</v>
      </c>
      <c r="BW79" s="759">
        <f t="shared" si="0"/>
        <v>0</v>
      </c>
      <c r="BX79" s="759">
        <f t="shared" si="0"/>
        <v>0</v>
      </c>
      <c r="BY79" s="759">
        <f t="shared" si="0"/>
        <v>9</v>
      </c>
      <c r="BZ79" s="759">
        <f t="shared" si="0"/>
        <v>0</v>
      </c>
      <c r="CA79" s="759">
        <f t="shared" si="0"/>
        <v>0</v>
      </c>
      <c r="CB79" s="759">
        <f t="shared" si="0"/>
        <v>0</v>
      </c>
      <c r="CC79" s="759">
        <f t="shared" si="0"/>
        <v>0</v>
      </c>
      <c r="CD79" s="759">
        <f t="shared" si="0"/>
        <v>0</v>
      </c>
      <c r="CE79" s="759">
        <f t="shared" si="0"/>
        <v>0</v>
      </c>
      <c r="CF79" s="759">
        <f t="shared" si="0"/>
        <v>0</v>
      </c>
      <c r="CG79" s="760">
        <f t="shared" si="0"/>
        <v>0</v>
      </c>
      <c r="CH79" s="191"/>
      <c r="CI79" s="191"/>
      <c r="CJ79" s="192"/>
      <c r="CK79" s="192"/>
      <c r="CL79" s="192"/>
      <c r="CM79" s="192"/>
      <c r="CN79" s="192"/>
      <c r="CO79" s="192"/>
      <c r="CP79" s="193"/>
      <c r="CQ79" s="89"/>
      <c r="CR79" s="78"/>
      <c r="CS79" s="78"/>
    </row>
    <row r="80" spans="2:98" ht="42.75" customHeight="1" thickBot="1" x14ac:dyDescent="0.3">
      <c r="G80" s="998"/>
      <c r="O80" s="995"/>
      <c r="T80" s="126"/>
      <c r="U80" s="126"/>
      <c r="V80" s="126"/>
      <c r="W80" s="126"/>
      <c r="X80" s="126"/>
      <c r="Y80" s="126"/>
      <c r="Z80" s="126"/>
      <c r="AA80" s="126"/>
      <c r="AB80" s="126"/>
      <c r="AC80" s="126"/>
      <c r="AD80" s="126"/>
      <c r="AE80" s="126"/>
      <c r="AF80" s="126"/>
      <c r="AG80" s="126"/>
      <c r="AH80" s="126"/>
      <c r="AI80" s="126"/>
      <c r="AJ80" s="126"/>
      <c r="AK80" s="126"/>
      <c r="AL80" s="126"/>
      <c r="AM80" s="126"/>
      <c r="AN80" s="126"/>
      <c r="AO80" s="126"/>
      <c r="AQ80" s="143"/>
      <c r="AR80" s="144"/>
      <c r="AS80" s="144"/>
      <c r="AT80" s="136"/>
      <c r="AU80" s="136"/>
      <c r="AV80" s="136"/>
      <c r="AW80" s="136"/>
      <c r="AX80" s="136"/>
      <c r="AY80" s="136"/>
      <c r="AZ80" s="136"/>
      <c r="BA80" s="968">
        <v>4</v>
      </c>
      <c r="BB80" s="182" t="b">
        <f>AND(BD80&gt;=10,$AN$138&gt;=10,$AO$138&gt;=10)</f>
        <v>1</v>
      </c>
      <c r="BC80" s="84" t="str">
        <f>IF(BB80=TRUE,"O K","OVERLOAD")</f>
        <v>O K</v>
      </c>
      <c r="BD80" s="982">
        <f>+$E$8/(BF49/2)</f>
        <v>169.31216931216932</v>
      </c>
      <c r="BE80" s="194"/>
      <c r="BF80" s="107"/>
      <c r="BG80" s="108"/>
      <c r="BH80" s="107"/>
      <c r="BI80" s="107"/>
      <c r="BJ80" s="107"/>
      <c r="BK80" s="108"/>
      <c r="BL80" s="107"/>
      <c r="BM80" s="107"/>
      <c r="BN80" s="107"/>
      <c r="BO80" s="107"/>
      <c r="BP80" s="107"/>
      <c r="BQ80" s="107"/>
      <c r="BR80" s="107"/>
      <c r="BS80" s="107"/>
      <c r="BT80" s="107"/>
      <c r="BU80" s="107"/>
      <c r="BV80" s="107"/>
      <c r="BW80" s="107"/>
      <c r="BX80" s="107"/>
      <c r="BY80" s="107"/>
      <c r="BZ80" s="107"/>
      <c r="CA80" s="107"/>
      <c r="CB80" s="107"/>
      <c r="CC80" s="107"/>
      <c r="CD80" s="107"/>
      <c r="CE80" s="107"/>
      <c r="CF80" s="107"/>
      <c r="CG80" s="107"/>
      <c r="CH80" s="78"/>
      <c r="CI80" s="78"/>
      <c r="CJ80" s="78"/>
      <c r="CK80" s="78"/>
      <c r="CL80" s="78"/>
      <c r="CM80" s="78"/>
      <c r="CN80" s="78"/>
      <c r="CO80" s="78"/>
      <c r="CP80" s="78"/>
      <c r="CQ80" s="78"/>
      <c r="CR80" s="78"/>
      <c r="CS80" s="78"/>
    </row>
    <row r="81" spans="7:97" ht="20" hidden="1" x14ac:dyDescent="0.2">
      <c r="G81" s="998"/>
      <c r="O81" s="995"/>
      <c r="T81" s="126"/>
      <c r="U81" s="126"/>
      <c r="V81" s="126"/>
      <c r="W81" s="126"/>
      <c r="X81" s="126"/>
      <c r="Y81" s="126"/>
      <c r="Z81" s="126"/>
      <c r="AA81" s="126"/>
      <c r="AB81" s="126"/>
      <c r="AC81" s="126"/>
      <c r="AD81" s="126"/>
      <c r="AE81" s="126"/>
      <c r="AF81" s="126"/>
      <c r="AG81" s="126"/>
      <c r="AH81" s="126"/>
      <c r="AI81" s="126"/>
      <c r="AJ81" s="126"/>
      <c r="AK81" s="126"/>
      <c r="AL81" s="126"/>
      <c r="AM81" s="126"/>
      <c r="AN81" s="126"/>
      <c r="AO81" s="126"/>
      <c r="AQ81" s="143"/>
      <c r="AR81" s="144"/>
      <c r="AS81" s="144"/>
      <c r="AT81" s="136"/>
      <c r="AU81" s="136"/>
      <c r="AV81" s="136"/>
      <c r="AW81" s="136"/>
      <c r="AX81" s="136"/>
      <c r="AY81" s="136"/>
      <c r="AZ81" s="136"/>
      <c r="BA81" s="136"/>
      <c r="BB81" s="1027"/>
      <c r="BC81" s="188"/>
      <c r="BD81" s="1091"/>
      <c r="BE81" s="76"/>
      <c r="BF81" s="195" t="b">
        <f>+AZ162</f>
        <v>0</v>
      </c>
      <c r="BG81" s="195" t="b">
        <f>+AZ163</f>
        <v>0</v>
      </c>
      <c r="BH81" s="195" t="b">
        <f>+AZ164</f>
        <v>0</v>
      </c>
      <c r="BI81" s="195" t="b">
        <f>+AZ165</f>
        <v>0</v>
      </c>
      <c r="BJ81" s="195" t="b">
        <f>+AZ166</f>
        <v>0</v>
      </c>
      <c r="BK81" s="195" t="b">
        <f>+AZ167</f>
        <v>0</v>
      </c>
      <c r="BL81" s="195" t="b">
        <f>+AZ168</f>
        <v>0</v>
      </c>
      <c r="BM81" s="195" t="b">
        <f>+AZ169</f>
        <v>0</v>
      </c>
      <c r="BN81" s="195" t="b">
        <f>+AZ170</f>
        <v>0</v>
      </c>
      <c r="BO81" s="195" t="b">
        <f>+AZ171</f>
        <v>0</v>
      </c>
      <c r="BP81" s="195" t="b">
        <f>+AZ172</f>
        <v>0</v>
      </c>
      <c r="BQ81" s="195" t="b">
        <f>+AZ173</f>
        <v>0</v>
      </c>
      <c r="BR81" s="195" t="b">
        <f>+AZ174</f>
        <v>0</v>
      </c>
      <c r="BS81" s="195" t="b">
        <f>+AZ175</f>
        <v>0</v>
      </c>
      <c r="BT81" s="195" t="b">
        <f>+AZ176</f>
        <v>0</v>
      </c>
      <c r="BU81" s="195">
        <f>+AZ177</f>
        <v>16</v>
      </c>
      <c r="BV81" s="195" t="b">
        <f>+AZ178</f>
        <v>0</v>
      </c>
      <c r="BW81" s="195" t="b">
        <f>+AZ179</f>
        <v>0</v>
      </c>
      <c r="BX81" s="195" t="b">
        <f>+AZ180</f>
        <v>0</v>
      </c>
      <c r="BY81" s="195" t="b">
        <f>+AZ181</f>
        <v>0</v>
      </c>
      <c r="BZ81" s="195" t="b">
        <f>+AZ182</f>
        <v>0</v>
      </c>
      <c r="CA81" s="195" t="b">
        <f>+AZ183</f>
        <v>0</v>
      </c>
      <c r="CB81" s="195" t="b">
        <f>+AZ184</f>
        <v>0</v>
      </c>
      <c r="CC81" s="195" t="b">
        <f>+AZ185</f>
        <v>0</v>
      </c>
      <c r="CD81" s="195" t="b">
        <f>+AZ186</f>
        <v>0</v>
      </c>
      <c r="CE81" s="195" t="b">
        <f>+AZ187</f>
        <v>0</v>
      </c>
      <c r="CF81" s="195" t="b">
        <f>+AZ188</f>
        <v>0</v>
      </c>
      <c r="CG81" s="195" t="b">
        <f>+AZ189</f>
        <v>0</v>
      </c>
      <c r="CH81" s="195" t="b">
        <f>+AZ190</f>
        <v>0</v>
      </c>
      <c r="CI81" s="195" t="b">
        <f>+AZ191</f>
        <v>0</v>
      </c>
      <c r="CJ81" s="195" t="b">
        <f>+AZ192</f>
        <v>0</v>
      </c>
      <c r="CK81" s="195" t="b">
        <f>+AZ193</f>
        <v>0</v>
      </c>
      <c r="CL81" s="195" t="b">
        <f>+AZ194</f>
        <v>0</v>
      </c>
      <c r="CM81" s="195" t="b">
        <f>+AZ195</f>
        <v>0</v>
      </c>
      <c r="CN81" s="195" t="b">
        <f>+AZ196</f>
        <v>0</v>
      </c>
      <c r="CO81" s="195" t="b">
        <f>+AZ197</f>
        <v>0</v>
      </c>
      <c r="CP81" s="195" t="b">
        <f>+AZ198</f>
        <v>0</v>
      </c>
      <c r="CQ81" s="196"/>
      <c r="CR81" s="78"/>
      <c r="CS81" s="78"/>
    </row>
    <row r="82" spans="7:97" ht="21" hidden="1" thickBot="1" x14ac:dyDescent="0.25">
      <c r="G82" s="998"/>
      <c r="O82" s="995"/>
      <c r="T82" s="126"/>
      <c r="U82" s="126"/>
      <c r="V82" s="126"/>
      <c r="W82" s="126"/>
      <c r="X82" s="126"/>
      <c r="Y82" s="126"/>
      <c r="Z82" s="126"/>
      <c r="AA82" s="126"/>
      <c r="AB82" s="126"/>
      <c r="AC82" s="126"/>
      <c r="AD82" s="126"/>
      <c r="AE82" s="126"/>
      <c r="AF82" s="126"/>
      <c r="AG82" s="126"/>
      <c r="AH82" s="126"/>
      <c r="AI82" s="126"/>
      <c r="AJ82" s="126"/>
      <c r="AK82" s="126"/>
      <c r="AL82" s="126"/>
      <c r="AM82" s="126"/>
      <c r="AN82" s="126"/>
      <c r="AO82" s="126"/>
      <c r="AQ82" s="143"/>
      <c r="AR82" s="144"/>
      <c r="AS82" s="144"/>
      <c r="AT82" s="136"/>
      <c r="AU82" s="136"/>
      <c r="AV82" s="136"/>
      <c r="AW82" s="136"/>
      <c r="AX82" s="136"/>
      <c r="AY82" s="136"/>
      <c r="AZ82" s="136"/>
      <c r="BA82" s="136"/>
      <c r="BB82" s="1027"/>
      <c r="BC82" s="188"/>
      <c r="BD82" s="1091"/>
      <c r="BE82" s="78"/>
      <c r="BF82" s="196" t="b">
        <f>+BF81</f>
        <v>0</v>
      </c>
      <c r="BG82" s="196" t="b">
        <f t="shared" ref="BG82:BX82" si="1">+BG81</f>
        <v>0</v>
      </c>
      <c r="BH82" s="196" t="b">
        <f t="shared" si="1"/>
        <v>0</v>
      </c>
      <c r="BI82" s="196" t="b">
        <f t="shared" si="1"/>
        <v>0</v>
      </c>
      <c r="BJ82" s="196" t="b">
        <f t="shared" si="1"/>
        <v>0</v>
      </c>
      <c r="BK82" s="196" t="b">
        <f t="shared" si="1"/>
        <v>0</v>
      </c>
      <c r="BL82" s="196" t="b">
        <f>+BL81</f>
        <v>0</v>
      </c>
      <c r="BM82" s="196" t="b">
        <f t="shared" si="1"/>
        <v>0</v>
      </c>
      <c r="BN82" s="196" t="b">
        <f t="shared" si="1"/>
        <v>0</v>
      </c>
      <c r="BO82" s="196" t="b">
        <f t="shared" si="1"/>
        <v>0</v>
      </c>
      <c r="BP82" s="196" t="b">
        <f t="shared" si="1"/>
        <v>0</v>
      </c>
      <c r="BQ82" s="196" t="b">
        <f>+BQ81</f>
        <v>0</v>
      </c>
      <c r="BR82" s="196" t="b">
        <f>+BR81</f>
        <v>0</v>
      </c>
      <c r="BS82" s="196" t="b">
        <f>+BS81</f>
        <v>0</v>
      </c>
      <c r="BT82" s="196" t="b">
        <f>+BT81</f>
        <v>0</v>
      </c>
      <c r="BU82" s="196">
        <f>+BU81</f>
        <v>16</v>
      </c>
      <c r="BV82" s="196" t="b">
        <f t="shared" si="1"/>
        <v>0</v>
      </c>
      <c r="BW82" s="196" t="b">
        <f t="shared" si="1"/>
        <v>0</v>
      </c>
      <c r="BX82" s="196" t="b">
        <f t="shared" si="1"/>
        <v>0</v>
      </c>
      <c r="BY82" s="196" t="b">
        <f>+BY81</f>
        <v>0</v>
      </c>
      <c r="BZ82" s="196" t="b">
        <f>+BZ81</f>
        <v>0</v>
      </c>
      <c r="CA82" s="196" t="b">
        <f t="shared" ref="CA82:CP82" si="2">+CA81</f>
        <v>0</v>
      </c>
      <c r="CB82" s="196" t="b">
        <f t="shared" si="2"/>
        <v>0</v>
      </c>
      <c r="CC82" s="196" t="b">
        <f t="shared" si="2"/>
        <v>0</v>
      </c>
      <c r="CD82" s="196" t="b">
        <f t="shared" si="2"/>
        <v>0</v>
      </c>
      <c r="CE82" s="196" t="b">
        <f t="shared" si="2"/>
        <v>0</v>
      </c>
      <c r="CF82" s="196" t="b">
        <f t="shared" si="2"/>
        <v>0</v>
      </c>
      <c r="CG82" s="196" t="b">
        <f t="shared" si="2"/>
        <v>0</v>
      </c>
      <c r="CH82" s="196" t="b">
        <f t="shared" si="2"/>
        <v>0</v>
      </c>
      <c r="CI82" s="196" t="b">
        <f t="shared" si="2"/>
        <v>0</v>
      </c>
      <c r="CJ82" s="196" t="b">
        <f t="shared" si="2"/>
        <v>0</v>
      </c>
      <c r="CK82" s="196" t="b">
        <f t="shared" si="2"/>
        <v>0</v>
      </c>
      <c r="CL82" s="196" t="b">
        <f t="shared" si="2"/>
        <v>0</v>
      </c>
      <c r="CM82" s="196" t="b">
        <f t="shared" si="2"/>
        <v>0</v>
      </c>
      <c r="CN82" s="196" t="b">
        <f t="shared" si="2"/>
        <v>0</v>
      </c>
      <c r="CO82" s="196" t="b">
        <f t="shared" si="2"/>
        <v>0</v>
      </c>
      <c r="CP82" s="196" t="b">
        <f t="shared" si="2"/>
        <v>0</v>
      </c>
      <c r="CQ82" s="196"/>
      <c r="CR82" s="78"/>
      <c r="CS82" s="78"/>
    </row>
    <row r="83" spans="7:97" ht="21" customHeight="1" thickBot="1" x14ac:dyDescent="0.25">
      <c r="G83" s="998"/>
      <c r="K83" s="988">
        <v>5</v>
      </c>
      <c r="M83" s="988">
        <v>51</v>
      </c>
      <c r="O83" s="995"/>
      <c r="T83" s="126"/>
      <c r="U83" s="126"/>
      <c r="V83" s="126"/>
      <c r="W83" s="126"/>
      <c r="X83" s="126"/>
      <c r="Y83" s="126"/>
      <c r="Z83" s="126"/>
      <c r="AA83" s="126"/>
      <c r="AB83" s="126"/>
      <c r="AC83" s="126"/>
      <c r="AD83" s="126"/>
      <c r="AE83" s="126"/>
      <c r="AF83" s="126"/>
      <c r="AG83" s="126"/>
      <c r="AH83" s="126"/>
      <c r="AI83" s="126"/>
      <c r="AJ83" s="126"/>
      <c r="AK83" s="126"/>
      <c r="AL83" s="126"/>
      <c r="AM83" s="126"/>
      <c r="AN83" s="126"/>
      <c r="AO83" s="126"/>
      <c r="AQ83" s="143"/>
      <c r="AR83" s="144"/>
      <c r="AS83" s="144"/>
      <c r="AT83" s="136"/>
      <c r="AU83" s="136"/>
      <c r="AV83" s="136"/>
      <c r="AW83" s="136"/>
      <c r="AX83" s="136"/>
      <c r="AY83" s="136"/>
      <c r="AZ83" s="136"/>
      <c r="BA83" s="136"/>
      <c r="BB83" s="1027"/>
      <c r="BC83" s="188"/>
      <c r="BD83" s="1091"/>
      <c r="BE83" s="78"/>
      <c r="BF83" s="196"/>
      <c r="BG83" s="196"/>
      <c r="BH83" s="196"/>
      <c r="BI83" s="196"/>
      <c r="BJ83" s="196"/>
      <c r="BK83" s="196"/>
      <c r="BL83" s="196"/>
      <c r="BM83" s="196"/>
      <c r="BN83" s="196"/>
      <c r="BO83" s="196"/>
      <c r="BP83" s="196"/>
      <c r="BQ83" s="196"/>
      <c r="BR83" s="196"/>
      <c r="BS83" s="196"/>
      <c r="BT83" s="196"/>
      <c r="BU83" s="196"/>
      <c r="BV83" s="196"/>
      <c r="BW83" s="196"/>
      <c r="BX83" s="196"/>
      <c r="BY83" s="196"/>
      <c r="BZ83" s="196"/>
      <c r="CA83" s="196"/>
      <c r="CB83" s="196"/>
      <c r="CC83" s="196"/>
      <c r="CD83" s="196"/>
      <c r="CE83" s="196"/>
      <c r="CF83" s="196"/>
      <c r="CG83" s="196"/>
      <c r="CH83" s="196"/>
      <c r="CI83" s="196"/>
      <c r="CJ83" s="196"/>
      <c r="CK83" s="196"/>
      <c r="CL83" s="196"/>
      <c r="CM83" s="196"/>
      <c r="CN83" s="196"/>
      <c r="CO83" s="196"/>
      <c r="CP83" s="196"/>
      <c r="CQ83" s="196"/>
      <c r="CR83" s="78"/>
      <c r="CS83" s="78"/>
    </row>
    <row r="84" spans="7:97" ht="42" customHeight="1" thickBot="1" x14ac:dyDescent="0.3">
      <c r="G84" s="998"/>
      <c r="K84" s="969" t="s">
        <v>236</v>
      </c>
      <c r="L84" s="969" t="s">
        <v>238</v>
      </c>
      <c r="M84" s="969" t="s">
        <v>237</v>
      </c>
      <c r="O84" s="995"/>
      <c r="T84" s="126"/>
      <c r="U84" s="126"/>
      <c r="V84" s="126"/>
      <c r="W84" s="126"/>
      <c r="X84" s="126"/>
      <c r="Y84" s="126"/>
      <c r="Z84" s="126"/>
      <c r="AA84" s="126"/>
      <c r="AB84" s="126"/>
      <c r="AC84" s="126"/>
      <c r="AD84" s="126"/>
      <c r="AE84" s="126"/>
      <c r="AF84" s="126"/>
      <c r="AG84" s="126"/>
      <c r="AH84" s="126"/>
      <c r="AI84" s="126"/>
      <c r="AJ84" s="126"/>
      <c r="AK84" s="126"/>
      <c r="AL84" s="126"/>
      <c r="AM84" s="126"/>
      <c r="AN84" s="126"/>
      <c r="AO84" s="126"/>
      <c r="AQ84" s="143"/>
      <c r="AS84" s="144"/>
      <c r="AT84" s="136"/>
      <c r="AU84" s="136"/>
      <c r="AV84" s="136"/>
      <c r="AW84" s="136"/>
      <c r="AX84" s="136"/>
      <c r="AY84" s="136"/>
      <c r="AZ84" s="136"/>
      <c r="BA84" s="136"/>
      <c r="BB84" s="1027"/>
      <c r="BC84" s="188"/>
      <c r="BD84" s="1095" t="s">
        <v>186</v>
      </c>
      <c r="BE84" s="197" t="s">
        <v>129</v>
      </c>
      <c r="BF84" s="748" t="str">
        <f>IF(BF82=1,17,"")</f>
        <v/>
      </c>
      <c r="BG84" s="749" t="str">
        <f>IF(BG82=2,16,"")</f>
        <v/>
      </c>
      <c r="BH84" s="749" t="str">
        <f>IF(BH82=3,15,"")</f>
        <v/>
      </c>
      <c r="BI84" s="749" t="str">
        <f>IF(BI82=4,14,"")</f>
        <v/>
      </c>
      <c r="BJ84" s="749" t="str">
        <f>IF(BJ82=5,13,"")</f>
        <v/>
      </c>
      <c r="BK84" s="749" t="str">
        <f>IF(BK82=6,12,"")</f>
        <v/>
      </c>
      <c r="BL84" s="749" t="str">
        <f>IF(BL82=7,11,"")</f>
        <v/>
      </c>
      <c r="BM84" s="749" t="str">
        <f>IF(BM82=8,10,"")</f>
        <v/>
      </c>
      <c r="BN84" s="749" t="str">
        <f>IF(BN82=9,9,"")</f>
        <v/>
      </c>
      <c r="BO84" s="749" t="str">
        <f>IF(BO82=10,8,"")</f>
        <v/>
      </c>
      <c r="BP84" s="749" t="str">
        <f>IF(BP82=11,7,"")</f>
        <v/>
      </c>
      <c r="BQ84" s="928" t="str">
        <f>IF(BQ82=12,1,"")</f>
        <v/>
      </c>
      <c r="BR84" s="747" t="str">
        <f>IF(BR82=13,2,"")</f>
        <v/>
      </c>
      <c r="BS84" s="747" t="str">
        <f>IF(BS82=14,3,"")</f>
        <v/>
      </c>
      <c r="BT84" s="747" t="str">
        <f>IF(BT82=15,4,"")</f>
        <v/>
      </c>
      <c r="BU84" s="747">
        <f>IF(BU82=16,5,"")</f>
        <v>5</v>
      </c>
      <c r="BV84" s="747" t="str">
        <f>IF(BV82=17,6,"")</f>
        <v/>
      </c>
      <c r="BW84" s="747" t="str">
        <f>IF(BW82=18,7,"")</f>
        <v/>
      </c>
      <c r="BX84" s="747" t="str">
        <f>IF(BX82=19,8,"")</f>
        <v/>
      </c>
      <c r="BY84" s="747" t="str">
        <f>IF(BY82=20,9,"")</f>
        <v/>
      </c>
      <c r="BZ84" s="747" t="str">
        <f>IF(BZ82=21,10,"")</f>
        <v/>
      </c>
      <c r="CA84" s="747" t="str">
        <f>IF(CA82=22,11,"")</f>
        <v/>
      </c>
      <c r="CB84" s="747" t="str">
        <f>IF(CB82=23,12,"")</f>
        <v/>
      </c>
      <c r="CC84" s="747" t="str">
        <f>IF(CC82=24,13,"")</f>
        <v/>
      </c>
      <c r="CD84" s="747" t="str">
        <f>IF(CD82=25,14,"")</f>
        <v/>
      </c>
      <c r="CE84" s="747" t="str">
        <f>IF(CE82=26,15,"")</f>
        <v/>
      </c>
      <c r="CF84" s="747" t="str">
        <f>IF(CF82=27,16,"")</f>
        <v/>
      </c>
      <c r="CG84" s="929" t="str">
        <f>IF(CG82=28,17,"")</f>
        <v/>
      </c>
      <c r="CH84" s="756" t="str">
        <f>IF(CH82=29,9,"")</f>
        <v/>
      </c>
      <c r="CI84" s="756" t="str">
        <f>IF(CI82=30,10,"")</f>
        <v/>
      </c>
      <c r="CJ84" s="756" t="str">
        <f>IF(CJ82=31,11,"")</f>
        <v/>
      </c>
      <c r="CK84" s="756" t="str">
        <f>IF(CK82=32,12,"")</f>
        <v/>
      </c>
      <c r="CL84" s="756" t="str">
        <f>IF(CL82=33,13,"")</f>
        <v/>
      </c>
      <c r="CM84" s="756" t="str">
        <f>IF(CM82=34,14,"")</f>
        <v/>
      </c>
      <c r="CN84" s="756" t="str">
        <f>IF(CN82=35,15,"")</f>
        <v/>
      </c>
      <c r="CO84" s="756" t="str">
        <f>IF(CO82=36,16,"")</f>
        <v/>
      </c>
      <c r="CP84" s="757" t="str">
        <f>IF(CP82=37,17,"")</f>
        <v/>
      </c>
      <c r="CQ84" s="198"/>
      <c r="CR84" s="78"/>
      <c r="CS84" s="78"/>
    </row>
    <row r="85" spans="7:97" ht="42.75" customHeight="1" thickBot="1" x14ac:dyDescent="0.3">
      <c r="G85" s="998"/>
      <c r="J85" s="1034" t="s">
        <v>260</v>
      </c>
      <c r="K85" s="1028">
        <f>+MIN(J19:K20)</f>
        <v>84.656084656084658</v>
      </c>
      <c r="L85" s="1028">
        <f>+$E$8/(BF49)</f>
        <v>84.656084656084658</v>
      </c>
      <c r="M85" s="1028">
        <f>+MIN(K25:L26)</f>
        <v>84.656084656084658</v>
      </c>
      <c r="O85" s="995"/>
      <c r="T85" s="126"/>
      <c r="U85" s="126"/>
      <c r="V85" s="126"/>
      <c r="W85" s="126"/>
      <c r="X85" s="126"/>
      <c r="Y85" s="126"/>
      <c r="Z85" s="126"/>
      <c r="AA85" s="126"/>
      <c r="AB85" s="126"/>
      <c r="AC85" s="126"/>
      <c r="AD85" s="126"/>
      <c r="AE85" s="126"/>
      <c r="AF85" s="126"/>
      <c r="AG85" s="126"/>
      <c r="AH85" s="126"/>
      <c r="AI85" s="126"/>
      <c r="AJ85" s="126"/>
      <c r="AK85" s="126"/>
      <c r="AL85" s="126"/>
      <c r="AM85" s="126"/>
      <c r="AN85" s="126"/>
      <c r="AO85" s="126"/>
      <c r="AQ85" s="143"/>
      <c r="AS85" s="144"/>
      <c r="AT85" s="136"/>
      <c r="AU85" s="136"/>
      <c r="AV85" s="136"/>
      <c r="AW85" s="136"/>
      <c r="AX85" s="136"/>
      <c r="AY85" s="136"/>
      <c r="AZ85" s="136"/>
      <c r="BA85" s="968">
        <v>5</v>
      </c>
      <c r="BB85" s="182" t="b">
        <f>AND(BD85&gt;=10,$AN$138&gt;=10,$AO$138&gt;=10)</f>
        <v>1</v>
      </c>
      <c r="BC85" s="84" t="str">
        <f>IF(BB85=TRUE,"O K","OVERLOAD")</f>
        <v>O K</v>
      </c>
      <c r="BD85" s="982">
        <f>IF(SUM(BF84:BP84)&gt;0,K85,0)+IF(SUM(BQ84:CG84)&gt;0,L85,0)+IF(SUM(CH84:CP84)&gt;0,M85,0)</f>
        <v>84.656084656084658</v>
      </c>
      <c r="BE85" s="788" t="s">
        <v>185</v>
      </c>
      <c r="BF85" s="789">
        <v>-10</v>
      </c>
      <c r="BG85" s="789">
        <v>-9</v>
      </c>
      <c r="BH85" s="789">
        <v>-8</v>
      </c>
      <c r="BI85" s="789">
        <v>-7</v>
      </c>
      <c r="BJ85" s="789">
        <v>-6</v>
      </c>
      <c r="BK85" s="789">
        <v>-5</v>
      </c>
      <c r="BL85" s="789">
        <v>-4</v>
      </c>
      <c r="BM85" s="789">
        <v>-3</v>
      </c>
      <c r="BN85" s="789">
        <v>-2</v>
      </c>
      <c r="BO85" s="789">
        <v>-1</v>
      </c>
      <c r="BP85" s="789">
        <v>0</v>
      </c>
      <c r="BQ85" s="789">
        <v>1</v>
      </c>
      <c r="BR85" s="789">
        <v>2</v>
      </c>
      <c r="BS85" s="789">
        <v>3</v>
      </c>
      <c r="BT85" s="789">
        <v>4</v>
      </c>
      <c r="BU85" s="789">
        <v>5</v>
      </c>
      <c r="BV85" s="789">
        <v>6</v>
      </c>
      <c r="BW85" s="789">
        <v>7</v>
      </c>
      <c r="BX85" s="789">
        <v>8</v>
      </c>
      <c r="BY85" s="789">
        <v>9</v>
      </c>
      <c r="BZ85" s="790">
        <v>10</v>
      </c>
      <c r="CA85" s="789">
        <v>11</v>
      </c>
      <c r="CB85" s="789">
        <v>12</v>
      </c>
      <c r="CC85" s="789">
        <v>13</v>
      </c>
      <c r="CD85" s="789">
        <v>14</v>
      </c>
      <c r="CE85" s="789">
        <v>15</v>
      </c>
      <c r="CF85" s="789">
        <v>16</v>
      </c>
      <c r="CG85" s="789">
        <v>17</v>
      </c>
      <c r="CH85" s="789">
        <v>18</v>
      </c>
      <c r="CI85" s="789">
        <v>19</v>
      </c>
      <c r="CJ85" s="789">
        <v>20</v>
      </c>
      <c r="CK85" s="789">
        <v>21</v>
      </c>
      <c r="CL85" s="789">
        <v>22</v>
      </c>
      <c r="CM85" s="789">
        <v>23</v>
      </c>
      <c r="CN85" s="789">
        <v>24</v>
      </c>
      <c r="CO85" s="789">
        <v>25</v>
      </c>
      <c r="CP85" s="791">
        <v>26</v>
      </c>
      <c r="CQ85" s="78"/>
      <c r="CR85" s="78"/>
      <c r="CS85" s="78"/>
    </row>
    <row r="86" spans="7:97" ht="21" hidden="1" thickBot="1" x14ac:dyDescent="0.25">
      <c r="G86" s="998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O86" s="995"/>
      <c r="T86" s="126"/>
      <c r="U86" s="126"/>
      <c r="V86" s="126"/>
      <c r="W86" s="126"/>
      <c r="X86" s="126"/>
      <c r="Y86" s="126"/>
      <c r="Z86" s="126"/>
      <c r="AA86" s="126"/>
      <c r="AB86" s="126"/>
      <c r="AC86" s="126"/>
      <c r="AD86" s="126"/>
      <c r="AE86" s="126"/>
      <c r="AF86" s="126"/>
      <c r="AG86" s="126"/>
      <c r="AH86" s="126"/>
      <c r="AI86" s="126"/>
      <c r="AJ86" s="126"/>
      <c r="AK86" s="126"/>
      <c r="AL86" s="126"/>
      <c r="AM86" s="126"/>
      <c r="AN86" s="126"/>
      <c r="AO86" s="126"/>
      <c r="AQ86" s="143"/>
      <c r="AR86" s="144"/>
      <c r="AS86" s="144"/>
      <c r="AT86" s="136"/>
      <c r="AU86" s="136"/>
      <c r="AV86" s="136"/>
      <c r="AW86" s="136"/>
      <c r="AX86" s="136"/>
      <c r="AY86" s="136"/>
      <c r="AZ86" s="136"/>
      <c r="BA86" s="136"/>
      <c r="BB86" s="1027"/>
      <c r="BC86" s="136"/>
      <c r="BE86" s="78"/>
      <c r="BF86" s="199">
        <v>1</v>
      </c>
      <c r="BG86" s="199">
        <v>2</v>
      </c>
      <c r="BH86" s="199">
        <v>3</v>
      </c>
      <c r="BI86" s="199">
        <v>4</v>
      </c>
      <c r="BJ86" s="199">
        <v>5</v>
      </c>
      <c r="BK86" s="199">
        <v>6</v>
      </c>
      <c r="BL86" s="199">
        <v>7</v>
      </c>
      <c r="BM86" s="199">
        <v>8</v>
      </c>
      <c r="BN86" s="199">
        <v>9</v>
      </c>
      <c r="BO86" s="199">
        <v>10</v>
      </c>
      <c r="BP86" s="199">
        <v>11</v>
      </c>
      <c r="BQ86" s="199">
        <v>12</v>
      </c>
      <c r="BR86" s="199">
        <v>13</v>
      </c>
      <c r="BS86" s="199">
        <v>14</v>
      </c>
      <c r="BT86" s="199">
        <v>15</v>
      </c>
      <c r="BU86" s="199">
        <v>16</v>
      </c>
      <c r="BV86" s="199">
        <v>17</v>
      </c>
      <c r="BW86" s="199">
        <v>18</v>
      </c>
      <c r="BX86" s="199">
        <v>19</v>
      </c>
      <c r="BY86" s="199">
        <v>20</v>
      </c>
      <c r="BZ86" s="199">
        <v>21</v>
      </c>
      <c r="CA86" s="199">
        <v>22</v>
      </c>
      <c r="CB86" s="199">
        <v>23</v>
      </c>
      <c r="CC86" s="199">
        <v>24</v>
      </c>
      <c r="CD86" s="199">
        <v>25</v>
      </c>
      <c r="CE86" s="199">
        <v>26</v>
      </c>
      <c r="CF86" s="199">
        <v>27</v>
      </c>
      <c r="CG86" s="199">
        <v>28</v>
      </c>
      <c r="CH86" s="199">
        <v>29</v>
      </c>
      <c r="CI86" s="199">
        <v>30</v>
      </c>
      <c r="CJ86" s="199">
        <v>31</v>
      </c>
      <c r="CK86" s="199">
        <v>32</v>
      </c>
      <c r="CL86" s="199">
        <v>33</v>
      </c>
      <c r="CM86" s="199">
        <v>34</v>
      </c>
      <c r="CN86" s="199">
        <v>35</v>
      </c>
      <c r="CO86" s="199">
        <v>36</v>
      </c>
      <c r="CP86" s="199">
        <v>37</v>
      </c>
      <c r="CQ86" s="199"/>
      <c r="CR86" s="78"/>
      <c r="CS86" s="78"/>
    </row>
    <row r="87" spans="7:97" ht="24" hidden="1" thickBot="1" x14ac:dyDescent="0.3">
      <c r="G87" s="998"/>
      <c r="O87" s="995"/>
      <c r="BB87" s="182"/>
      <c r="BC87" s="86"/>
      <c r="BD87" s="18"/>
      <c r="BE87" s="96"/>
      <c r="BF87" s="97"/>
      <c r="BG87" s="97"/>
      <c r="BH87" s="97"/>
      <c r="BI87" s="97"/>
      <c r="BJ87" s="97"/>
      <c r="BK87" s="97"/>
      <c r="BL87" s="97"/>
      <c r="BM87" s="97"/>
      <c r="BN87" s="94"/>
      <c r="BO87" s="94"/>
      <c r="BP87" s="89"/>
      <c r="BQ87" s="89"/>
      <c r="BR87" s="89"/>
      <c r="BS87" s="89"/>
      <c r="BT87" s="89"/>
      <c r="BU87" s="89"/>
      <c r="BV87" s="89"/>
      <c r="BW87" s="89"/>
      <c r="BX87" s="89"/>
      <c r="BY87" s="89"/>
      <c r="BZ87" s="89"/>
      <c r="CA87" s="89"/>
      <c r="CB87" s="89"/>
      <c r="CC87" s="37"/>
      <c r="CD87" s="95"/>
      <c r="CE87" s="95"/>
      <c r="CF87" s="95"/>
      <c r="CG87" s="95"/>
      <c r="CH87" s="92"/>
      <c r="CI87" s="92"/>
      <c r="CJ87" s="92"/>
      <c r="CK87" s="92"/>
      <c r="CL87" s="92"/>
      <c r="CM87" s="92"/>
      <c r="CN87" s="92"/>
      <c r="CO87" s="92"/>
      <c r="CP87" s="92"/>
      <c r="CQ87" s="92"/>
      <c r="CR87" s="17"/>
      <c r="CS87" s="78"/>
    </row>
    <row r="88" spans="7:97" ht="24" hidden="1" thickBot="1" x14ac:dyDescent="0.3">
      <c r="G88" s="998"/>
      <c r="O88" s="995"/>
      <c r="BB88" s="182"/>
      <c r="BC88" s="86"/>
      <c r="BD88" s="18"/>
      <c r="BE88" s="96">
        <v>36</v>
      </c>
      <c r="BF88" s="97"/>
      <c r="BG88" s="97"/>
      <c r="BH88" s="97"/>
      <c r="BI88" s="97"/>
      <c r="BJ88" s="97"/>
      <c r="BK88" s="97"/>
      <c r="BL88" s="97"/>
      <c r="BM88" s="97"/>
      <c r="BN88" s="94"/>
      <c r="BO88" s="94"/>
      <c r="BP88" s="89"/>
      <c r="BQ88" s="89"/>
      <c r="BR88" s="89"/>
      <c r="BS88" s="89"/>
      <c r="BT88" s="89"/>
      <c r="BU88" s="89"/>
      <c r="BV88" s="89"/>
      <c r="BW88" s="98"/>
      <c r="BX88" s="99"/>
      <c r="BY88" s="100"/>
      <c r="BZ88" s="89"/>
      <c r="CA88" s="89"/>
      <c r="CB88" s="89"/>
      <c r="CC88" s="37"/>
      <c r="CD88" s="95"/>
      <c r="CE88" s="95"/>
      <c r="CF88" s="95"/>
      <c r="CG88" s="95"/>
      <c r="CH88" s="92"/>
      <c r="CI88" s="92"/>
      <c r="CJ88" s="92"/>
      <c r="CK88" s="92"/>
      <c r="CL88" s="92"/>
      <c r="CM88" s="92"/>
      <c r="CN88" s="101" t="b">
        <f>IF(CO81=36,35)</f>
        <v>0</v>
      </c>
      <c r="CO88" s="102"/>
      <c r="CP88" s="103" t="b">
        <f>IF(CO81=36,37)</f>
        <v>0</v>
      </c>
      <c r="CQ88" s="92"/>
      <c r="CR88" s="17"/>
      <c r="CS88" s="78"/>
    </row>
    <row r="89" spans="7:97" ht="24" hidden="1" thickBot="1" x14ac:dyDescent="0.3">
      <c r="G89" s="998"/>
      <c r="O89" s="995"/>
      <c r="BB89" s="182"/>
      <c r="BC89" s="86"/>
      <c r="BD89" s="18"/>
      <c r="BE89" s="96">
        <v>35</v>
      </c>
      <c r="BF89" s="97"/>
      <c r="BG89" s="97"/>
      <c r="BH89" s="97"/>
      <c r="BI89" s="97"/>
      <c r="BJ89" s="97"/>
      <c r="BK89" s="97"/>
      <c r="BL89" s="97"/>
      <c r="BM89" s="97"/>
      <c r="BN89" s="94"/>
      <c r="BO89" s="94"/>
      <c r="BP89" s="89"/>
      <c r="BQ89" s="89"/>
      <c r="BR89" s="89"/>
      <c r="BS89" s="89"/>
      <c r="BT89" s="89"/>
      <c r="BU89" s="89"/>
      <c r="BV89" s="89"/>
      <c r="BW89" s="104"/>
      <c r="BX89" s="89"/>
      <c r="BY89" s="105"/>
      <c r="BZ89" s="89"/>
      <c r="CA89" s="89"/>
      <c r="CB89" s="89"/>
      <c r="CC89" s="37"/>
      <c r="CD89" s="95"/>
      <c r="CE89" s="95"/>
      <c r="CF89" s="95"/>
      <c r="CG89" s="95"/>
      <c r="CH89" s="92"/>
      <c r="CI89" s="92"/>
      <c r="CJ89" s="92"/>
      <c r="CK89" s="92"/>
      <c r="CL89" s="101" t="b">
        <f>IF(CN81=35,33)</f>
        <v>0</v>
      </c>
      <c r="CM89" s="102"/>
      <c r="CN89" s="102"/>
      <c r="CO89" s="102"/>
      <c r="CP89" s="103" t="b">
        <f>IF(CN81=35,37)</f>
        <v>0</v>
      </c>
      <c r="CQ89" s="92"/>
      <c r="CR89" s="17"/>
      <c r="CS89" s="78"/>
    </row>
    <row r="90" spans="7:97" ht="24" hidden="1" thickBot="1" x14ac:dyDescent="0.3">
      <c r="G90" s="998"/>
      <c r="O90" s="995"/>
      <c r="BB90" s="182"/>
      <c r="BC90" s="86"/>
      <c r="BD90" s="18"/>
      <c r="BE90" s="96">
        <v>34</v>
      </c>
      <c r="BF90" s="97"/>
      <c r="BG90" s="97"/>
      <c r="BH90" s="97"/>
      <c r="BI90" s="97"/>
      <c r="BJ90" s="97"/>
      <c r="BK90" s="97"/>
      <c r="BL90" s="97"/>
      <c r="BM90" s="97"/>
      <c r="BN90" s="94"/>
      <c r="BO90" s="94"/>
      <c r="BP90" s="89"/>
      <c r="BQ90" s="89"/>
      <c r="BR90" s="89"/>
      <c r="BS90" s="89"/>
      <c r="BT90" s="89"/>
      <c r="BU90" s="89"/>
      <c r="BV90" s="89"/>
      <c r="BW90" s="104"/>
      <c r="BX90" s="89"/>
      <c r="BY90" s="105"/>
      <c r="BZ90" s="89"/>
      <c r="CA90" s="89"/>
      <c r="CB90" s="89"/>
      <c r="CC90" s="37"/>
      <c r="CD90" s="95"/>
      <c r="CE90" s="95"/>
      <c r="CF90" s="95"/>
      <c r="CG90" s="95"/>
      <c r="CH90" s="92"/>
      <c r="CI90" s="92"/>
      <c r="CJ90" s="101" t="b">
        <f>IF(CM81=34,31)</f>
        <v>0</v>
      </c>
      <c r="CK90" s="102"/>
      <c r="CL90" s="102"/>
      <c r="CM90" s="102"/>
      <c r="CN90" s="102"/>
      <c r="CO90" s="102"/>
      <c r="CP90" s="103" t="b">
        <f>IF(CM81=34,37)</f>
        <v>0</v>
      </c>
      <c r="CQ90" s="92"/>
      <c r="CR90" s="17"/>
      <c r="CS90" s="78"/>
    </row>
    <row r="91" spans="7:97" ht="24" hidden="1" thickBot="1" x14ac:dyDescent="0.3">
      <c r="G91" s="998"/>
      <c r="O91" s="995"/>
      <c r="BB91" s="182"/>
      <c r="BC91" s="86"/>
      <c r="BD91" s="18"/>
      <c r="BE91" s="96">
        <v>33</v>
      </c>
      <c r="BF91" s="97"/>
      <c r="BG91" s="97"/>
      <c r="BH91" s="97"/>
      <c r="BI91" s="97"/>
      <c r="BJ91" s="97"/>
      <c r="BK91" s="97"/>
      <c r="BL91" s="97"/>
      <c r="BM91" s="97"/>
      <c r="BN91" s="94"/>
      <c r="BO91" s="94"/>
      <c r="BP91" s="89"/>
      <c r="BQ91" s="89"/>
      <c r="BR91" s="89"/>
      <c r="BS91" s="89"/>
      <c r="BT91" s="89"/>
      <c r="BU91" s="89"/>
      <c r="BV91" s="89"/>
      <c r="BW91" s="104"/>
      <c r="BX91" s="89"/>
      <c r="BY91" s="105"/>
      <c r="BZ91" s="89"/>
      <c r="CA91" s="89"/>
      <c r="CB91" s="89"/>
      <c r="CC91" s="37"/>
      <c r="CD91" s="95"/>
      <c r="CE91" s="95"/>
      <c r="CF91" s="95"/>
      <c r="CG91" s="95"/>
      <c r="CH91" s="101" t="b">
        <f>IF(CL81=33,29)</f>
        <v>0</v>
      </c>
      <c r="CI91" s="102"/>
      <c r="CJ91" s="102"/>
      <c r="CK91" s="102"/>
      <c r="CL91" s="102"/>
      <c r="CM91" s="102"/>
      <c r="CN91" s="102"/>
      <c r="CO91" s="102"/>
      <c r="CP91" s="103" t="b">
        <f>IF(CL81=33,37)</f>
        <v>0</v>
      </c>
      <c r="CQ91" s="92"/>
      <c r="CR91" s="17"/>
      <c r="CS91" s="78"/>
    </row>
    <row r="92" spans="7:97" ht="21" hidden="1" thickBot="1" x14ac:dyDescent="0.25">
      <c r="G92" s="998"/>
      <c r="O92" s="995"/>
      <c r="AR92" s="106"/>
      <c r="AS92" s="106"/>
      <c r="BB92" s="182"/>
      <c r="BC92" s="86"/>
      <c r="BE92" s="96">
        <v>32</v>
      </c>
      <c r="BF92" s="107"/>
      <c r="BG92" s="107"/>
      <c r="BH92" s="107"/>
      <c r="BI92" s="107"/>
      <c r="BJ92" s="107"/>
      <c r="BK92" s="108"/>
      <c r="BL92" s="107"/>
      <c r="BM92" s="107"/>
      <c r="BN92" s="107"/>
      <c r="BO92" s="107"/>
      <c r="BP92" s="107"/>
      <c r="BQ92" s="107"/>
      <c r="BR92" s="107"/>
      <c r="BS92" s="107"/>
      <c r="BT92" s="107"/>
      <c r="BU92" s="107"/>
      <c r="BV92" s="107"/>
      <c r="BW92" s="109"/>
      <c r="BX92" s="107"/>
      <c r="BY92" s="110"/>
      <c r="BZ92" s="107"/>
      <c r="CA92" s="107"/>
      <c r="CB92" s="107"/>
      <c r="CC92" s="108"/>
      <c r="CD92" s="78"/>
      <c r="CE92" s="78"/>
      <c r="CF92" s="101" t="b">
        <f>IF(CK81=32,27)</f>
        <v>0</v>
      </c>
      <c r="CG92" s="111"/>
      <c r="CH92" s="111"/>
      <c r="CI92" s="111"/>
      <c r="CJ92" s="111"/>
      <c r="CK92" s="111"/>
      <c r="CL92" s="111"/>
      <c r="CM92" s="111"/>
      <c r="CN92" s="111"/>
      <c r="CO92" s="111"/>
      <c r="CP92" s="103" t="b">
        <f>IF(CK81=32,37)</f>
        <v>0</v>
      </c>
      <c r="CQ92" s="78"/>
      <c r="CR92" s="78"/>
      <c r="CS92" s="78"/>
    </row>
    <row r="93" spans="7:97" ht="21" hidden="1" thickBot="1" x14ac:dyDescent="0.25">
      <c r="G93" s="998"/>
      <c r="O93" s="995"/>
      <c r="AR93" s="106"/>
      <c r="AS93" s="106"/>
      <c r="BB93" s="182"/>
      <c r="BC93" s="86"/>
      <c r="BE93" s="96">
        <v>31</v>
      </c>
      <c r="BF93" s="107"/>
      <c r="BG93" s="107"/>
      <c r="BH93" s="107"/>
      <c r="BI93" s="107"/>
      <c r="BJ93" s="107"/>
      <c r="BK93" s="108"/>
      <c r="BL93" s="107"/>
      <c r="BM93" s="107"/>
      <c r="BN93" s="107"/>
      <c r="BO93" s="107"/>
      <c r="BP93" s="107"/>
      <c r="BQ93" s="107"/>
      <c r="BR93" s="107"/>
      <c r="BS93" s="107"/>
      <c r="BT93" s="107"/>
      <c r="BU93" s="107"/>
      <c r="BV93" s="107"/>
      <c r="BW93" s="109"/>
      <c r="BX93" s="107"/>
      <c r="BY93" s="110"/>
      <c r="BZ93" s="107"/>
      <c r="CA93" s="107"/>
      <c r="CB93" s="107"/>
      <c r="CC93" s="108"/>
      <c r="CD93" s="101" t="b">
        <f>IF(CJ81=31,25)</f>
        <v>0</v>
      </c>
      <c r="CE93" s="111"/>
      <c r="CF93" s="111"/>
      <c r="CG93" s="111"/>
      <c r="CH93" s="111"/>
      <c r="CI93" s="111"/>
      <c r="CJ93" s="111"/>
      <c r="CK93" s="111"/>
      <c r="CL93" s="111"/>
      <c r="CM93" s="111"/>
      <c r="CN93" s="111"/>
      <c r="CO93" s="111"/>
      <c r="CP93" s="103" t="b">
        <f>IF(CJ81=31,37)</f>
        <v>0</v>
      </c>
      <c r="CQ93" s="78"/>
      <c r="CR93" s="78"/>
      <c r="CS93" s="78"/>
    </row>
    <row r="94" spans="7:97" ht="21" hidden="1" thickBot="1" x14ac:dyDescent="0.25">
      <c r="G94" s="998"/>
      <c r="O94" s="995"/>
      <c r="AR94" s="106"/>
      <c r="AS94" s="106"/>
      <c r="BB94" s="182"/>
      <c r="BC94" s="86"/>
      <c r="BE94" s="96">
        <v>30</v>
      </c>
      <c r="BF94" s="107"/>
      <c r="BG94" s="107"/>
      <c r="BH94" s="107"/>
      <c r="BI94" s="107"/>
      <c r="BJ94" s="107"/>
      <c r="BK94" s="108"/>
      <c r="BL94" s="107"/>
      <c r="BM94" s="107"/>
      <c r="BN94" s="107"/>
      <c r="BO94" s="107"/>
      <c r="BP94" s="107"/>
      <c r="BQ94" s="107"/>
      <c r="BR94" s="107"/>
      <c r="BS94" s="107"/>
      <c r="BT94" s="107"/>
      <c r="BU94" s="107"/>
      <c r="BV94" s="107"/>
      <c r="BW94" s="109"/>
      <c r="BX94" s="107"/>
      <c r="BY94" s="110"/>
      <c r="BZ94" s="107"/>
      <c r="CA94" s="107"/>
      <c r="CB94" s="101" t="b">
        <f>IF(CI81=30,23)</f>
        <v>0</v>
      </c>
      <c r="CC94" s="112"/>
      <c r="CD94" s="111"/>
      <c r="CE94" s="111"/>
      <c r="CF94" s="111"/>
      <c r="CG94" s="111"/>
      <c r="CH94" s="111"/>
      <c r="CI94" s="111"/>
      <c r="CJ94" s="111"/>
      <c r="CK94" s="111"/>
      <c r="CL94" s="111"/>
      <c r="CM94" s="111"/>
      <c r="CN94" s="111"/>
      <c r="CO94" s="111"/>
      <c r="CP94" s="103" t="b">
        <f>IF(CI81=30,37)</f>
        <v>0</v>
      </c>
      <c r="CQ94" s="78"/>
      <c r="CR94" s="78"/>
      <c r="CS94" s="78"/>
    </row>
    <row r="95" spans="7:97" ht="21" hidden="1" thickBot="1" x14ac:dyDescent="0.25">
      <c r="G95" s="998"/>
      <c r="O95" s="995"/>
      <c r="AT95" s="113"/>
      <c r="AU95" s="113"/>
      <c r="AV95" s="113"/>
      <c r="AW95" s="113"/>
      <c r="BB95" s="182"/>
      <c r="BC95" s="86"/>
      <c r="BD95" s="114"/>
      <c r="BE95" s="96">
        <v>29</v>
      </c>
      <c r="BF95" s="78"/>
      <c r="BG95" s="78"/>
      <c r="BH95" s="78"/>
      <c r="BI95" s="78"/>
      <c r="BJ95" s="78"/>
      <c r="BK95" s="78"/>
      <c r="BL95" s="78"/>
      <c r="BM95" s="78"/>
      <c r="BN95" s="78"/>
      <c r="BO95" s="78"/>
      <c r="BP95" s="78"/>
      <c r="BQ95" s="78"/>
      <c r="BR95" s="78"/>
      <c r="BS95" s="78"/>
      <c r="BT95" s="78"/>
      <c r="BU95" s="78"/>
      <c r="BV95" s="78"/>
      <c r="BW95" s="115"/>
      <c r="BX95" s="78"/>
      <c r="BY95" s="116"/>
      <c r="BZ95" s="117" t="b">
        <f>IF(CH81=29,21)</f>
        <v>0</v>
      </c>
      <c r="CA95" s="111"/>
      <c r="CB95" s="111"/>
      <c r="CC95" s="111"/>
      <c r="CD95" s="111"/>
      <c r="CE95" s="111"/>
      <c r="CF95" s="111"/>
      <c r="CG95" s="118"/>
      <c r="CH95" s="111"/>
      <c r="CI95" s="118"/>
      <c r="CJ95" s="119"/>
      <c r="CK95" s="119"/>
      <c r="CL95" s="119"/>
      <c r="CM95" s="119"/>
      <c r="CN95" s="119"/>
      <c r="CO95" s="119"/>
      <c r="CP95" s="103" t="b">
        <f>IF(CH81=29,37)</f>
        <v>0</v>
      </c>
      <c r="CQ95" s="76"/>
      <c r="CR95" s="78"/>
      <c r="CS95" s="78"/>
    </row>
    <row r="96" spans="7:97" ht="21" hidden="1" thickBot="1" x14ac:dyDescent="0.25">
      <c r="G96" s="998"/>
      <c r="O96" s="995"/>
      <c r="AT96" s="113"/>
      <c r="AU96" s="113"/>
      <c r="AV96" s="113"/>
      <c r="AW96" s="113"/>
      <c r="BB96" s="182"/>
      <c r="BC96" s="86"/>
      <c r="BD96" s="114"/>
      <c r="BE96" s="96">
        <v>28</v>
      </c>
      <c r="BF96" s="78"/>
      <c r="BG96" s="78"/>
      <c r="BH96" s="78"/>
      <c r="BI96" s="78"/>
      <c r="BJ96" s="78"/>
      <c r="BK96" s="78"/>
      <c r="BL96" s="78"/>
      <c r="BM96" s="78"/>
      <c r="BN96" s="78"/>
      <c r="BO96" s="78"/>
      <c r="BP96" s="78"/>
      <c r="BQ96" s="78"/>
      <c r="BR96" s="78"/>
      <c r="BS96" s="78"/>
      <c r="BT96" s="78"/>
      <c r="BU96" s="78"/>
      <c r="BV96" s="78"/>
      <c r="BW96" s="115"/>
      <c r="BX96" s="78"/>
      <c r="BY96" s="116"/>
      <c r="BZ96" s="120" t="b">
        <f>IF(CG81=28,21)</f>
        <v>0</v>
      </c>
      <c r="CA96" s="121"/>
      <c r="CB96" s="121"/>
      <c r="CC96" s="121"/>
      <c r="CD96" s="121"/>
      <c r="CE96" s="122"/>
      <c r="CF96" s="121"/>
      <c r="CG96" s="121"/>
      <c r="CH96" s="121"/>
      <c r="CI96" s="122"/>
      <c r="CJ96" s="123"/>
      <c r="CK96" s="123"/>
      <c r="CL96" s="123"/>
      <c r="CM96" s="123"/>
      <c r="CN96" s="124" t="b">
        <f>IF(CG81=28,35)</f>
        <v>0</v>
      </c>
      <c r="CO96" s="76"/>
      <c r="CP96" s="76"/>
      <c r="CQ96" s="76"/>
      <c r="CR96" s="78"/>
      <c r="CS96" s="78"/>
    </row>
    <row r="97" spans="5:97" ht="21" hidden="1" thickBot="1" x14ac:dyDescent="0.25">
      <c r="G97" s="998"/>
      <c r="O97" s="995"/>
      <c r="AR97" s="113"/>
      <c r="AS97" s="113"/>
      <c r="AT97" s="113"/>
      <c r="AU97" s="113"/>
      <c r="AV97" s="113"/>
      <c r="AW97" s="113"/>
      <c r="BB97" s="182"/>
      <c r="BC97" s="86"/>
      <c r="BD97" s="114"/>
      <c r="BE97" s="96">
        <v>27</v>
      </c>
      <c r="BF97" s="78"/>
      <c r="BG97" s="78"/>
      <c r="BH97" s="78"/>
      <c r="BI97" s="78"/>
      <c r="BJ97" s="78"/>
      <c r="BK97" s="78"/>
      <c r="BL97" s="78"/>
      <c r="BM97" s="78"/>
      <c r="BN97" s="78"/>
      <c r="BO97" s="78"/>
      <c r="BP97" s="78"/>
      <c r="BQ97" s="78"/>
      <c r="BR97" s="78"/>
      <c r="BS97" s="78"/>
      <c r="BT97" s="78"/>
      <c r="BU97" s="78"/>
      <c r="BV97" s="78"/>
      <c r="BW97" s="115"/>
      <c r="BX97" s="78"/>
      <c r="BY97" s="116"/>
      <c r="BZ97" s="120" t="b">
        <f>IF(CF81=27,21)</f>
        <v>0</v>
      </c>
      <c r="CA97" s="121"/>
      <c r="CB97" s="121"/>
      <c r="CC97" s="122"/>
      <c r="CD97" s="121"/>
      <c r="CE97" s="121"/>
      <c r="CF97" s="121"/>
      <c r="CG97" s="121"/>
      <c r="CH97" s="121"/>
      <c r="CI97" s="122"/>
      <c r="CJ97" s="123"/>
      <c r="CK97" s="123"/>
      <c r="CL97" s="124" t="b">
        <f>IF(CF81=27,33)</f>
        <v>0</v>
      </c>
      <c r="CM97" s="76"/>
      <c r="CN97" s="76"/>
      <c r="CO97" s="76"/>
      <c r="CP97" s="76"/>
      <c r="CQ97" s="76"/>
      <c r="CR97" s="78"/>
      <c r="CS97" s="78"/>
    </row>
    <row r="98" spans="5:97" ht="21" hidden="1" thickBot="1" x14ac:dyDescent="0.25">
      <c r="G98" s="998"/>
      <c r="O98" s="995"/>
      <c r="U98" s="125"/>
      <c r="V98" s="126"/>
      <c r="W98" s="126"/>
      <c r="X98" s="126"/>
      <c r="Y98" s="126"/>
      <c r="Z98" s="126"/>
      <c r="AA98" s="126"/>
      <c r="AB98" s="126"/>
      <c r="AC98" s="126"/>
      <c r="AD98" s="126"/>
      <c r="AE98" s="126"/>
      <c r="AF98" s="126"/>
      <c r="AG98" s="126"/>
      <c r="AH98" s="126"/>
      <c r="AI98" s="126"/>
      <c r="AJ98" s="126"/>
      <c r="AK98" s="126"/>
      <c r="AL98" s="126"/>
      <c r="AM98" s="126"/>
      <c r="AN98" s="126"/>
      <c r="AO98" s="126"/>
      <c r="BB98" s="182"/>
      <c r="BC98" s="86"/>
      <c r="BE98" s="96">
        <v>26</v>
      </c>
      <c r="BF98" s="78"/>
      <c r="BG98" s="78"/>
      <c r="BH98" s="78"/>
      <c r="BI98" s="78"/>
      <c r="BJ98" s="78"/>
      <c r="BK98" s="78"/>
      <c r="BL98" s="78"/>
      <c r="BM98" s="78"/>
      <c r="BN98" s="78"/>
      <c r="BO98" s="78"/>
      <c r="BP98" s="78"/>
      <c r="BQ98" s="78"/>
      <c r="BR98" s="78"/>
      <c r="BS98" s="78"/>
      <c r="BT98" s="78"/>
      <c r="BU98" s="78"/>
      <c r="BV98" s="78"/>
      <c r="BW98" s="115"/>
      <c r="BX98" s="78"/>
      <c r="BY98" s="116"/>
      <c r="BZ98" s="120" t="b">
        <f>IF(CE81=26,21)</f>
        <v>0</v>
      </c>
      <c r="CA98" s="122"/>
      <c r="CB98" s="121"/>
      <c r="CC98" s="121"/>
      <c r="CD98" s="121"/>
      <c r="CE98" s="121"/>
      <c r="CF98" s="121"/>
      <c r="CG98" s="121"/>
      <c r="CH98" s="121"/>
      <c r="CI98" s="122"/>
      <c r="CJ98" s="124" t="b">
        <f>IF(CE81=26,31)</f>
        <v>0</v>
      </c>
      <c r="CK98" s="76"/>
      <c r="CL98" s="76"/>
      <c r="CM98" s="76"/>
      <c r="CN98" s="76"/>
      <c r="CO98" s="76"/>
      <c r="CP98" s="76"/>
      <c r="CQ98" s="76"/>
      <c r="CR98" s="78"/>
      <c r="CS98" s="78"/>
    </row>
    <row r="99" spans="5:97" ht="21" hidden="1" thickBot="1" x14ac:dyDescent="0.25">
      <c r="E99" s="127"/>
      <c r="F99" s="127"/>
      <c r="G99" s="998"/>
      <c r="O99" s="995"/>
      <c r="U99" s="125"/>
      <c r="V99" s="126"/>
      <c r="W99" s="126"/>
      <c r="X99" s="126"/>
      <c r="Y99" s="126"/>
      <c r="Z99" s="126"/>
      <c r="AA99" s="126"/>
      <c r="AB99" s="126"/>
      <c r="AC99" s="126"/>
      <c r="AD99" s="126"/>
      <c r="AE99" s="126"/>
      <c r="AF99" s="126"/>
      <c r="AG99" s="126"/>
      <c r="AH99" s="126"/>
      <c r="AI99" s="126"/>
      <c r="AJ99" s="126"/>
      <c r="AK99" s="126"/>
      <c r="AL99" s="126"/>
      <c r="AM99" s="126"/>
      <c r="AN99" s="126"/>
      <c r="AO99" s="126"/>
      <c r="AT99" s="126"/>
      <c r="AU99" s="126"/>
      <c r="AV99" s="126"/>
      <c r="AW99" s="126"/>
      <c r="BB99" s="182"/>
      <c r="BC99" s="86"/>
      <c r="BD99" s="126"/>
      <c r="BE99" s="96">
        <v>25</v>
      </c>
      <c r="BF99" s="78"/>
      <c r="BG99" s="78"/>
      <c r="BH99" s="78"/>
      <c r="BI99" s="78"/>
      <c r="BJ99" s="78"/>
      <c r="BK99" s="78"/>
      <c r="BL99" s="78"/>
      <c r="BM99" s="78"/>
      <c r="BN99" s="78"/>
      <c r="BO99" s="78"/>
      <c r="BP99" s="78"/>
      <c r="BR99" s="78"/>
      <c r="BS99" s="78"/>
      <c r="BT99" s="78"/>
      <c r="BU99" s="78"/>
      <c r="BV99" s="78"/>
      <c r="BW99" s="115"/>
      <c r="BX99" s="78"/>
      <c r="BZ99" s="128" t="b">
        <f>IF(CD81=25,21)</f>
        <v>0</v>
      </c>
      <c r="CA99" s="121"/>
      <c r="CB99" s="121"/>
      <c r="CC99" s="121"/>
      <c r="CD99" s="121"/>
      <c r="CE99" s="121"/>
      <c r="CF99" s="121"/>
      <c r="CG99" s="121"/>
      <c r="CH99" s="124" t="b">
        <f>IF(CD81=25,29)</f>
        <v>0</v>
      </c>
      <c r="CJ99" s="76"/>
      <c r="CK99" s="76"/>
      <c r="CL99" s="76"/>
      <c r="CM99" s="76"/>
      <c r="CN99" s="76"/>
      <c r="CO99" s="76"/>
      <c r="CP99" s="76"/>
      <c r="CQ99" s="76"/>
      <c r="CR99" s="78"/>
      <c r="CS99" s="78"/>
    </row>
    <row r="100" spans="5:97" ht="21" hidden="1" thickBot="1" x14ac:dyDescent="0.25">
      <c r="E100" s="127"/>
      <c r="F100" s="127"/>
      <c r="G100" s="998"/>
      <c r="O100" s="995"/>
      <c r="U100" s="125"/>
      <c r="V100" s="126"/>
      <c r="W100" s="126"/>
      <c r="X100" s="126"/>
      <c r="Y100" s="126"/>
      <c r="Z100" s="126"/>
      <c r="AA100" s="126"/>
      <c r="AB100" s="126"/>
      <c r="AC100" s="126"/>
      <c r="AD100" s="126"/>
      <c r="AE100" s="126"/>
      <c r="AF100" s="126"/>
      <c r="AG100" s="126"/>
      <c r="AH100" s="126"/>
      <c r="AI100" s="126"/>
      <c r="AJ100" s="126"/>
      <c r="AK100" s="126"/>
      <c r="AL100" s="126"/>
      <c r="AM100" s="126"/>
      <c r="AN100" s="126"/>
      <c r="AO100" s="126"/>
      <c r="AT100" s="126"/>
      <c r="AU100" s="126"/>
      <c r="AV100" s="126"/>
      <c r="AW100" s="126"/>
      <c r="BB100" s="182"/>
      <c r="BC100" s="86"/>
      <c r="BD100" s="126"/>
      <c r="BE100" s="96">
        <v>24</v>
      </c>
      <c r="BF100" s="78"/>
      <c r="BG100" s="78"/>
      <c r="BH100" s="78"/>
      <c r="BI100" s="78"/>
      <c r="BJ100" s="78"/>
      <c r="BK100" s="78"/>
      <c r="BL100" s="78"/>
      <c r="BM100" s="78"/>
      <c r="BN100" s="78"/>
      <c r="BO100" s="78"/>
      <c r="BP100" s="78"/>
      <c r="BQ100" s="117" t="b">
        <f>IF(CC81=24,12)</f>
        <v>0</v>
      </c>
      <c r="BR100" s="111"/>
      <c r="BS100" s="111"/>
      <c r="BT100" s="111"/>
      <c r="BU100" s="111"/>
      <c r="BV100" s="111"/>
      <c r="BW100" s="118"/>
      <c r="BX100" s="111"/>
      <c r="BY100" s="129"/>
      <c r="BZ100" s="111"/>
      <c r="CA100" s="111"/>
      <c r="CB100" s="111"/>
      <c r="CC100" s="111"/>
      <c r="CD100" s="111"/>
      <c r="CE100" s="111"/>
      <c r="CF100" s="111"/>
      <c r="CG100" s="111"/>
      <c r="CH100" s="111"/>
      <c r="CI100" s="118"/>
      <c r="CJ100" s="119"/>
      <c r="CK100" s="119"/>
      <c r="CL100" s="119"/>
      <c r="CM100" s="119"/>
      <c r="CN100" s="119"/>
      <c r="CO100" s="103" t="b">
        <f>IF(CC81=24,36)</f>
        <v>0</v>
      </c>
      <c r="CP100" s="76"/>
      <c r="CQ100" s="76"/>
      <c r="CR100" s="78"/>
      <c r="CS100" s="78"/>
    </row>
    <row r="101" spans="5:97" ht="21" hidden="1" thickBot="1" x14ac:dyDescent="0.25">
      <c r="E101" s="130"/>
      <c r="F101" s="130"/>
      <c r="G101" s="998"/>
      <c r="O101" s="995"/>
      <c r="U101" s="131"/>
      <c r="V101" s="126"/>
      <c r="W101" s="126"/>
      <c r="X101" s="126"/>
      <c r="Y101" s="126"/>
      <c r="Z101" s="126"/>
      <c r="AA101" s="126"/>
      <c r="AB101" s="126"/>
      <c r="AC101" s="126"/>
      <c r="AD101" s="126"/>
      <c r="AE101" s="126"/>
      <c r="AF101" s="126"/>
      <c r="AG101" s="126"/>
      <c r="AH101" s="126"/>
      <c r="AI101" s="126"/>
      <c r="AJ101" s="126"/>
      <c r="AK101" s="126"/>
      <c r="AL101" s="126"/>
      <c r="AM101" s="126"/>
      <c r="AN101" s="126"/>
      <c r="AO101" s="126"/>
      <c r="AT101" s="126"/>
      <c r="AU101" s="126"/>
      <c r="AV101" s="126"/>
      <c r="AW101" s="126"/>
      <c r="BB101" s="182"/>
      <c r="BC101" s="86"/>
      <c r="BD101" s="126"/>
      <c r="BE101" s="96">
        <v>23</v>
      </c>
      <c r="BF101" s="78"/>
      <c r="BG101" s="78"/>
      <c r="BH101" s="78"/>
      <c r="BI101" s="78"/>
      <c r="BJ101" s="78"/>
      <c r="BK101" s="78"/>
      <c r="BL101" s="78"/>
      <c r="BM101" s="78"/>
      <c r="BN101" s="78"/>
      <c r="BO101" s="78"/>
      <c r="BP101" s="78"/>
      <c r="BQ101" s="120" t="b">
        <f>IF(CB81=23,12)</f>
        <v>0</v>
      </c>
      <c r="BR101" s="121"/>
      <c r="BS101" s="121"/>
      <c r="BT101" s="121"/>
      <c r="BU101" s="122"/>
      <c r="BV101" s="121"/>
      <c r="BW101" s="132"/>
      <c r="BX101" s="121"/>
      <c r="BY101" s="133"/>
      <c r="BZ101" s="121"/>
      <c r="CA101" s="121"/>
      <c r="CB101" s="121"/>
      <c r="CC101" s="121"/>
      <c r="CD101" s="121"/>
      <c r="CE101" s="121"/>
      <c r="CF101" s="121"/>
      <c r="CG101" s="121"/>
      <c r="CH101" s="121"/>
      <c r="CI101" s="122"/>
      <c r="CJ101" s="123"/>
      <c r="CK101" s="123"/>
      <c r="CL101" s="123"/>
      <c r="CM101" s="124" t="b">
        <f>IF(CB81=23,34)</f>
        <v>0</v>
      </c>
      <c r="CN101" s="76"/>
      <c r="CO101" s="76"/>
      <c r="CP101" s="76"/>
      <c r="CQ101" s="76"/>
      <c r="CR101" s="78"/>
      <c r="CS101" s="78"/>
    </row>
    <row r="102" spans="5:97" ht="21" hidden="1" thickBot="1" x14ac:dyDescent="0.25">
      <c r="E102" s="130"/>
      <c r="F102" s="130"/>
      <c r="G102" s="998"/>
      <c r="O102" s="995"/>
      <c r="U102" s="125"/>
      <c r="V102" s="126"/>
      <c r="W102" s="126"/>
      <c r="X102" s="126"/>
      <c r="Y102" s="126"/>
      <c r="Z102" s="126"/>
      <c r="AA102" s="126"/>
      <c r="AB102" s="126"/>
      <c r="AC102" s="126"/>
      <c r="AD102" s="126"/>
      <c r="AE102" s="126"/>
      <c r="AF102" s="126"/>
      <c r="AG102" s="126"/>
      <c r="AH102" s="126"/>
      <c r="AI102" s="126"/>
      <c r="AJ102" s="126"/>
      <c r="AK102" s="126"/>
      <c r="AL102" s="126"/>
      <c r="AM102" s="126"/>
      <c r="AN102" s="126"/>
      <c r="AO102" s="126"/>
      <c r="AT102" s="126"/>
      <c r="AU102" s="126"/>
      <c r="AV102" s="126"/>
      <c r="AW102" s="126"/>
      <c r="BB102" s="182"/>
      <c r="BC102" s="86"/>
      <c r="BD102" s="126"/>
      <c r="BE102" s="96">
        <v>22</v>
      </c>
      <c r="BF102" s="76"/>
      <c r="BG102" s="76"/>
      <c r="BH102" s="76"/>
      <c r="BI102" s="76"/>
      <c r="BJ102" s="76"/>
      <c r="BK102" s="76"/>
      <c r="BL102" s="76"/>
      <c r="BM102" s="76"/>
      <c r="BN102" s="76"/>
      <c r="BO102" s="76"/>
      <c r="BP102" s="76"/>
      <c r="BQ102" s="120" t="b">
        <f>IF(CA81=22,12)</f>
        <v>0</v>
      </c>
      <c r="BR102" s="123"/>
      <c r="BS102" s="123"/>
      <c r="BT102" s="123"/>
      <c r="BU102" s="122"/>
      <c r="BV102" s="123"/>
      <c r="BW102" s="134"/>
      <c r="BX102" s="123"/>
      <c r="BY102" s="135"/>
      <c r="BZ102" s="123"/>
      <c r="CA102" s="123"/>
      <c r="CB102" s="123"/>
      <c r="CC102" s="123"/>
      <c r="CD102" s="121"/>
      <c r="CE102" s="121"/>
      <c r="CF102" s="122"/>
      <c r="CG102" s="121"/>
      <c r="CH102" s="121"/>
      <c r="CI102" s="121"/>
      <c r="CJ102" s="121"/>
      <c r="CK102" s="124" t="b">
        <f>IF(CA81=22,32)</f>
        <v>0</v>
      </c>
      <c r="CL102" s="78"/>
      <c r="CM102" s="78"/>
      <c r="CN102" s="78"/>
      <c r="CO102" s="78"/>
      <c r="CP102" s="78"/>
      <c r="CQ102" s="78"/>
      <c r="CR102" s="78"/>
      <c r="CS102" s="78"/>
    </row>
    <row r="103" spans="5:97" ht="21" hidden="1" thickBot="1" x14ac:dyDescent="0.25">
      <c r="G103" s="998"/>
      <c r="O103" s="995"/>
      <c r="T103" s="126"/>
      <c r="U103" s="126"/>
      <c r="V103" s="126"/>
      <c r="W103" s="126"/>
      <c r="X103" s="126"/>
      <c r="Y103" s="126"/>
      <c r="Z103" s="126"/>
      <c r="AA103" s="126"/>
      <c r="AB103" s="126"/>
      <c r="AC103" s="126"/>
      <c r="AD103" s="126"/>
      <c r="AE103" s="126"/>
      <c r="AF103" s="126"/>
      <c r="AG103" s="126"/>
      <c r="AH103" s="126"/>
      <c r="AI103" s="126"/>
      <c r="AJ103" s="126"/>
      <c r="AK103" s="126"/>
      <c r="AL103" s="126"/>
      <c r="AM103" s="126"/>
      <c r="AN103" s="126"/>
      <c r="AO103" s="126"/>
      <c r="AT103" s="126"/>
      <c r="AU103" s="126"/>
      <c r="AV103" s="126"/>
      <c r="AW103" s="126"/>
      <c r="BB103" s="182"/>
      <c r="BC103" s="86"/>
      <c r="BD103" s="126"/>
      <c r="BE103" s="96">
        <v>21</v>
      </c>
      <c r="BF103" s="78"/>
      <c r="BG103" s="78"/>
      <c r="BH103" s="78"/>
      <c r="BI103" s="78"/>
      <c r="BJ103" s="78"/>
      <c r="BK103" s="78"/>
      <c r="BL103" s="78"/>
      <c r="BM103" s="78"/>
      <c r="BN103" s="78"/>
      <c r="BO103" s="78"/>
      <c r="BP103" s="78"/>
      <c r="BQ103" s="120" t="b">
        <f>IF(BZ81=21,12)</f>
        <v>0</v>
      </c>
      <c r="BR103" s="121"/>
      <c r="BS103" s="121"/>
      <c r="BT103" s="121"/>
      <c r="BU103" s="121"/>
      <c r="BV103" s="121"/>
      <c r="BW103" s="132"/>
      <c r="BX103" s="121"/>
      <c r="BY103" s="133"/>
      <c r="BZ103" s="121"/>
      <c r="CA103" s="121"/>
      <c r="CB103" s="121"/>
      <c r="CC103" s="121"/>
      <c r="CD103" s="121"/>
      <c r="CE103" s="121"/>
      <c r="CF103" s="121"/>
      <c r="CG103" s="121"/>
      <c r="CH103" s="121"/>
      <c r="CI103" s="124" t="b">
        <f>IF(BZ81=21,30)</f>
        <v>0</v>
      </c>
      <c r="CJ103" s="76"/>
      <c r="CK103" s="76"/>
      <c r="CL103" s="76"/>
      <c r="CM103" s="76"/>
      <c r="CN103" s="76"/>
      <c r="CO103" s="76"/>
      <c r="CP103" s="76"/>
      <c r="CQ103" s="76"/>
      <c r="CR103" s="78"/>
      <c r="CS103" s="78"/>
    </row>
    <row r="104" spans="5:97" ht="21" hidden="1" thickBot="1" x14ac:dyDescent="0.25">
      <c r="G104" s="998"/>
      <c r="O104" s="995"/>
      <c r="T104" s="126"/>
      <c r="U104" s="126"/>
      <c r="V104" s="126"/>
      <c r="W104" s="126"/>
      <c r="X104" s="126"/>
      <c r="Y104" s="126"/>
      <c r="Z104" s="126"/>
      <c r="AA104" s="126"/>
      <c r="AB104" s="126"/>
      <c r="AC104" s="126"/>
      <c r="AD104" s="126"/>
      <c r="AE104" s="126"/>
      <c r="AF104" s="126"/>
      <c r="AG104" s="126"/>
      <c r="AH104" s="126"/>
      <c r="AI104" s="126"/>
      <c r="AJ104" s="126"/>
      <c r="AK104" s="126"/>
      <c r="AL104" s="126"/>
      <c r="AM104" s="126"/>
      <c r="AN104" s="126"/>
      <c r="AO104" s="126"/>
      <c r="AT104" s="136"/>
      <c r="AU104" s="136"/>
      <c r="AV104" s="136"/>
      <c r="AW104" s="136"/>
      <c r="BB104" s="182"/>
      <c r="BC104" s="86"/>
      <c r="BD104" s="1091"/>
      <c r="BE104" s="96">
        <v>20</v>
      </c>
      <c r="BF104" s="78"/>
      <c r="BG104" s="78"/>
      <c r="BH104" s="78"/>
      <c r="BI104" s="78"/>
      <c r="BJ104" s="78"/>
      <c r="BK104" s="78"/>
      <c r="BL104" s="78"/>
      <c r="BM104" s="78"/>
      <c r="BP104" s="137"/>
      <c r="BQ104" s="117" t="b">
        <f>IF(BY81=20,12)</f>
        <v>0</v>
      </c>
      <c r="BR104" s="111"/>
      <c r="BS104" s="111"/>
      <c r="BT104" s="111"/>
      <c r="BU104" s="111"/>
      <c r="BV104" s="111"/>
      <c r="BW104" s="138"/>
      <c r="BX104" s="111"/>
      <c r="BY104" s="129"/>
      <c r="BZ104" s="111"/>
      <c r="CA104" s="111"/>
      <c r="CB104" s="111"/>
      <c r="CC104" s="111"/>
      <c r="CD104" s="111"/>
      <c r="CE104" s="111"/>
      <c r="CF104" s="111"/>
      <c r="CG104" s="103" t="b">
        <f>IF(BY81=20,28)</f>
        <v>0</v>
      </c>
      <c r="CH104" s="137"/>
      <c r="CJ104" s="76"/>
      <c r="CK104" s="76"/>
      <c r="CL104" s="76"/>
      <c r="CM104" s="76"/>
      <c r="CN104" s="76"/>
      <c r="CO104" s="76"/>
      <c r="CP104" s="76"/>
      <c r="CQ104" s="76"/>
      <c r="CR104" s="78"/>
      <c r="CS104" s="78"/>
    </row>
    <row r="105" spans="5:97" ht="21" hidden="1" thickBot="1" x14ac:dyDescent="0.25">
      <c r="G105" s="998"/>
      <c r="O105" s="995"/>
      <c r="AT105" s="136"/>
      <c r="AU105" s="136"/>
      <c r="AV105" s="136"/>
      <c r="AW105" s="136"/>
      <c r="BB105" s="182"/>
      <c r="BC105" s="86"/>
      <c r="BD105" s="1091"/>
      <c r="BE105" s="96">
        <v>19</v>
      </c>
      <c r="BF105" s="78"/>
      <c r="BG105" s="78"/>
      <c r="BH105" s="78"/>
      <c r="BI105" s="78"/>
      <c r="BJ105" s="78"/>
      <c r="BK105" s="78"/>
      <c r="BL105" s="78"/>
      <c r="BM105" s="78"/>
      <c r="BO105" s="139"/>
      <c r="BP105" s="139"/>
      <c r="BQ105" s="117" t="b">
        <f>IF(BX81=19,12)</f>
        <v>0</v>
      </c>
      <c r="BR105" s="119"/>
      <c r="BS105" s="119"/>
      <c r="BT105" s="118"/>
      <c r="BU105" s="119"/>
      <c r="BV105" s="119"/>
      <c r="BW105" s="140"/>
      <c r="BX105" s="119"/>
      <c r="BY105" s="141"/>
      <c r="BZ105" s="118"/>
      <c r="CA105" s="119"/>
      <c r="CB105" s="119"/>
      <c r="CC105" s="119"/>
      <c r="CD105" s="111"/>
      <c r="CE105" s="103" t="b">
        <f>IF(BX81=19,26)</f>
        <v>0</v>
      </c>
      <c r="CF105" s="142"/>
      <c r="CG105" s="137"/>
      <c r="CI105" s="78"/>
      <c r="CJ105" s="78"/>
      <c r="CK105" s="78"/>
      <c r="CL105" s="78"/>
      <c r="CM105" s="78"/>
      <c r="CN105" s="78"/>
      <c r="CO105" s="78"/>
      <c r="CP105" s="78"/>
      <c r="CQ105" s="78"/>
      <c r="CR105" s="78"/>
      <c r="CS105" s="78"/>
    </row>
    <row r="106" spans="5:97" ht="21" hidden="1" thickBot="1" x14ac:dyDescent="0.25">
      <c r="G106" s="998"/>
      <c r="O106" s="995"/>
      <c r="AT106" s="136"/>
      <c r="AU106" s="136"/>
      <c r="AV106" s="136"/>
      <c r="AW106" s="136"/>
      <c r="BB106" s="182"/>
      <c r="BC106" s="86"/>
      <c r="BD106" s="1091"/>
      <c r="BE106" s="96">
        <v>18</v>
      </c>
      <c r="BF106" s="76"/>
      <c r="BG106" s="76"/>
      <c r="BH106" s="76"/>
      <c r="BI106" s="76"/>
      <c r="BJ106" s="76"/>
      <c r="BK106" s="76"/>
      <c r="BL106" s="76"/>
      <c r="BM106" s="76"/>
      <c r="BO106" s="117" t="b">
        <f>IF(BW81=18,10)</f>
        <v>0</v>
      </c>
      <c r="BP106" s="119"/>
      <c r="BQ106" s="119"/>
      <c r="BR106" s="119"/>
      <c r="BS106" s="119"/>
      <c r="BT106" s="118"/>
      <c r="BU106" s="119"/>
      <c r="BV106" s="119"/>
      <c r="BW106" s="140"/>
      <c r="BX106" s="119"/>
      <c r="BY106" s="141"/>
      <c r="BZ106" s="118"/>
      <c r="CA106" s="119"/>
      <c r="CB106" s="119"/>
      <c r="CC106" s="119"/>
      <c r="CD106" s="111"/>
      <c r="CE106" s="103" t="b">
        <f>IF(BW81=18,26)</f>
        <v>0</v>
      </c>
      <c r="CG106" s="78"/>
      <c r="CH106" s="78"/>
      <c r="CI106" s="78"/>
      <c r="CJ106" s="78"/>
      <c r="CK106" s="78"/>
      <c r="CL106" s="78"/>
      <c r="CM106" s="78"/>
      <c r="CN106" s="78"/>
      <c r="CO106" s="78"/>
      <c r="CP106" s="78"/>
      <c r="CQ106" s="78"/>
      <c r="CR106" s="78"/>
      <c r="CS106" s="78"/>
    </row>
    <row r="107" spans="5:97" ht="21" hidden="1" thickBot="1" x14ac:dyDescent="0.25">
      <c r="G107" s="998"/>
      <c r="O107" s="995"/>
      <c r="AT107" s="136"/>
      <c r="AU107" s="136"/>
      <c r="AV107" s="136"/>
      <c r="AW107" s="136"/>
      <c r="BB107" s="182"/>
      <c r="BC107" s="86"/>
      <c r="BD107" s="1091"/>
      <c r="BE107" s="96">
        <v>17</v>
      </c>
      <c r="BF107" s="76"/>
      <c r="BG107" s="76"/>
      <c r="BH107" s="76"/>
      <c r="BI107" s="76"/>
      <c r="BJ107" s="76"/>
      <c r="BK107" s="76"/>
      <c r="BL107" s="76"/>
      <c r="BM107" s="117" t="b">
        <f>IF(BV81=17,8)</f>
        <v>0</v>
      </c>
      <c r="BN107" s="118"/>
      <c r="BO107" s="118"/>
      <c r="BP107" s="119"/>
      <c r="BQ107" s="119"/>
      <c r="BR107" s="119"/>
      <c r="BS107" s="119"/>
      <c r="BT107" s="119"/>
      <c r="BU107" s="119"/>
      <c r="BV107" s="119"/>
      <c r="BW107" s="140"/>
      <c r="BX107" s="119"/>
      <c r="BY107" s="141"/>
      <c r="BZ107" s="119"/>
      <c r="CA107" s="119"/>
      <c r="CB107" s="119"/>
      <c r="CC107" s="118"/>
      <c r="CD107" s="118"/>
      <c r="CE107" s="103" t="b">
        <f>IF(BV81=17,26)</f>
        <v>0</v>
      </c>
      <c r="CF107" s="78"/>
      <c r="CG107" s="78"/>
      <c r="CH107" s="78"/>
      <c r="CI107" s="78"/>
      <c r="CJ107" s="78"/>
      <c r="CK107" s="78"/>
      <c r="CL107" s="78"/>
      <c r="CM107" s="78"/>
      <c r="CN107" s="78"/>
      <c r="CO107" s="78"/>
      <c r="CP107" s="78"/>
      <c r="CQ107" s="78"/>
      <c r="CR107" s="78"/>
      <c r="CS107" s="78"/>
    </row>
    <row r="108" spans="5:97" ht="21" hidden="1" thickBot="1" x14ac:dyDescent="0.25">
      <c r="G108" s="998"/>
      <c r="O108" s="995"/>
      <c r="T108" s="126"/>
      <c r="U108" s="126"/>
      <c r="V108" s="126"/>
      <c r="W108" s="126"/>
      <c r="X108" s="126"/>
      <c r="Y108" s="126"/>
      <c r="Z108" s="126"/>
      <c r="AA108" s="126"/>
      <c r="AB108" s="126"/>
      <c r="AC108" s="126"/>
      <c r="AD108" s="126"/>
      <c r="AE108" s="126"/>
      <c r="AF108" s="126"/>
      <c r="AG108" s="126"/>
      <c r="AH108" s="126"/>
      <c r="AI108" s="126"/>
      <c r="AJ108" s="126"/>
      <c r="AK108" s="126"/>
      <c r="AL108" s="126"/>
      <c r="AM108" s="126"/>
      <c r="AN108" s="126"/>
      <c r="AO108" s="126"/>
      <c r="AQ108" s="143"/>
      <c r="AR108" s="144"/>
      <c r="AS108" s="144"/>
      <c r="AT108" s="136"/>
      <c r="AU108" s="136"/>
      <c r="AV108" s="136"/>
      <c r="AW108" s="136"/>
      <c r="BB108" s="182"/>
      <c r="BC108" s="86"/>
      <c r="BD108" s="1091"/>
      <c r="BE108" s="96">
        <v>16</v>
      </c>
      <c r="BF108" s="76"/>
      <c r="BG108" s="76"/>
      <c r="BH108" s="76"/>
      <c r="BI108" s="76"/>
      <c r="BJ108" s="76"/>
      <c r="BK108" s="145">
        <f>IF(BU81=16,6)</f>
        <v>6</v>
      </c>
      <c r="BL108" s="146"/>
      <c r="BM108" s="147"/>
      <c r="BN108" s="147"/>
      <c r="BO108" s="146"/>
      <c r="BP108" s="146"/>
      <c r="BQ108" s="146"/>
      <c r="BR108" s="146"/>
      <c r="BS108" s="146"/>
      <c r="BT108" s="146"/>
      <c r="BU108" s="146"/>
      <c r="BV108" s="146"/>
      <c r="BW108" s="148"/>
      <c r="BX108" s="146"/>
      <c r="BY108" s="149"/>
      <c r="BZ108" s="146"/>
      <c r="CA108" s="146"/>
      <c r="CB108" s="147"/>
      <c r="CC108" s="147"/>
      <c r="CD108" s="150"/>
      <c r="CE108" s="151">
        <f>IF(BU81=16,26)</f>
        <v>26</v>
      </c>
      <c r="CF108" s="78"/>
      <c r="CG108" s="78"/>
      <c r="CH108" s="78"/>
      <c r="CI108" s="78"/>
      <c r="CJ108" s="78"/>
      <c r="CK108" s="78"/>
      <c r="CL108" s="78"/>
      <c r="CM108" s="78"/>
      <c r="CN108" s="78"/>
      <c r="CO108" s="78"/>
      <c r="CP108" s="78"/>
      <c r="CQ108" s="78"/>
      <c r="CR108" s="78"/>
      <c r="CS108" s="78"/>
    </row>
    <row r="109" spans="5:97" ht="21" hidden="1" thickBot="1" x14ac:dyDescent="0.25">
      <c r="G109" s="998"/>
      <c r="O109" s="995"/>
      <c r="T109" s="126"/>
      <c r="U109" s="126"/>
      <c r="V109" s="126"/>
      <c r="W109" s="126"/>
      <c r="X109" s="126"/>
      <c r="Y109" s="126"/>
      <c r="Z109" s="126"/>
      <c r="AA109" s="126"/>
      <c r="AB109" s="126"/>
      <c r="AC109" s="126"/>
      <c r="AD109" s="126"/>
      <c r="AE109" s="126"/>
      <c r="AF109" s="126"/>
      <c r="AG109" s="126"/>
      <c r="AH109" s="126"/>
      <c r="AI109" s="126"/>
      <c r="AJ109" s="126"/>
      <c r="AK109" s="126"/>
      <c r="AL109" s="126"/>
      <c r="AM109" s="126"/>
      <c r="AN109" s="126"/>
      <c r="AO109" s="126"/>
      <c r="AQ109" s="143"/>
      <c r="AR109" s="144"/>
      <c r="AS109" s="144"/>
      <c r="AT109" s="136"/>
      <c r="AU109" s="136"/>
      <c r="AV109" s="136"/>
      <c r="AW109" s="136"/>
      <c r="BB109" s="182"/>
      <c r="BC109" s="86"/>
      <c r="BD109" s="1091"/>
      <c r="BE109" s="96">
        <v>15</v>
      </c>
      <c r="BF109" s="76"/>
      <c r="BG109" s="76"/>
      <c r="BH109" s="76"/>
      <c r="BI109" s="117" t="b">
        <f>IF(BT81=15,4)</f>
        <v>0</v>
      </c>
      <c r="BJ109" s="119"/>
      <c r="BK109" s="119"/>
      <c r="BL109" s="119"/>
      <c r="BM109" s="118"/>
      <c r="BN109" s="119"/>
      <c r="BO109" s="119"/>
      <c r="BP109" s="118"/>
      <c r="BQ109" s="119"/>
      <c r="BR109" s="119"/>
      <c r="BS109" s="119"/>
      <c r="BT109" s="119"/>
      <c r="BU109" s="119"/>
      <c r="BV109" s="119"/>
      <c r="BW109" s="140"/>
      <c r="BX109" s="118"/>
      <c r="BY109" s="141"/>
      <c r="BZ109" s="119"/>
      <c r="CA109" s="118"/>
      <c r="CB109" s="119"/>
      <c r="CC109" s="119"/>
      <c r="CD109" s="111"/>
      <c r="CE109" s="103" t="b">
        <f>IF(BT81=15,26)</f>
        <v>0</v>
      </c>
      <c r="CF109" s="78"/>
      <c r="CG109" s="78"/>
      <c r="CH109" s="78"/>
      <c r="CI109" s="78"/>
      <c r="CJ109" s="78"/>
      <c r="CK109" s="78"/>
      <c r="CL109" s="78"/>
      <c r="CM109" s="78"/>
      <c r="CN109" s="78"/>
      <c r="CO109" s="78"/>
      <c r="CP109" s="78"/>
      <c r="CQ109" s="78"/>
      <c r="CR109" s="78"/>
      <c r="CS109" s="78"/>
    </row>
    <row r="110" spans="5:97" ht="21" hidden="1" thickBot="1" x14ac:dyDescent="0.25">
      <c r="G110" s="998"/>
      <c r="O110" s="995"/>
      <c r="T110" s="126"/>
      <c r="U110" s="126"/>
      <c r="V110" s="126"/>
      <c r="W110" s="126"/>
      <c r="X110" s="126"/>
      <c r="Y110" s="126"/>
      <c r="Z110" s="126"/>
      <c r="AA110" s="126"/>
      <c r="AB110" s="126"/>
      <c r="AC110" s="126"/>
      <c r="AD110" s="126"/>
      <c r="AE110" s="126"/>
      <c r="AF110" s="126"/>
      <c r="AG110" s="126"/>
      <c r="AH110" s="126"/>
      <c r="AI110" s="126"/>
      <c r="AJ110" s="126"/>
      <c r="AK110" s="126"/>
      <c r="AL110" s="126"/>
      <c r="AM110" s="126"/>
      <c r="AN110" s="126"/>
      <c r="AO110" s="126"/>
      <c r="AQ110" s="143"/>
      <c r="AR110" s="144"/>
      <c r="AS110" s="144"/>
      <c r="AT110" s="136"/>
      <c r="AU110" s="136"/>
      <c r="AV110" s="136"/>
      <c r="AW110" s="136"/>
      <c r="BB110" s="182"/>
      <c r="BC110" s="86"/>
      <c r="BD110" s="1091"/>
      <c r="BE110" s="96">
        <v>14</v>
      </c>
      <c r="BF110" s="76"/>
      <c r="BG110" s="117" t="b">
        <f>IF(BS81=14,2)</f>
        <v>0</v>
      </c>
      <c r="BH110" s="119"/>
      <c r="BI110" s="119"/>
      <c r="BJ110" s="119"/>
      <c r="BK110" s="118"/>
      <c r="BL110" s="119"/>
      <c r="BM110" s="119"/>
      <c r="BN110" s="118"/>
      <c r="BO110" s="119"/>
      <c r="BP110" s="119"/>
      <c r="BQ110" s="119"/>
      <c r="BR110" s="119"/>
      <c r="BS110" s="119"/>
      <c r="BT110" s="119"/>
      <c r="BU110" s="119"/>
      <c r="BV110" s="119"/>
      <c r="BW110" s="140"/>
      <c r="BX110" s="118"/>
      <c r="BY110" s="141"/>
      <c r="BZ110" s="119"/>
      <c r="CA110" s="118"/>
      <c r="CB110" s="119"/>
      <c r="CC110" s="119"/>
      <c r="CD110" s="111"/>
      <c r="CE110" s="103" t="b">
        <f>IF(BS81=14,26)</f>
        <v>0</v>
      </c>
      <c r="CF110" s="78"/>
      <c r="CG110" s="78"/>
      <c r="CH110" s="78"/>
      <c r="CI110" s="78"/>
      <c r="CJ110" s="78"/>
      <c r="CK110" s="78"/>
      <c r="CL110" s="78"/>
      <c r="CM110" s="78"/>
      <c r="CN110" s="78"/>
      <c r="CO110" s="78"/>
      <c r="CP110" s="78"/>
      <c r="CQ110" s="78"/>
      <c r="CR110" s="78"/>
      <c r="CS110" s="78"/>
    </row>
    <row r="111" spans="5:97" ht="21" hidden="1" thickBot="1" x14ac:dyDescent="0.25">
      <c r="G111" s="998"/>
      <c r="O111" s="995"/>
      <c r="T111" s="126"/>
      <c r="U111" s="126"/>
      <c r="V111" s="126"/>
      <c r="W111" s="126"/>
      <c r="X111" s="126"/>
      <c r="Y111" s="126"/>
      <c r="Z111" s="126"/>
      <c r="AA111" s="126"/>
      <c r="AB111" s="126"/>
      <c r="AC111" s="126"/>
      <c r="AD111" s="126"/>
      <c r="AE111" s="126"/>
      <c r="AF111" s="126"/>
      <c r="AG111" s="126"/>
      <c r="AH111" s="126"/>
      <c r="AI111" s="126"/>
      <c r="AJ111" s="126"/>
      <c r="AK111" s="126"/>
      <c r="AL111" s="126"/>
      <c r="AM111" s="126"/>
      <c r="AN111" s="126"/>
      <c r="AO111" s="126"/>
      <c r="AQ111" s="143"/>
      <c r="AR111" s="144"/>
      <c r="AS111" s="144"/>
      <c r="AT111" s="136"/>
      <c r="AU111" s="136"/>
      <c r="AV111" s="136"/>
      <c r="AW111" s="136"/>
      <c r="BB111" s="182"/>
      <c r="BC111" s="86"/>
      <c r="BD111" s="1091"/>
      <c r="BE111" s="96">
        <v>13</v>
      </c>
      <c r="BF111" s="76"/>
      <c r="BG111" s="76"/>
      <c r="BH111" s="76"/>
      <c r="BJ111" s="152"/>
      <c r="BK111" s="152"/>
      <c r="BL111" s="91"/>
      <c r="BM111" s="152"/>
      <c r="BN111" s="120" t="b">
        <f>IF(BR81=13,9)</f>
        <v>0</v>
      </c>
      <c r="BO111" s="123"/>
      <c r="BP111" s="123"/>
      <c r="BQ111" s="123"/>
      <c r="BR111" s="123"/>
      <c r="BS111" s="123"/>
      <c r="BT111" s="123"/>
      <c r="BU111" s="123"/>
      <c r="BV111" s="124" t="b">
        <f>IF(BR81=13,17)</f>
        <v>0</v>
      </c>
      <c r="BW111" s="153"/>
      <c r="BX111" s="91"/>
      <c r="BY111" s="154"/>
      <c r="BZ111" s="152"/>
      <c r="CB111" s="76"/>
      <c r="CC111" s="76"/>
      <c r="CD111" s="78"/>
      <c r="CE111" s="78"/>
      <c r="CF111" s="78"/>
      <c r="CG111" s="78"/>
      <c r="CH111" s="78"/>
      <c r="CI111" s="78"/>
      <c r="CJ111" s="78"/>
      <c r="CK111" s="78"/>
      <c r="CL111" s="78"/>
      <c r="CM111" s="78"/>
      <c r="CN111" s="78"/>
      <c r="CO111" s="78"/>
      <c r="CP111" s="78"/>
      <c r="CQ111" s="78"/>
      <c r="CR111" s="78"/>
      <c r="CS111" s="78"/>
    </row>
    <row r="112" spans="5:97" ht="21" hidden="1" thickBot="1" x14ac:dyDescent="0.25">
      <c r="G112" s="998"/>
      <c r="O112" s="995"/>
      <c r="T112" s="126"/>
      <c r="U112" s="126"/>
      <c r="V112" s="126"/>
      <c r="W112" s="126"/>
      <c r="X112" s="126"/>
      <c r="Y112" s="126"/>
      <c r="Z112" s="126"/>
      <c r="AA112" s="126"/>
      <c r="AB112" s="126"/>
      <c r="AC112" s="126"/>
      <c r="AD112" s="126"/>
      <c r="AE112" s="126"/>
      <c r="AF112" s="126"/>
      <c r="AG112" s="126"/>
      <c r="AH112" s="126"/>
      <c r="AI112" s="126"/>
      <c r="AJ112" s="126"/>
      <c r="AK112" s="126"/>
      <c r="AL112" s="126"/>
      <c r="AM112" s="126"/>
      <c r="AN112" s="126"/>
      <c r="AO112" s="126"/>
      <c r="AQ112" s="143"/>
      <c r="AR112" s="144"/>
      <c r="AS112" s="144"/>
      <c r="AT112" s="136"/>
      <c r="AU112" s="136"/>
      <c r="AV112" s="136"/>
      <c r="AW112" s="136"/>
      <c r="BB112" s="182"/>
      <c r="BC112" s="86"/>
      <c r="BD112" s="1091"/>
      <c r="BE112" s="96">
        <v>12</v>
      </c>
      <c r="BF112" s="76"/>
      <c r="BH112" s="139"/>
      <c r="BI112" s="139"/>
      <c r="BJ112" s="142"/>
      <c r="BK112" s="139"/>
      <c r="BL112" s="117" t="b">
        <f>IF(BQ81=12,7)</f>
        <v>0</v>
      </c>
      <c r="BM112" s="119"/>
      <c r="BN112" s="119"/>
      <c r="BO112" s="119"/>
      <c r="BP112" s="119"/>
      <c r="BQ112" s="119"/>
      <c r="BR112" s="119"/>
      <c r="BS112" s="119"/>
      <c r="BT112" s="119"/>
      <c r="BU112" s="119"/>
      <c r="BV112" s="103" t="b">
        <f>IF(BQ81=12,17)</f>
        <v>0</v>
      </c>
      <c r="BW112" s="155"/>
      <c r="BX112" s="142"/>
      <c r="BY112" s="156"/>
      <c r="BZ112" s="139"/>
      <c r="CB112" s="76"/>
      <c r="CC112" s="76"/>
      <c r="CD112" s="78"/>
      <c r="CE112" s="78"/>
      <c r="CF112" s="78"/>
      <c r="CG112" s="78"/>
      <c r="CH112" s="78"/>
      <c r="CI112" s="78"/>
      <c r="CJ112" s="78"/>
      <c r="CK112" s="78"/>
      <c r="CL112" s="78"/>
      <c r="CM112" s="78"/>
      <c r="CN112" s="78"/>
      <c r="CO112" s="78"/>
      <c r="CP112" s="78"/>
      <c r="CQ112" s="78"/>
      <c r="CR112" s="78"/>
      <c r="CS112" s="78"/>
    </row>
    <row r="113" spans="2:97" ht="21" hidden="1" thickBot="1" x14ac:dyDescent="0.25">
      <c r="G113" s="998"/>
      <c r="O113" s="995"/>
      <c r="T113" s="126"/>
      <c r="U113" s="126"/>
      <c r="V113" s="126"/>
      <c r="W113" s="126"/>
      <c r="X113" s="126"/>
      <c r="Y113" s="126"/>
      <c r="Z113" s="126"/>
      <c r="AA113" s="126"/>
      <c r="AB113" s="126"/>
      <c r="AC113" s="126"/>
      <c r="AD113" s="126"/>
      <c r="AE113" s="126"/>
      <c r="AF113" s="126"/>
      <c r="AG113" s="126"/>
      <c r="AH113" s="126"/>
      <c r="AI113" s="126"/>
      <c r="AJ113" s="126"/>
      <c r="AK113" s="126"/>
      <c r="AL113" s="126"/>
      <c r="AM113" s="126"/>
      <c r="AN113" s="126"/>
      <c r="AO113" s="126"/>
      <c r="AQ113" s="143"/>
      <c r="AR113" s="144"/>
      <c r="AS113" s="144"/>
      <c r="AT113" s="136"/>
      <c r="AU113" s="136"/>
      <c r="AV113" s="136"/>
      <c r="AW113" s="136"/>
      <c r="BB113" s="182"/>
      <c r="BC113" s="86"/>
      <c r="BD113" s="1091"/>
      <c r="BE113" s="96">
        <v>11</v>
      </c>
      <c r="BG113" s="152"/>
      <c r="BH113" s="91"/>
      <c r="BI113" s="152"/>
      <c r="BJ113" s="117" t="b">
        <f>IF(BP81=11,5)</f>
        <v>0</v>
      </c>
      <c r="BK113" s="119"/>
      <c r="BL113" s="119"/>
      <c r="BM113" s="119"/>
      <c r="BN113" s="119"/>
      <c r="BO113" s="119"/>
      <c r="BP113" s="119"/>
      <c r="BQ113" s="119"/>
      <c r="BR113" s="119"/>
      <c r="BS113" s="119"/>
      <c r="BT113" s="119"/>
      <c r="BU113" s="119"/>
      <c r="BV113" s="103" t="b">
        <f>IF(BP81=11,17)</f>
        <v>0</v>
      </c>
      <c r="BW113" s="153"/>
      <c r="BX113" s="91"/>
      <c r="BY113" s="154"/>
      <c r="CA113" s="76"/>
      <c r="CB113" s="76"/>
      <c r="CC113" s="76"/>
      <c r="CD113" s="78"/>
      <c r="CE113" s="78"/>
      <c r="CF113" s="78"/>
      <c r="CG113" s="78"/>
      <c r="CH113" s="78"/>
      <c r="CI113" s="78"/>
      <c r="CJ113" s="78"/>
      <c r="CK113" s="78"/>
      <c r="CL113" s="78"/>
      <c r="CM113" s="78"/>
      <c r="CN113" s="78"/>
      <c r="CO113" s="78"/>
      <c r="CP113" s="78"/>
      <c r="CQ113" s="78"/>
      <c r="CR113" s="78"/>
      <c r="CS113" s="78"/>
    </row>
    <row r="114" spans="2:97" ht="21" hidden="1" thickBot="1" x14ac:dyDescent="0.25">
      <c r="B114" s="63"/>
      <c r="G114" s="998"/>
      <c r="O114" s="995"/>
      <c r="T114" s="126"/>
      <c r="U114" s="126"/>
      <c r="V114" s="126"/>
      <c r="W114" s="126"/>
      <c r="X114" s="126"/>
      <c r="Y114" s="126"/>
      <c r="Z114" s="126"/>
      <c r="AA114" s="126"/>
      <c r="AB114" s="126"/>
      <c r="AC114" s="126"/>
      <c r="AD114" s="126"/>
      <c r="AE114" s="126"/>
      <c r="AF114" s="126"/>
      <c r="AG114" s="126"/>
      <c r="AH114" s="126"/>
      <c r="AI114" s="126"/>
      <c r="AJ114" s="126"/>
      <c r="AK114" s="126"/>
      <c r="AL114" s="126"/>
      <c r="AM114" s="126"/>
      <c r="AN114" s="126"/>
      <c r="AO114" s="126"/>
      <c r="AQ114" s="143"/>
      <c r="AR114" s="144"/>
      <c r="AS114" s="144"/>
      <c r="AT114" s="136"/>
      <c r="AU114" s="136"/>
      <c r="AV114" s="136"/>
      <c r="AW114" s="136"/>
      <c r="BB114" s="182"/>
      <c r="BC114" s="86"/>
      <c r="BD114" s="1091"/>
      <c r="BE114" s="96">
        <v>10</v>
      </c>
      <c r="BG114" s="152"/>
      <c r="BH114" s="117" t="b">
        <f>IF(BO81=10,3)</f>
        <v>0</v>
      </c>
      <c r="BI114" s="119"/>
      <c r="BJ114" s="119"/>
      <c r="BK114" s="119"/>
      <c r="BL114" s="119"/>
      <c r="BM114" s="119"/>
      <c r="BN114" s="119"/>
      <c r="BO114" s="119"/>
      <c r="BP114" s="119"/>
      <c r="BQ114" s="119"/>
      <c r="BR114" s="119"/>
      <c r="BS114" s="119"/>
      <c r="BT114" s="119"/>
      <c r="BU114" s="119"/>
      <c r="BV114" s="103" t="b">
        <f>IF(BO81=10,17)</f>
        <v>0</v>
      </c>
      <c r="BW114" s="153"/>
      <c r="BY114" s="157"/>
      <c r="BZ114" s="76"/>
      <c r="CA114" s="76"/>
      <c r="CB114" s="76"/>
      <c r="CC114" s="76"/>
      <c r="CD114" s="78"/>
      <c r="CE114" s="78"/>
      <c r="CF114" s="78"/>
      <c r="CG114" s="78"/>
      <c r="CH114" s="78"/>
      <c r="CI114" s="78"/>
      <c r="CJ114" s="78"/>
      <c r="CK114" s="78"/>
      <c r="CL114" s="78"/>
      <c r="CM114" s="78"/>
      <c r="CN114" s="78"/>
      <c r="CO114" s="78"/>
      <c r="CP114" s="78"/>
      <c r="CQ114" s="78"/>
      <c r="CR114" s="78"/>
      <c r="CS114" s="78"/>
    </row>
    <row r="115" spans="2:97" ht="21" hidden="1" thickBot="1" x14ac:dyDescent="0.25">
      <c r="G115" s="998"/>
      <c r="O115" s="995"/>
      <c r="T115" s="126"/>
      <c r="U115" s="126"/>
      <c r="V115" s="126"/>
      <c r="W115" s="126"/>
      <c r="X115" s="126"/>
      <c r="Y115" s="126"/>
      <c r="Z115" s="126"/>
      <c r="AA115" s="126"/>
      <c r="AB115" s="126"/>
      <c r="AC115" s="126"/>
      <c r="AD115" s="126"/>
      <c r="AE115" s="126"/>
      <c r="AF115" s="126"/>
      <c r="AG115" s="126"/>
      <c r="AH115" s="126"/>
      <c r="AI115" s="126"/>
      <c r="AJ115" s="126"/>
      <c r="AK115" s="126"/>
      <c r="AL115" s="126"/>
      <c r="AM115" s="126"/>
      <c r="AN115" s="126"/>
      <c r="AO115" s="126"/>
      <c r="AQ115" s="143"/>
      <c r="AR115" s="144"/>
      <c r="AS115" s="144"/>
      <c r="AU115" s="136"/>
      <c r="AV115" s="136"/>
      <c r="AW115" s="136"/>
      <c r="BB115" s="182"/>
      <c r="BC115" s="86"/>
      <c r="BD115" s="1091"/>
      <c r="BE115" s="96">
        <v>9</v>
      </c>
      <c r="BF115" s="117" t="b">
        <f>IF(BN81=9,1)</f>
        <v>0</v>
      </c>
      <c r="BG115" s="119"/>
      <c r="BH115" s="119"/>
      <c r="BI115" s="119"/>
      <c r="BJ115" s="119"/>
      <c r="BK115" s="119"/>
      <c r="BL115" s="119"/>
      <c r="BM115" s="119"/>
      <c r="BN115" s="119"/>
      <c r="BO115" s="119"/>
      <c r="BP115" s="119"/>
      <c r="BQ115" s="119"/>
      <c r="BR115" s="119"/>
      <c r="BS115" s="119"/>
      <c r="BT115" s="119"/>
      <c r="BU115" s="119"/>
      <c r="BV115" s="103" t="b">
        <f>IF(BN81=9,17)</f>
        <v>0</v>
      </c>
      <c r="BW115" s="76"/>
      <c r="BX115" s="76"/>
      <c r="BY115" s="157"/>
      <c r="BZ115" s="76"/>
      <c r="CA115" s="76"/>
      <c r="CB115" s="76"/>
      <c r="CC115" s="76"/>
      <c r="CD115" s="78"/>
      <c r="CE115" s="78"/>
      <c r="CF115" s="78"/>
      <c r="CG115" s="78"/>
      <c r="CH115" s="78"/>
      <c r="CI115" s="78"/>
      <c r="CJ115" s="78"/>
      <c r="CK115" s="78"/>
      <c r="CL115" s="78"/>
      <c r="CM115" s="78"/>
      <c r="CN115" s="78"/>
      <c r="CO115" s="78"/>
      <c r="CP115" s="78"/>
      <c r="CQ115" s="78"/>
      <c r="CR115" s="78"/>
      <c r="CS115" s="78"/>
    </row>
    <row r="116" spans="2:97" ht="21" hidden="1" thickBot="1" x14ac:dyDescent="0.25">
      <c r="G116" s="998"/>
      <c r="O116" s="995"/>
      <c r="T116" s="126"/>
      <c r="U116" s="126"/>
      <c r="V116" s="126"/>
      <c r="W116" s="126"/>
      <c r="X116" s="126"/>
      <c r="Y116" s="126"/>
      <c r="Z116" s="126"/>
      <c r="AA116" s="126"/>
      <c r="AB116" s="126"/>
      <c r="AC116" s="126"/>
      <c r="AD116" s="126"/>
      <c r="AE116" s="126"/>
      <c r="AF116" s="126"/>
      <c r="AG116" s="126"/>
      <c r="AH116" s="126"/>
      <c r="AI116" s="126"/>
      <c r="AJ116" s="126"/>
      <c r="AK116" s="126"/>
      <c r="AL116" s="126"/>
      <c r="AM116" s="126"/>
      <c r="AN116" s="126"/>
      <c r="AO116" s="126"/>
      <c r="AQ116" s="143"/>
      <c r="AR116" s="144"/>
      <c r="AS116" s="144"/>
      <c r="AT116" s="136"/>
      <c r="AU116" s="136"/>
      <c r="AV116" s="136"/>
      <c r="AW116" s="136"/>
      <c r="BB116" s="182"/>
      <c r="BC116" s="86"/>
      <c r="BD116" s="1091"/>
      <c r="BE116" s="96">
        <v>8</v>
      </c>
      <c r="BF116" s="117" t="b">
        <f>IF(BM81=8,1)</f>
        <v>0</v>
      </c>
      <c r="BG116" s="119"/>
      <c r="BH116" s="118"/>
      <c r="BI116" s="119"/>
      <c r="BJ116" s="119"/>
      <c r="BK116" s="119"/>
      <c r="BL116" s="119"/>
      <c r="BM116" s="119"/>
      <c r="BN116" s="119"/>
      <c r="BO116" s="119"/>
      <c r="BP116" s="119"/>
      <c r="BQ116" s="119"/>
      <c r="BR116" s="118"/>
      <c r="BS116" s="119"/>
      <c r="BT116" s="103" t="b">
        <f>IF(BM81=8,15)</f>
        <v>0</v>
      </c>
      <c r="BU116" s="76"/>
      <c r="BV116" s="76"/>
      <c r="BW116" s="158"/>
      <c r="BX116" s="76"/>
      <c r="BY116" s="157"/>
      <c r="BZ116" s="76"/>
      <c r="CA116" s="76"/>
      <c r="CB116" s="76"/>
      <c r="CC116" s="76"/>
      <c r="CD116" s="78"/>
      <c r="CE116" s="78"/>
      <c r="CF116" s="78"/>
      <c r="CG116" s="78"/>
      <c r="CH116" s="78"/>
      <c r="CI116" s="78"/>
      <c r="CJ116" s="78"/>
      <c r="CK116" s="78"/>
      <c r="CL116" s="78"/>
      <c r="CM116" s="78"/>
      <c r="CN116" s="78"/>
      <c r="CO116" s="78"/>
      <c r="CP116" s="78"/>
      <c r="CQ116" s="78"/>
      <c r="CR116" s="78"/>
      <c r="CS116" s="78"/>
    </row>
    <row r="117" spans="2:97" ht="21" hidden="1" thickBot="1" x14ac:dyDescent="0.25">
      <c r="G117" s="998"/>
      <c r="O117" s="995"/>
      <c r="T117" s="126"/>
      <c r="U117" s="126"/>
      <c r="V117" s="126"/>
      <c r="W117" s="126"/>
      <c r="X117" s="126"/>
      <c r="Y117" s="126"/>
      <c r="Z117" s="126"/>
      <c r="AA117" s="126"/>
      <c r="AB117" s="126"/>
      <c r="AC117" s="126"/>
      <c r="AD117" s="126"/>
      <c r="AE117" s="126"/>
      <c r="AF117" s="126"/>
      <c r="AG117" s="126"/>
      <c r="AH117" s="126"/>
      <c r="AI117" s="126"/>
      <c r="AJ117" s="126"/>
      <c r="AK117" s="126"/>
      <c r="AL117" s="126"/>
      <c r="AM117" s="126"/>
      <c r="AN117" s="126"/>
      <c r="AO117" s="126"/>
      <c r="AQ117" s="143"/>
      <c r="AR117" s="144"/>
      <c r="AS117" s="144"/>
      <c r="AU117" s="136"/>
      <c r="AV117" s="136"/>
      <c r="AW117" s="136"/>
      <c r="BB117" s="182"/>
      <c r="BC117" s="86"/>
      <c r="BD117" s="1091"/>
      <c r="BE117" s="96">
        <v>7</v>
      </c>
      <c r="BF117" s="117" t="b">
        <f>IF(BL81=7,1)</f>
        <v>0</v>
      </c>
      <c r="BG117" s="118"/>
      <c r="BH117" s="119"/>
      <c r="BI117" s="119"/>
      <c r="BJ117" s="119"/>
      <c r="BK117" s="119"/>
      <c r="BL117" s="119"/>
      <c r="BM117" s="119"/>
      <c r="BN117" s="119"/>
      <c r="BO117" s="119"/>
      <c r="BP117" s="118"/>
      <c r="BQ117" s="118"/>
      <c r="BR117" s="103" t="b">
        <f>IF(BL81=7,13)</f>
        <v>0</v>
      </c>
      <c r="BS117" s="76"/>
      <c r="BT117" s="76"/>
      <c r="BU117" s="76"/>
      <c r="BV117" s="76"/>
      <c r="BW117" s="158"/>
      <c r="BX117" s="76"/>
      <c r="BY117" s="157"/>
      <c r="BZ117" s="76"/>
      <c r="CA117" s="76"/>
      <c r="CB117" s="76"/>
      <c r="CC117" s="76"/>
      <c r="CD117" s="78"/>
      <c r="CE117" s="78"/>
      <c r="CF117" s="78"/>
      <c r="CG117" s="78"/>
      <c r="CH117" s="78"/>
      <c r="CI117" s="78"/>
      <c r="CJ117" s="78"/>
      <c r="CK117" s="78"/>
      <c r="CL117" s="78"/>
      <c r="CM117" s="78"/>
      <c r="CN117" s="78"/>
      <c r="CO117" s="78"/>
      <c r="CP117" s="78"/>
      <c r="CQ117" s="78"/>
      <c r="CR117" s="78"/>
      <c r="CS117" s="78"/>
    </row>
    <row r="118" spans="2:97" ht="21" hidden="1" thickBot="1" x14ac:dyDescent="0.25">
      <c r="G118" s="998"/>
      <c r="O118" s="995"/>
      <c r="T118" s="126"/>
      <c r="U118" s="126"/>
      <c r="V118" s="126"/>
      <c r="W118" s="126"/>
      <c r="X118" s="126"/>
      <c r="Y118" s="126"/>
      <c r="Z118" s="126"/>
      <c r="AA118" s="126"/>
      <c r="AB118" s="126"/>
      <c r="AC118" s="126"/>
      <c r="AD118" s="126"/>
      <c r="AE118" s="126"/>
      <c r="AF118" s="126"/>
      <c r="AG118" s="126"/>
      <c r="AH118" s="126"/>
      <c r="AI118" s="126"/>
      <c r="AJ118" s="126"/>
      <c r="AK118" s="126"/>
      <c r="AL118" s="126"/>
      <c r="AM118" s="126"/>
      <c r="AN118" s="126"/>
      <c r="AO118" s="126"/>
      <c r="AQ118" s="143"/>
      <c r="AR118" s="144"/>
      <c r="AS118" s="144"/>
      <c r="AU118" s="136"/>
      <c r="AV118" s="136"/>
      <c r="AW118" s="136"/>
      <c r="BB118" s="182"/>
      <c r="BC118" s="86"/>
      <c r="BD118" s="1091"/>
      <c r="BE118" s="96">
        <v>6</v>
      </c>
      <c r="BF118" s="120" t="b">
        <f>IF(BK81=6,1)</f>
        <v>0</v>
      </c>
      <c r="BG118" s="123"/>
      <c r="BH118" s="123"/>
      <c r="BI118" s="123"/>
      <c r="BJ118" s="123"/>
      <c r="BK118" s="123"/>
      <c r="BL118" s="123"/>
      <c r="BM118" s="123"/>
      <c r="BN118" s="123"/>
      <c r="BO118" s="123"/>
      <c r="BP118" s="124" t="b">
        <f>IF(BK81=6,11)</f>
        <v>0</v>
      </c>
      <c r="BQ118" s="76"/>
      <c r="BR118" s="76"/>
      <c r="BS118" s="76"/>
      <c r="BT118" s="76"/>
      <c r="BU118" s="76"/>
      <c r="BV118" s="76"/>
      <c r="BW118" s="158"/>
      <c r="BX118" s="76"/>
      <c r="BY118" s="157"/>
      <c r="BZ118" s="76"/>
      <c r="CA118" s="76"/>
      <c r="CB118" s="76"/>
      <c r="CC118" s="76"/>
      <c r="CD118" s="78"/>
      <c r="CE118" s="78"/>
      <c r="CF118" s="78"/>
      <c r="CG118" s="78"/>
      <c r="CH118" s="78"/>
      <c r="CI118" s="78"/>
      <c r="CJ118" s="78"/>
      <c r="CK118" s="78"/>
      <c r="CL118" s="78"/>
      <c r="CM118" s="78"/>
      <c r="CN118" s="78"/>
      <c r="CO118" s="78"/>
      <c r="CP118" s="78"/>
      <c r="CQ118" s="78"/>
      <c r="CR118" s="78"/>
      <c r="CS118" s="78"/>
    </row>
    <row r="119" spans="2:97" ht="21" hidden="1" thickBot="1" x14ac:dyDescent="0.25">
      <c r="G119" s="998"/>
      <c r="O119" s="995"/>
      <c r="T119" s="126"/>
      <c r="U119" s="126"/>
      <c r="V119" s="126"/>
      <c r="W119" s="126"/>
      <c r="X119" s="126"/>
      <c r="Y119" s="126"/>
      <c r="Z119" s="126"/>
      <c r="AA119" s="126"/>
      <c r="AB119" s="126"/>
      <c r="AC119" s="126"/>
      <c r="AD119" s="126"/>
      <c r="AE119" s="126"/>
      <c r="AF119" s="126"/>
      <c r="AG119" s="126"/>
      <c r="AH119" s="126"/>
      <c r="AI119" s="126"/>
      <c r="AJ119" s="126"/>
      <c r="AK119" s="126"/>
      <c r="AL119" s="126"/>
      <c r="AM119" s="126"/>
      <c r="AN119" s="126"/>
      <c r="AO119" s="126"/>
      <c r="AQ119" s="143"/>
      <c r="AR119" s="144"/>
      <c r="AS119" s="144"/>
      <c r="AT119" s="136"/>
      <c r="AU119" s="136"/>
      <c r="AV119" s="136"/>
      <c r="AW119" s="136"/>
      <c r="BB119" s="182"/>
      <c r="BC119" s="86"/>
      <c r="BD119" s="1091"/>
      <c r="BE119" s="96">
        <v>5</v>
      </c>
      <c r="BF119" s="120" t="b">
        <f>IF(BJ81=5,1)</f>
        <v>0</v>
      </c>
      <c r="BG119" s="122"/>
      <c r="BH119" s="123"/>
      <c r="BI119" s="123"/>
      <c r="BJ119" s="123"/>
      <c r="BK119" s="123"/>
      <c r="BL119" s="123"/>
      <c r="BM119" s="122"/>
      <c r="BN119" s="124" t="b">
        <f>IF(BJ81=5,9)</f>
        <v>0</v>
      </c>
      <c r="BO119" s="76"/>
      <c r="BP119" s="76"/>
      <c r="BQ119" s="76"/>
      <c r="BR119" s="76"/>
      <c r="BS119" s="76"/>
      <c r="BT119" s="76"/>
      <c r="BU119" s="76"/>
      <c r="BV119" s="76"/>
      <c r="BW119" s="158"/>
      <c r="BX119" s="76"/>
      <c r="BY119" s="157"/>
      <c r="BZ119" s="76"/>
      <c r="CA119" s="76"/>
      <c r="CB119" s="76"/>
      <c r="CC119" s="76"/>
      <c r="CD119" s="78"/>
      <c r="CE119" s="78"/>
      <c r="CF119" s="78"/>
      <c r="CG119" s="78"/>
      <c r="CH119" s="78"/>
      <c r="CI119" s="78"/>
      <c r="CJ119" s="78"/>
      <c r="CK119" s="78"/>
      <c r="CL119" s="78"/>
      <c r="CM119" s="78"/>
      <c r="CN119" s="78"/>
      <c r="CO119" s="78"/>
      <c r="CP119" s="78"/>
      <c r="CQ119" s="78"/>
      <c r="CR119" s="78"/>
      <c r="CS119" s="78"/>
    </row>
    <row r="120" spans="2:97" ht="21" hidden="1" thickBot="1" x14ac:dyDescent="0.25">
      <c r="G120" s="998"/>
      <c r="O120" s="995"/>
      <c r="T120" s="126"/>
      <c r="U120" s="126"/>
      <c r="V120" s="126"/>
      <c r="W120" s="126"/>
      <c r="X120" s="126"/>
      <c r="Y120" s="126"/>
      <c r="Z120" s="126"/>
      <c r="AA120" s="126"/>
      <c r="AB120" s="126"/>
      <c r="AC120" s="126"/>
      <c r="AD120" s="126"/>
      <c r="AE120" s="126"/>
      <c r="AF120" s="126"/>
      <c r="AG120" s="126"/>
      <c r="AH120" s="126"/>
      <c r="AI120" s="126"/>
      <c r="AJ120" s="126"/>
      <c r="AK120" s="126"/>
      <c r="AL120" s="126"/>
      <c r="AM120" s="126"/>
      <c r="AN120" s="126"/>
      <c r="AO120" s="126"/>
      <c r="AQ120" s="143"/>
      <c r="AR120" s="144"/>
      <c r="AS120" s="144"/>
      <c r="AU120" s="136"/>
      <c r="AV120" s="136"/>
      <c r="AW120" s="136"/>
      <c r="BB120" s="182"/>
      <c r="BC120" s="86"/>
      <c r="BD120" s="1091"/>
      <c r="BE120" s="96">
        <v>4</v>
      </c>
      <c r="BF120" s="120" t="b">
        <f>IF(BI81=4,1)</f>
        <v>0</v>
      </c>
      <c r="BG120" s="123"/>
      <c r="BH120" s="123"/>
      <c r="BI120" s="123"/>
      <c r="BJ120" s="123"/>
      <c r="BK120" s="123"/>
      <c r="BL120" s="124" t="b">
        <f>IF(BI81=4,7)</f>
        <v>0</v>
      </c>
      <c r="BM120" s="76"/>
      <c r="BN120" s="159"/>
      <c r="BO120" s="159"/>
      <c r="BP120" s="76"/>
      <c r="BQ120" s="159"/>
      <c r="BR120" s="76"/>
      <c r="BS120" s="76"/>
      <c r="BT120" s="76"/>
      <c r="BU120" s="76"/>
      <c r="BV120" s="76"/>
      <c r="BW120" s="158"/>
      <c r="BX120" s="76"/>
      <c r="BY120" s="157"/>
      <c r="BZ120" s="76"/>
      <c r="CA120" s="76"/>
      <c r="CB120" s="76"/>
      <c r="CC120" s="76"/>
      <c r="CD120" s="78"/>
      <c r="CE120" s="78"/>
      <c r="CF120" s="78"/>
      <c r="CG120" s="78"/>
      <c r="CH120" s="78"/>
      <c r="CI120" s="78"/>
      <c r="CJ120" s="78"/>
      <c r="CK120" s="78"/>
      <c r="CL120" s="78"/>
      <c r="CM120" s="78"/>
      <c r="CN120" s="78"/>
      <c r="CO120" s="78"/>
      <c r="CP120" s="78"/>
      <c r="CQ120" s="78"/>
      <c r="CR120" s="78"/>
      <c r="CS120" s="78"/>
    </row>
    <row r="121" spans="2:97" ht="21" hidden="1" thickBot="1" x14ac:dyDescent="0.25">
      <c r="G121" s="998"/>
      <c r="O121" s="995"/>
      <c r="T121" s="126"/>
      <c r="U121" s="126"/>
      <c r="V121" s="126"/>
      <c r="W121" s="126"/>
      <c r="X121" s="126"/>
      <c r="Y121" s="126"/>
      <c r="Z121" s="126"/>
      <c r="AA121" s="126"/>
      <c r="AB121" s="126"/>
      <c r="AC121" s="126"/>
      <c r="AD121" s="126"/>
      <c r="AE121" s="126"/>
      <c r="AF121" s="126"/>
      <c r="AG121" s="126"/>
      <c r="AH121" s="126"/>
      <c r="AI121" s="126"/>
      <c r="AJ121" s="126"/>
      <c r="AK121" s="126"/>
      <c r="AL121" s="126"/>
      <c r="AM121" s="126"/>
      <c r="AN121" s="126"/>
      <c r="AO121" s="126"/>
      <c r="AQ121" s="143"/>
      <c r="AR121" s="144"/>
      <c r="AS121" s="144"/>
      <c r="AT121" s="136"/>
      <c r="AU121" s="136"/>
      <c r="AV121" s="136"/>
      <c r="AW121" s="136"/>
      <c r="BB121" s="182"/>
      <c r="BC121" s="86"/>
      <c r="BD121" s="1091"/>
      <c r="BE121" s="96">
        <v>3</v>
      </c>
      <c r="BF121" s="120" t="b">
        <f>IF(BH81=3,1)</f>
        <v>0</v>
      </c>
      <c r="BG121" s="123"/>
      <c r="BH121" s="123"/>
      <c r="BI121" s="123"/>
      <c r="BJ121" s="124" t="b">
        <f>IF(BH81=3,5)</f>
        <v>0</v>
      </c>
      <c r="BK121" s="76"/>
      <c r="BL121" s="76"/>
      <c r="BM121" s="76"/>
      <c r="BN121" s="76"/>
      <c r="BO121" s="76"/>
      <c r="BP121" s="76"/>
      <c r="BQ121" s="76"/>
      <c r="BR121" s="76"/>
      <c r="BS121" s="76"/>
      <c r="BT121" s="76"/>
      <c r="BU121" s="76"/>
      <c r="BV121" s="76"/>
      <c r="BW121" s="158"/>
      <c r="BX121" s="76"/>
      <c r="BY121" s="157"/>
      <c r="BZ121" s="76"/>
      <c r="CA121" s="76"/>
      <c r="CB121" s="76"/>
      <c r="CC121" s="76"/>
      <c r="CD121" s="78"/>
      <c r="CE121" s="78"/>
      <c r="CF121" s="78"/>
      <c r="CG121" s="78"/>
      <c r="CH121" s="78"/>
      <c r="CI121" s="78"/>
      <c r="CJ121" s="78"/>
      <c r="CK121" s="78"/>
      <c r="CL121" s="78"/>
      <c r="CM121" s="78"/>
      <c r="CN121" s="78"/>
      <c r="CO121" s="78"/>
      <c r="CP121" s="78"/>
      <c r="CQ121" s="78"/>
      <c r="CR121" s="78"/>
      <c r="CS121" s="78"/>
    </row>
    <row r="122" spans="2:97" ht="20" hidden="1" x14ac:dyDescent="0.2">
      <c r="G122" s="998"/>
      <c r="O122" s="995"/>
      <c r="T122" s="126"/>
      <c r="U122" s="126"/>
      <c r="V122" s="126"/>
      <c r="W122" s="126"/>
      <c r="X122" s="126"/>
      <c r="Y122" s="126"/>
      <c r="Z122" s="126"/>
      <c r="AA122" s="126"/>
      <c r="AB122" s="126"/>
      <c r="AC122" s="126"/>
      <c r="AD122" s="126"/>
      <c r="AE122" s="126"/>
      <c r="AF122" s="126"/>
      <c r="AG122" s="126"/>
      <c r="AH122" s="126"/>
      <c r="AI122" s="126"/>
      <c r="AJ122" s="126"/>
      <c r="AK122" s="126"/>
      <c r="AL122" s="126"/>
      <c r="AM122" s="126"/>
      <c r="AN122" s="126"/>
      <c r="AO122" s="126"/>
      <c r="AQ122" s="143"/>
      <c r="AR122" s="144"/>
      <c r="AS122" s="144"/>
      <c r="AT122" s="136"/>
      <c r="AU122" s="136"/>
      <c r="AV122" s="136"/>
      <c r="AW122" s="136"/>
      <c r="BB122" s="182"/>
      <c r="BC122" s="86"/>
      <c r="BD122" s="1091"/>
      <c r="BE122" s="96">
        <v>2</v>
      </c>
      <c r="BF122" s="160" t="b">
        <f>IF(BG81=2,1)</f>
        <v>0</v>
      </c>
      <c r="BG122" s="161"/>
      <c r="BH122" s="162" t="b">
        <f>IF(BG81=2,3)</f>
        <v>0</v>
      </c>
      <c r="BI122" s="76"/>
      <c r="BJ122" s="76"/>
      <c r="BK122" s="76"/>
      <c r="BL122" s="76"/>
      <c r="BM122" s="76"/>
      <c r="BN122" s="76"/>
      <c r="BO122" s="76"/>
      <c r="BP122" s="76"/>
      <c r="BQ122" s="76"/>
      <c r="BR122" s="76"/>
      <c r="BS122" s="76"/>
      <c r="BT122" s="76"/>
      <c r="BU122" s="76"/>
      <c r="BV122" s="76"/>
      <c r="BW122" s="158"/>
      <c r="BX122" s="76"/>
      <c r="BY122" s="157"/>
      <c r="BZ122" s="76"/>
      <c r="CA122" s="76"/>
      <c r="CB122" s="76"/>
      <c r="CC122" s="76"/>
      <c r="CD122" s="78"/>
      <c r="CE122" s="78"/>
      <c r="CF122" s="78"/>
      <c r="CG122" s="78"/>
      <c r="CH122" s="78"/>
      <c r="CI122" s="78"/>
      <c r="CJ122" s="78"/>
      <c r="CK122" s="78"/>
      <c r="CL122" s="78"/>
      <c r="CM122" s="78"/>
      <c r="CN122" s="78"/>
      <c r="CO122" s="78"/>
      <c r="CP122" s="78"/>
      <c r="CQ122" s="78"/>
      <c r="CR122" s="78"/>
      <c r="CS122" s="78"/>
    </row>
    <row r="123" spans="2:97" ht="33" hidden="1" customHeight="1" thickBot="1" x14ac:dyDescent="0.25">
      <c r="G123" s="998"/>
      <c r="O123" s="995"/>
      <c r="T123" s="126"/>
      <c r="U123" s="126"/>
      <c r="V123" s="126"/>
      <c r="W123" s="126"/>
      <c r="X123" s="126"/>
      <c r="Y123" s="126"/>
      <c r="Z123" s="126"/>
      <c r="AA123" s="126"/>
      <c r="AB123" s="126"/>
      <c r="AC123" s="126"/>
      <c r="AD123" s="126"/>
      <c r="AE123" s="126"/>
      <c r="AF123" s="126"/>
      <c r="AG123" s="126"/>
      <c r="AH123" s="126"/>
      <c r="AI123" s="126"/>
      <c r="AJ123" s="126"/>
      <c r="AK123" s="126"/>
      <c r="AL123" s="126"/>
      <c r="AM123" s="126"/>
      <c r="AN123" s="126"/>
      <c r="AO123" s="126"/>
      <c r="AQ123" s="143"/>
      <c r="AR123" s="144"/>
      <c r="AS123" s="144"/>
      <c r="AT123" s="136"/>
      <c r="AU123" s="136"/>
      <c r="AV123" s="136"/>
      <c r="AW123" s="136"/>
      <c r="BB123" s="182"/>
      <c r="BC123" s="86"/>
      <c r="BD123" s="1091"/>
      <c r="BE123" s="163"/>
      <c r="BF123" s="164">
        <f t="shared" ref="BF123:BV123" si="3">SUM(BF88:BF122)</f>
        <v>0</v>
      </c>
      <c r="BG123" s="164">
        <f t="shared" si="3"/>
        <v>0</v>
      </c>
      <c r="BH123" s="164">
        <f t="shared" si="3"/>
        <v>0</v>
      </c>
      <c r="BI123" s="164">
        <f t="shared" si="3"/>
        <v>0</v>
      </c>
      <c r="BJ123" s="164">
        <f t="shared" si="3"/>
        <v>0</v>
      </c>
      <c r="BK123" s="164">
        <f t="shared" si="3"/>
        <v>6</v>
      </c>
      <c r="BL123" s="164">
        <f t="shared" si="3"/>
        <v>0</v>
      </c>
      <c r="BM123" s="164">
        <f t="shared" si="3"/>
        <v>0</v>
      </c>
      <c r="BN123" s="164">
        <f t="shared" si="3"/>
        <v>0</v>
      </c>
      <c r="BO123" s="164">
        <f t="shared" si="3"/>
        <v>0</v>
      </c>
      <c r="BP123" s="164">
        <f t="shared" si="3"/>
        <v>0</v>
      </c>
      <c r="BQ123" s="164">
        <f t="shared" si="3"/>
        <v>0</v>
      </c>
      <c r="BR123" s="164">
        <f t="shared" si="3"/>
        <v>0</v>
      </c>
      <c r="BS123" s="164">
        <f t="shared" si="3"/>
        <v>0</v>
      </c>
      <c r="BT123" s="164">
        <f t="shared" si="3"/>
        <v>0</v>
      </c>
      <c r="BU123" s="164">
        <f t="shared" si="3"/>
        <v>0</v>
      </c>
      <c r="BV123" s="165">
        <f t="shared" si="3"/>
        <v>0</v>
      </c>
      <c r="BW123" s="166"/>
      <c r="BX123" s="167"/>
      <c r="BY123" s="168"/>
      <c r="BZ123" s="787">
        <f t="shared" ref="BZ123:CP123" si="4">SUM(BZ88:BZ122)</f>
        <v>0</v>
      </c>
      <c r="CA123" s="164">
        <f t="shared" si="4"/>
        <v>0</v>
      </c>
      <c r="CB123" s="164">
        <f t="shared" si="4"/>
        <v>0</v>
      </c>
      <c r="CC123" s="164">
        <f t="shared" si="4"/>
        <v>0</v>
      </c>
      <c r="CD123" s="164">
        <f t="shared" si="4"/>
        <v>0</v>
      </c>
      <c r="CE123" s="164">
        <f t="shared" si="4"/>
        <v>26</v>
      </c>
      <c r="CF123" s="164">
        <f t="shared" si="4"/>
        <v>0</v>
      </c>
      <c r="CG123" s="164">
        <f t="shared" si="4"/>
        <v>0</v>
      </c>
      <c r="CH123" s="164">
        <f t="shared" si="4"/>
        <v>0</v>
      </c>
      <c r="CI123" s="164">
        <f t="shared" si="4"/>
        <v>0</v>
      </c>
      <c r="CJ123" s="164">
        <f t="shared" si="4"/>
        <v>0</v>
      </c>
      <c r="CK123" s="164">
        <f t="shared" si="4"/>
        <v>0</v>
      </c>
      <c r="CL123" s="164">
        <f t="shared" si="4"/>
        <v>0</v>
      </c>
      <c r="CM123" s="164">
        <f t="shared" si="4"/>
        <v>0</v>
      </c>
      <c r="CN123" s="164">
        <f t="shared" si="4"/>
        <v>0</v>
      </c>
      <c r="CO123" s="164">
        <f t="shared" si="4"/>
        <v>0</v>
      </c>
      <c r="CP123" s="164">
        <f t="shared" si="4"/>
        <v>0</v>
      </c>
      <c r="CQ123" s="78"/>
      <c r="CR123" s="78"/>
      <c r="CS123" s="78"/>
    </row>
    <row r="124" spans="2:97" ht="162" customHeight="1" thickBot="1" x14ac:dyDescent="0.25">
      <c r="G124" s="998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O124" s="995"/>
      <c r="T124" s="126"/>
      <c r="U124" s="126"/>
      <c r="V124" s="126"/>
      <c r="W124" s="126"/>
      <c r="X124" s="126"/>
      <c r="Y124" s="126"/>
      <c r="Z124" s="126"/>
      <c r="AA124" s="126"/>
      <c r="AB124" s="126"/>
      <c r="AC124" s="126"/>
      <c r="AD124" s="126"/>
      <c r="AE124" s="126"/>
      <c r="AF124" s="126"/>
      <c r="AG124" s="126"/>
      <c r="AH124" s="126"/>
      <c r="AI124" s="126"/>
      <c r="AJ124" s="126"/>
      <c r="AK124" s="126"/>
      <c r="AL124" s="126"/>
      <c r="AM124" s="126"/>
      <c r="AN124" s="126"/>
      <c r="AO124" s="126"/>
      <c r="AQ124" s="143"/>
      <c r="AR124" s="144"/>
      <c r="AS124" s="144"/>
      <c r="AT124" s="136"/>
      <c r="AU124" s="136"/>
      <c r="AV124" s="136"/>
      <c r="AW124" s="136"/>
      <c r="BB124" s="182"/>
      <c r="BC124" s="86"/>
      <c r="BD124" s="1091"/>
      <c r="BE124" s="163"/>
      <c r="BF124" s="170"/>
      <c r="BG124" s="170"/>
      <c r="BH124" s="170"/>
      <c r="BI124" s="170"/>
      <c r="BJ124" s="170"/>
      <c r="BK124" s="170"/>
      <c r="BL124" s="170"/>
      <c r="BM124" s="170"/>
      <c r="BN124" s="170"/>
      <c r="BO124" s="170"/>
      <c r="BP124" s="170"/>
      <c r="BQ124" s="170"/>
      <c r="BR124" s="170"/>
      <c r="BS124" s="170"/>
      <c r="BT124" s="170"/>
      <c r="BU124" s="170"/>
      <c r="BV124" s="170"/>
      <c r="BW124" s="170"/>
      <c r="BX124" s="170"/>
      <c r="BY124" s="170"/>
      <c r="BZ124" s="170"/>
      <c r="CA124" s="170"/>
      <c r="CB124" s="170"/>
      <c r="CC124" s="170"/>
      <c r="CD124" s="170"/>
      <c r="CE124" s="170"/>
      <c r="CF124" s="170"/>
      <c r="CG124" s="170"/>
      <c r="CH124" s="170"/>
      <c r="CI124" s="170"/>
      <c r="CJ124" s="170"/>
      <c r="CK124" s="170"/>
      <c r="CL124" s="170"/>
      <c r="CM124" s="170"/>
      <c r="CN124" s="170"/>
      <c r="CO124" s="170"/>
      <c r="CP124" s="170"/>
      <c r="CQ124" s="78"/>
      <c r="CR124" s="78"/>
      <c r="CS124" s="78"/>
    </row>
    <row r="125" spans="2:97" ht="54" customHeight="1" thickBot="1" x14ac:dyDescent="0.3">
      <c r="G125" s="998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O125" s="995"/>
      <c r="T125" s="126"/>
      <c r="U125" s="126"/>
      <c r="V125" s="126"/>
      <c r="W125" s="126"/>
      <c r="X125" s="126"/>
      <c r="Y125" s="126"/>
      <c r="Z125" s="126"/>
      <c r="AA125" s="126"/>
      <c r="AB125" s="126"/>
      <c r="AC125" s="126"/>
      <c r="AD125" s="126"/>
      <c r="AE125" s="126"/>
      <c r="AF125" s="126"/>
      <c r="AG125" s="126"/>
      <c r="AH125" s="126"/>
      <c r="AI125" s="126"/>
      <c r="AJ125" s="126"/>
      <c r="AK125" s="126"/>
      <c r="AL125" s="126"/>
      <c r="AM125" s="126"/>
      <c r="AN125" s="126"/>
      <c r="AO125" s="126"/>
      <c r="AQ125" s="143"/>
      <c r="AR125" s="144"/>
      <c r="AS125" s="144"/>
      <c r="AT125" s="136"/>
      <c r="AU125" s="136"/>
      <c r="AV125" s="136"/>
      <c r="AW125" s="136"/>
      <c r="BB125" s="182"/>
      <c r="BC125" s="86"/>
      <c r="BD125" s="1095" t="s">
        <v>186</v>
      </c>
      <c r="BE125" s="172" t="s">
        <v>124</v>
      </c>
      <c r="BF125" s="750" t="str">
        <f>IF(BF123=1,17,"")</f>
        <v/>
      </c>
      <c r="BG125" s="751" t="str">
        <f>IF(BG123=2,16,"")</f>
        <v/>
      </c>
      <c r="BH125" s="751" t="str">
        <f>IF(BH123=3,15,"")</f>
        <v/>
      </c>
      <c r="BI125" s="751" t="str">
        <f>IF(BI123=4,14,"")</f>
        <v/>
      </c>
      <c r="BJ125" s="751" t="str">
        <f>IF(BJ123=5,13,"")</f>
        <v/>
      </c>
      <c r="BK125" s="751">
        <f>IF(BK123=6,12,"")</f>
        <v>12</v>
      </c>
      <c r="BL125" s="751" t="str">
        <f>IF(BL123=7,11,"")</f>
        <v/>
      </c>
      <c r="BM125" s="751" t="str">
        <f>IF(BM123=8,10,"")</f>
        <v/>
      </c>
      <c r="BN125" s="751" t="str">
        <f>IF(BN123=9,9,"")</f>
        <v/>
      </c>
      <c r="BO125" s="751" t="str">
        <f>IF(BO123=10,8,"")</f>
        <v/>
      </c>
      <c r="BP125" s="751" t="str">
        <f>IF(BP123=11,7,"")</f>
        <v/>
      </c>
      <c r="BQ125" s="752" t="str">
        <f>IF(BQ123=12,"6  ADS ","")</f>
        <v/>
      </c>
      <c r="BR125" s="751" t="str">
        <f>IF(BR123=13,5,"")</f>
        <v/>
      </c>
      <c r="BS125" s="751" t="str">
        <f>IF(BS123=14,4,"")</f>
        <v/>
      </c>
      <c r="BT125" s="751" t="str">
        <f>IF(BT123=15,3,"")</f>
        <v/>
      </c>
      <c r="BU125" s="751" t="str">
        <f>IF(BU123=16,2,"")</f>
        <v/>
      </c>
      <c r="BV125" s="751" t="str">
        <f>IF(BV123=17,1,"")</f>
        <v/>
      </c>
      <c r="BW125" s="173"/>
      <c r="BX125" s="174"/>
      <c r="BY125" s="175"/>
      <c r="BZ125" s="792" t="str">
        <f>IF(BZ123=21,1,"")</f>
        <v/>
      </c>
      <c r="CA125" s="753" t="str">
        <f>IF(CA123=22,2,"")</f>
        <v/>
      </c>
      <c r="CB125" s="753" t="str">
        <f>IF(CB123=23,3,"")</f>
        <v/>
      </c>
      <c r="CC125" s="753" t="str">
        <f>IF(CC123=24,4,"")</f>
        <v/>
      </c>
      <c r="CD125" s="753" t="str">
        <f>IF(CD123=25,5,"")</f>
        <v/>
      </c>
      <c r="CE125" s="754" t="str">
        <f>IF(CE123=26,"6  ADS ","")</f>
        <v xml:space="preserve">6  ADS </v>
      </c>
      <c r="CF125" s="753" t="str">
        <f>IF(CF123=27,7,"")</f>
        <v/>
      </c>
      <c r="CG125" s="753" t="str">
        <f>IF(CG123=28,8,"")</f>
        <v/>
      </c>
      <c r="CH125" s="753" t="str">
        <f>IF(CH123=29,9,"")</f>
        <v/>
      </c>
      <c r="CI125" s="753" t="str">
        <f>IF(CI123=30,10,"")</f>
        <v/>
      </c>
      <c r="CJ125" s="753" t="str">
        <f>IF(CJ123=31,11,"")</f>
        <v/>
      </c>
      <c r="CK125" s="753" t="str">
        <f>IF(CK123=32,12,"")</f>
        <v/>
      </c>
      <c r="CL125" s="753" t="str">
        <f>IF(CL123=33,13,"")</f>
        <v/>
      </c>
      <c r="CM125" s="753" t="str">
        <f>IF(CM123=34,14,"")</f>
        <v/>
      </c>
      <c r="CN125" s="753" t="str">
        <f>IF(CN123=35,15,"")</f>
        <v/>
      </c>
      <c r="CO125" s="753" t="str">
        <f>IF(CO123=36,16,"")</f>
        <v/>
      </c>
      <c r="CP125" s="755" t="str">
        <f>IF(CP123=37,17,"")</f>
        <v/>
      </c>
      <c r="CQ125" s="176"/>
      <c r="CR125" s="78"/>
      <c r="CS125" s="78"/>
    </row>
    <row r="126" spans="2:97" ht="42.75" customHeight="1" thickBot="1" x14ac:dyDescent="0.3">
      <c r="G126" s="998"/>
      <c r="H126" s="1034" t="s">
        <v>260</v>
      </c>
      <c r="I126" s="1028">
        <f>+MIN(K31:L32)</f>
        <v>94.91495887307569</v>
      </c>
      <c r="J126" s="1029">
        <f>+MIN(J37:K38)</f>
        <v>169.31216931216932</v>
      </c>
      <c r="K126" s="1030">
        <f>+MIN(J43:L44)</f>
        <v>169.31216931216932</v>
      </c>
      <c r="L126" s="1031">
        <f>+MIN(J49:L50)</f>
        <v>73.260073260073256</v>
      </c>
      <c r="M126" s="1032">
        <f>+MIN(J55:L56)</f>
        <v>169.31216931216932</v>
      </c>
      <c r="O126" s="995"/>
      <c r="T126" s="126"/>
      <c r="U126" s="126"/>
      <c r="V126" s="126"/>
      <c r="W126" s="126"/>
      <c r="X126" s="126"/>
      <c r="Y126" s="126"/>
      <c r="Z126" s="126"/>
      <c r="AA126" s="126"/>
      <c r="AB126" s="126"/>
      <c r="AC126" s="126"/>
      <c r="AD126" s="126"/>
      <c r="AE126" s="126"/>
      <c r="AF126" s="126"/>
      <c r="AG126" s="126"/>
      <c r="AH126" s="126"/>
      <c r="AI126" s="126"/>
      <c r="AJ126" s="126"/>
      <c r="AK126" s="126"/>
      <c r="AL126" s="126"/>
      <c r="AM126" s="126"/>
      <c r="AN126" s="126"/>
      <c r="AO126" s="126"/>
      <c r="AQ126" s="143"/>
      <c r="AR126" s="144"/>
      <c r="AS126" s="144"/>
      <c r="AT126" s="136"/>
      <c r="AU126" s="136"/>
      <c r="AV126" s="136"/>
      <c r="AW126" s="136"/>
      <c r="BA126" s="968">
        <v>6</v>
      </c>
      <c r="BB126" s="182" t="b">
        <f>AND(BD126&gt;=10,$AN$138&gt;=10,$AO$138&gt;=10)</f>
        <v>1</v>
      </c>
      <c r="BC126" s="84" t="str">
        <f>IF(BB126=TRUE,"O K","OVERLOAD")</f>
        <v>O K</v>
      </c>
      <c r="BD126" s="982">
        <f>SUM(I132:M132)</f>
        <v>169.31216931216932</v>
      </c>
      <c r="BE126" s="788" t="s">
        <v>185</v>
      </c>
      <c r="BF126" s="789">
        <v>-10</v>
      </c>
      <c r="BG126" s="789">
        <v>-9</v>
      </c>
      <c r="BH126" s="789">
        <v>-8</v>
      </c>
      <c r="BI126" s="789">
        <v>-7</v>
      </c>
      <c r="BJ126" s="789">
        <v>-6</v>
      </c>
      <c r="BK126" s="789">
        <v>-5</v>
      </c>
      <c r="BL126" s="789">
        <v>-4</v>
      </c>
      <c r="BM126" s="789">
        <v>-3</v>
      </c>
      <c r="BN126" s="789">
        <v>-2</v>
      </c>
      <c r="BO126" s="789">
        <v>-1</v>
      </c>
      <c r="BP126" s="789">
        <v>0</v>
      </c>
      <c r="BQ126" s="789">
        <v>1</v>
      </c>
      <c r="BR126" s="789">
        <v>2</v>
      </c>
      <c r="BS126" s="789">
        <v>3</v>
      </c>
      <c r="BT126" s="789">
        <v>4</v>
      </c>
      <c r="BU126" s="789">
        <v>5</v>
      </c>
      <c r="BV126" s="789">
        <v>6</v>
      </c>
      <c r="BW126" s="789">
        <v>7</v>
      </c>
      <c r="BX126" s="789">
        <v>8</v>
      </c>
      <c r="BY126" s="789">
        <v>9</v>
      </c>
      <c r="BZ126" s="789">
        <v>10</v>
      </c>
      <c r="CA126" s="789">
        <v>11</v>
      </c>
      <c r="CB126" s="789">
        <v>12</v>
      </c>
      <c r="CC126" s="789">
        <v>13</v>
      </c>
      <c r="CD126" s="789">
        <v>14</v>
      </c>
      <c r="CE126" s="789">
        <v>15</v>
      </c>
      <c r="CF126" s="789">
        <v>16</v>
      </c>
      <c r="CG126" s="789">
        <v>17</v>
      </c>
      <c r="CH126" s="789">
        <v>18</v>
      </c>
      <c r="CI126" s="789">
        <v>19</v>
      </c>
      <c r="CJ126" s="789">
        <v>20</v>
      </c>
      <c r="CK126" s="789">
        <v>21</v>
      </c>
      <c r="CL126" s="789">
        <v>22</v>
      </c>
      <c r="CM126" s="789">
        <v>23</v>
      </c>
      <c r="CN126" s="789">
        <v>24</v>
      </c>
      <c r="CO126" s="789">
        <v>25</v>
      </c>
      <c r="CP126" s="791">
        <v>26</v>
      </c>
      <c r="CQ126" s="78"/>
      <c r="CR126" s="78"/>
      <c r="CS126" s="78"/>
    </row>
    <row r="127" spans="2:97" ht="25" hidden="1" x14ac:dyDescent="0.25">
      <c r="G127" s="1011"/>
      <c r="H127" s="131"/>
      <c r="I127" s="131"/>
      <c r="J127" s="131"/>
      <c r="K127" s="131"/>
      <c r="L127" s="131"/>
      <c r="M127" s="131"/>
      <c r="N127" s="131"/>
      <c r="O127" s="1012"/>
      <c r="P127" s="131"/>
      <c r="Q127" s="131"/>
      <c r="R127" s="131"/>
      <c r="S127" s="131"/>
      <c r="T127" s="131"/>
      <c r="U127" s="131"/>
      <c r="V127" s="131"/>
      <c r="W127" s="131"/>
      <c r="X127" s="131"/>
      <c r="Y127" s="131"/>
      <c r="Z127" s="131"/>
      <c r="AA127" s="131"/>
      <c r="AB127" s="131"/>
      <c r="AC127" s="131"/>
      <c r="AD127" s="131"/>
      <c r="AE127" s="131"/>
      <c r="AF127" s="131"/>
      <c r="AG127" s="131"/>
      <c r="AH127" s="131"/>
      <c r="AI127" s="131"/>
      <c r="AJ127" s="131"/>
      <c r="AK127" s="131"/>
      <c r="AL127" s="131"/>
      <c r="AM127" s="131"/>
      <c r="AN127" s="131"/>
      <c r="AO127" s="131"/>
      <c r="AP127" s="131"/>
      <c r="AQ127" s="131"/>
      <c r="AR127" s="131"/>
      <c r="AS127" s="200"/>
      <c r="AT127" s="136"/>
      <c r="AU127" s="136"/>
      <c r="AV127" s="136"/>
      <c r="AW127" s="136"/>
      <c r="AX127" s="136"/>
      <c r="AY127" s="136"/>
      <c r="AZ127" s="136"/>
      <c r="BA127" s="136"/>
      <c r="BB127" s="136"/>
      <c r="BC127" s="136"/>
      <c r="BD127" s="1091"/>
      <c r="BE127" s="78"/>
      <c r="BF127" s="199"/>
      <c r="BG127" s="199"/>
      <c r="BH127" s="199"/>
      <c r="BI127" s="199"/>
      <c r="BJ127" s="199"/>
      <c r="BK127" s="199"/>
      <c r="BL127" s="199"/>
      <c r="BM127" s="199"/>
      <c r="BN127" s="199"/>
      <c r="BO127" s="199"/>
      <c r="BP127" s="199"/>
      <c r="BQ127" s="199"/>
      <c r="BR127" s="199"/>
      <c r="BS127" s="199"/>
      <c r="BT127" s="199"/>
      <c r="BU127" s="199"/>
      <c r="BV127" s="199"/>
      <c r="BW127" s="199"/>
      <c r="BX127" s="199"/>
      <c r="BY127" s="199"/>
      <c r="BZ127" s="199"/>
      <c r="CA127" s="199"/>
      <c r="CB127" s="199"/>
      <c r="CC127" s="199"/>
      <c r="CD127" s="199"/>
      <c r="CE127" s="199"/>
      <c r="CF127" s="199"/>
      <c r="CG127" s="199"/>
      <c r="CH127" s="199"/>
      <c r="CI127" s="199"/>
      <c r="CJ127" s="199"/>
      <c r="CK127" s="199"/>
      <c r="CL127" s="199"/>
      <c r="CM127" s="199"/>
      <c r="CN127" s="199"/>
      <c r="CO127" s="199"/>
      <c r="CP127" s="199"/>
      <c r="CQ127" s="199"/>
    </row>
    <row r="128" spans="2:97" ht="30" hidden="1" x14ac:dyDescent="0.2">
      <c r="G128" s="998"/>
      <c r="H128" s="201"/>
      <c r="I128" s="201"/>
      <c r="J128" s="201"/>
      <c r="K128" s="201"/>
      <c r="L128" s="201"/>
      <c r="M128" s="201"/>
      <c r="N128" s="201"/>
      <c r="O128" s="1013"/>
      <c r="P128" s="201"/>
      <c r="Q128" s="201"/>
      <c r="R128" s="201"/>
      <c r="S128" s="201"/>
      <c r="T128" s="201"/>
      <c r="U128" s="201"/>
      <c r="V128" s="201"/>
      <c r="W128" s="201"/>
      <c r="X128" s="201"/>
      <c r="Y128" s="201"/>
      <c r="Z128" s="201"/>
      <c r="AA128" s="201"/>
      <c r="AB128" s="201"/>
      <c r="AC128" s="201"/>
      <c r="AD128" s="201"/>
      <c r="AE128" s="201"/>
      <c r="AF128" s="201"/>
      <c r="AG128" s="201"/>
      <c r="AH128" s="201"/>
      <c r="AI128" s="201"/>
      <c r="AJ128" s="201"/>
      <c r="AK128" s="201"/>
      <c r="AL128" s="201"/>
      <c r="AM128" s="201"/>
      <c r="AN128" s="201"/>
      <c r="AO128" s="201"/>
      <c r="AP128" s="201"/>
      <c r="AQ128" s="201"/>
      <c r="AR128" s="201"/>
      <c r="AT128" s="136"/>
      <c r="AU128" s="136"/>
      <c r="AV128" s="136"/>
      <c r="AW128" s="136"/>
      <c r="AX128" s="136"/>
      <c r="AY128" s="136"/>
      <c r="AZ128" s="136"/>
      <c r="BA128" s="136"/>
      <c r="BB128" s="136"/>
      <c r="BC128" s="136"/>
      <c r="BD128" s="1091"/>
      <c r="BE128" s="76"/>
      <c r="BF128" s="76"/>
      <c r="BG128" s="76"/>
      <c r="BH128" s="76"/>
      <c r="BI128" s="76"/>
      <c r="BJ128" s="76"/>
      <c r="BK128" s="202"/>
      <c r="BL128" s="202"/>
      <c r="BM128" s="202"/>
      <c r="BN128" s="202"/>
      <c r="BO128" s="202"/>
      <c r="BP128" s="202"/>
      <c r="BQ128" s="202"/>
      <c r="BR128" s="202"/>
      <c r="BS128" s="202"/>
      <c r="BT128" s="202"/>
      <c r="BU128" s="202"/>
      <c r="BV128" s="202"/>
      <c r="BW128" s="202"/>
      <c r="BX128" s="202"/>
      <c r="BY128" s="78"/>
      <c r="BZ128" s="78"/>
      <c r="CA128" s="78"/>
      <c r="CB128" s="78"/>
      <c r="CC128" s="78"/>
      <c r="CD128" s="78"/>
      <c r="CE128" s="78"/>
      <c r="CF128" s="78"/>
      <c r="CG128" s="78"/>
      <c r="CH128" s="78"/>
      <c r="CI128" s="78"/>
      <c r="CJ128" s="78"/>
      <c r="CK128" s="78"/>
      <c r="CL128" s="78"/>
      <c r="CM128" s="78"/>
      <c r="CN128" s="78"/>
      <c r="CO128" s="78"/>
      <c r="CP128" s="78"/>
      <c r="CQ128" s="78"/>
      <c r="CR128" s="78"/>
      <c r="CS128" s="78"/>
    </row>
    <row r="129" spans="2:97" hidden="1" x14ac:dyDescent="0.2">
      <c r="G129" s="998"/>
      <c r="O129" s="995"/>
      <c r="T129" s="126"/>
      <c r="U129" s="126"/>
      <c r="V129" s="126"/>
      <c r="W129" s="126"/>
      <c r="X129" s="126"/>
      <c r="Y129" s="126"/>
      <c r="Z129" s="126"/>
      <c r="AA129" s="126"/>
      <c r="AB129" s="126"/>
      <c r="AC129" s="126"/>
      <c r="AD129" s="126"/>
      <c r="AE129" s="126"/>
      <c r="AF129" s="126"/>
      <c r="AG129" s="126"/>
      <c r="AH129" s="126"/>
      <c r="AI129" s="126"/>
      <c r="AJ129" s="126"/>
      <c r="AK129" s="126"/>
      <c r="AL129" s="126"/>
      <c r="AM129" s="126"/>
      <c r="AN129" s="126"/>
      <c r="AO129" s="126"/>
      <c r="AQ129" s="143"/>
      <c r="AR129" s="144"/>
      <c r="AT129" s="136"/>
      <c r="AU129" s="136"/>
      <c r="AV129" s="136"/>
      <c r="AW129" s="136"/>
      <c r="AX129" s="136"/>
      <c r="AY129" s="136"/>
      <c r="AZ129" s="136"/>
      <c r="BA129" s="136"/>
      <c r="BB129" s="136"/>
      <c r="BC129" s="136"/>
      <c r="BD129" s="1091"/>
      <c r="BE129" s="126"/>
      <c r="BF129" s="126"/>
      <c r="BG129" s="126"/>
      <c r="BH129" s="126"/>
      <c r="BI129" s="126"/>
      <c r="BJ129" s="126"/>
      <c r="BK129" s="203"/>
      <c r="BL129" s="203"/>
      <c r="BM129" s="203"/>
      <c r="BN129" s="203"/>
      <c r="BO129" s="203"/>
      <c r="BP129" s="203"/>
      <c r="BQ129" s="203"/>
      <c r="BR129" s="203"/>
      <c r="BS129" s="203"/>
      <c r="BT129" s="203"/>
      <c r="BU129" s="203"/>
      <c r="BV129" s="203"/>
      <c r="BW129" s="203"/>
      <c r="BX129" s="203"/>
    </row>
    <row r="130" spans="2:97" ht="19" hidden="1" thickBot="1" x14ac:dyDescent="0.25">
      <c r="G130" s="998"/>
      <c r="O130" s="995"/>
      <c r="T130" s="126"/>
      <c r="U130" s="126"/>
      <c r="V130" s="126"/>
      <c r="W130" s="126"/>
      <c r="X130" s="126"/>
      <c r="Y130" s="126"/>
      <c r="Z130" s="126"/>
      <c r="AA130" s="126"/>
      <c r="AB130" s="126"/>
      <c r="AC130" s="126"/>
      <c r="AD130" s="126"/>
      <c r="AE130" s="126"/>
      <c r="AF130" s="126"/>
      <c r="AG130" s="126"/>
      <c r="AH130" s="126"/>
      <c r="AI130" s="126"/>
      <c r="AJ130" s="126"/>
      <c r="AK130" s="126"/>
      <c r="AL130" s="126"/>
      <c r="AM130" s="126"/>
      <c r="AN130" s="126"/>
      <c r="AO130" s="126"/>
      <c r="AQ130" s="143"/>
      <c r="AR130" s="144"/>
      <c r="AS130" s="144"/>
      <c r="AT130" s="136"/>
      <c r="AU130" s="136"/>
      <c r="AV130" s="136"/>
      <c r="AW130" s="136"/>
      <c r="AX130" s="136"/>
      <c r="AY130" s="136"/>
      <c r="BA130" s="204" t="s">
        <v>59</v>
      </c>
      <c r="BB130" s="136"/>
      <c r="BC130" s="187"/>
      <c r="BD130" s="1091"/>
      <c r="BE130" s="64"/>
      <c r="BH130" s="126"/>
      <c r="BI130" s="126"/>
      <c r="BJ130" s="126"/>
      <c r="BK130" s="203"/>
      <c r="BL130" s="203"/>
      <c r="BM130" s="203"/>
      <c r="BN130" s="203"/>
      <c r="BO130" s="203"/>
      <c r="BP130" s="203"/>
      <c r="BQ130" s="203"/>
      <c r="BR130" s="203"/>
      <c r="BS130" s="203"/>
      <c r="BT130" s="203"/>
      <c r="BU130" s="203"/>
      <c r="BV130" s="203"/>
      <c r="BW130" s="203"/>
      <c r="BX130" s="203"/>
      <c r="CG130" s="64"/>
      <c r="CS130" s="204" t="s">
        <v>58</v>
      </c>
    </row>
    <row r="131" spans="2:97" ht="51.75" customHeight="1" thickBot="1" x14ac:dyDescent="0.3">
      <c r="B131" s="205" t="s">
        <v>182</v>
      </c>
      <c r="C131" s="206"/>
      <c r="D131" s="207" t="str">
        <f>IF(BA131&gt;0," ","change the angle of frame or of cabinets")</f>
        <v xml:space="preserve"> </v>
      </c>
      <c r="E131" s="208"/>
      <c r="F131" s="208"/>
      <c r="G131" s="1014"/>
      <c r="H131" s="209"/>
      <c r="I131" s="1042">
        <f>COUNTIF(BZ123:CP123,"&gt;0")</f>
        <v>1</v>
      </c>
      <c r="J131" s="1042">
        <f>COUNTIF(BF123:BV123,"&gt;0")</f>
        <v>1</v>
      </c>
      <c r="K131" s="1033" t="b">
        <f>AND(IF(SUM(BF125:BP125)&gt;0,1,0),IF(CE125="6  ADS ",1,0))</f>
        <v>1</v>
      </c>
      <c r="L131" s="1033" t="b">
        <f>AND(IF(SUM(CF125:CP125)&gt;0,1,0),IF(BQ125="6  ADS ",1,0))</f>
        <v>0</v>
      </c>
      <c r="M131" s="1033" t="b">
        <f>AND(IF(CE125="6  ADS ",1,0),IF(BQ125="6  ADS ",1,0))</f>
        <v>0</v>
      </c>
      <c r="N131" s="209"/>
      <c r="O131" s="1015"/>
      <c r="P131" s="209"/>
      <c r="Q131" s="802" t="s">
        <v>183</v>
      </c>
      <c r="R131" s="794"/>
      <c r="S131" s="794"/>
      <c r="T131" s="794"/>
      <c r="U131" s="795"/>
      <c r="V131" s="796"/>
      <c r="W131" s="796"/>
      <c r="X131" s="803" t="s">
        <v>184</v>
      </c>
      <c r="Y131" s="209"/>
      <c r="Z131" s="210"/>
      <c r="AA131" s="210"/>
      <c r="AB131" s="210"/>
      <c r="AC131" s="210"/>
      <c r="AD131" s="210"/>
      <c r="AE131" s="210"/>
      <c r="AF131" s="210"/>
      <c r="AG131" s="210"/>
      <c r="AH131" s="210"/>
      <c r="AI131" s="210"/>
      <c r="AJ131" s="210"/>
      <c r="AK131" s="210"/>
      <c r="AL131" s="210"/>
      <c r="AM131" s="210"/>
      <c r="AN131" s="210"/>
      <c r="AO131" s="210"/>
      <c r="AP131" s="209"/>
      <c r="AQ131" s="210"/>
      <c r="AR131" s="210"/>
      <c r="AS131" s="211"/>
      <c r="AT131" s="136"/>
      <c r="AU131" s="136"/>
      <c r="AV131" s="136"/>
      <c r="AW131" s="136"/>
      <c r="AX131" s="136"/>
      <c r="AY131" s="136"/>
      <c r="AZ131" s="212"/>
      <c r="BA131" s="204">
        <f>-+AW162</f>
        <v>643.53607230505986</v>
      </c>
      <c r="BB131" s="136"/>
      <c r="BC131" s="187"/>
      <c r="BD131" s="1091"/>
      <c r="BE131" s="64"/>
      <c r="BH131" s="126"/>
      <c r="BI131" s="126"/>
      <c r="BJ131" s="126"/>
      <c r="BK131" s="203"/>
      <c r="BL131" s="203"/>
      <c r="BM131" s="203"/>
      <c r="BN131" s="203"/>
      <c r="BO131" s="203"/>
      <c r="BP131" s="203"/>
      <c r="BQ131" s="203"/>
      <c r="BR131" s="203"/>
      <c r="BS131" s="203"/>
      <c r="BT131" s="203"/>
      <c r="BU131" s="203"/>
      <c r="BV131" s="203"/>
      <c r="BW131" s="203"/>
      <c r="BX131" s="203"/>
      <c r="CE131" s="212"/>
      <c r="CG131" s="64"/>
      <c r="CS131" s="204">
        <f>+-AW198</f>
        <v>-904.46392769494014</v>
      </c>
    </row>
    <row r="132" spans="2:97" ht="51.75" customHeight="1" thickBot="1" x14ac:dyDescent="0.3">
      <c r="B132" s="2">
        <v>0</v>
      </c>
      <c r="D132" s="207" t="str">
        <f>IF(CS131&lt;0," ","change the angle of frame or of cabinets")</f>
        <v xml:space="preserve"> </v>
      </c>
      <c r="E132" s="208"/>
      <c r="F132" s="208"/>
      <c r="G132" s="1016"/>
      <c r="H132" s="1017"/>
      <c r="I132" s="1043">
        <f>IF(I131=2,I126,0)</f>
        <v>0</v>
      </c>
      <c r="J132" s="1043">
        <f>IF(J131=2,J126,0)</f>
        <v>0</v>
      </c>
      <c r="K132" s="1043">
        <f t="shared" ref="K132:M132" si="5">IF(K131=TRUE,K126,0)</f>
        <v>169.31216931216932</v>
      </c>
      <c r="L132" s="1043">
        <f t="shared" si="5"/>
        <v>0</v>
      </c>
      <c r="M132" s="1043">
        <f t="shared" si="5"/>
        <v>0</v>
      </c>
      <c r="N132" s="1017"/>
      <c r="O132" s="1018"/>
      <c r="P132" s="209"/>
      <c r="Q132" s="738" t="s">
        <v>175</v>
      </c>
      <c r="R132" s="797" t="s">
        <v>176</v>
      </c>
      <c r="S132" s="797" t="s">
        <v>177</v>
      </c>
      <c r="T132" s="798" t="s">
        <v>181</v>
      </c>
      <c r="U132" s="795"/>
      <c r="V132" s="796"/>
      <c r="W132" s="796"/>
      <c r="X132" s="799" t="s">
        <v>179</v>
      </c>
      <c r="Y132" s="209"/>
      <c r="Z132" s="209"/>
      <c r="AA132" s="209"/>
      <c r="AB132" s="209"/>
      <c r="AC132" s="209"/>
      <c r="AD132" s="209"/>
      <c r="AE132" s="209"/>
      <c r="AF132" s="210"/>
      <c r="AG132" s="210"/>
      <c r="AH132" s="210"/>
      <c r="AI132" s="210"/>
      <c r="AJ132" s="210"/>
      <c r="AK132" s="210"/>
      <c r="AL132" s="210"/>
      <c r="AM132" s="210"/>
      <c r="AN132" s="210"/>
      <c r="AO132" s="210"/>
      <c r="AP132" s="209"/>
      <c r="AQ132" s="210"/>
      <c r="AR132" s="210"/>
      <c r="AS132" s="211"/>
      <c r="BB132" s="136"/>
      <c r="BC132" s="136"/>
      <c r="BD132" s="1091"/>
      <c r="BE132" s="126"/>
      <c r="BF132" s="126"/>
      <c r="BG132" s="126"/>
      <c r="BH132" s="126"/>
      <c r="BI132" s="126"/>
      <c r="BJ132" s="126"/>
      <c r="BK132" s="203"/>
      <c r="BL132" s="203"/>
      <c r="BM132" s="203"/>
      <c r="BN132" s="203"/>
      <c r="BO132" s="203"/>
      <c r="BP132" s="203"/>
      <c r="BQ132" s="203"/>
      <c r="BR132" s="203"/>
      <c r="BS132" s="203"/>
      <c r="BT132" s="203"/>
      <c r="BU132" s="203"/>
      <c r="BV132" s="203"/>
      <c r="BW132" s="203"/>
      <c r="BX132" s="203"/>
    </row>
    <row r="133" spans="2:97" ht="51.75" customHeight="1" thickBot="1" x14ac:dyDescent="0.35">
      <c r="B133" s="1816" t="s">
        <v>118</v>
      </c>
      <c r="C133" s="213"/>
      <c r="D133" s="207" t="str">
        <f>IF(BA131&gt;(+COS(($B$132*-1)*3.14159265358979/180)*451.5)," ","USE EXBAR AR AT THE FRONT")</f>
        <v xml:space="preserve"> </v>
      </c>
      <c r="E133" s="208"/>
      <c r="F133" s="208"/>
      <c r="G133" s="208"/>
      <c r="H133" s="209"/>
      <c r="I133" s="209"/>
      <c r="J133" s="209"/>
      <c r="K133" s="209"/>
      <c r="L133" s="209"/>
      <c r="M133" s="209"/>
      <c r="N133" s="209"/>
      <c r="O133" s="209"/>
      <c r="P133" s="209"/>
      <c r="Q133" s="738">
        <v>11.273523300000001</v>
      </c>
      <c r="R133" s="797">
        <f>+$B$132-Q133</f>
        <v>-11.273523300000001</v>
      </c>
      <c r="S133" s="800">
        <f>COS(R133*3.14159265358979/180)</f>
        <v>0.980705101650998</v>
      </c>
      <c r="T133" s="793">
        <f>+S133*231.4661</f>
        <v>226.99998512926007</v>
      </c>
      <c r="U133" s="795"/>
      <c r="V133" s="796"/>
      <c r="W133" s="796"/>
      <c r="X133" s="801">
        <f>+((X138*AF138)+(T133*19))/(AF138+19)</f>
        <v>218.03608600766287</v>
      </c>
      <c r="Y133" s="209"/>
      <c r="Z133" s="209"/>
      <c r="AA133" s="228"/>
      <c r="AB133" s="739"/>
      <c r="AC133" s="209"/>
      <c r="AD133" s="209"/>
      <c r="AE133" s="209"/>
      <c r="AF133" s="210"/>
      <c r="AG133" s="210"/>
      <c r="AH133" s="210"/>
      <c r="AI133" s="210"/>
      <c r="AJ133" s="210"/>
      <c r="AK133" s="210"/>
      <c r="AL133" s="210"/>
      <c r="AM133" s="210"/>
      <c r="AN133" s="210"/>
      <c r="AO133" s="210"/>
      <c r="AP133" s="209"/>
      <c r="AQ133" s="106"/>
      <c r="AR133" s="210"/>
      <c r="BB133" s="214"/>
      <c r="BC133" s="214"/>
      <c r="BD133" s="214"/>
      <c r="BE133" s="126"/>
      <c r="BF133" s="126"/>
      <c r="BG133" s="126"/>
      <c r="BH133" s="126"/>
      <c r="BI133" s="126"/>
      <c r="BJ133" s="126"/>
      <c r="BK133" s="203"/>
      <c r="BL133" s="203"/>
      <c r="BM133" s="203"/>
      <c r="BN133" s="203"/>
      <c r="BO133" s="203"/>
      <c r="BP133" s="203"/>
      <c r="BQ133" s="203"/>
      <c r="BR133" s="203"/>
      <c r="BS133" s="203"/>
      <c r="BT133" s="203"/>
      <c r="BU133" s="203"/>
      <c r="BV133" s="203"/>
      <c r="BW133" s="203"/>
      <c r="BX133" s="203"/>
    </row>
    <row r="134" spans="2:97" ht="51.75" customHeight="1" thickBot="1" x14ac:dyDescent="0.35">
      <c r="B134" s="1817"/>
      <c r="C134" s="213"/>
      <c r="D134" s="215" t="str">
        <f>IF(CS131&lt;-(+COS(($B$132*-1)*3.14159265358979/180)*365.5)," ","USE EXBAR AR AT THE BACK")</f>
        <v xml:space="preserve"> </v>
      </c>
      <c r="E134" s="208"/>
      <c r="F134" s="208"/>
      <c r="G134" s="208"/>
      <c r="H134" s="209"/>
      <c r="I134" s="209"/>
      <c r="J134" s="209"/>
      <c r="K134" s="209"/>
      <c r="L134" s="209"/>
      <c r="M134" s="209"/>
      <c r="N134" s="209"/>
      <c r="O134" s="209"/>
      <c r="P134" s="209"/>
      <c r="Q134" s="209"/>
      <c r="R134" s="209"/>
      <c r="S134" s="209"/>
      <c r="T134" s="209"/>
      <c r="U134" s="209"/>
      <c r="V134" s="210"/>
      <c r="W134" s="210"/>
      <c r="X134" s="210"/>
      <c r="Y134" s="210"/>
      <c r="Z134" s="210"/>
      <c r="AA134" s="210"/>
      <c r="AB134" s="210"/>
      <c r="AC134" s="210"/>
      <c r="AD134" s="210"/>
      <c r="AE134" s="210"/>
      <c r="AF134" s="210"/>
      <c r="AG134" s="210"/>
      <c r="AH134" s="210"/>
      <c r="AI134" s="210"/>
      <c r="AJ134" s="210"/>
      <c r="AK134" s="210"/>
      <c r="AL134" s="210"/>
      <c r="AM134" s="210"/>
      <c r="AN134" s="210"/>
      <c r="AO134" s="210"/>
      <c r="AP134" s="209"/>
      <c r="AQ134" s="106"/>
      <c r="AR134" s="210"/>
      <c r="BB134" s="214"/>
      <c r="BC134" s="214"/>
      <c r="BD134" s="214"/>
      <c r="BE134" s="126"/>
      <c r="BF134" s="126"/>
      <c r="BG134" s="126"/>
      <c r="BH134" s="126"/>
      <c r="BI134" s="126"/>
      <c r="BJ134" s="126"/>
      <c r="BK134" s="203"/>
      <c r="BL134" s="203"/>
      <c r="BM134" s="203"/>
      <c r="BN134" s="203"/>
      <c r="BO134" s="203"/>
      <c r="BP134" s="203"/>
      <c r="BQ134" s="203"/>
      <c r="BR134" s="203"/>
      <c r="BS134" s="203"/>
      <c r="BT134" s="203"/>
      <c r="BU134" s="203"/>
      <c r="BV134" s="203"/>
      <c r="BW134" s="203"/>
      <c r="BX134" s="203"/>
    </row>
    <row r="135" spans="2:97" ht="27" thickBot="1" x14ac:dyDescent="0.35">
      <c r="B135" s="27">
        <v>1</v>
      </c>
      <c r="C135" s="216"/>
      <c r="D135" s="217" t="s">
        <v>117</v>
      </c>
      <c r="E135" s="218"/>
      <c r="F135" s="219"/>
      <c r="G135" s="219"/>
      <c r="H135" s="220"/>
      <c r="I135" s="220"/>
      <c r="J135" s="220"/>
      <c r="K135" s="220"/>
      <c r="L135" s="220"/>
      <c r="M135" s="220"/>
      <c r="N135" s="220"/>
      <c r="O135" s="220"/>
      <c r="P135" s="220"/>
      <c r="Q135" s="220"/>
      <c r="R135" s="220"/>
      <c r="S135" s="220"/>
      <c r="T135" s="220"/>
      <c r="U135" s="218"/>
      <c r="V135" s="218"/>
      <c r="W135" s="218"/>
      <c r="X135" s="218"/>
      <c r="Y135" s="218"/>
      <c r="Z135" s="218"/>
      <c r="AA135" s="218"/>
      <c r="AB135" s="218"/>
      <c r="AC135" s="218"/>
      <c r="AD135" s="218"/>
      <c r="AE135" s="218"/>
      <c r="AF135" s="218"/>
      <c r="AG135" s="218"/>
      <c r="AH135" s="218"/>
      <c r="AI135" s="218"/>
      <c r="AJ135" s="218"/>
      <c r="AK135" s="218"/>
      <c r="AL135" s="218"/>
      <c r="AM135" s="218"/>
      <c r="AN135" s="1820" t="s">
        <v>52</v>
      </c>
      <c r="AO135" s="1821"/>
      <c r="AP135" s="221"/>
      <c r="AQ135" s="222"/>
      <c r="BB135" s="214"/>
      <c r="BC135" s="214"/>
      <c r="BD135" s="214"/>
      <c r="BE135" s="126"/>
      <c r="BF135" s="126"/>
      <c r="BG135" s="126"/>
      <c r="BH135" s="126"/>
      <c r="BI135" s="126"/>
      <c r="BJ135" s="126"/>
      <c r="BK135" s="126"/>
      <c r="BL135" s="126"/>
      <c r="BM135" s="126"/>
      <c r="BN135" s="126"/>
      <c r="BO135" s="126"/>
      <c r="BP135" s="126"/>
      <c r="BQ135" s="126"/>
      <c r="BR135" s="126"/>
      <c r="BS135" s="126"/>
      <c r="BT135" s="126"/>
      <c r="BU135" s="126"/>
      <c r="BV135" s="126"/>
      <c r="BW135" s="126"/>
      <c r="BX135" s="126"/>
      <c r="BY135" s="126"/>
      <c r="BZ135" s="126"/>
      <c r="CA135" s="126"/>
      <c r="CB135" s="126"/>
      <c r="CC135" s="126"/>
      <c r="CD135" s="126"/>
      <c r="CE135" s="126"/>
      <c r="CF135" s="126"/>
      <c r="CG135" s="126"/>
      <c r="CH135" s="126"/>
      <c r="CI135" s="126"/>
      <c r="CJ135" s="126"/>
      <c r="CK135" s="126"/>
      <c r="CL135" s="126"/>
      <c r="CM135" s="126"/>
      <c r="CN135" s="126"/>
      <c r="CO135" s="126"/>
      <c r="CP135" s="126"/>
    </row>
    <row r="136" spans="2:97" ht="20" hidden="1" thickBot="1" x14ac:dyDescent="0.35">
      <c r="B136" s="223"/>
      <c r="C136" s="224"/>
      <c r="D136" s="225"/>
      <c r="F136" s="226"/>
      <c r="H136" s="227" t="s">
        <v>4</v>
      </c>
      <c r="I136" s="227" t="s">
        <v>1</v>
      </c>
      <c r="J136" s="228" t="s">
        <v>0</v>
      </c>
      <c r="K136" s="228" t="s">
        <v>2</v>
      </c>
      <c r="L136" s="228" t="s">
        <v>3</v>
      </c>
      <c r="M136" s="228" t="s">
        <v>8</v>
      </c>
      <c r="N136" s="228" t="s">
        <v>5</v>
      </c>
      <c r="O136" s="228" t="s">
        <v>6</v>
      </c>
      <c r="P136" s="228" t="s">
        <v>7</v>
      </c>
      <c r="Q136" s="228" t="s">
        <v>9</v>
      </c>
      <c r="R136" s="229" t="s">
        <v>10</v>
      </c>
      <c r="S136" s="228" t="s">
        <v>11</v>
      </c>
      <c r="T136" s="230" t="s">
        <v>12</v>
      </c>
      <c r="U136" s="231"/>
      <c r="V136" s="231"/>
      <c r="W136" s="232"/>
      <c r="X136" s="231"/>
      <c r="Y136" s="231"/>
      <c r="Z136" s="231"/>
      <c r="AA136" s="231"/>
      <c r="AB136" s="231"/>
      <c r="AC136" s="231"/>
      <c r="AD136" s="231"/>
      <c r="AE136" s="231"/>
      <c r="AF136" s="231"/>
      <c r="AG136" s="231"/>
      <c r="AH136" s="231"/>
      <c r="AI136" s="231"/>
      <c r="AJ136" s="231"/>
      <c r="AK136" s="231"/>
      <c r="AL136" s="232" t="s">
        <v>44</v>
      </c>
      <c r="AM136" s="232" t="s">
        <v>44</v>
      </c>
      <c r="AN136" s="233"/>
      <c r="AO136" s="234"/>
      <c r="AQ136" s="235"/>
      <c r="BB136" s="214"/>
      <c r="BC136" s="214"/>
      <c r="BD136" s="214"/>
      <c r="BX136" s="236"/>
      <c r="BY136" s="236"/>
      <c r="BZ136" s="236"/>
      <c r="CA136" s="236"/>
      <c r="CB136" s="236"/>
      <c r="CC136" s="236"/>
    </row>
    <row r="137" spans="2:97" ht="42.75" customHeight="1" thickBot="1" x14ac:dyDescent="0.35">
      <c r="B137" s="237"/>
      <c r="C137" s="238"/>
      <c r="D137" s="239" t="s">
        <v>22</v>
      </c>
      <c r="E137" s="218"/>
      <c r="F137" s="240"/>
      <c r="H137" s="241"/>
      <c r="I137" s="242"/>
      <c r="R137" s="126"/>
      <c r="T137" s="243"/>
      <c r="U137" s="231"/>
      <c r="V137" s="231"/>
      <c r="W137" s="231"/>
      <c r="X137" s="231" t="s">
        <v>38</v>
      </c>
      <c r="Y137" s="244" t="s">
        <v>31</v>
      </c>
      <c r="Z137" s="245" t="s">
        <v>120</v>
      </c>
      <c r="AA137" s="246" t="s">
        <v>32</v>
      </c>
      <c r="AB137" s="247" t="s">
        <v>33</v>
      </c>
      <c r="AC137" s="245" t="s">
        <v>121</v>
      </c>
      <c r="AD137" s="248" t="s">
        <v>34</v>
      </c>
      <c r="AE137" s="249" t="s">
        <v>35</v>
      </c>
      <c r="AF137" s="250" t="s">
        <v>36</v>
      </c>
      <c r="AG137" s="231" t="s">
        <v>37</v>
      </c>
      <c r="AH137" s="231" t="s">
        <v>39</v>
      </c>
      <c r="AI137" s="231" t="s">
        <v>40</v>
      </c>
      <c r="AJ137" s="251" t="s">
        <v>41</v>
      </c>
      <c r="AK137" s="251" t="s">
        <v>42</v>
      </c>
      <c r="AL137" s="252" t="s">
        <v>23</v>
      </c>
      <c r="AM137" s="252" t="s">
        <v>24</v>
      </c>
      <c r="AN137" s="253" t="s">
        <v>23</v>
      </c>
      <c r="AO137" s="253" t="s">
        <v>24</v>
      </c>
      <c r="AR137" s="254"/>
      <c r="BB137" s="214"/>
      <c r="BC137" s="214"/>
      <c r="BD137" s="214"/>
    </row>
    <row r="138" spans="2:97" ht="21" thickBot="1" x14ac:dyDescent="0.35">
      <c r="B138" s="255">
        <v>1</v>
      </c>
      <c r="C138" s="256">
        <f>+($B$132*-1)+D138</f>
        <v>0</v>
      </c>
      <c r="D138" s="25">
        <v>0</v>
      </c>
      <c r="E138" s="257" t="s">
        <v>119</v>
      </c>
      <c r="F138" s="258" t="str">
        <f>IF(AM138&lt;0,"use the locking pin"," ")</f>
        <v xml:space="preserve"> </v>
      </c>
      <c r="G138" s="258">
        <f>+D138</f>
        <v>0</v>
      </c>
      <c r="H138" s="259">
        <v>279.06049999999999</v>
      </c>
      <c r="I138" s="260">
        <v>79.962900599999998</v>
      </c>
      <c r="J138" s="142">
        <f>+I138-C138</f>
        <v>79.962900599999998</v>
      </c>
      <c r="K138" s="142">
        <f t="shared" ref="K138:K157" si="6">+J138/2</f>
        <v>39.981450299999999</v>
      </c>
      <c r="L138" s="142">
        <f t="shared" ref="L138:L157" si="7">SIN(K138*3.14159265358979/180)</f>
        <v>0.64253956655634092</v>
      </c>
      <c r="M138" s="142">
        <f t="shared" ref="M138:M157" si="8">+L138*H138</f>
        <v>179.30741271299578</v>
      </c>
      <c r="N138" s="142">
        <f t="shared" ref="N138:N157" si="9">+M138*2</f>
        <v>358.61482542599157</v>
      </c>
      <c r="O138" s="142">
        <f>+C138/2</f>
        <v>0</v>
      </c>
      <c r="P138" s="142">
        <f t="shared" ref="P138:P157" si="10">SIN(O138*3.14159265358979/180)</f>
        <v>0</v>
      </c>
      <c r="Q138" s="142">
        <f t="shared" ref="Q138:Q157" si="11">+P138*N138</f>
        <v>0</v>
      </c>
      <c r="R138" s="261">
        <v>213.83080000000001</v>
      </c>
      <c r="S138" s="142">
        <f>+R138+Q138</f>
        <v>213.83080000000001</v>
      </c>
      <c r="T138" s="262">
        <f t="shared" ref="T138:T157" si="12">+S138</f>
        <v>213.83080000000001</v>
      </c>
      <c r="U138" s="83"/>
      <c r="V138" s="263">
        <f t="shared" ref="V138:V157" si="13">IF(B138&lt;($B$135+1),T138,0)</f>
        <v>213.83080000000001</v>
      </c>
      <c r="W138" s="258"/>
      <c r="X138" s="263">
        <f>SUM(V138:V157)/($B$135)</f>
        <v>213.83080000000001</v>
      </c>
      <c r="Y138" s="264">
        <f>+C138</f>
        <v>0</v>
      </c>
      <c r="Z138" s="265">
        <f>66.2555484-Y138</f>
        <v>66.255548399999995</v>
      </c>
      <c r="AA138" s="266">
        <f t="shared" ref="AA138:AA157" si="14">SIN(Z138*3.14159265358979/180)</f>
        <v>0.91535047595051022</v>
      </c>
      <c r="AB138" s="267">
        <f>+AA138*304.3209</f>
        <v>278.56028065668761</v>
      </c>
      <c r="AC138" s="265">
        <f>50.0185497+Y138</f>
        <v>50.018549700000001</v>
      </c>
      <c r="AD138" s="268">
        <f>SIN(AC138*3.14159265358979/180)</f>
        <v>0.76625250760411079</v>
      </c>
      <c r="AE138" s="269">
        <f>+AD138*279.0605</f>
        <v>213.83080789825695</v>
      </c>
      <c r="AF138" s="270">
        <f>40.5*B135</f>
        <v>40.5</v>
      </c>
      <c r="AG138" s="271">
        <f>+AE138+AB138</f>
        <v>492.39108855494453</v>
      </c>
      <c r="AH138" s="271">
        <f>+V138-AE138</f>
        <v>-7.8982569391428115E-6</v>
      </c>
      <c r="AI138" s="271">
        <f>+X138-AH138</f>
        <v>213.83080789825695</v>
      </c>
      <c r="AJ138" s="272">
        <f>+((AG138-AI138)/AG138)*AF138</f>
        <v>22.912054317849329</v>
      </c>
      <c r="AK138" s="272">
        <f>+(AI138/AG138)*AF138</f>
        <v>17.587945682150675</v>
      </c>
      <c r="AL138" s="273">
        <f t="shared" ref="AL138:AL157" si="15">2*$C$7/AJ138</f>
        <v>506.28371594611554</v>
      </c>
      <c r="AM138" s="274">
        <f t="shared" ref="AM138:AM157" si="16">$D$7/AK138</f>
        <v>568.57123513569934</v>
      </c>
      <c r="AN138" s="275">
        <f>ABS(AL138)</f>
        <v>506.28371594611554</v>
      </c>
      <c r="AO138" s="275">
        <f>ABS(AM138)</f>
        <v>568.57123513569934</v>
      </c>
      <c r="AP138" s="91"/>
      <c r="AR138" s="276"/>
      <c r="BB138" s="214"/>
      <c r="BC138" s="214"/>
      <c r="BD138" s="214"/>
    </row>
    <row r="139" spans="2:97" ht="20" thickBot="1" x14ac:dyDescent="0.35">
      <c r="B139" s="277">
        <v>2</v>
      </c>
      <c r="C139" s="278"/>
      <c r="D139" s="25">
        <v>0</v>
      </c>
      <c r="E139" s="279" t="s">
        <v>130</v>
      </c>
      <c r="F139" s="258" t="e">
        <f t="shared" ref="F139:F157" si="17">IF(AM139&lt;0,"use the locking pin"," ")</f>
        <v>#DIV/0!</v>
      </c>
      <c r="G139" s="281">
        <f t="shared" ref="G139:G157" si="18">+D139+AP139</f>
        <v>0</v>
      </c>
      <c r="H139" s="282">
        <v>279.06049999999999</v>
      </c>
      <c r="I139" s="283">
        <v>79.962900599999998</v>
      </c>
      <c r="J139" s="91">
        <f t="shared" ref="J139:J157" si="19">+I139-D139</f>
        <v>79.962900599999998</v>
      </c>
      <c r="K139" s="91">
        <f t="shared" si="6"/>
        <v>39.981450299999999</v>
      </c>
      <c r="L139" s="91">
        <f>SIN(K139*3.14159265358979/180)</f>
        <v>0.64253956655634092</v>
      </c>
      <c r="M139" s="91">
        <f t="shared" si="8"/>
        <v>179.30741271299578</v>
      </c>
      <c r="N139" s="91">
        <f t="shared" si="9"/>
        <v>358.61482542599157</v>
      </c>
      <c r="O139" s="91">
        <f>+C138+(D139/2)</f>
        <v>0</v>
      </c>
      <c r="P139" s="91">
        <f t="shared" si="10"/>
        <v>0</v>
      </c>
      <c r="Q139" s="91">
        <f t="shared" si="11"/>
        <v>0</v>
      </c>
      <c r="R139" s="91">
        <f t="shared" ref="R139:R157" si="20">+T138</f>
        <v>213.83080000000001</v>
      </c>
      <c r="S139" s="91">
        <f>+R139+Q139</f>
        <v>213.83080000000001</v>
      </c>
      <c r="T139" s="284">
        <f t="shared" si="12"/>
        <v>213.83080000000001</v>
      </c>
      <c r="V139" s="285">
        <f t="shared" si="13"/>
        <v>0</v>
      </c>
      <c r="W139" s="258"/>
      <c r="X139" s="285" t="e">
        <f t="shared" ref="X139:X157" si="21">SUM(V139:V158)/($B$135-B138)</f>
        <v>#DIV/0!</v>
      </c>
      <c r="Y139" s="286">
        <f>SUM(D139)+$C$138</f>
        <v>0</v>
      </c>
      <c r="Z139" s="287">
        <f t="shared" ref="Z139:Z157" si="22">66.2555484-Y139</f>
        <v>66.255548399999995</v>
      </c>
      <c r="AA139" s="288">
        <f t="shared" si="14"/>
        <v>0.91535047595051022</v>
      </c>
      <c r="AB139" s="289">
        <f t="shared" ref="AB139:AB157" si="23">+AA139*304.3209</f>
        <v>278.56028065668761</v>
      </c>
      <c r="AC139" s="287">
        <f t="shared" ref="AC139:AC157" si="24">50.0185497+Y139</f>
        <v>50.018549700000001</v>
      </c>
      <c r="AD139" s="290">
        <f t="shared" ref="AD139:AD157" si="25">SIN(AC139*3.14159265358979/180)</f>
        <v>0.76625250760411079</v>
      </c>
      <c r="AE139" s="291">
        <f t="shared" ref="AE139:AE157" si="26">+AD139*279.0605</f>
        <v>213.83080789825695</v>
      </c>
      <c r="AF139" s="291">
        <f>40.5*($B$135-B138)</f>
        <v>0</v>
      </c>
      <c r="AG139" s="292">
        <f t="shared" ref="AG139:AG157" si="27">+AE139+AB139</f>
        <v>492.39108855494453</v>
      </c>
      <c r="AH139" s="292">
        <f>+V139-AE139</f>
        <v>-213.83080789825695</v>
      </c>
      <c r="AI139" s="292" t="e">
        <f>+X139-AH139</f>
        <v>#DIV/0!</v>
      </c>
      <c r="AJ139" s="293" t="e">
        <f t="shared" ref="AJ139:AJ157" si="28">+((AG139-AI139)/AG139)*AF139</f>
        <v>#DIV/0!</v>
      </c>
      <c r="AK139" s="293" t="e">
        <f t="shared" ref="AK139:AK157" si="29">+(AI139/AG139)*AF139</f>
        <v>#DIV/0!</v>
      </c>
      <c r="AL139" s="273" t="e">
        <f t="shared" si="15"/>
        <v>#DIV/0!</v>
      </c>
      <c r="AM139" s="274" t="e">
        <f t="shared" si="16"/>
        <v>#DIV/0!</v>
      </c>
      <c r="AN139" s="294" t="e">
        <f t="shared" ref="AN139:AO157" si="30">ABS(AL139)</f>
        <v>#DIV/0!</v>
      </c>
      <c r="AO139" s="275" t="e">
        <f t="shared" si="30"/>
        <v>#DIV/0!</v>
      </c>
      <c r="BB139" s="214"/>
      <c r="BC139" s="214"/>
      <c r="BD139" s="214"/>
    </row>
    <row r="140" spans="2:97" ht="20" thickBot="1" x14ac:dyDescent="0.35">
      <c r="B140" s="277">
        <v>3</v>
      </c>
      <c r="C140" s="278"/>
      <c r="D140" s="25">
        <v>0</v>
      </c>
      <c r="E140" s="257" t="s">
        <v>130</v>
      </c>
      <c r="F140" s="281" t="str">
        <f t="shared" si="17"/>
        <v>use the locking pin</v>
      </c>
      <c r="G140" s="281">
        <f t="shared" si="18"/>
        <v>0</v>
      </c>
      <c r="H140" s="282">
        <v>279.06049999999999</v>
      </c>
      <c r="I140" s="283">
        <v>79.962900599999998</v>
      </c>
      <c r="J140" s="91">
        <f t="shared" si="19"/>
        <v>79.962900599999998</v>
      </c>
      <c r="K140" s="91">
        <f t="shared" si="6"/>
        <v>39.981450299999999</v>
      </c>
      <c r="L140" s="91">
        <f t="shared" si="7"/>
        <v>0.64253956655634092</v>
      </c>
      <c r="M140" s="91">
        <f t="shared" si="8"/>
        <v>179.30741271299578</v>
      </c>
      <c r="N140" s="91">
        <f t="shared" si="9"/>
        <v>358.61482542599157</v>
      </c>
      <c r="O140" s="91">
        <f>+C138+D139+(D140/2)</f>
        <v>0</v>
      </c>
      <c r="P140" s="91">
        <f t="shared" si="10"/>
        <v>0</v>
      </c>
      <c r="Q140" s="91">
        <f t="shared" si="11"/>
        <v>0</v>
      </c>
      <c r="R140" s="91">
        <f t="shared" si="20"/>
        <v>213.83080000000001</v>
      </c>
      <c r="S140" s="91">
        <f t="shared" ref="S140:S157" si="31">+S139+Q140</f>
        <v>213.83080000000001</v>
      </c>
      <c r="T140" s="284">
        <f t="shared" si="12"/>
        <v>213.83080000000001</v>
      </c>
      <c r="V140" s="285">
        <f t="shared" si="13"/>
        <v>0</v>
      </c>
      <c r="W140" s="258"/>
      <c r="X140" s="285">
        <f t="shared" si="21"/>
        <v>0</v>
      </c>
      <c r="Y140" s="286">
        <f>SUM(D139:D140)+$C$138</f>
        <v>0</v>
      </c>
      <c r="Z140" s="287">
        <f t="shared" si="22"/>
        <v>66.255548399999995</v>
      </c>
      <c r="AA140" s="288">
        <f t="shared" si="14"/>
        <v>0.91535047595051022</v>
      </c>
      <c r="AB140" s="289">
        <f t="shared" si="23"/>
        <v>278.56028065668761</v>
      </c>
      <c r="AC140" s="287">
        <f t="shared" si="24"/>
        <v>50.018549700000001</v>
      </c>
      <c r="AD140" s="290">
        <f t="shared" si="25"/>
        <v>0.76625250760411079</v>
      </c>
      <c r="AE140" s="291">
        <f t="shared" si="26"/>
        <v>213.83080789825695</v>
      </c>
      <c r="AF140" s="291">
        <f t="shared" ref="AF140:AF157" si="32">40.5*($B$135-B139)</f>
        <v>-40.5</v>
      </c>
      <c r="AG140" s="292">
        <f t="shared" si="27"/>
        <v>492.39108855494453</v>
      </c>
      <c r="AH140" s="292">
        <f>+V140-AE140</f>
        <v>-213.83080789825695</v>
      </c>
      <c r="AI140" s="292">
        <f>+X140-AH140</f>
        <v>213.83080789825695</v>
      </c>
      <c r="AJ140" s="293">
        <f t="shared" si="28"/>
        <v>-22.912054317849329</v>
      </c>
      <c r="AK140" s="293">
        <f t="shared" si="29"/>
        <v>-17.587945682150675</v>
      </c>
      <c r="AL140" s="273">
        <f t="shared" si="15"/>
        <v>-506.28371594611554</v>
      </c>
      <c r="AM140" s="274">
        <f t="shared" si="16"/>
        <v>-568.57123513569934</v>
      </c>
      <c r="AN140" s="275">
        <f t="shared" si="30"/>
        <v>506.28371594611554</v>
      </c>
      <c r="AO140" s="275">
        <f t="shared" si="30"/>
        <v>568.57123513569934</v>
      </c>
      <c r="BB140" s="214"/>
      <c r="BC140" s="214"/>
      <c r="BD140" s="214"/>
    </row>
    <row r="141" spans="2:97" ht="20" thickBot="1" x14ac:dyDescent="0.35">
      <c r="B141" s="277">
        <v>4</v>
      </c>
      <c r="C141" s="278"/>
      <c r="D141" s="25">
        <v>0</v>
      </c>
      <c r="E141" s="257" t="s">
        <v>130</v>
      </c>
      <c r="F141" s="281" t="str">
        <f t="shared" si="17"/>
        <v>use the locking pin</v>
      </c>
      <c r="G141" s="281">
        <f t="shared" si="18"/>
        <v>0</v>
      </c>
      <c r="H141" s="282">
        <v>279.06049999999999</v>
      </c>
      <c r="I141" s="283">
        <v>79.962900599999998</v>
      </c>
      <c r="J141" s="91">
        <f t="shared" si="19"/>
        <v>79.962900599999998</v>
      </c>
      <c r="K141" s="91">
        <f t="shared" si="6"/>
        <v>39.981450299999999</v>
      </c>
      <c r="L141" s="91">
        <f t="shared" si="7"/>
        <v>0.64253956655634092</v>
      </c>
      <c r="M141" s="91">
        <f t="shared" si="8"/>
        <v>179.30741271299578</v>
      </c>
      <c r="N141" s="91">
        <f t="shared" si="9"/>
        <v>358.61482542599157</v>
      </c>
      <c r="O141" s="91">
        <f>+C138+D139+D140+(D141/2)</f>
        <v>0</v>
      </c>
      <c r="P141" s="91">
        <f t="shared" si="10"/>
        <v>0</v>
      </c>
      <c r="Q141" s="91">
        <f t="shared" si="11"/>
        <v>0</v>
      </c>
      <c r="R141" s="91">
        <f t="shared" si="20"/>
        <v>213.83080000000001</v>
      </c>
      <c r="S141" s="91">
        <f t="shared" si="31"/>
        <v>213.83080000000001</v>
      </c>
      <c r="T141" s="284">
        <f t="shared" si="12"/>
        <v>213.83080000000001</v>
      </c>
      <c r="V141" s="285">
        <f t="shared" si="13"/>
        <v>0</v>
      </c>
      <c r="W141" s="258"/>
      <c r="X141" s="285">
        <f t="shared" si="21"/>
        <v>0</v>
      </c>
      <c r="Y141" s="286">
        <f>SUM(D139:D141)+$C$138</f>
        <v>0</v>
      </c>
      <c r="Z141" s="287">
        <f t="shared" si="22"/>
        <v>66.255548399999995</v>
      </c>
      <c r="AA141" s="288">
        <f t="shared" si="14"/>
        <v>0.91535047595051022</v>
      </c>
      <c r="AB141" s="289">
        <f t="shared" si="23"/>
        <v>278.56028065668761</v>
      </c>
      <c r="AC141" s="287">
        <f t="shared" si="24"/>
        <v>50.018549700000001</v>
      </c>
      <c r="AD141" s="290">
        <f t="shared" si="25"/>
        <v>0.76625250760411079</v>
      </c>
      <c r="AE141" s="291">
        <f t="shared" si="26"/>
        <v>213.83080789825695</v>
      </c>
      <c r="AF141" s="291">
        <f t="shared" si="32"/>
        <v>-81</v>
      </c>
      <c r="AG141" s="292">
        <f t="shared" si="27"/>
        <v>492.39108855494453</v>
      </c>
      <c r="AH141" s="292">
        <f>+V141-AE141</f>
        <v>-213.83080789825695</v>
      </c>
      <c r="AI141" s="292">
        <f t="shared" ref="AI141:AI157" si="33">+X141-AH141</f>
        <v>213.83080789825695</v>
      </c>
      <c r="AJ141" s="293">
        <f t="shared" si="28"/>
        <v>-45.824108635698657</v>
      </c>
      <c r="AK141" s="293">
        <f t="shared" si="29"/>
        <v>-35.17589136430135</v>
      </c>
      <c r="AL141" s="273">
        <f t="shared" si="15"/>
        <v>-253.14185797305777</v>
      </c>
      <c r="AM141" s="274">
        <f t="shared" si="16"/>
        <v>-284.28561756784967</v>
      </c>
      <c r="AN141" s="275">
        <f t="shared" si="30"/>
        <v>253.14185797305777</v>
      </c>
      <c r="AO141" s="275">
        <f t="shared" si="30"/>
        <v>284.28561756784967</v>
      </c>
      <c r="BB141" s="214"/>
      <c r="BC141" s="214"/>
      <c r="BD141" s="214"/>
    </row>
    <row r="142" spans="2:97" ht="20" thickBot="1" x14ac:dyDescent="0.35">
      <c r="B142" s="277">
        <v>5</v>
      </c>
      <c r="C142" s="278"/>
      <c r="D142" s="25">
        <v>0</v>
      </c>
      <c r="E142" s="257" t="s">
        <v>130</v>
      </c>
      <c r="F142" s="281" t="str">
        <f t="shared" si="17"/>
        <v>use the locking pin</v>
      </c>
      <c r="G142" s="281">
        <f t="shared" si="18"/>
        <v>0</v>
      </c>
      <c r="H142" s="282">
        <v>279.06049999999999</v>
      </c>
      <c r="I142" s="283">
        <v>79.962900599999998</v>
      </c>
      <c r="J142" s="91">
        <f t="shared" si="19"/>
        <v>79.962900599999998</v>
      </c>
      <c r="K142" s="91">
        <f t="shared" si="6"/>
        <v>39.981450299999999</v>
      </c>
      <c r="L142" s="91">
        <f t="shared" si="7"/>
        <v>0.64253956655634092</v>
      </c>
      <c r="M142" s="91">
        <f t="shared" si="8"/>
        <v>179.30741271299578</v>
      </c>
      <c r="N142" s="91">
        <f t="shared" si="9"/>
        <v>358.61482542599157</v>
      </c>
      <c r="O142" s="91">
        <f>+C138+D139+D140+D141+(D142/2)</f>
        <v>0</v>
      </c>
      <c r="P142" s="91">
        <f t="shared" si="10"/>
        <v>0</v>
      </c>
      <c r="Q142" s="91">
        <f t="shared" si="11"/>
        <v>0</v>
      </c>
      <c r="R142" s="91">
        <f t="shared" si="20"/>
        <v>213.83080000000001</v>
      </c>
      <c r="S142" s="91">
        <f t="shared" si="31"/>
        <v>213.83080000000001</v>
      </c>
      <c r="T142" s="284">
        <f t="shared" si="12"/>
        <v>213.83080000000001</v>
      </c>
      <c r="V142" s="285">
        <f t="shared" si="13"/>
        <v>0</v>
      </c>
      <c r="W142" s="258"/>
      <c r="X142" s="285">
        <f t="shared" si="21"/>
        <v>0</v>
      </c>
      <c r="Y142" s="286">
        <f>SUM(D139:D142)+$C$138</f>
        <v>0</v>
      </c>
      <c r="Z142" s="287">
        <f t="shared" si="22"/>
        <v>66.255548399999995</v>
      </c>
      <c r="AA142" s="288">
        <f t="shared" si="14"/>
        <v>0.91535047595051022</v>
      </c>
      <c r="AB142" s="289">
        <f t="shared" si="23"/>
        <v>278.56028065668761</v>
      </c>
      <c r="AC142" s="287">
        <f t="shared" si="24"/>
        <v>50.018549700000001</v>
      </c>
      <c r="AD142" s="290">
        <f t="shared" si="25"/>
        <v>0.76625250760411079</v>
      </c>
      <c r="AE142" s="291">
        <f t="shared" si="26"/>
        <v>213.83080789825695</v>
      </c>
      <c r="AF142" s="291">
        <f t="shared" si="32"/>
        <v>-121.5</v>
      </c>
      <c r="AG142" s="292">
        <f t="shared" si="27"/>
        <v>492.39108855494453</v>
      </c>
      <c r="AH142" s="292">
        <f t="shared" ref="AH142:AH157" si="34">+V142-AE142</f>
        <v>-213.83080789825695</v>
      </c>
      <c r="AI142" s="292">
        <f t="shared" si="33"/>
        <v>213.83080789825695</v>
      </c>
      <c r="AJ142" s="293">
        <f t="shared" si="28"/>
        <v>-68.736162953547989</v>
      </c>
      <c r="AK142" s="293">
        <f t="shared" si="29"/>
        <v>-52.763837046452025</v>
      </c>
      <c r="AL142" s="273">
        <f t="shared" si="15"/>
        <v>-168.76123864870519</v>
      </c>
      <c r="AM142" s="274">
        <f t="shared" si="16"/>
        <v>-189.52374504523311</v>
      </c>
      <c r="AN142" s="275">
        <f t="shared" si="30"/>
        <v>168.76123864870519</v>
      </c>
      <c r="AO142" s="275">
        <f t="shared" si="30"/>
        <v>189.52374504523311</v>
      </c>
      <c r="AR142" s="131"/>
      <c r="BB142" s="214"/>
      <c r="BC142" s="214"/>
      <c r="BD142" s="214"/>
    </row>
    <row r="143" spans="2:97" ht="20" thickBot="1" x14ac:dyDescent="0.35">
      <c r="B143" s="277">
        <v>6</v>
      </c>
      <c r="C143" s="278"/>
      <c r="D143" s="25">
        <v>0</v>
      </c>
      <c r="E143" s="257" t="s">
        <v>130</v>
      </c>
      <c r="F143" s="281" t="str">
        <f t="shared" si="17"/>
        <v>use the locking pin</v>
      </c>
      <c r="G143" s="281">
        <f t="shared" si="18"/>
        <v>0</v>
      </c>
      <c r="H143" s="282">
        <v>279.06049999999999</v>
      </c>
      <c r="I143" s="283">
        <v>79.962900599999998</v>
      </c>
      <c r="J143" s="91">
        <f t="shared" si="19"/>
        <v>79.962900599999998</v>
      </c>
      <c r="K143" s="91">
        <f t="shared" si="6"/>
        <v>39.981450299999999</v>
      </c>
      <c r="L143" s="91">
        <f t="shared" si="7"/>
        <v>0.64253956655634092</v>
      </c>
      <c r="M143" s="91">
        <f t="shared" si="8"/>
        <v>179.30741271299578</v>
      </c>
      <c r="N143" s="91">
        <f t="shared" si="9"/>
        <v>358.61482542599157</v>
      </c>
      <c r="O143" s="91">
        <f>+C138+D139+D140+D141+D142+(D143/2)</f>
        <v>0</v>
      </c>
      <c r="P143" s="91">
        <f t="shared" si="10"/>
        <v>0</v>
      </c>
      <c r="Q143" s="91">
        <f t="shared" si="11"/>
        <v>0</v>
      </c>
      <c r="R143" s="91">
        <f t="shared" si="20"/>
        <v>213.83080000000001</v>
      </c>
      <c r="S143" s="91">
        <f t="shared" si="31"/>
        <v>213.83080000000001</v>
      </c>
      <c r="T143" s="284">
        <f t="shared" si="12"/>
        <v>213.83080000000001</v>
      </c>
      <c r="V143" s="285">
        <f t="shared" si="13"/>
        <v>0</v>
      </c>
      <c r="W143" s="258"/>
      <c r="X143" s="285">
        <f t="shared" si="21"/>
        <v>0</v>
      </c>
      <c r="Y143" s="286">
        <f>SUM(D139:D143)+$C$138</f>
        <v>0</v>
      </c>
      <c r="Z143" s="287">
        <f t="shared" si="22"/>
        <v>66.255548399999995</v>
      </c>
      <c r="AA143" s="288">
        <f t="shared" si="14"/>
        <v>0.91535047595051022</v>
      </c>
      <c r="AB143" s="289">
        <f t="shared" si="23"/>
        <v>278.56028065668761</v>
      </c>
      <c r="AC143" s="287">
        <f t="shared" si="24"/>
        <v>50.018549700000001</v>
      </c>
      <c r="AD143" s="290">
        <f t="shared" si="25"/>
        <v>0.76625250760411079</v>
      </c>
      <c r="AE143" s="291">
        <f t="shared" si="26"/>
        <v>213.83080789825695</v>
      </c>
      <c r="AF143" s="291">
        <f t="shared" si="32"/>
        <v>-162</v>
      </c>
      <c r="AG143" s="292">
        <f t="shared" si="27"/>
        <v>492.39108855494453</v>
      </c>
      <c r="AH143" s="292">
        <f t="shared" si="34"/>
        <v>-213.83080789825695</v>
      </c>
      <c r="AI143" s="292">
        <f t="shared" si="33"/>
        <v>213.83080789825695</v>
      </c>
      <c r="AJ143" s="293">
        <f t="shared" si="28"/>
        <v>-91.648217271397314</v>
      </c>
      <c r="AK143" s="293">
        <f t="shared" si="29"/>
        <v>-70.3517827286027</v>
      </c>
      <c r="AL143" s="273">
        <f t="shared" si="15"/>
        <v>-126.57092898652888</v>
      </c>
      <c r="AM143" s="274">
        <f t="shared" si="16"/>
        <v>-142.14280878392483</v>
      </c>
      <c r="AN143" s="275">
        <f t="shared" si="30"/>
        <v>126.57092898652888</v>
      </c>
      <c r="AO143" s="275">
        <f t="shared" si="30"/>
        <v>142.14280878392483</v>
      </c>
      <c r="BB143" s="214"/>
      <c r="BC143" s="214"/>
      <c r="BD143" s="214"/>
    </row>
    <row r="144" spans="2:97" ht="20" thickBot="1" x14ac:dyDescent="0.35">
      <c r="B144" s="277">
        <v>7</v>
      </c>
      <c r="C144" s="278"/>
      <c r="D144" s="25">
        <v>0</v>
      </c>
      <c r="E144" s="257" t="s">
        <v>130</v>
      </c>
      <c r="F144" s="281" t="str">
        <f t="shared" si="17"/>
        <v>use the locking pin</v>
      </c>
      <c r="G144" s="281">
        <f t="shared" si="18"/>
        <v>0</v>
      </c>
      <c r="H144" s="282">
        <v>279.06049999999999</v>
      </c>
      <c r="I144" s="283">
        <v>79.962900599999998</v>
      </c>
      <c r="J144" s="91">
        <f t="shared" si="19"/>
        <v>79.962900599999998</v>
      </c>
      <c r="K144" s="91">
        <f t="shared" si="6"/>
        <v>39.981450299999999</v>
      </c>
      <c r="L144" s="91">
        <f t="shared" si="7"/>
        <v>0.64253956655634092</v>
      </c>
      <c r="M144" s="91">
        <f t="shared" si="8"/>
        <v>179.30741271299578</v>
      </c>
      <c r="N144" s="91">
        <f t="shared" si="9"/>
        <v>358.61482542599157</v>
      </c>
      <c r="O144" s="91">
        <f>+C138+D139+D140+D141+D142+D143+(D144/2)</f>
        <v>0</v>
      </c>
      <c r="P144" s="91">
        <f t="shared" si="10"/>
        <v>0</v>
      </c>
      <c r="Q144" s="91">
        <f t="shared" si="11"/>
        <v>0</v>
      </c>
      <c r="R144" s="91">
        <f t="shared" si="20"/>
        <v>213.83080000000001</v>
      </c>
      <c r="S144" s="91">
        <f t="shared" si="31"/>
        <v>213.83080000000001</v>
      </c>
      <c r="T144" s="284">
        <f t="shared" si="12"/>
        <v>213.83080000000001</v>
      </c>
      <c r="V144" s="285">
        <f t="shared" si="13"/>
        <v>0</v>
      </c>
      <c r="W144" s="258"/>
      <c r="X144" s="285">
        <f t="shared" si="21"/>
        <v>0</v>
      </c>
      <c r="Y144" s="286">
        <f>SUM(D139:D144)+$C$138</f>
        <v>0</v>
      </c>
      <c r="Z144" s="287">
        <f t="shared" si="22"/>
        <v>66.255548399999995</v>
      </c>
      <c r="AA144" s="288">
        <f t="shared" si="14"/>
        <v>0.91535047595051022</v>
      </c>
      <c r="AB144" s="289">
        <f t="shared" si="23"/>
        <v>278.56028065668761</v>
      </c>
      <c r="AC144" s="287">
        <f t="shared" si="24"/>
        <v>50.018549700000001</v>
      </c>
      <c r="AD144" s="290">
        <f t="shared" si="25"/>
        <v>0.76625250760411079</v>
      </c>
      <c r="AE144" s="291">
        <f t="shared" si="26"/>
        <v>213.83080789825695</v>
      </c>
      <c r="AF144" s="291">
        <f t="shared" si="32"/>
        <v>-202.5</v>
      </c>
      <c r="AG144" s="292">
        <f t="shared" si="27"/>
        <v>492.39108855494453</v>
      </c>
      <c r="AH144" s="292">
        <f t="shared" si="34"/>
        <v>-213.83080789825695</v>
      </c>
      <c r="AI144" s="292">
        <f t="shared" si="33"/>
        <v>213.83080789825695</v>
      </c>
      <c r="AJ144" s="293">
        <f t="shared" si="28"/>
        <v>-114.56027158924665</v>
      </c>
      <c r="AK144" s="293">
        <f t="shared" si="29"/>
        <v>-87.939728410753375</v>
      </c>
      <c r="AL144" s="273">
        <f t="shared" si="15"/>
        <v>-101.2567431892231</v>
      </c>
      <c r="AM144" s="274">
        <f t="shared" si="16"/>
        <v>-113.71424702713988</v>
      </c>
      <c r="AN144" s="275">
        <f t="shared" si="30"/>
        <v>101.2567431892231</v>
      </c>
      <c r="AO144" s="275">
        <f t="shared" si="30"/>
        <v>113.71424702713988</v>
      </c>
      <c r="BB144" s="214"/>
      <c r="BC144" s="214"/>
      <c r="BD144" s="214"/>
    </row>
    <row r="145" spans="1:56" ht="20" thickBot="1" x14ac:dyDescent="0.35">
      <c r="B145" s="277">
        <v>8</v>
      </c>
      <c r="C145" s="278"/>
      <c r="D145" s="25">
        <v>0</v>
      </c>
      <c r="E145" s="257" t="s">
        <v>130</v>
      </c>
      <c r="F145" s="281" t="str">
        <f t="shared" si="17"/>
        <v>use the locking pin</v>
      </c>
      <c r="G145" s="281">
        <f t="shared" si="18"/>
        <v>0</v>
      </c>
      <c r="H145" s="282">
        <v>279.06049999999999</v>
      </c>
      <c r="I145" s="283">
        <v>79.962900599999998</v>
      </c>
      <c r="J145" s="91">
        <f t="shared" si="19"/>
        <v>79.962900599999998</v>
      </c>
      <c r="K145" s="91">
        <f t="shared" si="6"/>
        <v>39.981450299999999</v>
      </c>
      <c r="L145" s="91">
        <f t="shared" si="7"/>
        <v>0.64253956655634092</v>
      </c>
      <c r="M145" s="91">
        <f t="shared" si="8"/>
        <v>179.30741271299578</v>
      </c>
      <c r="N145" s="91">
        <f t="shared" si="9"/>
        <v>358.61482542599157</v>
      </c>
      <c r="O145" s="91">
        <f>+C138+D139+D140+D141+D142+D143+D144+(D145/2)</f>
        <v>0</v>
      </c>
      <c r="P145" s="91">
        <f t="shared" si="10"/>
        <v>0</v>
      </c>
      <c r="Q145" s="91">
        <f t="shared" si="11"/>
        <v>0</v>
      </c>
      <c r="R145" s="91">
        <f t="shared" si="20"/>
        <v>213.83080000000001</v>
      </c>
      <c r="S145" s="91">
        <f t="shared" si="31"/>
        <v>213.83080000000001</v>
      </c>
      <c r="T145" s="284">
        <f t="shared" si="12"/>
        <v>213.83080000000001</v>
      </c>
      <c r="V145" s="285">
        <f t="shared" si="13"/>
        <v>0</v>
      </c>
      <c r="W145" s="258"/>
      <c r="X145" s="285">
        <f t="shared" si="21"/>
        <v>0</v>
      </c>
      <c r="Y145" s="286">
        <f>SUM(D139:D145)+$C$138</f>
        <v>0</v>
      </c>
      <c r="Z145" s="287">
        <f t="shared" si="22"/>
        <v>66.255548399999995</v>
      </c>
      <c r="AA145" s="288">
        <f t="shared" si="14"/>
        <v>0.91535047595051022</v>
      </c>
      <c r="AB145" s="289">
        <f t="shared" si="23"/>
        <v>278.56028065668761</v>
      </c>
      <c r="AC145" s="287">
        <f t="shared" si="24"/>
        <v>50.018549700000001</v>
      </c>
      <c r="AD145" s="290">
        <f t="shared" si="25"/>
        <v>0.76625250760411079</v>
      </c>
      <c r="AE145" s="291">
        <f t="shared" si="26"/>
        <v>213.83080789825695</v>
      </c>
      <c r="AF145" s="291">
        <f t="shared" si="32"/>
        <v>-243</v>
      </c>
      <c r="AG145" s="292">
        <f t="shared" si="27"/>
        <v>492.39108855494453</v>
      </c>
      <c r="AH145" s="292">
        <f t="shared" si="34"/>
        <v>-213.83080789825695</v>
      </c>
      <c r="AI145" s="292">
        <f t="shared" si="33"/>
        <v>213.83080789825695</v>
      </c>
      <c r="AJ145" s="293">
        <f t="shared" si="28"/>
        <v>-137.47232590709598</v>
      </c>
      <c r="AK145" s="293">
        <f t="shared" si="29"/>
        <v>-105.52767409290405</v>
      </c>
      <c r="AL145" s="273">
        <f t="shared" si="15"/>
        <v>-84.380619324352594</v>
      </c>
      <c r="AM145" s="274">
        <f t="shared" si="16"/>
        <v>-94.761872522616557</v>
      </c>
      <c r="AN145" s="275">
        <f t="shared" si="30"/>
        <v>84.380619324352594</v>
      </c>
      <c r="AO145" s="275">
        <f t="shared" si="30"/>
        <v>94.761872522616557</v>
      </c>
      <c r="BB145" s="214"/>
      <c r="BC145" s="214"/>
      <c r="BD145" s="214"/>
    </row>
    <row r="146" spans="1:56" ht="20" thickBot="1" x14ac:dyDescent="0.35">
      <c r="B146" s="277">
        <v>9</v>
      </c>
      <c r="C146" s="278"/>
      <c r="D146" s="25">
        <v>0</v>
      </c>
      <c r="E146" s="257" t="s">
        <v>130</v>
      </c>
      <c r="F146" s="281" t="str">
        <f t="shared" si="17"/>
        <v>use the locking pin</v>
      </c>
      <c r="G146" s="281">
        <f t="shared" si="18"/>
        <v>0</v>
      </c>
      <c r="H146" s="282">
        <v>279.06049999999999</v>
      </c>
      <c r="I146" s="283">
        <v>79.962900599999998</v>
      </c>
      <c r="J146" s="91">
        <f t="shared" si="19"/>
        <v>79.962900599999998</v>
      </c>
      <c r="K146" s="91">
        <f t="shared" si="6"/>
        <v>39.981450299999999</v>
      </c>
      <c r="L146" s="91">
        <f t="shared" si="7"/>
        <v>0.64253956655634092</v>
      </c>
      <c r="M146" s="91">
        <f t="shared" si="8"/>
        <v>179.30741271299578</v>
      </c>
      <c r="N146" s="91">
        <f t="shared" si="9"/>
        <v>358.61482542599157</v>
      </c>
      <c r="O146" s="91">
        <f>+C138+D139+D140+D141+D142+D143+D144+D145+(D146/2)</f>
        <v>0</v>
      </c>
      <c r="P146" s="91">
        <f t="shared" si="10"/>
        <v>0</v>
      </c>
      <c r="Q146" s="91">
        <f t="shared" si="11"/>
        <v>0</v>
      </c>
      <c r="R146" s="91">
        <f t="shared" si="20"/>
        <v>213.83080000000001</v>
      </c>
      <c r="S146" s="91">
        <f t="shared" si="31"/>
        <v>213.83080000000001</v>
      </c>
      <c r="T146" s="284">
        <f t="shared" si="12"/>
        <v>213.83080000000001</v>
      </c>
      <c r="V146" s="285">
        <f t="shared" si="13"/>
        <v>0</v>
      </c>
      <c r="W146" s="258"/>
      <c r="X146" s="285">
        <f t="shared" si="21"/>
        <v>0</v>
      </c>
      <c r="Y146" s="286">
        <f>SUM(D139:D146)+$C$138</f>
        <v>0</v>
      </c>
      <c r="Z146" s="287">
        <f t="shared" si="22"/>
        <v>66.255548399999995</v>
      </c>
      <c r="AA146" s="288">
        <f t="shared" si="14"/>
        <v>0.91535047595051022</v>
      </c>
      <c r="AB146" s="289">
        <f t="shared" si="23"/>
        <v>278.56028065668761</v>
      </c>
      <c r="AC146" s="287">
        <f t="shared" si="24"/>
        <v>50.018549700000001</v>
      </c>
      <c r="AD146" s="290">
        <f t="shared" si="25"/>
        <v>0.76625250760411079</v>
      </c>
      <c r="AE146" s="291">
        <f t="shared" si="26"/>
        <v>213.83080789825695</v>
      </c>
      <c r="AF146" s="291">
        <f t="shared" si="32"/>
        <v>-283.5</v>
      </c>
      <c r="AG146" s="292">
        <f t="shared" si="27"/>
        <v>492.39108855494453</v>
      </c>
      <c r="AH146" s="292">
        <f t="shared" si="34"/>
        <v>-213.83080789825695</v>
      </c>
      <c r="AI146" s="292">
        <f t="shared" si="33"/>
        <v>213.83080789825695</v>
      </c>
      <c r="AJ146" s="293">
        <f t="shared" si="28"/>
        <v>-160.38438022494532</v>
      </c>
      <c r="AK146" s="293">
        <f t="shared" si="29"/>
        <v>-123.11561977505472</v>
      </c>
      <c r="AL146" s="273">
        <f t="shared" si="15"/>
        <v>-72.326245135159354</v>
      </c>
      <c r="AM146" s="274">
        <f t="shared" si="16"/>
        <v>-81.224462162242773</v>
      </c>
      <c r="AN146" s="275">
        <f t="shared" si="30"/>
        <v>72.326245135159354</v>
      </c>
      <c r="AO146" s="275">
        <f t="shared" si="30"/>
        <v>81.224462162242773</v>
      </c>
      <c r="BB146" s="214"/>
      <c r="BC146" s="214"/>
      <c r="BD146" s="214"/>
    </row>
    <row r="147" spans="1:56" ht="20" thickBot="1" x14ac:dyDescent="0.35">
      <c r="B147" s="277">
        <v>10</v>
      </c>
      <c r="C147" s="278"/>
      <c r="D147" s="25">
        <v>0</v>
      </c>
      <c r="E147" s="257" t="s">
        <v>130</v>
      </c>
      <c r="F147" s="281" t="str">
        <f t="shared" si="17"/>
        <v>use the locking pin</v>
      </c>
      <c r="G147" s="281">
        <f t="shared" si="18"/>
        <v>0</v>
      </c>
      <c r="H147" s="282">
        <v>279.06049999999999</v>
      </c>
      <c r="I147" s="283">
        <v>79.962900599999998</v>
      </c>
      <c r="J147" s="91">
        <f t="shared" si="19"/>
        <v>79.962900599999998</v>
      </c>
      <c r="K147" s="91">
        <f t="shared" si="6"/>
        <v>39.981450299999999</v>
      </c>
      <c r="L147" s="91">
        <f t="shared" si="7"/>
        <v>0.64253956655634092</v>
      </c>
      <c r="M147" s="91">
        <f t="shared" si="8"/>
        <v>179.30741271299578</v>
      </c>
      <c r="N147" s="91">
        <f t="shared" si="9"/>
        <v>358.61482542599157</v>
      </c>
      <c r="O147" s="91">
        <f>+C138+D139+D140+D141+D142+D143+D144+D145+D146+(D147/2)</f>
        <v>0</v>
      </c>
      <c r="P147" s="91">
        <f t="shared" si="10"/>
        <v>0</v>
      </c>
      <c r="Q147" s="91">
        <f t="shared" si="11"/>
        <v>0</v>
      </c>
      <c r="R147" s="91">
        <f t="shared" si="20"/>
        <v>213.83080000000001</v>
      </c>
      <c r="S147" s="91">
        <f t="shared" si="31"/>
        <v>213.83080000000001</v>
      </c>
      <c r="T147" s="284">
        <f t="shared" si="12"/>
        <v>213.83080000000001</v>
      </c>
      <c r="V147" s="285">
        <f t="shared" si="13"/>
        <v>0</v>
      </c>
      <c r="W147" s="258"/>
      <c r="X147" s="285">
        <f t="shared" si="21"/>
        <v>0</v>
      </c>
      <c r="Y147" s="286">
        <f>SUM(D139:D147)+$C$138</f>
        <v>0</v>
      </c>
      <c r="Z147" s="287">
        <f t="shared" si="22"/>
        <v>66.255548399999995</v>
      </c>
      <c r="AA147" s="288">
        <f t="shared" si="14"/>
        <v>0.91535047595051022</v>
      </c>
      <c r="AB147" s="289">
        <f t="shared" si="23"/>
        <v>278.56028065668761</v>
      </c>
      <c r="AC147" s="287">
        <f t="shared" si="24"/>
        <v>50.018549700000001</v>
      </c>
      <c r="AD147" s="290">
        <f t="shared" si="25"/>
        <v>0.76625250760411079</v>
      </c>
      <c r="AE147" s="291">
        <f t="shared" si="26"/>
        <v>213.83080789825695</v>
      </c>
      <c r="AF147" s="291">
        <f t="shared" si="32"/>
        <v>-324</v>
      </c>
      <c r="AG147" s="292">
        <f t="shared" si="27"/>
        <v>492.39108855494453</v>
      </c>
      <c r="AH147" s="292">
        <f t="shared" si="34"/>
        <v>-213.83080789825695</v>
      </c>
      <c r="AI147" s="292">
        <f t="shared" si="33"/>
        <v>213.83080789825695</v>
      </c>
      <c r="AJ147" s="293">
        <f t="shared" si="28"/>
        <v>-183.29643454279463</v>
      </c>
      <c r="AK147" s="293">
        <f t="shared" si="29"/>
        <v>-140.7035654572054</v>
      </c>
      <c r="AL147" s="273">
        <f t="shared" si="15"/>
        <v>-63.285464493264442</v>
      </c>
      <c r="AM147" s="274">
        <f t="shared" si="16"/>
        <v>-71.071404391962417</v>
      </c>
      <c r="AN147" s="275">
        <f t="shared" si="30"/>
        <v>63.285464493264442</v>
      </c>
      <c r="AO147" s="275">
        <f t="shared" si="30"/>
        <v>71.071404391962417</v>
      </c>
      <c r="BB147" s="214"/>
      <c r="BC147" s="214"/>
      <c r="BD147" s="214"/>
    </row>
    <row r="148" spans="1:56" ht="20" thickBot="1" x14ac:dyDescent="0.35">
      <c r="A148" s="296"/>
      <c r="B148" s="277">
        <v>11</v>
      </c>
      <c r="C148" s="278"/>
      <c r="D148" s="25">
        <v>0</v>
      </c>
      <c r="E148" s="257" t="s">
        <v>130</v>
      </c>
      <c r="F148" s="281" t="str">
        <f t="shared" si="17"/>
        <v>use the locking pin</v>
      </c>
      <c r="G148" s="281">
        <f t="shared" si="18"/>
        <v>0</v>
      </c>
      <c r="H148" s="282">
        <v>279.06049999999999</v>
      </c>
      <c r="I148" s="283">
        <v>79.962900599999998</v>
      </c>
      <c r="J148" s="91">
        <f t="shared" si="19"/>
        <v>79.962900599999998</v>
      </c>
      <c r="K148" s="91">
        <f t="shared" si="6"/>
        <v>39.981450299999999</v>
      </c>
      <c r="L148" s="91">
        <f t="shared" si="7"/>
        <v>0.64253956655634092</v>
      </c>
      <c r="M148" s="91">
        <f t="shared" si="8"/>
        <v>179.30741271299578</v>
      </c>
      <c r="N148" s="91">
        <f t="shared" si="9"/>
        <v>358.61482542599157</v>
      </c>
      <c r="O148" s="91">
        <f>+C138+D139+D140+D141+D142+D143+D144+D145+D146+D147+(D148/2)</f>
        <v>0</v>
      </c>
      <c r="P148" s="91">
        <f t="shared" si="10"/>
        <v>0</v>
      </c>
      <c r="Q148" s="91">
        <f t="shared" si="11"/>
        <v>0</v>
      </c>
      <c r="R148" s="91">
        <f t="shared" si="20"/>
        <v>213.83080000000001</v>
      </c>
      <c r="S148" s="91">
        <f t="shared" si="31"/>
        <v>213.83080000000001</v>
      </c>
      <c r="T148" s="284">
        <f t="shared" si="12"/>
        <v>213.83080000000001</v>
      </c>
      <c r="V148" s="285">
        <f t="shared" si="13"/>
        <v>0</v>
      </c>
      <c r="W148" s="258"/>
      <c r="X148" s="285">
        <f t="shared" si="21"/>
        <v>0</v>
      </c>
      <c r="Y148" s="286">
        <f>SUM(D139:D148)+$C$138</f>
        <v>0</v>
      </c>
      <c r="Z148" s="287">
        <f t="shared" si="22"/>
        <v>66.255548399999995</v>
      </c>
      <c r="AA148" s="288">
        <f t="shared" si="14"/>
        <v>0.91535047595051022</v>
      </c>
      <c r="AB148" s="289">
        <f t="shared" si="23"/>
        <v>278.56028065668761</v>
      </c>
      <c r="AC148" s="287">
        <f t="shared" si="24"/>
        <v>50.018549700000001</v>
      </c>
      <c r="AD148" s="290">
        <f t="shared" si="25"/>
        <v>0.76625250760411079</v>
      </c>
      <c r="AE148" s="291">
        <f t="shared" si="26"/>
        <v>213.83080789825695</v>
      </c>
      <c r="AF148" s="291">
        <f t="shared" si="32"/>
        <v>-364.5</v>
      </c>
      <c r="AG148" s="292">
        <f t="shared" si="27"/>
        <v>492.39108855494453</v>
      </c>
      <c r="AH148" s="292">
        <f t="shared" si="34"/>
        <v>-213.83080789825695</v>
      </c>
      <c r="AI148" s="292">
        <f t="shared" si="33"/>
        <v>213.83080789825695</v>
      </c>
      <c r="AJ148" s="293">
        <f t="shared" si="28"/>
        <v>-206.20848886064397</v>
      </c>
      <c r="AK148" s="293">
        <f t="shared" si="29"/>
        <v>-158.29151113935606</v>
      </c>
      <c r="AL148" s="273">
        <f t="shared" si="15"/>
        <v>-56.253746216235058</v>
      </c>
      <c r="AM148" s="274">
        <f t="shared" si="16"/>
        <v>-63.174581681744378</v>
      </c>
      <c r="AN148" s="275">
        <f t="shared" si="30"/>
        <v>56.253746216235058</v>
      </c>
      <c r="AO148" s="275">
        <f t="shared" si="30"/>
        <v>63.174581681744378</v>
      </c>
      <c r="BB148" s="214"/>
      <c r="BC148" s="214"/>
      <c r="BD148" s="214"/>
    </row>
    <row r="149" spans="1:56" ht="20" thickBot="1" x14ac:dyDescent="0.35">
      <c r="A149" s="296"/>
      <c r="B149" s="277">
        <v>12</v>
      </c>
      <c r="C149" s="278"/>
      <c r="D149" s="25">
        <v>0</v>
      </c>
      <c r="E149" s="257" t="s">
        <v>130</v>
      </c>
      <c r="F149" s="281" t="str">
        <f t="shared" si="17"/>
        <v>use the locking pin</v>
      </c>
      <c r="G149" s="281">
        <f t="shared" si="18"/>
        <v>0</v>
      </c>
      <c r="H149" s="282">
        <v>279.06049999999999</v>
      </c>
      <c r="I149" s="283">
        <v>79.962900599999998</v>
      </c>
      <c r="J149" s="91">
        <f t="shared" si="19"/>
        <v>79.962900599999998</v>
      </c>
      <c r="K149" s="91">
        <f t="shared" si="6"/>
        <v>39.981450299999999</v>
      </c>
      <c r="L149" s="91">
        <f t="shared" si="7"/>
        <v>0.64253956655634092</v>
      </c>
      <c r="M149" s="91">
        <f t="shared" si="8"/>
        <v>179.30741271299578</v>
      </c>
      <c r="N149" s="91">
        <f t="shared" si="9"/>
        <v>358.61482542599157</v>
      </c>
      <c r="O149" s="91">
        <f>+C138+D139+D140+D141+D142+D143+D144+D145+D146+D147+D148+(D149/2)</f>
        <v>0</v>
      </c>
      <c r="P149" s="91">
        <f t="shared" si="10"/>
        <v>0</v>
      </c>
      <c r="Q149" s="91">
        <f t="shared" si="11"/>
        <v>0</v>
      </c>
      <c r="R149" s="91">
        <f t="shared" si="20"/>
        <v>213.83080000000001</v>
      </c>
      <c r="S149" s="91">
        <f t="shared" si="31"/>
        <v>213.83080000000001</v>
      </c>
      <c r="T149" s="284">
        <f t="shared" si="12"/>
        <v>213.83080000000001</v>
      </c>
      <c r="V149" s="285">
        <f t="shared" si="13"/>
        <v>0</v>
      </c>
      <c r="W149" s="258"/>
      <c r="X149" s="285">
        <f t="shared" si="21"/>
        <v>0</v>
      </c>
      <c r="Y149" s="286">
        <f>SUM(D139:D149)+$C$138</f>
        <v>0</v>
      </c>
      <c r="Z149" s="287">
        <f t="shared" si="22"/>
        <v>66.255548399999995</v>
      </c>
      <c r="AA149" s="288">
        <f t="shared" si="14"/>
        <v>0.91535047595051022</v>
      </c>
      <c r="AB149" s="289">
        <f t="shared" si="23"/>
        <v>278.56028065668761</v>
      </c>
      <c r="AC149" s="287">
        <f t="shared" si="24"/>
        <v>50.018549700000001</v>
      </c>
      <c r="AD149" s="290">
        <f t="shared" si="25"/>
        <v>0.76625250760411079</v>
      </c>
      <c r="AE149" s="291">
        <f t="shared" si="26"/>
        <v>213.83080789825695</v>
      </c>
      <c r="AF149" s="291">
        <f t="shared" si="32"/>
        <v>-405</v>
      </c>
      <c r="AG149" s="292">
        <f t="shared" si="27"/>
        <v>492.39108855494453</v>
      </c>
      <c r="AH149" s="292">
        <f t="shared" si="34"/>
        <v>-213.83080789825695</v>
      </c>
      <c r="AI149" s="292">
        <f t="shared" si="33"/>
        <v>213.83080789825695</v>
      </c>
      <c r="AJ149" s="293">
        <f t="shared" si="28"/>
        <v>-229.12054317849331</v>
      </c>
      <c r="AK149" s="293">
        <f t="shared" si="29"/>
        <v>-175.87945682150675</v>
      </c>
      <c r="AL149" s="273">
        <f t="shared" si="15"/>
        <v>-50.628371594611551</v>
      </c>
      <c r="AM149" s="274">
        <f t="shared" si="16"/>
        <v>-56.857123513569938</v>
      </c>
      <c r="AN149" s="275">
        <f t="shared" si="30"/>
        <v>50.628371594611551</v>
      </c>
      <c r="AO149" s="275">
        <f t="shared" si="30"/>
        <v>56.857123513569938</v>
      </c>
      <c r="BB149" s="214"/>
      <c r="BC149" s="214"/>
      <c r="BD149" s="214"/>
    </row>
    <row r="150" spans="1:56" ht="20" thickBot="1" x14ac:dyDescent="0.35">
      <c r="B150" s="277">
        <v>13</v>
      </c>
      <c r="C150" s="278"/>
      <c r="D150" s="25">
        <v>0</v>
      </c>
      <c r="E150" s="257" t="s">
        <v>130</v>
      </c>
      <c r="F150" s="281" t="str">
        <f t="shared" si="17"/>
        <v>use the locking pin</v>
      </c>
      <c r="G150" s="281">
        <f t="shared" si="18"/>
        <v>0</v>
      </c>
      <c r="H150" s="282">
        <v>279.06049999999999</v>
      </c>
      <c r="I150" s="283">
        <v>79.962900599999998</v>
      </c>
      <c r="J150" s="91">
        <f t="shared" si="19"/>
        <v>79.962900599999998</v>
      </c>
      <c r="K150" s="91">
        <f t="shared" si="6"/>
        <v>39.981450299999999</v>
      </c>
      <c r="L150" s="91">
        <f t="shared" si="7"/>
        <v>0.64253956655634092</v>
      </c>
      <c r="M150" s="91">
        <f t="shared" si="8"/>
        <v>179.30741271299578</v>
      </c>
      <c r="N150" s="91">
        <f t="shared" si="9"/>
        <v>358.61482542599157</v>
      </c>
      <c r="O150" s="91">
        <f>+C138+D139+D140+D141+D142+D143+D144+D145+D146+D147+D148+D149+(D150/2)</f>
        <v>0</v>
      </c>
      <c r="P150" s="91">
        <f t="shared" si="10"/>
        <v>0</v>
      </c>
      <c r="Q150" s="91">
        <f t="shared" si="11"/>
        <v>0</v>
      </c>
      <c r="R150" s="91">
        <f t="shared" si="20"/>
        <v>213.83080000000001</v>
      </c>
      <c r="S150" s="91">
        <f t="shared" si="31"/>
        <v>213.83080000000001</v>
      </c>
      <c r="T150" s="284">
        <f t="shared" si="12"/>
        <v>213.83080000000001</v>
      </c>
      <c r="V150" s="285">
        <f t="shared" si="13"/>
        <v>0</v>
      </c>
      <c r="W150" s="258"/>
      <c r="X150" s="285">
        <f t="shared" si="21"/>
        <v>0</v>
      </c>
      <c r="Y150" s="286">
        <f>SUM(D139:D150)+$C$138</f>
        <v>0</v>
      </c>
      <c r="Z150" s="287">
        <f t="shared" si="22"/>
        <v>66.255548399999995</v>
      </c>
      <c r="AA150" s="288">
        <f t="shared" si="14"/>
        <v>0.91535047595051022</v>
      </c>
      <c r="AB150" s="289">
        <f t="shared" si="23"/>
        <v>278.56028065668761</v>
      </c>
      <c r="AC150" s="287">
        <f t="shared" si="24"/>
        <v>50.018549700000001</v>
      </c>
      <c r="AD150" s="290">
        <f t="shared" si="25"/>
        <v>0.76625250760411079</v>
      </c>
      <c r="AE150" s="291">
        <f t="shared" si="26"/>
        <v>213.83080789825695</v>
      </c>
      <c r="AF150" s="291">
        <f t="shared" si="32"/>
        <v>-445.5</v>
      </c>
      <c r="AG150" s="292">
        <f t="shared" si="27"/>
        <v>492.39108855494453</v>
      </c>
      <c r="AH150" s="292">
        <f t="shared" si="34"/>
        <v>-213.83080789825695</v>
      </c>
      <c r="AI150" s="292">
        <f t="shared" si="33"/>
        <v>213.83080789825695</v>
      </c>
      <c r="AJ150" s="293">
        <f t="shared" si="28"/>
        <v>-252.03259749634262</v>
      </c>
      <c r="AK150" s="293">
        <f t="shared" si="29"/>
        <v>-193.46740250365741</v>
      </c>
      <c r="AL150" s="273">
        <f t="shared" si="15"/>
        <v>-46.025792358737775</v>
      </c>
      <c r="AM150" s="274">
        <f t="shared" si="16"/>
        <v>-51.688294103245404</v>
      </c>
      <c r="AN150" s="275">
        <f t="shared" si="30"/>
        <v>46.025792358737775</v>
      </c>
      <c r="AO150" s="275">
        <f t="shared" si="30"/>
        <v>51.688294103245404</v>
      </c>
      <c r="BB150" s="214"/>
      <c r="BC150" s="214"/>
      <c r="BD150" s="214"/>
    </row>
    <row r="151" spans="1:56" ht="20" thickBot="1" x14ac:dyDescent="0.35">
      <c r="B151" s="277">
        <v>14</v>
      </c>
      <c r="C151" s="278"/>
      <c r="D151" s="25">
        <v>0</v>
      </c>
      <c r="E151" s="257" t="s">
        <v>130</v>
      </c>
      <c r="F151" s="281" t="str">
        <f t="shared" si="17"/>
        <v>use the locking pin</v>
      </c>
      <c r="G151" s="281">
        <f t="shared" si="18"/>
        <v>0</v>
      </c>
      <c r="H151" s="282">
        <v>279.06049999999999</v>
      </c>
      <c r="I151" s="283">
        <v>79.962900599999998</v>
      </c>
      <c r="J151" s="91">
        <f t="shared" si="19"/>
        <v>79.962900599999998</v>
      </c>
      <c r="K151" s="91">
        <f t="shared" si="6"/>
        <v>39.981450299999999</v>
      </c>
      <c r="L151" s="91">
        <f t="shared" si="7"/>
        <v>0.64253956655634092</v>
      </c>
      <c r="M151" s="91">
        <f t="shared" si="8"/>
        <v>179.30741271299578</v>
      </c>
      <c r="N151" s="91">
        <f t="shared" si="9"/>
        <v>358.61482542599157</v>
      </c>
      <c r="O151" s="91">
        <f>+C138+D139+D140+D141+D142+D143+D144+D145+D146+D147+D148+D149+D150+(D151/2)</f>
        <v>0</v>
      </c>
      <c r="P151" s="91">
        <f t="shared" si="10"/>
        <v>0</v>
      </c>
      <c r="Q151" s="91">
        <f t="shared" si="11"/>
        <v>0</v>
      </c>
      <c r="R151" s="91">
        <f t="shared" si="20"/>
        <v>213.83080000000001</v>
      </c>
      <c r="S151" s="91">
        <f t="shared" si="31"/>
        <v>213.83080000000001</v>
      </c>
      <c r="T151" s="284">
        <f t="shared" si="12"/>
        <v>213.83080000000001</v>
      </c>
      <c r="V151" s="285">
        <f t="shared" si="13"/>
        <v>0</v>
      </c>
      <c r="W151" s="258"/>
      <c r="X151" s="285">
        <f t="shared" si="21"/>
        <v>0</v>
      </c>
      <c r="Y151" s="286">
        <f>SUM(D139:D151)+$C$138</f>
        <v>0</v>
      </c>
      <c r="Z151" s="287">
        <f t="shared" si="22"/>
        <v>66.255548399999995</v>
      </c>
      <c r="AA151" s="288">
        <f t="shared" si="14"/>
        <v>0.91535047595051022</v>
      </c>
      <c r="AB151" s="289">
        <f t="shared" si="23"/>
        <v>278.56028065668761</v>
      </c>
      <c r="AC151" s="287">
        <f t="shared" si="24"/>
        <v>50.018549700000001</v>
      </c>
      <c r="AD151" s="290">
        <f t="shared" si="25"/>
        <v>0.76625250760411079</v>
      </c>
      <c r="AE151" s="291">
        <f t="shared" si="26"/>
        <v>213.83080789825695</v>
      </c>
      <c r="AF151" s="291">
        <f t="shared" si="32"/>
        <v>-486</v>
      </c>
      <c r="AG151" s="292">
        <f t="shared" si="27"/>
        <v>492.39108855494453</v>
      </c>
      <c r="AH151" s="292">
        <f t="shared" si="34"/>
        <v>-213.83080789825695</v>
      </c>
      <c r="AI151" s="292">
        <f t="shared" si="33"/>
        <v>213.83080789825695</v>
      </c>
      <c r="AJ151" s="293">
        <f t="shared" si="28"/>
        <v>-274.94465181419196</v>
      </c>
      <c r="AK151" s="293">
        <f t="shared" si="29"/>
        <v>-211.0553481858081</v>
      </c>
      <c r="AL151" s="273">
        <f t="shared" si="15"/>
        <v>-42.190309662176297</v>
      </c>
      <c r="AM151" s="274">
        <f t="shared" si="16"/>
        <v>-47.380936261308278</v>
      </c>
      <c r="AN151" s="275">
        <f t="shared" si="30"/>
        <v>42.190309662176297</v>
      </c>
      <c r="AO151" s="275">
        <f t="shared" si="30"/>
        <v>47.380936261308278</v>
      </c>
      <c r="BB151" s="214"/>
      <c r="BC151" s="214"/>
      <c r="BD151" s="214"/>
    </row>
    <row r="152" spans="1:56" ht="20" thickBot="1" x14ac:dyDescent="0.35">
      <c r="B152" s="277">
        <v>15</v>
      </c>
      <c r="C152" s="278"/>
      <c r="D152" s="25">
        <v>0</v>
      </c>
      <c r="E152" s="257" t="s">
        <v>130</v>
      </c>
      <c r="F152" s="281" t="str">
        <f t="shared" si="17"/>
        <v>use the locking pin</v>
      </c>
      <c r="G152" s="281">
        <f t="shared" si="18"/>
        <v>0</v>
      </c>
      <c r="H152" s="282">
        <v>279.06049999999999</v>
      </c>
      <c r="I152" s="283">
        <v>79.962900599999998</v>
      </c>
      <c r="J152" s="91">
        <f t="shared" si="19"/>
        <v>79.962900599999998</v>
      </c>
      <c r="K152" s="91">
        <f t="shared" si="6"/>
        <v>39.981450299999999</v>
      </c>
      <c r="L152" s="91">
        <f t="shared" si="7"/>
        <v>0.64253956655634092</v>
      </c>
      <c r="M152" s="91">
        <f t="shared" si="8"/>
        <v>179.30741271299578</v>
      </c>
      <c r="N152" s="91">
        <f t="shared" si="9"/>
        <v>358.61482542599157</v>
      </c>
      <c r="O152" s="91">
        <f>+C138+D139+D140+D141+D142+D143+D144+D145+D146+D147+D148+D149+D150+D151+(D152/2)</f>
        <v>0</v>
      </c>
      <c r="P152" s="91">
        <f t="shared" si="10"/>
        <v>0</v>
      </c>
      <c r="Q152" s="91">
        <f t="shared" si="11"/>
        <v>0</v>
      </c>
      <c r="R152" s="91">
        <f t="shared" si="20"/>
        <v>213.83080000000001</v>
      </c>
      <c r="S152" s="91">
        <f t="shared" si="31"/>
        <v>213.83080000000001</v>
      </c>
      <c r="T152" s="284">
        <f t="shared" si="12"/>
        <v>213.83080000000001</v>
      </c>
      <c r="V152" s="285">
        <f t="shared" si="13"/>
        <v>0</v>
      </c>
      <c r="W152" s="258"/>
      <c r="X152" s="285">
        <f t="shared" si="21"/>
        <v>0</v>
      </c>
      <c r="Y152" s="286">
        <f>SUM(D139:D152)+$C$138</f>
        <v>0</v>
      </c>
      <c r="Z152" s="287">
        <f t="shared" si="22"/>
        <v>66.255548399999995</v>
      </c>
      <c r="AA152" s="288">
        <f t="shared" si="14"/>
        <v>0.91535047595051022</v>
      </c>
      <c r="AB152" s="289">
        <f t="shared" si="23"/>
        <v>278.56028065668761</v>
      </c>
      <c r="AC152" s="287">
        <f t="shared" si="24"/>
        <v>50.018549700000001</v>
      </c>
      <c r="AD152" s="290">
        <f t="shared" si="25"/>
        <v>0.76625250760411079</v>
      </c>
      <c r="AE152" s="291">
        <f t="shared" si="26"/>
        <v>213.83080789825695</v>
      </c>
      <c r="AF152" s="291">
        <f t="shared" si="32"/>
        <v>-526.5</v>
      </c>
      <c r="AG152" s="292">
        <f t="shared" si="27"/>
        <v>492.39108855494453</v>
      </c>
      <c r="AH152" s="292">
        <f t="shared" si="34"/>
        <v>-213.83080789825695</v>
      </c>
      <c r="AI152" s="292">
        <f t="shared" si="33"/>
        <v>213.83080789825695</v>
      </c>
      <c r="AJ152" s="293">
        <f t="shared" si="28"/>
        <v>-297.85670613204127</v>
      </c>
      <c r="AK152" s="293">
        <f t="shared" si="29"/>
        <v>-228.64329386795876</v>
      </c>
      <c r="AL152" s="273">
        <f t="shared" si="15"/>
        <v>-38.944901226624275</v>
      </c>
      <c r="AM152" s="274">
        <f t="shared" si="16"/>
        <v>-43.736248856592262</v>
      </c>
      <c r="AN152" s="275">
        <f t="shared" si="30"/>
        <v>38.944901226624275</v>
      </c>
      <c r="AO152" s="275">
        <f t="shared" si="30"/>
        <v>43.736248856592262</v>
      </c>
      <c r="BB152" s="214"/>
      <c r="BC152" s="214"/>
      <c r="BD152" s="214"/>
    </row>
    <row r="153" spans="1:56" ht="20" thickBot="1" x14ac:dyDescent="0.35">
      <c r="B153" s="277">
        <v>16</v>
      </c>
      <c r="C153" s="278"/>
      <c r="D153" s="25">
        <v>0</v>
      </c>
      <c r="E153" s="257" t="s">
        <v>130</v>
      </c>
      <c r="F153" s="281" t="str">
        <f t="shared" si="17"/>
        <v>use the locking pin</v>
      </c>
      <c r="G153" s="281">
        <f t="shared" si="18"/>
        <v>0</v>
      </c>
      <c r="H153" s="282">
        <v>279.06049999999999</v>
      </c>
      <c r="I153" s="283">
        <v>79.962900599999998</v>
      </c>
      <c r="J153" s="91">
        <f t="shared" si="19"/>
        <v>79.962900599999998</v>
      </c>
      <c r="K153" s="91">
        <f t="shared" si="6"/>
        <v>39.981450299999999</v>
      </c>
      <c r="L153" s="91">
        <f t="shared" si="7"/>
        <v>0.64253956655634092</v>
      </c>
      <c r="M153" s="91">
        <f t="shared" si="8"/>
        <v>179.30741271299578</v>
      </c>
      <c r="N153" s="91">
        <f t="shared" si="9"/>
        <v>358.61482542599157</v>
      </c>
      <c r="O153" s="91">
        <f>+C138+D139+D140+D141+D142+D143+D144+D145+D146+D147+D148+D149+D150+D151+D152+(D153/2)</f>
        <v>0</v>
      </c>
      <c r="P153" s="91">
        <f t="shared" si="10"/>
        <v>0</v>
      </c>
      <c r="Q153" s="91">
        <f t="shared" si="11"/>
        <v>0</v>
      </c>
      <c r="R153" s="91">
        <f t="shared" si="20"/>
        <v>213.83080000000001</v>
      </c>
      <c r="S153" s="91">
        <f t="shared" si="31"/>
        <v>213.83080000000001</v>
      </c>
      <c r="T153" s="284">
        <f t="shared" si="12"/>
        <v>213.83080000000001</v>
      </c>
      <c r="V153" s="285">
        <f t="shared" si="13"/>
        <v>0</v>
      </c>
      <c r="W153" s="258"/>
      <c r="X153" s="285">
        <f t="shared" si="21"/>
        <v>0</v>
      </c>
      <c r="Y153" s="286">
        <f>SUM(D139:D153)+$C$138</f>
        <v>0</v>
      </c>
      <c r="Z153" s="287">
        <f t="shared" si="22"/>
        <v>66.255548399999995</v>
      </c>
      <c r="AA153" s="288">
        <f t="shared" si="14"/>
        <v>0.91535047595051022</v>
      </c>
      <c r="AB153" s="289">
        <f t="shared" si="23"/>
        <v>278.56028065668761</v>
      </c>
      <c r="AC153" s="287">
        <f t="shared" si="24"/>
        <v>50.018549700000001</v>
      </c>
      <c r="AD153" s="290">
        <f t="shared" si="25"/>
        <v>0.76625250760411079</v>
      </c>
      <c r="AE153" s="291">
        <f t="shared" si="26"/>
        <v>213.83080789825695</v>
      </c>
      <c r="AF153" s="291">
        <f t="shared" si="32"/>
        <v>-567</v>
      </c>
      <c r="AG153" s="292">
        <f t="shared" si="27"/>
        <v>492.39108855494453</v>
      </c>
      <c r="AH153" s="292">
        <f t="shared" si="34"/>
        <v>-213.83080789825695</v>
      </c>
      <c r="AI153" s="292">
        <f t="shared" si="33"/>
        <v>213.83080789825695</v>
      </c>
      <c r="AJ153" s="293">
        <f t="shared" si="28"/>
        <v>-320.76876044989064</v>
      </c>
      <c r="AK153" s="293">
        <f t="shared" si="29"/>
        <v>-246.23123955010945</v>
      </c>
      <c r="AL153" s="273">
        <f t="shared" si="15"/>
        <v>-36.163122567579677</v>
      </c>
      <c r="AM153" s="274">
        <f t="shared" si="16"/>
        <v>-40.612231081121386</v>
      </c>
      <c r="AN153" s="275">
        <f t="shared" si="30"/>
        <v>36.163122567579677</v>
      </c>
      <c r="AO153" s="275">
        <f t="shared" si="30"/>
        <v>40.612231081121386</v>
      </c>
      <c r="BB153" s="214"/>
      <c r="BC153" s="214"/>
      <c r="BD153" s="214"/>
    </row>
    <row r="154" spans="1:56" ht="20" thickBot="1" x14ac:dyDescent="0.35">
      <c r="B154" s="277">
        <v>17</v>
      </c>
      <c r="C154" s="278"/>
      <c r="D154" s="25">
        <v>0</v>
      </c>
      <c r="E154" s="257" t="s">
        <v>130</v>
      </c>
      <c r="F154" s="281" t="str">
        <f t="shared" si="17"/>
        <v>use the locking pin</v>
      </c>
      <c r="G154" s="281">
        <f t="shared" si="18"/>
        <v>0</v>
      </c>
      <c r="H154" s="282">
        <v>279.06049999999999</v>
      </c>
      <c r="I154" s="283">
        <v>79.962900599999998</v>
      </c>
      <c r="J154" s="91">
        <f t="shared" si="19"/>
        <v>79.962900599999998</v>
      </c>
      <c r="K154" s="91">
        <f t="shared" si="6"/>
        <v>39.981450299999999</v>
      </c>
      <c r="L154" s="91">
        <f t="shared" si="7"/>
        <v>0.64253956655634092</v>
      </c>
      <c r="M154" s="91">
        <f t="shared" si="8"/>
        <v>179.30741271299578</v>
      </c>
      <c r="N154" s="91">
        <f t="shared" si="9"/>
        <v>358.61482542599157</v>
      </c>
      <c r="O154" s="91">
        <f>+C138+D139+D140+D141+D142+D143+D144+D145+D146+D147+D148+D149+D150+D151+D152+D153+(D154/2)</f>
        <v>0</v>
      </c>
      <c r="P154" s="91">
        <f t="shared" si="10"/>
        <v>0</v>
      </c>
      <c r="Q154" s="91">
        <f t="shared" si="11"/>
        <v>0</v>
      </c>
      <c r="R154" s="91">
        <f t="shared" si="20"/>
        <v>213.83080000000001</v>
      </c>
      <c r="S154" s="91">
        <f t="shared" si="31"/>
        <v>213.83080000000001</v>
      </c>
      <c r="T154" s="284">
        <f t="shared" si="12"/>
        <v>213.83080000000001</v>
      </c>
      <c r="V154" s="285">
        <f t="shared" si="13"/>
        <v>0</v>
      </c>
      <c r="W154" s="258"/>
      <c r="X154" s="285">
        <f t="shared" si="21"/>
        <v>0</v>
      </c>
      <c r="Y154" s="286">
        <f>SUM(D139:D154)+$C$138</f>
        <v>0</v>
      </c>
      <c r="Z154" s="287">
        <f t="shared" si="22"/>
        <v>66.255548399999995</v>
      </c>
      <c r="AA154" s="288">
        <f t="shared" si="14"/>
        <v>0.91535047595051022</v>
      </c>
      <c r="AB154" s="289">
        <f t="shared" si="23"/>
        <v>278.56028065668761</v>
      </c>
      <c r="AC154" s="287">
        <f t="shared" si="24"/>
        <v>50.018549700000001</v>
      </c>
      <c r="AD154" s="290">
        <f t="shared" si="25"/>
        <v>0.76625250760411079</v>
      </c>
      <c r="AE154" s="291">
        <f t="shared" si="26"/>
        <v>213.83080789825695</v>
      </c>
      <c r="AF154" s="291">
        <f t="shared" si="32"/>
        <v>-607.5</v>
      </c>
      <c r="AG154" s="292">
        <f t="shared" si="27"/>
        <v>492.39108855494453</v>
      </c>
      <c r="AH154" s="292">
        <f t="shared" si="34"/>
        <v>-213.83080789825695</v>
      </c>
      <c r="AI154" s="292">
        <f t="shared" si="33"/>
        <v>213.83080789825695</v>
      </c>
      <c r="AJ154" s="293">
        <f t="shared" si="28"/>
        <v>-343.68081476773995</v>
      </c>
      <c r="AK154" s="293">
        <f t="shared" si="29"/>
        <v>-263.81918523226011</v>
      </c>
      <c r="AL154" s="273">
        <f t="shared" si="15"/>
        <v>-33.752247729741036</v>
      </c>
      <c r="AM154" s="274">
        <f t="shared" si="16"/>
        <v>-37.904749009046625</v>
      </c>
      <c r="AN154" s="275">
        <f t="shared" si="30"/>
        <v>33.752247729741036</v>
      </c>
      <c r="AO154" s="275">
        <f t="shared" si="30"/>
        <v>37.904749009046625</v>
      </c>
      <c r="BB154" s="214"/>
      <c r="BC154" s="214"/>
      <c r="BD154" s="214"/>
    </row>
    <row r="155" spans="1:56" ht="20" thickBot="1" x14ac:dyDescent="0.35">
      <c r="B155" s="277">
        <v>18</v>
      </c>
      <c r="C155" s="278"/>
      <c r="D155" s="25">
        <v>0</v>
      </c>
      <c r="E155" s="257" t="s">
        <v>130</v>
      </c>
      <c r="F155" s="281" t="str">
        <f t="shared" si="17"/>
        <v>use the locking pin</v>
      </c>
      <c r="G155" s="281">
        <f t="shared" si="18"/>
        <v>0</v>
      </c>
      <c r="H155" s="282">
        <v>279.06049999999999</v>
      </c>
      <c r="I155" s="283">
        <v>79.962900599999998</v>
      </c>
      <c r="J155" s="91">
        <f t="shared" si="19"/>
        <v>79.962900599999998</v>
      </c>
      <c r="K155" s="91">
        <f t="shared" si="6"/>
        <v>39.981450299999999</v>
      </c>
      <c r="L155" s="91">
        <f t="shared" si="7"/>
        <v>0.64253956655634092</v>
      </c>
      <c r="M155" s="91">
        <f t="shared" si="8"/>
        <v>179.30741271299578</v>
      </c>
      <c r="N155" s="91">
        <f t="shared" si="9"/>
        <v>358.61482542599157</v>
      </c>
      <c r="O155" s="91">
        <f>+C138+D139+D140+D141+D142+D143+D144+D145+D146+D147+D148+D149+D150+D151+D152+D153+D154+(D155/2)</f>
        <v>0</v>
      </c>
      <c r="P155" s="91">
        <f t="shared" si="10"/>
        <v>0</v>
      </c>
      <c r="Q155" s="91">
        <f t="shared" si="11"/>
        <v>0</v>
      </c>
      <c r="R155" s="91">
        <f t="shared" si="20"/>
        <v>213.83080000000001</v>
      </c>
      <c r="S155" s="91">
        <f t="shared" si="31"/>
        <v>213.83080000000001</v>
      </c>
      <c r="T155" s="284">
        <f t="shared" si="12"/>
        <v>213.83080000000001</v>
      </c>
      <c r="V155" s="285">
        <f t="shared" si="13"/>
        <v>0</v>
      </c>
      <c r="W155" s="258"/>
      <c r="X155" s="285">
        <f t="shared" si="21"/>
        <v>0</v>
      </c>
      <c r="Y155" s="286">
        <f>SUM(D139:D155)+$C$138</f>
        <v>0</v>
      </c>
      <c r="Z155" s="287">
        <f t="shared" si="22"/>
        <v>66.255548399999995</v>
      </c>
      <c r="AA155" s="288">
        <f t="shared" si="14"/>
        <v>0.91535047595051022</v>
      </c>
      <c r="AB155" s="289">
        <f t="shared" si="23"/>
        <v>278.56028065668761</v>
      </c>
      <c r="AC155" s="287">
        <f t="shared" si="24"/>
        <v>50.018549700000001</v>
      </c>
      <c r="AD155" s="290">
        <f t="shared" si="25"/>
        <v>0.76625250760411079</v>
      </c>
      <c r="AE155" s="291">
        <f t="shared" si="26"/>
        <v>213.83080789825695</v>
      </c>
      <c r="AF155" s="291">
        <f t="shared" si="32"/>
        <v>-648</v>
      </c>
      <c r="AG155" s="292">
        <f t="shared" si="27"/>
        <v>492.39108855494453</v>
      </c>
      <c r="AH155" s="292">
        <f t="shared" si="34"/>
        <v>-213.83080789825695</v>
      </c>
      <c r="AI155" s="292">
        <f t="shared" si="33"/>
        <v>213.83080789825695</v>
      </c>
      <c r="AJ155" s="293">
        <f t="shared" si="28"/>
        <v>-366.59286908558926</v>
      </c>
      <c r="AK155" s="293">
        <f t="shared" si="29"/>
        <v>-281.4071309144108</v>
      </c>
      <c r="AL155" s="273">
        <f t="shared" si="15"/>
        <v>-31.642732246632221</v>
      </c>
      <c r="AM155" s="274">
        <f t="shared" si="16"/>
        <v>-35.535702195981209</v>
      </c>
      <c r="AN155" s="275">
        <f t="shared" si="30"/>
        <v>31.642732246632221</v>
      </c>
      <c r="AO155" s="275">
        <f t="shared" si="30"/>
        <v>35.535702195981209</v>
      </c>
      <c r="BB155" s="214"/>
      <c r="BC155" s="214"/>
      <c r="BD155" s="214"/>
    </row>
    <row r="156" spans="1:56" ht="20" thickBot="1" x14ac:dyDescent="0.35">
      <c r="B156" s="277">
        <v>19</v>
      </c>
      <c r="C156" s="278"/>
      <c r="D156" s="25">
        <v>0</v>
      </c>
      <c r="E156" s="257" t="s">
        <v>130</v>
      </c>
      <c r="F156" s="281" t="str">
        <f t="shared" si="17"/>
        <v>use the locking pin</v>
      </c>
      <c r="G156" s="281">
        <f t="shared" si="18"/>
        <v>0</v>
      </c>
      <c r="H156" s="282">
        <v>279.06049999999999</v>
      </c>
      <c r="I156" s="283">
        <v>79.962900599999998</v>
      </c>
      <c r="J156" s="91">
        <f t="shared" si="19"/>
        <v>79.962900599999998</v>
      </c>
      <c r="K156" s="91">
        <f t="shared" si="6"/>
        <v>39.981450299999999</v>
      </c>
      <c r="L156" s="91">
        <f t="shared" si="7"/>
        <v>0.64253956655634092</v>
      </c>
      <c r="M156" s="91">
        <f t="shared" si="8"/>
        <v>179.30741271299578</v>
      </c>
      <c r="N156" s="91">
        <f t="shared" si="9"/>
        <v>358.61482542599157</v>
      </c>
      <c r="O156" s="91">
        <f>+C138+D139+D140+D141+D142+D143+D144+D145+D146+D147+D148+D149+D150+D151+D152+D153+D154+D155+(D156/2)</f>
        <v>0</v>
      </c>
      <c r="P156" s="91">
        <f t="shared" si="10"/>
        <v>0</v>
      </c>
      <c r="Q156" s="91">
        <f t="shared" si="11"/>
        <v>0</v>
      </c>
      <c r="R156" s="91">
        <f t="shared" si="20"/>
        <v>213.83080000000001</v>
      </c>
      <c r="S156" s="91">
        <f t="shared" si="31"/>
        <v>213.83080000000001</v>
      </c>
      <c r="T156" s="284">
        <f t="shared" si="12"/>
        <v>213.83080000000001</v>
      </c>
      <c r="V156" s="285">
        <f t="shared" si="13"/>
        <v>0</v>
      </c>
      <c r="W156" s="258"/>
      <c r="X156" s="285">
        <f t="shared" si="21"/>
        <v>0</v>
      </c>
      <c r="Y156" s="286">
        <f>SUM(D139:D156)+$C$138</f>
        <v>0</v>
      </c>
      <c r="Z156" s="287">
        <f t="shared" si="22"/>
        <v>66.255548399999995</v>
      </c>
      <c r="AA156" s="288">
        <f t="shared" si="14"/>
        <v>0.91535047595051022</v>
      </c>
      <c r="AB156" s="289">
        <f t="shared" si="23"/>
        <v>278.56028065668761</v>
      </c>
      <c r="AC156" s="287">
        <f t="shared" si="24"/>
        <v>50.018549700000001</v>
      </c>
      <c r="AD156" s="290">
        <f t="shared" si="25"/>
        <v>0.76625250760411079</v>
      </c>
      <c r="AE156" s="291">
        <f t="shared" si="26"/>
        <v>213.83080789825695</v>
      </c>
      <c r="AF156" s="291">
        <f t="shared" si="32"/>
        <v>-688.5</v>
      </c>
      <c r="AG156" s="292">
        <f t="shared" si="27"/>
        <v>492.39108855494453</v>
      </c>
      <c r="AH156" s="292">
        <f t="shared" si="34"/>
        <v>-213.83080789825695</v>
      </c>
      <c r="AI156" s="292">
        <f t="shared" si="33"/>
        <v>213.83080789825695</v>
      </c>
      <c r="AJ156" s="293">
        <f t="shared" si="28"/>
        <v>-389.50492340343862</v>
      </c>
      <c r="AK156" s="293">
        <f t="shared" si="29"/>
        <v>-298.99507659656149</v>
      </c>
      <c r="AL156" s="273">
        <f t="shared" si="15"/>
        <v>-29.781395055653853</v>
      </c>
      <c r="AM156" s="274">
        <f t="shared" si="16"/>
        <v>-33.445366772688196</v>
      </c>
      <c r="AN156" s="275">
        <f t="shared" si="30"/>
        <v>29.781395055653853</v>
      </c>
      <c r="AO156" s="275">
        <f t="shared" si="30"/>
        <v>33.445366772688196</v>
      </c>
      <c r="BB156" s="214"/>
      <c r="BC156" s="214"/>
      <c r="BD156" s="214"/>
    </row>
    <row r="157" spans="1:56" ht="20" thickBot="1" x14ac:dyDescent="0.35">
      <c r="B157" s="277">
        <v>20</v>
      </c>
      <c r="C157" s="278"/>
      <c r="D157" s="25">
        <v>0</v>
      </c>
      <c r="E157" s="257" t="s">
        <v>130</v>
      </c>
      <c r="F157" s="281" t="str">
        <f t="shared" si="17"/>
        <v>use the locking pin</v>
      </c>
      <c r="G157" s="281">
        <f t="shared" si="18"/>
        <v>0</v>
      </c>
      <c r="H157" s="282">
        <v>279.06049999999999</v>
      </c>
      <c r="I157" s="283">
        <v>79.962900599999998</v>
      </c>
      <c r="J157" s="91">
        <f t="shared" si="19"/>
        <v>79.962900599999998</v>
      </c>
      <c r="K157" s="91">
        <f t="shared" si="6"/>
        <v>39.981450299999999</v>
      </c>
      <c r="L157" s="91">
        <f t="shared" si="7"/>
        <v>0.64253956655634092</v>
      </c>
      <c r="M157" s="91">
        <f t="shared" si="8"/>
        <v>179.30741271299578</v>
      </c>
      <c r="N157" s="91">
        <f t="shared" si="9"/>
        <v>358.61482542599157</v>
      </c>
      <c r="O157" s="91">
        <f>+C138+D139+D140+D141+D142+D143+D144+D145+D146+D147+D148+D149+D150+D151+D152+D153+D154+D155+D156+(D157/2)</f>
        <v>0</v>
      </c>
      <c r="P157" s="91">
        <f t="shared" si="10"/>
        <v>0</v>
      </c>
      <c r="Q157" s="91">
        <f t="shared" si="11"/>
        <v>0</v>
      </c>
      <c r="R157" s="91">
        <f t="shared" si="20"/>
        <v>213.83080000000001</v>
      </c>
      <c r="S157" s="91">
        <f t="shared" si="31"/>
        <v>213.83080000000001</v>
      </c>
      <c r="T157" s="284">
        <f t="shared" si="12"/>
        <v>213.83080000000001</v>
      </c>
      <c r="V157" s="285">
        <f t="shared" si="13"/>
        <v>0</v>
      </c>
      <c r="W157" s="258"/>
      <c r="X157" s="285">
        <f t="shared" si="21"/>
        <v>0</v>
      </c>
      <c r="Y157" s="286">
        <f>SUM(D139:D157)+$C$138</f>
        <v>0</v>
      </c>
      <c r="Z157" s="287">
        <f t="shared" si="22"/>
        <v>66.255548399999995</v>
      </c>
      <c r="AA157" s="288">
        <f t="shared" si="14"/>
        <v>0.91535047595051022</v>
      </c>
      <c r="AB157" s="289">
        <f t="shared" si="23"/>
        <v>278.56028065668761</v>
      </c>
      <c r="AC157" s="287">
        <f t="shared" si="24"/>
        <v>50.018549700000001</v>
      </c>
      <c r="AD157" s="290">
        <f t="shared" si="25"/>
        <v>0.76625250760411079</v>
      </c>
      <c r="AE157" s="291">
        <f t="shared" si="26"/>
        <v>213.83080789825695</v>
      </c>
      <c r="AF157" s="291">
        <f t="shared" si="32"/>
        <v>-729</v>
      </c>
      <c r="AG157" s="292">
        <f t="shared" si="27"/>
        <v>492.39108855494453</v>
      </c>
      <c r="AH157" s="292">
        <f t="shared" si="34"/>
        <v>-213.83080789825695</v>
      </c>
      <c r="AI157" s="292">
        <f t="shared" si="33"/>
        <v>213.83080789825695</v>
      </c>
      <c r="AJ157" s="293">
        <f t="shared" si="28"/>
        <v>-412.41697772128794</v>
      </c>
      <c r="AK157" s="293">
        <f t="shared" si="29"/>
        <v>-316.58302227871212</v>
      </c>
      <c r="AL157" s="273">
        <f t="shared" si="15"/>
        <v>-28.126873108117529</v>
      </c>
      <c r="AM157" s="274">
        <f t="shared" si="16"/>
        <v>-31.587290840872189</v>
      </c>
      <c r="AN157" s="275">
        <f t="shared" si="30"/>
        <v>28.126873108117529</v>
      </c>
      <c r="AO157" s="275">
        <f t="shared" si="30"/>
        <v>31.587290840872189</v>
      </c>
      <c r="BB157" s="214"/>
      <c r="BC157" s="214"/>
      <c r="BD157" s="214"/>
    </row>
    <row r="158" spans="1:56" ht="19" x14ac:dyDescent="0.3">
      <c r="BB158" s="214"/>
      <c r="BC158" s="214"/>
      <c r="BD158" s="214"/>
    </row>
    <row r="159" spans="1:56" ht="19" x14ac:dyDescent="0.3">
      <c r="BB159" s="214"/>
      <c r="BC159" s="214"/>
      <c r="BD159" s="214"/>
    </row>
    <row r="160" spans="1:56" ht="19" x14ac:dyDescent="0.3">
      <c r="BB160" s="214"/>
      <c r="BC160" s="214"/>
      <c r="BD160" s="214"/>
    </row>
    <row r="161" spans="46:56" ht="20" x14ac:dyDescent="0.3">
      <c r="AT161" s="136"/>
      <c r="AU161" s="136"/>
      <c r="AV161" s="297" t="s">
        <v>122</v>
      </c>
      <c r="AW161" s="136"/>
      <c r="AX161" s="136"/>
      <c r="AY161" s="136"/>
      <c r="AZ161" s="136"/>
      <c r="BA161" s="136"/>
      <c r="BB161" s="214"/>
      <c r="BC161" s="214"/>
      <c r="BD161" s="214"/>
    </row>
    <row r="162" spans="46:56" ht="20" x14ac:dyDescent="0.3">
      <c r="AT162" s="298">
        <v>1</v>
      </c>
      <c r="AU162" s="299">
        <v>-473</v>
      </c>
      <c r="AV162" s="300">
        <f>+COS(($B$132*-1)*3.14159265358979/180)*AU162</f>
        <v>-473</v>
      </c>
      <c r="AW162" s="301">
        <f t="shared" ref="AW162:AW198" si="35">+AV162-D$3</f>
        <v>-643.53607230505986</v>
      </c>
      <c r="AX162" s="302">
        <f t="shared" ref="AX162:AX198" si="36">ABS(AW162)</f>
        <v>643.53607230505986</v>
      </c>
      <c r="AY162" s="303">
        <f>MIN(AX162:AX198)</f>
        <v>1.4639276949400823</v>
      </c>
      <c r="AZ162" s="302" t="b">
        <f>IF(AY162=AX162,AT162)</f>
        <v>0</v>
      </c>
      <c r="BA162" s="304">
        <v>1</v>
      </c>
      <c r="BB162" s="214"/>
      <c r="BC162" s="214"/>
      <c r="BD162" s="214"/>
    </row>
    <row r="163" spans="46:56" ht="20" x14ac:dyDescent="0.3">
      <c r="AT163" s="298">
        <v>2</v>
      </c>
      <c r="AU163" s="299">
        <f>+AU162+43</f>
        <v>-430</v>
      </c>
      <c r="AV163" s="42">
        <f>+AV162+$E$2</f>
        <v>-430</v>
      </c>
      <c r="AW163" s="301">
        <f t="shared" si="35"/>
        <v>-600.53607230505986</v>
      </c>
      <c r="AX163" s="302">
        <f t="shared" si="36"/>
        <v>600.53607230505986</v>
      </c>
      <c r="AY163" s="302">
        <f>+AY162</f>
        <v>1.4639276949400823</v>
      </c>
      <c r="AZ163" s="302" t="b">
        <f t="shared" ref="AZ163:AZ198" si="37">IF(AY163=AX163,AT163)</f>
        <v>0</v>
      </c>
      <c r="BA163" s="304">
        <v>2</v>
      </c>
      <c r="BB163" s="214"/>
      <c r="BC163" s="214"/>
      <c r="BD163" s="214"/>
    </row>
    <row r="164" spans="46:56" ht="20" x14ac:dyDescent="0.3">
      <c r="AT164" s="298">
        <v>3</v>
      </c>
      <c r="AU164" s="299">
        <f t="shared" ref="AU164:AU198" si="38">+AU163+43</f>
        <v>-387</v>
      </c>
      <c r="AV164" s="42">
        <f t="shared" ref="AV164:AV198" si="39">+AV163+$E$2</f>
        <v>-387</v>
      </c>
      <c r="AW164" s="301">
        <f t="shared" si="35"/>
        <v>-557.53607230505986</v>
      </c>
      <c r="AX164" s="302">
        <f t="shared" si="36"/>
        <v>557.53607230505986</v>
      </c>
      <c r="AY164" s="302">
        <f t="shared" ref="AY164:AY198" si="40">+AY163</f>
        <v>1.4639276949400823</v>
      </c>
      <c r="AZ164" s="302" t="b">
        <f t="shared" si="37"/>
        <v>0</v>
      </c>
      <c r="BA164" s="304">
        <v>3</v>
      </c>
      <c r="BB164" s="214"/>
      <c r="BC164" s="214"/>
      <c r="BD164" s="214"/>
    </row>
    <row r="165" spans="46:56" ht="20" x14ac:dyDescent="0.3">
      <c r="AT165" s="298">
        <v>4</v>
      </c>
      <c r="AU165" s="299">
        <f t="shared" si="38"/>
        <v>-344</v>
      </c>
      <c r="AV165" s="42">
        <f t="shared" si="39"/>
        <v>-344</v>
      </c>
      <c r="AW165" s="301">
        <f t="shared" si="35"/>
        <v>-514.53607230505986</v>
      </c>
      <c r="AX165" s="302">
        <f t="shared" si="36"/>
        <v>514.53607230505986</v>
      </c>
      <c r="AY165" s="302">
        <f t="shared" si="40"/>
        <v>1.4639276949400823</v>
      </c>
      <c r="AZ165" s="302" t="b">
        <f t="shared" si="37"/>
        <v>0</v>
      </c>
      <c r="BA165" s="304">
        <v>4</v>
      </c>
      <c r="BB165" s="214"/>
      <c r="BC165" s="214"/>
      <c r="BD165" s="214"/>
    </row>
    <row r="166" spans="46:56" ht="20" x14ac:dyDescent="0.3">
      <c r="AT166" s="298">
        <v>5</v>
      </c>
      <c r="AU166" s="299">
        <f t="shared" si="38"/>
        <v>-301</v>
      </c>
      <c r="AV166" s="42">
        <f t="shared" si="39"/>
        <v>-301</v>
      </c>
      <c r="AW166" s="301">
        <f t="shared" si="35"/>
        <v>-471.53607230505992</v>
      </c>
      <c r="AX166" s="302">
        <f t="shared" si="36"/>
        <v>471.53607230505992</v>
      </c>
      <c r="AY166" s="302">
        <f t="shared" si="40"/>
        <v>1.4639276949400823</v>
      </c>
      <c r="AZ166" s="302" t="b">
        <f t="shared" si="37"/>
        <v>0</v>
      </c>
      <c r="BA166" s="304">
        <v>5</v>
      </c>
    </row>
    <row r="167" spans="46:56" ht="20" x14ac:dyDescent="0.3">
      <c r="AT167" s="298">
        <v>6</v>
      </c>
      <c r="AU167" s="299">
        <f t="shared" si="38"/>
        <v>-258</v>
      </c>
      <c r="AV167" s="42">
        <f t="shared" si="39"/>
        <v>-258</v>
      </c>
      <c r="AW167" s="301">
        <f t="shared" si="35"/>
        <v>-428.53607230505992</v>
      </c>
      <c r="AX167" s="302">
        <f t="shared" si="36"/>
        <v>428.53607230505992</v>
      </c>
      <c r="AY167" s="302">
        <f t="shared" si="40"/>
        <v>1.4639276949400823</v>
      </c>
      <c r="AZ167" s="302" t="b">
        <f t="shared" si="37"/>
        <v>0</v>
      </c>
      <c r="BA167" s="304">
        <v>6</v>
      </c>
    </row>
    <row r="168" spans="46:56" ht="20" x14ac:dyDescent="0.3">
      <c r="AT168" s="298">
        <v>7</v>
      </c>
      <c r="AU168" s="299">
        <f t="shared" si="38"/>
        <v>-215</v>
      </c>
      <c r="AV168" s="42">
        <f t="shared" si="39"/>
        <v>-215</v>
      </c>
      <c r="AW168" s="301">
        <f t="shared" si="35"/>
        <v>-385.53607230505992</v>
      </c>
      <c r="AX168" s="302">
        <f t="shared" si="36"/>
        <v>385.53607230505992</v>
      </c>
      <c r="AY168" s="302">
        <f t="shared" si="40"/>
        <v>1.4639276949400823</v>
      </c>
      <c r="AZ168" s="302" t="b">
        <f t="shared" si="37"/>
        <v>0</v>
      </c>
      <c r="BA168" s="304">
        <v>7</v>
      </c>
    </row>
    <row r="169" spans="46:56" ht="20" x14ac:dyDescent="0.3">
      <c r="AT169" s="298">
        <v>8</v>
      </c>
      <c r="AU169" s="299">
        <f t="shared" si="38"/>
        <v>-172</v>
      </c>
      <c r="AV169" s="42">
        <f t="shared" si="39"/>
        <v>-172</v>
      </c>
      <c r="AW169" s="301">
        <f t="shared" si="35"/>
        <v>-342.53607230505992</v>
      </c>
      <c r="AX169" s="302">
        <f t="shared" si="36"/>
        <v>342.53607230505992</v>
      </c>
      <c r="AY169" s="302">
        <f t="shared" si="40"/>
        <v>1.4639276949400823</v>
      </c>
      <c r="AZ169" s="302" t="b">
        <f t="shared" si="37"/>
        <v>0</v>
      </c>
      <c r="BA169" s="304">
        <v>8</v>
      </c>
    </row>
    <row r="170" spans="46:56" ht="20" x14ac:dyDescent="0.3">
      <c r="AT170" s="298">
        <v>9</v>
      </c>
      <c r="AU170" s="299">
        <f t="shared" si="38"/>
        <v>-129</v>
      </c>
      <c r="AV170" s="42">
        <f t="shared" si="39"/>
        <v>-129</v>
      </c>
      <c r="AW170" s="301">
        <f t="shared" si="35"/>
        <v>-299.53607230505992</v>
      </c>
      <c r="AX170" s="302">
        <f t="shared" si="36"/>
        <v>299.53607230505992</v>
      </c>
      <c r="AY170" s="302">
        <f t="shared" si="40"/>
        <v>1.4639276949400823</v>
      </c>
      <c r="AZ170" s="302" t="b">
        <f t="shared" si="37"/>
        <v>0</v>
      </c>
      <c r="BA170" s="304">
        <v>9</v>
      </c>
    </row>
    <row r="171" spans="46:56" ht="20" x14ac:dyDescent="0.3">
      <c r="AT171" s="298">
        <v>10</v>
      </c>
      <c r="AU171" s="299">
        <f t="shared" si="38"/>
        <v>-86</v>
      </c>
      <c r="AV171" s="42">
        <f t="shared" si="39"/>
        <v>-86</v>
      </c>
      <c r="AW171" s="301">
        <f t="shared" si="35"/>
        <v>-256.53607230505992</v>
      </c>
      <c r="AX171" s="302">
        <f t="shared" si="36"/>
        <v>256.53607230505992</v>
      </c>
      <c r="AY171" s="302">
        <f t="shared" si="40"/>
        <v>1.4639276949400823</v>
      </c>
      <c r="AZ171" s="302" t="b">
        <f t="shared" si="37"/>
        <v>0</v>
      </c>
      <c r="BA171" s="304">
        <v>10</v>
      </c>
    </row>
    <row r="172" spans="46:56" ht="20" x14ac:dyDescent="0.3">
      <c r="AT172" s="298">
        <v>11</v>
      </c>
      <c r="AU172" s="299">
        <f t="shared" si="38"/>
        <v>-43</v>
      </c>
      <c r="AV172" s="42">
        <f t="shared" si="39"/>
        <v>-43</v>
      </c>
      <c r="AW172" s="301">
        <f t="shared" si="35"/>
        <v>-213.53607230505992</v>
      </c>
      <c r="AX172" s="302">
        <f t="shared" si="36"/>
        <v>213.53607230505992</v>
      </c>
      <c r="AY172" s="302">
        <f t="shared" si="40"/>
        <v>1.4639276949400823</v>
      </c>
      <c r="AZ172" s="302" t="b">
        <f t="shared" si="37"/>
        <v>0</v>
      </c>
      <c r="BA172" s="304">
        <v>11</v>
      </c>
    </row>
    <row r="173" spans="46:56" ht="20" x14ac:dyDescent="0.3">
      <c r="AT173" s="298">
        <v>12</v>
      </c>
      <c r="AU173" s="299">
        <f t="shared" si="38"/>
        <v>0</v>
      </c>
      <c r="AV173" s="42">
        <f t="shared" si="39"/>
        <v>0</v>
      </c>
      <c r="AW173" s="301">
        <f t="shared" si="35"/>
        <v>-170.53607230505992</v>
      </c>
      <c r="AX173" s="302">
        <f t="shared" si="36"/>
        <v>170.53607230505992</v>
      </c>
      <c r="AY173" s="302">
        <f t="shared" si="40"/>
        <v>1.4639276949400823</v>
      </c>
      <c r="AZ173" s="302" t="b">
        <f t="shared" si="37"/>
        <v>0</v>
      </c>
      <c r="BA173" s="304">
        <v>12</v>
      </c>
    </row>
    <row r="174" spans="46:56" ht="20" x14ac:dyDescent="0.3">
      <c r="AT174" s="298">
        <v>13</v>
      </c>
      <c r="AU174" s="299">
        <f t="shared" si="38"/>
        <v>43</v>
      </c>
      <c r="AV174" s="42">
        <f t="shared" si="39"/>
        <v>43</v>
      </c>
      <c r="AW174" s="301">
        <f t="shared" si="35"/>
        <v>-127.53607230505992</v>
      </c>
      <c r="AX174" s="302">
        <f t="shared" si="36"/>
        <v>127.53607230505992</v>
      </c>
      <c r="AY174" s="302">
        <f t="shared" si="40"/>
        <v>1.4639276949400823</v>
      </c>
      <c r="AZ174" s="302" t="b">
        <f t="shared" si="37"/>
        <v>0</v>
      </c>
      <c r="BA174" s="304">
        <v>13</v>
      </c>
    </row>
    <row r="175" spans="46:56" ht="20" x14ac:dyDescent="0.3">
      <c r="AT175" s="298">
        <v>14</v>
      </c>
      <c r="AU175" s="299">
        <f t="shared" si="38"/>
        <v>86</v>
      </c>
      <c r="AV175" s="42">
        <f t="shared" si="39"/>
        <v>86</v>
      </c>
      <c r="AW175" s="301">
        <f t="shared" si="35"/>
        <v>-84.536072305059918</v>
      </c>
      <c r="AX175" s="302">
        <f t="shared" si="36"/>
        <v>84.536072305059918</v>
      </c>
      <c r="AY175" s="302">
        <f t="shared" si="40"/>
        <v>1.4639276949400823</v>
      </c>
      <c r="AZ175" s="302" t="b">
        <f t="shared" si="37"/>
        <v>0</v>
      </c>
      <c r="BA175" s="304">
        <v>14</v>
      </c>
    </row>
    <row r="176" spans="46:56" ht="20" x14ac:dyDescent="0.3">
      <c r="AT176" s="298">
        <v>15</v>
      </c>
      <c r="AU176" s="299">
        <f t="shared" si="38"/>
        <v>129</v>
      </c>
      <c r="AV176" s="42">
        <f t="shared" si="39"/>
        <v>129</v>
      </c>
      <c r="AW176" s="301">
        <f t="shared" si="35"/>
        <v>-41.536072305059918</v>
      </c>
      <c r="AX176" s="302">
        <f t="shared" si="36"/>
        <v>41.536072305059918</v>
      </c>
      <c r="AY176" s="302">
        <f t="shared" si="40"/>
        <v>1.4639276949400823</v>
      </c>
      <c r="AZ176" s="302" t="b">
        <f t="shared" si="37"/>
        <v>0</v>
      </c>
      <c r="BA176" s="304">
        <v>15</v>
      </c>
    </row>
    <row r="177" spans="46:76" ht="20" x14ac:dyDescent="0.3">
      <c r="AT177" s="298">
        <v>16</v>
      </c>
      <c r="AU177" s="299">
        <f t="shared" si="38"/>
        <v>172</v>
      </c>
      <c r="AV177" s="42">
        <f t="shared" si="39"/>
        <v>172</v>
      </c>
      <c r="AW177" s="301">
        <f t="shared" si="35"/>
        <v>1.4639276949400823</v>
      </c>
      <c r="AX177" s="302">
        <f t="shared" si="36"/>
        <v>1.4639276949400823</v>
      </c>
      <c r="AY177" s="302">
        <f t="shared" si="40"/>
        <v>1.4639276949400823</v>
      </c>
      <c r="AZ177" s="302">
        <f t="shared" si="37"/>
        <v>16</v>
      </c>
      <c r="BA177" s="304">
        <v>16</v>
      </c>
    </row>
    <row r="178" spans="46:76" ht="20" x14ac:dyDescent="0.3">
      <c r="AT178" s="298">
        <v>17</v>
      </c>
      <c r="AU178" s="299">
        <f t="shared" si="38"/>
        <v>215</v>
      </c>
      <c r="AV178" s="42">
        <f t="shared" si="39"/>
        <v>215</v>
      </c>
      <c r="AW178" s="301">
        <f t="shared" si="35"/>
        <v>44.463927694940082</v>
      </c>
      <c r="AX178" s="302">
        <f t="shared" si="36"/>
        <v>44.463927694940082</v>
      </c>
      <c r="AY178" s="302">
        <f t="shared" si="40"/>
        <v>1.4639276949400823</v>
      </c>
      <c r="AZ178" s="302" t="b">
        <f t="shared" si="37"/>
        <v>0</v>
      </c>
      <c r="BA178" s="304">
        <v>17</v>
      </c>
      <c r="BE178" s="305"/>
      <c r="BF178" s="305"/>
      <c r="BG178" s="305"/>
      <c r="BH178" s="305"/>
      <c r="BI178" s="305"/>
      <c r="BJ178" s="305"/>
      <c r="BK178" s="1818"/>
      <c r="BL178" s="1818"/>
      <c r="BM178" s="1818"/>
      <c r="BN178" s="126"/>
    </row>
    <row r="179" spans="46:76" ht="20" x14ac:dyDescent="0.3">
      <c r="AT179" s="298">
        <v>18</v>
      </c>
      <c r="AU179" s="299">
        <f t="shared" si="38"/>
        <v>258</v>
      </c>
      <c r="AV179" s="42">
        <f t="shared" si="39"/>
        <v>258</v>
      </c>
      <c r="AW179" s="301">
        <f t="shared" si="35"/>
        <v>87.463927694940082</v>
      </c>
      <c r="AX179" s="302">
        <f t="shared" si="36"/>
        <v>87.463927694940082</v>
      </c>
      <c r="AY179" s="302">
        <f t="shared" si="40"/>
        <v>1.4639276949400823</v>
      </c>
      <c r="AZ179" s="302" t="b">
        <f t="shared" si="37"/>
        <v>0</v>
      </c>
      <c r="BA179" s="304">
        <v>18</v>
      </c>
      <c r="BK179" s="306"/>
      <c r="BX179" s="306"/>
    </row>
    <row r="180" spans="46:76" ht="20" x14ac:dyDescent="0.3">
      <c r="AT180" s="298">
        <v>19</v>
      </c>
      <c r="AU180" s="299">
        <f t="shared" si="38"/>
        <v>301</v>
      </c>
      <c r="AV180" s="42">
        <f t="shared" si="39"/>
        <v>301</v>
      </c>
      <c r="AW180" s="301">
        <f t="shared" si="35"/>
        <v>130.46392769494008</v>
      </c>
      <c r="AX180" s="302">
        <f t="shared" si="36"/>
        <v>130.46392769494008</v>
      </c>
      <c r="AY180" s="302">
        <f t="shared" si="40"/>
        <v>1.4639276949400823</v>
      </c>
      <c r="AZ180" s="302" t="b">
        <f t="shared" si="37"/>
        <v>0</v>
      </c>
      <c r="BA180" s="304">
        <v>19</v>
      </c>
      <c r="BE180" s="307"/>
      <c r="BF180" s="307"/>
      <c r="BG180" s="307"/>
      <c r="BH180" s="307"/>
      <c r="BI180" s="307"/>
      <c r="BJ180" s="307"/>
      <c r="BK180" s="1819"/>
      <c r="BL180" s="1819"/>
      <c r="BW180" s="1813"/>
      <c r="BX180" s="1813"/>
    </row>
    <row r="181" spans="46:76" ht="20" x14ac:dyDescent="0.3">
      <c r="AT181" s="298">
        <v>20</v>
      </c>
      <c r="AU181" s="299">
        <f t="shared" si="38"/>
        <v>344</v>
      </c>
      <c r="AV181" s="42">
        <f t="shared" si="39"/>
        <v>344</v>
      </c>
      <c r="AW181" s="301">
        <f t="shared" si="35"/>
        <v>173.46392769494008</v>
      </c>
      <c r="AX181" s="302">
        <f t="shared" si="36"/>
        <v>173.46392769494008</v>
      </c>
      <c r="AY181" s="302">
        <f t="shared" si="40"/>
        <v>1.4639276949400823</v>
      </c>
      <c r="AZ181" s="302" t="b">
        <f t="shared" si="37"/>
        <v>0</v>
      </c>
      <c r="BA181" s="304">
        <v>20</v>
      </c>
    </row>
    <row r="182" spans="46:76" ht="20" x14ac:dyDescent="0.3">
      <c r="AT182" s="298">
        <v>21</v>
      </c>
      <c r="AU182" s="299">
        <f t="shared" si="38"/>
        <v>387</v>
      </c>
      <c r="AV182" s="42">
        <f t="shared" si="39"/>
        <v>387</v>
      </c>
      <c r="AW182" s="301">
        <f t="shared" si="35"/>
        <v>216.46392769494008</v>
      </c>
      <c r="AX182" s="302">
        <f t="shared" si="36"/>
        <v>216.46392769494008</v>
      </c>
      <c r="AY182" s="302">
        <f t="shared" si="40"/>
        <v>1.4639276949400823</v>
      </c>
      <c r="AZ182" s="302" t="b">
        <f t="shared" si="37"/>
        <v>0</v>
      </c>
      <c r="BA182" s="304">
        <v>21</v>
      </c>
    </row>
    <row r="183" spans="46:76" ht="20" x14ac:dyDescent="0.3">
      <c r="AT183" s="298">
        <v>22</v>
      </c>
      <c r="AU183" s="299">
        <f t="shared" si="38"/>
        <v>430</v>
      </c>
      <c r="AV183" s="42">
        <f t="shared" si="39"/>
        <v>430</v>
      </c>
      <c r="AW183" s="301">
        <f t="shared" si="35"/>
        <v>259.46392769494008</v>
      </c>
      <c r="AX183" s="302">
        <f t="shared" si="36"/>
        <v>259.46392769494008</v>
      </c>
      <c r="AY183" s="302">
        <f t="shared" si="40"/>
        <v>1.4639276949400823</v>
      </c>
      <c r="AZ183" s="302" t="b">
        <f t="shared" si="37"/>
        <v>0</v>
      </c>
      <c r="BA183" s="304">
        <v>22</v>
      </c>
    </row>
    <row r="184" spans="46:76" ht="20" x14ac:dyDescent="0.3">
      <c r="AT184" s="298">
        <v>23</v>
      </c>
      <c r="AU184" s="299">
        <f t="shared" si="38"/>
        <v>473</v>
      </c>
      <c r="AV184" s="42">
        <f t="shared" si="39"/>
        <v>473</v>
      </c>
      <c r="AW184" s="301">
        <f t="shared" si="35"/>
        <v>302.46392769494008</v>
      </c>
      <c r="AX184" s="302">
        <f t="shared" si="36"/>
        <v>302.46392769494008</v>
      </c>
      <c r="AY184" s="302">
        <f t="shared" si="40"/>
        <v>1.4639276949400823</v>
      </c>
      <c r="AZ184" s="302" t="b">
        <f t="shared" si="37"/>
        <v>0</v>
      </c>
      <c r="BA184" s="304">
        <v>23</v>
      </c>
    </row>
    <row r="185" spans="46:76" ht="20" x14ac:dyDescent="0.3">
      <c r="AT185" s="298">
        <v>24</v>
      </c>
      <c r="AU185" s="299">
        <f t="shared" si="38"/>
        <v>516</v>
      </c>
      <c r="AV185" s="42">
        <f t="shared" si="39"/>
        <v>516</v>
      </c>
      <c r="AW185" s="301">
        <f t="shared" si="35"/>
        <v>345.46392769494008</v>
      </c>
      <c r="AX185" s="302">
        <f t="shared" si="36"/>
        <v>345.46392769494008</v>
      </c>
      <c r="AY185" s="302">
        <f t="shared" si="40"/>
        <v>1.4639276949400823</v>
      </c>
      <c r="AZ185" s="302" t="b">
        <f t="shared" si="37"/>
        <v>0</v>
      </c>
      <c r="BA185" s="304">
        <v>24</v>
      </c>
    </row>
    <row r="186" spans="46:76" ht="20" x14ac:dyDescent="0.3">
      <c r="AT186" s="298">
        <v>25</v>
      </c>
      <c r="AU186" s="299">
        <f t="shared" si="38"/>
        <v>559</v>
      </c>
      <c r="AV186" s="42">
        <f t="shared" si="39"/>
        <v>559</v>
      </c>
      <c r="AW186" s="301">
        <f t="shared" si="35"/>
        <v>388.46392769494008</v>
      </c>
      <c r="AX186" s="302">
        <f t="shared" si="36"/>
        <v>388.46392769494008</v>
      </c>
      <c r="AY186" s="302">
        <f t="shared" si="40"/>
        <v>1.4639276949400823</v>
      </c>
      <c r="AZ186" s="302" t="b">
        <f t="shared" si="37"/>
        <v>0</v>
      </c>
      <c r="BA186" s="304">
        <v>25</v>
      </c>
    </row>
    <row r="187" spans="46:76" ht="20" x14ac:dyDescent="0.3">
      <c r="AT187" s="298">
        <v>26</v>
      </c>
      <c r="AU187" s="299">
        <f t="shared" si="38"/>
        <v>602</v>
      </c>
      <c r="AV187" s="42">
        <f t="shared" si="39"/>
        <v>602</v>
      </c>
      <c r="AW187" s="301">
        <f t="shared" si="35"/>
        <v>431.46392769494008</v>
      </c>
      <c r="AX187" s="302">
        <f t="shared" si="36"/>
        <v>431.46392769494008</v>
      </c>
      <c r="AY187" s="302">
        <f t="shared" si="40"/>
        <v>1.4639276949400823</v>
      </c>
      <c r="AZ187" s="302" t="b">
        <f t="shared" si="37"/>
        <v>0</v>
      </c>
      <c r="BA187" s="304">
        <v>26</v>
      </c>
    </row>
    <row r="188" spans="46:76" ht="20" x14ac:dyDescent="0.3">
      <c r="AT188" s="298">
        <v>27</v>
      </c>
      <c r="AU188" s="299">
        <f t="shared" si="38"/>
        <v>645</v>
      </c>
      <c r="AV188" s="42">
        <f t="shared" si="39"/>
        <v>645</v>
      </c>
      <c r="AW188" s="301">
        <f t="shared" si="35"/>
        <v>474.46392769494008</v>
      </c>
      <c r="AX188" s="302">
        <f t="shared" si="36"/>
        <v>474.46392769494008</v>
      </c>
      <c r="AY188" s="302">
        <f t="shared" si="40"/>
        <v>1.4639276949400823</v>
      </c>
      <c r="AZ188" s="302" t="b">
        <f t="shared" si="37"/>
        <v>0</v>
      </c>
      <c r="BA188" s="304">
        <v>27</v>
      </c>
    </row>
    <row r="189" spans="46:76" ht="20" x14ac:dyDescent="0.3">
      <c r="AT189" s="298">
        <v>28</v>
      </c>
      <c r="AU189" s="299">
        <f t="shared" si="38"/>
        <v>688</v>
      </c>
      <c r="AV189" s="42">
        <f t="shared" si="39"/>
        <v>688</v>
      </c>
      <c r="AW189" s="301">
        <f t="shared" si="35"/>
        <v>517.46392769494014</v>
      </c>
      <c r="AX189" s="302">
        <f t="shared" si="36"/>
        <v>517.46392769494014</v>
      </c>
      <c r="AY189" s="302">
        <f t="shared" si="40"/>
        <v>1.4639276949400823</v>
      </c>
      <c r="AZ189" s="302" t="b">
        <f t="shared" si="37"/>
        <v>0</v>
      </c>
      <c r="BA189" s="304">
        <v>28</v>
      </c>
    </row>
    <row r="190" spans="46:76" ht="20" x14ac:dyDescent="0.3">
      <c r="AT190" s="298">
        <v>29</v>
      </c>
      <c r="AU190" s="299">
        <f t="shared" si="38"/>
        <v>731</v>
      </c>
      <c r="AV190" s="42">
        <f t="shared" si="39"/>
        <v>731</v>
      </c>
      <c r="AW190" s="301">
        <f t="shared" si="35"/>
        <v>560.46392769494014</v>
      </c>
      <c r="AX190" s="302">
        <f t="shared" si="36"/>
        <v>560.46392769494014</v>
      </c>
      <c r="AY190" s="302">
        <f t="shared" si="40"/>
        <v>1.4639276949400823</v>
      </c>
      <c r="AZ190" s="302" t="b">
        <f t="shared" si="37"/>
        <v>0</v>
      </c>
      <c r="BA190" s="304">
        <v>29</v>
      </c>
    </row>
    <row r="191" spans="46:76" ht="20" x14ac:dyDescent="0.3">
      <c r="AT191" s="298">
        <v>30</v>
      </c>
      <c r="AU191" s="299">
        <f t="shared" si="38"/>
        <v>774</v>
      </c>
      <c r="AV191" s="42">
        <f t="shared" si="39"/>
        <v>774</v>
      </c>
      <c r="AW191" s="301">
        <f t="shared" si="35"/>
        <v>603.46392769494014</v>
      </c>
      <c r="AX191" s="302">
        <f t="shared" si="36"/>
        <v>603.46392769494014</v>
      </c>
      <c r="AY191" s="302">
        <f t="shared" si="40"/>
        <v>1.4639276949400823</v>
      </c>
      <c r="AZ191" s="302" t="b">
        <f t="shared" si="37"/>
        <v>0</v>
      </c>
      <c r="BA191" s="304">
        <v>30</v>
      </c>
    </row>
    <row r="192" spans="46:76" ht="20" x14ac:dyDescent="0.3">
      <c r="AT192" s="298">
        <v>31</v>
      </c>
      <c r="AU192" s="299">
        <f t="shared" si="38"/>
        <v>817</v>
      </c>
      <c r="AV192" s="42">
        <f t="shared" si="39"/>
        <v>817</v>
      </c>
      <c r="AW192" s="301">
        <f t="shared" si="35"/>
        <v>646.46392769494014</v>
      </c>
      <c r="AX192" s="302">
        <f t="shared" si="36"/>
        <v>646.46392769494014</v>
      </c>
      <c r="AY192" s="302">
        <f t="shared" si="40"/>
        <v>1.4639276949400823</v>
      </c>
      <c r="AZ192" s="302" t="b">
        <f t="shared" si="37"/>
        <v>0</v>
      </c>
      <c r="BA192" s="304">
        <v>31</v>
      </c>
    </row>
    <row r="193" spans="46:81" ht="20" x14ac:dyDescent="0.3">
      <c r="AT193" s="298">
        <v>32</v>
      </c>
      <c r="AU193" s="299">
        <f t="shared" si="38"/>
        <v>860</v>
      </c>
      <c r="AV193" s="42">
        <f t="shared" si="39"/>
        <v>860</v>
      </c>
      <c r="AW193" s="301">
        <f t="shared" si="35"/>
        <v>689.46392769494014</v>
      </c>
      <c r="AX193" s="302">
        <f t="shared" si="36"/>
        <v>689.46392769494014</v>
      </c>
      <c r="AY193" s="302">
        <f t="shared" si="40"/>
        <v>1.4639276949400823</v>
      </c>
      <c r="AZ193" s="302" t="b">
        <f t="shared" si="37"/>
        <v>0</v>
      </c>
      <c r="BA193" s="304">
        <v>32</v>
      </c>
    </row>
    <row r="194" spans="46:81" ht="20" x14ac:dyDescent="0.3">
      <c r="AT194" s="298">
        <v>33</v>
      </c>
      <c r="AU194" s="299">
        <f t="shared" si="38"/>
        <v>903</v>
      </c>
      <c r="AV194" s="42">
        <f t="shared" si="39"/>
        <v>903</v>
      </c>
      <c r="AW194" s="301">
        <f t="shared" si="35"/>
        <v>732.46392769494014</v>
      </c>
      <c r="AX194" s="302">
        <f t="shared" si="36"/>
        <v>732.46392769494014</v>
      </c>
      <c r="AY194" s="302">
        <f t="shared" si="40"/>
        <v>1.4639276949400823</v>
      </c>
      <c r="AZ194" s="302" t="b">
        <f t="shared" si="37"/>
        <v>0</v>
      </c>
      <c r="BA194" s="304">
        <v>33</v>
      </c>
    </row>
    <row r="195" spans="46:81" ht="20" x14ac:dyDescent="0.3">
      <c r="AT195" s="298">
        <v>34</v>
      </c>
      <c r="AU195" s="299">
        <f t="shared" si="38"/>
        <v>946</v>
      </c>
      <c r="AV195" s="42">
        <f t="shared" si="39"/>
        <v>946</v>
      </c>
      <c r="AW195" s="301">
        <f t="shared" si="35"/>
        <v>775.46392769494014</v>
      </c>
      <c r="AX195" s="302">
        <f t="shared" si="36"/>
        <v>775.46392769494014</v>
      </c>
      <c r="AY195" s="302">
        <f t="shared" si="40"/>
        <v>1.4639276949400823</v>
      </c>
      <c r="AZ195" s="302" t="b">
        <f t="shared" si="37"/>
        <v>0</v>
      </c>
      <c r="BA195" s="304">
        <v>34</v>
      </c>
    </row>
    <row r="196" spans="46:81" ht="20" x14ac:dyDescent="0.3">
      <c r="AT196" s="298">
        <v>35</v>
      </c>
      <c r="AU196" s="299">
        <f t="shared" si="38"/>
        <v>989</v>
      </c>
      <c r="AV196" s="42">
        <f t="shared" si="39"/>
        <v>989</v>
      </c>
      <c r="AW196" s="301">
        <f t="shared" si="35"/>
        <v>818.46392769494014</v>
      </c>
      <c r="AX196" s="302">
        <f t="shared" si="36"/>
        <v>818.46392769494014</v>
      </c>
      <c r="AY196" s="302">
        <f t="shared" si="40"/>
        <v>1.4639276949400823</v>
      </c>
      <c r="AZ196" s="302" t="b">
        <f t="shared" si="37"/>
        <v>0</v>
      </c>
      <c r="BA196" s="304">
        <v>35</v>
      </c>
    </row>
    <row r="197" spans="46:81" ht="20" x14ac:dyDescent="0.3">
      <c r="AT197" s="298">
        <v>36</v>
      </c>
      <c r="AU197" s="299">
        <f t="shared" si="38"/>
        <v>1032</v>
      </c>
      <c r="AV197" s="42">
        <f t="shared" si="39"/>
        <v>1032</v>
      </c>
      <c r="AW197" s="301">
        <f t="shared" si="35"/>
        <v>861.46392769494014</v>
      </c>
      <c r="AX197" s="302">
        <f t="shared" si="36"/>
        <v>861.46392769494014</v>
      </c>
      <c r="AY197" s="302">
        <f t="shared" si="40"/>
        <v>1.4639276949400823</v>
      </c>
      <c r="AZ197" s="302" t="b">
        <f t="shared" si="37"/>
        <v>0</v>
      </c>
      <c r="BA197" s="304">
        <v>36</v>
      </c>
      <c r="BE197" s="126"/>
      <c r="BG197" s="126"/>
      <c r="BI197" s="126"/>
    </row>
    <row r="198" spans="46:81" ht="20" x14ac:dyDescent="0.3">
      <c r="AT198" s="308">
        <v>37</v>
      </c>
      <c r="AU198" s="309">
        <f t="shared" si="38"/>
        <v>1075</v>
      </c>
      <c r="AV198" s="42">
        <f t="shared" si="39"/>
        <v>1075</v>
      </c>
      <c r="AW198" s="301">
        <f t="shared" si="35"/>
        <v>904.46392769494014</v>
      </c>
      <c r="AX198" s="302">
        <f t="shared" si="36"/>
        <v>904.46392769494014</v>
      </c>
      <c r="AY198" s="302">
        <f t="shared" si="40"/>
        <v>1.4639276949400823</v>
      </c>
      <c r="AZ198" s="302" t="b">
        <f t="shared" si="37"/>
        <v>0</v>
      </c>
      <c r="BA198" s="310">
        <v>37</v>
      </c>
      <c r="BE198" s="126"/>
      <c r="BI198" s="126"/>
    </row>
    <row r="199" spans="46:81" x14ac:dyDescent="0.2">
      <c r="BE199" s="126"/>
      <c r="BF199" s="311"/>
      <c r="BG199" s="311"/>
      <c r="BH199" s="311"/>
      <c r="BI199" s="311"/>
      <c r="BJ199" s="311"/>
      <c r="BK199" s="311"/>
      <c r="BL199" s="311"/>
      <c r="BM199" s="311"/>
      <c r="BN199" s="311"/>
      <c r="BO199" s="311"/>
      <c r="BP199" s="311"/>
      <c r="BQ199" s="311"/>
      <c r="BR199" s="311"/>
      <c r="BS199" s="311"/>
      <c r="BT199" s="311"/>
      <c r="BU199" s="311"/>
      <c r="BV199" s="311"/>
      <c r="BW199" s="311"/>
      <c r="BX199" s="311"/>
      <c r="BY199" s="311"/>
      <c r="BZ199" s="311"/>
      <c r="CA199" s="311"/>
      <c r="CB199" s="311"/>
      <c r="CC199" s="311"/>
    </row>
    <row r="200" spans="46:81" x14ac:dyDescent="0.2">
      <c r="BE200" s="126"/>
    </row>
    <row r="201" spans="46:81" x14ac:dyDescent="0.2">
      <c r="BE201" s="235"/>
      <c r="BF201" s="312"/>
      <c r="BG201" s="312"/>
      <c r="BH201" s="312"/>
      <c r="BI201" s="312"/>
      <c r="BJ201" s="312"/>
      <c r="BK201" s="312"/>
      <c r="BL201" s="312"/>
      <c r="BM201" s="312"/>
      <c r="BN201" s="312"/>
      <c r="BO201" s="312"/>
      <c r="BP201" s="312"/>
      <c r="BQ201" s="312"/>
      <c r="BR201" s="312"/>
      <c r="BS201" s="312"/>
      <c r="BT201" s="312"/>
      <c r="BU201" s="312"/>
      <c r="BV201" s="312"/>
      <c r="BW201" s="312"/>
      <c r="BX201" s="312"/>
      <c r="BY201" s="312"/>
      <c r="BZ201" s="312"/>
      <c r="CA201" s="312"/>
      <c r="CB201" s="312"/>
      <c r="CC201" s="312"/>
    </row>
    <row r="202" spans="46:81" x14ac:dyDescent="0.2">
      <c r="BE202" s="126"/>
      <c r="BF202" s="203"/>
      <c r="BG202" s="203"/>
      <c r="BH202" s="203"/>
      <c r="BI202" s="203"/>
      <c r="BJ202" s="203"/>
      <c r="BK202" s="203"/>
      <c r="BL202" s="203"/>
      <c r="BM202" s="203"/>
      <c r="BN202" s="203"/>
      <c r="BO202" s="203"/>
      <c r="BP202" s="203"/>
      <c r="BQ202" s="203"/>
      <c r="BR202" s="203"/>
      <c r="BS202" s="203"/>
      <c r="BT202" s="203"/>
      <c r="BU202" s="203"/>
      <c r="BV202" s="203"/>
      <c r="BW202" s="203"/>
      <c r="BX202" s="203"/>
      <c r="BY202" s="203"/>
      <c r="BZ202" s="203"/>
      <c r="CA202" s="203"/>
      <c r="CB202" s="203"/>
      <c r="CC202" s="203"/>
    </row>
    <row r="204" spans="46:81" x14ac:dyDescent="0.2">
      <c r="BF204" s="236"/>
      <c r="BG204" s="236"/>
      <c r="BH204" s="236"/>
      <c r="BI204" s="236"/>
      <c r="BJ204" s="236"/>
      <c r="BK204" s="236"/>
      <c r="BL204" s="126"/>
      <c r="BM204" s="126"/>
      <c r="BN204" s="126"/>
      <c r="BO204" s="126"/>
      <c r="BP204" s="126"/>
      <c r="BQ204" s="236"/>
      <c r="BR204" s="236"/>
      <c r="BS204" s="236"/>
      <c r="BT204" s="126"/>
      <c r="BU204" s="126"/>
      <c r="BV204" s="126"/>
      <c r="BW204" s="126"/>
      <c r="BX204" s="126"/>
      <c r="BY204" s="126"/>
      <c r="BZ204" s="126"/>
      <c r="CA204" s="126"/>
      <c r="CB204" s="126"/>
      <c r="CC204" s="126"/>
    </row>
    <row r="205" spans="46:81" x14ac:dyDescent="0.2">
      <c r="BF205" s="236"/>
      <c r="BG205" s="236"/>
      <c r="BH205" s="236"/>
      <c r="BI205" s="236"/>
      <c r="BJ205" s="236"/>
      <c r="BK205" s="236"/>
      <c r="BP205" s="236"/>
      <c r="BQ205" s="236"/>
      <c r="BR205" s="236"/>
      <c r="BS205" s="236"/>
      <c r="BX205" s="236"/>
      <c r="BY205" s="236"/>
      <c r="BZ205" s="236"/>
      <c r="CA205" s="236"/>
      <c r="CB205" s="236"/>
      <c r="CC205" s="236"/>
    </row>
  </sheetData>
  <sheetProtection algorithmName="SHA-512" hashValue="b9+LOEMa++NWidmM6kA6wdam8B/VFgKZjoJrgTQYEHyfAE1F4W3Z6p4csrmB0zb8TLLmf7i/bZe5nvIhdJ1q6w==" saltValue="Julp/twpT1wWhMyC4FlBLw==" spinCount="100000" sheet="1" objects="1" scenarios="1" selectLockedCells="1"/>
  <protectedRanges>
    <protectedRange sqref="B132 B135 D138:D157" name="Range1"/>
  </protectedRanges>
  <mergeCells count="17">
    <mergeCell ref="B33:E33"/>
    <mergeCell ref="BF49:BG49"/>
    <mergeCell ref="CF50:CP51"/>
    <mergeCell ref="AR51:AS51"/>
    <mergeCell ref="BF51:BG51"/>
    <mergeCell ref="CD51:CE51"/>
    <mergeCell ref="BF53:BP54"/>
    <mergeCell ref="CO54:CP54"/>
    <mergeCell ref="BF56:BP57"/>
    <mergeCell ref="CH56:CP57"/>
    <mergeCell ref="BQ57:BR57"/>
    <mergeCell ref="CF57:CG57"/>
    <mergeCell ref="B133:B134"/>
    <mergeCell ref="AN135:AO135"/>
    <mergeCell ref="BK178:BM178"/>
    <mergeCell ref="BK180:BL180"/>
    <mergeCell ref="BW180:BX180"/>
  </mergeCells>
  <conditionalFormatting sqref="B139:AO139">
    <cfRule type="expression" dxfId="1619" priority="31">
      <formula>$B$135&lt;2</formula>
    </cfRule>
  </conditionalFormatting>
  <conditionalFormatting sqref="B140:AO140">
    <cfRule type="expression" dxfId="1618" priority="30">
      <formula>$B$135&lt;3</formula>
    </cfRule>
  </conditionalFormatting>
  <conditionalFormatting sqref="B141:AO141">
    <cfRule type="expression" dxfId="1617" priority="29">
      <formula>$B$135&lt;4</formula>
    </cfRule>
  </conditionalFormatting>
  <conditionalFormatting sqref="B142:AO142">
    <cfRule type="expression" dxfId="1616" priority="28">
      <formula>$B$135&lt;5</formula>
    </cfRule>
  </conditionalFormatting>
  <conditionalFormatting sqref="B143:AO143">
    <cfRule type="expression" dxfId="1615" priority="27">
      <formula>$B$135&lt;6</formula>
    </cfRule>
  </conditionalFormatting>
  <conditionalFormatting sqref="B144:AO144">
    <cfRule type="expression" dxfId="1614" priority="26">
      <formula>$B$135&lt;7</formula>
    </cfRule>
  </conditionalFormatting>
  <conditionalFormatting sqref="B145:AO145">
    <cfRule type="expression" dxfId="1613" priority="25">
      <formula>$B$135&lt;8</formula>
    </cfRule>
  </conditionalFormatting>
  <conditionalFormatting sqref="B146:AO146">
    <cfRule type="expression" dxfId="1612" priority="24">
      <formula>$B$135&lt;9</formula>
    </cfRule>
  </conditionalFormatting>
  <conditionalFormatting sqref="B147:AO147">
    <cfRule type="expression" dxfId="1611" priority="23">
      <formula>$B$135&lt;10</formula>
    </cfRule>
  </conditionalFormatting>
  <conditionalFormatting sqref="B148:AO148">
    <cfRule type="expression" dxfId="1610" priority="22">
      <formula>$B$135&lt;11</formula>
    </cfRule>
  </conditionalFormatting>
  <conditionalFormatting sqref="B149:AO149">
    <cfRule type="expression" dxfId="1609" priority="21">
      <formula>$B$135&lt;12</formula>
    </cfRule>
  </conditionalFormatting>
  <conditionalFormatting sqref="B150:AO150">
    <cfRule type="expression" dxfId="1608" priority="20">
      <formula>$B$135&lt;13</formula>
    </cfRule>
  </conditionalFormatting>
  <conditionalFormatting sqref="B151:AO151">
    <cfRule type="expression" dxfId="1607" priority="19">
      <formula>$B$135&lt;14</formula>
    </cfRule>
  </conditionalFormatting>
  <conditionalFormatting sqref="B152:AO152">
    <cfRule type="expression" dxfId="1606" priority="18">
      <formula>$B$135&lt;15</formula>
    </cfRule>
  </conditionalFormatting>
  <conditionalFormatting sqref="B153:AO153">
    <cfRule type="expression" dxfId="1605" priority="17">
      <formula>$B$135&lt;16</formula>
    </cfRule>
  </conditionalFormatting>
  <conditionalFormatting sqref="B154:AO154">
    <cfRule type="expression" dxfId="1604" priority="16">
      <formula>$B$135&lt;17</formula>
    </cfRule>
  </conditionalFormatting>
  <conditionalFormatting sqref="B155:AO155">
    <cfRule type="expression" dxfId="1603" priority="15">
      <formula>$B$135&lt;18</formula>
    </cfRule>
  </conditionalFormatting>
  <conditionalFormatting sqref="B156:AO156">
    <cfRule type="expression" dxfId="1602" priority="14">
      <formula>$B$135&lt;19</formula>
    </cfRule>
  </conditionalFormatting>
  <conditionalFormatting sqref="B157:AO157">
    <cfRule type="expression" dxfId="1601" priority="13">
      <formula>$B$135&lt;20</formula>
    </cfRule>
  </conditionalFormatting>
  <conditionalFormatting sqref="D131:D132">
    <cfRule type="cellIs" dxfId="1600" priority="36" stopIfTrue="1" operator="equal">
      <formula>"change the angle of frame or of cabinets"</formula>
    </cfRule>
  </conditionalFormatting>
  <conditionalFormatting sqref="D133">
    <cfRule type="cellIs" dxfId="1599" priority="35" stopIfTrue="1" operator="equal">
      <formula>"USE EXBAR AR AT THE FRONT"</formula>
    </cfRule>
  </conditionalFormatting>
  <conditionalFormatting sqref="D134">
    <cfRule type="cellIs" dxfId="1598" priority="34" stopIfTrue="1" operator="equal">
      <formula>"USE EXBAR AR AT THE BACK"</formula>
    </cfRule>
  </conditionalFormatting>
  <conditionalFormatting sqref="D138:D157">
    <cfRule type="cellIs" dxfId="1597" priority="33" operator="notEqual">
      <formula>0</formula>
    </cfRule>
  </conditionalFormatting>
  <conditionalFormatting sqref="AN138:AO157">
    <cfRule type="cellIs" dxfId="1596" priority="32" operator="lessThan">
      <formula>10</formula>
    </cfRule>
  </conditionalFormatting>
  <conditionalFormatting sqref="BC50">
    <cfRule type="cellIs" dxfId="1595" priority="12" stopIfTrue="1" operator="equal">
      <formula>"negative force at the motor"</formula>
    </cfRule>
    <cfRule type="cellIs" dxfId="1594" priority="11" operator="equal">
      <formula>"""OK"""</formula>
    </cfRule>
  </conditionalFormatting>
  <conditionalFormatting sqref="BC53">
    <cfRule type="cellIs" dxfId="1593" priority="9" operator="equal">
      <formula>"""OK"""</formula>
    </cfRule>
    <cfRule type="cellIs" dxfId="1592" priority="10" stopIfTrue="1" operator="equal">
      <formula>"negative force at the motor"</formula>
    </cfRule>
  </conditionalFormatting>
  <conditionalFormatting sqref="BC56">
    <cfRule type="cellIs" dxfId="1591" priority="8" stopIfTrue="1" operator="equal">
      <formula>"negative force at the motor"</formula>
    </cfRule>
    <cfRule type="cellIs" dxfId="1590" priority="7" operator="equal">
      <formula>"""OK"""</formula>
    </cfRule>
  </conditionalFormatting>
  <conditionalFormatting sqref="BC80 BC126 BC51 BC54 BC57 BC85">
    <cfRule type="cellIs" dxfId="1589" priority="4" operator="equal">
      <formula>"OVERLOAD"</formula>
    </cfRule>
  </conditionalFormatting>
  <conditionalFormatting sqref="BD79:BD80 BC80 BD125:BD126 BC126">
    <cfRule type="expression" dxfId="1588" priority="1">
      <formula>$B$132&lt;&gt;0</formula>
    </cfRule>
  </conditionalFormatting>
  <conditionalFormatting sqref="BF125:BV125">
    <cfRule type="expression" dxfId="1587" priority="6">
      <formula>$B$132=0</formula>
    </cfRule>
  </conditionalFormatting>
  <conditionalFormatting sqref="BQ79:CG79">
    <cfRule type="cellIs" dxfId="1586" priority="2" operator="equal">
      <formula>0</formula>
    </cfRule>
    <cfRule type="expression" dxfId="1585" priority="5">
      <formula>$B$132=0</formula>
    </cfRule>
  </conditionalFormatting>
  <conditionalFormatting sqref="BZ125:CP125">
    <cfRule type="expression" dxfId="1584" priority="3">
      <formula>$B$132=0</formula>
    </cfRule>
  </conditionalFormatting>
  <dataValidations count="6">
    <dataValidation type="custom" allowBlank="1" showInputMessage="1" showErrorMessage="1" sqref="D139:D157" xr:uid="{00000000-0002-0000-0100-000000000000}">
      <formula1>OR(D139=0,D139=0.5,D139=1,D139=2,D139=2.5,D139=3,D139=4,D139=5,D139=6,D139=7,D139=8)</formula1>
    </dataValidation>
    <dataValidation type="decimal" allowBlank="1" showInputMessage="1" showErrorMessage="1" sqref="B132" xr:uid="{00000000-0002-0000-0100-000001000000}">
      <formula1>-89.9</formula1>
      <formula2>89.9</formula2>
    </dataValidation>
    <dataValidation type="whole" allowBlank="1" showInputMessage="1" showErrorMessage="1" sqref="D138" xr:uid="{00000000-0002-0000-0100-000002000000}">
      <formula1>-2</formula1>
      <formula2>4</formula2>
    </dataValidation>
    <dataValidation type="decimal" allowBlank="1" showInputMessage="1" showErrorMessage="1" sqref="G139:G157" xr:uid="{00000000-0002-0000-0100-000003000000}">
      <formula1>0</formula1>
      <formula2>8</formula2>
    </dataValidation>
    <dataValidation type="decimal" allowBlank="1" showInputMessage="1" showErrorMessage="1" sqref="G138" xr:uid="{00000000-0002-0000-0100-000004000000}">
      <formula1>0</formula1>
      <formula2>4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35" xr:uid="{00000000-0002-0000-0100-000005000000}">
      <formula1>1</formula1>
      <formula2>20</formula2>
    </dataValidation>
  </dataValidations>
  <pageMargins left="0.75" right="0.75" top="1" bottom="1" header="0.5" footer="0.5"/>
  <pageSetup paperSize="9" orientation="portrait" horizontalDpi="4294967293" verticalDpi="200" r:id="rId1"/>
  <headerFooter alignWithMargins="0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2">
    <tabColor rgb="FF00B0F0"/>
  </sheetPr>
  <dimension ref="B1:CV286"/>
  <sheetViews>
    <sheetView topLeftCell="A49" zoomScale="50" zoomScaleNormal="50" workbookViewId="0">
      <selection activeCell="B138" sqref="B138"/>
    </sheetView>
  </sheetViews>
  <sheetFormatPr baseColWidth="10" defaultColWidth="9.1640625" defaultRowHeight="16" x14ac:dyDescent="0.2"/>
  <cols>
    <col min="1" max="1" width="3.5" customWidth="1"/>
    <col min="2" max="2" width="37.6640625" style="35" customWidth="1"/>
    <col min="3" max="3" width="14" hidden="1" customWidth="1"/>
    <col min="4" max="4" width="28.1640625" customWidth="1"/>
    <col min="5" max="5" width="26.5" customWidth="1"/>
    <col min="6" max="6" width="17.1640625" hidden="1" customWidth="1"/>
    <col min="7" max="7" width="33.1640625" hidden="1" customWidth="1"/>
    <col min="8" max="8" width="17.1640625" hidden="1" customWidth="1"/>
    <col min="9" max="9" width="16.33203125" hidden="1" customWidth="1"/>
    <col min="10" max="10" width="18" hidden="1" customWidth="1"/>
    <col min="11" max="12" width="15.5" hidden="1" customWidth="1"/>
    <col min="13" max="13" width="23.83203125" hidden="1" customWidth="1"/>
    <col min="14" max="14" width="10.5" hidden="1" customWidth="1"/>
    <col min="15" max="15" width="18" hidden="1" customWidth="1"/>
    <col min="16" max="16" width="75" hidden="1" customWidth="1"/>
    <col min="17" max="17" width="20.83203125" hidden="1" customWidth="1"/>
    <col min="18" max="18" width="21.33203125" hidden="1" customWidth="1"/>
    <col min="19" max="19" width="31.33203125" hidden="1" customWidth="1"/>
    <col min="20" max="20" width="11" hidden="1" customWidth="1"/>
    <col min="21" max="21" width="22.33203125" hidden="1" customWidth="1"/>
    <col min="22" max="22" width="15.5" hidden="1" customWidth="1"/>
    <col min="23" max="23" width="106.33203125" hidden="1" customWidth="1"/>
    <col min="24" max="24" width="74.6640625" hidden="1" customWidth="1"/>
    <col min="25" max="25" width="14.6640625" hidden="1" customWidth="1"/>
    <col min="26" max="26" width="17.1640625" hidden="1" customWidth="1"/>
    <col min="27" max="27" width="15.5" hidden="1" customWidth="1"/>
    <col min="28" max="28" width="23.83203125" hidden="1" customWidth="1"/>
    <col min="29" max="29" width="17.1640625" hidden="1" customWidth="1"/>
    <col min="30" max="30" width="15.5" hidden="1" customWidth="1"/>
    <col min="31" max="31" width="18.83203125" hidden="1" customWidth="1"/>
    <col min="32" max="32" width="42.5" hidden="1" customWidth="1"/>
    <col min="33" max="33" width="15.5" hidden="1" customWidth="1"/>
    <col min="34" max="34" width="16.33203125" hidden="1" customWidth="1"/>
    <col min="35" max="35" width="15.5" hidden="1" customWidth="1"/>
    <col min="36" max="36" width="17.33203125" hidden="1" customWidth="1"/>
    <col min="37" max="39" width="16.33203125" hidden="1" customWidth="1"/>
    <col min="40" max="41" width="14.5" customWidth="1"/>
    <col min="42" max="42" width="6.6640625" hidden="1" customWidth="1"/>
    <col min="43" max="43" width="4.6640625" hidden="1" customWidth="1"/>
    <col min="44" max="44" width="6.5" hidden="1" customWidth="1"/>
    <col min="45" max="45" width="130.5" hidden="1" customWidth="1"/>
    <col min="46" max="46" width="16.33203125" hidden="1" customWidth="1"/>
    <col min="47" max="47" width="15.5" hidden="1" customWidth="1"/>
    <col min="48" max="48" width="19.1640625" hidden="1" customWidth="1"/>
    <col min="49" max="49" width="15.5" hidden="1" customWidth="1"/>
    <col min="50" max="50" width="12.5" hidden="1" customWidth="1"/>
    <col min="51" max="51" width="9.33203125" hidden="1" customWidth="1"/>
    <col min="52" max="52" width="28.5" customWidth="1"/>
    <col min="53" max="53" width="35.6640625" style="59" customWidth="1"/>
    <col min="54" max="54" width="43.5" customWidth="1"/>
    <col min="55" max="91" width="7.33203125" customWidth="1"/>
    <col min="92" max="92" width="7.6640625" hidden="1" customWidth="1"/>
    <col min="93" max="93" width="16" hidden="1" customWidth="1"/>
    <col min="94" max="94" width="41" hidden="1" customWidth="1"/>
    <col min="95" max="97" width="0" hidden="1" customWidth="1"/>
  </cols>
  <sheetData>
    <row r="1" spans="2:42" ht="20" hidden="1" x14ac:dyDescent="0.2">
      <c r="D1" s="36" t="s">
        <v>104</v>
      </c>
      <c r="E1" s="36" t="s">
        <v>105</v>
      </c>
      <c r="F1" s="36" t="s">
        <v>106</v>
      </c>
      <c r="G1" s="990" t="s">
        <v>220</v>
      </c>
      <c r="H1" s="991">
        <v>18000</v>
      </c>
      <c r="I1" s="992"/>
      <c r="J1" s="992"/>
      <c r="K1" s="992"/>
      <c r="L1" s="992"/>
      <c r="M1" s="992"/>
      <c r="N1" s="992"/>
      <c r="O1" s="993"/>
    </row>
    <row r="2" spans="2:42" ht="20" hidden="1" x14ac:dyDescent="0.2">
      <c r="B2" s="164" t="s">
        <v>26</v>
      </c>
      <c r="C2" s="39">
        <v>688</v>
      </c>
      <c r="D2" s="40">
        <f>+COS(($B$135*-1)*3.14159265358979/180)*C2</f>
        <v>688</v>
      </c>
      <c r="E2" s="41">
        <f>+COS(($B$135*-1)*3.14159265358979/180)*43</f>
        <v>43</v>
      </c>
      <c r="F2" s="42">
        <f>+COS((($B$135*-1)+72.969997)*3.14159265358979/180)*162.1867</f>
        <v>47.500013702602963</v>
      </c>
      <c r="G2" s="994" t="s">
        <v>212</v>
      </c>
      <c r="H2" s="957">
        <v>77</v>
      </c>
      <c r="O2" s="995"/>
    </row>
    <row r="3" spans="2:42" ht="21" hidden="1" thickBot="1" x14ac:dyDescent="0.25">
      <c r="B3" s="38" t="s">
        <v>113</v>
      </c>
      <c r="C3" s="43">
        <f>+C10-47.5</f>
        <v>307.44879170129445</v>
      </c>
      <c r="D3" s="40">
        <f>+C10-F2</f>
        <v>307.44877799869147</v>
      </c>
      <c r="G3" s="994" t="s">
        <v>213</v>
      </c>
      <c r="H3" s="958">
        <v>215</v>
      </c>
      <c r="I3" s="182"/>
      <c r="O3" s="995"/>
    </row>
    <row r="4" spans="2:42" ht="58" hidden="1" thickBot="1" x14ac:dyDescent="0.25">
      <c r="B4" s="44" t="s">
        <v>114</v>
      </c>
      <c r="C4" s="45">
        <v>1075</v>
      </c>
      <c r="D4" s="40">
        <f>+COS(($B$135*-1)*3.14159265358979/180)*C4</f>
        <v>1075</v>
      </c>
      <c r="G4" s="996" t="s">
        <v>233</v>
      </c>
      <c r="H4" s="962">
        <v>860</v>
      </c>
      <c r="I4" s="984">
        <v>1</v>
      </c>
      <c r="J4" s="1721" t="s">
        <v>228</v>
      </c>
      <c r="K4" s="1740"/>
      <c r="L4" s="1740"/>
      <c r="M4" s="1740"/>
      <c r="N4" s="1720"/>
      <c r="O4" s="1741"/>
      <c r="AP4" s="59"/>
    </row>
    <row r="5" spans="2:42" ht="38" hidden="1" x14ac:dyDescent="0.2">
      <c r="B5" s="44" t="s">
        <v>115</v>
      </c>
      <c r="C5" s="45">
        <f>+C10+425.5</f>
        <v>780.44879170129445</v>
      </c>
      <c r="D5" s="40">
        <f>+(COS(($B$135*-1)*3.14159265358979/180)*473)+$D$3</f>
        <v>780.44877799869141</v>
      </c>
      <c r="G5" s="996" t="s">
        <v>214</v>
      </c>
      <c r="H5" s="962">
        <v>688</v>
      </c>
      <c r="J5" s="961" t="s">
        <v>217</v>
      </c>
      <c r="K5" s="961" t="s">
        <v>225</v>
      </c>
      <c r="L5" s="972" t="s">
        <v>224</v>
      </c>
      <c r="M5" s="964"/>
      <c r="O5" s="995"/>
      <c r="AP5" s="59"/>
    </row>
    <row r="6" spans="2:42" ht="20" hidden="1" x14ac:dyDescent="0.2">
      <c r="B6" s="76"/>
      <c r="C6" s="78"/>
      <c r="G6" s="996" t="s">
        <v>259</v>
      </c>
      <c r="H6" s="962">
        <v>602</v>
      </c>
      <c r="J6" s="1024">
        <f>+H9/H8*BC51</f>
        <v>107.84684742299076</v>
      </c>
      <c r="K6" s="1024">
        <f>((H8-H9)/H8)*BC51</f>
        <v>-74.144707603306145</v>
      </c>
      <c r="L6" s="1024">
        <f>+CA51</f>
        <v>89.297860180315382</v>
      </c>
      <c r="M6" s="961" t="s">
        <v>223</v>
      </c>
      <c r="O6" s="995"/>
      <c r="AP6" s="59"/>
    </row>
    <row r="7" spans="2:42" ht="20" hidden="1" x14ac:dyDescent="0.2">
      <c r="B7" s="313" t="s">
        <v>16</v>
      </c>
      <c r="C7" s="314">
        <f>+(B138*57)+31+4.5+0.5+30</f>
        <v>123</v>
      </c>
      <c r="G7" s="997" t="s">
        <v>230</v>
      </c>
      <c r="H7" s="1020">
        <f>(+SIN(($B$135*-1)*3.14159265358979/180)*H2)</f>
        <v>0</v>
      </c>
      <c r="J7" s="1025">
        <f>ABS($H$1/J6)</f>
        <v>166.90334887028664</v>
      </c>
      <c r="K7" s="1025">
        <f>ABS($H$1/K6)</f>
        <v>242.76850744768967</v>
      </c>
      <c r="L7" s="1025">
        <f>ABS($H$1/L6)</f>
        <v>201.57257927181416</v>
      </c>
      <c r="M7" s="967" t="s">
        <v>222</v>
      </c>
      <c r="O7" s="995"/>
      <c r="AP7" s="59"/>
    </row>
    <row r="8" spans="2:42" ht="20" hidden="1" x14ac:dyDescent="0.2">
      <c r="B8" s="313" t="s">
        <v>15</v>
      </c>
      <c r="C8" s="314">
        <f>+AG141</f>
        <v>747.0023123282715</v>
      </c>
      <c r="G8" s="997" t="s">
        <v>229</v>
      </c>
      <c r="H8" s="1020">
        <f>(+COS(($B$135*-1)*3.14159265358979/180)*H3)</f>
        <v>215</v>
      </c>
      <c r="J8" s="1731">
        <f>ABS($D$16/BC51)</f>
        <v>237.3736517266299</v>
      </c>
      <c r="K8" s="1731"/>
      <c r="L8" s="1731">
        <f>ABS($D$16/CA51)</f>
        <v>89.587813009695182</v>
      </c>
      <c r="M8" s="1732" t="s">
        <v>350</v>
      </c>
      <c r="O8" s="995"/>
      <c r="AP8" s="59"/>
    </row>
    <row r="9" spans="2:42" ht="21" hidden="1" thickBot="1" x14ac:dyDescent="0.25">
      <c r="B9" s="315"/>
      <c r="C9" s="315"/>
      <c r="G9" s="994" t="s">
        <v>227</v>
      </c>
      <c r="H9" s="1020">
        <f>+D2+H7</f>
        <v>688</v>
      </c>
      <c r="O9" s="995"/>
      <c r="AP9" s="59"/>
    </row>
    <row r="10" spans="2:42" ht="21" hidden="1" thickBot="1" x14ac:dyDescent="0.25">
      <c r="B10" s="313" t="s">
        <v>14</v>
      </c>
      <c r="C10" s="313">
        <f>+W135</f>
        <v>354.94879170129445</v>
      </c>
      <c r="G10" s="998"/>
      <c r="I10" s="984">
        <v>2</v>
      </c>
      <c r="J10" s="1721" t="s">
        <v>235</v>
      </c>
      <c r="K10" s="1721"/>
      <c r="L10" s="1738"/>
      <c r="M10" s="1738"/>
      <c r="O10" s="995"/>
      <c r="AP10" s="59"/>
    </row>
    <row r="11" spans="2:42" ht="20" hidden="1" x14ac:dyDescent="0.2">
      <c r="G11" s="994" t="s">
        <v>226</v>
      </c>
      <c r="H11" s="1020">
        <f>+D2-H7</f>
        <v>688</v>
      </c>
      <c r="J11" s="972" t="s">
        <v>218</v>
      </c>
      <c r="K11" s="961" t="s">
        <v>215</v>
      </c>
      <c r="L11" s="961" t="s">
        <v>216</v>
      </c>
      <c r="M11" s="964"/>
      <c r="O11" s="995"/>
      <c r="AP11" s="59"/>
    </row>
    <row r="12" spans="2:42" ht="20" hidden="1" x14ac:dyDescent="0.2">
      <c r="C12" s="316"/>
      <c r="G12" s="998"/>
      <c r="H12" s="37"/>
      <c r="J12" s="1024">
        <f>(BN54)</f>
        <v>87.822139819684608</v>
      </c>
      <c r="K12" s="1024">
        <f>((+H8-H11)/H8*CL54)</f>
        <v>-77.391292396693885</v>
      </c>
      <c r="L12" s="1024">
        <f>(H11/H8*CL54)</f>
        <v>112.56915257700928</v>
      </c>
      <c r="M12" s="961" t="s">
        <v>223</v>
      </c>
      <c r="O12" s="995"/>
      <c r="AP12" s="59"/>
    </row>
    <row r="13" spans="2:42" ht="20" hidden="1" x14ac:dyDescent="0.2">
      <c r="C13" s="317" t="str">
        <f>IF(D119&gt;=10,"O K ","OVERLOAD")</f>
        <v>OVERLOAD</v>
      </c>
      <c r="G13" s="998"/>
      <c r="J13" s="1025">
        <f>ABS($H$1/J12)</f>
        <v>204.95970648127442</v>
      </c>
      <c r="K13" s="1025">
        <f>ABS($H$1/K12)</f>
        <v>232.58430557969271</v>
      </c>
      <c r="L13" s="1025">
        <f>ABS($H$1/L12)</f>
        <v>159.90171008603875</v>
      </c>
      <c r="M13" s="967" t="s">
        <v>222</v>
      </c>
      <c r="O13" s="995"/>
      <c r="AP13" s="59"/>
    </row>
    <row r="14" spans="2:42" ht="24" hidden="1" customHeight="1" x14ac:dyDescent="0.2">
      <c r="B14" s="316"/>
      <c r="C14" s="316"/>
      <c r="G14" s="998"/>
      <c r="J14" s="1731">
        <f>ABS($D$16/BN54)</f>
        <v>91.093202880566409</v>
      </c>
      <c r="K14" s="1731"/>
      <c r="L14" s="1731">
        <f>ABS($D$16/CL54)</f>
        <v>227.41576545569956</v>
      </c>
      <c r="M14" s="1732" t="s">
        <v>350</v>
      </c>
      <c r="O14" s="995"/>
      <c r="AP14" s="59"/>
    </row>
    <row r="15" spans="2:42" ht="39" hidden="1" thickBot="1" x14ac:dyDescent="0.25">
      <c r="B15" s="316">
        <v>5800</v>
      </c>
      <c r="C15" s="316">
        <v>5800</v>
      </c>
      <c r="E15" s="48" t="s">
        <v>75</v>
      </c>
      <c r="G15" s="998"/>
      <c r="O15" s="995"/>
      <c r="AP15" s="59"/>
    </row>
    <row r="16" spans="2:42" ht="39" hidden="1" thickBot="1" x14ac:dyDescent="0.25">
      <c r="B16" s="316">
        <v>8000</v>
      </c>
      <c r="C16" s="316">
        <v>8000</v>
      </c>
      <c r="D16" s="49">
        <v>8000</v>
      </c>
      <c r="E16" s="48" t="s">
        <v>86</v>
      </c>
      <c r="G16" s="994" t="s">
        <v>231</v>
      </c>
      <c r="H16" s="1020">
        <f>+D2+H7-AX131</f>
        <v>-92.448777998691412</v>
      </c>
      <c r="I16" s="984" t="s">
        <v>251</v>
      </c>
      <c r="J16" s="1721" t="s">
        <v>232</v>
      </c>
      <c r="K16" s="1740"/>
      <c r="L16" s="1740"/>
      <c r="M16" s="1740"/>
      <c r="N16" s="1720"/>
      <c r="O16" s="995"/>
      <c r="AP16" s="59"/>
    </row>
    <row r="17" spans="2:94" ht="20" hidden="1" x14ac:dyDescent="0.2">
      <c r="B17" s="318" t="s">
        <v>20</v>
      </c>
      <c r="C17" s="318" t="s">
        <v>21</v>
      </c>
      <c r="G17" s="998"/>
      <c r="H17" s="37"/>
      <c r="I17" s="999"/>
      <c r="J17" s="1026" t="s">
        <v>217</v>
      </c>
      <c r="K17" s="1026" t="s">
        <v>225</v>
      </c>
      <c r="L17" s="961"/>
      <c r="M17" s="964"/>
      <c r="O17" s="995"/>
      <c r="AP17" s="59"/>
    </row>
    <row r="18" spans="2:94" ht="20" hidden="1" x14ac:dyDescent="0.2">
      <c r="B18" s="319">
        <f>+((C8-C10)/C8)*C7</f>
        <v>64.554797543821635</v>
      </c>
      <c r="C18" s="320">
        <f>+(C10/C8)*C7</f>
        <v>58.445202456178372</v>
      </c>
      <c r="G18" s="998"/>
      <c r="J18" s="1024">
        <f>+H16/H8*BC49</f>
        <v>-52.889300901576945</v>
      </c>
      <c r="K18" s="1024">
        <f>((H8-H16)/H8)*BC49</f>
        <v>175.88930090157695</v>
      </c>
      <c r="L18" s="963"/>
      <c r="M18" s="961" t="s">
        <v>223</v>
      </c>
      <c r="O18" s="995"/>
      <c r="AP18" s="59"/>
    </row>
    <row r="19" spans="2:94" ht="20" hidden="1" x14ac:dyDescent="0.2">
      <c r="G19" s="998"/>
      <c r="J19" s="1025">
        <f>ABS($H$1/J18)</f>
        <v>340.33348320290071</v>
      </c>
      <c r="K19" s="1025">
        <f>ABS($H$1/K18)</f>
        <v>102.33709445506483</v>
      </c>
      <c r="L19" s="965"/>
      <c r="M19" s="967" t="s">
        <v>222</v>
      </c>
      <c r="O19" s="995"/>
      <c r="AP19" s="59"/>
    </row>
    <row r="20" spans="2:94" ht="20" hidden="1" x14ac:dyDescent="0.2">
      <c r="G20" s="998"/>
      <c r="J20" s="1733">
        <f>ABS($D$16/BC49)</f>
        <v>65.040650406504071</v>
      </c>
      <c r="K20" s="1733"/>
      <c r="L20" s="1733"/>
      <c r="M20" s="1734" t="s">
        <v>350</v>
      </c>
      <c r="O20" s="995"/>
      <c r="AP20" s="59"/>
    </row>
    <row r="21" spans="2:94" ht="17" hidden="1" thickBot="1" x14ac:dyDescent="0.25">
      <c r="G21" s="998"/>
      <c r="O21" s="995"/>
      <c r="AP21" s="59"/>
    </row>
    <row r="22" spans="2:94" ht="21" hidden="1" thickBot="1" x14ac:dyDescent="0.25">
      <c r="G22" s="994" t="s">
        <v>219</v>
      </c>
      <c r="H22" s="1020">
        <f>(+COS(($B$135*-1)*3.14159265358979/180)*(H4))</f>
        <v>860</v>
      </c>
      <c r="I22" s="984" t="s">
        <v>251</v>
      </c>
      <c r="J22" s="1721" t="s">
        <v>254</v>
      </c>
      <c r="K22" s="1740"/>
      <c r="L22" s="1740"/>
      <c r="M22" s="1740"/>
      <c r="O22" s="995"/>
      <c r="AP22" s="59"/>
    </row>
    <row r="23" spans="2:94" ht="20" hidden="1" x14ac:dyDescent="0.2">
      <c r="G23" s="994" t="s">
        <v>234</v>
      </c>
      <c r="H23" s="1093">
        <f>+AX131-H22+H7</f>
        <v>-79.551222001308588</v>
      </c>
      <c r="I23" s="999"/>
      <c r="J23" s="961"/>
      <c r="K23" s="961" t="s">
        <v>215</v>
      </c>
      <c r="L23" s="961" t="s">
        <v>216</v>
      </c>
      <c r="M23" s="964"/>
      <c r="O23" s="995"/>
      <c r="AP23" s="59"/>
    </row>
    <row r="24" spans="2:94" ht="20" hidden="1" x14ac:dyDescent="0.2">
      <c r="G24" s="998"/>
      <c r="J24" s="963"/>
      <c r="K24" s="1024">
        <f>((+H8-H23)/H8*BC49)</f>
        <v>168.51069909842306</v>
      </c>
      <c r="L24" s="1024">
        <f>(H23/H8*BC49)</f>
        <v>-45.510699098423053</v>
      </c>
      <c r="M24" s="961" t="s">
        <v>223</v>
      </c>
      <c r="O24" s="995"/>
      <c r="AP24" s="59"/>
    </row>
    <row r="25" spans="2:94" ht="20" hidden="1" x14ac:dyDescent="0.2">
      <c r="G25" s="998"/>
      <c r="J25" s="965"/>
      <c r="K25" s="1025">
        <f>ABS($H$1/K24)</f>
        <v>106.81814327698345</v>
      </c>
      <c r="L25" s="1025">
        <f>ABS($H$1/L24)</f>
        <v>395.51139306984851</v>
      </c>
      <c r="M25" s="967" t="s">
        <v>222</v>
      </c>
      <c r="O25" s="995"/>
      <c r="AP25" s="78"/>
    </row>
    <row r="26" spans="2:94" s="74" customFormat="1" ht="20" hidden="1" x14ac:dyDescent="0.2">
      <c r="G26" s="998"/>
      <c r="H26"/>
      <c r="I26"/>
      <c r="J26" s="1735"/>
      <c r="K26" s="1731"/>
      <c r="L26" s="1731">
        <f>ABS($D$16/BC49)</f>
        <v>65.040650406504071</v>
      </c>
      <c r="M26" s="1734" t="s">
        <v>350</v>
      </c>
      <c r="N26"/>
      <c r="O26" s="995"/>
      <c r="P26" s="73"/>
      <c r="Q26" s="73"/>
      <c r="R26" s="73"/>
      <c r="S26" s="73"/>
      <c r="T26" s="73"/>
      <c r="U26" s="73"/>
      <c r="AP26" s="78"/>
      <c r="AQ26"/>
      <c r="AR26"/>
      <c r="AS26"/>
      <c r="AT26"/>
      <c r="AU26"/>
      <c r="AV26"/>
      <c r="AW26"/>
      <c r="AX26"/>
      <c r="AY26"/>
      <c r="AZ26"/>
      <c r="BA26" s="59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  <c r="BW26"/>
      <c r="BX26"/>
      <c r="BY26"/>
      <c r="BZ26"/>
      <c r="CA26"/>
      <c r="CB26"/>
      <c r="CC26"/>
      <c r="CD26"/>
      <c r="CE26"/>
      <c r="CF26"/>
      <c r="CG26"/>
      <c r="CH26"/>
      <c r="CI26"/>
      <c r="CJ26"/>
      <c r="CK26"/>
      <c r="CL26"/>
      <c r="CM26"/>
      <c r="CN26"/>
      <c r="CO26"/>
      <c r="CP26"/>
    </row>
    <row r="27" spans="2:94" ht="21" hidden="1" thickBot="1" x14ac:dyDescent="0.25">
      <c r="G27" s="998"/>
      <c r="O27" s="995"/>
      <c r="P27" s="126"/>
      <c r="Q27" s="126"/>
      <c r="R27" s="126"/>
      <c r="S27" s="126"/>
      <c r="T27" s="126"/>
      <c r="U27" s="126"/>
      <c r="AP27" s="75"/>
    </row>
    <row r="28" spans="2:94" ht="21" hidden="1" thickBot="1" x14ac:dyDescent="0.25">
      <c r="G28" s="998"/>
      <c r="I28" s="984">
        <v>60</v>
      </c>
      <c r="J28" s="1721" t="s">
        <v>241</v>
      </c>
      <c r="K28" s="1740"/>
      <c r="L28" s="1740"/>
      <c r="M28" s="1740"/>
      <c r="O28" s="995"/>
      <c r="P28" s="126"/>
      <c r="Q28" s="126"/>
      <c r="R28" s="126"/>
      <c r="S28" s="126"/>
      <c r="T28" s="126"/>
      <c r="U28" s="126"/>
      <c r="AP28" s="59"/>
    </row>
    <row r="29" spans="2:94" ht="20" hidden="1" x14ac:dyDescent="0.2">
      <c r="G29" s="998"/>
      <c r="J29" s="961"/>
      <c r="K29" s="961" t="s">
        <v>215</v>
      </c>
      <c r="L29" s="961" t="s">
        <v>216</v>
      </c>
      <c r="M29" s="964"/>
      <c r="O29" s="995"/>
      <c r="P29" s="126"/>
      <c r="Q29" s="126"/>
      <c r="R29" s="126"/>
      <c r="S29" s="126"/>
      <c r="T29" s="126"/>
      <c r="U29" s="126"/>
      <c r="AP29" s="59"/>
    </row>
    <row r="30" spans="2:94" ht="20" hidden="1" x14ac:dyDescent="0.2">
      <c r="G30" s="1000"/>
      <c r="H30" s="63"/>
      <c r="J30" s="963"/>
      <c r="K30" s="1024">
        <f>((+H8-H23)/H8*BC49)</f>
        <v>168.51069909842306</v>
      </c>
      <c r="L30" s="1024">
        <f>(H23/H8*BC49)</f>
        <v>-45.510699098423053</v>
      </c>
      <c r="M30" s="961" t="s">
        <v>223</v>
      </c>
      <c r="O30" s="995"/>
      <c r="P30" s="126"/>
      <c r="Q30" s="126"/>
      <c r="R30" s="126"/>
      <c r="S30" s="126"/>
      <c r="T30" s="126"/>
      <c r="U30" s="126"/>
      <c r="AP30" s="76"/>
    </row>
    <row r="31" spans="2:94" ht="20" hidden="1" x14ac:dyDescent="0.2">
      <c r="G31" s="1000"/>
      <c r="H31" s="63"/>
      <c r="J31" s="965"/>
      <c r="K31" s="1025">
        <f>ABS($H$1/K30)</f>
        <v>106.81814327698345</v>
      </c>
      <c r="L31" s="1025">
        <f>ABS($H$1/L30)</f>
        <v>395.51139306984851</v>
      </c>
      <c r="M31" s="967" t="s">
        <v>222</v>
      </c>
      <c r="O31" s="995"/>
      <c r="P31" s="126"/>
      <c r="Q31" s="126"/>
      <c r="R31" s="126"/>
      <c r="S31" s="126"/>
      <c r="T31" s="126"/>
      <c r="U31" s="126"/>
      <c r="AP31" s="76"/>
    </row>
    <row r="32" spans="2:94" ht="20" hidden="1" x14ac:dyDescent="0.2">
      <c r="G32" s="1000"/>
      <c r="H32" s="63"/>
      <c r="J32" s="1735"/>
      <c r="K32" s="1731"/>
      <c r="L32" s="1731">
        <f>ABS($D$16/BC49)*2</f>
        <v>130.08130081300814</v>
      </c>
      <c r="M32" s="1734" t="s">
        <v>350</v>
      </c>
      <c r="N32" s="1730" t="s">
        <v>352</v>
      </c>
      <c r="O32" s="995"/>
      <c r="P32" s="126"/>
      <c r="Q32" s="126"/>
      <c r="R32" s="126"/>
      <c r="S32" s="126"/>
      <c r="T32" s="126"/>
      <c r="U32" s="126"/>
      <c r="AP32" s="76"/>
    </row>
    <row r="33" spans="7:42" ht="21" hidden="1" thickBot="1" x14ac:dyDescent="0.25">
      <c r="G33" s="1000"/>
      <c r="H33" s="63"/>
      <c r="O33" s="995"/>
      <c r="P33" s="126"/>
      <c r="Q33" s="126"/>
      <c r="R33" s="126"/>
      <c r="S33" s="126"/>
      <c r="T33" s="126"/>
      <c r="U33" s="126"/>
      <c r="AP33" s="76"/>
    </row>
    <row r="34" spans="7:42" ht="21" hidden="1" thickBot="1" x14ac:dyDescent="0.25">
      <c r="G34" s="1000"/>
      <c r="H34" s="63"/>
      <c r="I34" s="984">
        <v>61</v>
      </c>
      <c r="J34" s="1721" t="s">
        <v>255</v>
      </c>
      <c r="K34" s="1740"/>
      <c r="L34" s="1740"/>
      <c r="M34" s="1740"/>
      <c r="O34" s="995"/>
      <c r="P34" s="126"/>
      <c r="Q34" s="126"/>
      <c r="R34" s="126"/>
      <c r="S34" s="126"/>
      <c r="T34" s="126"/>
      <c r="U34" s="126"/>
      <c r="AP34" s="78"/>
    </row>
    <row r="35" spans="7:42" ht="20" hidden="1" x14ac:dyDescent="0.2">
      <c r="G35" s="1000"/>
      <c r="H35" s="63"/>
      <c r="J35" s="961" t="s">
        <v>217</v>
      </c>
      <c r="K35" s="961" t="s">
        <v>225</v>
      </c>
      <c r="L35" s="961"/>
      <c r="M35" s="964"/>
      <c r="O35" s="995"/>
      <c r="P35" s="126"/>
      <c r="Q35" s="126"/>
      <c r="R35" s="126"/>
      <c r="S35" s="126"/>
      <c r="T35" s="126"/>
      <c r="U35" s="126"/>
      <c r="AP35" s="78"/>
    </row>
    <row r="36" spans="7:42" ht="20" hidden="1" x14ac:dyDescent="0.2">
      <c r="G36" s="1000"/>
      <c r="H36" s="63"/>
      <c r="J36" s="1024">
        <f>+H16/H8*BC49</f>
        <v>-52.889300901576945</v>
      </c>
      <c r="K36" s="1024">
        <f>((H8-H16)/H8)*BC49</f>
        <v>175.88930090157695</v>
      </c>
      <c r="L36" s="963"/>
      <c r="M36" s="961" t="s">
        <v>223</v>
      </c>
      <c r="O36" s="995"/>
      <c r="P36" s="126"/>
      <c r="Q36" s="126"/>
      <c r="R36" s="126"/>
      <c r="S36" s="126"/>
      <c r="T36" s="126"/>
      <c r="U36" s="126"/>
      <c r="AP36" s="78"/>
    </row>
    <row r="37" spans="7:42" ht="20" hidden="1" x14ac:dyDescent="0.2">
      <c r="G37" s="1000"/>
      <c r="H37" s="63"/>
      <c r="J37" s="1025">
        <f>ABS($H$1/J36)</f>
        <v>340.33348320290071</v>
      </c>
      <c r="K37" s="1025">
        <f>ABS($H$1/K36)</f>
        <v>102.33709445506483</v>
      </c>
      <c r="L37" s="965"/>
      <c r="M37" s="967" t="s">
        <v>222</v>
      </c>
      <c r="O37" s="995"/>
      <c r="P37" s="126"/>
      <c r="Q37" s="126"/>
      <c r="R37" s="126"/>
      <c r="S37" s="126"/>
      <c r="T37" s="126"/>
      <c r="U37" s="126"/>
      <c r="AP37" s="76"/>
    </row>
    <row r="38" spans="7:42" ht="20" hidden="1" x14ac:dyDescent="0.2">
      <c r="G38" s="1000"/>
      <c r="H38" s="63"/>
      <c r="J38" s="1733">
        <f>ABS($D$16/BC49)*2</f>
        <v>130.08130081300814</v>
      </c>
      <c r="K38" s="1733"/>
      <c r="L38" s="1733"/>
      <c r="M38" s="1734" t="s">
        <v>350</v>
      </c>
      <c r="N38" s="1730" t="s">
        <v>352</v>
      </c>
      <c r="O38" s="995"/>
      <c r="P38" s="126"/>
      <c r="Q38" s="126"/>
      <c r="R38" s="126"/>
      <c r="S38" s="126"/>
      <c r="T38" s="126"/>
      <c r="U38" s="126"/>
      <c r="AP38" s="78"/>
    </row>
    <row r="39" spans="7:42" ht="21" hidden="1" thickBot="1" x14ac:dyDescent="0.25">
      <c r="G39" s="998"/>
      <c r="O39" s="995"/>
      <c r="P39" s="126"/>
      <c r="Q39" s="126"/>
      <c r="R39" s="126"/>
      <c r="S39" s="126"/>
      <c r="T39" s="126"/>
      <c r="U39" s="126"/>
      <c r="AP39" s="78"/>
    </row>
    <row r="40" spans="7:42" ht="21" hidden="1" thickBot="1" x14ac:dyDescent="0.25">
      <c r="G40" s="998"/>
      <c r="I40" s="984">
        <v>62</v>
      </c>
      <c r="J40" s="1721" t="s">
        <v>256</v>
      </c>
      <c r="K40" s="1740"/>
      <c r="L40" s="1740"/>
      <c r="M40" s="1740"/>
      <c r="O40" s="995"/>
      <c r="P40" s="126"/>
      <c r="Q40" s="126"/>
      <c r="R40" s="126"/>
      <c r="S40" s="126"/>
      <c r="T40" s="126"/>
      <c r="U40" s="126"/>
      <c r="AP40" s="78"/>
    </row>
    <row r="41" spans="7:42" ht="20" hidden="1" x14ac:dyDescent="0.2">
      <c r="G41" s="998"/>
      <c r="H41" s="1001" t="s">
        <v>250</v>
      </c>
      <c r="J41" s="961" t="s">
        <v>217</v>
      </c>
      <c r="K41" s="961" t="s">
        <v>225</v>
      </c>
      <c r="L41" s="972" t="s">
        <v>242</v>
      </c>
      <c r="M41" s="964"/>
      <c r="O41" s="995"/>
      <c r="P41" s="126"/>
      <c r="Q41" s="126"/>
      <c r="R41" s="126"/>
      <c r="S41" s="126"/>
      <c r="T41" s="126"/>
      <c r="U41" s="126"/>
      <c r="AP41" s="76"/>
    </row>
    <row r="42" spans="7:42" ht="23" hidden="1" x14ac:dyDescent="0.25">
      <c r="G42" s="1002" t="s">
        <v>245</v>
      </c>
      <c r="H42" s="1022">
        <f>SUM(BC123:BM123)</f>
        <v>0</v>
      </c>
      <c r="J42" s="1024">
        <f>+H43/H8*BC49/2</f>
        <v>209.1</v>
      </c>
      <c r="K42" s="1024">
        <f>((H8-H43)/H8)*BC49/2</f>
        <v>-147.6</v>
      </c>
      <c r="L42" s="1024">
        <f>+BC49/2</f>
        <v>61.5</v>
      </c>
      <c r="M42" s="961" t="s">
        <v>223</v>
      </c>
      <c r="O42" s="995"/>
      <c r="P42" s="126"/>
      <c r="Q42" s="126"/>
      <c r="R42" s="126"/>
      <c r="S42" s="126"/>
      <c r="T42" s="126"/>
      <c r="U42" s="126"/>
      <c r="AP42" s="78"/>
    </row>
    <row r="43" spans="7:42" ht="20" hidden="1" x14ac:dyDescent="0.2">
      <c r="G43" s="994" t="s">
        <v>243</v>
      </c>
      <c r="H43" s="1020">
        <f>$H$5-((H42-1)*$E$2)</f>
        <v>731</v>
      </c>
      <c r="J43" s="1025">
        <f>ABS($H$1/J42)</f>
        <v>86.083213773314199</v>
      </c>
      <c r="K43" s="1025">
        <f>ABS($H$1/K42)</f>
        <v>121.95121951219512</v>
      </c>
      <c r="L43" s="1025">
        <f>ABS($H$1/L42)</f>
        <v>292.6829268292683</v>
      </c>
      <c r="M43" s="967" t="s">
        <v>222</v>
      </c>
      <c r="O43" s="995"/>
      <c r="P43" s="126"/>
      <c r="Q43" s="126"/>
      <c r="R43" s="126"/>
      <c r="S43" s="126"/>
      <c r="T43" s="126"/>
      <c r="U43" s="126"/>
      <c r="AP43" s="78"/>
    </row>
    <row r="44" spans="7:42" ht="20" hidden="1" x14ac:dyDescent="0.2">
      <c r="G44" s="1000"/>
      <c r="H44" s="63"/>
      <c r="J44" s="1733"/>
      <c r="K44" s="1733"/>
      <c r="L44" s="1733">
        <f>ABS($D$16/BC49)*2</f>
        <v>130.08130081300814</v>
      </c>
      <c r="M44" s="1734" t="s">
        <v>350</v>
      </c>
      <c r="N44" s="1730" t="s">
        <v>352</v>
      </c>
      <c r="O44" s="995"/>
      <c r="P44" s="126"/>
      <c r="Q44" s="126"/>
      <c r="R44" s="126"/>
      <c r="S44" s="126"/>
      <c r="T44" s="126"/>
      <c r="U44" s="126"/>
      <c r="AP44" s="76"/>
    </row>
    <row r="45" spans="7:42" ht="21" hidden="1" thickBot="1" x14ac:dyDescent="0.25">
      <c r="G45" s="998"/>
      <c r="O45" s="995"/>
      <c r="P45" s="126"/>
      <c r="Q45" s="126"/>
      <c r="R45" s="126"/>
      <c r="S45" s="126"/>
      <c r="T45" s="126"/>
      <c r="U45" s="126"/>
      <c r="AP45" s="76"/>
    </row>
    <row r="46" spans="7:42" ht="21" hidden="1" thickBot="1" x14ac:dyDescent="0.25">
      <c r="G46" s="1004"/>
      <c r="H46" s="1005" t="s">
        <v>250</v>
      </c>
      <c r="I46" s="984">
        <v>63</v>
      </c>
      <c r="J46" s="1721" t="s">
        <v>257</v>
      </c>
      <c r="K46" s="1740"/>
      <c r="L46" s="1740"/>
      <c r="M46" s="1740"/>
      <c r="O46" s="995"/>
      <c r="P46" s="126"/>
      <c r="Q46" s="126"/>
      <c r="R46" s="126"/>
      <c r="S46" s="126"/>
      <c r="T46" s="126"/>
      <c r="U46" s="126"/>
      <c r="AP46" s="76"/>
    </row>
    <row r="47" spans="7:42" ht="23" hidden="1" x14ac:dyDescent="0.25">
      <c r="G47" s="1002" t="s">
        <v>245</v>
      </c>
      <c r="H47" s="1023">
        <f>SUM(CC123:CM123)</f>
        <v>0</v>
      </c>
      <c r="J47" s="972" t="s">
        <v>244</v>
      </c>
      <c r="K47" s="961" t="s">
        <v>215</v>
      </c>
      <c r="L47" s="961" t="s">
        <v>216</v>
      </c>
      <c r="M47" s="964"/>
      <c r="O47" s="995"/>
      <c r="P47" s="126"/>
      <c r="Q47" s="126"/>
      <c r="R47" s="126"/>
      <c r="S47" s="126"/>
      <c r="T47" s="126"/>
      <c r="U47" s="126"/>
      <c r="AP47" s="76"/>
    </row>
    <row r="48" spans="7:42" ht="20" hidden="1" x14ac:dyDescent="0.2">
      <c r="G48" s="994" t="s">
        <v>243</v>
      </c>
      <c r="H48" s="1020">
        <f>($E$2*(H47-1))-$H$4</f>
        <v>-903</v>
      </c>
      <c r="J48" s="1024">
        <f>+BC49/2</f>
        <v>61.5</v>
      </c>
      <c r="K48" s="1024">
        <f>((H8-H48)/H8)*BC49/2</f>
        <v>319.8</v>
      </c>
      <c r="L48" s="1024">
        <f>+H48/H8*BC49/2</f>
        <v>-258.3</v>
      </c>
      <c r="M48" s="961" t="s">
        <v>223</v>
      </c>
      <c r="O48" s="995"/>
      <c r="P48" s="126"/>
      <c r="Q48" s="126"/>
      <c r="R48" s="126"/>
      <c r="S48" s="126"/>
      <c r="T48" s="126"/>
      <c r="U48" s="126"/>
      <c r="AP48" s="76"/>
    </row>
    <row r="49" spans="2:94" ht="39.75" customHeight="1" thickBot="1" x14ac:dyDescent="0.25">
      <c r="G49" s="998"/>
      <c r="J49" s="1025">
        <f>ABS($H$1/J48)</f>
        <v>292.6829268292683</v>
      </c>
      <c r="K49" s="1025">
        <f>ABS($H$1/K48)</f>
        <v>56.285178236397748</v>
      </c>
      <c r="L49" s="1025">
        <f>ABS($H$1/L48)</f>
        <v>69.686411149825787</v>
      </c>
      <c r="M49" s="967" t="s">
        <v>222</v>
      </c>
      <c r="N49" s="74"/>
      <c r="O49" s="1010"/>
      <c r="P49" s="126"/>
      <c r="Q49" s="126"/>
      <c r="R49" s="126"/>
      <c r="S49" s="126"/>
      <c r="T49" s="126"/>
      <c r="U49" s="126"/>
      <c r="AP49" s="76"/>
      <c r="AQ49" s="74"/>
      <c r="AR49" s="74"/>
      <c r="AS49" s="74"/>
      <c r="AT49" s="74"/>
      <c r="BA49" s="64"/>
      <c r="BB49" s="75" t="s">
        <v>25</v>
      </c>
      <c r="BC49" s="1814">
        <f>+C7</f>
        <v>123</v>
      </c>
      <c r="BD49" s="1814"/>
      <c r="BE49" s="76" t="s">
        <v>17</v>
      </c>
      <c r="BF49" s="76"/>
      <c r="BG49" s="77" t="s">
        <v>131</v>
      </c>
      <c r="BH49" s="78"/>
      <c r="BI49" s="78"/>
      <c r="BJ49" s="78"/>
      <c r="BK49" s="78"/>
      <c r="BL49" s="78"/>
      <c r="BM49" s="78"/>
      <c r="BN49" s="78"/>
      <c r="BO49" s="78"/>
      <c r="BP49" s="78"/>
      <c r="BQ49" s="78"/>
      <c r="BR49" s="78"/>
      <c r="BS49" s="78"/>
      <c r="BT49" s="78"/>
      <c r="BU49" s="78"/>
      <c r="BV49" s="78"/>
      <c r="BW49" s="78"/>
      <c r="BX49" s="78"/>
      <c r="BY49" s="78"/>
      <c r="BZ49" s="78"/>
      <c r="CA49" s="78"/>
      <c r="CB49" s="78"/>
      <c r="CC49" s="78"/>
      <c r="CD49" s="78"/>
      <c r="CE49" s="78"/>
      <c r="CF49" s="78"/>
      <c r="CG49" s="78"/>
      <c r="CH49" s="78"/>
      <c r="CI49" s="78"/>
      <c r="CJ49" s="78"/>
      <c r="CK49" s="78"/>
      <c r="CL49" s="78"/>
      <c r="CM49" s="78"/>
      <c r="CN49" s="78"/>
      <c r="CO49" s="78"/>
      <c r="CP49" s="78"/>
    </row>
    <row r="50" spans="2:94" ht="44.25" customHeight="1" thickBot="1" x14ac:dyDescent="0.3">
      <c r="G50" s="998"/>
      <c r="J50" s="1733">
        <f>ABS($D$16/BC49)*2</f>
        <v>130.08130081300814</v>
      </c>
      <c r="K50" s="1733"/>
      <c r="L50" s="1733"/>
      <c r="M50" s="1734" t="s">
        <v>350</v>
      </c>
      <c r="N50" s="1730" t="s">
        <v>352</v>
      </c>
      <c r="O50" s="995"/>
      <c r="P50" s="126"/>
      <c r="Q50" s="126"/>
      <c r="R50" s="126"/>
      <c r="S50" s="126"/>
      <c r="T50" s="126"/>
      <c r="U50" s="126"/>
      <c r="AP50" s="76"/>
      <c r="AQ50" s="85"/>
      <c r="AR50" s="85"/>
      <c r="AS50" s="85"/>
      <c r="AT50" s="85"/>
      <c r="AY50" s="81" t="b">
        <f>AND(BC51&gt;0,CA51&gt;0)</f>
        <v>1</v>
      </c>
      <c r="AZ50" s="952" t="str">
        <f>IF(AY50=TRUE,"","negative force at the motor")</f>
        <v/>
      </c>
      <c r="BA50" s="1095" t="s">
        <v>128</v>
      </c>
      <c r="BB50" s="740" t="s">
        <v>27</v>
      </c>
      <c r="BC50" s="776" t="s">
        <v>28</v>
      </c>
      <c r="BD50" s="777"/>
      <c r="BE50" s="777"/>
      <c r="BF50" s="777"/>
      <c r="BG50" s="777"/>
      <c r="BH50" s="777"/>
      <c r="BI50" s="777"/>
      <c r="BJ50" s="777"/>
      <c r="BK50" s="777"/>
      <c r="BL50" s="777"/>
      <c r="BM50" s="777"/>
      <c r="BN50" s="777"/>
      <c r="BO50" s="777"/>
      <c r="BP50" s="777"/>
      <c r="BQ50" s="777"/>
      <c r="BR50" s="777"/>
      <c r="BS50" s="777"/>
      <c r="BT50" s="777"/>
      <c r="BU50" s="884"/>
      <c r="BV50" s="777"/>
      <c r="BW50" s="885"/>
      <c r="BX50" s="885"/>
      <c r="BY50" s="885"/>
      <c r="BZ50" s="885"/>
      <c r="CA50" s="777"/>
      <c r="CB50" s="782" t="s">
        <v>29</v>
      </c>
      <c r="CC50" s="1801"/>
      <c r="CD50" s="1801"/>
      <c r="CE50" s="1801"/>
      <c r="CF50" s="1801"/>
      <c r="CG50" s="1801"/>
      <c r="CH50" s="1801"/>
      <c r="CI50" s="1801"/>
      <c r="CJ50" s="1801"/>
      <c r="CK50" s="1801"/>
      <c r="CL50" s="1801"/>
      <c r="CM50" s="1802"/>
      <c r="CN50" s="78"/>
      <c r="CO50" s="78"/>
      <c r="CP50" s="78"/>
    </row>
    <row r="51" spans="2:94" ht="40.5" customHeight="1" thickBot="1" x14ac:dyDescent="0.3">
      <c r="G51" s="998"/>
      <c r="O51" s="995"/>
      <c r="P51" s="126"/>
      <c r="Q51" s="126"/>
      <c r="R51" s="126"/>
      <c r="S51" s="126"/>
      <c r="T51" s="126"/>
      <c r="U51" s="126"/>
      <c r="AP51" s="76"/>
      <c r="AQ51" s="85"/>
      <c r="AR51" s="85"/>
      <c r="AS51" s="85"/>
      <c r="AT51" s="85"/>
      <c r="AX51" s="968">
        <v>1</v>
      </c>
      <c r="AY51" t="b">
        <f>AND(BA51&gt;=10,$AN$141&gt;=10,$AO$141&gt;=10)</f>
        <v>1</v>
      </c>
      <c r="AZ51" s="84" t="str">
        <f>IF(AY51=TRUE,"O K","OVERLOAD")</f>
        <v>O K</v>
      </c>
      <c r="BA51" s="982">
        <f>+MIN(J7:L8)</f>
        <v>89.587813009695182</v>
      </c>
      <c r="BB51" s="741" t="s">
        <v>180</v>
      </c>
      <c r="BC51" s="1809">
        <f>+((D4-D5)/D4)*C7</f>
        <v>33.702139819684611</v>
      </c>
      <c r="BD51" s="1810"/>
      <c r="BE51" s="783"/>
      <c r="BF51" s="783"/>
      <c r="BG51" s="783"/>
      <c r="BH51" s="784"/>
      <c r="BI51" s="784"/>
      <c r="BJ51" s="784"/>
      <c r="BK51" s="886"/>
      <c r="BL51" s="886"/>
      <c r="BM51" s="886"/>
      <c r="BN51" s="886"/>
      <c r="BO51" s="886"/>
      <c r="BP51" s="886"/>
      <c r="BQ51" s="886"/>
      <c r="BR51" s="886"/>
      <c r="BS51" s="886"/>
      <c r="BT51" s="886"/>
      <c r="BU51" s="887"/>
      <c r="BV51" s="783"/>
      <c r="BW51" s="783"/>
      <c r="BX51" s="783"/>
      <c r="BY51" s="784"/>
      <c r="BZ51" s="784"/>
      <c r="CA51" s="1799">
        <f>(D5/D4)*C7</f>
        <v>89.297860180315382</v>
      </c>
      <c r="CB51" s="1800"/>
      <c r="CC51" s="1803"/>
      <c r="CD51" s="1803"/>
      <c r="CE51" s="1803"/>
      <c r="CF51" s="1803"/>
      <c r="CG51" s="1803"/>
      <c r="CH51" s="1803"/>
      <c r="CI51" s="1803"/>
      <c r="CJ51" s="1803"/>
      <c r="CK51" s="1803"/>
      <c r="CL51" s="1803"/>
      <c r="CM51" s="1804"/>
      <c r="CN51" s="78"/>
      <c r="CO51" s="78"/>
      <c r="CP51" s="78"/>
    </row>
    <row r="52" spans="2:94" ht="16" customHeight="1" thickBot="1" x14ac:dyDescent="0.3">
      <c r="G52" s="998"/>
      <c r="I52" s="984">
        <v>64</v>
      </c>
      <c r="J52" s="1721" t="s">
        <v>258</v>
      </c>
      <c r="K52" s="1740"/>
      <c r="L52" s="1740"/>
      <c r="M52" s="1740"/>
      <c r="O52" s="995"/>
      <c r="P52" s="126"/>
      <c r="Q52" s="126"/>
      <c r="R52" s="126"/>
      <c r="S52" s="126"/>
      <c r="T52" s="126"/>
      <c r="U52" s="126"/>
      <c r="AP52" s="76"/>
      <c r="AQ52" s="85"/>
      <c r="AR52" s="85"/>
      <c r="AS52" s="85"/>
      <c r="AT52" s="85"/>
      <c r="AZ52" s="86"/>
      <c r="BA52" s="85"/>
      <c r="BB52" s="87"/>
      <c r="BC52" s="88"/>
      <c r="BD52" s="88"/>
      <c r="BE52" s="87"/>
      <c r="BF52" s="87"/>
      <c r="BG52" s="87"/>
      <c r="BH52" s="87"/>
      <c r="BI52" s="87"/>
      <c r="BJ52" s="87"/>
      <c r="BK52" s="87"/>
      <c r="BL52" s="87"/>
      <c r="BM52" s="87"/>
      <c r="BN52" s="87"/>
      <c r="BO52" s="87"/>
      <c r="BP52" s="87"/>
      <c r="BQ52" s="87"/>
      <c r="BR52" s="87"/>
      <c r="BS52" s="87"/>
      <c r="BT52" s="87"/>
      <c r="BV52" s="76"/>
      <c r="BW52" s="76"/>
      <c r="BX52" s="88"/>
      <c r="BY52" s="89"/>
      <c r="BZ52" s="89"/>
      <c r="CA52" s="89"/>
      <c r="CB52" s="89"/>
      <c r="CC52" s="89"/>
      <c r="CD52" s="89"/>
      <c r="CE52" s="89"/>
      <c r="CF52" s="89"/>
      <c r="CG52" s="89"/>
      <c r="CH52" s="89"/>
      <c r="CI52" s="89"/>
      <c r="CJ52" s="89"/>
      <c r="CK52" s="89"/>
      <c r="CL52" s="89"/>
      <c r="CM52" s="89"/>
      <c r="CN52" s="89"/>
      <c r="CO52" s="78"/>
      <c r="CP52" s="78"/>
    </row>
    <row r="53" spans="2:94" ht="40.5" customHeight="1" thickBot="1" x14ac:dyDescent="0.3">
      <c r="G53" s="1002" t="s">
        <v>245</v>
      </c>
      <c r="H53" s="1007" t="s">
        <v>252</v>
      </c>
      <c r="J53" s="972" t="s">
        <v>244</v>
      </c>
      <c r="K53" s="961"/>
      <c r="L53" s="972" t="s">
        <v>242</v>
      </c>
      <c r="M53" s="964"/>
      <c r="O53" s="995"/>
      <c r="P53" s="126"/>
      <c r="Q53" s="126"/>
      <c r="R53" s="126"/>
      <c r="S53" s="126"/>
      <c r="T53" s="126"/>
      <c r="U53" s="126"/>
      <c r="AP53" s="76"/>
      <c r="AQ53" s="85"/>
      <c r="AR53" s="85"/>
      <c r="AS53" s="85"/>
      <c r="AT53" s="85"/>
      <c r="AY53" s="81" t="b">
        <f>AND(BN54&gt;0,CL54&gt;0)</f>
        <v>1</v>
      </c>
      <c r="AZ53" s="952" t="str">
        <f>IF(AY53=TRUE,"","negative force at the motor")</f>
        <v/>
      </c>
      <c r="BA53" s="1095" t="s">
        <v>128</v>
      </c>
      <c r="BB53" s="742" t="s">
        <v>27</v>
      </c>
      <c r="BC53" s="1833"/>
      <c r="BD53" s="1834"/>
      <c r="BE53" s="1834"/>
      <c r="BF53" s="1834"/>
      <c r="BG53" s="1834"/>
      <c r="BH53" s="1834"/>
      <c r="BI53" s="1834"/>
      <c r="BJ53" s="1834"/>
      <c r="BK53" s="1834"/>
      <c r="BL53" s="1834"/>
      <c r="BM53" s="1834"/>
      <c r="BN53" s="772" t="s">
        <v>28</v>
      </c>
      <c r="BO53" s="774"/>
      <c r="BP53" s="774"/>
      <c r="BQ53" s="774"/>
      <c r="BR53" s="774"/>
      <c r="BS53" s="774"/>
      <c r="BT53" s="774"/>
      <c r="BU53" s="774"/>
      <c r="BV53" s="774"/>
      <c r="BW53" s="774"/>
      <c r="BX53" s="774"/>
      <c r="BY53" s="774"/>
      <c r="BZ53" s="888"/>
      <c r="CA53" s="765"/>
      <c r="CB53" s="765"/>
      <c r="CC53" s="765"/>
      <c r="CD53" s="765"/>
      <c r="CE53" s="889"/>
      <c r="CF53" s="889"/>
      <c r="CG53" s="888"/>
      <c r="CH53" s="888"/>
      <c r="CI53" s="888"/>
      <c r="CJ53" s="888"/>
      <c r="CK53" s="888"/>
      <c r="CL53" s="765"/>
      <c r="CM53" s="766" t="s">
        <v>29</v>
      </c>
      <c r="CN53" s="90"/>
      <c r="CO53" s="78"/>
      <c r="CP53" s="78"/>
    </row>
    <row r="54" spans="2:94" ht="40.5" customHeight="1" thickBot="1" x14ac:dyDescent="0.3">
      <c r="G54" s="994" t="s">
        <v>243</v>
      </c>
      <c r="H54" s="956"/>
      <c r="J54" s="1024">
        <f>+((H6-D3)/H6)*BC49</f>
        <v>60.182392535151074</v>
      </c>
      <c r="K54" s="1024"/>
      <c r="L54" s="1024">
        <f>+(D3/H6)*BC49</f>
        <v>62.817607464848919</v>
      </c>
      <c r="M54" s="961" t="s">
        <v>223</v>
      </c>
      <c r="O54" s="995"/>
      <c r="AA54" s="306"/>
      <c r="AP54" s="76"/>
      <c r="AX54" s="968">
        <v>2</v>
      </c>
      <c r="AY54" t="b">
        <f>AND(BA54&gt;=10,$AN$141&gt;=10,$AO$141&gt;=10)</f>
        <v>1</v>
      </c>
      <c r="AZ54" s="84" t="str">
        <f>IF(AY54=TRUE,"O K","OVERLOAD")</f>
        <v>O K</v>
      </c>
      <c r="BA54" s="982">
        <f>+MIN(J13:L14)</f>
        <v>91.093202880566409</v>
      </c>
      <c r="BB54" s="743" t="s">
        <v>126</v>
      </c>
      <c r="BC54" s="1835"/>
      <c r="BD54" s="1836"/>
      <c r="BE54" s="1836"/>
      <c r="BF54" s="1836"/>
      <c r="BG54" s="1836"/>
      <c r="BH54" s="1836"/>
      <c r="BI54" s="1836"/>
      <c r="BJ54" s="1836"/>
      <c r="BK54" s="1836"/>
      <c r="BL54" s="1836"/>
      <c r="BM54" s="1836"/>
      <c r="BN54" s="1840">
        <f>((D4-D3)/D4)*C7</f>
        <v>87.822139819684608</v>
      </c>
      <c r="BO54" s="1841"/>
      <c r="BP54" s="890"/>
      <c r="BQ54" s="890"/>
      <c r="BR54" s="890"/>
      <c r="BS54" s="890"/>
      <c r="BT54" s="890"/>
      <c r="BU54" s="890"/>
      <c r="BV54" s="890"/>
      <c r="BW54" s="890"/>
      <c r="BX54" s="890"/>
      <c r="BY54" s="890"/>
      <c r="BZ54" s="891"/>
      <c r="CA54" s="892"/>
      <c r="CB54" s="892"/>
      <c r="CC54" s="892"/>
      <c r="CD54" s="892"/>
      <c r="CE54" s="893"/>
      <c r="CF54" s="893"/>
      <c r="CG54" s="883"/>
      <c r="CH54" s="883"/>
      <c r="CI54" s="883"/>
      <c r="CJ54" s="883"/>
      <c r="CK54" s="883"/>
      <c r="CL54" s="1797">
        <f>+(D3/D4)*C7</f>
        <v>35.177860180315399</v>
      </c>
      <c r="CM54" s="1798"/>
      <c r="CN54" s="92"/>
      <c r="CO54" s="78"/>
      <c r="CP54" s="78"/>
    </row>
    <row r="55" spans="2:94" ht="15" customHeight="1" thickBot="1" x14ac:dyDescent="0.3">
      <c r="G55" s="1000"/>
      <c r="H55" s="63"/>
      <c r="J55" s="1025">
        <f>ABS($H$1/J54)</f>
        <v>299.09080117555374</v>
      </c>
      <c r="K55" s="1025"/>
      <c r="L55" s="1025">
        <f>ABS($H$1/L54)</f>
        <v>286.54386447418148</v>
      </c>
      <c r="M55" s="967" t="s">
        <v>222</v>
      </c>
      <c r="O55" s="995"/>
      <c r="Y55" s="322"/>
      <c r="Z55" s="1839"/>
      <c r="AA55" s="1839"/>
      <c r="AP55" s="76"/>
      <c r="AZ55" s="86"/>
      <c r="BA55" s="18"/>
      <c r="BB55" s="93"/>
      <c r="BC55" s="93"/>
      <c r="BD55" s="93"/>
      <c r="BE55" s="93"/>
      <c r="BF55" s="93"/>
      <c r="BG55" s="93"/>
      <c r="BH55" s="93"/>
      <c r="BI55" s="93"/>
      <c r="BJ55" s="93"/>
      <c r="BK55" s="94"/>
      <c r="BL55" s="94"/>
      <c r="BM55" s="89"/>
      <c r="BN55" s="89"/>
      <c r="BO55" s="89"/>
      <c r="BP55" s="89"/>
      <c r="BQ55" s="89"/>
      <c r="BR55" s="89"/>
      <c r="BS55" s="89"/>
      <c r="BT55" s="89"/>
      <c r="BU55" s="89"/>
      <c r="BV55" s="89"/>
      <c r="BW55" s="89"/>
      <c r="BX55" s="89"/>
      <c r="BY55" s="89"/>
      <c r="BZ55" s="37"/>
      <c r="CA55" s="95"/>
      <c r="CB55" s="95"/>
      <c r="CC55" s="95"/>
      <c r="CD55" s="95"/>
      <c r="CE55" s="92"/>
      <c r="CF55" s="92"/>
      <c r="CG55" s="92"/>
      <c r="CH55" s="92"/>
      <c r="CI55" s="92"/>
      <c r="CJ55" s="92"/>
      <c r="CK55" s="92"/>
      <c r="CL55" s="92"/>
      <c r="CM55" s="92"/>
      <c r="CN55" s="92"/>
      <c r="CO55" s="78"/>
      <c r="CP55" s="78"/>
    </row>
    <row r="56" spans="2:94" ht="40.5" customHeight="1" thickBot="1" x14ac:dyDescent="0.25">
      <c r="G56" s="1000"/>
      <c r="H56" s="63"/>
      <c r="I56" s="74"/>
      <c r="J56" s="1731">
        <f>ABS($D$16/BC49)*2</f>
        <v>130.08130081300814</v>
      </c>
      <c r="K56" s="1731"/>
      <c r="L56" s="1731"/>
      <c r="M56" s="1734" t="s">
        <v>350</v>
      </c>
      <c r="N56" s="1730" t="s">
        <v>352</v>
      </c>
      <c r="O56" s="995"/>
      <c r="P56" s="311"/>
      <c r="Q56" s="311"/>
      <c r="R56" s="311"/>
      <c r="S56" s="311"/>
      <c r="T56" s="311"/>
      <c r="U56" s="311"/>
      <c r="V56" s="311"/>
      <c r="W56" s="311"/>
      <c r="X56" s="311"/>
      <c r="Y56" s="323"/>
      <c r="Z56" s="323"/>
      <c r="AA56" s="324"/>
      <c r="AP56" s="76"/>
      <c r="AY56" s="81" t="b">
        <f>AND(BN57&gt;0,CC57&gt;0)</f>
        <v>1</v>
      </c>
      <c r="AZ56" s="952" t="str">
        <f>IF(AY56=TRUE,"","negative force at the motor")</f>
        <v/>
      </c>
      <c r="BA56" s="1095" t="s">
        <v>128</v>
      </c>
      <c r="BB56" s="744" t="s">
        <v>27</v>
      </c>
      <c r="BC56" s="1822"/>
      <c r="BD56" s="1823"/>
      <c r="BE56" s="1823"/>
      <c r="BF56" s="1823"/>
      <c r="BG56" s="1823"/>
      <c r="BH56" s="1823"/>
      <c r="BI56" s="1823"/>
      <c r="BJ56" s="1823"/>
      <c r="BK56" s="1823"/>
      <c r="BL56" s="1823"/>
      <c r="BM56" s="1823"/>
      <c r="BN56" s="894" t="s">
        <v>28</v>
      </c>
      <c r="BO56" s="895"/>
      <c r="BP56" s="895"/>
      <c r="BQ56" s="895"/>
      <c r="BR56" s="895"/>
      <c r="BS56" s="895"/>
      <c r="BT56" s="895"/>
      <c r="BU56" s="896"/>
      <c r="BV56" s="895"/>
      <c r="BW56" s="897"/>
      <c r="BX56" s="897"/>
      <c r="BY56" s="895"/>
      <c r="BZ56" s="895"/>
      <c r="CA56" s="895"/>
      <c r="CB56" s="895"/>
      <c r="CC56" s="895"/>
      <c r="CD56" s="898" t="s">
        <v>29</v>
      </c>
      <c r="CE56" s="1823"/>
      <c r="CF56" s="1823"/>
      <c r="CG56" s="1823"/>
      <c r="CH56" s="1823"/>
      <c r="CI56" s="1823"/>
      <c r="CJ56" s="1823"/>
      <c r="CK56" s="1823"/>
      <c r="CL56" s="1823"/>
      <c r="CM56" s="1826"/>
      <c r="CN56" s="89"/>
      <c r="CO56" s="78"/>
      <c r="CP56" s="78"/>
    </row>
    <row r="57" spans="2:94" ht="40.5" customHeight="1" thickBot="1" x14ac:dyDescent="0.3">
      <c r="G57" s="998"/>
      <c r="O57" s="995"/>
      <c r="AP57" s="76"/>
      <c r="AX57" s="968">
        <v>3</v>
      </c>
      <c r="AY57" t="b">
        <f>AND(BA57&gt;=10,$AN$141&gt;=10,$AO$141&gt;=10)</f>
        <v>1</v>
      </c>
      <c r="AZ57" s="84" t="str">
        <f>IF(AY57=TRUE,"O K","OVERLOAD")</f>
        <v>O K</v>
      </c>
      <c r="BA57" s="983">
        <f>+$D$16/(MAX(BN57,CC57))</f>
        <v>117.58723896443283</v>
      </c>
      <c r="BB57" s="745" t="s">
        <v>123</v>
      </c>
      <c r="BC57" s="1824"/>
      <c r="BD57" s="1825"/>
      <c r="BE57" s="1825"/>
      <c r="BF57" s="1825"/>
      <c r="BG57" s="1825"/>
      <c r="BH57" s="1825"/>
      <c r="BI57" s="1825"/>
      <c r="BJ57" s="1825"/>
      <c r="BK57" s="1825"/>
      <c r="BL57" s="1825"/>
      <c r="BM57" s="1825"/>
      <c r="BN57" s="1807">
        <f>+((D2-D3)/D2)*C7</f>
        <v>68.034593468257199</v>
      </c>
      <c r="BO57" s="1808"/>
      <c r="BP57" s="899"/>
      <c r="BQ57" s="899"/>
      <c r="BR57" s="899"/>
      <c r="BS57" s="899"/>
      <c r="BT57" s="899"/>
      <c r="BU57" s="900"/>
      <c r="BV57" s="899"/>
      <c r="BW57" s="901"/>
      <c r="BX57" s="901"/>
      <c r="BY57" s="902"/>
      <c r="BZ57" s="902"/>
      <c r="CA57" s="902"/>
      <c r="CB57" s="902"/>
      <c r="CC57" s="1795">
        <f>+(D3/D2)*C7</f>
        <v>54.965406531742808</v>
      </c>
      <c r="CD57" s="1796"/>
      <c r="CE57" s="1825"/>
      <c r="CF57" s="1825"/>
      <c r="CG57" s="1825"/>
      <c r="CH57" s="1825"/>
      <c r="CI57" s="1825"/>
      <c r="CJ57" s="1825"/>
      <c r="CK57" s="1825"/>
      <c r="CL57" s="1825"/>
      <c r="CM57" s="1827"/>
      <c r="CN57" s="89"/>
      <c r="CO57" s="78"/>
      <c r="CP57" s="78"/>
    </row>
    <row r="58" spans="2:94" ht="23" hidden="1" x14ac:dyDescent="0.25">
      <c r="G58" s="998"/>
      <c r="O58" s="995"/>
      <c r="AP58" s="76"/>
      <c r="AZ58" s="86"/>
      <c r="BA58" s="18"/>
      <c r="BB58" s="93"/>
      <c r="BC58" s="93"/>
      <c r="BD58" s="93"/>
      <c r="BE58" s="93"/>
      <c r="BF58" s="93"/>
      <c r="BG58" s="93"/>
      <c r="BH58" s="93"/>
      <c r="BI58" s="93"/>
      <c r="BJ58" s="93"/>
      <c r="BK58" s="94"/>
      <c r="BL58" s="94"/>
      <c r="BM58" s="89"/>
      <c r="BN58" s="89"/>
      <c r="BO58" s="89"/>
      <c r="BP58" s="89"/>
      <c r="BQ58" s="89"/>
      <c r="BR58" s="89"/>
      <c r="BS58" s="89"/>
      <c r="BT58" s="89"/>
      <c r="BU58" s="89"/>
      <c r="BV58" s="89"/>
      <c r="BW58" s="93"/>
      <c r="BX58" s="89"/>
      <c r="BY58" s="89"/>
      <c r="BZ58" s="37"/>
      <c r="CA58" s="95"/>
      <c r="CB58" s="95"/>
      <c r="CC58" s="95"/>
      <c r="CD58" s="95"/>
      <c r="CE58" s="92"/>
      <c r="CF58" s="92"/>
      <c r="CG58" s="92"/>
      <c r="CH58" s="92"/>
      <c r="CI58" s="92"/>
      <c r="CJ58" s="92"/>
      <c r="CK58" s="92"/>
      <c r="CL58" s="92"/>
      <c r="CM58" s="92"/>
      <c r="CN58" s="92"/>
      <c r="CO58" s="78"/>
      <c r="CP58" s="78"/>
    </row>
    <row r="59" spans="2:94" ht="16" hidden="1" customHeight="1" x14ac:dyDescent="0.2">
      <c r="B59" s="330"/>
      <c r="C59" s="126"/>
      <c r="D59" s="126"/>
      <c r="E59" s="325"/>
      <c r="G59" s="998"/>
      <c r="O59" s="995"/>
      <c r="AP59" s="59"/>
      <c r="AQ59" s="136"/>
      <c r="AR59" s="136"/>
      <c r="AS59" s="136"/>
      <c r="AT59" s="136"/>
      <c r="AZ59" s="86"/>
    </row>
    <row r="60" spans="2:94" ht="20" hidden="1" x14ac:dyDescent="0.2">
      <c r="B60" s="330"/>
      <c r="C60" s="126"/>
      <c r="D60" s="126"/>
      <c r="E60" s="325"/>
      <c r="G60" s="998"/>
      <c r="O60" s="995"/>
      <c r="AP60" s="59"/>
      <c r="AQ60" s="136"/>
      <c r="AR60" s="136"/>
      <c r="AS60" s="136"/>
      <c r="AT60" s="136"/>
      <c r="AZ60" s="86"/>
    </row>
    <row r="61" spans="2:94" ht="23" hidden="1" x14ac:dyDescent="0.25">
      <c r="G61" s="998"/>
      <c r="O61" s="995"/>
      <c r="AZ61" s="86"/>
      <c r="BA61" s="17"/>
      <c r="BB61" s="177"/>
      <c r="BC61" s="178"/>
      <c r="BD61" s="178"/>
      <c r="BE61" s="178"/>
      <c r="BF61" s="178"/>
      <c r="BG61" s="178"/>
      <c r="BH61" s="178"/>
      <c r="BI61" s="178"/>
      <c r="BJ61" s="178"/>
      <c r="BK61" s="179"/>
      <c r="BL61" s="179"/>
      <c r="BM61" s="180"/>
      <c r="BN61" s="180"/>
      <c r="BO61" s="180"/>
      <c r="BP61" s="180"/>
      <c r="BQ61" s="180"/>
      <c r="BR61" s="180"/>
      <c r="BS61" s="180"/>
      <c r="BT61" s="180"/>
      <c r="BU61" s="37"/>
      <c r="BV61" s="89"/>
      <c r="BW61" s="181"/>
      <c r="BX61" s="181"/>
      <c r="BY61" s="89"/>
      <c r="BZ61" s="89"/>
      <c r="CA61" s="89"/>
      <c r="CB61" s="89"/>
      <c r="CC61" s="89"/>
      <c r="CD61" s="89"/>
      <c r="CE61" s="89"/>
      <c r="CF61" s="89"/>
      <c r="CG61" s="89"/>
      <c r="CH61" s="89"/>
      <c r="CI61" s="178"/>
      <c r="CJ61" s="178"/>
      <c r="CK61" s="178"/>
      <c r="CL61" s="178"/>
      <c r="CM61" s="178"/>
      <c r="CN61" s="178"/>
      <c r="CO61" s="178"/>
      <c r="CP61" s="178"/>
    </row>
    <row r="62" spans="2:94" ht="24" hidden="1" thickBot="1" x14ac:dyDescent="0.3">
      <c r="G62" s="998"/>
      <c r="O62" s="995"/>
      <c r="AZ62" s="86"/>
      <c r="BA62" s="17"/>
      <c r="BB62" s="177"/>
      <c r="BC62" s="178"/>
      <c r="BD62" s="178"/>
      <c r="BE62" s="178"/>
      <c r="BF62" s="178"/>
      <c r="BG62" s="178"/>
      <c r="BH62" s="178"/>
      <c r="BI62" s="178"/>
      <c r="BJ62" s="178"/>
      <c r="BK62" s="179"/>
      <c r="BL62" s="179"/>
      <c r="BM62" s="180"/>
      <c r="BN62" s="180"/>
      <c r="BO62" s="180"/>
      <c r="BP62" s="180"/>
      <c r="BQ62" s="180"/>
      <c r="BR62" s="180"/>
      <c r="BS62" s="180"/>
      <c r="BT62" s="180"/>
      <c r="BU62" s="37"/>
      <c r="BV62" s="89"/>
      <c r="BW62" s="181"/>
      <c r="BX62" s="181"/>
      <c r="BY62" s="89"/>
      <c r="BZ62" s="89"/>
      <c r="CA62" s="89"/>
      <c r="CB62" s="89"/>
      <c r="CC62" s="89"/>
      <c r="CD62" s="89"/>
      <c r="CE62" s="89"/>
      <c r="CF62" s="89"/>
      <c r="CG62" s="89"/>
      <c r="CH62" s="89"/>
      <c r="CI62" s="178"/>
      <c r="CJ62" s="178"/>
      <c r="CK62" s="178"/>
      <c r="CL62" s="178"/>
      <c r="CM62" s="178"/>
      <c r="CN62" s="178"/>
      <c r="CO62" s="178"/>
      <c r="CP62" s="178"/>
    </row>
    <row r="63" spans="2:94" ht="24" hidden="1" thickBot="1" x14ac:dyDescent="0.3">
      <c r="G63" s="998"/>
      <c r="O63" s="995"/>
      <c r="AZ63" s="86"/>
      <c r="BA63" s="17"/>
      <c r="BB63" s="177"/>
      <c r="BC63" s="178"/>
      <c r="BD63" s="178"/>
      <c r="BE63" s="178"/>
      <c r="BF63" s="178"/>
      <c r="BG63" s="178"/>
      <c r="BH63" s="178"/>
      <c r="BI63" s="178"/>
      <c r="BJ63" s="178"/>
      <c r="BK63" s="179"/>
      <c r="BL63" s="179"/>
      <c r="BM63" s="182">
        <v>16</v>
      </c>
      <c r="BN63" s="180"/>
      <c r="BO63" s="180"/>
      <c r="BP63" s="180"/>
      <c r="BQ63" s="180"/>
      <c r="BR63" s="180"/>
      <c r="BS63" s="180"/>
      <c r="BT63" s="180"/>
      <c r="BU63" s="37"/>
      <c r="BV63" s="89"/>
      <c r="BW63" s="181"/>
      <c r="BX63" s="181"/>
      <c r="BY63" s="89"/>
      <c r="BZ63" s="89"/>
      <c r="CA63" s="89"/>
      <c r="CB63" s="117" t="b">
        <f>IF(CC81=27,15)</f>
        <v>0</v>
      </c>
      <c r="CC63" s="183"/>
      <c r="CD63" s="103" t="b">
        <f>IF(CC81=27,17)</f>
        <v>0</v>
      </c>
      <c r="CE63" s="89"/>
      <c r="CF63" s="89"/>
      <c r="CG63" s="89"/>
      <c r="CH63" s="89"/>
      <c r="CI63" s="178"/>
      <c r="CJ63" s="178"/>
      <c r="CK63" s="178"/>
      <c r="CL63" s="178"/>
      <c r="CM63" s="178"/>
      <c r="CN63" s="178"/>
      <c r="CO63" s="178"/>
      <c r="CP63" s="178"/>
    </row>
    <row r="64" spans="2:94" ht="24" hidden="1" thickBot="1" x14ac:dyDescent="0.3">
      <c r="G64" s="998"/>
      <c r="O64" s="995"/>
      <c r="AZ64" s="86"/>
      <c r="BA64" s="17"/>
      <c r="BB64" s="177"/>
      <c r="BC64" s="178"/>
      <c r="BD64" s="178"/>
      <c r="BE64" s="178"/>
      <c r="BF64" s="178"/>
      <c r="BG64" s="178"/>
      <c r="BH64" s="178"/>
      <c r="BI64" s="178"/>
      <c r="BJ64" s="178"/>
      <c r="BK64" s="179"/>
      <c r="BL64" s="179"/>
      <c r="BM64" s="182">
        <v>15</v>
      </c>
      <c r="BN64" s="180"/>
      <c r="BO64" s="180"/>
      <c r="BP64" s="180"/>
      <c r="BQ64" s="180"/>
      <c r="BR64" s="180"/>
      <c r="BS64" s="180"/>
      <c r="BT64" s="180"/>
      <c r="BU64" s="37"/>
      <c r="BV64" s="89"/>
      <c r="BW64" s="181"/>
      <c r="BX64" s="181"/>
      <c r="BY64" s="89"/>
      <c r="BZ64" s="117" t="b">
        <f>IF(CB81=26,13)</f>
        <v>0</v>
      </c>
      <c r="CA64" s="183"/>
      <c r="CB64" s="183"/>
      <c r="CC64" s="183"/>
      <c r="CD64" s="103" t="b">
        <f>IF(CB81=26,17)</f>
        <v>0</v>
      </c>
      <c r="CE64" s="89"/>
      <c r="CF64" s="89"/>
      <c r="CG64" s="89"/>
      <c r="CH64" s="89"/>
      <c r="CI64" s="178"/>
      <c r="CJ64" s="178"/>
      <c r="CK64" s="178"/>
      <c r="CL64" s="178"/>
      <c r="CM64" s="178"/>
      <c r="CN64" s="178"/>
      <c r="CO64" s="178"/>
      <c r="CP64" s="178"/>
    </row>
    <row r="65" spans="7:100" ht="24" hidden="1" customHeight="1" thickBot="1" x14ac:dyDescent="0.3">
      <c r="G65" s="998"/>
      <c r="O65" s="995"/>
      <c r="AZ65" s="86"/>
      <c r="BA65" s="17"/>
      <c r="BB65" s="177"/>
      <c r="BC65" s="178"/>
      <c r="BD65" s="178"/>
      <c r="BE65" s="178"/>
      <c r="BF65" s="178"/>
      <c r="BG65" s="178"/>
      <c r="BH65" s="178"/>
      <c r="BI65" s="178"/>
      <c r="BJ65" s="178"/>
      <c r="BK65" s="179"/>
      <c r="BL65" s="179"/>
      <c r="BM65" s="182">
        <v>14</v>
      </c>
      <c r="BN65" s="180"/>
      <c r="BO65" s="180"/>
      <c r="BP65" s="180"/>
      <c r="BQ65" s="180"/>
      <c r="BR65" s="180"/>
      <c r="BS65" s="180"/>
      <c r="BT65" s="180"/>
      <c r="BU65" s="37"/>
      <c r="BV65" s="89"/>
      <c r="BW65" s="181"/>
      <c r="BX65" s="117" t="b">
        <f>IF(CA81=25,11)</f>
        <v>0</v>
      </c>
      <c r="BY65" s="183"/>
      <c r="BZ65" s="184"/>
      <c r="CA65" s="184"/>
      <c r="CB65" s="184"/>
      <c r="CC65" s="184"/>
      <c r="CD65" s="124" t="b">
        <f>IF(CA81=25,17)</f>
        <v>0</v>
      </c>
      <c r="CE65" s="89"/>
      <c r="CF65" s="89"/>
      <c r="CG65" s="89"/>
      <c r="CH65" s="89"/>
      <c r="CI65" s="178"/>
      <c r="CJ65" s="178"/>
      <c r="CK65" s="178"/>
      <c r="CL65" s="178"/>
      <c r="CM65" s="178"/>
      <c r="CN65" s="178"/>
      <c r="CO65" s="178"/>
      <c r="CP65" s="178"/>
      <c r="CQ65" s="136"/>
      <c r="CR65" s="136"/>
      <c r="CS65" s="136"/>
      <c r="CT65" s="136"/>
      <c r="CU65" s="136"/>
      <c r="CV65" s="136"/>
    </row>
    <row r="66" spans="7:100" ht="21" hidden="1" customHeight="1" thickBot="1" x14ac:dyDescent="0.25">
      <c r="G66" s="998"/>
      <c r="O66" s="995"/>
      <c r="AZ66" s="86"/>
      <c r="BA66" s="1091"/>
      <c r="BB66" s="177"/>
      <c r="BC66" s="178"/>
      <c r="BD66" s="178"/>
      <c r="BE66" s="178"/>
      <c r="BF66" s="178"/>
      <c r="BG66" s="178"/>
      <c r="BH66" s="178"/>
      <c r="BI66" s="178"/>
      <c r="BJ66" s="178"/>
      <c r="BM66" s="182">
        <v>13</v>
      </c>
      <c r="BN66" s="178"/>
      <c r="BO66" s="177"/>
      <c r="BP66" s="177"/>
      <c r="BQ66" s="177"/>
      <c r="BR66" s="177"/>
      <c r="BS66" s="177"/>
      <c r="BT66" s="177"/>
      <c r="BU66" s="177"/>
      <c r="BV66" s="117" t="b">
        <f>IF(BZ81=24,9)</f>
        <v>0</v>
      </c>
      <c r="BW66" s="185"/>
      <c r="BX66" s="186"/>
      <c r="BY66" s="122"/>
      <c r="BZ66" s="186"/>
      <c r="CA66" s="122"/>
      <c r="CB66" s="122"/>
      <c r="CC66" s="121"/>
      <c r="CD66" s="124" t="b">
        <f>IF(BZ81=24,17)</f>
        <v>0</v>
      </c>
      <c r="CE66" s="78"/>
      <c r="CF66" s="78"/>
      <c r="CG66" s="78"/>
      <c r="CH66" s="78"/>
      <c r="CI66" s="78"/>
      <c r="CJ66" s="78"/>
      <c r="CK66" s="78"/>
      <c r="CL66" s="78"/>
      <c r="CM66" s="78"/>
      <c r="CN66" s="78"/>
      <c r="CO66" s="78"/>
      <c r="CP66" s="78"/>
      <c r="CQ66" s="136"/>
      <c r="CR66" s="136"/>
      <c r="CS66" s="136"/>
      <c r="CT66" s="136"/>
      <c r="CU66" s="136"/>
      <c r="CV66" s="136"/>
    </row>
    <row r="67" spans="7:100" ht="21" hidden="1" customHeight="1" thickBot="1" x14ac:dyDescent="0.25">
      <c r="G67" s="998"/>
      <c r="O67" s="995"/>
      <c r="AZ67" s="86"/>
      <c r="BA67" s="1091"/>
      <c r="BB67" s="177"/>
      <c r="BC67" s="177"/>
      <c r="BD67" s="178"/>
      <c r="BE67" s="177"/>
      <c r="BF67" s="177"/>
      <c r="BG67" s="177"/>
      <c r="BM67" s="182">
        <v>12</v>
      </c>
      <c r="BN67" s="178"/>
      <c r="BO67" s="177"/>
      <c r="BP67" s="177"/>
      <c r="BQ67" s="177"/>
      <c r="BR67" s="177"/>
      <c r="BS67" s="177"/>
      <c r="BT67" s="117" t="b">
        <f>IF(BY81=23,7)</f>
        <v>0</v>
      </c>
      <c r="BU67" s="185"/>
      <c r="BV67" s="185"/>
      <c r="BW67" s="118"/>
      <c r="BX67" s="185"/>
      <c r="BY67" s="185"/>
      <c r="BZ67" s="185"/>
      <c r="CA67" s="118"/>
      <c r="CB67" s="118"/>
      <c r="CC67" s="111"/>
      <c r="CD67" s="103" t="b">
        <f>IF(BY81=23,17)</f>
        <v>0</v>
      </c>
      <c r="CE67" s="78"/>
      <c r="CF67" s="78"/>
      <c r="CG67" s="78"/>
      <c r="CH67" s="78"/>
      <c r="CI67" s="78"/>
      <c r="CJ67" s="78"/>
      <c r="CK67" s="78"/>
      <c r="CL67" s="78"/>
      <c r="CM67" s="78"/>
      <c r="CN67" s="78"/>
      <c r="CO67" s="78"/>
      <c r="CP67" s="78"/>
      <c r="CQ67" s="136"/>
      <c r="CR67" s="136"/>
      <c r="CS67" s="136"/>
      <c r="CT67" s="136"/>
      <c r="CU67" s="136"/>
      <c r="CV67" s="136"/>
    </row>
    <row r="68" spans="7:100" ht="21" hidden="1" customHeight="1" thickBot="1" x14ac:dyDescent="0.25">
      <c r="G68" s="998"/>
      <c r="O68" s="995"/>
      <c r="AZ68" s="86"/>
      <c r="BA68" s="1091"/>
      <c r="BB68" s="177"/>
      <c r="BC68" s="177"/>
      <c r="BD68" s="178"/>
      <c r="BE68" s="177"/>
      <c r="BF68" s="177"/>
      <c r="BG68" s="177"/>
      <c r="BM68" s="182">
        <v>11</v>
      </c>
      <c r="BN68" s="178"/>
      <c r="BO68" s="177"/>
      <c r="BP68" s="177"/>
      <c r="BQ68" s="177"/>
      <c r="BR68" s="117" t="b">
        <f>IF(BX81=22,5)</f>
        <v>0</v>
      </c>
      <c r="BS68" s="185"/>
      <c r="BT68" s="185"/>
      <c r="BU68" s="118"/>
      <c r="BV68" s="185"/>
      <c r="BW68" s="118"/>
      <c r="BX68" s="185"/>
      <c r="BY68" s="118"/>
      <c r="BZ68" s="185"/>
      <c r="CA68" s="118"/>
      <c r="CB68" s="118"/>
      <c r="CC68" s="111"/>
      <c r="CD68" s="103" t="b">
        <f>IF(BX81=22,17)</f>
        <v>0</v>
      </c>
      <c r="CE68" s="78"/>
      <c r="CF68" s="78"/>
      <c r="CG68" s="78"/>
      <c r="CH68" s="78"/>
      <c r="CI68" s="78"/>
      <c r="CJ68" s="78"/>
      <c r="CK68" s="78"/>
      <c r="CL68" s="78"/>
      <c r="CM68" s="78"/>
      <c r="CN68" s="78"/>
      <c r="CO68" s="78"/>
      <c r="CP68" s="78"/>
      <c r="CQ68" s="136"/>
      <c r="CR68" s="136"/>
      <c r="CS68" s="136"/>
      <c r="CT68" s="136"/>
      <c r="CU68" s="136"/>
      <c r="CV68" s="136"/>
    </row>
    <row r="69" spans="7:100" ht="21" hidden="1" thickBot="1" x14ac:dyDescent="0.25">
      <c r="G69" s="998"/>
      <c r="O69" s="995"/>
      <c r="AZ69" s="86"/>
      <c r="BA69" s="1091"/>
      <c r="BB69" s="177"/>
      <c r="BC69" s="177"/>
      <c r="BD69" s="178"/>
      <c r="BE69" s="177"/>
      <c r="BF69" s="177"/>
      <c r="BG69" s="177"/>
      <c r="BM69" s="182">
        <v>10</v>
      </c>
      <c r="BN69" s="178"/>
      <c r="BO69" s="177"/>
      <c r="BP69" s="117" t="b">
        <f>IF(BW81=21,3)</f>
        <v>0</v>
      </c>
      <c r="BQ69" s="185"/>
      <c r="BR69" s="185"/>
      <c r="BS69" s="118"/>
      <c r="BT69" s="118"/>
      <c r="BU69" s="118"/>
      <c r="BV69" s="185"/>
      <c r="BW69" s="185"/>
      <c r="BX69" s="185"/>
      <c r="BY69" s="118"/>
      <c r="BZ69" s="185"/>
      <c r="CA69" s="118"/>
      <c r="CB69" s="118"/>
      <c r="CC69" s="111"/>
      <c r="CD69" s="103" t="b">
        <f>IF(BW81=21,17)</f>
        <v>0</v>
      </c>
      <c r="CE69" s="78"/>
      <c r="CF69" s="78"/>
      <c r="CG69" s="78"/>
      <c r="CH69" s="78"/>
      <c r="CI69" s="78"/>
      <c r="CJ69" s="78"/>
      <c r="CK69" s="78"/>
      <c r="CL69" s="78"/>
      <c r="CM69" s="78"/>
      <c r="CN69" s="78"/>
      <c r="CO69" s="78"/>
      <c r="CP69" s="78"/>
      <c r="CQ69" s="136"/>
      <c r="CR69" s="136"/>
      <c r="CS69" s="136"/>
      <c r="CT69" s="136"/>
      <c r="CU69" s="136"/>
      <c r="CV69" s="136"/>
    </row>
    <row r="70" spans="7:100" ht="21" hidden="1" thickBot="1" x14ac:dyDescent="0.25">
      <c r="G70" s="998"/>
      <c r="O70" s="995"/>
      <c r="AZ70" s="86"/>
      <c r="BA70" s="1091"/>
      <c r="BB70" s="177"/>
      <c r="BC70" s="177"/>
      <c r="BD70" s="178"/>
      <c r="BE70" s="177"/>
      <c r="BF70" s="177"/>
      <c r="BG70" s="177"/>
      <c r="BM70" s="182">
        <v>9</v>
      </c>
      <c r="BN70" s="117" t="b">
        <f>IF(BV81=20,1)</f>
        <v>0</v>
      </c>
      <c r="BO70" s="185"/>
      <c r="BP70" s="185"/>
      <c r="BQ70" s="118"/>
      <c r="BR70" s="185"/>
      <c r="BS70" s="185"/>
      <c r="BT70" s="185"/>
      <c r="BU70" s="185"/>
      <c r="BV70" s="185"/>
      <c r="BW70" s="185"/>
      <c r="BX70" s="185"/>
      <c r="BY70" s="185"/>
      <c r="BZ70" s="185"/>
      <c r="CA70" s="118"/>
      <c r="CB70" s="118"/>
      <c r="CC70" s="111"/>
      <c r="CD70" s="103" t="b">
        <f>IF(BV81=20,17)</f>
        <v>0</v>
      </c>
      <c r="CE70" s="78"/>
      <c r="CF70" s="78"/>
      <c r="CG70" s="78"/>
      <c r="CH70" s="78"/>
      <c r="CI70" s="78"/>
      <c r="CJ70" s="78"/>
      <c r="CK70" s="78"/>
      <c r="CL70" s="78"/>
      <c r="CM70" s="78"/>
      <c r="CN70" s="78"/>
      <c r="CO70" s="78"/>
      <c r="CP70" s="78"/>
      <c r="CQ70" s="136"/>
      <c r="CR70" s="136"/>
      <c r="CS70" s="136"/>
      <c r="CT70" s="136"/>
      <c r="CU70" s="136"/>
      <c r="CV70" s="136"/>
    </row>
    <row r="71" spans="7:100" ht="21" hidden="1" thickBot="1" x14ac:dyDescent="0.25">
      <c r="G71" s="998"/>
      <c r="O71" s="995"/>
      <c r="AZ71" s="86"/>
      <c r="BA71" s="1091"/>
      <c r="BB71" s="177"/>
      <c r="BC71" s="177"/>
      <c r="BD71" s="178"/>
      <c r="BE71" s="177"/>
      <c r="BF71" s="177"/>
      <c r="BG71" s="177"/>
      <c r="BM71" s="182">
        <v>8</v>
      </c>
      <c r="BN71" s="120">
        <f>IF(BU81=19,1)</f>
        <v>1</v>
      </c>
      <c r="BO71" s="122"/>
      <c r="BP71" s="186"/>
      <c r="BQ71" s="186"/>
      <c r="BR71" s="186"/>
      <c r="BS71" s="186"/>
      <c r="BT71" s="186"/>
      <c r="BU71" s="186"/>
      <c r="BV71" s="186"/>
      <c r="BW71" s="186"/>
      <c r="BX71" s="186"/>
      <c r="BY71" s="186"/>
      <c r="BZ71" s="186"/>
      <c r="CA71" s="122"/>
      <c r="CB71" s="124">
        <f>IF(BU81=19,15)</f>
        <v>15</v>
      </c>
      <c r="CC71" s="78"/>
      <c r="CD71" s="78"/>
      <c r="CE71" s="78"/>
      <c r="CF71" s="78"/>
      <c r="CG71" s="78"/>
      <c r="CH71" s="78"/>
      <c r="CI71" s="78"/>
      <c r="CJ71" s="78"/>
      <c r="CK71" s="78"/>
      <c r="CL71" s="78"/>
      <c r="CM71" s="78"/>
      <c r="CN71" s="78"/>
      <c r="CO71" s="78"/>
      <c r="CP71" s="78"/>
      <c r="CQ71" s="136"/>
      <c r="CR71" s="136"/>
      <c r="CS71" s="136"/>
      <c r="CT71" s="136"/>
      <c r="CU71" s="136"/>
      <c r="CV71" s="136"/>
    </row>
    <row r="72" spans="7:100" ht="21" hidden="1" thickBot="1" x14ac:dyDescent="0.25">
      <c r="G72" s="998"/>
      <c r="O72" s="995"/>
      <c r="AZ72" s="86"/>
      <c r="BA72" s="1091"/>
      <c r="BB72" s="177"/>
      <c r="BC72" s="177"/>
      <c r="BD72" s="178"/>
      <c r="BE72" s="177"/>
      <c r="BF72" s="177"/>
      <c r="BG72" s="177"/>
      <c r="BM72" s="182">
        <v>7</v>
      </c>
      <c r="BN72" s="120" t="b">
        <f>IF(BT81=18,1)</f>
        <v>0</v>
      </c>
      <c r="BO72" s="186"/>
      <c r="BP72" s="186"/>
      <c r="BQ72" s="186"/>
      <c r="BR72" s="186"/>
      <c r="BS72" s="186"/>
      <c r="BT72" s="186"/>
      <c r="BU72" s="186"/>
      <c r="BV72" s="186"/>
      <c r="BW72" s="186"/>
      <c r="BX72" s="186"/>
      <c r="BY72" s="186"/>
      <c r="BZ72" s="124" t="b">
        <f>IF(BT81=18,13)</f>
        <v>0</v>
      </c>
      <c r="CA72" s="178"/>
      <c r="CC72" s="78"/>
      <c r="CD72" s="78"/>
      <c r="CE72" s="78"/>
      <c r="CF72" s="78"/>
      <c r="CG72" s="78"/>
      <c r="CH72" s="78"/>
      <c r="CI72" s="78"/>
      <c r="CJ72" s="78"/>
      <c r="CK72" s="78"/>
      <c r="CL72" s="78"/>
      <c r="CM72" s="78"/>
      <c r="CN72" s="78"/>
      <c r="CO72" s="78"/>
      <c r="CP72" s="78"/>
      <c r="CQ72" s="136"/>
      <c r="CR72" s="136"/>
      <c r="CS72" s="136"/>
      <c r="CT72" s="136"/>
      <c r="CU72" s="136"/>
      <c r="CV72" s="136"/>
    </row>
    <row r="73" spans="7:100" ht="21" hidden="1" thickBot="1" x14ac:dyDescent="0.25">
      <c r="G73" s="998"/>
      <c r="O73" s="995"/>
      <c r="AZ73" s="86"/>
      <c r="BA73" s="1091"/>
      <c r="BB73" s="177"/>
      <c r="BC73" s="177"/>
      <c r="BD73" s="178"/>
      <c r="BE73" s="177"/>
      <c r="BF73" s="177"/>
      <c r="BG73" s="177"/>
      <c r="BM73" s="182">
        <v>6</v>
      </c>
      <c r="BN73" s="120" t="b">
        <f>IF(BS81=17,1)</f>
        <v>0</v>
      </c>
      <c r="BO73" s="186"/>
      <c r="BP73" s="186"/>
      <c r="BQ73" s="186"/>
      <c r="BR73" s="186"/>
      <c r="BS73" s="186"/>
      <c r="BT73" s="186"/>
      <c r="BU73" s="186"/>
      <c r="BV73" s="186"/>
      <c r="BW73" s="186"/>
      <c r="BX73" s="124" t="b">
        <f>IF(BS81=17,11)</f>
        <v>0</v>
      </c>
      <c r="BY73" s="177"/>
      <c r="BZ73" s="177"/>
      <c r="CA73" s="178"/>
      <c r="CC73" s="78"/>
      <c r="CD73" s="78"/>
      <c r="CE73" s="78"/>
      <c r="CF73" s="78"/>
      <c r="CG73" s="78"/>
      <c r="CH73" s="78"/>
      <c r="CI73" s="78"/>
      <c r="CJ73" s="78"/>
      <c r="CK73" s="78"/>
      <c r="CL73" s="78"/>
      <c r="CM73" s="78"/>
      <c r="CN73" s="78"/>
      <c r="CO73" s="78"/>
      <c r="CP73" s="78"/>
      <c r="CQ73" s="136"/>
      <c r="CR73" s="136"/>
      <c r="CS73" s="136"/>
      <c r="CT73" s="136"/>
      <c r="CU73" s="136"/>
      <c r="CV73" s="136"/>
    </row>
    <row r="74" spans="7:100" ht="21" hidden="1" thickBot="1" x14ac:dyDescent="0.25">
      <c r="G74" s="998"/>
      <c r="O74" s="995"/>
      <c r="AZ74" s="86"/>
      <c r="BA74" s="1091"/>
      <c r="BB74" s="177"/>
      <c r="BC74" s="177"/>
      <c r="BD74" s="178"/>
      <c r="BE74" s="177"/>
      <c r="BF74" s="177"/>
      <c r="BG74" s="177"/>
      <c r="BM74" s="182">
        <v>5</v>
      </c>
      <c r="BN74" s="117" t="b">
        <f>IF(BR81=16,1)</f>
        <v>0</v>
      </c>
      <c r="BO74" s="185"/>
      <c r="BP74" s="185"/>
      <c r="BQ74" s="118"/>
      <c r="BR74" s="185"/>
      <c r="BS74" s="118"/>
      <c r="BT74" s="185"/>
      <c r="BU74" s="185"/>
      <c r="BV74" s="103" t="b">
        <f>IF(BR81=16,9)</f>
        <v>0</v>
      </c>
      <c r="BW74" s="177"/>
      <c r="BX74" s="177"/>
      <c r="BY74" s="177"/>
      <c r="BZ74" s="177"/>
      <c r="CA74" s="178"/>
      <c r="CC74" s="78"/>
      <c r="CD74" s="78"/>
      <c r="CE74" s="78"/>
      <c r="CF74" s="78"/>
      <c r="CG74" s="78"/>
      <c r="CH74" s="78"/>
      <c r="CI74" s="78"/>
      <c r="CJ74" s="78"/>
      <c r="CK74" s="78"/>
      <c r="CL74" s="78"/>
      <c r="CM74" s="78"/>
      <c r="CN74" s="78"/>
      <c r="CO74" s="78"/>
      <c r="CP74" s="78"/>
      <c r="CQ74" s="136"/>
      <c r="CR74" s="136"/>
      <c r="CS74" s="136"/>
      <c r="CT74" s="136"/>
      <c r="CU74" s="136"/>
      <c r="CV74" s="136"/>
    </row>
    <row r="75" spans="7:100" ht="21" hidden="1" thickBot="1" x14ac:dyDescent="0.25">
      <c r="G75" s="998"/>
      <c r="O75" s="995"/>
      <c r="AZ75" s="86"/>
      <c r="BA75" s="1091"/>
      <c r="BB75" s="177"/>
      <c r="BC75" s="177"/>
      <c r="BD75" s="178"/>
      <c r="BE75" s="177"/>
      <c r="BF75" s="177"/>
      <c r="BG75" s="177"/>
      <c r="BM75" s="182">
        <v>4</v>
      </c>
      <c r="BN75" s="117" t="b">
        <f>IF(BQ81=15,1)</f>
        <v>0</v>
      </c>
      <c r="BO75" s="118"/>
      <c r="BP75" s="118"/>
      <c r="BQ75" s="185"/>
      <c r="BR75" s="118"/>
      <c r="BS75" s="118"/>
      <c r="BT75" s="103" t="b">
        <f>IF(BQ81=15,7)</f>
        <v>0</v>
      </c>
      <c r="BU75" s="177"/>
      <c r="BV75" s="177"/>
      <c r="BW75" s="177"/>
      <c r="BX75" s="177"/>
      <c r="BY75" s="177"/>
      <c r="BZ75" s="177"/>
      <c r="CA75" s="178"/>
      <c r="CC75" s="78"/>
      <c r="CD75" s="78"/>
      <c r="CE75" s="78"/>
      <c r="CF75" s="78"/>
      <c r="CG75" s="78"/>
      <c r="CH75" s="78"/>
      <c r="CI75" s="78"/>
      <c r="CJ75" s="78"/>
      <c r="CK75" s="78"/>
      <c r="CL75" s="78"/>
      <c r="CM75" s="78"/>
      <c r="CN75" s="78"/>
      <c r="CO75" s="78"/>
      <c r="CP75" s="78"/>
      <c r="CQ75" s="136"/>
      <c r="CR75" s="136"/>
      <c r="CS75" s="136"/>
      <c r="CT75" s="136"/>
      <c r="CU75" s="136"/>
      <c r="CV75" s="136"/>
    </row>
    <row r="76" spans="7:100" ht="21" hidden="1" thickBot="1" x14ac:dyDescent="0.25">
      <c r="G76" s="998"/>
      <c r="O76" s="995"/>
      <c r="AZ76" s="86"/>
      <c r="BA76" s="1091"/>
      <c r="BB76" s="177"/>
      <c r="BC76" s="177"/>
      <c r="BD76" s="178"/>
      <c r="BE76" s="177"/>
      <c r="BF76" s="177"/>
      <c r="BG76" s="177"/>
      <c r="BM76" s="182">
        <v>3</v>
      </c>
      <c r="BN76" s="120" t="b">
        <f>IF(BP81=14,1)</f>
        <v>0</v>
      </c>
      <c r="BO76" s="186"/>
      <c r="BP76" s="186"/>
      <c r="BQ76" s="186"/>
      <c r="BR76" s="124" t="b">
        <f>IF(BP81=14,5)</f>
        <v>0</v>
      </c>
      <c r="BS76" s="177"/>
      <c r="BT76" s="177"/>
      <c r="BU76" s="177"/>
      <c r="BV76" s="177"/>
      <c r="BW76" s="177"/>
      <c r="BX76" s="177"/>
      <c r="BY76" s="177"/>
      <c r="BZ76" s="177"/>
      <c r="CA76" s="178"/>
      <c r="CC76" s="78"/>
      <c r="CD76" s="78"/>
      <c r="CE76" s="78"/>
      <c r="CF76" s="78"/>
      <c r="CG76" s="78"/>
      <c r="CH76" s="78"/>
      <c r="CI76" s="78"/>
      <c r="CJ76" s="78"/>
      <c r="CK76" s="78"/>
      <c r="CL76" s="78"/>
      <c r="CM76" s="78"/>
      <c r="CN76" s="78"/>
      <c r="CO76" s="78"/>
      <c r="CP76" s="78"/>
      <c r="CQ76" s="136"/>
      <c r="CR76" s="136"/>
      <c r="CS76" s="136"/>
      <c r="CT76" s="136"/>
      <c r="CU76" s="136"/>
      <c r="CV76" s="136"/>
    </row>
    <row r="77" spans="7:100" ht="21" hidden="1" thickBot="1" x14ac:dyDescent="0.25">
      <c r="G77" s="998"/>
      <c r="O77" s="995"/>
      <c r="AZ77" s="86"/>
      <c r="BA77" s="1091"/>
      <c r="BB77" s="177"/>
      <c r="BC77" s="177"/>
      <c r="BD77" s="178"/>
      <c r="BE77" s="177"/>
      <c r="BF77" s="177"/>
      <c r="BG77" s="177"/>
      <c r="BM77" s="182">
        <v>2</v>
      </c>
      <c r="BN77" s="120" t="b">
        <f>IF(BO81=13,1)</f>
        <v>0</v>
      </c>
      <c r="BO77" s="186"/>
      <c r="BP77" s="124" t="b">
        <f>IF(BO81=13,3)</f>
        <v>0</v>
      </c>
      <c r="BQ77" s="177"/>
      <c r="BR77" s="177"/>
      <c r="BS77" s="177"/>
      <c r="BT77" s="177"/>
      <c r="BU77" s="177"/>
      <c r="BV77" s="177"/>
      <c r="BW77" s="177"/>
      <c r="BX77" s="177"/>
      <c r="BY77" s="177"/>
      <c r="BZ77" s="177"/>
      <c r="CA77" s="178"/>
      <c r="CC77" s="78"/>
      <c r="CD77" s="78"/>
      <c r="CE77" s="78"/>
      <c r="CF77" s="78"/>
      <c r="CG77" s="78"/>
      <c r="CH77" s="78"/>
      <c r="CI77" s="78"/>
      <c r="CJ77" s="78"/>
      <c r="CK77" s="78"/>
      <c r="CL77" s="78"/>
      <c r="CM77" s="78"/>
      <c r="CN77" s="78"/>
      <c r="CO77" s="78"/>
      <c r="CP77" s="78"/>
      <c r="CQ77" s="136"/>
      <c r="CR77" s="136"/>
      <c r="CS77" s="136"/>
      <c r="CT77" s="136"/>
      <c r="CU77" s="136"/>
      <c r="CV77" s="136"/>
    </row>
    <row r="78" spans="7:100" ht="21" thickBot="1" x14ac:dyDescent="0.25">
      <c r="G78" s="998"/>
      <c r="O78" s="995"/>
      <c r="AZ78" s="86"/>
      <c r="BA78" s="1091"/>
      <c r="BB78" s="177"/>
      <c r="BC78" s="177"/>
      <c r="BD78" s="178"/>
      <c r="BE78" s="177"/>
      <c r="BF78" s="177"/>
      <c r="BG78" s="177"/>
      <c r="BH78" s="76"/>
      <c r="BI78" s="177"/>
      <c r="BM78" s="177"/>
      <c r="BN78" s="177"/>
      <c r="BO78" s="177"/>
      <c r="BP78" s="177"/>
      <c r="BQ78" s="177"/>
      <c r="BR78" s="177"/>
      <c r="BS78" s="177"/>
      <c r="BT78" s="177"/>
      <c r="BU78" s="177"/>
      <c r="BV78" s="177"/>
      <c r="BW78" s="177"/>
      <c r="BX78" s="178"/>
      <c r="BY78" s="107"/>
      <c r="BZ78" s="107"/>
      <c r="CA78" s="107"/>
      <c r="CC78" s="78"/>
      <c r="CD78" s="78"/>
      <c r="CE78" s="78"/>
      <c r="CF78" s="78"/>
      <c r="CG78" s="78"/>
      <c r="CH78" s="78"/>
      <c r="CI78" s="78"/>
      <c r="CJ78" s="78"/>
      <c r="CK78" s="78"/>
      <c r="CL78" s="78"/>
      <c r="CM78" s="78"/>
      <c r="CN78" s="78"/>
      <c r="CO78" s="78"/>
      <c r="CP78" s="78"/>
      <c r="CQ78" s="136"/>
      <c r="CR78" s="136"/>
      <c r="CS78" s="136"/>
      <c r="CT78" s="136"/>
      <c r="CU78" s="136"/>
      <c r="CV78" s="136"/>
    </row>
    <row r="79" spans="7:100" ht="56" customHeight="1" thickBot="1" x14ac:dyDescent="0.3">
      <c r="G79" s="1008"/>
      <c r="O79" s="995"/>
      <c r="AY79" s="136"/>
      <c r="AZ79" s="188"/>
      <c r="BA79" s="1095" t="s">
        <v>128</v>
      </c>
      <c r="BB79" s="746" t="s">
        <v>125</v>
      </c>
      <c r="BC79" s="190"/>
      <c r="BD79" s="191"/>
      <c r="BE79" s="191"/>
      <c r="BF79" s="191"/>
      <c r="BG79" s="191"/>
      <c r="BH79" s="191"/>
      <c r="BI79" s="191"/>
      <c r="BJ79" s="191"/>
      <c r="BK79" s="191"/>
      <c r="BL79" s="191"/>
      <c r="BM79" s="191"/>
      <c r="BN79" s="758">
        <f>SUM(BN63:BN78)</f>
        <v>1</v>
      </c>
      <c r="BO79" s="759">
        <f t="shared" ref="BO79:CD79" si="0">SUM(BO63:BO78)</f>
        <v>0</v>
      </c>
      <c r="BP79" s="759">
        <f t="shared" si="0"/>
        <v>0</v>
      </c>
      <c r="BQ79" s="759">
        <f t="shared" si="0"/>
        <v>0</v>
      </c>
      <c r="BR79" s="759">
        <f t="shared" si="0"/>
        <v>0</v>
      </c>
      <c r="BS79" s="759">
        <f t="shared" si="0"/>
        <v>0</v>
      </c>
      <c r="BT79" s="759">
        <f t="shared" si="0"/>
        <v>0</v>
      </c>
      <c r="BU79" s="759">
        <f t="shared" si="0"/>
        <v>0</v>
      </c>
      <c r="BV79" s="759">
        <f t="shared" si="0"/>
        <v>0</v>
      </c>
      <c r="BW79" s="759">
        <f t="shared" si="0"/>
        <v>0</v>
      </c>
      <c r="BX79" s="759">
        <f t="shared" si="0"/>
        <v>0</v>
      </c>
      <c r="BY79" s="759">
        <f t="shared" si="0"/>
        <v>0</v>
      </c>
      <c r="BZ79" s="759">
        <f t="shared" si="0"/>
        <v>0</v>
      </c>
      <c r="CA79" s="759">
        <f t="shared" si="0"/>
        <v>0</v>
      </c>
      <c r="CB79" s="759">
        <f t="shared" si="0"/>
        <v>15</v>
      </c>
      <c r="CC79" s="759">
        <f t="shared" si="0"/>
        <v>0</v>
      </c>
      <c r="CD79" s="760">
        <f t="shared" si="0"/>
        <v>0</v>
      </c>
      <c r="CE79" s="191"/>
      <c r="CF79" s="191"/>
      <c r="CG79" s="192"/>
      <c r="CH79" s="192"/>
      <c r="CI79" s="192"/>
      <c r="CJ79" s="192"/>
      <c r="CK79" s="192"/>
      <c r="CL79" s="192"/>
      <c r="CM79" s="193"/>
      <c r="CN79" s="89"/>
      <c r="CO79" s="78"/>
      <c r="CP79" s="78"/>
      <c r="CQ79" s="136"/>
      <c r="CR79" s="136"/>
      <c r="CS79" s="136"/>
      <c r="CT79" s="136"/>
      <c r="CU79" s="136"/>
      <c r="CV79" s="136"/>
    </row>
    <row r="80" spans="7:100" ht="40.5" customHeight="1" thickBot="1" x14ac:dyDescent="0.3">
      <c r="G80" s="998"/>
      <c r="O80" s="995"/>
      <c r="AX80" s="968">
        <v>4</v>
      </c>
      <c r="AY80" t="b">
        <f>AND(BA80&gt;=10,$AN$141&gt;=10,$AO$141&gt;=10)</f>
        <v>1</v>
      </c>
      <c r="AZ80" s="84" t="str">
        <f>IF(AY80=TRUE,"O K","OVERLOAD")</f>
        <v>O K</v>
      </c>
      <c r="BA80" s="983">
        <f>+$D$16/(BC49/2)</f>
        <v>130.08130081300814</v>
      </c>
      <c r="BB80" s="194"/>
      <c r="BC80" s="107"/>
      <c r="BD80" s="108"/>
      <c r="BE80" s="107"/>
      <c r="BF80" s="107"/>
      <c r="BG80" s="107"/>
      <c r="BH80" s="108"/>
      <c r="BI80" s="107"/>
      <c r="BJ80" s="107"/>
      <c r="BK80" s="107"/>
      <c r="BL80" s="107"/>
      <c r="BM80" s="107"/>
      <c r="BN80" s="107"/>
      <c r="BO80" s="107"/>
      <c r="BP80" s="107"/>
      <c r="BQ80" s="107"/>
      <c r="BR80" s="107"/>
      <c r="BS80" s="107"/>
      <c r="BT80" s="107"/>
      <c r="BU80" s="107"/>
      <c r="BV80" s="107"/>
      <c r="BW80" s="107"/>
      <c r="BX80" s="107"/>
      <c r="BY80" s="107"/>
      <c r="BZ80" s="107"/>
      <c r="CA80" s="107"/>
      <c r="CB80" s="107"/>
      <c r="CC80" s="107"/>
      <c r="CD80" s="107"/>
      <c r="CE80" s="78"/>
      <c r="CF80" s="78"/>
      <c r="CG80" s="78"/>
      <c r="CH80" s="78"/>
      <c r="CI80" s="78"/>
      <c r="CJ80" s="78"/>
      <c r="CK80" s="78"/>
      <c r="CL80" s="78"/>
      <c r="CM80" s="78"/>
      <c r="CN80" s="78"/>
      <c r="CO80" s="78"/>
      <c r="CP80" s="78"/>
      <c r="CQ80" s="136"/>
      <c r="CR80" s="136"/>
      <c r="CS80" s="136"/>
      <c r="CT80" s="136"/>
      <c r="CU80" s="136"/>
      <c r="CV80" s="136"/>
    </row>
    <row r="81" spans="2:100" ht="20" hidden="1" x14ac:dyDescent="0.2">
      <c r="G81" s="998"/>
      <c r="O81" s="995"/>
      <c r="AY81" s="136"/>
      <c r="AZ81" s="188"/>
      <c r="BA81" s="1091"/>
      <c r="BB81" s="76"/>
      <c r="BC81" s="195" t="b">
        <f>+AW160</f>
        <v>0</v>
      </c>
      <c r="BD81" s="195" t="b">
        <f>+AW161</f>
        <v>0</v>
      </c>
      <c r="BE81" s="195" t="b">
        <f>+AW162</f>
        <v>0</v>
      </c>
      <c r="BF81" s="195" t="b">
        <f>+AW163</f>
        <v>0</v>
      </c>
      <c r="BG81" s="195" t="b">
        <f>+AW164</f>
        <v>0</v>
      </c>
      <c r="BH81" s="195" t="b">
        <f>+AW165</f>
        <v>0</v>
      </c>
      <c r="BI81" s="195" t="b">
        <f>+AW166</f>
        <v>0</v>
      </c>
      <c r="BJ81" s="195" t="b">
        <f>+AW167</f>
        <v>0</v>
      </c>
      <c r="BK81" s="195" t="b">
        <f>+AW168</f>
        <v>0</v>
      </c>
      <c r="BL81" s="195" t="b">
        <f>+AW169</f>
        <v>0</v>
      </c>
      <c r="BM81" s="195" t="b">
        <f>+AW170</f>
        <v>0</v>
      </c>
      <c r="BN81" s="195" t="b">
        <f>+AW171</f>
        <v>0</v>
      </c>
      <c r="BO81" s="195" t="b">
        <f>+AW172</f>
        <v>0</v>
      </c>
      <c r="BP81" s="195" t="b">
        <f>+AW173</f>
        <v>0</v>
      </c>
      <c r="BQ81" s="195" t="b">
        <f>+AW174</f>
        <v>0</v>
      </c>
      <c r="BR81" s="195" t="b">
        <f>+AW175</f>
        <v>0</v>
      </c>
      <c r="BS81" s="195" t="b">
        <f>+AW176</f>
        <v>0</v>
      </c>
      <c r="BT81" s="195" t="b">
        <f>+AW177</f>
        <v>0</v>
      </c>
      <c r="BU81" s="195">
        <f>+AW178</f>
        <v>19</v>
      </c>
      <c r="BV81" s="195" t="b">
        <f>+AW179</f>
        <v>0</v>
      </c>
      <c r="BW81" s="195" t="b">
        <f>+AW180</f>
        <v>0</v>
      </c>
      <c r="BX81" s="195" t="b">
        <f>+AW181</f>
        <v>0</v>
      </c>
      <c r="BY81" s="195" t="b">
        <f>+AW182</f>
        <v>0</v>
      </c>
      <c r="BZ81" s="195" t="b">
        <f>+AW183</f>
        <v>0</v>
      </c>
      <c r="CA81" s="195" t="b">
        <f>+AW184</f>
        <v>0</v>
      </c>
      <c r="CB81" s="195" t="b">
        <f>+AW185</f>
        <v>0</v>
      </c>
      <c r="CC81" s="195" t="b">
        <f>+AW186</f>
        <v>0</v>
      </c>
      <c r="CD81" s="195" t="b">
        <f>+AW187</f>
        <v>0</v>
      </c>
      <c r="CE81" s="195" t="b">
        <f>+AW188</f>
        <v>0</v>
      </c>
      <c r="CF81" s="195" t="b">
        <f>+AW189</f>
        <v>0</v>
      </c>
      <c r="CG81" s="195" t="b">
        <f>+AW190</f>
        <v>0</v>
      </c>
      <c r="CH81" s="195" t="b">
        <f>+AW191</f>
        <v>0</v>
      </c>
      <c r="CI81" s="195" t="b">
        <f>+AW192</f>
        <v>0</v>
      </c>
      <c r="CJ81" s="195" t="b">
        <f>+AW193</f>
        <v>0</v>
      </c>
      <c r="CK81" s="195" t="b">
        <f>+AW194</f>
        <v>0</v>
      </c>
      <c r="CL81" s="195" t="b">
        <f>+AW195</f>
        <v>0</v>
      </c>
      <c r="CM81" s="195" t="b">
        <f>+AW196</f>
        <v>0</v>
      </c>
      <c r="CN81" s="196"/>
      <c r="CO81" s="78"/>
      <c r="CP81" s="78"/>
      <c r="CQ81" s="136"/>
      <c r="CR81" s="136"/>
      <c r="CS81" s="136"/>
      <c r="CT81" s="136"/>
      <c r="CU81" s="136"/>
      <c r="CV81" s="136"/>
    </row>
    <row r="82" spans="2:100" ht="21" hidden="1" thickBot="1" x14ac:dyDescent="0.25">
      <c r="G82" s="998"/>
      <c r="O82" s="995"/>
      <c r="AY82" s="136"/>
      <c r="AZ82" s="188"/>
      <c r="BA82" s="1091"/>
      <c r="BB82" s="78"/>
      <c r="BC82" s="196" t="b">
        <f>+BC81</f>
        <v>0</v>
      </c>
      <c r="BD82" s="196" t="b">
        <f t="shared" ref="BD82:BU82" si="1">+BD81</f>
        <v>0</v>
      </c>
      <c r="BE82" s="196" t="b">
        <f t="shared" si="1"/>
        <v>0</v>
      </c>
      <c r="BF82" s="196" t="b">
        <f t="shared" si="1"/>
        <v>0</v>
      </c>
      <c r="BG82" s="196" t="b">
        <f t="shared" si="1"/>
        <v>0</v>
      </c>
      <c r="BH82" s="196" t="b">
        <f t="shared" si="1"/>
        <v>0</v>
      </c>
      <c r="BI82" s="196" t="b">
        <f>+BI81</f>
        <v>0</v>
      </c>
      <c r="BJ82" s="196" t="b">
        <f t="shared" si="1"/>
        <v>0</v>
      </c>
      <c r="BK82" s="196" t="b">
        <f t="shared" si="1"/>
        <v>0</v>
      </c>
      <c r="BL82" s="196" t="b">
        <f t="shared" si="1"/>
        <v>0</v>
      </c>
      <c r="BM82" s="196" t="b">
        <f t="shared" si="1"/>
        <v>0</v>
      </c>
      <c r="BN82" s="196" t="b">
        <f>+BN81</f>
        <v>0</v>
      </c>
      <c r="BO82" s="196" t="b">
        <f>+BO81</f>
        <v>0</v>
      </c>
      <c r="BP82" s="196" t="b">
        <f>+BP81</f>
        <v>0</v>
      </c>
      <c r="BQ82" s="196" t="b">
        <f>+BQ81</f>
        <v>0</v>
      </c>
      <c r="BR82" s="196" t="b">
        <f>+BR81</f>
        <v>0</v>
      </c>
      <c r="BS82" s="196" t="b">
        <f t="shared" si="1"/>
        <v>0</v>
      </c>
      <c r="BT82" s="196" t="b">
        <f t="shared" si="1"/>
        <v>0</v>
      </c>
      <c r="BU82" s="196">
        <f t="shared" si="1"/>
        <v>19</v>
      </c>
      <c r="BV82" s="196" t="b">
        <f>+BV81</f>
        <v>0</v>
      </c>
      <c r="BW82" s="196" t="b">
        <f>+BW81</f>
        <v>0</v>
      </c>
      <c r="BX82" s="196" t="b">
        <f t="shared" ref="BX82:CM82" si="2">+BX81</f>
        <v>0</v>
      </c>
      <c r="BY82" s="196" t="b">
        <f t="shared" si="2"/>
        <v>0</v>
      </c>
      <c r="BZ82" s="196" t="b">
        <f t="shared" si="2"/>
        <v>0</v>
      </c>
      <c r="CA82" s="196" t="b">
        <f t="shared" si="2"/>
        <v>0</v>
      </c>
      <c r="CB82" s="196" t="b">
        <f t="shared" si="2"/>
        <v>0</v>
      </c>
      <c r="CC82" s="196" t="b">
        <f t="shared" si="2"/>
        <v>0</v>
      </c>
      <c r="CD82" s="196" t="b">
        <f t="shared" si="2"/>
        <v>0</v>
      </c>
      <c r="CE82" s="196" t="b">
        <f t="shared" si="2"/>
        <v>0</v>
      </c>
      <c r="CF82" s="196" t="b">
        <f t="shared" si="2"/>
        <v>0</v>
      </c>
      <c r="CG82" s="196" t="b">
        <f t="shared" si="2"/>
        <v>0</v>
      </c>
      <c r="CH82" s="196" t="b">
        <f t="shared" si="2"/>
        <v>0</v>
      </c>
      <c r="CI82" s="196" t="b">
        <f t="shared" si="2"/>
        <v>0</v>
      </c>
      <c r="CJ82" s="196" t="b">
        <f t="shared" si="2"/>
        <v>0</v>
      </c>
      <c r="CK82" s="196" t="b">
        <f t="shared" si="2"/>
        <v>0</v>
      </c>
      <c r="CL82" s="196" t="b">
        <f t="shared" si="2"/>
        <v>0</v>
      </c>
      <c r="CM82" s="196" t="b">
        <f t="shared" si="2"/>
        <v>0</v>
      </c>
      <c r="CN82" s="196"/>
      <c r="CO82" s="78"/>
      <c r="CP82" s="78"/>
      <c r="CQ82" s="136"/>
      <c r="CR82" s="136"/>
      <c r="CS82" s="136"/>
      <c r="CT82" s="136"/>
      <c r="CU82" s="136"/>
      <c r="CV82" s="136"/>
    </row>
    <row r="83" spans="2:100" ht="19.5" customHeight="1" thickBot="1" x14ac:dyDescent="0.25">
      <c r="G83" s="998"/>
      <c r="K83" s="988">
        <v>5</v>
      </c>
      <c r="M83" s="988">
        <v>51</v>
      </c>
      <c r="O83" s="995"/>
      <c r="AY83" s="136"/>
      <c r="AZ83" s="188"/>
      <c r="BA83" s="1091"/>
      <c r="BB83" s="78"/>
      <c r="BC83" s="196"/>
      <c r="BD83" s="196"/>
      <c r="BE83" s="196"/>
      <c r="BF83" s="196"/>
      <c r="BG83" s="196"/>
      <c r="BH83" s="196"/>
      <c r="BI83" s="196"/>
      <c r="BJ83" s="196"/>
      <c r="BK83" s="196"/>
      <c r="BL83" s="196"/>
      <c r="BM83" s="196"/>
      <c r="BN83" s="196"/>
      <c r="BO83" s="196"/>
      <c r="BP83" s="196"/>
      <c r="BQ83" s="196"/>
      <c r="BR83" s="196"/>
      <c r="BS83" s="196"/>
      <c r="BT83" s="196"/>
      <c r="BU83" s="196"/>
      <c r="BV83" s="196"/>
      <c r="BW83" s="196"/>
      <c r="BX83" s="196"/>
      <c r="BY83" s="196"/>
      <c r="BZ83" s="196"/>
      <c r="CA83" s="196"/>
      <c r="CB83" s="196"/>
      <c r="CC83" s="196"/>
      <c r="CD83" s="196"/>
      <c r="CE83" s="196"/>
      <c r="CF83" s="196"/>
      <c r="CG83" s="196"/>
      <c r="CH83" s="196"/>
      <c r="CI83" s="196"/>
      <c r="CJ83" s="196"/>
      <c r="CK83" s="196"/>
      <c r="CL83" s="196"/>
      <c r="CM83" s="196"/>
      <c r="CN83" s="196"/>
      <c r="CO83" s="78"/>
      <c r="CP83" s="78"/>
      <c r="CQ83" s="136"/>
      <c r="CR83" s="136"/>
      <c r="CS83" s="136"/>
      <c r="CT83" s="136"/>
      <c r="CU83" s="136"/>
      <c r="CV83" s="136"/>
    </row>
    <row r="84" spans="2:100" ht="56" customHeight="1" thickBot="1" x14ac:dyDescent="0.3">
      <c r="G84" s="998"/>
      <c r="K84" s="969" t="s">
        <v>236</v>
      </c>
      <c r="L84" s="969" t="s">
        <v>238</v>
      </c>
      <c r="M84" s="969" t="s">
        <v>237</v>
      </c>
      <c r="O84" s="995"/>
      <c r="AY84" s="136"/>
      <c r="AZ84" s="188"/>
      <c r="BA84" s="1095" t="s">
        <v>128</v>
      </c>
      <c r="BB84" s="197" t="s">
        <v>129</v>
      </c>
      <c r="BC84" s="748" t="str">
        <f>IF(BC82=1,17,"")</f>
        <v/>
      </c>
      <c r="BD84" s="749" t="str">
        <f>IF(BD82=2,16,"")</f>
        <v/>
      </c>
      <c r="BE84" s="749" t="str">
        <f>IF(BE82=3,15,"")</f>
        <v/>
      </c>
      <c r="BF84" s="749" t="str">
        <f>IF(BF82=4,14,"")</f>
        <v/>
      </c>
      <c r="BG84" s="749" t="str">
        <f>IF(BG82=5,13,"")</f>
        <v/>
      </c>
      <c r="BH84" s="749" t="str">
        <f>IF(BH82=6,12,"")</f>
        <v/>
      </c>
      <c r="BI84" s="749" t="str">
        <f>IF(BI82=7,11,"")</f>
        <v/>
      </c>
      <c r="BJ84" s="749" t="str">
        <f>IF(BJ82=8,10,"")</f>
        <v/>
      </c>
      <c r="BK84" s="749" t="str">
        <f>IF(BK82=9,9,"")</f>
        <v/>
      </c>
      <c r="BL84" s="749" t="str">
        <f>IF(BL82=10,8,"")</f>
        <v/>
      </c>
      <c r="BM84" s="749" t="str">
        <f>IF(BM82=11,7,"")</f>
        <v/>
      </c>
      <c r="BN84" s="928" t="str">
        <f>IF(BN82=12,1,"")</f>
        <v/>
      </c>
      <c r="BO84" s="747" t="str">
        <f>IF(BO82=13,2,"")</f>
        <v/>
      </c>
      <c r="BP84" s="747" t="str">
        <f>IF(BP82=14,3,"")</f>
        <v/>
      </c>
      <c r="BQ84" s="747" t="str">
        <f>IF(BQ82=15,4,"")</f>
        <v/>
      </c>
      <c r="BR84" s="747" t="str">
        <f>IF(BR82=16,5,"")</f>
        <v/>
      </c>
      <c r="BS84" s="747" t="str">
        <f>IF(BS82=17,6,"")</f>
        <v/>
      </c>
      <c r="BT84" s="747" t="str">
        <f>IF(BT82=18,7,"")</f>
        <v/>
      </c>
      <c r="BU84" s="747">
        <f>IF(BU82=19,8,"")</f>
        <v>8</v>
      </c>
      <c r="BV84" s="747" t="str">
        <f>IF(BV82=20,9,"")</f>
        <v/>
      </c>
      <c r="BW84" s="747" t="str">
        <f>IF(BW82=21,10,"")</f>
        <v/>
      </c>
      <c r="BX84" s="747" t="str">
        <f>IF(BX82=22,11,"")</f>
        <v/>
      </c>
      <c r="BY84" s="747" t="str">
        <f>IF(BY82=23,12,"")</f>
        <v/>
      </c>
      <c r="BZ84" s="747" t="str">
        <f>IF(BZ82=24,13,"")</f>
        <v/>
      </c>
      <c r="CA84" s="747" t="str">
        <f>IF(CA82=25,14,"")</f>
        <v/>
      </c>
      <c r="CB84" s="747" t="str">
        <f>IF(CB82=26,15,"")</f>
        <v/>
      </c>
      <c r="CC84" s="747" t="str">
        <f>IF(CC82=27,16,"")</f>
        <v/>
      </c>
      <c r="CD84" s="929" t="str">
        <f>IF(CD82=28,17,"")</f>
        <v/>
      </c>
      <c r="CE84" s="756" t="str">
        <f>IF(CE82=29,9,"")</f>
        <v/>
      </c>
      <c r="CF84" s="756" t="str">
        <f>IF(CF82=30,10,"")</f>
        <v/>
      </c>
      <c r="CG84" s="756" t="str">
        <f>IF(CG82=31,11,"")</f>
        <v/>
      </c>
      <c r="CH84" s="756" t="str">
        <f>IF(CH82=32,12,"")</f>
        <v/>
      </c>
      <c r="CI84" s="756" t="str">
        <f>IF(CI82=33,13,"")</f>
        <v/>
      </c>
      <c r="CJ84" s="756" t="str">
        <f>IF(CJ82=34,14,"")</f>
        <v/>
      </c>
      <c r="CK84" s="756" t="str">
        <f>IF(CK82=35,15,"")</f>
        <v/>
      </c>
      <c r="CL84" s="756" t="str">
        <f>IF(CL82=36,16,"")</f>
        <v/>
      </c>
      <c r="CM84" s="757" t="str">
        <f>IF(CM82=37,17,"")</f>
        <v/>
      </c>
      <c r="CN84" s="198"/>
      <c r="CO84" s="78"/>
      <c r="CP84" s="78"/>
      <c r="CQ84" s="136"/>
      <c r="CR84" s="136"/>
      <c r="CS84" s="136"/>
      <c r="CT84" s="136"/>
      <c r="CU84" s="136"/>
      <c r="CV84" s="136"/>
    </row>
    <row r="85" spans="2:100" ht="40.5" customHeight="1" thickBot="1" x14ac:dyDescent="0.3">
      <c r="G85" s="998"/>
      <c r="J85" s="1034" t="s">
        <v>260</v>
      </c>
      <c r="K85" s="1028">
        <f>+MIN(J19:K20)</f>
        <v>65.040650406504071</v>
      </c>
      <c r="L85" s="1028">
        <f>+$D$16/(BC49)</f>
        <v>65.040650406504071</v>
      </c>
      <c r="M85" s="1028">
        <f>+MIN(K25:L26)</f>
        <v>65.040650406504071</v>
      </c>
      <c r="O85" s="995"/>
      <c r="AX85" s="968">
        <v>5</v>
      </c>
      <c r="AY85" s="182" t="b">
        <f>AND(BA85&gt;=10,$AN$141&gt;=10,$AO$141&gt;=10)</f>
        <v>1</v>
      </c>
      <c r="AZ85" s="84" t="str">
        <f>IF(AY85=TRUE,"O K","OVERLOAD")</f>
        <v>O K</v>
      </c>
      <c r="BA85" s="982">
        <f>IF(SUM(BC84:BM84)&gt;0,K85,0)+IF(SUM(BN84:CD84)&gt;0,L85,0)+IF(SUM(CE84:CM84)&gt;0,M85,0)</f>
        <v>65.040650406504071</v>
      </c>
      <c r="BB85" s="788" t="s">
        <v>185</v>
      </c>
      <c r="BC85" s="789">
        <v>-10</v>
      </c>
      <c r="BD85" s="789">
        <v>-9</v>
      </c>
      <c r="BE85" s="789">
        <v>-8</v>
      </c>
      <c r="BF85" s="789">
        <v>-7</v>
      </c>
      <c r="BG85" s="789">
        <v>-6</v>
      </c>
      <c r="BH85" s="789">
        <v>-5</v>
      </c>
      <c r="BI85" s="789">
        <v>-4</v>
      </c>
      <c r="BJ85" s="789">
        <v>-3</v>
      </c>
      <c r="BK85" s="789">
        <v>-2</v>
      </c>
      <c r="BL85" s="789">
        <v>-1</v>
      </c>
      <c r="BM85" s="789">
        <v>0</v>
      </c>
      <c r="BN85" s="789">
        <v>1</v>
      </c>
      <c r="BO85" s="789">
        <v>2</v>
      </c>
      <c r="BP85" s="789">
        <v>3</v>
      </c>
      <c r="BQ85" s="789">
        <v>4</v>
      </c>
      <c r="BR85" s="789">
        <v>5</v>
      </c>
      <c r="BS85" s="789">
        <v>6</v>
      </c>
      <c r="BT85" s="789">
        <v>7</v>
      </c>
      <c r="BU85" s="789">
        <v>8</v>
      </c>
      <c r="BV85" s="789">
        <v>9</v>
      </c>
      <c r="BW85" s="789">
        <v>10</v>
      </c>
      <c r="BX85" s="789">
        <v>11</v>
      </c>
      <c r="BY85" s="789">
        <v>12</v>
      </c>
      <c r="BZ85" s="789">
        <v>13</v>
      </c>
      <c r="CA85" s="789">
        <v>14</v>
      </c>
      <c r="CB85" s="789">
        <v>15</v>
      </c>
      <c r="CC85" s="789">
        <v>16</v>
      </c>
      <c r="CD85" s="789">
        <v>17</v>
      </c>
      <c r="CE85" s="789">
        <v>18</v>
      </c>
      <c r="CF85" s="789">
        <v>19</v>
      </c>
      <c r="CG85" s="789">
        <v>20</v>
      </c>
      <c r="CH85" s="789">
        <v>21</v>
      </c>
      <c r="CI85" s="789">
        <v>22</v>
      </c>
      <c r="CJ85" s="789">
        <v>23</v>
      </c>
      <c r="CK85" s="789">
        <v>24</v>
      </c>
      <c r="CL85" s="789">
        <v>25</v>
      </c>
      <c r="CM85" s="791">
        <v>26</v>
      </c>
      <c r="CN85" s="198"/>
      <c r="CO85" s="78"/>
      <c r="CP85" s="78"/>
      <c r="CQ85" s="136"/>
      <c r="CR85" s="136"/>
      <c r="CS85" s="136"/>
      <c r="CT85" s="136"/>
      <c r="CU85" s="136"/>
      <c r="CV85" s="136"/>
    </row>
    <row r="86" spans="2:100" ht="27" hidden="1" customHeight="1" thickBot="1" x14ac:dyDescent="0.25">
      <c r="G86" s="998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O86" s="995"/>
      <c r="AY86" s="136"/>
      <c r="AZ86" s="136"/>
      <c r="BB86" s="78"/>
      <c r="BC86" s="199"/>
      <c r="BD86" s="199"/>
      <c r="BE86" s="199"/>
      <c r="BF86" s="199"/>
      <c r="BG86" s="199"/>
      <c r="BH86" s="199"/>
      <c r="BI86" s="199"/>
      <c r="BJ86" s="199"/>
      <c r="BK86" s="199"/>
      <c r="BL86" s="199"/>
      <c r="BM86" s="199"/>
      <c r="BN86" s="199"/>
      <c r="BO86" s="199"/>
      <c r="BP86" s="199"/>
      <c r="BQ86" s="199"/>
      <c r="BR86" s="199"/>
      <c r="BS86" s="199"/>
      <c r="BT86" s="199"/>
      <c r="BU86" s="199"/>
      <c r="BV86" s="199"/>
      <c r="BW86" s="199"/>
      <c r="BX86" s="199"/>
      <c r="BY86" s="199"/>
      <c r="BZ86" s="199"/>
      <c r="CA86" s="199"/>
      <c r="CB86" s="199"/>
      <c r="CC86" s="199"/>
      <c r="CD86" s="199"/>
      <c r="CE86" s="199"/>
      <c r="CF86" s="199"/>
      <c r="CG86" s="199"/>
      <c r="CH86" s="199"/>
      <c r="CI86" s="199"/>
      <c r="CJ86" s="199"/>
      <c r="CK86" s="199"/>
      <c r="CL86" s="199"/>
      <c r="CM86" s="199"/>
      <c r="CN86" s="199"/>
      <c r="CO86" s="78"/>
      <c r="CP86" s="78"/>
    </row>
    <row r="87" spans="2:100" ht="28.5" hidden="1" customHeight="1" thickBot="1" x14ac:dyDescent="0.3">
      <c r="E87" s="325"/>
      <c r="G87" s="998"/>
      <c r="O87" s="995"/>
      <c r="AP87" s="76"/>
      <c r="AZ87" s="86"/>
      <c r="BA87" s="18"/>
      <c r="BB87" s="96"/>
      <c r="BC87" s="89"/>
      <c r="BD87" s="89"/>
      <c r="BE87" s="89"/>
      <c r="BF87" s="89"/>
      <c r="BG87" s="89"/>
      <c r="BH87" s="89"/>
      <c r="BI87" s="89"/>
      <c r="BJ87" s="89"/>
      <c r="BK87" s="94"/>
      <c r="BL87" s="94"/>
      <c r="BM87" s="89"/>
      <c r="BN87" s="89"/>
      <c r="BO87" s="89"/>
      <c r="BP87" s="89"/>
      <c r="BQ87" s="89"/>
      <c r="BR87" s="89"/>
      <c r="BS87" s="89"/>
      <c r="BT87" s="89"/>
      <c r="BU87" s="89"/>
      <c r="BV87" s="89"/>
      <c r="BW87" s="89"/>
      <c r="BX87" s="89"/>
      <c r="BY87" s="89"/>
      <c r="BZ87" s="37"/>
      <c r="CA87" s="95"/>
      <c r="CB87" s="95"/>
      <c r="CC87" s="95"/>
      <c r="CD87" s="95"/>
      <c r="CE87" s="92"/>
      <c r="CF87" s="92"/>
      <c r="CG87" s="92"/>
      <c r="CH87" s="92"/>
      <c r="CI87" s="92"/>
      <c r="CJ87" s="92"/>
      <c r="CK87" s="92"/>
      <c r="CL87" s="92"/>
      <c r="CM87" s="92"/>
      <c r="CN87" s="92"/>
      <c r="CO87" s="92"/>
      <c r="CP87" s="92"/>
      <c r="CQ87" s="92"/>
    </row>
    <row r="88" spans="2:100" ht="24" hidden="1" thickBot="1" x14ac:dyDescent="0.3">
      <c r="E88" s="325"/>
      <c r="G88" s="998"/>
      <c r="O88" s="995"/>
      <c r="AP88" s="76"/>
      <c r="AZ88" s="86"/>
      <c r="BA88" s="18"/>
      <c r="BB88" s="96">
        <v>36</v>
      </c>
      <c r="BC88" s="89"/>
      <c r="BD88" s="89"/>
      <c r="BE88" s="89"/>
      <c r="BF88" s="89"/>
      <c r="BG88" s="89"/>
      <c r="BH88" s="89"/>
      <c r="BI88" s="89"/>
      <c r="BJ88" s="89"/>
      <c r="BK88" s="94"/>
      <c r="BL88" s="94"/>
      <c r="BM88" s="89"/>
      <c r="BN88" s="89"/>
      <c r="BO88" s="89"/>
      <c r="BP88" s="89"/>
      <c r="BQ88" s="89"/>
      <c r="BR88" s="89"/>
      <c r="BS88" s="89"/>
      <c r="BT88" s="98"/>
      <c r="BU88" s="99"/>
      <c r="BV88" s="100"/>
      <c r="BW88" s="89"/>
      <c r="BX88" s="89"/>
      <c r="BY88" s="89"/>
      <c r="BZ88" s="37"/>
      <c r="CA88" s="95"/>
      <c r="CB88" s="95"/>
      <c r="CC88" s="95"/>
      <c r="CD88" s="95"/>
      <c r="CE88" s="92"/>
      <c r="CF88" s="92"/>
      <c r="CG88" s="92"/>
      <c r="CH88" s="92"/>
      <c r="CI88" s="92"/>
      <c r="CJ88" s="92"/>
      <c r="CK88" s="101" t="b">
        <f>IF(CL81=36,35)</f>
        <v>0</v>
      </c>
      <c r="CL88" s="102"/>
      <c r="CM88" s="103" t="b">
        <f>IF(CL81=36,37)</f>
        <v>0</v>
      </c>
      <c r="CN88" s="92"/>
      <c r="CO88" s="92"/>
      <c r="CP88" s="92"/>
      <c r="CQ88" s="92"/>
    </row>
    <row r="89" spans="2:100" ht="24" hidden="1" thickBot="1" x14ac:dyDescent="0.3">
      <c r="E89" s="325"/>
      <c r="G89" s="998"/>
      <c r="O89" s="995"/>
      <c r="AP89" s="76"/>
      <c r="AZ89" s="86"/>
      <c r="BA89" s="18"/>
      <c r="BB89" s="96">
        <v>35</v>
      </c>
      <c r="BC89" s="89"/>
      <c r="BD89" s="89"/>
      <c r="BE89" s="89"/>
      <c r="BF89" s="89"/>
      <c r="BG89" s="89"/>
      <c r="BH89" s="89"/>
      <c r="BI89" s="89"/>
      <c r="BJ89" s="89"/>
      <c r="BK89" s="94"/>
      <c r="BL89" s="94"/>
      <c r="BM89" s="89"/>
      <c r="BN89" s="89"/>
      <c r="BO89" s="89"/>
      <c r="BP89" s="89"/>
      <c r="BQ89" s="89"/>
      <c r="BR89" s="89"/>
      <c r="BS89" s="89"/>
      <c r="BT89" s="104"/>
      <c r="BU89" s="89"/>
      <c r="BV89" s="105"/>
      <c r="BW89" s="89"/>
      <c r="BX89" s="89"/>
      <c r="BY89" s="89"/>
      <c r="BZ89" s="37"/>
      <c r="CA89" s="95"/>
      <c r="CB89" s="95"/>
      <c r="CC89" s="95"/>
      <c r="CD89" s="95"/>
      <c r="CE89" s="92"/>
      <c r="CF89" s="92"/>
      <c r="CG89" s="92"/>
      <c r="CH89" s="92"/>
      <c r="CI89" s="101" t="b">
        <f>IF(CK81=35,33)</f>
        <v>0</v>
      </c>
      <c r="CJ89" s="102"/>
      <c r="CK89" s="102"/>
      <c r="CL89" s="102"/>
      <c r="CM89" s="103" t="b">
        <f>IF(CK81=35,37)</f>
        <v>0</v>
      </c>
      <c r="CN89" s="92"/>
      <c r="CO89" s="92"/>
      <c r="CP89" s="92"/>
      <c r="CQ89" s="92"/>
    </row>
    <row r="90" spans="2:100" ht="24" hidden="1" thickBot="1" x14ac:dyDescent="0.3">
      <c r="E90" s="325"/>
      <c r="G90" s="998"/>
      <c r="O90" s="995"/>
      <c r="P90" s="203"/>
      <c r="Q90" s="203"/>
      <c r="R90" s="203"/>
      <c r="S90" s="203"/>
      <c r="T90" s="203"/>
      <c r="U90" s="326"/>
      <c r="V90" s="203"/>
      <c r="W90" s="203"/>
      <c r="X90" s="203"/>
      <c r="Y90" s="327"/>
      <c r="Z90" s="327"/>
      <c r="AA90" s="328"/>
      <c r="AP90" s="76"/>
      <c r="AZ90" s="86"/>
      <c r="BA90" s="18"/>
      <c r="BB90" s="96">
        <v>34</v>
      </c>
      <c r="BC90" s="89"/>
      <c r="BD90" s="89"/>
      <c r="BE90" s="89"/>
      <c r="BF90" s="89"/>
      <c r="BG90" s="89"/>
      <c r="BH90" s="89"/>
      <c r="BI90" s="89"/>
      <c r="BJ90" s="89"/>
      <c r="BK90" s="94"/>
      <c r="BL90" s="94"/>
      <c r="BM90" s="89"/>
      <c r="BN90" s="89"/>
      <c r="BO90" s="89"/>
      <c r="BP90" s="89"/>
      <c r="BQ90" s="89"/>
      <c r="BR90" s="89"/>
      <c r="BS90" s="89"/>
      <c r="BT90" s="104"/>
      <c r="BU90" s="89"/>
      <c r="BV90" s="105"/>
      <c r="BW90" s="89"/>
      <c r="BX90" s="89"/>
      <c r="BY90" s="89"/>
      <c r="BZ90" s="37"/>
      <c r="CA90" s="95"/>
      <c r="CB90" s="95"/>
      <c r="CC90" s="95"/>
      <c r="CD90" s="95"/>
      <c r="CE90" s="92"/>
      <c r="CF90" s="92"/>
      <c r="CG90" s="101" t="b">
        <f>IF(CJ81=34,31)</f>
        <v>0</v>
      </c>
      <c r="CH90" s="102"/>
      <c r="CI90" s="102"/>
      <c r="CJ90" s="102"/>
      <c r="CK90" s="102"/>
      <c r="CL90" s="102"/>
      <c r="CM90" s="103" t="b">
        <f>IF(CJ81=34,37)</f>
        <v>0</v>
      </c>
      <c r="CN90" s="92"/>
      <c r="CO90" s="92"/>
      <c r="CP90" s="92"/>
      <c r="CQ90" s="92"/>
    </row>
    <row r="91" spans="2:100" ht="24" hidden="1" thickBot="1" x14ac:dyDescent="0.3">
      <c r="D91" s="126"/>
      <c r="E91" s="325"/>
      <c r="G91" s="998"/>
      <c r="O91" s="995"/>
      <c r="AP91" s="329"/>
      <c r="AZ91" s="86"/>
      <c r="BA91" s="18"/>
      <c r="BB91" s="96">
        <v>33</v>
      </c>
      <c r="BC91" s="89"/>
      <c r="BD91" s="89"/>
      <c r="BE91" s="89"/>
      <c r="BF91" s="89"/>
      <c r="BG91" s="89"/>
      <c r="BH91" s="89"/>
      <c r="BI91" s="89"/>
      <c r="BJ91" s="89"/>
      <c r="BK91" s="94"/>
      <c r="BL91" s="94"/>
      <c r="BM91" s="89"/>
      <c r="BN91" s="89"/>
      <c r="BO91" s="89"/>
      <c r="BP91" s="89"/>
      <c r="BQ91" s="89"/>
      <c r="BR91" s="89"/>
      <c r="BS91" s="89"/>
      <c r="BT91" s="104"/>
      <c r="BU91" s="89"/>
      <c r="BV91" s="105"/>
      <c r="BW91" s="89"/>
      <c r="BX91" s="89"/>
      <c r="BY91" s="89"/>
      <c r="BZ91" s="37"/>
      <c r="CA91" s="95"/>
      <c r="CB91" s="95"/>
      <c r="CC91" s="95"/>
      <c r="CD91" s="95"/>
      <c r="CE91" s="101" t="b">
        <f>IF(CI81=33,29)</f>
        <v>0</v>
      </c>
      <c r="CF91" s="102"/>
      <c r="CG91" s="102"/>
      <c r="CH91" s="102"/>
      <c r="CI91" s="102"/>
      <c r="CJ91" s="102"/>
      <c r="CK91" s="102"/>
      <c r="CL91" s="102"/>
      <c r="CM91" s="103" t="b">
        <f>IF(CI81=33,37)</f>
        <v>0</v>
      </c>
      <c r="CN91" s="92"/>
      <c r="CO91" s="92"/>
      <c r="CP91" s="92"/>
      <c r="CQ91" s="92"/>
    </row>
    <row r="92" spans="2:100" ht="21" hidden="1" thickBot="1" x14ac:dyDescent="0.25">
      <c r="B92" s="330"/>
      <c r="C92" s="126"/>
      <c r="D92" s="126"/>
      <c r="E92" s="325"/>
      <c r="G92" s="998"/>
      <c r="O92" s="995"/>
      <c r="AP92" s="76"/>
      <c r="AZ92" s="86"/>
      <c r="BB92" s="96">
        <v>32</v>
      </c>
      <c r="BC92" s="89"/>
      <c r="BD92" s="89"/>
      <c r="BE92" s="89"/>
      <c r="BF92" s="89"/>
      <c r="BG92" s="89"/>
      <c r="BH92" s="89"/>
      <c r="BI92" s="89"/>
      <c r="BJ92" s="89"/>
      <c r="BK92" s="107"/>
      <c r="BL92" s="107"/>
      <c r="BM92" s="107"/>
      <c r="BN92" s="107"/>
      <c r="BO92" s="107"/>
      <c r="BP92" s="107"/>
      <c r="BQ92" s="107"/>
      <c r="BR92" s="107"/>
      <c r="BS92" s="107"/>
      <c r="BT92" s="109"/>
      <c r="BU92" s="107"/>
      <c r="BV92" s="110"/>
      <c r="BW92" s="107"/>
      <c r="BX92" s="107"/>
      <c r="BY92" s="107"/>
      <c r="BZ92" s="108"/>
      <c r="CA92" s="78"/>
      <c r="CB92" s="78"/>
      <c r="CC92" s="101" t="b">
        <f>IF(CH81=32,27)</f>
        <v>0</v>
      </c>
      <c r="CD92" s="111"/>
      <c r="CE92" s="111"/>
      <c r="CF92" s="111"/>
      <c r="CG92" s="111"/>
      <c r="CH92" s="111"/>
      <c r="CI92" s="111"/>
      <c r="CJ92" s="111"/>
      <c r="CK92" s="111"/>
      <c r="CL92" s="111"/>
      <c r="CM92" s="103" t="b">
        <f>IF(CH81=32,37)</f>
        <v>0</v>
      </c>
      <c r="CN92" s="78"/>
      <c r="CO92" s="78"/>
      <c r="CP92" s="78"/>
    </row>
    <row r="93" spans="2:100" ht="21" hidden="1" thickBot="1" x14ac:dyDescent="0.25">
      <c r="B93" s="330"/>
      <c r="C93" s="126"/>
      <c r="D93" s="126"/>
      <c r="E93" s="325"/>
      <c r="G93" s="998"/>
      <c r="O93" s="995"/>
      <c r="AP93" s="76"/>
      <c r="AZ93" s="86"/>
      <c r="BB93" s="96">
        <v>31</v>
      </c>
      <c r="BC93" s="107"/>
      <c r="BD93" s="107"/>
      <c r="BE93" s="107"/>
      <c r="BF93" s="107"/>
      <c r="BG93" s="107"/>
      <c r="BH93" s="108"/>
      <c r="BI93" s="107"/>
      <c r="BJ93" s="107"/>
      <c r="BK93" s="107"/>
      <c r="BL93" s="107"/>
      <c r="BM93" s="107"/>
      <c r="BN93" s="107"/>
      <c r="BO93" s="107"/>
      <c r="BP93" s="107"/>
      <c r="BQ93" s="107"/>
      <c r="BR93" s="107"/>
      <c r="BS93" s="107"/>
      <c r="BT93" s="109"/>
      <c r="BU93" s="107"/>
      <c r="BV93" s="110"/>
      <c r="BW93" s="107"/>
      <c r="BX93" s="107"/>
      <c r="BY93" s="107"/>
      <c r="BZ93" s="108"/>
      <c r="CA93" s="101" t="b">
        <f>IF(CG81=31,25)</f>
        <v>0</v>
      </c>
      <c r="CB93" s="111"/>
      <c r="CC93" s="111"/>
      <c r="CD93" s="111"/>
      <c r="CE93" s="111"/>
      <c r="CF93" s="111"/>
      <c r="CG93" s="111"/>
      <c r="CH93" s="111"/>
      <c r="CI93" s="111"/>
      <c r="CJ93" s="111"/>
      <c r="CK93" s="111"/>
      <c r="CL93" s="111"/>
      <c r="CM93" s="103" t="b">
        <f>IF(CG81=31,37)</f>
        <v>0</v>
      </c>
      <c r="CN93" s="78"/>
      <c r="CO93" s="78"/>
      <c r="CP93" s="78"/>
    </row>
    <row r="94" spans="2:100" ht="21" hidden="1" thickBot="1" x14ac:dyDescent="0.25">
      <c r="B94" s="330"/>
      <c r="C94" s="126"/>
      <c r="D94" s="126"/>
      <c r="E94" s="325"/>
      <c r="G94" s="998"/>
      <c r="O94" s="995"/>
      <c r="AP94" s="75"/>
      <c r="AZ94" s="86"/>
      <c r="BB94" s="96">
        <v>30</v>
      </c>
      <c r="BC94" s="107"/>
      <c r="BD94" s="107"/>
      <c r="BE94" s="107"/>
      <c r="BF94" s="107"/>
      <c r="BG94" s="107"/>
      <c r="BH94" s="108"/>
      <c r="BI94" s="107"/>
      <c r="BJ94" s="107"/>
      <c r="BK94" s="107"/>
      <c r="BL94" s="107"/>
      <c r="BM94" s="107"/>
      <c r="BN94" s="107"/>
      <c r="BO94" s="107"/>
      <c r="BP94" s="107"/>
      <c r="BQ94" s="107"/>
      <c r="BR94" s="107"/>
      <c r="BS94" s="107"/>
      <c r="BT94" s="109"/>
      <c r="BU94" s="107"/>
      <c r="BV94" s="110"/>
      <c r="BW94" s="107"/>
      <c r="BX94" s="107"/>
      <c r="BY94" s="101" t="b">
        <f>IF(CF81=30,23)</f>
        <v>0</v>
      </c>
      <c r="BZ94" s="112"/>
      <c r="CA94" s="111"/>
      <c r="CB94" s="111"/>
      <c r="CC94" s="111"/>
      <c r="CD94" s="111"/>
      <c r="CE94" s="111"/>
      <c r="CF94" s="111"/>
      <c r="CG94" s="111"/>
      <c r="CH94" s="111"/>
      <c r="CI94" s="111"/>
      <c r="CJ94" s="111"/>
      <c r="CK94" s="111"/>
      <c r="CL94" s="111"/>
      <c r="CM94" s="103" t="b">
        <f>IF(CF81=30,37)</f>
        <v>0</v>
      </c>
      <c r="CN94" s="78"/>
      <c r="CO94" s="78"/>
      <c r="CP94" s="78"/>
    </row>
    <row r="95" spans="2:100" ht="21" hidden="1" thickBot="1" x14ac:dyDescent="0.25">
      <c r="B95" s="330"/>
      <c r="C95" s="126"/>
      <c r="D95" s="126"/>
      <c r="E95" s="325"/>
      <c r="G95" s="998"/>
      <c r="O95" s="995"/>
      <c r="AP95" s="59"/>
      <c r="AQ95" s="114"/>
      <c r="AR95" s="114"/>
      <c r="AS95" s="114"/>
      <c r="AT95" s="114"/>
      <c r="AZ95" s="86"/>
      <c r="BA95" s="114"/>
      <c r="BB95" s="96">
        <v>29</v>
      </c>
      <c r="BC95" s="78"/>
      <c r="BD95" s="78"/>
      <c r="BE95" s="78"/>
      <c r="BF95" s="78"/>
      <c r="BG95" s="78"/>
      <c r="BH95" s="78"/>
      <c r="BI95" s="78"/>
      <c r="BJ95" s="78"/>
      <c r="BK95" s="78"/>
      <c r="BL95" s="78"/>
      <c r="BM95" s="78"/>
      <c r="BN95" s="78"/>
      <c r="BO95" s="78"/>
      <c r="BP95" s="78"/>
      <c r="BQ95" s="78"/>
      <c r="BR95" s="78"/>
      <c r="BS95" s="78"/>
      <c r="BT95" s="115"/>
      <c r="BU95" s="78"/>
      <c r="BV95" s="116"/>
      <c r="BW95" s="117" t="b">
        <f>IF(CE81=29,21)</f>
        <v>0</v>
      </c>
      <c r="BX95" s="111"/>
      <c r="BY95" s="111"/>
      <c r="BZ95" s="111"/>
      <c r="CA95" s="111"/>
      <c r="CB95" s="111"/>
      <c r="CC95" s="111"/>
      <c r="CD95" s="118"/>
      <c r="CE95" s="111"/>
      <c r="CF95" s="118"/>
      <c r="CG95" s="119"/>
      <c r="CH95" s="119"/>
      <c r="CI95" s="119"/>
      <c r="CJ95" s="119"/>
      <c r="CK95" s="119"/>
      <c r="CL95" s="119"/>
      <c r="CM95" s="103" t="b">
        <f>IF(CE81=29,37)</f>
        <v>0</v>
      </c>
      <c r="CN95" s="76"/>
      <c r="CO95" s="78"/>
      <c r="CP95" s="78"/>
    </row>
    <row r="96" spans="2:100" ht="21" hidden="1" thickBot="1" x14ac:dyDescent="0.25">
      <c r="B96" s="19"/>
      <c r="C96" s="126"/>
      <c r="D96" s="126"/>
      <c r="E96" s="19"/>
      <c r="G96" s="998"/>
      <c r="O96" s="995"/>
      <c r="AP96" s="126"/>
      <c r="AQ96" s="114"/>
      <c r="AR96" s="114"/>
      <c r="AS96" s="114"/>
      <c r="AT96" s="114"/>
      <c r="AZ96" s="86"/>
      <c r="BA96" s="114"/>
      <c r="BB96" s="96">
        <v>28</v>
      </c>
      <c r="BC96" s="78"/>
      <c r="BD96" s="78"/>
      <c r="BE96" s="78"/>
      <c r="BF96" s="78"/>
      <c r="BG96" s="78"/>
      <c r="BH96" s="78"/>
      <c r="BI96" s="78"/>
      <c r="BJ96" s="78"/>
      <c r="BK96" s="78"/>
      <c r="BL96" s="78"/>
      <c r="BM96" s="78"/>
      <c r="BN96" s="78"/>
      <c r="BO96" s="78"/>
      <c r="BP96" s="78"/>
      <c r="BQ96" s="78"/>
      <c r="BR96" s="78"/>
      <c r="BS96" s="78"/>
      <c r="BT96" s="115"/>
      <c r="BU96" s="78"/>
      <c r="BV96" s="116"/>
      <c r="BW96" s="120" t="b">
        <f>IF(CD81=28,21)</f>
        <v>0</v>
      </c>
      <c r="BX96" s="121"/>
      <c r="BY96" s="121"/>
      <c r="BZ96" s="121"/>
      <c r="CA96" s="121"/>
      <c r="CB96" s="122"/>
      <c r="CC96" s="121"/>
      <c r="CD96" s="121"/>
      <c r="CE96" s="121"/>
      <c r="CF96" s="122"/>
      <c r="CG96" s="123"/>
      <c r="CH96" s="123"/>
      <c r="CI96" s="123"/>
      <c r="CJ96" s="123"/>
      <c r="CK96" s="124" t="b">
        <f>IF(CD81=28,35)</f>
        <v>0</v>
      </c>
      <c r="CL96" s="76"/>
      <c r="CM96" s="76"/>
      <c r="CN96" s="76"/>
      <c r="CO96" s="78"/>
      <c r="CP96" s="78"/>
    </row>
    <row r="97" spans="2:94" ht="21" hidden="1" thickBot="1" x14ac:dyDescent="0.25">
      <c r="B97" s="330"/>
      <c r="C97" s="126"/>
      <c r="D97" s="126"/>
      <c r="E97" s="325"/>
      <c r="G97" s="998"/>
      <c r="O97" s="995"/>
      <c r="AP97" s="76"/>
      <c r="AQ97" s="114"/>
      <c r="AR97" s="114"/>
      <c r="AS97" s="114"/>
      <c r="AT97" s="114"/>
      <c r="AZ97" s="86"/>
      <c r="BA97" s="114"/>
      <c r="BB97" s="96">
        <v>27</v>
      </c>
      <c r="BC97" s="78"/>
      <c r="BD97" s="78"/>
      <c r="BE97" s="78"/>
      <c r="BF97" s="78"/>
      <c r="BG97" s="78"/>
      <c r="BH97" s="78"/>
      <c r="BI97" s="78"/>
      <c r="BJ97" s="78"/>
      <c r="BK97" s="78"/>
      <c r="BL97" s="78"/>
      <c r="BM97" s="78"/>
      <c r="BN97" s="78"/>
      <c r="BO97" s="78"/>
      <c r="BP97" s="78"/>
      <c r="BQ97" s="78"/>
      <c r="BR97" s="78"/>
      <c r="BS97" s="78"/>
      <c r="BT97" s="115"/>
      <c r="BU97" s="78"/>
      <c r="BV97" s="116"/>
      <c r="BW97" s="120" t="b">
        <f>IF(CC81=27,21)</f>
        <v>0</v>
      </c>
      <c r="BX97" s="121"/>
      <c r="BY97" s="121"/>
      <c r="BZ97" s="122"/>
      <c r="CA97" s="121"/>
      <c r="CB97" s="121"/>
      <c r="CC97" s="121"/>
      <c r="CD97" s="121"/>
      <c r="CE97" s="121"/>
      <c r="CF97" s="122"/>
      <c r="CG97" s="123"/>
      <c r="CH97" s="123"/>
      <c r="CI97" s="124" t="b">
        <f>IF(CC81=27,33)</f>
        <v>0</v>
      </c>
      <c r="CJ97" s="76"/>
      <c r="CK97" s="76"/>
      <c r="CL97" s="76"/>
      <c r="CM97" s="76"/>
      <c r="CN97" s="76"/>
      <c r="CO97" s="78"/>
      <c r="CP97" s="78"/>
    </row>
    <row r="98" spans="2:94" ht="21" hidden="1" thickBot="1" x14ac:dyDescent="0.25">
      <c r="B98" s="330"/>
      <c r="C98" s="126"/>
      <c r="D98" s="126"/>
      <c r="E98" s="325"/>
      <c r="G98" s="998"/>
      <c r="O98" s="995"/>
      <c r="AP98" s="76"/>
      <c r="AZ98" s="86"/>
      <c r="BB98" s="96">
        <v>26</v>
      </c>
      <c r="BC98" s="78"/>
      <c r="BD98" s="78"/>
      <c r="BE98" s="78"/>
      <c r="BF98" s="78"/>
      <c r="BG98" s="78"/>
      <c r="BH98" s="78"/>
      <c r="BI98" s="78"/>
      <c r="BJ98" s="78"/>
      <c r="BK98" s="78"/>
      <c r="BL98" s="78"/>
      <c r="BM98" s="78"/>
      <c r="BN98" s="78"/>
      <c r="BO98" s="78"/>
      <c r="BP98" s="78"/>
      <c r="BQ98" s="78"/>
      <c r="BR98" s="78"/>
      <c r="BS98" s="78"/>
      <c r="BT98" s="115"/>
      <c r="BU98" s="78"/>
      <c r="BV98" s="116"/>
      <c r="BW98" s="120" t="b">
        <f>IF(CB81=26,21)</f>
        <v>0</v>
      </c>
      <c r="BX98" s="122"/>
      <c r="BY98" s="121"/>
      <c r="BZ98" s="121"/>
      <c r="CA98" s="121"/>
      <c r="CB98" s="121"/>
      <c r="CC98" s="121"/>
      <c r="CD98" s="121"/>
      <c r="CE98" s="121"/>
      <c r="CF98" s="122"/>
      <c r="CG98" s="124" t="b">
        <f>IF(CB81=26,31)</f>
        <v>0</v>
      </c>
      <c r="CH98" s="76"/>
      <c r="CI98" s="76"/>
      <c r="CJ98" s="76"/>
      <c r="CK98" s="76"/>
      <c r="CL98" s="76"/>
      <c r="CM98" s="76"/>
      <c r="CN98" s="76"/>
      <c r="CO98" s="78"/>
      <c r="CP98" s="78"/>
    </row>
    <row r="99" spans="2:94" ht="21" hidden="1" thickBot="1" x14ac:dyDescent="0.25">
      <c r="B99" s="330"/>
      <c r="C99" s="126"/>
      <c r="D99" s="126"/>
      <c r="E99" s="325"/>
      <c r="G99" s="998"/>
      <c r="O99" s="995"/>
      <c r="AP99" s="76"/>
      <c r="AQ99" s="126"/>
      <c r="AR99" s="126"/>
      <c r="AS99" s="126"/>
      <c r="AT99" s="126"/>
      <c r="AZ99" s="86"/>
      <c r="BA99" s="126"/>
      <c r="BB99" s="96">
        <v>25</v>
      </c>
      <c r="BC99" s="78"/>
      <c r="BD99" s="78"/>
      <c r="BE99" s="78"/>
      <c r="BF99" s="78"/>
      <c r="BG99" s="78"/>
      <c r="BH99" s="78"/>
      <c r="BI99" s="78"/>
      <c r="BJ99" s="78"/>
      <c r="BK99" s="78"/>
      <c r="BL99" s="78"/>
      <c r="BM99" s="78"/>
      <c r="BO99" s="78"/>
      <c r="BP99" s="78"/>
      <c r="BQ99" s="78"/>
      <c r="BR99" s="78"/>
      <c r="BS99" s="78"/>
      <c r="BT99" s="115"/>
      <c r="BU99" s="78"/>
      <c r="BW99" s="128" t="b">
        <f>IF(CA81=25,21)</f>
        <v>0</v>
      </c>
      <c r="BX99" s="121"/>
      <c r="BY99" s="121"/>
      <c r="BZ99" s="121"/>
      <c r="CA99" s="121"/>
      <c r="CB99" s="121"/>
      <c r="CC99" s="121"/>
      <c r="CD99" s="121"/>
      <c r="CE99" s="124" t="b">
        <f>IF(CA81=25,29)</f>
        <v>0</v>
      </c>
      <c r="CG99" s="76"/>
      <c r="CH99" s="76"/>
      <c r="CI99" s="76"/>
      <c r="CJ99" s="76"/>
      <c r="CK99" s="76"/>
      <c r="CL99" s="76"/>
      <c r="CM99" s="76"/>
      <c r="CN99" s="76"/>
      <c r="CO99" s="78"/>
      <c r="CP99" s="78"/>
    </row>
    <row r="100" spans="2:94" ht="21" hidden="1" thickBot="1" x14ac:dyDescent="0.25">
      <c r="B100" s="330"/>
      <c r="C100" s="126"/>
      <c r="D100" s="126"/>
      <c r="E100" s="325"/>
      <c r="G100" s="998"/>
      <c r="O100" s="995"/>
      <c r="AP100" s="59"/>
      <c r="AQ100" s="126"/>
      <c r="AR100" s="126"/>
      <c r="AS100" s="126"/>
      <c r="AT100" s="126"/>
      <c r="AZ100" s="86"/>
      <c r="BA100" s="126"/>
      <c r="BB100" s="96">
        <v>24</v>
      </c>
      <c r="BC100" s="78"/>
      <c r="BD100" s="78"/>
      <c r="BE100" s="78"/>
      <c r="BF100" s="78"/>
      <c r="BG100" s="78"/>
      <c r="BH100" s="78"/>
      <c r="BI100" s="78"/>
      <c r="BJ100" s="78"/>
      <c r="BK100" s="78"/>
      <c r="BL100" s="78"/>
      <c r="BM100" s="78"/>
      <c r="BN100" s="117" t="b">
        <f>IF(BZ81=24,12)</f>
        <v>0</v>
      </c>
      <c r="BO100" s="111"/>
      <c r="BP100" s="111"/>
      <c r="BQ100" s="111"/>
      <c r="BR100" s="111"/>
      <c r="BS100" s="111"/>
      <c r="BT100" s="118"/>
      <c r="BU100" s="111"/>
      <c r="BV100" s="129"/>
      <c r="BW100" s="111"/>
      <c r="BX100" s="111"/>
      <c r="BY100" s="111"/>
      <c r="BZ100" s="111"/>
      <c r="CA100" s="111"/>
      <c r="CB100" s="111"/>
      <c r="CC100" s="111"/>
      <c r="CD100" s="111"/>
      <c r="CE100" s="111"/>
      <c r="CF100" s="118"/>
      <c r="CG100" s="119"/>
      <c r="CH100" s="119"/>
      <c r="CI100" s="119"/>
      <c r="CJ100" s="119"/>
      <c r="CK100" s="119"/>
      <c r="CL100" s="103" t="b">
        <f>IF(BZ81=24,36)</f>
        <v>0</v>
      </c>
      <c r="CM100" s="76"/>
      <c r="CN100" s="76"/>
      <c r="CO100" s="78"/>
      <c r="CP100" s="78"/>
    </row>
    <row r="101" spans="2:94" ht="21" hidden="1" thickBot="1" x14ac:dyDescent="0.25">
      <c r="B101" s="330"/>
      <c r="C101" s="126"/>
      <c r="D101" s="126"/>
      <c r="E101" s="325"/>
      <c r="G101" s="998"/>
      <c r="O101" s="995"/>
      <c r="AP101" s="76"/>
      <c r="AQ101" s="126"/>
      <c r="AR101" s="126"/>
      <c r="AS101" s="126"/>
      <c r="AT101" s="126"/>
      <c r="AZ101" s="86"/>
      <c r="BA101" s="126"/>
      <c r="BB101" s="96">
        <v>23</v>
      </c>
      <c r="BC101" s="78"/>
      <c r="BD101" s="78"/>
      <c r="BE101" s="78"/>
      <c r="BF101" s="78"/>
      <c r="BG101" s="78"/>
      <c r="BH101" s="78"/>
      <c r="BI101" s="78"/>
      <c r="BJ101" s="78"/>
      <c r="BK101" s="78"/>
      <c r="BL101" s="78"/>
      <c r="BM101" s="78"/>
      <c r="BN101" s="120" t="b">
        <f>IF(BY81=23,12)</f>
        <v>0</v>
      </c>
      <c r="BO101" s="121"/>
      <c r="BP101" s="121"/>
      <c r="BQ101" s="121"/>
      <c r="BR101" s="122"/>
      <c r="BS101" s="121"/>
      <c r="BT101" s="132"/>
      <c r="BU101" s="121"/>
      <c r="BV101" s="133"/>
      <c r="BW101" s="121"/>
      <c r="BX101" s="121"/>
      <c r="BY101" s="121"/>
      <c r="BZ101" s="121"/>
      <c r="CA101" s="121"/>
      <c r="CB101" s="121"/>
      <c r="CC101" s="121"/>
      <c r="CD101" s="121"/>
      <c r="CE101" s="121"/>
      <c r="CF101" s="122"/>
      <c r="CG101" s="123"/>
      <c r="CH101" s="123"/>
      <c r="CI101" s="123"/>
      <c r="CJ101" s="124" t="b">
        <f>IF(BY81=23,34)</f>
        <v>0</v>
      </c>
      <c r="CK101" s="76"/>
      <c r="CL101" s="76"/>
      <c r="CM101" s="76"/>
      <c r="CN101" s="76"/>
      <c r="CO101" s="78"/>
      <c r="CP101" s="78"/>
    </row>
    <row r="102" spans="2:94" ht="21" hidden="1" thickBot="1" x14ac:dyDescent="0.25">
      <c r="B102" s="330"/>
      <c r="C102" s="126"/>
      <c r="D102" s="126"/>
      <c r="E102" s="325"/>
      <c r="G102" s="998"/>
      <c r="O102" s="995"/>
      <c r="AP102" s="76"/>
      <c r="AQ102" s="126"/>
      <c r="AR102" s="126"/>
      <c r="AS102" s="126"/>
      <c r="AT102" s="126"/>
      <c r="AZ102" s="86"/>
      <c r="BA102" s="126"/>
      <c r="BB102" s="96">
        <v>22</v>
      </c>
      <c r="BC102" s="76"/>
      <c r="BD102" s="76"/>
      <c r="BE102" s="76"/>
      <c r="BF102" s="76"/>
      <c r="BG102" s="76"/>
      <c r="BH102" s="76"/>
      <c r="BI102" s="76"/>
      <c r="BJ102" s="76"/>
      <c r="BK102" s="76"/>
      <c r="BL102" s="76"/>
      <c r="BM102" s="76"/>
      <c r="BN102" s="120" t="b">
        <f>IF(BX81=22,12)</f>
        <v>0</v>
      </c>
      <c r="BO102" s="123"/>
      <c r="BP102" s="123"/>
      <c r="BQ102" s="123"/>
      <c r="BR102" s="122"/>
      <c r="BS102" s="123"/>
      <c r="BT102" s="134"/>
      <c r="BU102" s="123"/>
      <c r="BV102" s="135"/>
      <c r="BW102" s="123"/>
      <c r="BX102" s="123"/>
      <c r="BY102" s="123"/>
      <c r="BZ102" s="123"/>
      <c r="CA102" s="121"/>
      <c r="CB102" s="121"/>
      <c r="CC102" s="122"/>
      <c r="CD102" s="121"/>
      <c r="CE102" s="121"/>
      <c r="CF102" s="121"/>
      <c r="CG102" s="121"/>
      <c r="CH102" s="124" t="b">
        <f>IF(BX81=22,32)</f>
        <v>0</v>
      </c>
      <c r="CI102" s="78"/>
      <c r="CJ102" s="78"/>
      <c r="CK102" s="78"/>
      <c r="CL102" s="78"/>
      <c r="CM102" s="78"/>
      <c r="CN102" s="78"/>
      <c r="CO102" s="78"/>
      <c r="CP102" s="78"/>
    </row>
    <row r="103" spans="2:94" ht="21" hidden="1" thickBot="1" x14ac:dyDescent="0.25">
      <c r="B103" s="330"/>
      <c r="C103" s="126"/>
      <c r="D103" s="126"/>
      <c r="E103" s="325"/>
      <c r="G103" s="998"/>
      <c r="O103" s="995"/>
      <c r="AP103" s="331"/>
      <c r="AQ103" s="126"/>
      <c r="AR103" s="126"/>
      <c r="AS103" s="126"/>
      <c r="AT103" s="126"/>
      <c r="AZ103" s="86"/>
      <c r="BA103" s="126"/>
      <c r="BB103" s="96">
        <v>21</v>
      </c>
      <c r="BC103" s="78"/>
      <c r="BD103" s="78"/>
      <c r="BE103" s="78"/>
      <c r="BF103" s="78"/>
      <c r="BG103" s="78"/>
      <c r="BH103" s="78"/>
      <c r="BI103" s="78"/>
      <c r="BJ103" s="78"/>
      <c r="BK103" s="78"/>
      <c r="BL103" s="78"/>
      <c r="BM103" s="78"/>
      <c r="BN103" s="120" t="b">
        <f>IF(BW81=21,12)</f>
        <v>0</v>
      </c>
      <c r="BO103" s="121"/>
      <c r="BP103" s="121"/>
      <c r="BQ103" s="121"/>
      <c r="BR103" s="121"/>
      <c r="BS103" s="121"/>
      <c r="BT103" s="132"/>
      <c r="BU103" s="121"/>
      <c r="BV103" s="133"/>
      <c r="BW103" s="121"/>
      <c r="BX103" s="121"/>
      <c r="BY103" s="121"/>
      <c r="BZ103" s="121"/>
      <c r="CA103" s="121"/>
      <c r="CB103" s="121"/>
      <c r="CC103" s="121"/>
      <c r="CD103" s="121"/>
      <c r="CE103" s="121"/>
      <c r="CF103" s="124" t="b">
        <f>IF(BW81=21,30)</f>
        <v>0</v>
      </c>
      <c r="CG103" s="76"/>
      <c r="CH103" s="76"/>
      <c r="CI103" s="76"/>
      <c r="CJ103" s="76"/>
      <c r="CK103" s="76"/>
      <c r="CL103" s="76"/>
      <c r="CM103" s="76"/>
      <c r="CN103" s="76"/>
      <c r="CO103" s="78"/>
      <c r="CP103" s="78"/>
    </row>
    <row r="104" spans="2:94" ht="21" hidden="1" thickBot="1" x14ac:dyDescent="0.25">
      <c r="B104" s="330"/>
      <c r="C104" s="126"/>
      <c r="D104" s="126"/>
      <c r="E104" s="325"/>
      <c r="G104" s="998"/>
      <c r="O104" s="995"/>
      <c r="AP104" s="331"/>
      <c r="AQ104" s="136"/>
      <c r="AR104" s="136"/>
      <c r="AS104" s="136"/>
      <c r="AT104" s="136"/>
      <c r="AZ104" s="86"/>
      <c r="BA104" s="1091"/>
      <c r="BB104" s="96">
        <v>20</v>
      </c>
      <c r="BC104" s="78"/>
      <c r="BD104" s="78"/>
      <c r="BE104" s="78"/>
      <c r="BF104" s="78"/>
      <c r="BG104" s="78"/>
      <c r="BH104" s="78"/>
      <c r="BI104" s="78"/>
      <c r="BJ104" s="78"/>
      <c r="BM104" s="137"/>
      <c r="BN104" s="117" t="b">
        <f>IF(BV81=20,12)</f>
        <v>0</v>
      </c>
      <c r="BO104" s="111"/>
      <c r="BP104" s="111"/>
      <c r="BQ104" s="111"/>
      <c r="BR104" s="111"/>
      <c r="BS104" s="111"/>
      <c r="BT104" s="138"/>
      <c r="BU104" s="111"/>
      <c r="BV104" s="129"/>
      <c r="BW104" s="111"/>
      <c r="BX104" s="111"/>
      <c r="BY104" s="111"/>
      <c r="BZ104" s="111"/>
      <c r="CA104" s="111"/>
      <c r="CB104" s="111"/>
      <c r="CC104" s="111"/>
      <c r="CD104" s="103" t="b">
        <f>IF(BV81=20,28)</f>
        <v>0</v>
      </c>
      <c r="CE104" s="137"/>
      <c r="CG104" s="76"/>
      <c r="CH104" s="76"/>
      <c r="CI104" s="76"/>
      <c r="CJ104" s="76"/>
      <c r="CK104" s="76"/>
      <c r="CL104" s="76"/>
      <c r="CM104" s="76"/>
      <c r="CN104" s="76"/>
      <c r="CO104" s="78"/>
      <c r="CP104" s="78"/>
    </row>
    <row r="105" spans="2:94" ht="21" hidden="1" thickBot="1" x14ac:dyDescent="0.25">
      <c r="B105" s="330"/>
      <c r="C105" s="126"/>
      <c r="D105" s="126"/>
      <c r="E105" s="325"/>
      <c r="G105" s="998"/>
      <c r="O105" s="995"/>
      <c r="AP105" s="331"/>
      <c r="AQ105" s="136"/>
      <c r="AR105" s="136"/>
      <c r="AS105" s="136"/>
      <c r="AT105" s="136"/>
      <c r="AZ105" s="86"/>
      <c r="BA105" s="1091"/>
      <c r="BB105" s="96">
        <v>19</v>
      </c>
      <c r="BC105" s="78"/>
      <c r="BD105" s="78"/>
      <c r="BE105" s="78"/>
      <c r="BF105" s="78"/>
      <c r="BG105" s="78"/>
      <c r="BH105" s="78"/>
      <c r="BI105" s="78"/>
      <c r="BJ105" s="78"/>
      <c r="BL105" s="139"/>
      <c r="BM105" s="139"/>
      <c r="BN105" s="117">
        <f>IF(BU81=19,12)</f>
        <v>12</v>
      </c>
      <c r="BO105" s="119"/>
      <c r="BP105" s="119"/>
      <c r="BQ105" s="118"/>
      <c r="BR105" s="119"/>
      <c r="BS105" s="119"/>
      <c r="BT105" s="140"/>
      <c r="BU105" s="119"/>
      <c r="BV105" s="141"/>
      <c r="BW105" s="118"/>
      <c r="BX105" s="119"/>
      <c r="BY105" s="119"/>
      <c r="BZ105" s="119"/>
      <c r="CA105" s="111"/>
      <c r="CB105" s="103">
        <f>IF(BU81=19,26)</f>
        <v>26</v>
      </c>
      <c r="CC105" s="142"/>
      <c r="CD105" s="137"/>
      <c r="CF105" s="78"/>
      <c r="CG105" s="78"/>
      <c r="CH105" s="78"/>
      <c r="CI105" s="78"/>
      <c r="CJ105" s="78"/>
      <c r="CK105" s="78"/>
      <c r="CL105" s="78"/>
      <c r="CM105" s="78"/>
      <c r="CN105" s="78"/>
      <c r="CO105" s="78"/>
      <c r="CP105" s="78"/>
    </row>
    <row r="106" spans="2:94" ht="21" hidden="1" thickBot="1" x14ac:dyDescent="0.25">
      <c r="B106" s="330"/>
      <c r="C106" s="126"/>
      <c r="D106" s="126"/>
      <c r="E106" s="325"/>
      <c r="G106" s="998"/>
      <c r="O106" s="995"/>
      <c r="AP106" s="331"/>
      <c r="AQ106" s="136"/>
      <c r="AR106" s="136"/>
      <c r="AS106" s="136"/>
      <c r="AT106" s="136"/>
      <c r="AZ106" s="86"/>
      <c r="BA106" s="1091"/>
      <c r="BB106" s="96">
        <v>18</v>
      </c>
      <c r="BC106" s="76"/>
      <c r="BD106" s="76"/>
      <c r="BE106" s="76"/>
      <c r="BF106" s="76"/>
      <c r="BG106" s="76"/>
      <c r="BH106" s="76"/>
      <c r="BI106" s="76"/>
      <c r="BJ106" s="76"/>
      <c r="BL106" s="117" t="b">
        <f>IF(BT81=18,10)</f>
        <v>0</v>
      </c>
      <c r="BM106" s="119"/>
      <c r="BN106" s="119"/>
      <c r="BO106" s="119"/>
      <c r="BP106" s="119"/>
      <c r="BQ106" s="118"/>
      <c r="BR106" s="119"/>
      <c r="BS106" s="119"/>
      <c r="BT106" s="140"/>
      <c r="BU106" s="119"/>
      <c r="BV106" s="141"/>
      <c r="BW106" s="118"/>
      <c r="BX106" s="119"/>
      <c r="BY106" s="119"/>
      <c r="BZ106" s="119"/>
      <c r="CA106" s="111"/>
      <c r="CB106" s="103" t="b">
        <f>IF(BT81=18,26)</f>
        <v>0</v>
      </c>
      <c r="CD106" s="78"/>
      <c r="CE106" s="78"/>
      <c r="CF106" s="78"/>
      <c r="CG106" s="78"/>
      <c r="CH106" s="78"/>
      <c r="CI106" s="78"/>
      <c r="CJ106" s="78"/>
      <c r="CK106" s="78"/>
      <c r="CL106" s="78"/>
      <c r="CM106" s="78"/>
      <c r="CN106" s="78"/>
      <c r="CO106" s="78"/>
      <c r="CP106" s="78"/>
    </row>
    <row r="107" spans="2:94" ht="21" hidden="1" thickBot="1" x14ac:dyDescent="0.25">
      <c r="B107" s="330"/>
      <c r="C107" s="126"/>
      <c r="D107" s="126"/>
      <c r="E107" s="325"/>
      <c r="G107" s="998"/>
      <c r="O107" s="995"/>
      <c r="AP107" s="331"/>
      <c r="AQ107" s="136"/>
      <c r="AR107" s="136"/>
      <c r="AS107" s="136"/>
      <c r="AT107" s="136"/>
      <c r="AZ107" s="86"/>
      <c r="BA107" s="1091"/>
      <c r="BB107" s="96">
        <v>17</v>
      </c>
      <c r="BC107" s="76"/>
      <c r="BD107" s="76"/>
      <c r="BE107" s="76"/>
      <c r="BF107" s="76"/>
      <c r="BG107" s="76"/>
      <c r="BH107" s="76"/>
      <c r="BI107" s="76"/>
      <c r="BJ107" s="117" t="b">
        <f>IF(BS81=17,8)</f>
        <v>0</v>
      </c>
      <c r="BK107" s="118"/>
      <c r="BL107" s="118"/>
      <c r="BM107" s="119"/>
      <c r="BN107" s="119"/>
      <c r="BO107" s="119"/>
      <c r="BP107" s="119"/>
      <c r="BQ107" s="119"/>
      <c r="BR107" s="119"/>
      <c r="BS107" s="119"/>
      <c r="BT107" s="140"/>
      <c r="BU107" s="119"/>
      <c r="BV107" s="141"/>
      <c r="BW107" s="119"/>
      <c r="BX107" s="119"/>
      <c r="BY107" s="119"/>
      <c r="BZ107" s="118"/>
      <c r="CA107" s="118"/>
      <c r="CB107" s="103" t="b">
        <f>IF(BS81=17,26)</f>
        <v>0</v>
      </c>
      <c r="CC107" s="78"/>
      <c r="CD107" s="78"/>
      <c r="CE107" s="78"/>
      <c r="CF107" s="78"/>
      <c r="CG107" s="78"/>
      <c r="CH107" s="78"/>
      <c r="CI107" s="78"/>
      <c r="CJ107" s="78"/>
      <c r="CK107" s="78"/>
      <c r="CL107" s="78"/>
      <c r="CM107" s="78"/>
      <c r="CN107" s="78"/>
      <c r="CO107" s="78"/>
      <c r="CP107" s="78"/>
    </row>
    <row r="108" spans="2:94" ht="21" hidden="1" thickBot="1" x14ac:dyDescent="0.25">
      <c r="B108" s="330"/>
      <c r="C108" s="126"/>
      <c r="D108" s="126"/>
      <c r="E108" s="325"/>
      <c r="G108" s="998"/>
      <c r="O108" s="995"/>
      <c r="AP108" s="331"/>
      <c r="AQ108" s="136"/>
      <c r="AR108" s="136"/>
      <c r="AS108" s="136"/>
      <c r="AT108" s="136"/>
      <c r="AZ108" s="86"/>
      <c r="BA108" s="1091"/>
      <c r="BB108" s="96">
        <v>16</v>
      </c>
      <c r="BC108" s="76"/>
      <c r="BD108" s="76"/>
      <c r="BE108" s="76"/>
      <c r="BF108" s="76"/>
      <c r="BG108" s="76"/>
      <c r="BH108" s="145" t="b">
        <f>IF(BR81=16,6)</f>
        <v>0</v>
      </c>
      <c r="BI108" s="146"/>
      <c r="BJ108" s="147"/>
      <c r="BK108" s="147"/>
      <c r="BL108" s="146"/>
      <c r="BM108" s="146"/>
      <c r="BN108" s="146"/>
      <c r="BO108" s="146"/>
      <c r="BP108" s="146"/>
      <c r="BQ108" s="146"/>
      <c r="BR108" s="146"/>
      <c r="BS108" s="146"/>
      <c r="BT108" s="148"/>
      <c r="BU108" s="146"/>
      <c r="BV108" s="149"/>
      <c r="BW108" s="146"/>
      <c r="BX108" s="146"/>
      <c r="BY108" s="147"/>
      <c r="BZ108" s="147"/>
      <c r="CA108" s="150"/>
      <c r="CB108" s="151" t="b">
        <f>IF(BR81=16,26)</f>
        <v>0</v>
      </c>
      <c r="CC108" s="78"/>
      <c r="CD108" s="78"/>
      <c r="CE108" s="78"/>
      <c r="CF108" s="78"/>
      <c r="CG108" s="78"/>
      <c r="CH108" s="78"/>
      <c r="CI108" s="78"/>
      <c r="CJ108" s="78"/>
      <c r="CK108" s="78"/>
      <c r="CL108" s="78"/>
      <c r="CM108" s="78"/>
      <c r="CN108" s="78"/>
      <c r="CO108" s="78"/>
      <c r="CP108" s="78"/>
    </row>
    <row r="109" spans="2:94" ht="21" hidden="1" thickBot="1" x14ac:dyDescent="0.25">
      <c r="B109" s="330"/>
      <c r="C109" s="126"/>
      <c r="D109" s="126"/>
      <c r="E109" s="325"/>
      <c r="G109" s="998"/>
      <c r="O109" s="995"/>
      <c r="AP109" s="76"/>
      <c r="AQ109" s="136"/>
      <c r="AR109" s="136"/>
      <c r="AS109" s="136"/>
      <c r="AT109" s="136"/>
      <c r="AZ109" s="86"/>
      <c r="BA109" s="1091"/>
      <c r="BB109" s="96">
        <v>15</v>
      </c>
      <c r="BC109" s="76"/>
      <c r="BD109" s="76"/>
      <c r="BE109" s="76"/>
      <c r="BF109" s="117" t="b">
        <f>IF(BQ81=15,4)</f>
        <v>0</v>
      </c>
      <c r="BG109" s="119"/>
      <c r="BH109" s="119"/>
      <c r="BI109" s="119"/>
      <c r="BJ109" s="118"/>
      <c r="BK109" s="119"/>
      <c r="BL109" s="119"/>
      <c r="BM109" s="118"/>
      <c r="BN109" s="119"/>
      <c r="BO109" s="119"/>
      <c r="BP109" s="119"/>
      <c r="BQ109" s="119"/>
      <c r="BR109" s="119"/>
      <c r="BS109" s="119"/>
      <c r="BT109" s="140"/>
      <c r="BU109" s="118"/>
      <c r="BV109" s="141"/>
      <c r="BW109" s="119"/>
      <c r="BX109" s="118"/>
      <c r="BY109" s="119"/>
      <c r="BZ109" s="119"/>
      <c r="CA109" s="111"/>
      <c r="CB109" s="103" t="b">
        <f>IF(BQ81=15,26)</f>
        <v>0</v>
      </c>
      <c r="CC109" s="78"/>
      <c r="CD109" s="78"/>
      <c r="CE109" s="78"/>
      <c r="CF109" s="78"/>
      <c r="CG109" s="78"/>
      <c r="CH109" s="78"/>
      <c r="CI109" s="78"/>
      <c r="CJ109" s="78"/>
      <c r="CK109" s="78"/>
      <c r="CL109" s="78"/>
      <c r="CM109" s="78"/>
      <c r="CN109" s="78"/>
      <c r="CO109" s="78"/>
      <c r="CP109" s="78"/>
    </row>
    <row r="110" spans="2:94" ht="31" hidden="1" thickBot="1" x14ac:dyDescent="0.3">
      <c r="B110" s="332"/>
      <c r="C110" s="333"/>
      <c r="D110" s="333"/>
      <c r="E110" s="68"/>
      <c r="G110" s="998"/>
      <c r="O110" s="995"/>
      <c r="AP110" s="329"/>
      <c r="AQ110" s="136"/>
      <c r="AR110" s="136"/>
      <c r="AS110" s="136"/>
      <c r="AT110" s="136"/>
      <c r="AZ110" s="86"/>
      <c r="BA110" s="1091"/>
      <c r="BB110" s="96">
        <v>14</v>
      </c>
      <c r="BC110" s="76"/>
      <c r="BD110" s="117" t="b">
        <f>IF(BP81=14,2)</f>
        <v>0</v>
      </c>
      <c r="BE110" s="119"/>
      <c r="BF110" s="119"/>
      <c r="BG110" s="119"/>
      <c r="BH110" s="118"/>
      <c r="BI110" s="119"/>
      <c r="BJ110" s="119"/>
      <c r="BK110" s="118"/>
      <c r="BL110" s="119"/>
      <c r="BM110" s="119"/>
      <c r="BN110" s="119"/>
      <c r="BO110" s="119"/>
      <c r="BP110" s="119"/>
      <c r="BQ110" s="119"/>
      <c r="BR110" s="119"/>
      <c r="BS110" s="119"/>
      <c r="BT110" s="140"/>
      <c r="BU110" s="118"/>
      <c r="BV110" s="141"/>
      <c r="BW110" s="119"/>
      <c r="BX110" s="118"/>
      <c r="BY110" s="119"/>
      <c r="BZ110" s="119"/>
      <c r="CA110" s="111"/>
      <c r="CB110" s="103" t="b">
        <f>IF(BP81=14,26)</f>
        <v>0</v>
      </c>
      <c r="CC110" s="78"/>
      <c r="CD110" s="78"/>
      <c r="CE110" s="78"/>
      <c r="CF110" s="78"/>
      <c r="CG110" s="78"/>
      <c r="CH110" s="78"/>
      <c r="CI110" s="78"/>
      <c r="CJ110" s="78"/>
      <c r="CK110" s="78"/>
      <c r="CL110" s="78"/>
      <c r="CM110" s="78"/>
      <c r="CN110" s="78"/>
      <c r="CO110" s="78"/>
      <c r="CP110" s="78"/>
    </row>
    <row r="111" spans="2:94" ht="21" hidden="1" thickBot="1" x14ac:dyDescent="0.25">
      <c r="B111" s="1832"/>
      <c r="C111" s="1832"/>
      <c r="D111" s="1832"/>
      <c r="E111" s="1832"/>
      <c r="G111" s="998"/>
      <c r="O111" s="995"/>
      <c r="AP111" s="76"/>
      <c r="AQ111" s="136"/>
      <c r="AR111" s="136"/>
      <c r="AS111" s="136"/>
      <c r="AT111" s="136"/>
      <c r="AZ111" s="86"/>
      <c r="BA111" s="1091"/>
      <c r="BB111" s="96">
        <v>13</v>
      </c>
      <c r="BC111" s="76"/>
      <c r="BD111" s="76"/>
      <c r="BE111" s="76"/>
      <c r="BG111" s="152"/>
      <c r="BH111" s="152"/>
      <c r="BI111" s="91"/>
      <c r="BJ111" s="152"/>
      <c r="BK111" s="120" t="b">
        <f>IF(BO81=13,9)</f>
        <v>0</v>
      </c>
      <c r="BL111" s="123"/>
      <c r="BM111" s="123"/>
      <c r="BN111" s="123"/>
      <c r="BO111" s="123"/>
      <c r="BP111" s="123"/>
      <c r="BQ111" s="123"/>
      <c r="BR111" s="123"/>
      <c r="BS111" s="124" t="b">
        <f>IF(BO81=13,17)</f>
        <v>0</v>
      </c>
      <c r="BT111" s="153"/>
      <c r="BU111" s="91"/>
      <c r="BV111" s="154"/>
      <c r="BW111" s="152"/>
      <c r="BY111" s="76"/>
      <c r="BZ111" s="76"/>
      <c r="CA111" s="78"/>
      <c r="CB111" s="78"/>
      <c r="CC111" s="78"/>
      <c r="CD111" s="78"/>
      <c r="CE111" s="78"/>
      <c r="CF111" s="78"/>
      <c r="CG111" s="78"/>
      <c r="CH111" s="78"/>
      <c r="CI111" s="78"/>
      <c r="CJ111" s="78"/>
      <c r="CK111" s="78"/>
      <c r="CL111" s="78"/>
      <c r="CM111" s="78"/>
      <c r="CN111" s="78"/>
      <c r="CO111" s="78"/>
      <c r="CP111" s="78"/>
    </row>
    <row r="112" spans="2:94" ht="21" hidden="1" thickBot="1" x14ac:dyDescent="0.25">
      <c r="B112" s="330"/>
      <c r="C112" s="126"/>
      <c r="D112" s="126"/>
      <c r="E112" s="325"/>
      <c r="G112" s="998"/>
      <c r="O112" s="995"/>
      <c r="AP112" s="199"/>
      <c r="AQ112" s="136"/>
      <c r="AR112" s="136"/>
      <c r="AS112" s="136"/>
      <c r="AT112" s="136"/>
      <c r="AZ112" s="86"/>
      <c r="BA112" s="1091"/>
      <c r="BB112" s="96">
        <v>12</v>
      </c>
      <c r="BC112" s="76"/>
      <c r="BE112" s="139"/>
      <c r="BF112" s="139"/>
      <c r="BG112" s="142"/>
      <c r="BH112" s="139"/>
      <c r="BI112" s="117" t="b">
        <f>IF(BN81=12,7)</f>
        <v>0</v>
      </c>
      <c r="BJ112" s="119"/>
      <c r="BK112" s="119"/>
      <c r="BL112" s="119"/>
      <c r="BM112" s="119"/>
      <c r="BN112" s="119"/>
      <c r="BO112" s="119"/>
      <c r="BP112" s="119"/>
      <c r="BQ112" s="119"/>
      <c r="BR112" s="119"/>
      <c r="BS112" s="103" t="b">
        <f>IF(BN81=12,17)</f>
        <v>0</v>
      </c>
      <c r="BT112" s="155"/>
      <c r="BU112" s="142"/>
      <c r="BV112" s="156"/>
      <c r="BW112" s="139"/>
      <c r="BY112" s="76"/>
      <c r="BZ112" s="76"/>
      <c r="CA112" s="78"/>
      <c r="CB112" s="78"/>
      <c r="CC112" s="78"/>
      <c r="CD112" s="78"/>
      <c r="CE112" s="78"/>
      <c r="CF112" s="78"/>
      <c r="CG112" s="78"/>
      <c r="CH112" s="78"/>
      <c r="CI112" s="78"/>
      <c r="CJ112" s="78"/>
      <c r="CK112" s="78"/>
      <c r="CL112" s="78"/>
      <c r="CM112" s="78"/>
      <c r="CN112" s="78"/>
      <c r="CO112" s="78"/>
      <c r="CP112" s="78"/>
    </row>
    <row r="113" spans="2:94" ht="21" hidden="1" thickBot="1" x14ac:dyDescent="0.25">
      <c r="B113" s="330"/>
      <c r="C113" s="126"/>
      <c r="D113" s="64"/>
      <c r="E113" s="325"/>
      <c r="F113" s="64"/>
      <c r="G113" s="998"/>
      <c r="O113" s="995"/>
      <c r="AP113" s="199"/>
      <c r="AQ113" s="136"/>
      <c r="AR113" s="136"/>
      <c r="AS113" s="136"/>
      <c r="AT113" s="136"/>
      <c r="AZ113" s="86"/>
      <c r="BA113" s="1091"/>
      <c r="BB113" s="96">
        <v>11</v>
      </c>
      <c r="BD113" s="152"/>
      <c r="BE113" s="91"/>
      <c r="BF113" s="152"/>
      <c r="BG113" s="117" t="b">
        <f>IF(BM81=11,5)</f>
        <v>0</v>
      </c>
      <c r="BH113" s="119"/>
      <c r="BI113" s="119"/>
      <c r="BJ113" s="119"/>
      <c r="BK113" s="119"/>
      <c r="BL113" s="119"/>
      <c r="BM113" s="119"/>
      <c r="BN113" s="119"/>
      <c r="BO113" s="119"/>
      <c r="BP113" s="119"/>
      <c r="BQ113" s="119"/>
      <c r="BR113" s="119"/>
      <c r="BS113" s="103" t="b">
        <f>IF(BM81=11,17)</f>
        <v>0</v>
      </c>
      <c r="BT113" s="153"/>
      <c r="BU113" s="91"/>
      <c r="BV113" s="154"/>
      <c r="BX113" s="76"/>
      <c r="BY113" s="76"/>
      <c r="BZ113" s="76"/>
      <c r="CA113" s="78"/>
      <c r="CB113" s="78"/>
      <c r="CC113" s="78"/>
      <c r="CD113" s="78"/>
      <c r="CE113" s="78"/>
      <c r="CF113" s="78"/>
      <c r="CG113" s="78"/>
      <c r="CH113" s="78"/>
      <c r="CI113" s="78"/>
      <c r="CJ113" s="78"/>
      <c r="CK113" s="78"/>
      <c r="CL113" s="78"/>
      <c r="CM113" s="78"/>
      <c r="CN113" s="78"/>
      <c r="CO113" s="78"/>
      <c r="CP113" s="78"/>
    </row>
    <row r="114" spans="2:94" ht="24" hidden="1" thickBot="1" x14ac:dyDescent="0.3">
      <c r="B114" s="334"/>
      <c r="C114" s="333"/>
      <c r="D114" s="334"/>
      <c r="E114" s="334"/>
      <c r="G114" s="998"/>
      <c r="O114" s="995"/>
      <c r="AP114" s="329"/>
      <c r="AQ114" s="136"/>
      <c r="AR114" s="136"/>
      <c r="AS114" s="136"/>
      <c r="AT114" s="136"/>
      <c r="AZ114" s="86"/>
      <c r="BA114" s="1091"/>
      <c r="BB114" s="96">
        <v>10</v>
      </c>
      <c r="BD114" s="152"/>
      <c r="BE114" s="117" t="b">
        <f>IF(BL81=10,3)</f>
        <v>0</v>
      </c>
      <c r="BF114" s="119"/>
      <c r="BG114" s="119"/>
      <c r="BH114" s="119"/>
      <c r="BI114" s="119"/>
      <c r="BJ114" s="119"/>
      <c r="BK114" s="119"/>
      <c r="BL114" s="119"/>
      <c r="BM114" s="119"/>
      <c r="BN114" s="119"/>
      <c r="BO114" s="119"/>
      <c r="BP114" s="119"/>
      <c r="BQ114" s="119"/>
      <c r="BR114" s="119"/>
      <c r="BS114" s="103" t="b">
        <f>IF(BL81=10,17)</f>
        <v>0</v>
      </c>
      <c r="BT114" s="153"/>
      <c r="BV114" s="157"/>
      <c r="BW114" s="76"/>
      <c r="BX114" s="76"/>
      <c r="BY114" s="76"/>
      <c r="BZ114" s="76"/>
      <c r="CA114" s="78"/>
      <c r="CB114" s="78"/>
      <c r="CC114" s="78"/>
      <c r="CD114" s="78"/>
      <c r="CE114" s="78"/>
      <c r="CF114" s="78"/>
      <c r="CG114" s="78"/>
      <c r="CH114" s="78"/>
      <c r="CI114" s="78"/>
      <c r="CJ114" s="78"/>
      <c r="CK114" s="78"/>
      <c r="CL114" s="78"/>
      <c r="CM114" s="78"/>
      <c r="CN114" s="78"/>
      <c r="CO114" s="78"/>
      <c r="CP114" s="78"/>
    </row>
    <row r="115" spans="2:94" ht="21" hidden="1" thickBot="1" x14ac:dyDescent="0.25">
      <c r="B115" s="335"/>
      <c r="C115" s="333"/>
      <c r="D115" s="86"/>
      <c r="E115" s="336"/>
      <c r="G115" s="998"/>
      <c r="O115" s="995"/>
      <c r="AP115" s="199"/>
      <c r="AR115" s="136"/>
      <c r="AS115" s="136"/>
      <c r="AT115" s="136"/>
      <c r="AZ115" s="86"/>
      <c r="BA115" s="1091"/>
      <c r="BB115" s="96">
        <v>9</v>
      </c>
      <c r="BC115" s="117" t="b">
        <f>IF(BK81=9,1)</f>
        <v>0</v>
      </c>
      <c r="BD115" s="119"/>
      <c r="BE115" s="119"/>
      <c r="BF115" s="119"/>
      <c r="BG115" s="119"/>
      <c r="BH115" s="119"/>
      <c r="BI115" s="119"/>
      <c r="BJ115" s="119"/>
      <c r="BK115" s="119"/>
      <c r="BL115" s="119"/>
      <c r="BM115" s="119"/>
      <c r="BN115" s="119"/>
      <c r="BO115" s="119"/>
      <c r="BP115" s="119"/>
      <c r="BQ115" s="119"/>
      <c r="BR115" s="119"/>
      <c r="BS115" s="103" t="b">
        <f>IF(BK81=9,17)</f>
        <v>0</v>
      </c>
      <c r="BT115" s="76"/>
      <c r="BU115" s="76"/>
      <c r="BV115" s="157"/>
      <c r="BW115" s="76"/>
      <c r="BX115" s="76"/>
      <c r="BY115" s="76"/>
      <c r="BZ115" s="76"/>
      <c r="CA115" s="78"/>
      <c r="CB115" s="78"/>
      <c r="CC115" s="78"/>
      <c r="CD115" s="78"/>
      <c r="CE115" s="78"/>
      <c r="CF115" s="78"/>
      <c r="CG115" s="78"/>
      <c r="CH115" s="78"/>
      <c r="CI115" s="78"/>
      <c r="CJ115" s="78"/>
      <c r="CK115" s="78"/>
      <c r="CL115" s="78"/>
      <c r="CM115" s="78"/>
      <c r="CN115" s="78"/>
      <c r="CO115" s="78"/>
      <c r="CP115" s="78"/>
    </row>
    <row r="116" spans="2:94" ht="21" hidden="1" thickBot="1" x14ac:dyDescent="0.25">
      <c r="B116" s="335"/>
      <c r="C116" s="333"/>
      <c r="D116" s="333"/>
      <c r="E116" s="336"/>
      <c r="G116" s="998"/>
      <c r="O116" s="995"/>
      <c r="AP116" s="199"/>
      <c r="AQ116" s="136"/>
      <c r="AR116" s="136"/>
      <c r="AS116" s="136"/>
      <c r="AT116" s="136"/>
      <c r="AZ116" s="86"/>
      <c r="BA116" s="1091"/>
      <c r="BB116" s="96">
        <v>8</v>
      </c>
      <c r="BC116" s="117" t="b">
        <f>IF(BJ81=8,1)</f>
        <v>0</v>
      </c>
      <c r="BD116" s="119"/>
      <c r="BE116" s="118"/>
      <c r="BF116" s="119"/>
      <c r="BG116" s="119"/>
      <c r="BH116" s="119"/>
      <c r="BI116" s="119"/>
      <c r="BJ116" s="119"/>
      <c r="BK116" s="119"/>
      <c r="BL116" s="119"/>
      <c r="BM116" s="119"/>
      <c r="BN116" s="119"/>
      <c r="BO116" s="118"/>
      <c r="BP116" s="119"/>
      <c r="BQ116" s="103" t="b">
        <f>IF(BJ81=8,15)</f>
        <v>0</v>
      </c>
      <c r="BR116" s="76"/>
      <c r="BS116" s="76"/>
      <c r="BT116" s="158"/>
      <c r="BU116" s="76"/>
      <c r="BV116" s="157"/>
      <c r="BW116" s="76"/>
      <c r="BX116" s="76"/>
      <c r="BY116" s="76"/>
      <c r="BZ116" s="76"/>
      <c r="CA116" s="78"/>
      <c r="CB116" s="78"/>
      <c r="CC116" s="78"/>
      <c r="CD116" s="78"/>
      <c r="CE116" s="78"/>
      <c r="CF116" s="78"/>
      <c r="CG116" s="78"/>
      <c r="CH116" s="78"/>
      <c r="CI116" s="78"/>
      <c r="CJ116" s="78"/>
      <c r="CK116" s="78"/>
      <c r="CL116" s="78"/>
      <c r="CM116" s="78"/>
      <c r="CN116" s="78"/>
      <c r="CO116" s="78"/>
      <c r="CP116" s="78"/>
    </row>
    <row r="117" spans="2:94" ht="21" hidden="1" thickBot="1" x14ac:dyDescent="0.25">
      <c r="B117" s="337"/>
      <c r="C117" s="86"/>
      <c r="D117" s="86"/>
      <c r="E117" s="86"/>
      <c r="G117" s="998"/>
      <c r="O117" s="995"/>
      <c r="AP117" s="199"/>
      <c r="AR117" s="136"/>
      <c r="AS117" s="136"/>
      <c r="AT117" s="136"/>
      <c r="AZ117" s="86"/>
      <c r="BA117" s="1091"/>
      <c r="BB117" s="96">
        <v>7</v>
      </c>
      <c r="BC117" s="117" t="b">
        <f>IF(BI81=7,1)</f>
        <v>0</v>
      </c>
      <c r="BD117" s="118"/>
      <c r="BE117" s="119"/>
      <c r="BF117" s="119"/>
      <c r="BG117" s="119"/>
      <c r="BH117" s="119"/>
      <c r="BI117" s="119"/>
      <c r="BJ117" s="119"/>
      <c r="BK117" s="119"/>
      <c r="BL117" s="119"/>
      <c r="BM117" s="118"/>
      <c r="BN117" s="118"/>
      <c r="BO117" s="103" t="b">
        <f>IF(BI81=7,13)</f>
        <v>0</v>
      </c>
      <c r="BP117" s="76"/>
      <c r="BQ117" s="76"/>
      <c r="BR117" s="76"/>
      <c r="BS117" s="76"/>
      <c r="BT117" s="158"/>
      <c r="BU117" s="76"/>
      <c r="BV117" s="157"/>
      <c r="BW117" s="76"/>
      <c r="BX117" s="76"/>
      <c r="BY117" s="76"/>
      <c r="BZ117" s="76"/>
      <c r="CA117" s="78"/>
      <c r="CB117" s="78"/>
      <c r="CC117" s="78"/>
      <c r="CD117" s="78"/>
      <c r="CE117" s="78"/>
      <c r="CF117" s="78"/>
      <c r="CG117" s="78"/>
      <c r="CH117" s="78"/>
      <c r="CI117" s="78"/>
      <c r="CJ117" s="78"/>
      <c r="CK117" s="78"/>
      <c r="CL117" s="78"/>
      <c r="CM117" s="78"/>
      <c r="CN117" s="78"/>
      <c r="CO117" s="78"/>
      <c r="CP117" s="78"/>
    </row>
    <row r="118" spans="2:94" ht="21" hidden="1" thickBot="1" x14ac:dyDescent="0.25">
      <c r="B118" s="335"/>
      <c r="C118" s="333"/>
      <c r="G118" s="998"/>
      <c r="O118" s="995"/>
      <c r="AP118" s="78"/>
      <c r="AR118" s="136"/>
      <c r="AS118" s="136"/>
      <c r="AT118" s="136"/>
      <c r="AZ118" s="86"/>
      <c r="BA118" s="1091"/>
      <c r="BB118" s="96">
        <v>6</v>
      </c>
      <c r="BC118" s="120" t="b">
        <f>IF(BH81=6,1)</f>
        <v>0</v>
      </c>
      <c r="BD118" s="123"/>
      <c r="BE118" s="123"/>
      <c r="BF118" s="123"/>
      <c r="BG118" s="123"/>
      <c r="BH118" s="123"/>
      <c r="BI118" s="123"/>
      <c r="BJ118" s="123"/>
      <c r="BK118" s="123"/>
      <c r="BL118" s="123"/>
      <c r="BM118" s="124" t="b">
        <f>IF(BH81=6,11)</f>
        <v>0</v>
      </c>
      <c r="BN118" s="76"/>
      <c r="BO118" s="76"/>
      <c r="BP118" s="76"/>
      <c r="BQ118" s="76"/>
      <c r="BR118" s="76"/>
      <c r="BS118" s="76"/>
      <c r="BT118" s="158"/>
      <c r="BU118" s="76"/>
      <c r="BV118" s="157"/>
      <c r="BW118" s="76"/>
      <c r="BX118" s="76"/>
      <c r="BY118" s="76"/>
      <c r="BZ118" s="76"/>
      <c r="CA118" s="78"/>
      <c r="CB118" s="78"/>
      <c r="CC118" s="78"/>
      <c r="CD118" s="78"/>
      <c r="CE118" s="78"/>
      <c r="CF118" s="78"/>
      <c r="CG118" s="78"/>
      <c r="CH118" s="78"/>
      <c r="CI118" s="78"/>
      <c r="CJ118" s="78"/>
      <c r="CK118" s="78"/>
      <c r="CL118" s="78"/>
      <c r="CM118" s="78"/>
      <c r="CN118" s="78"/>
      <c r="CO118" s="78"/>
      <c r="CP118" s="78"/>
    </row>
    <row r="119" spans="2:94" ht="21" hidden="1" thickBot="1" x14ac:dyDescent="0.25">
      <c r="B119" s="338"/>
      <c r="C119" s="86"/>
      <c r="D119" s="338"/>
      <c r="E119" s="339"/>
      <c r="G119" s="998"/>
      <c r="O119" s="995"/>
      <c r="AP119" s="59"/>
      <c r="AQ119" s="136"/>
      <c r="AR119" s="136"/>
      <c r="AS119" s="136"/>
      <c r="AT119" s="136"/>
      <c r="AZ119" s="86"/>
      <c r="BA119" s="1091"/>
      <c r="BB119" s="96">
        <v>5</v>
      </c>
      <c r="BC119" s="120" t="b">
        <f>IF(BG81=5,1)</f>
        <v>0</v>
      </c>
      <c r="BD119" s="122"/>
      <c r="BE119" s="123"/>
      <c r="BF119" s="123"/>
      <c r="BG119" s="123"/>
      <c r="BH119" s="123"/>
      <c r="BI119" s="123"/>
      <c r="BJ119" s="122"/>
      <c r="BK119" s="124" t="b">
        <f>IF(BG81=5,9)</f>
        <v>0</v>
      </c>
      <c r="BL119" s="76"/>
      <c r="BM119" s="76"/>
      <c r="BN119" s="76"/>
      <c r="BO119" s="76"/>
      <c r="BP119" s="76"/>
      <c r="BQ119" s="76"/>
      <c r="BR119" s="76"/>
      <c r="BS119" s="76"/>
      <c r="BT119" s="158"/>
      <c r="BU119" s="76"/>
      <c r="BV119" s="157"/>
      <c r="BW119" s="76"/>
      <c r="BX119" s="76"/>
      <c r="BY119" s="76"/>
      <c r="BZ119" s="76"/>
      <c r="CA119" s="78"/>
      <c r="CB119" s="78"/>
      <c r="CC119" s="78"/>
      <c r="CD119" s="78"/>
      <c r="CE119" s="78"/>
      <c r="CF119" s="78"/>
      <c r="CG119" s="78"/>
      <c r="CH119" s="78"/>
      <c r="CI119" s="78"/>
      <c r="CJ119" s="78"/>
      <c r="CK119" s="78"/>
      <c r="CL119" s="78"/>
      <c r="CM119" s="78"/>
      <c r="CN119" s="78"/>
      <c r="CO119" s="78"/>
      <c r="CP119" s="78"/>
    </row>
    <row r="120" spans="2:94" ht="21" hidden="1" thickBot="1" x14ac:dyDescent="0.25">
      <c r="B120" s="338"/>
      <c r="C120" s="86"/>
      <c r="D120" s="338"/>
      <c r="E120" s="20"/>
      <c r="G120" s="998"/>
      <c r="O120" s="995"/>
      <c r="AP120" s="59"/>
      <c r="AR120" s="136"/>
      <c r="AS120" s="136"/>
      <c r="AT120" s="136"/>
      <c r="AZ120" s="86"/>
      <c r="BA120" s="1091"/>
      <c r="BB120" s="96">
        <v>4</v>
      </c>
      <c r="BC120" s="120" t="b">
        <f>IF(BF81=4,1)</f>
        <v>0</v>
      </c>
      <c r="BD120" s="123"/>
      <c r="BE120" s="123"/>
      <c r="BF120" s="123"/>
      <c r="BG120" s="123"/>
      <c r="BH120" s="123"/>
      <c r="BI120" s="124" t="b">
        <f>IF(BF81=4,7)</f>
        <v>0</v>
      </c>
      <c r="BJ120" s="76"/>
      <c r="BK120" s="159"/>
      <c r="BL120" s="159"/>
      <c r="BM120" s="76"/>
      <c r="BN120" s="159"/>
      <c r="BO120" s="76"/>
      <c r="BP120" s="76"/>
      <c r="BQ120" s="76"/>
      <c r="BR120" s="76"/>
      <c r="BS120" s="76"/>
      <c r="BT120" s="158"/>
      <c r="BU120" s="76"/>
      <c r="BV120" s="157"/>
      <c r="BW120" s="76"/>
      <c r="BX120" s="76"/>
      <c r="BY120" s="76"/>
      <c r="BZ120" s="76"/>
      <c r="CA120" s="78"/>
      <c r="CB120" s="78"/>
      <c r="CC120" s="78"/>
      <c r="CD120" s="78"/>
      <c r="CE120" s="78"/>
      <c r="CF120" s="78"/>
      <c r="CG120" s="78"/>
      <c r="CH120" s="78"/>
      <c r="CI120" s="78"/>
      <c r="CJ120" s="78"/>
      <c r="CK120" s="78"/>
      <c r="CL120" s="78"/>
      <c r="CM120" s="78"/>
      <c r="CN120" s="78"/>
      <c r="CO120" s="78"/>
      <c r="CP120" s="78"/>
    </row>
    <row r="121" spans="2:94" ht="21" hidden="1" thickBot="1" x14ac:dyDescent="0.25">
      <c r="B121" s="143"/>
      <c r="G121" s="998"/>
      <c r="O121" s="995"/>
      <c r="AP121" s="59"/>
      <c r="AQ121" s="136"/>
      <c r="AR121" s="136"/>
      <c r="AS121" s="136"/>
      <c r="AT121" s="136"/>
      <c r="AZ121" s="86"/>
      <c r="BA121" s="1091"/>
      <c r="BB121" s="96">
        <v>3</v>
      </c>
      <c r="BC121" s="120" t="b">
        <f>IF(BE81=3,1)</f>
        <v>0</v>
      </c>
      <c r="BD121" s="123"/>
      <c r="BE121" s="123"/>
      <c r="BF121" s="123"/>
      <c r="BG121" s="124" t="b">
        <f>IF(BE81=3,5)</f>
        <v>0</v>
      </c>
      <c r="BH121" s="76"/>
      <c r="BI121" s="76"/>
      <c r="BJ121" s="76"/>
      <c r="BK121" s="76"/>
      <c r="BL121" s="76"/>
      <c r="BM121" s="76"/>
      <c r="BN121" s="76"/>
      <c r="BO121" s="76"/>
      <c r="BP121" s="76"/>
      <c r="BQ121" s="76"/>
      <c r="BR121" s="76"/>
      <c r="BS121" s="76"/>
      <c r="BT121" s="158"/>
      <c r="BU121" s="76"/>
      <c r="BV121" s="157"/>
      <c r="BW121" s="76"/>
      <c r="BX121" s="76"/>
      <c r="BY121" s="76"/>
      <c r="BZ121" s="76"/>
      <c r="CA121" s="78"/>
      <c r="CB121" s="78"/>
      <c r="CC121" s="78"/>
      <c r="CD121" s="78"/>
      <c r="CE121" s="78"/>
      <c r="CF121" s="78"/>
      <c r="CG121" s="78"/>
      <c r="CH121" s="78"/>
      <c r="CI121" s="78"/>
      <c r="CJ121" s="78"/>
      <c r="CK121" s="78"/>
      <c r="CL121" s="78"/>
      <c r="CM121" s="78"/>
      <c r="CN121" s="78"/>
      <c r="CO121" s="78"/>
      <c r="CP121" s="78"/>
    </row>
    <row r="122" spans="2:94" ht="20" hidden="1" x14ac:dyDescent="0.2">
      <c r="C122" s="126"/>
      <c r="G122" s="998"/>
      <c r="O122" s="995"/>
      <c r="AP122" s="59"/>
      <c r="AQ122" s="136"/>
      <c r="AR122" s="136"/>
      <c r="AS122" s="136"/>
      <c r="AT122" s="136"/>
      <c r="AZ122" s="86"/>
      <c r="BA122" s="1091"/>
      <c r="BB122" s="96">
        <v>2</v>
      </c>
      <c r="BC122" s="160" t="b">
        <f>IF(BD81=2,1)</f>
        <v>0</v>
      </c>
      <c r="BD122" s="161"/>
      <c r="BE122" s="162" t="b">
        <f>IF(BD81=2,3)</f>
        <v>0</v>
      </c>
      <c r="BF122" s="76"/>
      <c r="BG122" s="76"/>
      <c r="BH122" s="76"/>
      <c r="BI122" s="76"/>
      <c r="BJ122" s="76"/>
      <c r="BK122" s="76"/>
      <c r="BL122" s="76"/>
      <c r="BM122" s="76"/>
      <c r="BN122" s="76"/>
      <c r="BO122" s="76"/>
      <c r="BP122" s="76"/>
      <c r="BQ122" s="76"/>
      <c r="BR122" s="76"/>
      <c r="BS122" s="76"/>
      <c r="BT122" s="158"/>
      <c r="BU122" s="76"/>
      <c r="BV122" s="157"/>
      <c r="BW122" s="76"/>
      <c r="BX122" s="76"/>
      <c r="BY122" s="76"/>
      <c r="BZ122" s="76"/>
      <c r="CA122" s="78"/>
      <c r="CB122" s="78"/>
      <c r="CC122" s="78"/>
      <c r="CD122" s="78"/>
      <c r="CE122" s="78"/>
      <c r="CF122" s="78"/>
      <c r="CG122" s="78"/>
      <c r="CH122" s="78"/>
      <c r="CI122" s="78"/>
      <c r="CJ122" s="78"/>
      <c r="CK122" s="78"/>
      <c r="CL122" s="78"/>
      <c r="CM122" s="78"/>
      <c r="CN122" s="78"/>
      <c r="CO122" s="78"/>
      <c r="CP122" s="78"/>
    </row>
    <row r="123" spans="2:94" ht="29.25" hidden="1" customHeight="1" thickBot="1" x14ac:dyDescent="0.25">
      <c r="B123" s="330"/>
      <c r="C123" s="126"/>
      <c r="D123" s="126"/>
      <c r="E123" s="325"/>
      <c r="G123" s="998"/>
      <c r="O123" s="995"/>
      <c r="AP123" s="59"/>
      <c r="AQ123" s="136"/>
      <c r="AR123" s="136"/>
      <c r="AS123" s="136"/>
      <c r="AT123" s="136"/>
      <c r="AZ123" s="86"/>
      <c r="BA123" s="1091"/>
      <c r="BB123" s="163"/>
      <c r="BC123" s="164">
        <f>SUM(BC88:BC122)</f>
        <v>0</v>
      </c>
      <c r="BD123" s="164">
        <f t="shared" ref="BD123:CM123" si="3">SUM(BD88:BD122)</f>
        <v>0</v>
      </c>
      <c r="BE123" s="164">
        <f t="shared" si="3"/>
        <v>0</v>
      </c>
      <c r="BF123" s="164">
        <f t="shared" si="3"/>
        <v>0</v>
      </c>
      <c r="BG123" s="164">
        <f t="shared" si="3"/>
        <v>0</v>
      </c>
      <c r="BH123" s="164">
        <f t="shared" si="3"/>
        <v>0</v>
      </c>
      <c r="BI123" s="164">
        <f t="shared" si="3"/>
        <v>0</v>
      </c>
      <c r="BJ123" s="164">
        <f t="shared" si="3"/>
        <v>0</v>
      </c>
      <c r="BK123" s="164">
        <f t="shared" si="3"/>
        <v>0</v>
      </c>
      <c r="BL123" s="164">
        <f t="shared" si="3"/>
        <v>0</v>
      </c>
      <c r="BM123" s="164">
        <f t="shared" si="3"/>
        <v>0</v>
      </c>
      <c r="BN123" s="164">
        <f t="shared" si="3"/>
        <v>12</v>
      </c>
      <c r="BO123" s="164">
        <f t="shared" si="3"/>
        <v>0</v>
      </c>
      <c r="BP123" s="164">
        <f t="shared" si="3"/>
        <v>0</v>
      </c>
      <c r="BQ123" s="164">
        <f t="shared" si="3"/>
        <v>0</v>
      </c>
      <c r="BR123" s="164">
        <f t="shared" si="3"/>
        <v>0</v>
      </c>
      <c r="BS123" s="165">
        <f t="shared" si="3"/>
        <v>0</v>
      </c>
      <c r="BT123" s="166"/>
      <c r="BU123" s="167"/>
      <c r="BV123" s="168"/>
      <c r="BW123" s="169">
        <f t="shared" si="3"/>
        <v>0</v>
      </c>
      <c r="BX123" s="164">
        <f t="shared" si="3"/>
        <v>0</v>
      </c>
      <c r="BY123" s="164">
        <f t="shared" si="3"/>
        <v>0</v>
      </c>
      <c r="BZ123" s="164">
        <f t="shared" si="3"/>
        <v>0</v>
      </c>
      <c r="CA123" s="164">
        <f t="shared" si="3"/>
        <v>0</v>
      </c>
      <c r="CB123" s="164">
        <f t="shared" si="3"/>
        <v>26</v>
      </c>
      <c r="CC123" s="164">
        <f t="shared" si="3"/>
        <v>0</v>
      </c>
      <c r="CD123" s="164">
        <f t="shared" si="3"/>
        <v>0</v>
      </c>
      <c r="CE123" s="164">
        <f t="shared" si="3"/>
        <v>0</v>
      </c>
      <c r="CF123" s="164">
        <f t="shared" si="3"/>
        <v>0</v>
      </c>
      <c r="CG123" s="164">
        <f t="shared" si="3"/>
        <v>0</v>
      </c>
      <c r="CH123" s="164">
        <f t="shared" si="3"/>
        <v>0</v>
      </c>
      <c r="CI123" s="164">
        <f t="shared" si="3"/>
        <v>0</v>
      </c>
      <c r="CJ123" s="164">
        <f t="shared" si="3"/>
        <v>0</v>
      </c>
      <c r="CK123" s="164">
        <f t="shared" si="3"/>
        <v>0</v>
      </c>
      <c r="CL123" s="164">
        <f t="shared" si="3"/>
        <v>0</v>
      </c>
      <c r="CM123" s="164">
        <f t="shared" si="3"/>
        <v>0</v>
      </c>
      <c r="CN123" s="78"/>
      <c r="CO123" s="78"/>
      <c r="CP123" s="78"/>
    </row>
    <row r="124" spans="2:94" ht="156" customHeight="1" thickBot="1" x14ac:dyDescent="0.25">
      <c r="B124" s="330"/>
      <c r="C124" s="126"/>
      <c r="D124" s="126"/>
      <c r="E124" s="325"/>
      <c r="G124" s="998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O124" s="995"/>
      <c r="AP124" s="59"/>
      <c r="AQ124" s="136"/>
      <c r="AR124" s="136"/>
      <c r="AS124" s="136"/>
      <c r="AT124" s="136"/>
      <c r="AZ124" s="86"/>
      <c r="BA124" s="1091"/>
      <c r="BB124" s="163"/>
      <c r="BC124" s="170"/>
      <c r="BD124" s="170"/>
      <c r="BE124" s="170"/>
      <c r="BF124" s="170"/>
      <c r="BG124" s="170"/>
      <c r="BH124" s="170"/>
      <c r="BI124" s="170"/>
      <c r="BJ124" s="170"/>
      <c r="BK124" s="170"/>
      <c r="BL124" s="170"/>
      <c r="BM124" s="170"/>
      <c r="BN124" s="170"/>
      <c r="BO124" s="170"/>
      <c r="BP124" s="170"/>
      <c r="BQ124" s="170"/>
      <c r="BR124" s="170"/>
      <c r="BS124" s="170"/>
      <c r="BT124" s="170"/>
      <c r="BU124" s="170"/>
      <c r="BV124" s="170"/>
      <c r="BW124" s="171"/>
      <c r="BX124" s="170"/>
      <c r="BY124" s="170"/>
      <c r="BZ124" s="170"/>
      <c r="CA124" s="170"/>
      <c r="CB124" s="170"/>
      <c r="CC124" s="170"/>
      <c r="CD124" s="170"/>
      <c r="CE124" s="170"/>
      <c r="CF124" s="170"/>
      <c r="CG124" s="170"/>
      <c r="CH124" s="170"/>
      <c r="CI124" s="170"/>
      <c r="CJ124" s="170"/>
      <c r="CK124" s="170"/>
      <c r="CL124" s="170"/>
      <c r="CM124" s="170"/>
      <c r="CN124" s="78"/>
      <c r="CO124" s="78"/>
      <c r="CP124" s="78"/>
    </row>
    <row r="125" spans="2:94" ht="48" customHeight="1" thickBot="1" x14ac:dyDescent="0.3">
      <c r="B125" s="330"/>
      <c r="C125" s="126"/>
      <c r="D125" s="126"/>
      <c r="E125" s="325"/>
      <c r="G125" s="998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O125" s="995"/>
      <c r="AP125" s="59"/>
      <c r="AQ125" s="136"/>
      <c r="AR125" s="136"/>
      <c r="AS125" s="136"/>
      <c r="AT125" s="136"/>
      <c r="AZ125" s="86"/>
      <c r="BA125" s="1095" t="s">
        <v>128</v>
      </c>
      <c r="BB125" s="172" t="s">
        <v>124</v>
      </c>
      <c r="BC125" s="750" t="str">
        <f>IF(BC123=1,17,"")</f>
        <v/>
      </c>
      <c r="BD125" s="751" t="str">
        <f>IF(BD123=2,16,"")</f>
        <v/>
      </c>
      <c r="BE125" s="751" t="str">
        <f>IF(BE123=3,15,"")</f>
        <v/>
      </c>
      <c r="BF125" s="751" t="str">
        <f>IF(BF123=4,14,"")</f>
        <v/>
      </c>
      <c r="BG125" s="751" t="str">
        <f>IF(BG123=5,13,"")</f>
        <v/>
      </c>
      <c r="BH125" s="751" t="str">
        <f>IF(BH123=6,12,"")</f>
        <v/>
      </c>
      <c r="BI125" s="751" t="str">
        <f>IF(BI123=7,11,"")</f>
        <v/>
      </c>
      <c r="BJ125" s="751" t="str">
        <f>IF(BJ123=8,10,"")</f>
        <v/>
      </c>
      <c r="BK125" s="751" t="str">
        <f>IF(BK123=9,9,"")</f>
        <v/>
      </c>
      <c r="BL125" s="751" t="str">
        <f>IF(BL123=10,8,"")</f>
        <v/>
      </c>
      <c r="BM125" s="751" t="str">
        <f>IF(BM123=11,7,"")</f>
        <v/>
      </c>
      <c r="BN125" s="752" t="str">
        <f>IF(BN123=12,"6  ADS ","")</f>
        <v xml:space="preserve">6  ADS </v>
      </c>
      <c r="BO125" s="751" t="str">
        <f>IF(BO123=13,5,"")</f>
        <v/>
      </c>
      <c r="BP125" s="751" t="str">
        <f>IF(BP123=14,4,"")</f>
        <v/>
      </c>
      <c r="BQ125" s="751" t="str">
        <f>IF(BQ123=15,3,"")</f>
        <v/>
      </c>
      <c r="BR125" s="751" t="str">
        <f>IF(BR123=16,2,"")</f>
        <v/>
      </c>
      <c r="BS125" s="903" t="str">
        <f>IF(BS123=17,1,"")</f>
        <v/>
      </c>
      <c r="BT125" s="173"/>
      <c r="BU125" s="174"/>
      <c r="BV125" s="175"/>
      <c r="BW125" s="792" t="str">
        <f>IF(BW123=21,1,"")</f>
        <v/>
      </c>
      <c r="BX125" s="753" t="str">
        <f>IF(BX123=22,2,"")</f>
        <v/>
      </c>
      <c r="BY125" s="753" t="str">
        <f>IF(BY123=23,3,"")</f>
        <v/>
      </c>
      <c r="BZ125" s="753" t="str">
        <f>IF(BZ123=24,4,"")</f>
        <v/>
      </c>
      <c r="CA125" s="753" t="str">
        <f>IF(CA123=25,5,"")</f>
        <v/>
      </c>
      <c r="CB125" s="754" t="str">
        <f>IF(CB123=26,"6  ADS ","")</f>
        <v xml:space="preserve">6  ADS </v>
      </c>
      <c r="CC125" s="753" t="str">
        <f>IF(CC123=27,7,"")</f>
        <v/>
      </c>
      <c r="CD125" s="753" t="str">
        <f>IF(CD123=28,8,"")</f>
        <v/>
      </c>
      <c r="CE125" s="753" t="str">
        <f>IF(CE123=29,9,"")</f>
        <v/>
      </c>
      <c r="CF125" s="753" t="str">
        <f>IF(CF123=30,10,"")</f>
        <v/>
      </c>
      <c r="CG125" s="753" t="str">
        <f>IF(CG123=31,11,"")</f>
        <v/>
      </c>
      <c r="CH125" s="753" t="str">
        <f>IF(CH123=32,12,"")</f>
        <v/>
      </c>
      <c r="CI125" s="753" t="str">
        <f>IF(CI123=33,13,"")</f>
        <v/>
      </c>
      <c r="CJ125" s="753" t="str">
        <f>IF(CJ123=34,14,"")</f>
        <v/>
      </c>
      <c r="CK125" s="753" t="str">
        <f>IF(CK123=35,15,"")</f>
        <v/>
      </c>
      <c r="CL125" s="753" t="str">
        <f>IF(CL123=36,16,"")</f>
        <v/>
      </c>
      <c r="CM125" s="755" t="str">
        <f>IF(CM123=37,17,"")</f>
        <v/>
      </c>
      <c r="CN125" s="340"/>
      <c r="CO125" s="78"/>
      <c r="CP125" s="78"/>
    </row>
    <row r="126" spans="2:94" ht="44.25" customHeight="1" thickBot="1" x14ac:dyDescent="0.3">
      <c r="B126" s="330"/>
      <c r="C126" s="126"/>
      <c r="D126" s="126"/>
      <c r="E126" s="325"/>
      <c r="G126" s="998"/>
      <c r="H126" s="1034" t="s">
        <v>260</v>
      </c>
      <c r="I126" s="1028">
        <f>+MIN(K31:L32)</f>
        <v>106.81814327698345</v>
      </c>
      <c r="J126" s="1029">
        <f>+MIN(J37:K38)</f>
        <v>102.33709445506483</v>
      </c>
      <c r="K126" s="1030">
        <f>+MIN(J43:L44)</f>
        <v>86.083213773314199</v>
      </c>
      <c r="L126" s="1031">
        <f>+MIN(J49:L50)</f>
        <v>56.285178236397748</v>
      </c>
      <c r="M126" s="1032">
        <f>+MIN(J55:L56)</f>
        <v>130.08130081300814</v>
      </c>
      <c r="O126" s="995"/>
      <c r="AP126" s="59"/>
      <c r="AQ126" s="136"/>
      <c r="AR126" s="136"/>
      <c r="AS126" s="136"/>
      <c r="AT126" s="136"/>
      <c r="AX126" s="968">
        <v>6</v>
      </c>
      <c r="AY126" t="b">
        <f>AND(BA126&gt;=10,$AN$141&gt;=10,$AO$141&gt;=10)</f>
        <v>1</v>
      </c>
      <c r="AZ126" s="84" t="str">
        <f>IF(AY126=TRUE,"O K","OVERLOAD")</f>
        <v>O K</v>
      </c>
      <c r="BA126" s="983">
        <f>SUM(I132:M132)</f>
        <v>130.08130081300814</v>
      </c>
      <c r="BB126" s="788" t="s">
        <v>185</v>
      </c>
      <c r="BC126" s="789">
        <v>-10</v>
      </c>
      <c r="BD126" s="789">
        <v>-9</v>
      </c>
      <c r="BE126" s="789">
        <v>-8</v>
      </c>
      <c r="BF126" s="789">
        <v>-7</v>
      </c>
      <c r="BG126" s="789">
        <v>-6</v>
      </c>
      <c r="BH126" s="789">
        <v>-5</v>
      </c>
      <c r="BI126" s="789">
        <v>-4</v>
      </c>
      <c r="BJ126" s="789">
        <v>-3</v>
      </c>
      <c r="BK126" s="789">
        <v>-2</v>
      </c>
      <c r="BL126" s="789">
        <v>-1</v>
      </c>
      <c r="BM126" s="789">
        <v>0</v>
      </c>
      <c r="BN126" s="789">
        <v>1</v>
      </c>
      <c r="BO126" s="789">
        <v>2</v>
      </c>
      <c r="BP126" s="789">
        <v>3</v>
      </c>
      <c r="BQ126" s="789">
        <v>4</v>
      </c>
      <c r="BR126" s="789">
        <v>5</v>
      </c>
      <c r="BS126" s="789">
        <v>6</v>
      </c>
      <c r="BT126" s="789">
        <v>7</v>
      </c>
      <c r="BU126" s="789">
        <v>8</v>
      </c>
      <c r="BV126" s="789">
        <v>9</v>
      </c>
      <c r="BW126" s="789">
        <v>10</v>
      </c>
      <c r="BX126" s="789">
        <v>11</v>
      </c>
      <c r="BY126" s="789">
        <v>12</v>
      </c>
      <c r="BZ126" s="789">
        <v>13</v>
      </c>
      <c r="CA126" s="789">
        <v>14</v>
      </c>
      <c r="CB126" s="789">
        <v>15</v>
      </c>
      <c r="CC126" s="789">
        <v>16</v>
      </c>
      <c r="CD126" s="789">
        <v>17</v>
      </c>
      <c r="CE126" s="789">
        <v>18</v>
      </c>
      <c r="CF126" s="789">
        <v>19</v>
      </c>
      <c r="CG126" s="789">
        <v>20</v>
      </c>
      <c r="CH126" s="789">
        <v>21</v>
      </c>
      <c r="CI126" s="789">
        <v>22</v>
      </c>
      <c r="CJ126" s="789">
        <v>23</v>
      </c>
      <c r="CK126" s="789">
        <v>24</v>
      </c>
      <c r="CL126" s="789">
        <v>25</v>
      </c>
      <c r="CM126" s="791">
        <v>26</v>
      </c>
      <c r="CN126" s="78"/>
      <c r="CO126" s="78"/>
      <c r="CP126" s="78"/>
    </row>
    <row r="127" spans="2:94" ht="20" hidden="1" x14ac:dyDescent="0.2">
      <c r="G127" s="1011"/>
      <c r="I127" s="131"/>
      <c r="J127" s="131"/>
      <c r="K127" s="131"/>
      <c r="L127" s="131"/>
      <c r="M127" s="131"/>
      <c r="N127" s="131"/>
      <c r="O127" s="1012"/>
      <c r="AY127" s="136"/>
      <c r="AZ127" s="136"/>
      <c r="BA127" s="1091"/>
      <c r="BB127" s="78"/>
      <c r="BC127" s="199"/>
      <c r="BD127" s="199"/>
      <c r="BE127" s="199"/>
      <c r="BF127" s="199"/>
      <c r="BG127" s="199"/>
      <c r="BH127" s="199"/>
      <c r="BI127" s="199"/>
      <c r="BJ127" s="199"/>
      <c r="BK127" s="199"/>
      <c r="BL127" s="199"/>
      <c r="BM127" s="199"/>
      <c r="BN127" s="199"/>
      <c r="BO127" s="199"/>
      <c r="BP127" s="199"/>
      <c r="BQ127" s="199"/>
      <c r="BR127" s="199"/>
      <c r="BS127" s="199"/>
      <c r="BT127" s="199"/>
      <c r="BU127" s="199"/>
      <c r="BV127" s="199"/>
      <c r="BW127" s="199"/>
      <c r="BX127" s="199"/>
      <c r="BY127" s="199"/>
      <c r="BZ127" s="199"/>
      <c r="CA127" s="199"/>
      <c r="CB127" s="199"/>
      <c r="CC127" s="199"/>
      <c r="CD127" s="199"/>
      <c r="CE127" s="199"/>
      <c r="CF127" s="199"/>
      <c r="CG127" s="199"/>
      <c r="CH127" s="199"/>
      <c r="CI127" s="199"/>
      <c r="CJ127" s="199"/>
      <c r="CK127" s="199"/>
      <c r="CL127" s="199"/>
      <c r="CM127" s="199"/>
      <c r="CN127" s="199"/>
    </row>
    <row r="128" spans="2:94" ht="30" hidden="1" x14ac:dyDescent="0.2">
      <c r="B128" s="330"/>
      <c r="C128" s="126"/>
      <c r="D128" s="126"/>
      <c r="E128" s="325"/>
      <c r="G128" s="998"/>
      <c r="H128" s="201"/>
      <c r="I128" s="201"/>
      <c r="J128" s="201"/>
      <c r="K128" s="201"/>
      <c r="L128" s="201"/>
      <c r="M128" s="201"/>
      <c r="N128" s="201"/>
      <c r="O128" s="1013"/>
      <c r="AP128" s="236"/>
      <c r="AQ128" s="136"/>
      <c r="AR128" s="136"/>
      <c r="AS128" s="136"/>
      <c r="AT128" s="136"/>
      <c r="AY128" s="136"/>
      <c r="AZ128" s="136"/>
      <c r="BA128" s="1091"/>
      <c r="BB128" s="76"/>
      <c r="BC128" s="76"/>
      <c r="BD128" s="76"/>
      <c r="BE128" s="76"/>
      <c r="BF128" s="76"/>
      <c r="BG128" s="76"/>
      <c r="BH128" s="202"/>
      <c r="BI128" s="202"/>
      <c r="BJ128" s="202"/>
      <c r="BK128" s="202"/>
      <c r="BL128" s="202"/>
      <c r="BM128" s="202"/>
      <c r="BN128" s="202"/>
      <c r="BO128" s="202"/>
      <c r="BP128" s="202"/>
      <c r="BQ128" s="202"/>
      <c r="BR128" s="202"/>
      <c r="BS128" s="202"/>
      <c r="BT128" s="202"/>
      <c r="BU128" s="202"/>
      <c r="BV128" s="78"/>
      <c r="BW128" s="78"/>
      <c r="BX128" s="78"/>
      <c r="BY128" s="78"/>
      <c r="BZ128" s="78"/>
      <c r="CA128" s="78"/>
      <c r="CB128" s="78"/>
      <c r="CC128" s="78"/>
      <c r="CD128" s="78"/>
      <c r="CE128" s="78"/>
      <c r="CF128" s="78"/>
      <c r="CG128" s="78"/>
      <c r="CH128" s="78"/>
      <c r="CI128" s="78"/>
      <c r="CJ128" s="78"/>
      <c r="CK128" s="78"/>
      <c r="CL128" s="78"/>
      <c r="CM128" s="78"/>
      <c r="CN128" s="78"/>
      <c r="CO128" s="78"/>
      <c r="CP128" s="78"/>
    </row>
    <row r="129" spans="2:94" ht="20" hidden="1" x14ac:dyDescent="0.2">
      <c r="B129" s="330"/>
      <c r="C129" s="126"/>
      <c r="D129" s="126"/>
      <c r="E129" s="325"/>
      <c r="G129" s="998"/>
      <c r="O129" s="995"/>
      <c r="AQ129" s="136"/>
      <c r="AR129" s="136"/>
      <c r="AS129" s="136"/>
      <c r="AT129" s="136"/>
      <c r="AY129" s="136"/>
      <c r="AZ129" s="136"/>
      <c r="BA129" s="1091"/>
      <c r="BB129" s="126"/>
      <c r="BC129" s="126"/>
      <c r="BD129" s="126"/>
      <c r="BE129" s="126"/>
      <c r="BF129" s="126"/>
      <c r="BG129" s="126"/>
      <c r="BH129" s="203"/>
      <c r="BI129" s="203"/>
      <c r="BJ129" s="203"/>
      <c r="BK129" s="203"/>
      <c r="BL129" s="203"/>
      <c r="BM129" s="203"/>
      <c r="BN129" s="203"/>
      <c r="BO129" s="203"/>
      <c r="BP129" s="203"/>
      <c r="BQ129" s="203"/>
      <c r="BR129" s="203"/>
      <c r="BS129" s="203"/>
      <c r="BT129" s="203"/>
      <c r="BU129" s="203"/>
    </row>
    <row r="130" spans="2:94" ht="20" hidden="1" x14ac:dyDescent="0.2">
      <c r="B130" s="330"/>
      <c r="C130" s="126"/>
      <c r="D130" s="126"/>
      <c r="E130" s="325"/>
      <c r="G130" s="998"/>
      <c r="O130" s="995"/>
      <c r="AQ130" s="136"/>
      <c r="AR130" s="136"/>
      <c r="AS130" s="136"/>
      <c r="AT130" s="136"/>
      <c r="AX130" s="204" t="s">
        <v>59</v>
      </c>
      <c r="AY130" s="136"/>
      <c r="AZ130" s="187"/>
      <c r="BA130" s="1091"/>
      <c r="BB130" s="64"/>
      <c r="BE130" s="126"/>
      <c r="BF130" s="126"/>
      <c r="BG130" s="126"/>
      <c r="BH130" s="203"/>
      <c r="BI130" s="203"/>
      <c r="BJ130" s="203"/>
      <c r="BK130" s="203"/>
      <c r="BL130" s="203"/>
      <c r="BM130" s="203"/>
      <c r="BN130" s="203"/>
      <c r="BO130" s="203"/>
      <c r="BP130" s="203"/>
      <c r="BQ130" s="203"/>
      <c r="BR130" s="203"/>
      <c r="BS130" s="203"/>
      <c r="BT130" s="203"/>
      <c r="BU130" s="203"/>
      <c r="CD130" s="64"/>
      <c r="CP130" s="204" t="s">
        <v>58</v>
      </c>
    </row>
    <row r="131" spans="2:94" ht="21" hidden="1" thickBot="1" x14ac:dyDescent="0.25">
      <c r="B131" s="330"/>
      <c r="C131" s="126"/>
      <c r="D131" s="126"/>
      <c r="E131" s="325"/>
      <c r="G131" s="1014"/>
      <c r="H131" s="209"/>
      <c r="I131" s="1042">
        <f>COUNTIF(BW123:CM123,"&gt;0")</f>
        <v>1</v>
      </c>
      <c r="J131" s="1042">
        <f>COUNTIF(BC123:BS123,"&gt;0")</f>
        <v>1</v>
      </c>
      <c r="K131" s="1033" t="b">
        <f>AND(IF(SUM(BC125:BM125)&gt;0,1,0),IF(CB125="6  ADS ",1,0))</f>
        <v>0</v>
      </c>
      <c r="L131" s="1033" t="b">
        <f>AND(IF(SUM(CC125:CM125)&gt;0,1,0),IF(BN125="6  ADS ",1,0))</f>
        <v>0</v>
      </c>
      <c r="M131" s="1033" t="b">
        <f>AND(IF(CB125="6  ADS ",1,0),IF(BN125="6  ADS ",1,0))</f>
        <v>1</v>
      </c>
      <c r="N131" s="209"/>
      <c r="O131" s="1015"/>
      <c r="AQ131" s="136"/>
      <c r="AR131" s="136"/>
      <c r="AS131" s="136"/>
      <c r="AT131" s="136"/>
      <c r="AX131" s="204">
        <f>-+AT160</f>
        <v>780.44877799869141</v>
      </c>
      <c r="AY131" s="136"/>
      <c r="AZ131" s="187"/>
      <c r="BA131" s="1091"/>
      <c r="BB131" s="64"/>
      <c r="BE131" s="126"/>
      <c r="BF131" s="126"/>
      <c r="BG131" s="126"/>
      <c r="BH131" s="203"/>
      <c r="BI131" s="203"/>
      <c r="BJ131" s="203"/>
      <c r="BK131" s="203"/>
      <c r="BL131" s="203"/>
      <c r="BM131" s="203"/>
      <c r="BN131" s="203"/>
      <c r="BO131" s="203"/>
      <c r="BP131" s="203"/>
      <c r="BQ131" s="203"/>
      <c r="BR131" s="203"/>
      <c r="BS131" s="203"/>
      <c r="BT131" s="203"/>
      <c r="BU131" s="203"/>
      <c r="CB131" s="212"/>
      <c r="CD131" s="64"/>
      <c r="CP131" s="204">
        <f>+-AT196</f>
        <v>-767.55122200130859</v>
      </c>
    </row>
    <row r="132" spans="2:94" ht="49.5" customHeight="1" thickBot="1" x14ac:dyDescent="0.35">
      <c r="B132" s="330"/>
      <c r="C132" s="35"/>
      <c r="D132" s="215" t="str">
        <f>IF(AX131&gt;0," ","change the angle of frame")</f>
        <v xml:space="preserve"> </v>
      </c>
      <c r="E132" s="208"/>
      <c r="F132" s="208"/>
      <c r="G132" s="1016"/>
      <c r="H132" s="1017"/>
      <c r="I132" s="1043">
        <f>IF(I131=2,I126,0)</f>
        <v>0</v>
      </c>
      <c r="J132" s="1043">
        <f>IF(J131=2,J126,0)</f>
        <v>0</v>
      </c>
      <c r="K132" s="1036">
        <f t="shared" ref="K132:M132" si="4">IF(K131=TRUE,K126,0)</f>
        <v>0</v>
      </c>
      <c r="L132" s="1036">
        <f t="shared" si="4"/>
        <v>0</v>
      </c>
      <c r="M132" s="1036">
        <f t="shared" si="4"/>
        <v>130.08130081300814</v>
      </c>
      <c r="N132" s="1017"/>
      <c r="O132" s="1018"/>
      <c r="R132" s="235"/>
      <c r="S132" s="235"/>
      <c r="T132" s="235"/>
      <c r="AQ132" s="136"/>
      <c r="AR132" s="136"/>
      <c r="AS132" s="136"/>
      <c r="AT132" s="136"/>
      <c r="AY132" s="136"/>
      <c r="AZ132" s="136"/>
      <c r="BA132" s="214"/>
      <c r="BB132" s="126"/>
      <c r="BC132" s="126"/>
      <c r="BD132" s="126"/>
      <c r="BE132" s="126"/>
      <c r="BF132" s="126"/>
      <c r="BG132" s="126"/>
      <c r="BH132" s="203"/>
      <c r="BI132" s="203"/>
      <c r="BJ132" s="203"/>
      <c r="BK132" s="203"/>
      <c r="BL132" s="203"/>
      <c r="BM132" s="203"/>
      <c r="BN132" s="203"/>
      <c r="BO132" s="203"/>
      <c r="BP132" s="203"/>
      <c r="BQ132" s="203"/>
      <c r="BR132" s="203"/>
      <c r="BS132" s="203"/>
      <c r="BT132" s="203"/>
      <c r="BU132" s="203"/>
    </row>
    <row r="133" spans="2:94" ht="49.5" customHeight="1" thickBot="1" x14ac:dyDescent="0.35">
      <c r="B133" s="1837" t="s">
        <v>116</v>
      </c>
      <c r="C133" s="35"/>
      <c r="D133" s="215" t="str">
        <f>IF(CP131&lt;0," ","change the angle of frame")</f>
        <v xml:space="preserve"> </v>
      </c>
      <c r="E133" s="208"/>
      <c r="F133" s="208"/>
      <c r="P133" s="802" t="s">
        <v>174</v>
      </c>
      <c r="Q133" s="794"/>
      <c r="R133" s="794"/>
      <c r="S133" s="794"/>
      <c r="T133" s="795"/>
      <c r="U133" s="796"/>
      <c r="V133" s="796"/>
      <c r="W133" s="803" t="s">
        <v>178</v>
      </c>
      <c r="X133" s="143"/>
      <c r="Y133" s="143"/>
      <c r="Z133" s="143"/>
      <c r="AA133" s="143"/>
      <c r="AB133" s="143"/>
      <c r="AC133" s="143"/>
      <c r="AD133" s="143"/>
      <c r="AE133" s="143"/>
      <c r="AF133" s="143"/>
      <c r="AG133" s="143"/>
      <c r="AH133" s="143"/>
      <c r="AI133" s="143"/>
      <c r="AJ133" s="143"/>
      <c r="AK133" s="143"/>
      <c r="AL133" s="143"/>
      <c r="AM133" s="143"/>
      <c r="AN133" s="143"/>
      <c r="AO133" s="143"/>
      <c r="AQ133" s="136"/>
      <c r="AR133" s="136"/>
      <c r="AS133" s="136"/>
      <c r="AT133" s="136"/>
      <c r="AY133" s="214"/>
      <c r="AZ133" s="214"/>
      <c r="BA133" s="214"/>
      <c r="BB133" s="126"/>
      <c r="BC133" s="126"/>
      <c r="BD133" s="126"/>
      <c r="BE133" s="126"/>
      <c r="BF133" s="126"/>
      <c r="BG133" s="126"/>
      <c r="BH133" s="203"/>
      <c r="BI133" s="203"/>
      <c r="BJ133" s="203"/>
      <c r="BK133" s="203"/>
      <c r="BL133" s="203"/>
      <c r="BM133" s="203"/>
      <c r="BN133" s="203"/>
      <c r="BO133" s="203"/>
      <c r="BP133" s="203"/>
      <c r="BQ133" s="203"/>
      <c r="BR133" s="203"/>
      <c r="BS133" s="203"/>
      <c r="BT133" s="203"/>
      <c r="BU133" s="203"/>
    </row>
    <row r="134" spans="2:94" ht="49.5" customHeight="1" thickBot="1" x14ac:dyDescent="0.35">
      <c r="B134" s="1838"/>
      <c r="C134" s="213"/>
      <c r="D134" s="341" t="str">
        <f>IF(AX131&gt;(+COS(($B$135*-1)*3.14159265358979/180)*451.5)," ","USE EXBAR AR AT THE FRONT")</f>
        <v xml:space="preserve"> </v>
      </c>
      <c r="E134" s="208"/>
      <c r="F134" s="208"/>
      <c r="P134" s="738" t="s">
        <v>175</v>
      </c>
      <c r="Q134" s="797" t="s">
        <v>176</v>
      </c>
      <c r="R134" s="797" t="s">
        <v>177</v>
      </c>
      <c r="S134" s="798" t="s">
        <v>181</v>
      </c>
      <c r="T134" s="795"/>
      <c r="U134" s="796"/>
      <c r="V134" s="796"/>
      <c r="W134" s="799" t="s">
        <v>179</v>
      </c>
      <c r="AQ134" s="136"/>
      <c r="AR134" s="136"/>
      <c r="AS134" s="136"/>
      <c r="AT134" s="136"/>
      <c r="AY134" s="214"/>
      <c r="AZ134" s="214"/>
      <c r="BA134" s="214"/>
      <c r="BB134" s="126"/>
      <c r="BC134" s="126"/>
      <c r="BD134" s="126"/>
      <c r="BE134" s="126"/>
      <c r="BF134" s="126"/>
      <c r="BG134" s="126"/>
      <c r="BH134" s="203"/>
      <c r="BI134" s="203"/>
      <c r="BJ134" s="203"/>
      <c r="BK134" s="203"/>
      <c r="BL134" s="203"/>
      <c r="BM134" s="203"/>
      <c r="BN134" s="203"/>
      <c r="BO134" s="203"/>
      <c r="BP134" s="203"/>
      <c r="BQ134" s="203"/>
      <c r="BR134" s="203"/>
      <c r="BS134" s="203"/>
      <c r="BT134" s="203"/>
      <c r="BU134" s="203"/>
    </row>
    <row r="135" spans="2:94" ht="49.5" customHeight="1" thickBot="1" x14ac:dyDescent="0.35">
      <c r="B135" s="3">
        <v>0</v>
      </c>
      <c r="C135" s="213"/>
      <c r="D135" s="341" t="str">
        <f>IF(CP131&lt;-(+COS(($B$135*-1)*3.14159265358979/180)*365.5)," ","USE EXBAR AR AT THE BACK")</f>
        <v xml:space="preserve"> </v>
      </c>
      <c r="E135" s="208"/>
      <c r="F135" s="208"/>
      <c r="P135" s="738">
        <v>6.8623010000000004</v>
      </c>
      <c r="Q135" s="797">
        <f>+$B$135-P135</f>
        <v>-6.8623010000000004</v>
      </c>
      <c r="R135" s="800">
        <f>COS(Q135*3.14159265358979/180)</f>
        <v>0.99283617366519983</v>
      </c>
      <c r="S135" s="793">
        <f>+R135*378.71303</f>
        <v>375.99999562235405</v>
      </c>
      <c r="T135" s="795"/>
      <c r="U135" s="796"/>
      <c r="V135" s="796"/>
      <c r="W135" s="801">
        <f>+((X141*AF141)+(S135*31))/(AF141+31)</f>
        <v>354.94879170129445</v>
      </c>
      <c r="AQ135" s="136"/>
      <c r="AR135" s="136"/>
      <c r="AS135" s="136"/>
      <c r="AT135" s="136"/>
      <c r="AY135" s="214"/>
      <c r="AZ135" s="214"/>
      <c r="BB135" s="126"/>
      <c r="BC135" s="126"/>
      <c r="BD135" s="126"/>
      <c r="BE135" s="126"/>
      <c r="BF135" s="126"/>
      <c r="BG135" s="126"/>
      <c r="BH135" s="203"/>
      <c r="BI135" s="203"/>
      <c r="BJ135" s="203"/>
      <c r="BK135" s="203"/>
      <c r="BL135" s="203"/>
      <c r="BM135" s="203"/>
      <c r="BN135" s="203"/>
      <c r="BO135" s="203"/>
      <c r="BP135" s="203"/>
      <c r="BQ135" s="203"/>
      <c r="BR135" s="203"/>
      <c r="BS135" s="203"/>
      <c r="BT135" s="203"/>
      <c r="BU135" s="203"/>
    </row>
    <row r="136" spans="2:94" ht="23" thickBot="1" x14ac:dyDescent="0.35">
      <c r="C136" s="35"/>
      <c r="G136" s="342" t="s">
        <v>87</v>
      </c>
      <c r="H136" s="342" t="s">
        <v>88</v>
      </c>
      <c r="I136" s="342" t="s">
        <v>89</v>
      </c>
      <c r="O136" s="342" t="s">
        <v>90</v>
      </c>
      <c r="P136" s="342" t="s">
        <v>91</v>
      </c>
      <c r="Q136" s="330"/>
      <c r="R136" s="342" t="s">
        <v>92</v>
      </c>
      <c r="U136" s="343"/>
      <c r="V136" s="344"/>
      <c r="AQ136" s="136"/>
      <c r="AR136" s="136"/>
      <c r="AS136" s="136"/>
      <c r="AT136" s="136"/>
      <c r="AY136" s="214"/>
      <c r="AZ136" s="214"/>
      <c r="BA136" s="214"/>
      <c r="BU136" s="236"/>
      <c r="BV136" s="236"/>
      <c r="BW136" s="236"/>
      <c r="BX136" s="236"/>
      <c r="BY136" s="236"/>
      <c r="BZ136" s="236"/>
    </row>
    <row r="137" spans="2:94" ht="52.5" customHeight="1" thickBot="1" x14ac:dyDescent="0.35">
      <c r="B137" s="345" t="s">
        <v>30</v>
      </c>
      <c r="C137" s="346"/>
      <c r="D137" s="1830" t="s">
        <v>65</v>
      </c>
      <c r="E137" s="1831"/>
      <c r="F137" s="37"/>
      <c r="S137" s="126"/>
      <c r="T137" s="126"/>
      <c r="AN137" s="1828" t="s">
        <v>52</v>
      </c>
      <c r="AO137" s="1829"/>
      <c r="AQ137" s="136"/>
      <c r="AR137" s="136"/>
      <c r="AS137" s="136"/>
      <c r="AT137" s="136"/>
      <c r="AY137" s="214"/>
      <c r="AZ137" s="214"/>
      <c r="BA137" s="214"/>
    </row>
    <row r="138" spans="2:94" ht="41.25" customHeight="1" thickBot="1" x14ac:dyDescent="0.35">
      <c r="B138" s="27">
        <v>1</v>
      </c>
      <c r="C138" s="347"/>
      <c r="D138" s="348" t="s">
        <v>22</v>
      </c>
      <c r="E138" s="349"/>
      <c r="F138" s="330"/>
      <c r="G138" s="330"/>
      <c r="H138" s="330"/>
      <c r="I138" s="330"/>
      <c r="J138" s="330"/>
      <c r="K138" s="330"/>
      <c r="L138" s="330"/>
      <c r="M138" s="330"/>
      <c r="N138" s="330"/>
      <c r="O138" s="330"/>
      <c r="P138" s="330"/>
      <c r="Q138" s="330"/>
      <c r="R138" s="330"/>
      <c r="S138" s="330"/>
      <c r="T138" s="330"/>
      <c r="AM138" s="350"/>
      <c r="AN138" s="351" t="s">
        <v>23</v>
      </c>
      <c r="AO138" s="351" t="s">
        <v>24</v>
      </c>
      <c r="AQ138" s="136"/>
      <c r="AR138" s="136"/>
      <c r="AS138" s="136"/>
      <c r="AT138" s="136"/>
      <c r="AY138" s="214"/>
      <c r="AZ138" s="214"/>
      <c r="BA138" s="214"/>
    </row>
    <row r="139" spans="2:94" ht="21" hidden="1" thickBot="1" x14ac:dyDescent="0.35">
      <c r="B139" s="352"/>
      <c r="C139" s="353"/>
      <c r="D139" s="354"/>
      <c r="E139" s="355"/>
      <c r="G139" s="356" t="s">
        <v>4</v>
      </c>
      <c r="H139" s="356" t="s">
        <v>1</v>
      </c>
      <c r="I139" s="357" t="s">
        <v>73</v>
      </c>
      <c r="J139" s="302" t="s">
        <v>2</v>
      </c>
      <c r="K139" s="302" t="s">
        <v>3</v>
      </c>
      <c r="L139" s="302" t="s">
        <v>8</v>
      </c>
      <c r="M139" s="302" t="s">
        <v>5</v>
      </c>
      <c r="N139" s="302" t="s">
        <v>6</v>
      </c>
      <c r="O139" s="302" t="s">
        <v>7</v>
      </c>
      <c r="P139" s="302" t="s">
        <v>9</v>
      </c>
      <c r="Q139" s="301" t="s">
        <v>10</v>
      </c>
      <c r="R139" s="302" t="s">
        <v>11</v>
      </c>
      <c r="S139" s="358" t="s">
        <v>12</v>
      </c>
      <c r="T139" s="359"/>
      <c r="U139" s="228"/>
      <c r="V139" s="231"/>
      <c r="W139" s="231"/>
      <c r="X139" s="231"/>
      <c r="Y139" s="231"/>
      <c r="Z139" s="231"/>
      <c r="AA139" s="231"/>
      <c r="AB139" s="231"/>
      <c r="AC139" s="231"/>
      <c r="AD139" s="231"/>
      <c r="AE139" s="231"/>
      <c r="AF139" s="231"/>
      <c r="AG139" s="231"/>
      <c r="AH139" s="231"/>
      <c r="AI139" s="231"/>
      <c r="AJ139" s="231"/>
      <c r="AK139" s="231"/>
      <c r="AL139" s="350"/>
      <c r="AM139" s="350"/>
      <c r="AN139" s="231"/>
      <c r="AO139" s="231"/>
      <c r="AQ139" s="136"/>
      <c r="AR139" s="136"/>
      <c r="AS139" s="136"/>
      <c r="AT139" s="136"/>
      <c r="AY139" s="214"/>
      <c r="AZ139" s="214"/>
      <c r="BA139" s="214"/>
    </row>
    <row r="140" spans="2:94" ht="23" hidden="1" thickBot="1" x14ac:dyDescent="0.35">
      <c r="B140" s="360"/>
      <c r="C140" s="361"/>
      <c r="D140" s="362"/>
      <c r="E140" s="363"/>
      <c r="F140" s="240"/>
      <c r="G140" s="356"/>
      <c r="H140" s="356"/>
      <c r="I140" s="357"/>
      <c r="J140" s="302"/>
      <c r="K140" s="302"/>
      <c r="L140" s="302"/>
      <c r="M140" s="302"/>
      <c r="N140" s="302"/>
      <c r="O140" s="302"/>
      <c r="P140" s="302"/>
      <c r="Q140" s="301"/>
      <c r="R140" s="302"/>
      <c r="S140" s="358"/>
      <c r="T140" s="359"/>
      <c r="U140" s="228"/>
      <c r="V140" s="231"/>
      <c r="W140" s="231"/>
      <c r="X140" s="359" t="s">
        <v>38</v>
      </c>
      <c r="Y140" s="364" t="s">
        <v>31</v>
      </c>
      <c r="Z140" s="365" t="s">
        <v>67</v>
      </c>
      <c r="AA140" s="366" t="s">
        <v>32</v>
      </c>
      <c r="AB140" s="367" t="s">
        <v>33</v>
      </c>
      <c r="AC140" s="368" t="s">
        <v>68</v>
      </c>
      <c r="AD140" s="369" t="s">
        <v>34</v>
      </c>
      <c r="AE140" s="370" t="s">
        <v>35</v>
      </c>
      <c r="AF140" s="359" t="s">
        <v>69</v>
      </c>
      <c r="AG140" s="359" t="s">
        <v>46</v>
      </c>
      <c r="AH140" s="359" t="s">
        <v>39</v>
      </c>
      <c r="AI140" s="359" t="s">
        <v>70</v>
      </c>
      <c r="AJ140" s="371" t="s">
        <v>41</v>
      </c>
      <c r="AK140" s="371" t="s">
        <v>42</v>
      </c>
      <c r="AL140" s="372" t="s">
        <v>23</v>
      </c>
      <c r="AM140" s="372" t="s">
        <v>24</v>
      </c>
      <c r="AN140" s="228"/>
      <c r="AO140" s="228"/>
      <c r="AQ140" s="136"/>
      <c r="AR140" s="136"/>
      <c r="AS140" s="136"/>
      <c r="AT140" s="136"/>
      <c r="AY140" s="214"/>
      <c r="AZ140" s="214"/>
      <c r="BA140" s="214"/>
    </row>
    <row r="141" spans="2:94" ht="21" thickBot="1" x14ac:dyDescent="0.35">
      <c r="B141" s="373">
        <v>1</v>
      </c>
      <c r="C141" s="374">
        <f>+(B135*-1)+D141</f>
        <v>0</v>
      </c>
      <c r="D141" s="26">
        <v>0</v>
      </c>
      <c r="E141" s="375" t="s">
        <v>80</v>
      </c>
      <c r="F141" s="376"/>
      <c r="G141" s="342">
        <v>421.92079999999999</v>
      </c>
      <c r="H141" s="342">
        <v>35.4982179</v>
      </c>
      <c r="I141" s="342">
        <f>+H141-C141</f>
        <v>35.4982179</v>
      </c>
      <c r="J141" s="302"/>
      <c r="K141" s="302"/>
      <c r="L141" s="302"/>
      <c r="M141" s="302"/>
      <c r="N141" s="302"/>
      <c r="O141" s="342">
        <f>COS(I141*3.14159265358979/180)</f>
        <v>0.81413357986421708</v>
      </c>
      <c r="P141" s="342">
        <f>+O141*G141</f>
        <v>343.49989132317432</v>
      </c>
      <c r="Q141" s="377">
        <v>343.5</v>
      </c>
      <c r="R141" s="342">
        <f>+P141</f>
        <v>343.49989132317432</v>
      </c>
      <c r="S141" s="302">
        <f t="shared" ref="S141:S152" si="5">+R141</f>
        <v>343.49989132317432</v>
      </c>
      <c r="T141" s="228"/>
      <c r="U141" s="257" t="str">
        <f>IF(AM141&lt;0,"use the locking pin"," ")</f>
        <v xml:space="preserve"> </v>
      </c>
      <c r="V141" s="285">
        <f t="shared" ref="V141:V152" si="6">IF(B141&lt;($B$138+1),S141,0)</f>
        <v>343.49989132317432</v>
      </c>
      <c r="W141" s="378"/>
      <c r="X141" s="285">
        <f>SUM(V141:V152)/($B$138)</f>
        <v>343.49989132317432</v>
      </c>
      <c r="Y141" s="379">
        <f>+D141+C141</f>
        <v>0</v>
      </c>
      <c r="Z141" s="380">
        <f>54.5017821+Y141</f>
        <v>54.5017821</v>
      </c>
      <c r="AA141" s="381">
        <f>SIN(Z141*3.14159265358979/180)</f>
        <v>0.81413357986421619</v>
      </c>
      <c r="AB141" s="382">
        <f>+AA141*421.92</f>
        <v>343.49924001631013</v>
      </c>
      <c r="AC141" s="380">
        <f>58.7344156-Y141</f>
        <v>58.734415599999998</v>
      </c>
      <c r="AD141" s="383">
        <f>SIN(AC141*3.14159265358979/180)</f>
        <v>0.85477073319485097</v>
      </c>
      <c r="AE141" s="382">
        <f>+AD141*472.06</f>
        <v>403.50307231196138</v>
      </c>
      <c r="AF141" s="384">
        <f>57*B138</f>
        <v>57</v>
      </c>
      <c r="AG141" s="384">
        <f>+AE141+AB141</f>
        <v>747.0023123282715</v>
      </c>
      <c r="AH141" s="292">
        <f>+V141-AB141</f>
        <v>6.5130686419934136E-4</v>
      </c>
      <c r="AI141" s="292">
        <f t="shared" ref="AI141:AI152" si="7">+X141-AH141</f>
        <v>343.49924001631013</v>
      </c>
      <c r="AJ141" s="293">
        <f>+((AG141-AI141)/AG141)*AF141</f>
        <v>30.789295752105453</v>
      </c>
      <c r="AK141" s="293">
        <f>+(AI141/AG141)*AF141</f>
        <v>26.210704247894547</v>
      </c>
      <c r="AL141" s="258">
        <f t="shared" ref="AL141:AL152" si="8">2*$B$15/AJ141</f>
        <v>376.75431401209499</v>
      </c>
      <c r="AM141" s="258">
        <f>2*$C$15/AK141</f>
        <v>442.56727672366162</v>
      </c>
      <c r="AN141" s="385">
        <f>ABS(AL141)</f>
        <v>376.75431401209499</v>
      </c>
      <c r="AO141" s="385">
        <f>ABS(AM141)</f>
        <v>442.56727672366162</v>
      </c>
      <c r="AQ141" s="136"/>
      <c r="AR141" s="136"/>
      <c r="AS141" s="136"/>
      <c r="AT141" s="136"/>
      <c r="AY141" s="214"/>
      <c r="AZ141" s="214"/>
      <c r="BA141" s="214"/>
    </row>
    <row r="142" spans="2:94" ht="21" thickBot="1" x14ac:dyDescent="0.35">
      <c r="B142" s="386">
        <v>2</v>
      </c>
      <c r="C142" s="386"/>
      <c r="D142" s="26">
        <v>0</v>
      </c>
      <c r="E142" s="375" t="s">
        <v>80</v>
      </c>
      <c r="F142" s="387"/>
      <c r="G142" s="356">
        <v>472.06</v>
      </c>
      <c r="H142" s="356">
        <v>62.531168700000002</v>
      </c>
      <c r="I142" s="357">
        <f>+H142+D142</f>
        <v>62.531168700000002</v>
      </c>
      <c r="J142" s="302">
        <f t="shared" ref="J142:J152" si="9">+I142/2</f>
        <v>31.265584350000001</v>
      </c>
      <c r="K142" s="302">
        <f t="shared" ref="K142:K152" si="10">SIN(J142*3.14159265358979/180)</f>
        <v>0.51900577347391186</v>
      </c>
      <c r="L142" s="302">
        <f t="shared" ref="L142:L152" si="11">+K142*G142</f>
        <v>245.00186542609484</v>
      </c>
      <c r="M142" s="302">
        <f t="shared" ref="M142:M152" si="12">+L142*2</f>
        <v>490.00373085218968</v>
      </c>
      <c r="N142" s="302">
        <f>+C141+(D142/2)</f>
        <v>0</v>
      </c>
      <c r="O142" s="302">
        <f t="shared" ref="O142:O152" si="13">SIN(N142*3.14159265358979/180)</f>
        <v>0</v>
      </c>
      <c r="P142" s="302">
        <f t="shared" ref="P142:P152" si="14">+O142*M142</f>
        <v>0</v>
      </c>
      <c r="Q142" s="302">
        <f t="shared" ref="Q142:Q152" si="15">+S141</f>
        <v>343.49989132317432</v>
      </c>
      <c r="R142" s="302">
        <f>+Q142+P142</f>
        <v>343.49989132317432</v>
      </c>
      <c r="S142" s="302">
        <f t="shared" si="5"/>
        <v>343.49989132317432</v>
      </c>
      <c r="T142" s="228"/>
      <c r="U142" s="257" t="e">
        <f t="shared" ref="U142:U152" si="16">IF(AM142&lt;0,"use the locking pin"," ")</f>
        <v>#DIV/0!</v>
      </c>
      <c r="V142" s="285">
        <f t="shared" si="6"/>
        <v>0</v>
      </c>
      <c r="W142" s="378"/>
      <c r="X142" s="285" t="e">
        <f>SUM(V142:V152)/($B$138-B141)</f>
        <v>#DIV/0!</v>
      </c>
      <c r="Y142" s="286">
        <f>SUM(D142)+$C$141</f>
        <v>0</v>
      </c>
      <c r="Z142" s="380">
        <f t="shared" ref="Z142:Z152" si="17">54.5017821+Y142</f>
        <v>54.5017821</v>
      </c>
      <c r="AA142" s="381">
        <f>SIN(Z142*3.14159265358979/180)</f>
        <v>0.81413357986421619</v>
      </c>
      <c r="AB142" s="382">
        <f t="shared" ref="AB142:AB152" si="18">+AA142*421.92</f>
        <v>343.49924001631013</v>
      </c>
      <c r="AC142" s="380">
        <f t="shared" ref="AC142:AC152" si="19">58.7344156-Y142</f>
        <v>58.734415599999998</v>
      </c>
      <c r="AD142" s="383">
        <f t="shared" ref="AD142:AD152" si="20">SIN(AC142*3.14159265358979/180)</f>
        <v>0.85477073319485097</v>
      </c>
      <c r="AE142" s="382">
        <f t="shared" ref="AE142:AE152" si="21">+AD142*472.06</f>
        <v>403.50307231196138</v>
      </c>
      <c r="AF142" s="384">
        <f t="shared" ref="AF142:AF152" si="22">57*($B$138-B141)</f>
        <v>0</v>
      </c>
      <c r="AG142" s="384">
        <f t="shared" ref="AG142:AG152" si="23">+AE142+AB142</f>
        <v>747.0023123282715</v>
      </c>
      <c r="AH142" s="292">
        <f t="shared" ref="AH142:AH152" si="24">+V142-AB142</f>
        <v>-343.49924001631013</v>
      </c>
      <c r="AI142" s="292" t="e">
        <f t="shared" si="7"/>
        <v>#DIV/0!</v>
      </c>
      <c r="AJ142" s="293" t="e">
        <f t="shared" ref="AJ142:AJ152" si="25">+((AG142-AI142)/AG142)*AF142</f>
        <v>#DIV/0!</v>
      </c>
      <c r="AK142" s="293" t="e">
        <f t="shared" ref="AK142:AK152" si="26">+(AI142/AG142)*AF142</f>
        <v>#DIV/0!</v>
      </c>
      <c r="AL142" s="258" t="e">
        <f t="shared" si="8"/>
        <v>#DIV/0!</v>
      </c>
      <c r="AM142" s="258" t="e">
        <f t="shared" ref="AM142:AM152" si="27">2*$C$15/AK142</f>
        <v>#DIV/0!</v>
      </c>
      <c r="AN142" s="385" t="e">
        <f t="shared" ref="AN142:AO152" si="28">ABS(AL142)</f>
        <v>#DIV/0!</v>
      </c>
      <c r="AO142" s="385" t="e">
        <f t="shared" si="28"/>
        <v>#DIV/0!</v>
      </c>
      <c r="AQ142" s="136"/>
      <c r="AR142" s="136"/>
      <c r="AS142" s="136"/>
      <c r="AT142" s="136"/>
      <c r="AY142" s="214"/>
      <c r="AZ142" s="214"/>
      <c r="BA142" s="214"/>
    </row>
    <row r="143" spans="2:94" ht="21" thickBot="1" x14ac:dyDescent="0.35">
      <c r="B143" s="386">
        <v>3</v>
      </c>
      <c r="C143" s="386"/>
      <c r="D143" s="26">
        <v>0</v>
      </c>
      <c r="E143" s="375" t="s">
        <v>80</v>
      </c>
      <c r="F143" s="387"/>
      <c r="G143" s="356">
        <v>472.06</v>
      </c>
      <c r="H143" s="356">
        <v>62.531168700000002</v>
      </c>
      <c r="I143" s="357">
        <f t="shared" ref="I143:I152" si="29">+H143+D143</f>
        <v>62.531168700000002</v>
      </c>
      <c r="J143" s="302">
        <f t="shared" si="9"/>
        <v>31.265584350000001</v>
      </c>
      <c r="K143" s="302">
        <f t="shared" si="10"/>
        <v>0.51900577347391186</v>
      </c>
      <c r="L143" s="302">
        <f t="shared" si="11"/>
        <v>245.00186542609484</v>
      </c>
      <c r="M143" s="302">
        <f t="shared" si="12"/>
        <v>490.00373085218968</v>
      </c>
      <c r="N143" s="302">
        <f>+C141+D142+(D143/2)</f>
        <v>0</v>
      </c>
      <c r="O143" s="302">
        <f t="shared" si="13"/>
        <v>0</v>
      </c>
      <c r="P143" s="302">
        <f t="shared" si="14"/>
        <v>0</v>
      </c>
      <c r="Q143" s="302">
        <f t="shared" si="15"/>
        <v>343.49989132317432</v>
      </c>
      <c r="R143" s="302">
        <f t="shared" ref="R143:R152" si="30">+R142+P143</f>
        <v>343.49989132317432</v>
      </c>
      <c r="S143" s="302">
        <f t="shared" si="5"/>
        <v>343.49989132317432</v>
      </c>
      <c r="T143" s="228"/>
      <c r="U143" s="257" t="str">
        <f t="shared" si="16"/>
        <v>use the locking pin</v>
      </c>
      <c r="V143" s="285">
        <f t="shared" si="6"/>
        <v>0</v>
      </c>
      <c r="W143" s="378"/>
      <c r="X143" s="285">
        <f>SUM(V143:V152)/($B$138-B142)</f>
        <v>0</v>
      </c>
      <c r="Y143" s="286">
        <f>SUM(D142:D143)+$C$141</f>
        <v>0</v>
      </c>
      <c r="Z143" s="380">
        <f t="shared" si="17"/>
        <v>54.5017821</v>
      </c>
      <c r="AA143" s="381">
        <f t="shared" ref="AA143:AA152" si="31">SIN(Z143*3.14159265358979/180)</f>
        <v>0.81413357986421619</v>
      </c>
      <c r="AB143" s="382">
        <f t="shared" si="18"/>
        <v>343.49924001631013</v>
      </c>
      <c r="AC143" s="380">
        <f t="shared" si="19"/>
        <v>58.734415599999998</v>
      </c>
      <c r="AD143" s="383">
        <f t="shared" si="20"/>
        <v>0.85477073319485097</v>
      </c>
      <c r="AE143" s="382">
        <f t="shared" si="21"/>
        <v>403.50307231196138</v>
      </c>
      <c r="AF143" s="384">
        <f t="shared" si="22"/>
        <v>-57</v>
      </c>
      <c r="AG143" s="384">
        <f t="shared" si="23"/>
        <v>747.0023123282715</v>
      </c>
      <c r="AH143" s="292">
        <f t="shared" si="24"/>
        <v>-343.49924001631013</v>
      </c>
      <c r="AI143" s="292">
        <f t="shared" si="7"/>
        <v>343.49924001631013</v>
      </c>
      <c r="AJ143" s="293">
        <f t="shared" si="25"/>
        <v>-30.789295752105453</v>
      </c>
      <c r="AK143" s="293">
        <f t="shared" si="26"/>
        <v>-26.210704247894547</v>
      </c>
      <c r="AL143" s="258">
        <f t="shared" si="8"/>
        <v>-376.75431401209499</v>
      </c>
      <c r="AM143" s="258">
        <f t="shared" si="27"/>
        <v>-442.56727672366162</v>
      </c>
      <c r="AN143" s="385">
        <f t="shared" si="28"/>
        <v>376.75431401209499</v>
      </c>
      <c r="AO143" s="385">
        <f t="shared" si="28"/>
        <v>442.56727672366162</v>
      </c>
      <c r="AQ143" s="136"/>
      <c r="AR143" s="136"/>
      <c r="AS143" s="136"/>
      <c r="AT143" s="136"/>
      <c r="AY143" s="214"/>
      <c r="AZ143" s="214"/>
      <c r="BA143" s="214"/>
    </row>
    <row r="144" spans="2:94" ht="21" thickBot="1" x14ac:dyDescent="0.35">
      <c r="B144" s="386">
        <v>4</v>
      </c>
      <c r="C144" s="386"/>
      <c r="D144" s="26">
        <v>0</v>
      </c>
      <c r="E144" s="375" t="s">
        <v>80</v>
      </c>
      <c r="F144" s="387"/>
      <c r="G144" s="356">
        <v>472.06</v>
      </c>
      <c r="H144" s="356">
        <v>62.531168700000002</v>
      </c>
      <c r="I144" s="357">
        <f t="shared" si="29"/>
        <v>62.531168700000002</v>
      </c>
      <c r="J144" s="302">
        <f t="shared" si="9"/>
        <v>31.265584350000001</v>
      </c>
      <c r="K144" s="302">
        <f t="shared" si="10"/>
        <v>0.51900577347391186</v>
      </c>
      <c r="L144" s="302">
        <f t="shared" si="11"/>
        <v>245.00186542609484</v>
      </c>
      <c r="M144" s="302">
        <f t="shared" si="12"/>
        <v>490.00373085218968</v>
      </c>
      <c r="N144" s="302">
        <f>+C141+D142+D143+(D144/2)</f>
        <v>0</v>
      </c>
      <c r="O144" s="302">
        <f t="shared" si="13"/>
        <v>0</v>
      </c>
      <c r="P144" s="302">
        <f t="shared" si="14"/>
        <v>0</v>
      </c>
      <c r="Q144" s="302">
        <f t="shared" si="15"/>
        <v>343.49989132317432</v>
      </c>
      <c r="R144" s="302">
        <f t="shared" si="30"/>
        <v>343.49989132317432</v>
      </c>
      <c r="S144" s="302">
        <f t="shared" si="5"/>
        <v>343.49989132317432</v>
      </c>
      <c r="T144" s="228"/>
      <c r="U144" s="257" t="str">
        <f t="shared" si="16"/>
        <v>use the locking pin</v>
      </c>
      <c r="V144" s="285">
        <f t="shared" si="6"/>
        <v>0</v>
      </c>
      <c r="W144" s="378"/>
      <c r="X144" s="285">
        <f>SUM(V144:V152)/($B$138-B143)</f>
        <v>0</v>
      </c>
      <c r="Y144" s="286">
        <f>SUM(D142:D144)+$C$141</f>
        <v>0</v>
      </c>
      <c r="Z144" s="380">
        <f t="shared" si="17"/>
        <v>54.5017821</v>
      </c>
      <c r="AA144" s="381">
        <f t="shared" si="31"/>
        <v>0.81413357986421619</v>
      </c>
      <c r="AB144" s="382">
        <f t="shared" si="18"/>
        <v>343.49924001631013</v>
      </c>
      <c r="AC144" s="380">
        <f t="shared" si="19"/>
        <v>58.734415599999998</v>
      </c>
      <c r="AD144" s="383">
        <f t="shared" si="20"/>
        <v>0.85477073319485097</v>
      </c>
      <c r="AE144" s="382">
        <f t="shared" si="21"/>
        <v>403.50307231196138</v>
      </c>
      <c r="AF144" s="384">
        <f t="shared" si="22"/>
        <v>-114</v>
      </c>
      <c r="AG144" s="384">
        <f t="shared" si="23"/>
        <v>747.0023123282715</v>
      </c>
      <c r="AH144" s="292">
        <f t="shared" si="24"/>
        <v>-343.49924001631013</v>
      </c>
      <c r="AI144" s="292">
        <f t="shared" si="7"/>
        <v>343.49924001631013</v>
      </c>
      <c r="AJ144" s="293">
        <f t="shared" si="25"/>
        <v>-61.578591504210905</v>
      </c>
      <c r="AK144" s="293">
        <f t="shared" si="26"/>
        <v>-52.421408495789095</v>
      </c>
      <c r="AL144" s="258">
        <f t="shared" si="8"/>
        <v>-188.3771570060475</v>
      </c>
      <c r="AM144" s="258">
        <f t="shared" si="27"/>
        <v>-221.28363836183081</v>
      </c>
      <c r="AN144" s="385">
        <f t="shared" si="28"/>
        <v>188.3771570060475</v>
      </c>
      <c r="AO144" s="385">
        <f t="shared" si="28"/>
        <v>221.28363836183081</v>
      </c>
      <c r="AQ144" s="136"/>
      <c r="AR144" s="136"/>
      <c r="AS144" s="136"/>
      <c r="AT144" s="136"/>
      <c r="AY144" s="214"/>
      <c r="AZ144" s="214"/>
      <c r="BA144" s="214"/>
    </row>
    <row r="145" spans="2:53" ht="21" thickBot="1" x14ac:dyDescent="0.35">
      <c r="B145" s="386">
        <v>5</v>
      </c>
      <c r="C145" s="386"/>
      <c r="D145" s="26">
        <v>0</v>
      </c>
      <c r="E145" s="375" t="s">
        <v>80</v>
      </c>
      <c r="F145" s="387"/>
      <c r="G145" s="356">
        <v>472.06</v>
      </c>
      <c r="H145" s="356">
        <v>62.531168700000002</v>
      </c>
      <c r="I145" s="357">
        <f t="shared" si="29"/>
        <v>62.531168700000002</v>
      </c>
      <c r="J145" s="302">
        <f t="shared" si="9"/>
        <v>31.265584350000001</v>
      </c>
      <c r="K145" s="302">
        <f t="shared" si="10"/>
        <v>0.51900577347391186</v>
      </c>
      <c r="L145" s="302">
        <f t="shared" si="11"/>
        <v>245.00186542609484</v>
      </c>
      <c r="M145" s="302">
        <f t="shared" si="12"/>
        <v>490.00373085218968</v>
      </c>
      <c r="N145" s="302">
        <f>+C141+D142+D143+D144+(D145/2)</f>
        <v>0</v>
      </c>
      <c r="O145" s="302">
        <f t="shared" si="13"/>
        <v>0</v>
      </c>
      <c r="P145" s="302">
        <f t="shared" si="14"/>
        <v>0</v>
      </c>
      <c r="Q145" s="302">
        <f t="shared" si="15"/>
        <v>343.49989132317432</v>
      </c>
      <c r="R145" s="302">
        <f t="shared" si="30"/>
        <v>343.49989132317432</v>
      </c>
      <c r="S145" s="302">
        <f t="shared" si="5"/>
        <v>343.49989132317432</v>
      </c>
      <c r="T145" s="228"/>
      <c r="U145" s="257" t="str">
        <f t="shared" si="16"/>
        <v>use the locking pin</v>
      </c>
      <c r="V145" s="285">
        <f t="shared" si="6"/>
        <v>0</v>
      </c>
      <c r="W145" s="378"/>
      <c r="X145" s="285">
        <f>SUM(V145:V152)/($B$138-B144)</f>
        <v>0</v>
      </c>
      <c r="Y145" s="286">
        <f>SUM(D142:D145)+$C$141</f>
        <v>0</v>
      </c>
      <c r="Z145" s="380">
        <f t="shared" si="17"/>
        <v>54.5017821</v>
      </c>
      <c r="AA145" s="381">
        <f t="shared" si="31"/>
        <v>0.81413357986421619</v>
      </c>
      <c r="AB145" s="382">
        <f t="shared" si="18"/>
        <v>343.49924001631013</v>
      </c>
      <c r="AC145" s="380">
        <f t="shared" si="19"/>
        <v>58.734415599999998</v>
      </c>
      <c r="AD145" s="383">
        <f t="shared" si="20"/>
        <v>0.85477073319485097</v>
      </c>
      <c r="AE145" s="382">
        <f t="shared" si="21"/>
        <v>403.50307231196138</v>
      </c>
      <c r="AF145" s="384">
        <f t="shared" si="22"/>
        <v>-171</v>
      </c>
      <c r="AG145" s="384">
        <f t="shared" si="23"/>
        <v>747.0023123282715</v>
      </c>
      <c r="AH145" s="292">
        <f t="shared" si="24"/>
        <v>-343.49924001631013</v>
      </c>
      <c r="AI145" s="292">
        <f t="shared" si="7"/>
        <v>343.49924001631013</v>
      </c>
      <c r="AJ145" s="293">
        <f t="shared" si="25"/>
        <v>-92.367887256316351</v>
      </c>
      <c r="AK145" s="293">
        <f t="shared" si="26"/>
        <v>-78.632112743683649</v>
      </c>
      <c r="AL145" s="258">
        <f t="shared" si="8"/>
        <v>-125.58477133736501</v>
      </c>
      <c r="AM145" s="258">
        <f t="shared" si="27"/>
        <v>-147.52242557455386</v>
      </c>
      <c r="AN145" s="385">
        <f t="shared" si="28"/>
        <v>125.58477133736501</v>
      </c>
      <c r="AO145" s="385">
        <f t="shared" si="28"/>
        <v>147.52242557455386</v>
      </c>
      <c r="AQ145" s="136"/>
      <c r="AR145" s="136"/>
      <c r="AS145" s="136"/>
      <c r="AT145" s="136"/>
      <c r="AY145" s="214"/>
      <c r="AZ145" s="214"/>
      <c r="BA145" s="214"/>
    </row>
    <row r="146" spans="2:53" ht="21" thickBot="1" x14ac:dyDescent="0.35">
      <c r="B146" s="386">
        <v>6</v>
      </c>
      <c r="C146" s="386"/>
      <c r="D146" s="26">
        <v>0</v>
      </c>
      <c r="E146" s="375" t="s">
        <v>80</v>
      </c>
      <c r="F146" s="387"/>
      <c r="G146" s="356">
        <v>472.06</v>
      </c>
      <c r="H146" s="356">
        <v>62.531168700000002</v>
      </c>
      <c r="I146" s="357">
        <f t="shared" si="29"/>
        <v>62.531168700000002</v>
      </c>
      <c r="J146" s="302">
        <f t="shared" si="9"/>
        <v>31.265584350000001</v>
      </c>
      <c r="K146" s="302">
        <f t="shared" si="10"/>
        <v>0.51900577347391186</v>
      </c>
      <c r="L146" s="302">
        <f t="shared" si="11"/>
        <v>245.00186542609484</v>
      </c>
      <c r="M146" s="302">
        <f t="shared" si="12"/>
        <v>490.00373085218968</v>
      </c>
      <c r="N146" s="302">
        <f>+C141+D142+D143+D144+D145+(D146/2)</f>
        <v>0</v>
      </c>
      <c r="O146" s="302">
        <f t="shared" si="13"/>
        <v>0</v>
      </c>
      <c r="P146" s="302">
        <f t="shared" si="14"/>
        <v>0</v>
      </c>
      <c r="Q146" s="302">
        <f t="shared" si="15"/>
        <v>343.49989132317432</v>
      </c>
      <c r="R146" s="302">
        <f t="shared" si="30"/>
        <v>343.49989132317432</v>
      </c>
      <c r="S146" s="302">
        <f t="shared" si="5"/>
        <v>343.49989132317432</v>
      </c>
      <c r="T146" s="228"/>
      <c r="U146" s="257" t="str">
        <f t="shared" si="16"/>
        <v>use the locking pin</v>
      </c>
      <c r="V146" s="285">
        <f t="shared" si="6"/>
        <v>0</v>
      </c>
      <c r="W146" s="378"/>
      <c r="X146" s="285">
        <f>SUM(V146:V152)/($B$138-B145)</f>
        <v>0</v>
      </c>
      <c r="Y146" s="286">
        <f>SUM(D142:D146)+$C$141</f>
        <v>0</v>
      </c>
      <c r="Z146" s="380">
        <f t="shared" si="17"/>
        <v>54.5017821</v>
      </c>
      <c r="AA146" s="381">
        <f t="shared" si="31"/>
        <v>0.81413357986421619</v>
      </c>
      <c r="AB146" s="382">
        <f t="shared" si="18"/>
        <v>343.49924001631013</v>
      </c>
      <c r="AC146" s="380">
        <f t="shared" si="19"/>
        <v>58.734415599999998</v>
      </c>
      <c r="AD146" s="383">
        <f t="shared" si="20"/>
        <v>0.85477073319485097</v>
      </c>
      <c r="AE146" s="382">
        <f t="shared" si="21"/>
        <v>403.50307231196138</v>
      </c>
      <c r="AF146" s="384">
        <f t="shared" si="22"/>
        <v>-228</v>
      </c>
      <c r="AG146" s="384">
        <f t="shared" si="23"/>
        <v>747.0023123282715</v>
      </c>
      <c r="AH146" s="292">
        <f t="shared" si="24"/>
        <v>-343.49924001631013</v>
      </c>
      <c r="AI146" s="292">
        <f t="shared" si="7"/>
        <v>343.49924001631013</v>
      </c>
      <c r="AJ146" s="293">
        <f t="shared" si="25"/>
        <v>-123.15718300842181</v>
      </c>
      <c r="AK146" s="293">
        <f t="shared" si="26"/>
        <v>-104.84281699157819</v>
      </c>
      <c r="AL146" s="258">
        <f t="shared" si="8"/>
        <v>-94.188578503023749</v>
      </c>
      <c r="AM146" s="258">
        <f t="shared" si="27"/>
        <v>-110.64181918091541</v>
      </c>
      <c r="AN146" s="385">
        <f t="shared" si="28"/>
        <v>94.188578503023749</v>
      </c>
      <c r="AO146" s="385">
        <f t="shared" si="28"/>
        <v>110.64181918091541</v>
      </c>
      <c r="AQ146" s="136"/>
      <c r="AR146" s="136"/>
      <c r="AS146" s="136"/>
      <c r="AT146" s="136"/>
      <c r="AU146" s="136"/>
      <c r="AW146" s="136"/>
      <c r="AX146" s="136"/>
      <c r="AY146" s="214"/>
      <c r="AZ146" s="214"/>
      <c r="BA146" s="214"/>
    </row>
    <row r="147" spans="2:53" ht="21" thickBot="1" x14ac:dyDescent="0.35">
      <c r="B147" s="386">
        <v>7</v>
      </c>
      <c r="C147" s="386"/>
      <c r="D147" s="26">
        <v>0</v>
      </c>
      <c r="E147" s="375" t="s">
        <v>80</v>
      </c>
      <c r="F147" s="387"/>
      <c r="G147" s="356">
        <v>472.06</v>
      </c>
      <c r="H147" s="356">
        <v>62.531168700000002</v>
      </c>
      <c r="I147" s="357">
        <f t="shared" si="29"/>
        <v>62.531168700000002</v>
      </c>
      <c r="J147" s="302">
        <f t="shared" si="9"/>
        <v>31.265584350000001</v>
      </c>
      <c r="K147" s="302">
        <f t="shared" si="10"/>
        <v>0.51900577347391186</v>
      </c>
      <c r="L147" s="302">
        <f t="shared" si="11"/>
        <v>245.00186542609484</v>
      </c>
      <c r="M147" s="302">
        <f t="shared" si="12"/>
        <v>490.00373085218968</v>
      </c>
      <c r="N147" s="302">
        <f>+C141+D142+D143+D144+D145+D146+(D147/2)</f>
        <v>0</v>
      </c>
      <c r="O147" s="302">
        <f t="shared" si="13"/>
        <v>0</v>
      </c>
      <c r="P147" s="302">
        <f t="shared" si="14"/>
        <v>0</v>
      </c>
      <c r="Q147" s="302">
        <f t="shared" si="15"/>
        <v>343.49989132317432</v>
      </c>
      <c r="R147" s="302">
        <f t="shared" si="30"/>
        <v>343.49989132317432</v>
      </c>
      <c r="S147" s="302">
        <f t="shared" si="5"/>
        <v>343.49989132317432</v>
      </c>
      <c r="T147" s="228"/>
      <c r="U147" s="257" t="str">
        <f t="shared" si="16"/>
        <v>use the locking pin</v>
      </c>
      <c r="V147" s="285">
        <f t="shared" si="6"/>
        <v>0</v>
      </c>
      <c r="W147" s="378"/>
      <c r="X147" s="285">
        <f>SUM(V147:V152)/($B$138-B146)</f>
        <v>0</v>
      </c>
      <c r="Y147" s="286">
        <f>SUM(D142:D147)+$C$141</f>
        <v>0</v>
      </c>
      <c r="Z147" s="380">
        <f t="shared" si="17"/>
        <v>54.5017821</v>
      </c>
      <c r="AA147" s="381">
        <f t="shared" si="31"/>
        <v>0.81413357986421619</v>
      </c>
      <c r="AB147" s="382">
        <f t="shared" si="18"/>
        <v>343.49924001631013</v>
      </c>
      <c r="AC147" s="380">
        <f t="shared" si="19"/>
        <v>58.734415599999998</v>
      </c>
      <c r="AD147" s="383">
        <f t="shared" si="20"/>
        <v>0.85477073319485097</v>
      </c>
      <c r="AE147" s="382">
        <f t="shared" si="21"/>
        <v>403.50307231196138</v>
      </c>
      <c r="AF147" s="384">
        <f t="shared" si="22"/>
        <v>-285</v>
      </c>
      <c r="AG147" s="384">
        <f t="shared" si="23"/>
        <v>747.0023123282715</v>
      </c>
      <c r="AH147" s="292">
        <f t="shared" si="24"/>
        <v>-343.49924001631013</v>
      </c>
      <c r="AI147" s="292">
        <f t="shared" si="7"/>
        <v>343.49924001631013</v>
      </c>
      <c r="AJ147" s="293">
        <f t="shared" si="25"/>
        <v>-153.94647876052727</v>
      </c>
      <c r="AK147" s="293">
        <f t="shared" si="26"/>
        <v>-131.05352123947273</v>
      </c>
      <c r="AL147" s="258">
        <f t="shared" si="8"/>
        <v>-75.350862802418987</v>
      </c>
      <c r="AM147" s="258">
        <f t="shared" si="27"/>
        <v>-88.513455344732336</v>
      </c>
      <c r="AN147" s="385">
        <f t="shared" si="28"/>
        <v>75.350862802418987</v>
      </c>
      <c r="AO147" s="385">
        <f t="shared" si="28"/>
        <v>88.513455344732336</v>
      </c>
      <c r="AQ147" s="136"/>
      <c r="AR147" s="136"/>
      <c r="AS147" s="136"/>
      <c r="AT147" s="136"/>
      <c r="AU147" s="136"/>
      <c r="AV147" s="136"/>
      <c r="AW147" s="136"/>
      <c r="AX147" s="136"/>
      <c r="AY147" s="214"/>
      <c r="AZ147" s="214"/>
      <c r="BA147" s="214"/>
    </row>
    <row r="148" spans="2:53" ht="21" thickBot="1" x14ac:dyDescent="0.35">
      <c r="B148" s="386">
        <v>8</v>
      </c>
      <c r="C148" s="386"/>
      <c r="D148" s="26">
        <v>0</v>
      </c>
      <c r="E148" s="375" t="s">
        <v>80</v>
      </c>
      <c r="F148" s="387"/>
      <c r="G148" s="356">
        <v>472.06</v>
      </c>
      <c r="H148" s="356">
        <v>62.531168700000002</v>
      </c>
      <c r="I148" s="357">
        <f t="shared" si="29"/>
        <v>62.531168700000002</v>
      </c>
      <c r="J148" s="302">
        <f t="shared" si="9"/>
        <v>31.265584350000001</v>
      </c>
      <c r="K148" s="302">
        <f t="shared" si="10"/>
        <v>0.51900577347391186</v>
      </c>
      <c r="L148" s="302">
        <f t="shared" si="11"/>
        <v>245.00186542609484</v>
      </c>
      <c r="M148" s="302">
        <f t="shared" si="12"/>
        <v>490.00373085218968</v>
      </c>
      <c r="N148" s="302">
        <f>+C141+D142+D143+D144+D145+D146+D147+(D148/2)</f>
        <v>0</v>
      </c>
      <c r="O148" s="302">
        <f t="shared" si="13"/>
        <v>0</v>
      </c>
      <c r="P148" s="302">
        <f t="shared" si="14"/>
        <v>0</v>
      </c>
      <c r="Q148" s="302">
        <f t="shared" si="15"/>
        <v>343.49989132317432</v>
      </c>
      <c r="R148" s="302">
        <f t="shared" si="30"/>
        <v>343.49989132317432</v>
      </c>
      <c r="S148" s="302">
        <f t="shared" si="5"/>
        <v>343.49989132317432</v>
      </c>
      <c r="T148" s="228"/>
      <c r="U148" s="257" t="str">
        <f t="shared" si="16"/>
        <v>use the locking pin</v>
      </c>
      <c r="V148" s="285">
        <f t="shared" si="6"/>
        <v>0</v>
      </c>
      <c r="W148" s="378"/>
      <c r="X148" s="285">
        <f>SUM(V148:V152)/($B$138-B147)</f>
        <v>0</v>
      </c>
      <c r="Y148" s="286">
        <f>SUM(D142:D148)+$C$141</f>
        <v>0</v>
      </c>
      <c r="Z148" s="380">
        <f t="shared" si="17"/>
        <v>54.5017821</v>
      </c>
      <c r="AA148" s="381">
        <f t="shared" si="31"/>
        <v>0.81413357986421619</v>
      </c>
      <c r="AB148" s="382">
        <f t="shared" si="18"/>
        <v>343.49924001631013</v>
      </c>
      <c r="AC148" s="380">
        <f t="shared" si="19"/>
        <v>58.734415599999998</v>
      </c>
      <c r="AD148" s="383">
        <f t="shared" si="20"/>
        <v>0.85477073319485097</v>
      </c>
      <c r="AE148" s="382">
        <f t="shared" si="21"/>
        <v>403.50307231196138</v>
      </c>
      <c r="AF148" s="384">
        <f t="shared" si="22"/>
        <v>-342</v>
      </c>
      <c r="AG148" s="384">
        <f t="shared" si="23"/>
        <v>747.0023123282715</v>
      </c>
      <c r="AH148" s="292">
        <f t="shared" si="24"/>
        <v>-343.49924001631013</v>
      </c>
      <c r="AI148" s="292">
        <f t="shared" si="7"/>
        <v>343.49924001631013</v>
      </c>
      <c r="AJ148" s="293">
        <f t="shared" si="25"/>
        <v>-184.7357745126327</v>
      </c>
      <c r="AK148" s="293">
        <f t="shared" si="26"/>
        <v>-157.2642254873673</v>
      </c>
      <c r="AL148" s="258">
        <f t="shared" si="8"/>
        <v>-62.792385668682506</v>
      </c>
      <c r="AM148" s="258">
        <f t="shared" si="27"/>
        <v>-73.761212787276932</v>
      </c>
      <c r="AN148" s="385">
        <f t="shared" si="28"/>
        <v>62.792385668682506</v>
      </c>
      <c r="AO148" s="385">
        <f t="shared" si="28"/>
        <v>73.761212787276932</v>
      </c>
      <c r="AQ148" s="136"/>
      <c r="AR148" s="136"/>
      <c r="AS148" s="136"/>
      <c r="AT148" s="136"/>
      <c r="AU148" s="136"/>
      <c r="AV148" s="136"/>
      <c r="AW148" s="136"/>
      <c r="AX148" s="136"/>
      <c r="AY148" s="214"/>
      <c r="AZ148" s="214"/>
      <c r="BA148" s="214"/>
    </row>
    <row r="149" spans="2:53" ht="21" thickBot="1" x14ac:dyDescent="0.35">
      <c r="B149" s="386">
        <v>9</v>
      </c>
      <c r="C149" s="386"/>
      <c r="D149" s="26">
        <v>0</v>
      </c>
      <c r="E149" s="375" t="s">
        <v>80</v>
      </c>
      <c r="F149" s="387"/>
      <c r="G149" s="356">
        <v>472.06</v>
      </c>
      <c r="H149" s="356">
        <v>62.531168700000002</v>
      </c>
      <c r="I149" s="357">
        <f t="shared" si="29"/>
        <v>62.531168700000002</v>
      </c>
      <c r="J149" s="302">
        <f t="shared" si="9"/>
        <v>31.265584350000001</v>
      </c>
      <c r="K149" s="302">
        <f t="shared" si="10"/>
        <v>0.51900577347391186</v>
      </c>
      <c r="L149" s="302">
        <f t="shared" si="11"/>
        <v>245.00186542609484</v>
      </c>
      <c r="M149" s="302">
        <f t="shared" si="12"/>
        <v>490.00373085218968</v>
      </c>
      <c r="N149" s="302">
        <f>+C141+D142+D143+D144+D145+D146+D147+D148+(D149/2)</f>
        <v>0</v>
      </c>
      <c r="O149" s="302">
        <f t="shared" si="13"/>
        <v>0</v>
      </c>
      <c r="P149" s="302">
        <f t="shared" si="14"/>
        <v>0</v>
      </c>
      <c r="Q149" s="302">
        <f t="shared" si="15"/>
        <v>343.49989132317432</v>
      </c>
      <c r="R149" s="302">
        <f t="shared" si="30"/>
        <v>343.49989132317432</v>
      </c>
      <c r="S149" s="302">
        <f t="shared" si="5"/>
        <v>343.49989132317432</v>
      </c>
      <c r="T149" s="228"/>
      <c r="U149" s="257" t="str">
        <f t="shared" si="16"/>
        <v>use the locking pin</v>
      </c>
      <c r="V149" s="285">
        <f t="shared" si="6"/>
        <v>0</v>
      </c>
      <c r="W149" s="378"/>
      <c r="X149" s="285">
        <f>SUM(V149:V152)/($B$138-B148)</f>
        <v>0</v>
      </c>
      <c r="Y149" s="286">
        <f>SUM(D142:D149)+$C$141</f>
        <v>0</v>
      </c>
      <c r="Z149" s="380">
        <f t="shared" si="17"/>
        <v>54.5017821</v>
      </c>
      <c r="AA149" s="381">
        <f t="shared" si="31"/>
        <v>0.81413357986421619</v>
      </c>
      <c r="AB149" s="382">
        <f t="shared" si="18"/>
        <v>343.49924001631013</v>
      </c>
      <c r="AC149" s="380">
        <f t="shared" si="19"/>
        <v>58.734415599999998</v>
      </c>
      <c r="AD149" s="383">
        <f t="shared" si="20"/>
        <v>0.85477073319485097</v>
      </c>
      <c r="AE149" s="382">
        <f t="shared" si="21"/>
        <v>403.50307231196138</v>
      </c>
      <c r="AF149" s="384">
        <f t="shared" si="22"/>
        <v>-399</v>
      </c>
      <c r="AG149" s="384">
        <f t="shared" si="23"/>
        <v>747.0023123282715</v>
      </c>
      <c r="AH149" s="292">
        <f t="shared" si="24"/>
        <v>-343.49924001631013</v>
      </c>
      <c r="AI149" s="292">
        <f t="shared" si="7"/>
        <v>343.49924001631013</v>
      </c>
      <c r="AJ149" s="293">
        <f t="shared" si="25"/>
        <v>-215.52507026473816</v>
      </c>
      <c r="AK149" s="293">
        <f t="shared" si="26"/>
        <v>-183.47492973526184</v>
      </c>
      <c r="AL149" s="258">
        <f t="shared" si="8"/>
        <v>-53.822044858870711</v>
      </c>
      <c r="AM149" s="258">
        <f t="shared" si="27"/>
        <v>-63.223896674808806</v>
      </c>
      <c r="AN149" s="385">
        <f t="shared" si="28"/>
        <v>53.822044858870711</v>
      </c>
      <c r="AO149" s="385">
        <f t="shared" si="28"/>
        <v>63.223896674808806</v>
      </c>
      <c r="AQ149" s="136"/>
      <c r="AR149" s="136"/>
      <c r="AS149" s="136"/>
      <c r="AT149" s="136"/>
      <c r="AU149" s="136"/>
      <c r="AV149" s="136"/>
      <c r="AW149" s="136"/>
      <c r="AX149" s="136"/>
      <c r="AY149" s="214"/>
      <c r="AZ149" s="214"/>
      <c r="BA149" s="214"/>
    </row>
    <row r="150" spans="2:53" ht="21" thickBot="1" x14ac:dyDescent="0.35">
      <c r="B150" s="386">
        <v>10</v>
      </c>
      <c r="C150" s="386"/>
      <c r="D150" s="26">
        <v>0</v>
      </c>
      <c r="E150" s="375" t="s">
        <v>80</v>
      </c>
      <c r="F150" s="387"/>
      <c r="G150" s="356">
        <v>472.06</v>
      </c>
      <c r="H150" s="356">
        <v>62.531168700000002</v>
      </c>
      <c r="I150" s="357">
        <f t="shared" si="29"/>
        <v>62.531168700000002</v>
      </c>
      <c r="J150" s="302">
        <f t="shared" si="9"/>
        <v>31.265584350000001</v>
      </c>
      <c r="K150" s="302">
        <f t="shared" si="10"/>
        <v>0.51900577347391186</v>
      </c>
      <c r="L150" s="302">
        <f t="shared" si="11"/>
        <v>245.00186542609484</v>
      </c>
      <c r="M150" s="302">
        <f t="shared" si="12"/>
        <v>490.00373085218968</v>
      </c>
      <c r="N150" s="302">
        <f>+C141+D142+D143+D144+D145+D146+D147+D148+D149+(D150/2)</f>
        <v>0</v>
      </c>
      <c r="O150" s="302">
        <f t="shared" si="13"/>
        <v>0</v>
      </c>
      <c r="P150" s="302">
        <f t="shared" si="14"/>
        <v>0</v>
      </c>
      <c r="Q150" s="302">
        <f t="shared" si="15"/>
        <v>343.49989132317432</v>
      </c>
      <c r="R150" s="302">
        <f t="shared" si="30"/>
        <v>343.49989132317432</v>
      </c>
      <c r="S150" s="302">
        <f t="shared" si="5"/>
        <v>343.49989132317432</v>
      </c>
      <c r="T150" s="228"/>
      <c r="U150" s="257" t="str">
        <f t="shared" si="16"/>
        <v>use the locking pin</v>
      </c>
      <c r="V150" s="285">
        <f t="shared" si="6"/>
        <v>0</v>
      </c>
      <c r="W150" s="378"/>
      <c r="X150" s="285">
        <f>SUM(V150:V152)/($B$138-B149)</f>
        <v>0</v>
      </c>
      <c r="Y150" s="286">
        <f>SUM(D142:D150)+$C$141</f>
        <v>0</v>
      </c>
      <c r="Z150" s="380">
        <f t="shared" si="17"/>
        <v>54.5017821</v>
      </c>
      <c r="AA150" s="381">
        <f t="shared" si="31"/>
        <v>0.81413357986421619</v>
      </c>
      <c r="AB150" s="382">
        <f t="shared" si="18"/>
        <v>343.49924001631013</v>
      </c>
      <c r="AC150" s="380">
        <f t="shared" si="19"/>
        <v>58.734415599999998</v>
      </c>
      <c r="AD150" s="383">
        <f t="shared" si="20"/>
        <v>0.85477073319485097</v>
      </c>
      <c r="AE150" s="382">
        <f t="shared" si="21"/>
        <v>403.50307231196138</v>
      </c>
      <c r="AF150" s="384">
        <f t="shared" si="22"/>
        <v>-456</v>
      </c>
      <c r="AG150" s="384">
        <f t="shared" si="23"/>
        <v>747.0023123282715</v>
      </c>
      <c r="AH150" s="292">
        <f t="shared" si="24"/>
        <v>-343.49924001631013</v>
      </c>
      <c r="AI150" s="292">
        <f t="shared" si="7"/>
        <v>343.49924001631013</v>
      </c>
      <c r="AJ150" s="293">
        <f t="shared" si="25"/>
        <v>-246.31436601684362</v>
      </c>
      <c r="AK150" s="293">
        <f t="shared" si="26"/>
        <v>-209.68563398315638</v>
      </c>
      <c r="AL150" s="258">
        <f t="shared" si="8"/>
        <v>-47.094289251511874</v>
      </c>
      <c r="AM150" s="258">
        <f t="shared" si="27"/>
        <v>-55.320909590457703</v>
      </c>
      <c r="AN150" s="385">
        <f t="shared" si="28"/>
        <v>47.094289251511874</v>
      </c>
      <c r="AO150" s="385">
        <f t="shared" si="28"/>
        <v>55.320909590457703</v>
      </c>
      <c r="AQ150" s="136"/>
      <c r="AR150" s="136"/>
      <c r="AS150" s="136"/>
      <c r="AT150" s="136"/>
      <c r="AU150" s="136"/>
      <c r="AV150" s="136"/>
      <c r="AW150" s="136"/>
      <c r="AX150" s="136"/>
      <c r="AY150" s="214"/>
      <c r="AZ150" s="214"/>
      <c r="BA150" s="214"/>
    </row>
    <row r="151" spans="2:53" ht="21" thickBot="1" x14ac:dyDescent="0.35">
      <c r="B151" s="386">
        <v>11</v>
      </c>
      <c r="C151" s="386"/>
      <c r="D151" s="26">
        <v>0</v>
      </c>
      <c r="E151" s="375" t="s">
        <v>80</v>
      </c>
      <c r="F151" s="387"/>
      <c r="G151" s="356">
        <v>472.06</v>
      </c>
      <c r="H151" s="356">
        <v>62.531168700000002</v>
      </c>
      <c r="I151" s="357">
        <f t="shared" si="29"/>
        <v>62.531168700000002</v>
      </c>
      <c r="J151" s="302">
        <f t="shared" si="9"/>
        <v>31.265584350000001</v>
      </c>
      <c r="K151" s="302">
        <f t="shared" si="10"/>
        <v>0.51900577347391186</v>
      </c>
      <c r="L151" s="302">
        <f t="shared" si="11"/>
        <v>245.00186542609484</v>
      </c>
      <c r="M151" s="302">
        <f t="shared" si="12"/>
        <v>490.00373085218968</v>
      </c>
      <c r="N151" s="302">
        <f>+C141+D142+D143+D144+D145+D146+D147+D148+D149+D150+(D151/2)</f>
        <v>0</v>
      </c>
      <c r="O151" s="302">
        <f t="shared" si="13"/>
        <v>0</v>
      </c>
      <c r="P151" s="302">
        <f t="shared" si="14"/>
        <v>0</v>
      </c>
      <c r="Q151" s="302">
        <f t="shared" si="15"/>
        <v>343.49989132317432</v>
      </c>
      <c r="R151" s="302">
        <f t="shared" si="30"/>
        <v>343.49989132317432</v>
      </c>
      <c r="S151" s="302">
        <f t="shared" si="5"/>
        <v>343.49989132317432</v>
      </c>
      <c r="T151" s="228"/>
      <c r="U151" s="257" t="str">
        <f t="shared" si="16"/>
        <v>use the locking pin</v>
      </c>
      <c r="V151" s="285">
        <f t="shared" si="6"/>
        <v>0</v>
      </c>
      <c r="W151" s="378"/>
      <c r="X151" s="285">
        <f>SUM(V151:V152)/($B$138-B150)</f>
        <v>0</v>
      </c>
      <c r="Y151" s="286">
        <f>SUM(D142:D151)+$C$141</f>
        <v>0</v>
      </c>
      <c r="Z151" s="380">
        <f t="shared" si="17"/>
        <v>54.5017821</v>
      </c>
      <c r="AA151" s="381">
        <f t="shared" si="31"/>
        <v>0.81413357986421619</v>
      </c>
      <c r="AB151" s="382">
        <f t="shared" si="18"/>
        <v>343.49924001631013</v>
      </c>
      <c r="AC151" s="380">
        <f t="shared" si="19"/>
        <v>58.734415599999998</v>
      </c>
      <c r="AD151" s="383">
        <f t="shared" si="20"/>
        <v>0.85477073319485097</v>
      </c>
      <c r="AE151" s="382">
        <f t="shared" si="21"/>
        <v>403.50307231196138</v>
      </c>
      <c r="AF151" s="384">
        <f t="shared" si="22"/>
        <v>-513</v>
      </c>
      <c r="AG151" s="384">
        <f t="shared" si="23"/>
        <v>747.0023123282715</v>
      </c>
      <c r="AH151" s="292">
        <f t="shared" si="24"/>
        <v>-343.49924001631013</v>
      </c>
      <c r="AI151" s="292">
        <f t="shared" si="7"/>
        <v>343.49924001631013</v>
      </c>
      <c r="AJ151" s="293">
        <f t="shared" si="25"/>
        <v>-277.10366176894905</v>
      </c>
      <c r="AK151" s="293">
        <f t="shared" si="26"/>
        <v>-235.89633823105095</v>
      </c>
      <c r="AL151" s="258">
        <f t="shared" si="8"/>
        <v>-41.861590445788337</v>
      </c>
      <c r="AM151" s="258">
        <f t="shared" si="27"/>
        <v>-49.174141858184626</v>
      </c>
      <c r="AN151" s="385">
        <f t="shared" si="28"/>
        <v>41.861590445788337</v>
      </c>
      <c r="AO151" s="385">
        <f t="shared" si="28"/>
        <v>49.174141858184626</v>
      </c>
      <c r="AQ151" s="136"/>
      <c r="AR151" s="136"/>
      <c r="AS151" s="136"/>
      <c r="AT151" s="136"/>
      <c r="AU151" s="136"/>
      <c r="AV151" s="136"/>
      <c r="AW151" s="136"/>
      <c r="AX151" s="136"/>
      <c r="AY151" s="214"/>
      <c r="AZ151" s="214"/>
      <c r="BA151" s="214"/>
    </row>
    <row r="152" spans="2:53" ht="21" thickBot="1" x14ac:dyDescent="0.35">
      <c r="B152" s="386">
        <v>12</v>
      </c>
      <c r="C152" s="386"/>
      <c r="D152" s="26">
        <v>0</v>
      </c>
      <c r="E152" s="375" t="s">
        <v>80</v>
      </c>
      <c r="F152" s="387"/>
      <c r="G152" s="356">
        <v>472.06</v>
      </c>
      <c r="H152" s="356">
        <v>62.531168700000002</v>
      </c>
      <c r="I152" s="357">
        <f t="shared" si="29"/>
        <v>62.531168700000002</v>
      </c>
      <c r="J152" s="302">
        <f t="shared" si="9"/>
        <v>31.265584350000001</v>
      </c>
      <c r="K152" s="302">
        <f t="shared" si="10"/>
        <v>0.51900577347391186</v>
      </c>
      <c r="L152" s="302">
        <f t="shared" si="11"/>
        <v>245.00186542609484</v>
      </c>
      <c r="M152" s="302">
        <f t="shared" si="12"/>
        <v>490.00373085218968</v>
      </c>
      <c r="N152" s="302">
        <f>+C141+D142+D143+D144+D145+D146+D147+D148+D149+D150+D151+(D152/2)</f>
        <v>0</v>
      </c>
      <c r="O152" s="302">
        <f t="shared" si="13"/>
        <v>0</v>
      </c>
      <c r="P152" s="302">
        <f t="shared" si="14"/>
        <v>0</v>
      </c>
      <c r="Q152" s="302">
        <f t="shared" si="15"/>
        <v>343.49989132317432</v>
      </c>
      <c r="R152" s="302">
        <f t="shared" si="30"/>
        <v>343.49989132317432</v>
      </c>
      <c r="S152" s="302">
        <f t="shared" si="5"/>
        <v>343.49989132317432</v>
      </c>
      <c r="T152" s="228"/>
      <c r="U152" s="257" t="str">
        <f t="shared" si="16"/>
        <v>use the locking pin</v>
      </c>
      <c r="V152" s="285">
        <f t="shared" si="6"/>
        <v>0</v>
      </c>
      <c r="W152" s="378"/>
      <c r="X152" s="285">
        <f>SUM(V152)/($B$138-B151)</f>
        <v>0</v>
      </c>
      <c r="Y152" s="286">
        <f>SUM(D142:D152)+$C$141</f>
        <v>0</v>
      </c>
      <c r="Z152" s="380">
        <f t="shared" si="17"/>
        <v>54.5017821</v>
      </c>
      <c r="AA152" s="381">
        <f t="shared" si="31"/>
        <v>0.81413357986421619</v>
      </c>
      <c r="AB152" s="382">
        <f t="shared" si="18"/>
        <v>343.49924001631013</v>
      </c>
      <c r="AC152" s="380">
        <f t="shared" si="19"/>
        <v>58.734415599999998</v>
      </c>
      <c r="AD152" s="383">
        <f t="shared" si="20"/>
        <v>0.85477073319485097</v>
      </c>
      <c r="AE152" s="382">
        <f t="shared" si="21"/>
        <v>403.50307231196138</v>
      </c>
      <c r="AF152" s="384">
        <f t="shared" si="22"/>
        <v>-570</v>
      </c>
      <c r="AG152" s="384">
        <f t="shared" si="23"/>
        <v>747.0023123282715</v>
      </c>
      <c r="AH152" s="292">
        <f t="shared" si="24"/>
        <v>-343.49924001631013</v>
      </c>
      <c r="AI152" s="292">
        <f t="shared" si="7"/>
        <v>343.49924001631013</v>
      </c>
      <c r="AJ152" s="293">
        <f t="shared" si="25"/>
        <v>-307.89295752105454</v>
      </c>
      <c r="AK152" s="293">
        <f t="shared" si="26"/>
        <v>-262.10704247894546</v>
      </c>
      <c r="AL152" s="258">
        <f t="shared" si="8"/>
        <v>-37.675431401209494</v>
      </c>
      <c r="AM152" s="258">
        <f t="shared" si="27"/>
        <v>-44.256727672366168</v>
      </c>
      <c r="AN152" s="385">
        <f t="shared" si="28"/>
        <v>37.675431401209494</v>
      </c>
      <c r="AO152" s="385">
        <f t="shared" si="28"/>
        <v>44.256727672366168</v>
      </c>
      <c r="AQ152" s="136"/>
      <c r="AR152" s="136"/>
      <c r="AS152" s="136"/>
      <c r="AT152" s="136"/>
      <c r="AU152" s="136"/>
      <c r="AV152" s="136"/>
      <c r="AW152" s="136"/>
      <c r="AX152" s="136"/>
      <c r="AY152" s="214"/>
      <c r="AZ152" s="214"/>
      <c r="BA152" s="214"/>
    </row>
    <row r="153" spans="2:53" ht="19" x14ac:dyDescent="0.3">
      <c r="AQ153" s="136"/>
      <c r="AR153" s="136"/>
      <c r="AS153" s="136"/>
      <c r="AT153" s="136"/>
      <c r="AU153" s="136"/>
      <c r="AV153" s="136"/>
      <c r="AW153" s="136"/>
      <c r="AX153" s="136"/>
      <c r="AY153" s="214"/>
      <c r="AZ153" s="214"/>
      <c r="BA153" s="214"/>
    </row>
    <row r="154" spans="2:53" ht="19" x14ac:dyDescent="0.3">
      <c r="AQ154" s="136"/>
      <c r="AR154" s="136"/>
      <c r="AS154" s="136"/>
      <c r="AT154" s="136"/>
      <c r="AU154" s="136"/>
      <c r="AV154" s="136"/>
      <c r="AW154" s="136"/>
      <c r="AX154" s="136"/>
      <c r="AY154" s="214"/>
      <c r="AZ154" s="214"/>
      <c r="BA154" s="214"/>
    </row>
    <row r="155" spans="2:53" ht="19" x14ac:dyDescent="0.3">
      <c r="AQ155" s="136"/>
      <c r="AR155" s="136"/>
      <c r="AS155" s="136"/>
      <c r="AT155" s="136"/>
      <c r="AU155" s="136"/>
      <c r="AV155" s="136"/>
      <c r="AW155" s="136"/>
      <c r="AX155" s="136"/>
      <c r="AY155" s="214"/>
      <c r="AZ155" s="214"/>
      <c r="BA155" s="214"/>
    </row>
    <row r="156" spans="2:53" ht="19" x14ac:dyDescent="0.3">
      <c r="B156" s="350"/>
      <c r="AQ156" s="136"/>
      <c r="AR156" s="136"/>
      <c r="AS156" s="136"/>
      <c r="AT156" s="136"/>
      <c r="AU156" s="136"/>
      <c r="AV156" s="136"/>
      <c r="AW156" s="136"/>
      <c r="AX156" s="136"/>
      <c r="AY156" s="214"/>
      <c r="AZ156" s="214"/>
      <c r="BA156" s="214"/>
    </row>
    <row r="157" spans="2:53" ht="19" x14ac:dyDescent="0.3">
      <c r="AQ157" s="136"/>
      <c r="AR157" s="136"/>
      <c r="AS157" s="136"/>
      <c r="AT157" s="136"/>
      <c r="AU157" s="136"/>
      <c r="AV157" s="136"/>
      <c r="AY157" s="214"/>
      <c r="AZ157" s="214"/>
      <c r="BA157" s="214"/>
    </row>
    <row r="158" spans="2:53" ht="20" x14ac:dyDescent="0.3">
      <c r="AQ158" s="136"/>
      <c r="AR158" s="136"/>
      <c r="AS158" s="136"/>
      <c r="AT158" s="136"/>
      <c r="AU158" s="136"/>
      <c r="AV158" s="136"/>
      <c r="AW158" s="212"/>
      <c r="AY158" s="214"/>
      <c r="AZ158" s="214"/>
      <c r="BA158" s="214"/>
    </row>
    <row r="159" spans="2:53" ht="20" hidden="1" x14ac:dyDescent="0.3">
      <c r="AQ159" s="136"/>
      <c r="AR159" s="136"/>
      <c r="AS159" s="297" t="s">
        <v>122</v>
      </c>
      <c r="AT159" s="136"/>
      <c r="AU159" s="136"/>
      <c r="AV159" s="136"/>
      <c r="AW159" s="136"/>
      <c r="AX159" s="136"/>
      <c r="AY159" s="214"/>
      <c r="AZ159" s="214"/>
      <c r="BA159" s="214">
        <v>1</v>
      </c>
    </row>
    <row r="160" spans="2:53" ht="20" x14ac:dyDescent="0.3">
      <c r="AQ160" s="298">
        <v>1</v>
      </c>
      <c r="AR160" s="299">
        <v>-473</v>
      </c>
      <c r="AS160" s="300">
        <f>+COS(($B$135*-1)*3.14159265358979/180)*AR160</f>
        <v>-473</v>
      </c>
      <c r="AT160" s="303">
        <f t="shared" ref="AT160:AT196" si="32">+AS160-D$3</f>
        <v>-780.44877799869141</v>
      </c>
      <c r="AU160" s="302">
        <f t="shared" ref="AU160:AU196" si="33">ABS(AT160)</f>
        <v>780.44877799869141</v>
      </c>
      <c r="AV160" s="303">
        <f>MIN(AU160:AU196)</f>
        <v>6.4487779986914688</v>
      </c>
      <c r="AW160" s="302" t="b">
        <f t="shared" ref="AW160:AW196" si="34">IF(AV160=AU160,AQ160)</f>
        <v>0</v>
      </c>
      <c r="AX160" s="304">
        <v>1</v>
      </c>
      <c r="AY160" s="214"/>
      <c r="AZ160" s="214"/>
      <c r="BA160" s="214"/>
    </row>
    <row r="161" spans="43:53" ht="20" x14ac:dyDescent="0.3">
      <c r="AQ161" s="298">
        <v>2</v>
      </c>
      <c r="AR161" s="299">
        <f>+AR160+43</f>
        <v>-430</v>
      </c>
      <c r="AS161" s="42">
        <f>+AS160+$E$2</f>
        <v>-430</v>
      </c>
      <c r="AT161" s="303">
        <f t="shared" si="32"/>
        <v>-737.44877799869141</v>
      </c>
      <c r="AU161" s="302">
        <f t="shared" si="33"/>
        <v>737.44877799869141</v>
      </c>
      <c r="AV161" s="302">
        <f>+AV160</f>
        <v>6.4487779986914688</v>
      </c>
      <c r="AW161" s="302" t="b">
        <f t="shared" si="34"/>
        <v>0</v>
      </c>
      <c r="AX161" s="304">
        <v>2</v>
      </c>
      <c r="AY161" s="214"/>
      <c r="AZ161" s="214"/>
      <c r="BA161" s="214"/>
    </row>
    <row r="162" spans="43:53" ht="20" x14ac:dyDescent="0.3">
      <c r="AQ162" s="298">
        <v>3</v>
      </c>
      <c r="AR162" s="299">
        <f t="shared" ref="AR162:AR196" si="35">+AR161+43</f>
        <v>-387</v>
      </c>
      <c r="AS162" s="42">
        <f t="shared" ref="AS162:AS196" si="36">+AS161+$E$2</f>
        <v>-387</v>
      </c>
      <c r="AT162" s="303">
        <f t="shared" si="32"/>
        <v>-694.44877799869141</v>
      </c>
      <c r="AU162" s="302">
        <f t="shared" si="33"/>
        <v>694.44877799869141</v>
      </c>
      <c r="AV162" s="302">
        <f t="shared" ref="AV162:AV196" si="37">+AV161</f>
        <v>6.4487779986914688</v>
      </c>
      <c r="AW162" s="302" t="b">
        <f t="shared" si="34"/>
        <v>0</v>
      </c>
      <c r="AX162" s="304">
        <v>3</v>
      </c>
      <c r="AY162" s="214"/>
      <c r="AZ162" s="214"/>
      <c r="BA162" s="214"/>
    </row>
    <row r="163" spans="43:53" ht="20" x14ac:dyDescent="0.3">
      <c r="AQ163" s="298">
        <v>4</v>
      </c>
      <c r="AR163" s="299">
        <f t="shared" si="35"/>
        <v>-344</v>
      </c>
      <c r="AS163" s="42">
        <f t="shared" si="36"/>
        <v>-344</v>
      </c>
      <c r="AT163" s="303">
        <f t="shared" si="32"/>
        <v>-651.44877799869141</v>
      </c>
      <c r="AU163" s="302">
        <f t="shared" si="33"/>
        <v>651.44877799869141</v>
      </c>
      <c r="AV163" s="302">
        <f t="shared" si="37"/>
        <v>6.4487779986914688</v>
      </c>
      <c r="AW163" s="302" t="b">
        <f t="shared" si="34"/>
        <v>0</v>
      </c>
      <c r="AX163" s="304">
        <v>4</v>
      </c>
      <c r="AY163" s="214"/>
      <c r="AZ163" s="214"/>
      <c r="BA163" s="214"/>
    </row>
    <row r="164" spans="43:53" ht="20" x14ac:dyDescent="0.3">
      <c r="AQ164" s="298">
        <v>5</v>
      </c>
      <c r="AR164" s="299">
        <f t="shared" si="35"/>
        <v>-301</v>
      </c>
      <c r="AS164" s="42">
        <f t="shared" si="36"/>
        <v>-301</v>
      </c>
      <c r="AT164" s="303">
        <f t="shared" si="32"/>
        <v>-608.44877799869141</v>
      </c>
      <c r="AU164" s="302">
        <f t="shared" si="33"/>
        <v>608.44877799869141</v>
      </c>
      <c r="AV164" s="302">
        <f t="shared" si="37"/>
        <v>6.4487779986914688</v>
      </c>
      <c r="AW164" s="302" t="b">
        <f t="shared" si="34"/>
        <v>0</v>
      </c>
      <c r="AX164" s="304">
        <v>5</v>
      </c>
      <c r="AY164" s="214"/>
      <c r="AZ164" s="214"/>
      <c r="BA164" s="214"/>
    </row>
    <row r="165" spans="43:53" ht="20" x14ac:dyDescent="0.3">
      <c r="AQ165" s="298">
        <v>6</v>
      </c>
      <c r="AR165" s="299">
        <f t="shared" si="35"/>
        <v>-258</v>
      </c>
      <c r="AS165" s="42">
        <f t="shared" si="36"/>
        <v>-258</v>
      </c>
      <c r="AT165" s="303">
        <f t="shared" si="32"/>
        <v>-565.44877799869141</v>
      </c>
      <c r="AU165" s="302">
        <f t="shared" si="33"/>
        <v>565.44877799869141</v>
      </c>
      <c r="AV165" s="302">
        <f t="shared" si="37"/>
        <v>6.4487779986914688</v>
      </c>
      <c r="AW165" s="302" t="b">
        <f t="shared" si="34"/>
        <v>0</v>
      </c>
      <c r="AX165" s="304">
        <v>6</v>
      </c>
      <c r="AY165" s="214"/>
      <c r="AZ165" s="214"/>
      <c r="BA165" s="214"/>
    </row>
    <row r="166" spans="43:53" ht="20" x14ac:dyDescent="0.3">
      <c r="AQ166" s="298">
        <v>7</v>
      </c>
      <c r="AR166" s="299">
        <f t="shared" si="35"/>
        <v>-215</v>
      </c>
      <c r="AS166" s="42">
        <f t="shared" si="36"/>
        <v>-215</v>
      </c>
      <c r="AT166" s="303">
        <f t="shared" si="32"/>
        <v>-522.44877799869141</v>
      </c>
      <c r="AU166" s="302">
        <f t="shared" si="33"/>
        <v>522.44877799869141</v>
      </c>
      <c r="AV166" s="302">
        <f t="shared" si="37"/>
        <v>6.4487779986914688</v>
      </c>
      <c r="AW166" s="302" t="b">
        <f t="shared" si="34"/>
        <v>0</v>
      </c>
      <c r="AX166" s="304">
        <v>7</v>
      </c>
      <c r="AY166" s="214"/>
      <c r="AZ166" s="214"/>
      <c r="BA166" s="214"/>
    </row>
    <row r="167" spans="43:53" ht="20" x14ac:dyDescent="0.3">
      <c r="AQ167" s="298">
        <v>8</v>
      </c>
      <c r="AR167" s="299">
        <f t="shared" si="35"/>
        <v>-172</v>
      </c>
      <c r="AS167" s="42">
        <f t="shared" si="36"/>
        <v>-172</v>
      </c>
      <c r="AT167" s="303">
        <f t="shared" si="32"/>
        <v>-479.44877799869147</v>
      </c>
      <c r="AU167" s="302">
        <f t="shared" si="33"/>
        <v>479.44877799869147</v>
      </c>
      <c r="AV167" s="302">
        <f t="shared" si="37"/>
        <v>6.4487779986914688</v>
      </c>
      <c r="AW167" s="302" t="b">
        <f t="shared" si="34"/>
        <v>0</v>
      </c>
      <c r="AX167" s="304">
        <v>8</v>
      </c>
      <c r="AY167" s="214"/>
      <c r="AZ167" s="214"/>
      <c r="BA167" s="214"/>
    </row>
    <row r="168" spans="43:53" ht="20" x14ac:dyDescent="0.3">
      <c r="AQ168" s="298">
        <v>9</v>
      </c>
      <c r="AR168" s="299">
        <f t="shared" si="35"/>
        <v>-129</v>
      </c>
      <c r="AS168" s="42">
        <f t="shared" si="36"/>
        <v>-129</v>
      </c>
      <c r="AT168" s="303">
        <f t="shared" si="32"/>
        <v>-436.44877799869147</v>
      </c>
      <c r="AU168" s="302">
        <f t="shared" si="33"/>
        <v>436.44877799869147</v>
      </c>
      <c r="AV168" s="302">
        <f t="shared" si="37"/>
        <v>6.4487779986914688</v>
      </c>
      <c r="AW168" s="302" t="b">
        <f t="shared" si="34"/>
        <v>0</v>
      </c>
      <c r="AX168" s="304">
        <v>9</v>
      </c>
      <c r="AY168" s="214"/>
      <c r="AZ168" s="214"/>
      <c r="BA168" s="214"/>
    </row>
    <row r="169" spans="43:53" ht="20" x14ac:dyDescent="0.3">
      <c r="AQ169" s="298">
        <v>10</v>
      </c>
      <c r="AR169" s="299">
        <f t="shared" si="35"/>
        <v>-86</v>
      </c>
      <c r="AS169" s="42">
        <f t="shared" si="36"/>
        <v>-86</v>
      </c>
      <c r="AT169" s="303">
        <f t="shared" si="32"/>
        <v>-393.44877799869147</v>
      </c>
      <c r="AU169" s="302">
        <f t="shared" si="33"/>
        <v>393.44877799869147</v>
      </c>
      <c r="AV169" s="302">
        <f t="shared" si="37"/>
        <v>6.4487779986914688</v>
      </c>
      <c r="AW169" s="302" t="b">
        <f t="shared" si="34"/>
        <v>0</v>
      </c>
      <c r="AX169" s="304">
        <v>10</v>
      </c>
      <c r="AY169" s="214"/>
      <c r="AZ169" s="214"/>
      <c r="BA169" s="214"/>
    </row>
    <row r="170" spans="43:53" ht="20" x14ac:dyDescent="0.3">
      <c r="AQ170" s="298">
        <v>11</v>
      </c>
      <c r="AR170" s="299">
        <f t="shared" si="35"/>
        <v>-43</v>
      </c>
      <c r="AS170" s="42">
        <f t="shared" si="36"/>
        <v>-43</v>
      </c>
      <c r="AT170" s="303">
        <f t="shared" si="32"/>
        <v>-350.44877799869147</v>
      </c>
      <c r="AU170" s="302">
        <f t="shared" si="33"/>
        <v>350.44877799869147</v>
      </c>
      <c r="AV170" s="302">
        <f t="shared" si="37"/>
        <v>6.4487779986914688</v>
      </c>
      <c r="AW170" s="302" t="b">
        <f t="shared" si="34"/>
        <v>0</v>
      </c>
      <c r="AX170" s="304">
        <v>11</v>
      </c>
    </row>
    <row r="171" spans="43:53" ht="20" x14ac:dyDescent="0.3">
      <c r="AQ171" s="298">
        <v>12</v>
      </c>
      <c r="AR171" s="299">
        <f t="shared" si="35"/>
        <v>0</v>
      </c>
      <c r="AS171" s="42">
        <f t="shared" si="36"/>
        <v>0</v>
      </c>
      <c r="AT171" s="303">
        <f t="shared" si="32"/>
        <v>-307.44877799869147</v>
      </c>
      <c r="AU171" s="302">
        <f t="shared" si="33"/>
        <v>307.44877799869147</v>
      </c>
      <c r="AV171" s="302">
        <f t="shared" si="37"/>
        <v>6.4487779986914688</v>
      </c>
      <c r="AW171" s="302" t="b">
        <f t="shared" si="34"/>
        <v>0</v>
      </c>
      <c r="AX171" s="304">
        <v>12</v>
      </c>
    </row>
    <row r="172" spans="43:53" ht="20" x14ac:dyDescent="0.3">
      <c r="AQ172" s="298">
        <v>13</v>
      </c>
      <c r="AR172" s="299">
        <f t="shared" si="35"/>
        <v>43</v>
      </c>
      <c r="AS172" s="42">
        <f t="shared" si="36"/>
        <v>43</v>
      </c>
      <c r="AT172" s="303">
        <f t="shared" si="32"/>
        <v>-264.44877799869147</v>
      </c>
      <c r="AU172" s="302">
        <f t="shared" si="33"/>
        <v>264.44877799869147</v>
      </c>
      <c r="AV172" s="302">
        <f t="shared" si="37"/>
        <v>6.4487779986914688</v>
      </c>
      <c r="AW172" s="302" t="b">
        <f t="shared" si="34"/>
        <v>0</v>
      </c>
      <c r="AX172" s="304">
        <v>13</v>
      </c>
    </row>
    <row r="173" spans="43:53" ht="20" x14ac:dyDescent="0.3">
      <c r="AQ173" s="298">
        <v>14</v>
      </c>
      <c r="AR173" s="299">
        <f t="shared" si="35"/>
        <v>86</v>
      </c>
      <c r="AS173" s="42">
        <f t="shared" si="36"/>
        <v>86</v>
      </c>
      <c r="AT173" s="303">
        <f t="shared" si="32"/>
        <v>-221.44877799869147</v>
      </c>
      <c r="AU173" s="302">
        <f t="shared" si="33"/>
        <v>221.44877799869147</v>
      </c>
      <c r="AV173" s="302">
        <f t="shared" si="37"/>
        <v>6.4487779986914688</v>
      </c>
      <c r="AW173" s="302" t="b">
        <f t="shared" si="34"/>
        <v>0</v>
      </c>
      <c r="AX173" s="304">
        <v>14</v>
      </c>
    </row>
    <row r="174" spans="43:53" ht="20" x14ac:dyDescent="0.3">
      <c r="AQ174" s="298">
        <v>15</v>
      </c>
      <c r="AR174" s="299">
        <f t="shared" si="35"/>
        <v>129</v>
      </c>
      <c r="AS174" s="42">
        <f t="shared" si="36"/>
        <v>129</v>
      </c>
      <c r="AT174" s="303">
        <f t="shared" si="32"/>
        <v>-178.44877799869147</v>
      </c>
      <c r="AU174" s="302">
        <f t="shared" si="33"/>
        <v>178.44877799869147</v>
      </c>
      <c r="AV174" s="302">
        <f t="shared" si="37"/>
        <v>6.4487779986914688</v>
      </c>
      <c r="AW174" s="302" t="b">
        <f t="shared" si="34"/>
        <v>0</v>
      </c>
      <c r="AX174" s="304">
        <v>15</v>
      </c>
    </row>
    <row r="175" spans="43:53" ht="20" x14ac:dyDescent="0.3">
      <c r="AQ175" s="298">
        <v>16</v>
      </c>
      <c r="AR175" s="299">
        <f t="shared" si="35"/>
        <v>172</v>
      </c>
      <c r="AS175" s="42">
        <f t="shared" si="36"/>
        <v>172</v>
      </c>
      <c r="AT175" s="303">
        <f t="shared" si="32"/>
        <v>-135.44877799869147</v>
      </c>
      <c r="AU175" s="302">
        <f t="shared" si="33"/>
        <v>135.44877799869147</v>
      </c>
      <c r="AV175" s="302">
        <f t="shared" si="37"/>
        <v>6.4487779986914688</v>
      </c>
      <c r="AW175" s="302" t="b">
        <f t="shared" si="34"/>
        <v>0</v>
      </c>
      <c r="AX175" s="304">
        <v>16</v>
      </c>
    </row>
    <row r="176" spans="43:53" ht="20" x14ac:dyDescent="0.3">
      <c r="AQ176" s="298">
        <v>17</v>
      </c>
      <c r="AR176" s="299">
        <f t="shared" si="35"/>
        <v>215</v>
      </c>
      <c r="AS176" s="42">
        <f t="shared" si="36"/>
        <v>215</v>
      </c>
      <c r="AT176" s="303">
        <f t="shared" si="32"/>
        <v>-92.448777998691469</v>
      </c>
      <c r="AU176" s="302">
        <f t="shared" si="33"/>
        <v>92.448777998691469</v>
      </c>
      <c r="AV176" s="302">
        <f t="shared" si="37"/>
        <v>6.4487779986914688</v>
      </c>
      <c r="AW176" s="302" t="b">
        <f t="shared" si="34"/>
        <v>0</v>
      </c>
      <c r="AX176" s="304">
        <v>17</v>
      </c>
    </row>
    <row r="177" spans="42:73" ht="20" x14ac:dyDescent="0.3">
      <c r="AQ177" s="298">
        <v>18</v>
      </c>
      <c r="AR177" s="299">
        <f t="shared" si="35"/>
        <v>258</v>
      </c>
      <c r="AS177" s="42">
        <f t="shared" si="36"/>
        <v>258</v>
      </c>
      <c r="AT177" s="303">
        <f t="shared" si="32"/>
        <v>-49.448777998691469</v>
      </c>
      <c r="AU177" s="302">
        <f t="shared" si="33"/>
        <v>49.448777998691469</v>
      </c>
      <c r="AV177" s="302">
        <f t="shared" si="37"/>
        <v>6.4487779986914688</v>
      </c>
      <c r="AW177" s="302" t="b">
        <f t="shared" si="34"/>
        <v>0</v>
      </c>
      <c r="AX177" s="304">
        <v>18</v>
      </c>
    </row>
    <row r="178" spans="42:73" ht="20" x14ac:dyDescent="0.3">
      <c r="AQ178" s="298">
        <v>19</v>
      </c>
      <c r="AR178" s="299">
        <f t="shared" si="35"/>
        <v>301</v>
      </c>
      <c r="AS178" s="42">
        <f t="shared" si="36"/>
        <v>301</v>
      </c>
      <c r="AT178" s="303">
        <f t="shared" si="32"/>
        <v>-6.4487779986914688</v>
      </c>
      <c r="AU178" s="302">
        <f t="shared" si="33"/>
        <v>6.4487779986914688</v>
      </c>
      <c r="AV178" s="302">
        <f t="shared" si="37"/>
        <v>6.4487779986914688</v>
      </c>
      <c r="AW178" s="302">
        <f t="shared" si="34"/>
        <v>19</v>
      </c>
      <c r="AX178" s="304">
        <v>19</v>
      </c>
    </row>
    <row r="179" spans="42:73" ht="20" x14ac:dyDescent="0.3">
      <c r="AP179" s="236"/>
      <c r="AQ179" s="298">
        <v>20</v>
      </c>
      <c r="AR179" s="299">
        <f t="shared" si="35"/>
        <v>344</v>
      </c>
      <c r="AS179" s="42">
        <f t="shared" si="36"/>
        <v>344</v>
      </c>
      <c r="AT179" s="303">
        <f t="shared" si="32"/>
        <v>36.551222001308531</v>
      </c>
      <c r="AU179" s="302">
        <f t="shared" si="33"/>
        <v>36.551222001308531</v>
      </c>
      <c r="AV179" s="302">
        <f t="shared" si="37"/>
        <v>6.4487779986914688</v>
      </c>
      <c r="AW179" s="302" t="b">
        <f t="shared" si="34"/>
        <v>0</v>
      </c>
      <c r="AX179" s="304">
        <v>20</v>
      </c>
    </row>
    <row r="180" spans="42:73" ht="20" x14ac:dyDescent="0.3">
      <c r="AQ180" s="298">
        <v>21</v>
      </c>
      <c r="AR180" s="299">
        <f t="shared" si="35"/>
        <v>387</v>
      </c>
      <c r="AS180" s="42">
        <f t="shared" si="36"/>
        <v>387</v>
      </c>
      <c r="AT180" s="303">
        <f t="shared" si="32"/>
        <v>79.551222001308531</v>
      </c>
      <c r="AU180" s="302">
        <f t="shared" si="33"/>
        <v>79.551222001308531</v>
      </c>
      <c r="AV180" s="302">
        <f t="shared" si="37"/>
        <v>6.4487779986914688</v>
      </c>
      <c r="AW180" s="302" t="b">
        <f t="shared" si="34"/>
        <v>0</v>
      </c>
      <c r="AX180" s="304">
        <v>21</v>
      </c>
    </row>
    <row r="181" spans="42:73" ht="20" x14ac:dyDescent="0.3">
      <c r="AQ181" s="298">
        <v>22</v>
      </c>
      <c r="AR181" s="299">
        <f t="shared" si="35"/>
        <v>430</v>
      </c>
      <c r="AS181" s="42">
        <f t="shared" si="36"/>
        <v>430</v>
      </c>
      <c r="AT181" s="303">
        <f t="shared" si="32"/>
        <v>122.55122200130853</v>
      </c>
      <c r="AU181" s="302">
        <f t="shared" si="33"/>
        <v>122.55122200130853</v>
      </c>
      <c r="AV181" s="302">
        <f t="shared" si="37"/>
        <v>6.4487779986914688</v>
      </c>
      <c r="AW181" s="302" t="b">
        <f t="shared" si="34"/>
        <v>0</v>
      </c>
      <c r="AX181" s="304">
        <v>22</v>
      </c>
    </row>
    <row r="182" spans="42:73" ht="20" x14ac:dyDescent="0.3">
      <c r="AQ182" s="298">
        <v>23</v>
      </c>
      <c r="AR182" s="299">
        <f t="shared" si="35"/>
        <v>473</v>
      </c>
      <c r="AS182" s="42">
        <f t="shared" si="36"/>
        <v>473</v>
      </c>
      <c r="AT182" s="303">
        <f t="shared" si="32"/>
        <v>165.55122200130853</v>
      </c>
      <c r="AU182" s="302">
        <f t="shared" si="33"/>
        <v>165.55122200130853</v>
      </c>
      <c r="AV182" s="302">
        <f t="shared" si="37"/>
        <v>6.4487779986914688</v>
      </c>
      <c r="AW182" s="302" t="b">
        <f t="shared" si="34"/>
        <v>0</v>
      </c>
      <c r="AX182" s="304">
        <v>23</v>
      </c>
      <c r="BB182" s="305"/>
      <c r="BC182" s="305"/>
      <c r="BD182" s="305"/>
      <c r="BE182" s="305"/>
      <c r="BF182" s="305"/>
      <c r="BG182" s="305"/>
      <c r="BH182" s="1818"/>
      <c r="BI182" s="1818"/>
      <c r="BJ182" s="1818"/>
      <c r="BK182" s="126"/>
    </row>
    <row r="183" spans="42:73" ht="20" x14ac:dyDescent="0.3">
      <c r="AQ183" s="298">
        <v>24</v>
      </c>
      <c r="AR183" s="299">
        <f t="shared" si="35"/>
        <v>516</v>
      </c>
      <c r="AS183" s="42">
        <f t="shared" si="36"/>
        <v>516</v>
      </c>
      <c r="AT183" s="303">
        <f t="shared" si="32"/>
        <v>208.55122200130853</v>
      </c>
      <c r="AU183" s="302">
        <f t="shared" si="33"/>
        <v>208.55122200130853</v>
      </c>
      <c r="AV183" s="302">
        <f t="shared" si="37"/>
        <v>6.4487779986914688</v>
      </c>
      <c r="AW183" s="302" t="b">
        <f t="shared" si="34"/>
        <v>0</v>
      </c>
      <c r="AX183" s="304">
        <v>24</v>
      </c>
      <c r="BH183" s="306"/>
      <c r="BU183" s="306"/>
    </row>
    <row r="184" spans="42:73" ht="20" x14ac:dyDescent="0.3">
      <c r="AQ184" s="298">
        <v>25</v>
      </c>
      <c r="AR184" s="299">
        <f t="shared" si="35"/>
        <v>559</v>
      </c>
      <c r="AS184" s="42">
        <f t="shared" si="36"/>
        <v>559</v>
      </c>
      <c r="AT184" s="303">
        <f t="shared" si="32"/>
        <v>251.55122200130853</v>
      </c>
      <c r="AU184" s="302">
        <f t="shared" si="33"/>
        <v>251.55122200130853</v>
      </c>
      <c r="AV184" s="302">
        <f t="shared" si="37"/>
        <v>6.4487779986914688</v>
      </c>
      <c r="AW184" s="302" t="b">
        <f t="shared" si="34"/>
        <v>0</v>
      </c>
      <c r="AX184" s="304">
        <v>25</v>
      </c>
      <c r="BB184" s="307"/>
      <c r="BC184" s="307"/>
      <c r="BD184" s="307"/>
      <c r="BE184" s="307"/>
      <c r="BF184" s="307"/>
      <c r="BG184" s="307"/>
      <c r="BH184" s="1819"/>
      <c r="BI184" s="1819"/>
      <c r="BT184" s="1813"/>
      <c r="BU184" s="1813"/>
    </row>
    <row r="185" spans="42:73" ht="20" x14ac:dyDescent="0.3">
      <c r="AQ185" s="298">
        <v>26</v>
      </c>
      <c r="AR185" s="299">
        <f t="shared" si="35"/>
        <v>602</v>
      </c>
      <c r="AS185" s="42">
        <f t="shared" si="36"/>
        <v>602</v>
      </c>
      <c r="AT185" s="303">
        <f t="shared" si="32"/>
        <v>294.55122200130853</v>
      </c>
      <c r="AU185" s="302">
        <f t="shared" si="33"/>
        <v>294.55122200130853</v>
      </c>
      <c r="AV185" s="302">
        <f t="shared" si="37"/>
        <v>6.4487779986914688</v>
      </c>
      <c r="AW185" s="302" t="b">
        <f t="shared" si="34"/>
        <v>0</v>
      </c>
      <c r="AX185" s="304">
        <v>26</v>
      </c>
    </row>
    <row r="186" spans="42:73" ht="20" x14ac:dyDescent="0.3">
      <c r="AQ186" s="298">
        <v>27</v>
      </c>
      <c r="AR186" s="299">
        <f t="shared" si="35"/>
        <v>645</v>
      </c>
      <c r="AS186" s="42">
        <f t="shared" si="36"/>
        <v>645</v>
      </c>
      <c r="AT186" s="303">
        <f t="shared" si="32"/>
        <v>337.55122200130853</v>
      </c>
      <c r="AU186" s="302">
        <f t="shared" si="33"/>
        <v>337.55122200130853</v>
      </c>
      <c r="AV186" s="302">
        <f t="shared" si="37"/>
        <v>6.4487779986914688</v>
      </c>
      <c r="AW186" s="302" t="b">
        <f t="shared" si="34"/>
        <v>0</v>
      </c>
      <c r="AX186" s="304">
        <v>27</v>
      </c>
    </row>
    <row r="187" spans="42:73" ht="20" x14ac:dyDescent="0.3">
      <c r="AQ187" s="298">
        <v>28</v>
      </c>
      <c r="AR187" s="299">
        <f t="shared" si="35"/>
        <v>688</v>
      </c>
      <c r="AS187" s="42">
        <f t="shared" si="36"/>
        <v>688</v>
      </c>
      <c r="AT187" s="303">
        <f t="shared" si="32"/>
        <v>380.55122200130853</v>
      </c>
      <c r="AU187" s="302">
        <f t="shared" si="33"/>
        <v>380.55122200130853</v>
      </c>
      <c r="AV187" s="302">
        <f t="shared" si="37"/>
        <v>6.4487779986914688</v>
      </c>
      <c r="AW187" s="302" t="b">
        <f t="shared" si="34"/>
        <v>0</v>
      </c>
      <c r="AX187" s="304">
        <v>28</v>
      </c>
    </row>
    <row r="188" spans="42:73" ht="20" x14ac:dyDescent="0.3">
      <c r="AQ188" s="298">
        <v>29</v>
      </c>
      <c r="AR188" s="299">
        <f t="shared" si="35"/>
        <v>731</v>
      </c>
      <c r="AS188" s="42">
        <f t="shared" si="36"/>
        <v>731</v>
      </c>
      <c r="AT188" s="303">
        <f t="shared" si="32"/>
        <v>423.55122200130853</v>
      </c>
      <c r="AU188" s="302">
        <f t="shared" si="33"/>
        <v>423.55122200130853</v>
      </c>
      <c r="AV188" s="302">
        <f t="shared" si="37"/>
        <v>6.4487779986914688</v>
      </c>
      <c r="AW188" s="302" t="b">
        <f t="shared" si="34"/>
        <v>0</v>
      </c>
      <c r="AX188" s="304">
        <v>29</v>
      </c>
    </row>
    <row r="189" spans="42:73" ht="20" x14ac:dyDescent="0.3">
      <c r="AQ189" s="298">
        <v>30</v>
      </c>
      <c r="AR189" s="299">
        <f t="shared" si="35"/>
        <v>774</v>
      </c>
      <c r="AS189" s="42">
        <f t="shared" si="36"/>
        <v>774</v>
      </c>
      <c r="AT189" s="303">
        <f t="shared" si="32"/>
        <v>466.55122200130853</v>
      </c>
      <c r="AU189" s="302">
        <f t="shared" si="33"/>
        <v>466.55122200130853</v>
      </c>
      <c r="AV189" s="302">
        <f t="shared" si="37"/>
        <v>6.4487779986914688</v>
      </c>
      <c r="AW189" s="302" t="b">
        <f t="shared" si="34"/>
        <v>0</v>
      </c>
      <c r="AX189" s="304">
        <v>30</v>
      </c>
    </row>
    <row r="190" spans="42:73" ht="20" x14ac:dyDescent="0.3">
      <c r="AQ190" s="298">
        <v>31</v>
      </c>
      <c r="AR190" s="299">
        <f t="shared" si="35"/>
        <v>817</v>
      </c>
      <c r="AS190" s="42">
        <f t="shared" si="36"/>
        <v>817</v>
      </c>
      <c r="AT190" s="303">
        <f t="shared" si="32"/>
        <v>509.55122200130853</v>
      </c>
      <c r="AU190" s="302">
        <f t="shared" si="33"/>
        <v>509.55122200130853</v>
      </c>
      <c r="AV190" s="302">
        <f t="shared" si="37"/>
        <v>6.4487779986914688</v>
      </c>
      <c r="AW190" s="302" t="b">
        <f t="shared" si="34"/>
        <v>0</v>
      </c>
      <c r="AX190" s="304">
        <v>31</v>
      </c>
    </row>
    <row r="191" spans="42:73" ht="20" x14ac:dyDescent="0.3">
      <c r="AQ191" s="298">
        <v>32</v>
      </c>
      <c r="AR191" s="299">
        <f t="shared" si="35"/>
        <v>860</v>
      </c>
      <c r="AS191" s="42">
        <f t="shared" si="36"/>
        <v>860</v>
      </c>
      <c r="AT191" s="303">
        <f t="shared" si="32"/>
        <v>552.55122200130859</v>
      </c>
      <c r="AU191" s="302">
        <f t="shared" si="33"/>
        <v>552.55122200130859</v>
      </c>
      <c r="AV191" s="302">
        <f t="shared" si="37"/>
        <v>6.4487779986914688</v>
      </c>
      <c r="AW191" s="302" t="b">
        <f t="shared" si="34"/>
        <v>0</v>
      </c>
      <c r="AX191" s="304">
        <v>32</v>
      </c>
    </row>
    <row r="192" spans="42:73" ht="20" x14ac:dyDescent="0.3">
      <c r="AQ192" s="298">
        <v>33</v>
      </c>
      <c r="AR192" s="299">
        <f t="shared" si="35"/>
        <v>903</v>
      </c>
      <c r="AS192" s="42">
        <f t="shared" si="36"/>
        <v>903</v>
      </c>
      <c r="AT192" s="303">
        <f t="shared" si="32"/>
        <v>595.55122200130859</v>
      </c>
      <c r="AU192" s="302">
        <f t="shared" si="33"/>
        <v>595.55122200130859</v>
      </c>
      <c r="AV192" s="302">
        <f t="shared" si="37"/>
        <v>6.4487779986914688</v>
      </c>
      <c r="AW192" s="302" t="b">
        <f t="shared" si="34"/>
        <v>0</v>
      </c>
      <c r="AX192" s="304">
        <v>33</v>
      </c>
    </row>
    <row r="193" spans="43:78" ht="20" x14ac:dyDescent="0.3">
      <c r="AQ193" s="298">
        <v>34</v>
      </c>
      <c r="AR193" s="299">
        <f t="shared" si="35"/>
        <v>946</v>
      </c>
      <c r="AS193" s="42">
        <f t="shared" si="36"/>
        <v>946</v>
      </c>
      <c r="AT193" s="303">
        <f t="shared" si="32"/>
        <v>638.55122200130859</v>
      </c>
      <c r="AU193" s="302">
        <f t="shared" si="33"/>
        <v>638.55122200130859</v>
      </c>
      <c r="AV193" s="302">
        <f t="shared" si="37"/>
        <v>6.4487779986914688</v>
      </c>
      <c r="AW193" s="302" t="b">
        <f t="shared" si="34"/>
        <v>0</v>
      </c>
      <c r="AX193" s="304">
        <v>34</v>
      </c>
    </row>
    <row r="194" spans="43:78" ht="20" x14ac:dyDescent="0.3">
      <c r="AQ194" s="298">
        <v>35</v>
      </c>
      <c r="AR194" s="299">
        <f t="shared" si="35"/>
        <v>989</v>
      </c>
      <c r="AS194" s="42">
        <f t="shared" si="36"/>
        <v>989</v>
      </c>
      <c r="AT194" s="303">
        <f t="shared" si="32"/>
        <v>681.55122200130859</v>
      </c>
      <c r="AU194" s="302">
        <f t="shared" si="33"/>
        <v>681.55122200130859</v>
      </c>
      <c r="AV194" s="302">
        <f t="shared" si="37"/>
        <v>6.4487779986914688</v>
      </c>
      <c r="AW194" s="302" t="b">
        <f t="shared" si="34"/>
        <v>0</v>
      </c>
      <c r="AX194" s="304">
        <v>35</v>
      </c>
    </row>
    <row r="195" spans="43:78" ht="20" x14ac:dyDescent="0.3">
      <c r="AQ195" s="298">
        <v>36</v>
      </c>
      <c r="AR195" s="299">
        <f t="shared" si="35"/>
        <v>1032</v>
      </c>
      <c r="AS195" s="42">
        <f t="shared" si="36"/>
        <v>1032</v>
      </c>
      <c r="AT195" s="303">
        <f t="shared" si="32"/>
        <v>724.55122200130859</v>
      </c>
      <c r="AU195" s="302">
        <f t="shared" si="33"/>
        <v>724.55122200130859</v>
      </c>
      <c r="AV195" s="302">
        <f t="shared" si="37"/>
        <v>6.4487779986914688</v>
      </c>
      <c r="AW195" s="302" t="b">
        <f t="shared" si="34"/>
        <v>0</v>
      </c>
      <c r="AX195" s="304">
        <v>36</v>
      </c>
    </row>
    <row r="196" spans="43:78" ht="20" x14ac:dyDescent="0.3">
      <c r="AQ196" s="308">
        <v>37</v>
      </c>
      <c r="AR196" s="309">
        <f t="shared" si="35"/>
        <v>1075</v>
      </c>
      <c r="AS196" s="42">
        <f t="shared" si="36"/>
        <v>1075</v>
      </c>
      <c r="AT196" s="303">
        <f t="shared" si="32"/>
        <v>767.55122200130859</v>
      </c>
      <c r="AU196" s="302">
        <f t="shared" si="33"/>
        <v>767.55122200130859</v>
      </c>
      <c r="AV196" s="302">
        <f t="shared" si="37"/>
        <v>6.4487779986914688</v>
      </c>
      <c r="AW196" s="302" t="b">
        <f t="shared" si="34"/>
        <v>0</v>
      </c>
      <c r="AX196" s="310">
        <v>37</v>
      </c>
    </row>
    <row r="197" spans="43:78" x14ac:dyDescent="0.2">
      <c r="AR197" s="388"/>
    </row>
    <row r="198" spans="43:78" x14ac:dyDescent="0.2">
      <c r="AR198" s="388"/>
    </row>
    <row r="199" spans="43:78" x14ac:dyDescent="0.2">
      <c r="AR199" s="388"/>
    </row>
    <row r="200" spans="43:78" x14ac:dyDescent="0.2">
      <c r="AR200" s="388"/>
    </row>
    <row r="201" spans="43:78" x14ac:dyDescent="0.2">
      <c r="AR201" s="388"/>
      <c r="BB201" s="126"/>
      <c r="BD201" s="126"/>
      <c r="BF201" s="126"/>
    </row>
    <row r="202" spans="43:78" x14ac:dyDescent="0.2">
      <c r="AR202" s="388"/>
      <c r="BB202" s="126"/>
      <c r="BF202" s="126"/>
    </row>
    <row r="203" spans="43:78" x14ac:dyDescent="0.2">
      <c r="BB203" s="126"/>
      <c r="BC203" s="311"/>
      <c r="BD203" s="311"/>
      <c r="BE203" s="311"/>
      <c r="BF203" s="311"/>
      <c r="BG203" s="311"/>
      <c r="BH203" s="311"/>
      <c r="BI203" s="311"/>
      <c r="BJ203" s="311"/>
      <c r="BK203" s="311"/>
      <c r="BL203" s="311"/>
      <c r="BM203" s="311"/>
      <c r="BN203" s="311"/>
      <c r="BO203" s="311"/>
      <c r="BP203" s="311"/>
      <c r="BQ203" s="311"/>
      <c r="BR203" s="311"/>
      <c r="BS203" s="311"/>
      <c r="BT203" s="311"/>
      <c r="BU203" s="311"/>
      <c r="BV203" s="311"/>
      <c r="BW203" s="311"/>
      <c r="BX203" s="311"/>
      <c r="BY203" s="311"/>
      <c r="BZ203" s="311"/>
    </row>
    <row r="204" spans="43:78" x14ac:dyDescent="0.2">
      <c r="BB204" s="126"/>
    </row>
    <row r="205" spans="43:78" x14ac:dyDescent="0.2">
      <c r="BB205" s="235"/>
      <c r="BC205" s="312"/>
      <c r="BD205" s="312"/>
      <c r="BE205" s="312"/>
      <c r="BF205" s="312"/>
      <c r="BG205" s="312"/>
      <c r="BH205" s="312"/>
      <c r="BI205" s="312"/>
      <c r="BJ205" s="312"/>
      <c r="BK205" s="312"/>
      <c r="BL205" s="312"/>
      <c r="BM205" s="312"/>
      <c r="BN205" s="312"/>
      <c r="BO205" s="312"/>
      <c r="BP205" s="312"/>
      <c r="BQ205" s="312"/>
      <c r="BR205" s="312"/>
      <c r="BS205" s="312"/>
      <c r="BT205" s="312"/>
      <c r="BU205" s="312"/>
      <c r="BV205" s="312"/>
      <c r="BW205" s="312"/>
      <c r="BX205" s="312"/>
      <c r="BY205" s="312"/>
      <c r="BZ205" s="312"/>
    </row>
    <row r="206" spans="43:78" x14ac:dyDescent="0.2">
      <c r="BB206" s="126"/>
      <c r="BC206" s="203"/>
      <c r="BD206" s="203"/>
      <c r="BE206" s="203"/>
      <c r="BF206" s="203"/>
      <c r="BG206" s="203"/>
      <c r="BH206" s="203"/>
      <c r="BI206" s="203"/>
      <c r="BJ206" s="203"/>
      <c r="BK206" s="203"/>
      <c r="BL206" s="203"/>
      <c r="BM206" s="203"/>
      <c r="BN206" s="203"/>
      <c r="BO206" s="203"/>
      <c r="BP206" s="203"/>
      <c r="BQ206" s="203"/>
      <c r="BR206" s="203"/>
      <c r="BS206" s="203"/>
      <c r="BT206" s="203"/>
      <c r="BU206" s="203"/>
      <c r="BV206" s="203"/>
      <c r="BW206" s="203"/>
      <c r="BX206" s="203"/>
      <c r="BY206" s="203"/>
      <c r="BZ206" s="203"/>
    </row>
    <row r="208" spans="43:78" x14ac:dyDescent="0.2">
      <c r="BC208" s="236"/>
      <c r="BD208" s="236"/>
      <c r="BE208" s="236"/>
      <c r="BF208" s="236"/>
      <c r="BG208" s="236"/>
      <c r="BH208" s="236"/>
      <c r="BI208" s="126"/>
      <c r="BJ208" s="126"/>
      <c r="BK208" s="126"/>
      <c r="BL208" s="126"/>
      <c r="BM208" s="126"/>
      <c r="BN208" s="236"/>
      <c r="BO208" s="236"/>
      <c r="BP208" s="236"/>
      <c r="BQ208" s="126"/>
      <c r="BR208" s="126"/>
      <c r="BS208" s="126"/>
      <c r="BT208" s="126"/>
      <c r="BU208" s="126"/>
      <c r="BV208" s="126"/>
      <c r="BW208" s="126"/>
      <c r="BX208" s="126"/>
      <c r="BY208" s="126"/>
      <c r="BZ208" s="126"/>
    </row>
    <row r="209" spans="55:78" x14ac:dyDescent="0.2">
      <c r="BC209" s="236"/>
      <c r="BD209" s="236"/>
      <c r="BE209" s="236"/>
      <c r="BF209" s="236"/>
      <c r="BG209" s="236"/>
      <c r="BH209" s="236"/>
      <c r="BM209" s="236"/>
      <c r="BN209" s="236"/>
      <c r="BO209" s="236"/>
      <c r="BP209" s="236"/>
      <c r="BU209" s="236"/>
      <c r="BV209" s="236"/>
      <c r="BW209" s="236"/>
      <c r="BX209" s="236"/>
      <c r="BY209" s="236"/>
      <c r="BZ209" s="236"/>
    </row>
    <row r="280" spans="42:42" x14ac:dyDescent="0.2">
      <c r="AP280" s="311"/>
    </row>
    <row r="282" spans="42:42" x14ac:dyDescent="0.2">
      <c r="AP282" s="312"/>
    </row>
    <row r="283" spans="42:42" x14ac:dyDescent="0.2">
      <c r="AP283" s="203"/>
    </row>
    <row r="285" spans="42:42" x14ac:dyDescent="0.2">
      <c r="AP285" s="126"/>
    </row>
    <row r="286" spans="42:42" x14ac:dyDescent="0.2">
      <c r="AP286" s="236"/>
    </row>
  </sheetData>
  <sheetProtection algorithmName="SHA-512" hashValue="oDuwbJwxPNj3Y2hDAc04XSzHczPH6t1ldnuZ6z2u0ibOy1NcWT/D2lv2QIvUPBZ+9eaeDzWFkcy3xY2iHqCPHg==" saltValue="0eesKnDb0qMvsI278Xs9Gw==" spinCount="100000" sheet="1" objects="1" scenarios="1" selectLockedCells="1"/>
  <protectedRanges>
    <protectedRange sqref="B135 B138 D141:D152" name="Range1"/>
  </protectedRanges>
  <mergeCells count="19">
    <mergeCell ref="AN137:AO137"/>
    <mergeCell ref="D137:E137"/>
    <mergeCell ref="B111:E111"/>
    <mergeCell ref="BC49:BD49"/>
    <mergeCell ref="CC50:CM51"/>
    <mergeCell ref="BC53:BM54"/>
    <mergeCell ref="B133:B134"/>
    <mergeCell ref="Z55:AA55"/>
    <mergeCell ref="BC51:BD51"/>
    <mergeCell ref="CC57:CD57"/>
    <mergeCell ref="BN57:BO57"/>
    <mergeCell ref="BN54:BO54"/>
    <mergeCell ref="CL54:CM54"/>
    <mergeCell ref="CA51:CB51"/>
    <mergeCell ref="BH184:BI184"/>
    <mergeCell ref="BT184:BU184"/>
    <mergeCell ref="BC56:BM57"/>
    <mergeCell ref="CE56:CM57"/>
    <mergeCell ref="BH182:BJ182"/>
  </mergeCells>
  <phoneticPr fontId="2" type="noConversion"/>
  <conditionalFormatting sqref="B141:B152">
    <cfRule type="cellIs" dxfId="1583" priority="110" stopIfTrue="1" operator="greaterThan">
      <formula>$B$138</formula>
    </cfRule>
  </conditionalFormatting>
  <conditionalFormatting sqref="D132:D133">
    <cfRule type="cellIs" dxfId="1582" priority="174" stopIfTrue="1" operator="equal">
      <formula>"change the angle of frame"</formula>
    </cfRule>
  </conditionalFormatting>
  <conditionalFormatting sqref="D134">
    <cfRule type="cellIs" dxfId="1581" priority="32" stopIfTrue="1" operator="equal">
      <formula>"USE EXBAR AR AT THE FRONT"</formula>
    </cfRule>
  </conditionalFormatting>
  <conditionalFormatting sqref="D135">
    <cfRule type="cellIs" dxfId="1580" priority="31" stopIfTrue="1" operator="equal">
      <formula>"USE EXBAR AR AT THE BACK"</formula>
    </cfRule>
  </conditionalFormatting>
  <conditionalFormatting sqref="D141:D152">
    <cfRule type="cellIs" dxfId="1579" priority="111" stopIfTrue="1" operator="notEqual">
      <formula>0</formula>
    </cfRule>
  </conditionalFormatting>
  <conditionalFormatting sqref="D141:E141 U141 AL141:AO141">
    <cfRule type="expression" dxfId="1578" priority="109" stopIfTrue="1">
      <formula>$B$138&lt;1</formula>
    </cfRule>
  </conditionalFormatting>
  <conditionalFormatting sqref="D142:E142 U142 AL142:AO142">
    <cfRule type="expression" dxfId="1577" priority="108" stopIfTrue="1">
      <formula>$B$138&lt;2</formula>
    </cfRule>
  </conditionalFormatting>
  <conditionalFormatting sqref="D143:E143 U143 AL143:AO143">
    <cfRule type="expression" dxfId="1576" priority="107" stopIfTrue="1">
      <formula>$B$138&lt;3</formula>
    </cfRule>
  </conditionalFormatting>
  <conditionalFormatting sqref="D144:E144 U144 AL144:AO144">
    <cfRule type="expression" dxfId="1575" priority="106" stopIfTrue="1">
      <formula>$B$138&lt;4</formula>
    </cfRule>
  </conditionalFormatting>
  <conditionalFormatting sqref="D145:E145 U145 AL145:AO145">
    <cfRule type="expression" dxfId="1574" priority="105" stopIfTrue="1">
      <formula>$B$138&lt;5</formula>
    </cfRule>
  </conditionalFormatting>
  <conditionalFormatting sqref="D147:E147 U147 AL147:AO147">
    <cfRule type="expression" dxfId="1573" priority="103" stopIfTrue="1">
      <formula>$B$138&lt;7</formula>
    </cfRule>
  </conditionalFormatting>
  <conditionalFormatting sqref="D148:E148 U148 AL148:AO148">
    <cfRule type="expression" dxfId="1572" priority="102" stopIfTrue="1">
      <formula>$B$138&lt;8</formula>
    </cfRule>
  </conditionalFormatting>
  <conditionalFormatting sqref="D149:E149 U149 AL149:AO149">
    <cfRule type="expression" dxfId="1571" priority="101" stopIfTrue="1">
      <formula>$B$138&lt;9</formula>
    </cfRule>
  </conditionalFormatting>
  <conditionalFormatting sqref="D150:E150 U150 AL150:AO150">
    <cfRule type="expression" dxfId="1570" priority="76" stopIfTrue="1">
      <formula>$B$138&lt;10</formula>
    </cfRule>
  </conditionalFormatting>
  <conditionalFormatting sqref="D151:E151 U151 AL151:AO151">
    <cfRule type="expression" dxfId="1569" priority="39" stopIfTrue="1">
      <formula>$B$138&lt;11</formula>
    </cfRule>
  </conditionalFormatting>
  <conditionalFormatting sqref="D152:E152 U152 AL152:AO152">
    <cfRule type="expression" dxfId="1568" priority="36" stopIfTrue="1">
      <formula>$B$138&lt;12</formula>
    </cfRule>
  </conditionalFormatting>
  <conditionalFormatting sqref="E134:E135 E135:F135">
    <cfRule type="cellIs" dxfId="1567" priority="148" stopIfTrue="1" operator="equal">
      <formula>"USE EXBAR VR AT THE BACK"</formula>
    </cfRule>
  </conditionalFormatting>
  <conditionalFormatting sqref="E146:E147 D146 U146 AL146:AO146">
    <cfRule type="expression" dxfId="1566" priority="104" stopIfTrue="1">
      <formula>$B$138&lt;6</formula>
    </cfRule>
  </conditionalFormatting>
  <conditionalFormatting sqref="E132:F133">
    <cfRule type="cellIs" dxfId="1565" priority="147" stopIfTrue="1" operator="equal">
      <formula>"change the angle of frame or of cabinets"</formula>
    </cfRule>
  </conditionalFormatting>
  <conditionalFormatting sqref="E134:F134 E134:E135">
    <cfRule type="cellIs" dxfId="1564" priority="149" stopIfTrue="1" operator="equal">
      <formula>"USE EXBAR VR AT THE FRONT"</formula>
    </cfRule>
  </conditionalFormatting>
  <conditionalFormatting sqref="AN141:AO152">
    <cfRule type="cellIs" dxfId="1563" priority="113" stopIfTrue="1" operator="lessThan">
      <formula>10</formula>
    </cfRule>
  </conditionalFormatting>
  <conditionalFormatting sqref="AP280">
    <cfRule type="cellIs" dxfId="1562" priority="114" stopIfTrue="1" operator="equal">
      <formula>0</formula>
    </cfRule>
  </conditionalFormatting>
  <conditionalFormatting sqref="AP282:AP283">
    <cfRule type="cellIs" dxfId="1561" priority="30" stopIfTrue="1" operator="equal">
      <formula>FALSE</formula>
    </cfRule>
  </conditionalFormatting>
  <conditionalFormatting sqref="AW160:AW196">
    <cfRule type="cellIs" dxfId="1560" priority="21" stopIfTrue="1" operator="equal">
      <formula>FALSE</formula>
    </cfRule>
  </conditionalFormatting>
  <conditionalFormatting sqref="AZ50">
    <cfRule type="cellIs" dxfId="1559" priority="13" stopIfTrue="1" operator="equal">
      <formula>"negative force at the motor"</formula>
    </cfRule>
  </conditionalFormatting>
  <conditionalFormatting sqref="AZ50:AZ51">
    <cfRule type="cellIs" dxfId="1558" priority="12" operator="equal">
      <formula>"""OK"""</formula>
    </cfRule>
  </conditionalFormatting>
  <conditionalFormatting sqref="AZ51">
    <cfRule type="cellIs" dxfId="1557" priority="17" stopIfTrue="1" operator="equal">
      <formula>"overload"</formula>
    </cfRule>
  </conditionalFormatting>
  <conditionalFormatting sqref="AZ53">
    <cfRule type="cellIs" dxfId="1556" priority="11" stopIfTrue="1" operator="equal">
      <formula>"negative force at the motor"</formula>
    </cfRule>
  </conditionalFormatting>
  <conditionalFormatting sqref="AZ53:AZ54">
    <cfRule type="cellIs" dxfId="1555" priority="10" operator="equal">
      <formula>"""OK"""</formula>
    </cfRule>
  </conditionalFormatting>
  <conditionalFormatting sqref="AZ56">
    <cfRule type="cellIs" dxfId="1554" priority="9" stopIfTrue="1" operator="equal">
      <formula>"negative force at the motor"</formula>
    </cfRule>
  </conditionalFormatting>
  <conditionalFormatting sqref="AZ56:AZ57">
    <cfRule type="cellIs" dxfId="1553" priority="8" operator="equal">
      <formula>"""OK"""</formula>
    </cfRule>
  </conditionalFormatting>
  <conditionalFormatting sqref="AZ80 AZ85 AZ126 AZ54 AZ57">
    <cfRule type="cellIs" dxfId="1552" priority="15" stopIfTrue="1" operator="equal">
      <formula>"overload"</formula>
    </cfRule>
  </conditionalFormatting>
  <conditionalFormatting sqref="AZ80 AZ126 AZ85">
    <cfRule type="cellIs" dxfId="1551" priority="14" operator="equal">
      <formula>"""OK"""</formula>
    </cfRule>
  </conditionalFormatting>
  <conditionalFormatting sqref="BA79:BA80 AZ80 BA125 AZ126:BA126">
    <cfRule type="expression" dxfId="1550" priority="4">
      <formula>$B$135&lt;&gt;0</formula>
    </cfRule>
  </conditionalFormatting>
  <conditionalFormatting sqref="BC125:BS125">
    <cfRule type="expression" dxfId="1549" priority="3">
      <formula>$B$135=0</formula>
    </cfRule>
  </conditionalFormatting>
  <conditionalFormatting sqref="BC81:CN83 BH128:BU135 BC205:BZ206">
    <cfRule type="cellIs" dxfId="1548" priority="24" stopIfTrue="1" operator="equal">
      <formula>FALSE</formula>
    </cfRule>
  </conditionalFormatting>
  <conditionalFormatting sqref="BN79:CD79">
    <cfRule type="expression" dxfId="1547" priority="7">
      <formula>$B$135=0</formula>
    </cfRule>
    <cfRule type="cellIs" dxfId="1546" priority="6" operator="equal">
      <formula>0</formula>
    </cfRule>
  </conditionalFormatting>
  <conditionalFormatting sqref="BW125:CM125">
    <cfRule type="expression" dxfId="1545" priority="2">
      <formula>$B$135=0</formula>
    </cfRule>
  </conditionalFormatting>
  <dataValidations count="5">
    <dataValidation type="whole" allowBlank="1" showInputMessage="1" showErrorMessage="1" errorTitle="Coda Audio" error="YOU HAVE ENTERED A WRONG NUMBER OF CABINETS" promptTitle="Coda Audio" prompt="ENTER THE NUMBER OF CABINETS FROM 1 UP TO 12" sqref="B138" xr:uid="{00000000-0002-0000-0200-000000000000}">
      <formula1>1</formula1>
      <formula2>12</formula2>
    </dataValidation>
    <dataValidation type="decimal" allowBlank="1" showInputMessage="1" showErrorMessage="1" sqref="F142:F152" xr:uid="{00000000-0002-0000-0200-000001000000}">
      <formula1>0</formula1>
      <formula2>8</formula2>
    </dataValidation>
    <dataValidation type="decimal" allowBlank="1" showInputMessage="1" showErrorMessage="1" sqref="F141" xr:uid="{00000000-0002-0000-0200-000002000000}">
      <formula1>0</formula1>
      <formula2>4</formula2>
    </dataValidation>
    <dataValidation type="custom" allowBlank="1" showInputMessage="1" showErrorMessage="1" sqref="D141:D152" xr:uid="{00000000-0002-0000-0200-000003000000}">
      <formula1>OR(D141=0,D141=2.5,D141=5)</formula1>
    </dataValidation>
    <dataValidation type="decimal" allowBlank="1" showInputMessage="1" showErrorMessage="1" sqref="B135" xr:uid="{00000000-0002-0000-0200-000004000000}">
      <formula1>-89.9</formula1>
      <formula2>89.9</formula2>
    </dataValidation>
  </dataValidations>
  <pageMargins left="0.75" right="0.75" top="1" bottom="1" header="0.5" footer="0.5"/>
  <pageSetup orientation="portrait" r:id="rId1"/>
  <headerFooter alignWithMargins="0"/>
  <ignoredErrors>
    <ignoredError sqref="AZ50:BA50 AZ59:BA84 AZ52:BA53 AZ51 AZ55:BA58 AZ54 AZ85" unlockedFormula="1"/>
  </ignoredErrors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00B0F0"/>
  </sheetPr>
  <dimension ref="B1:CV209"/>
  <sheetViews>
    <sheetView topLeftCell="A49" zoomScale="50" zoomScaleNormal="50" workbookViewId="0">
      <selection activeCell="B139" sqref="B139"/>
    </sheetView>
  </sheetViews>
  <sheetFormatPr baseColWidth="10" defaultColWidth="9.1640625" defaultRowHeight="20" x14ac:dyDescent="0.2"/>
  <cols>
    <col min="1" max="1" width="3.5" customWidth="1"/>
    <col min="2" max="2" width="36.83203125" style="35" customWidth="1"/>
    <col min="3" max="3" width="21.33203125" hidden="1" customWidth="1"/>
    <col min="4" max="4" width="29.1640625" bestFit="1" customWidth="1"/>
    <col min="5" max="5" width="29.1640625" customWidth="1"/>
    <col min="6" max="6" width="16" hidden="1" customWidth="1"/>
    <col min="7" max="7" width="30.5" hidden="1" customWidth="1"/>
    <col min="8" max="8" width="17.5" hidden="1" customWidth="1"/>
    <col min="9" max="9" width="16.6640625" hidden="1" customWidth="1"/>
    <col min="10" max="13" width="16.33203125" hidden="1" customWidth="1"/>
    <col min="14" max="14" width="7.6640625" hidden="1" customWidth="1"/>
    <col min="15" max="15" width="16.6640625" hidden="1" customWidth="1"/>
    <col min="16" max="16" width="19.6640625" hidden="1" customWidth="1"/>
    <col min="17" max="17" width="24.83203125" hidden="1" customWidth="1"/>
    <col min="18" max="18" width="18.33203125" hidden="1" customWidth="1"/>
    <col min="19" max="19" width="20.83203125" hidden="1" customWidth="1"/>
    <col min="20" max="20" width="14.1640625" hidden="1" customWidth="1"/>
    <col min="21" max="21" width="28.6640625" hidden="1" customWidth="1"/>
    <col min="22" max="22" width="16.33203125" hidden="1" customWidth="1"/>
    <col min="23" max="23" width="5.83203125" hidden="1" customWidth="1"/>
    <col min="24" max="24" width="73.5" hidden="1" customWidth="1"/>
    <col min="25" max="25" width="16" hidden="1" customWidth="1"/>
    <col min="26" max="26" width="17.5" hidden="1" customWidth="1"/>
    <col min="27" max="27" width="15" hidden="1" customWidth="1"/>
    <col min="28" max="28" width="23.33203125" hidden="1" customWidth="1"/>
    <col min="29" max="29" width="17.5" hidden="1" customWidth="1"/>
    <col min="30" max="30" width="16.33203125" hidden="1" customWidth="1"/>
    <col min="31" max="31" width="20.83203125" hidden="1" customWidth="1"/>
    <col min="32" max="32" width="46.1640625" hidden="1" customWidth="1"/>
    <col min="33" max="34" width="16.33203125" hidden="1" customWidth="1"/>
    <col min="35" max="35" width="16" hidden="1" customWidth="1"/>
    <col min="36" max="36" width="18" hidden="1" customWidth="1"/>
    <col min="37" max="39" width="16.33203125" hidden="1" customWidth="1"/>
    <col min="40" max="41" width="12.5" customWidth="1"/>
    <col min="42" max="42" width="6.6640625" hidden="1" customWidth="1"/>
    <col min="43" max="43" width="4.83203125" hidden="1" customWidth="1"/>
    <col min="44" max="44" width="6.83203125" hidden="1" customWidth="1"/>
    <col min="45" max="45" width="136" hidden="1" customWidth="1"/>
    <col min="46" max="46" width="17" hidden="1" customWidth="1"/>
    <col min="47" max="48" width="16.33203125" hidden="1" customWidth="1"/>
    <col min="49" max="49" width="22.83203125" hidden="1" customWidth="1"/>
    <col min="50" max="50" width="11.1640625" hidden="1" customWidth="1"/>
    <col min="51" max="51" width="13.83203125" style="182" hidden="1" customWidth="1"/>
    <col min="52" max="52" width="24.83203125" bestFit="1" customWidth="1"/>
    <col min="53" max="53" width="33.6640625" style="59" customWidth="1"/>
    <col min="54" max="54" width="42.83203125" customWidth="1"/>
    <col min="55" max="91" width="7.33203125" customWidth="1"/>
    <col min="92" max="92" width="7.6640625" hidden="1" customWidth="1"/>
    <col min="93" max="93" width="16" hidden="1" customWidth="1"/>
    <col min="94" max="94" width="47.6640625" hidden="1" customWidth="1"/>
  </cols>
  <sheetData>
    <row r="1" spans="2:42" hidden="1" x14ac:dyDescent="0.2">
      <c r="D1" s="36" t="s">
        <v>104</v>
      </c>
      <c r="E1" s="36" t="s">
        <v>105</v>
      </c>
      <c r="F1" s="36" t="s">
        <v>106</v>
      </c>
      <c r="G1" s="990" t="s">
        <v>220</v>
      </c>
      <c r="H1" s="1038">
        <v>18000</v>
      </c>
      <c r="I1" s="992"/>
      <c r="J1" s="992"/>
      <c r="K1" s="992"/>
      <c r="L1" s="992"/>
      <c r="M1" s="992"/>
      <c r="N1" s="992"/>
      <c r="O1" s="993"/>
    </row>
    <row r="2" spans="2:42" hidden="1" x14ac:dyDescent="0.2">
      <c r="B2" s="164" t="s">
        <v>26</v>
      </c>
      <c r="C2" s="39">
        <v>688</v>
      </c>
      <c r="D2" s="40">
        <f>+COS(($B$136*-1)*3.14159265358979/180)*C2</f>
        <v>688</v>
      </c>
      <c r="E2" s="41">
        <f>+COS(($B$136*-1)*3.14159265358979/180)*43</f>
        <v>43</v>
      </c>
      <c r="F2" s="42">
        <f>+COS((($B$136*-1)+72.969997)*3.14159265358979/180)*162.1867</f>
        <v>47.500013702602963</v>
      </c>
      <c r="G2" s="994" t="s">
        <v>212</v>
      </c>
      <c r="H2" s="1039">
        <v>77</v>
      </c>
      <c r="O2" s="995"/>
    </row>
    <row r="3" spans="2:42" ht="21" hidden="1" thickBot="1" x14ac:dyDescent="0.25">
      <c r="B3" s="38" t="s">
        <v>113</v>
      </c>
      <c r="C3" s="43">
        <f>+C10-47.5</f>
        <v>299.49024192591281</v>
      </c>
      <c r="D3" s="40">
        <f>+C10-F2</f>
        <v>299.49022822330983</v>
      </c>
      <c r="G3" s="994" t="s">
        <v>213</v>
      </c>
      <c r="H3" s="1040">
        <v>215</v>
      </c>
      <c r="I3" s="182"/>
      <c r="J3" s="59"/>
      <c r="K3" s="59"/>
      <c r="L3" s="59"/>
      <c r="M3" s="59"/>
      <c r="O3" s="995"/>
    </row>
    <row r="4" spans="2:42" ht="58" hidden="1" thickBot="1" x14ac:dyDescent="0.25">
      <c r="B4" s="44" t="s">
        <v>114</v>
      </c>
      <c r="C4" s="45">
        <v>1075</v>
      </c>
      <c r="D4" s="40">
        <f>+COS(($B$136*-1)*3.14159265358979/180)*C4</f>
        <v>1075</v>
      </c>
      <c r="G4" s="996" t="s">
        <v>233</v>
      </c>
      <c r="H4" s="1041">
        <v>860</v>
      </c>
      <c r="I4" s="984">
        <v>1</v>
      </c>
      <c r="J4" s="1721" t="s">
        <v>228</v>
      </c>
      <c r="K4" s="1727"/>
      <c r="L4" s="1727"/>
      <c r="M4" s="1727"/>
      <c r="O4" s="995"/>
      <c r="AP4" s="59"/>
    </row>
    <row r="5" spans="2:42" ht="38" hidden="1" x14ac:dyDescent="0.2">
      <c r="B5" s="44" t="s">
        <v>115</v>
      </c>
      <c r="C5" s="45">
        <f>+C10+425.5</f>
        <v>772.49024192591287</v>
      </c>
      <c r="D5" s="40">
        <f>+(COS(($B$136*-1)*3.14159265358979/180)*473)+$D$3</f>
        <v>772.49022822330983</v>
      </c>
      <c r="G5" s="996" t="s">
        <v>214</v>
      </c>
      <c r="H5" s="1041">
        <v>688</v>
      </c>
      <c r="J5" s="961" t="s">
        <v>217</v>
      </c>
      <c r="K5" s="961" t="s">
        <v>225</v>
      </c>
      <c r="L5" s="972" t="s">
        <v>224</v>
      </c>
      <c r="M5" s="1724"/>
      <c r="O5" s="995"/>
      <c r="AP5" s="59"/>
    </row>
    <row r="6" spans="2:42" hidden="1" x14ac:dyDescent="0.2">
      <c r="B6" s="76"/>
      <c r="C6" s="78"/>
      <c r="G6" s="996" t="s">
        <v>259</v>
      </c>
      <c r="H6" s="1041">
        <v>602</v>
      </c>
      <c r="J6" s="963">
        <f>+H9/H8*BC51</f>
        <v>124.26820020147571</v>
      </c>
      <c r="K6" s="963">
        <f>((H8-H9)/H8)*BC51</f>
        <v>-85.434387638514551</v>
      </c>
      <c r="L6" s="963">
        <f>+CA51</f>
        <v>99.166187437038843</v>
      </c>
      <c r="M6" s="961" t="s">
        <v>223</v>
      </c>
      <c r="O6" s="995"/>
      <c r="AP6" s="59"/>
    </row>
    <row r="7" spans="2:42" hidden="1" x14ac:dyDescent="0.2">
      <c r="B7" s="313" t="s">
        <v>16</v>
      </c>
      <c r="C7" s="314">
        <f>+(B139*72)+31+4.5+0.5+30</f>
        <v>138</v>
      </c>
      <c r="G7" s="997" t="s">
        <v>230</v>
      </c>
      <c r="H7" s="1020">
        <f>(+SIN(($B$136*-1)*3.14159265358979/180)*H2)</f>
        <v>0</v>
      </c>
      <c r="J7" s="965">
        <f>ABS($H$1/J6)</f>
        <v>144.84799788535318</v>
      </c>
      <c r="K7" s="965">
        <f>ABS($H$1/K6)</f>
        <v>210.6879969241501</v>
      </c>
      <c r="L7" s="965">
        <f>ABS($H$1/L6)</f>
        <v>181.51348221820365</v>
      </c>
      <c r="M7" s="967" t="s">
        <v>222</v>
      </c>
      <c r="O7" s="995"/>
      <c r="AP7" s="59"/>
    </row>
    <row r="8" spans="2:42" hidden="1" x14ac:dyDescent="0.2">
      <c r="B8" s="313" t="s">
        <v>15</v>
      </c>
      <c r="C8" s="314">
        <f>+AG142</f>
        <v>746.99500648721551</v>
      </c>
      <c r="G8" s="997" t="s">
        <v>229</v>
      </c>
      <c r="H8" s="1020">
        <f>(+COS(($B$136*-1)*3.14159265358979/180)*H3)</f>
        <v>215</v>
      </c>
      <c r="J8" s="1733">
        <f>ABS($D$16/BC51)</f>
        <v>206.00604143694676</v>
      </c>
      <c r="K8" s="1733"/>
      <c r="L8" s="1733">
        <f>ABS($D$16/CA51)</f>
        <v>80.672658763646069</v>
      </c>
      <c r="M8" s="1734" t="s">
        <v>350</v>
      </c>
      <c r="O8" s="995"/>
      <c r="AP8" s="59"/>
    </row>
    <row r="9" spans="2:42" ht="21" hidden="1" thickBot="1" x14ac:dyDescent="0.25">
      <c r="B9" s="315"/>
      <c r="C9" s="315"/>
      <c r="G9" s="994" t="s">
        <v>227</v>
      </c>
      <c r="H9" s="1020">
        <f>+D2+H7</f>
        <v>688</v>
      </c>
      <c r="J9" s="59"/>
      <c r="K9" s="59"/>
      <c r="L9" s="59"/>
      <c r="M9" s="59"/>
      <c r="O9" s="995"/>
      <c r="AP9" s="59"/>
    </row>
    <row r="10" spans="2:42" ht="21" hidden="1" thickBot="1" x14ac:dyDescent="0.25">
      <c r="B10" s="313" t="s">
        <v>14</v>
      </c>
      <c r="C10" s="313">
        <f>+X136</f>
        <v>346.99024192591281</v>
      </c>
      <c r="G10" s="998"/>
      <c r="I10" s="984">
        <v>2</v>
      </c>
      <c r="J10" s="1721" t="s">
        <v>235</v>
      </c>
      <c r="K10" s="1721"/>
      <c r="L10" s="1738"/>
      <c r="M10" s="1738"/>
      <c r="O10" s="995"/>
      <c r="AP10" s="59"/>
    </row>
    <row r="11" spans="2:42" hidden="1" x14ac:dyDescent="0.2">
      <c r="G11" s="994" t="s">
        <v>226</v>
      </c>
      <c r="H11" s="1020">
        <f>+D2-H7</f>
        <v>688</v>
      </c>
      <c r="J11" s="972" t="s">
        <v>218</v>
      </c>
      <c r="K11" s="961" t="s">
        <v>215</v>
      </c>
      <c r="L11" s="961" t="s">
        <v>216</v>
      </c>
      <c r="M11" s="1724"/>
      <c r="O11" s="995"/>
      <c r="AP11" s="59"/>
    </row>
    <row r="12" spans="2:42" hidden="1" x14ac:dyDescent="0.2">
      <c r="C12" s="316"/>
      <c r="G12" s="998"/>
      <c r="H12" s="37"/>
      <c r="J12" s="963">
        <f>(BN54)</f>
        <v>99.55381256296117</v>
      </c>
      <c r="K12" s="963">
        <f>((+H8-H11)/H8*CL54)</f>
        <v>-84.581612361485469</v>
      </c>
      <c r="L12" s="963">
        <f>(H11/H8*CL54)</f>
        <v>123.02779979852431</v>
      </c>
      <c r="M12" s="961" t="s">
        <v>223</v>
      </c>
      <c r="O12" s="995"/>
      <c r="AP12" s="59"/>
    </row>
    <row r="13" spans="2:42" hidden="1" x14ac:dyDescent="0.2">
      <c r="C13" s="317" t="str">
        <f>IF(D118&gt;=10,"O K ","OVERLOAD")</f>
        <v>OVERLOAD</v>
      </c>
      <c r="G13" s="998"/>
      <c r="J13" s="965">
        <f>ABS($H$1/J12)</f>
        <v>180.80673694557098</v>
      </c>
      <c r="K13" s="965">
        <f>ABS($H$1/K12)</f>
        <v>212.81221174965876</v>
      </c>
      <c r="L13" s="965">
        <f>ABS($H$1/L12)</f>
        <v>146.30839557789039</v>
      </c>
      <c r="M13" s="967" t="s">
        <v>222</v>
      </c>
      <c r="O13" s="995"/>
      <c r="AP13" s="59"/>
    </row>
    <row r="14" spans="2:42" hidden="1" x14ac:dyDescent="0.2">
      <c r="B14" s="316"/>
      <c r="C14" s="316"/>
      <c r="G14" s="998"/>
      <c r="J14" s="1733">
        <f>ABS($D$16/BN54)</f>
        <v>80.358549753587099</v>
      </c>
      <c r="K14" s="1733"/>
      <c r="L14" s="1733">
        <f>ABS($D$16/CL54)</f>
        <v>208.08305148855524</v>
      </c>
      <c r="M14" s="1734" t="s">
        <v>350</v>
      </c>
      <c r="O14" s="995"/>
      <c r="AP14" s="59"/>
    </row>
    <row r="15" spans="2:42" ht="39" hidden="1" thickBot="1" x14ac:dyDescent="0.25">
      <c r="B15" s="316">
        <v>5800</v>
      </c>
      <c r="C15" s="316">
        <v>5800</v>
      </c>
      <c r="E15" s="48" t="s">
        <v>75</v>
      </c>
      <c r="G15" s="998"/>
      <c r="J15" s="59"/>
      <c r="K15" s="59"/>
      <c r="L15" s="59"/>
      <c r="M15" s="59"/>
      <c r="O15" s="995"/>
      <c r="AP15" s="59"/>
    </row>
    <row r="16" spans="2:42" ht="21" hidden="1" thickBot="1" x14ac:dyDescent="0.25">
      <c r="B16" s="316">
        <v>8000</v>
      </c>
      <c r="C16" s="316">
        <v>8000</v>
      </c>
      <c r="D16" s="49">
        <v>8000</v>
      </c>
      <c r="E16" s="48" t="s">
        <v>86</v>
      </c>
      <c r="G16" s="994" t="s">
        <v>231</v>
      </c>
      <c r="H16" s="1020">
        <f>+D2+H7-AY131</f>
        <v>-84.490228223309828</v>
      </c>
      <c r="I16" s="984" t="s">
        <v>251</v>
      </c>
      <c r="J16" s="1721" t="s">
        <v>232</v>
      </c>
      <c r="K16" s="1727"/>
      <c r="L16" s="1727"/>
      <c r="M16" s="1727"/>
      <c r="O16" s="995"/>
      <c r="AP16" s="59"/>
    </row>
    <row r="17" spans="2:94" hidden="1" x14ac:dyDescent="0.2">
      <c r="B17" s="318" t="s">
        <v>20</v>
      </c>
      <c r="C17" s="318" t="s">
        <v>21</v>
      </c>
      <c r="G17" s="998"/>
      <c r="H17" s="37"/>
      <c r="I17" s="999"/>
      <c r="J17" s="961" t="s">
        <v>217</v>
      </c>
      <c r="K17" s="961" t="s">
        <v>225</v>
      </c>
      <c r="L17" s="961"/>
      <c r="M17" s="1724"/>
      <c r="O17" s="995"/>
      <c r="AP17" s="59"/>
    </row>
    <row r="18" spans="2:94" hidden="1" x14ac:dyDescent="0.2">
      <c r="B18" s="319">
        <f>+((C8-C10)/C8)*C7</f>
        <v>73.896956512525918</v>
      </c>
      <c r="C18" s="320">
        <f>+(C10/C8)*C7</f>
        <v>64.103043487474096</v>
      </c>
      <c r="G18" s="998"/>
      <c r="J18" s="963">
        <f>+H16/H8*BC49</f>
        <v>-54.230937185194215</v>
      </c>
      <c r="K18" s="963">
        <f>((H8-H16)/H8)*BC49</f>
        <v>192.23093718519422</v>
      </c>
      <c r="L18" s="963"/>
      <c r="M18" s="961" t="s">
        <v>223</v>
      </c>
      <c r="O18" s="995"/>
      <c r="AP18" s="59"/>
    </row>
    <row r="19" spans="2:94" hidden="1" x14ac:dyDescent="0.2">
      <c r="G19" s="998"/>
      <c r="J19" s="965">
        <f>ABS($H$1/J18)</f>
        <v>331.91386566917464</v>
      </c>
      <c r="K19" s="965">
        <f>ABS($H$1/K18)</f>
        <v>93.637373169849866</v>
      </c>
      <c r="L19" s="965"/>
      <c r="M19" s="967" t="s">
        <v>222</v>
      </c>
      <c r="O19" s="995"/>
      <c r="AP19" s="59"/>
    </row>
    <row r="20" spans="2:94" hidden="1" x14ac:dyDescent="0.2">
      <c r="G20" s="998"/>
      <c r="J20" s="1733">
        <f>ABS($D$16/BC49)</f>
        <v>57.971014492753625</v>
      </c>
      <c r="K20" s="1733"/>
      <c r="L20" s="1733"/>
      <c r="M20" s="1734" t="s">
        <v>350</v>
      </c>
      <c r="O20" s="995"/>
      <c r="AP20" s="59"/>
    </row>
    <row r="21" spans="2:94" ht="21" hidden="1" thickBot="1" x14ac:dyDescent="0.25">
      <c r="G21" s="998"/>
      <c r="J21" s="59"/>
      <c r="K21" s="59"/>
      <c r="L21" s="59"/>
      <c r="M21" s="59"/>
      <c r="O21" s="995"/>
      <c r="AP21" s="59"/>
    </row>
    <row r="22" spans="2:94" ht="21" hidden="1" thickBot="1" x14ac:dyDescent="0.25">
      <c r="G22" s="994" t="s">
        <v>219</v>
      </c>
      <c r="H22" s="1020">
        <f>(+COS(($B$136*-1)*3.14159265358979/180)*(H4))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O22" s="995"/>
      <c r="AP22" s="59"/>
    </row>
    <row r="23" spans="2:94" hidden="1" x14ac:dyDescent="0.2">
      <c r="G23" s="994" t="s">
        <v>234</v>
      </c>
      <c r="H23" s="1093">
        <f>+AY131-H22+H7</f>
        <v>-87.509771776690172</v>
      </c>
      <c r="I23" s="999"/>
      <c r="J23" s="961"/>
      <c r="K23" s="961" t="s">
        <v>215</v>
      </c>
      <c r="L23" s="961" t="s">
        <v>216</v>
      </c>
      <c r="M23" s="1724"/>
      <c r="O23" s="995"/>
      <c r="AP23" s="59"/>
    </row>
    <row r="24" spans="2:94" hidden="1" x14ac:dyDescent="0.2">
      <c r="G24" s="998"/>
      <c r="J24" s="963"/>
      <c r="K24" s="963">
        <f>((+H8-H23)/H8*BC49)</f>
        <v>194.16906281480578</v>
      </c>
      <c r="L24" s="963">
        <f>(H23/H8*BC49)</f>
        <v>-56.169062814805784</v>
      </c>
      <c r="M24" s="961" t="s">
        <v>223</v>
      </c>
      <c r="O24" s="995"/>
      <c r="AP24" s="59"/>
    </row>
    <row r="25" spans="2:94" hidden="1" x14ac:dyDescent="0.2">
      <c r="G25" s="998"/>
      <c r="J25" s="965"/>
      <c r="K25" s="965">
        <f>ABS($H$1/K24)</f>
        <v>92.702718646626039</v>
      </c>
      <c r="L25" s="965">
        <f>ABS($H$1/L24)</f>
        <v>320.46110613145788</v>
      </c>
      <c r="M25" s="967" t="s">
        <v>222</v>
      </c>
      <c r="O25" s="995"/>
      <c r="AP25" s="78"/>
    </row>
    <row r="26" spans="2:94" s="74" customFormat="1" hidden="1" x14ac:dyDescent="0.2">
      <c r="G26" s="998"/>
      <c r="H26"/>
      <c r="I26"/>
      <c r="J26" s="1733"/>
      <c r="K26" s="1733"/>
      <c r="L26" s="1733">
        <f>ABS($D$16/BC49)</f>
        <v>57.971014492753625</v>
      </c>
      <c r="M26" s="1733" t="s">
        <v>221</v>
      </c>
      <c r="N26"/>
      <c r="O26" s="995"/>
      <c r="P26" s="73"/>
      <c r="Q26" s="73"/>
      <c r="R26" s="73"/>
      <c r="S26" s="73"/>
      <c r="T26" s="73"/>
      <c r="U26" s="73"/>
      <c r="AP26" s="78"/>
      <c r="AQ26"/>
      <c r="AR26"/>
      <c r="AS26"/>
      <c r="AT26"/>
      <c r="AU26"/>
      <c r="AV26"/>
      <c r="AW26"/>
      <c r="AX26"/>
      <c r="AY26" s="182"/>
      <c r="AZ26"/>
      <c r="BA26" s="59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  <c r="BW26"/>
      <c r="BX26"/>
      <c r="BY26"/>
      <c r="BZ26"/>
      <c r="CA26"/>
      <c r="CB26"/>
      <c r="CC26"/>
      <c r="CD26"/>
      <c r="CE26"/>
      <c r="CF26"/>
      <c r="CG26"/>
      <c r="CH26"/>
      <c r="CI26"/>
      <c r="CJ26"/>
      <c r="CK26"/>
      <c r="CL26"/>
      <c r="CM26"/>
      <c r="CN26"/>
      <c r="CO26"/>
      <c r="CP26"/>
    </row>
    <row r="27" spans="2:94" ht="21" hidden="1" thickBot="1" x14ac:dyDescent="0.25">
      <c r="G27" s="998"/>
      <c r="J27" s="59"/>
      <c r="K27" s="59"/>
      <c r="L27" s="59"/>
      <c r="M27" s="59"/>
      <c r="O27" s="995"/>
      <c r="P27" s="126"/>
      <c r="Q27" s="126"/>
      <c r="R27" s="126"/>
      <c r="S27" s="126"/>
      <c r="T27" s="126"/>
      <c r="U27" s="126"/>
      <c r="AP27" s="75"/>
    </row>
    <row r="28" spans="2:94" ht="21" hidden="1" thickBot="1" x14ac:dyDescent="0.25">
      <c r="G28" s="998"/>
      <c r="I28" s="984">
        <v>60</v>
      </c>
      <c r="J28" s="1721" t="s">
        <v>241</v>
      </c>
      <c r="K28" s="1727"/>
      <c r="L28" s="1727"/>
      <c r="M28" s="1727"/>
      <c r="O28" s="995"/>
      <c r="P28" s="126"/>
      <c r="Q28" s="126"/>
      <c r="R28" s="126"/>
      <c r="S28" s="126"/>
      <c r="T28" s="126"/>
      <c r="U28" s="126"/>
      <c r="AP28" s="59"/>
    </row>
    <row r="29" spans="2:94" hidden="1" x14ac:dyDescent="0.2">
      <c r="G29" s="998"/>
      <c r="J29" s="961"/>
      <c r="K29" s="961" t="s">
        <v>215</v>
      </c>
      <c r="L29" s="961" t="s">
        <v>216</v>
      </c>
      <c r="M29" s="1724"/>
      <c r="O29" s="995"/>
      <c r="P29" s="126"/>
      <c r="Q29" s="126"/>
      <c r="R29" s="126"/>
      <c r="S29" s="126"/>
      <c r="T29" s="126"/>
      <c r="U29" s="126"/>
      <c r="AP29" s="59"/>
    </row>
    <row r="30" spans="2:94" hidden="1" x14ac:dyDescent="0.2">
      <c r="G30" s="1000"/>
      <c r="H30" s="63"/>
      <c r="J30" s="963"/>
      <c r="K30" s="963">
        <f>((+H8-H23)/H8*BC49)</f>
        <v>194.16906281480578</v>
      </c>
      <c r="L30" s="963">
        <f>(H23/H8*BC49)</f>
        <v>-56.169062814805784</v>
      </c>
      <c r="M30" s="961" t="s">
        <v>223</v>
      </c>
      <c r="O30" s="995"/>
      <c r="P30" s="126"/>
      <c r="Q30" s="126"/>
      <c r="R30" s="126"/>
      <c r="S30" s="126"/>
      <c r="T30" s="126"/>
      <c r="U30" s="126"/>
      <c r="AP30" s="76"/>
    </row>
    <row r="31" spans="2:94" hidden="1" x14ac:dyDescent="0.2">
      <c r="G31" s="1000"/>
      <c r="H31" s="63"/>
      <c r="J31" s="965"/>
      <c r="K31" s="965">
        <f>ABS($H$1/K30)</f>
        <v>92.702718646626039</v>
      </c>
      <c r="L31" s="965">
        <f>ABS($H$1/L30)</f>
        <v>320.46110613145788</v>
      </c>
      <c r="M31" s="967" t="s">
        <v>222</v>
      </c>
      <c r="O31" s="995"/>
      <c r="P31" s="126"/>
      <c r="Q31" s="126"/>
      <c r="R31" s="126"/>
      <c r="S31" s="126"/>
      <c r="T31" s="126"/>
      <c r="U31" s="126"/>
      <c r="AP31" s="76"/>
    </row>
    <row r="32" spans="2:94" hidden="1" x14ac:dyDescent="0.2">
      <c r="G32" s="1000"/>
      <c r="H32" s="63"/>
      <c r="J32" s="1733"/>
      <c r="K32" s="1733"/>
      <c r="L32" s="1733">
        <f>ABS($D$16/BC49)*2</f>
        <v>115.94202898550725</v>
      </c>
      <c r="M32" s="1734" t="s">
        <v>350</v>
      </c>
      <c r="N32" s="1730" t="s">
        <v>352</v>
      </c>
      <c r="O32" s="995"/>
      <c r="P32" s="126"/>
      <c r="Q32" s="126"/>
      <c r="R32" s="126"/>
      <c r="S32" s="126"/>
      <c r="T32" s="126"/>
      <c r="U32" s="126"/>
      <c r="AP32" s="76"/>
    </row>
    <row r="33" spans="7:42" ht="21" hidden="1" thickBot="1" x14ac:dyDescent="0.25">
      <c r="G33" s="1000"/>
      <c r="H33" s="63"/>
      <c r="J33" s="59"/>
      <c r="K33" s="59"/>
      <c r="L33" s="59"/>
      <c r="M33" s="59"/>
      <c r="O33" s="995"/>
      <c r="P33" s="126"/>
      <c r="Q33" s="126"/>
      <c r="R33" s="126"/>
      <c r="S33" s="126"/>
      <c r="T33" s="126"/>
      <c r="U33" s="126"/>
      <c r="AP33" s="76"/>
    </row>
    <row r="34" spans="7:42" ht="21" hidden="1" thickBot="1" x14ac:dyDescent="0.25">
      <c r="G34" s="1000"/>
      <c r="H34" s="63"/>
      <c r="I34" s="984">
        <v>61</v>
      </c>
      <c r="J34" s="1721" t="s">
        <v>255</v>
      </c>
      <c r="K34" s="1727"/>
      <c r="L34" s="1727"/>
      <c r="M34" s="1727"/>
      <c r="O34" s="995"/>
      <c r="P34" s="126"/>
      <c r="Q34" s="126"/>
      <c r="R34" s="126"/>
      <c r="S34" s="126"/>
      <c r="T34" s="126"/>
      <c r="U34" s="126"/>
      <c r="AP34" s="78"/>
    </row>
    <row r="35" spans="7:42" hidden="1" x14ac:dyDescent="0.2">
      <c r="G35" s="1000"/>
      <c r="H35" s="63"/>
      <c r="J35" s="961" t="s">
        <v>217</v>
      </c>
      <c r="K35" s="961" t="s">
        <v>225</v>
      </c>
      <c r="L35" s="961"/>
      <c r="M35" s="1724"/>
      <c r="O35" s="995"/>
      <c r="P35" s="126"/>
      <c r="Q35" s="126"/>
      <c r="R35" s="126"/>
      <c r="S35" s="126"/>
      <c r="T35" s="126"/>
      <c r="U35" s="126"/>
      <c r="AP35" s="78"/>
    </row>
    <row r="36" spans="7:42" hidden="1" x14ac:dyDescent="0.2">
      <c r="G36" s="1000"/>
      <c r="H36" s="63"/>
      <c r="J36" s="963">
        <f>+H16/H8*BC49</f>
        <v>-54.230937185194215</v>
      </c>
      <c r="K36" s="963">
        <f>((H8-H16)/H8)*BC49</f>
        <v>192.23093718519422</v>
      </c>
      <c r="L36" s="963"/>
      <c r="M36" s="961" t="s">
        <v>223</v>
      </c>
      <c r="O36" s="995"/>
      <c r="P36" s="126"/>
      <c r="Q36" s="126"/>
      <c r="R36" s="126"/>
      <c r="S36" s="126"/>
      <c r="T36" s="126"/>
      <c r="U36" s="126"/>
      <c r="AP36" s="78"/>
    </row>
    <row r="37" spans="7:42" hidden="1" x14ac:dyDescent="0.2">
      <c r="G37" s="1000"/>
      <c r="H37" s="63"/>
      <c r="J37" s="965">
        <f>ABS($H$1/J36)</f>
        <v>331.91386566917464</v>
      </c>
      <c r="K37" s="965">
        <f>ABS($H$1/K36)</f>
        <v>93.637373169849866</v>
      </c>
      <c r="L37" s="965"/>
      <c r="M37" s="967" t="s">
        <v>222</v>
      </c>
      <c r="O37" s="995"/>
      <c r="P37" s="126"/>
      <c r="Q37" s="126"/>
      <c r="R37" s="126"/>
      <c r="S37" s="126"/>
      <c r="T37" s="126"/>
      <c r="U37" s="126"/>
      <c r="AP37" s="76"/>
    </row>
    <row r="38" spans="7:42" hidden="1" x14ac:dyDescent="0.2">
      <c r="G38" s="1000"/>
      <c r="H38" s="63"/>
      <c r="J38" s="1733">
        <f>ABS($D$16/BC49)*2</f>
        <v>115.94202898550725</v>
      </c>
      <c r="K38" s="1733"/>
      <c r="L38" s="1733"/>
      <c r="M38" s="1734" t="s">
        <v>350</v>
      </c>
      <c r="N38" s="1730" t="s">
        <v>352</v>
      </c>
      <c r="O38" s="995"/>
      <c r="P38" s="126"/>
      <c r="Q38" s="126"/>
      <c r="R38" s="126"/>
      <c r="S38" s="126"/>
      <c r="T38" s="126"/>
      <c r="U38" s="126"/>
      <c r="AP38" s="78"/>
    </row>
    <row r="39" spans="7:42" ht="21" hidden="1" thickBot="1" x14ac:dyDescent="0.25">
      <c r="G39" s="998"/>
      <c r="J39" s="59"/>
      <c r="K39" s="59"/>
      <c r="L39" s="59"/>
      <c r="M39" s="59"/>
      <c r="O39" s="995"/>
      <c r="P39" s="126"/>
      <c r="Q39" s="126"/>
      <c r="R39" s="126"/>
      <c r="S39" s="126"/>
      <c r="T39" s="126"/>
      <c r="U39" s="126"/>
      <c r="AP39" s="78"/>
    </row>
    <row r="40" spans="7:42" ht="21" hidden="1" thickBot="1" x14ac:dyDescent="0.25">
      <c r="G40" s="998"/>
      <c r="I40" s="984">
        <v>62</v>
      </c>
      <c r="J40" s="1721" t="s">
        <v>256</v>
      </c>
      <c r="K40" s="1727"/>
      <c r="L40" s="1727"/>
      <c r="M40" s="1727"/>
      <c r="O40" s="995"/>
      <c r="P40" s="126"/>
      <c r="Q40" s="126"/>
      <c r="R40" s="126"/>
      <c r="S40" s="126"/>
      <c r="T40" s="126"/>
      <c r="U40" s="126"/>
      <c r="AP40" s="78"/>
    </row>
    <row r="41" spans="7:42" hidden="1" x14ac:dyDescent="0.2">
      <c r="G41" s="998"/>
      <c r="H41" s="1001" t="s">
        <v>250</v>
      </c>
      <c r="J41" s="961" t="s">
        <v>217</v>
      </c>
      <c r="K41" s="961" t="s">
        <v>225</v>
      </c>
      <c r="L41" s="972" t="s">
        <v>242</v>
      </c>
      <c r="M41" s="1724"/>
      <c r="O41" s="995"/>
      <c r="P41" s="126"/>
      <c r="Q41" s="126"/>
      <c r="R41" s="126"/>
      <c r="S41" s="126"/>
      <c r="T41" s="126"/>
      <c r="U41" s="126"/>
      <c r="AP41" s="76"/>
    </row>
    <row r="42" spans="7:42" ht="23" hidden="1" x14ac:dyDescent="0.25">
      <c r="G42" s="1002" t="s">
        <v>245</v>
      </c>
      <c r="H42" s="1022">
        <f>SUM(BC122:BM122)</f>
        <v>0</v>
      </c>
      <c r="J42" s="963">
        <f>+H43/H8*BC49/2</f>
        <v>234.6</v>
      </c>
      <c r="K42" s="963">
        <f>((H8-H43)/H8)*BC49/2</f>
        <v>-165.6</v>
      </c>
      <c r="L42" s="963">
        <f>+BC49/2</f>
        <v>69</v>
      </c>
      <c r="M42" s="961" t="s">
        <v>223</v>
      </c>
      <c r="O42" s="995"/>
      <c r="P42" s="126"/>
      <c r="Q42" s="126"/>
      <c r="R42" s="126"/>
      <c r="S42" s="126"/>
      <c r="T42" s="126"/>
      <c r="U42" s="126"/>
      <c r="AP42" s="78"/>
    </row>
    <row r="43" spans="7:42" hidden="1" x14ac:dyDescent="0.2">
      <c r="G43" s="994" t="s">
        <v>243</v>
      </c>
      <c r="H43" s="1020">
        <f>$H$5-((H42-1)*$E$2)</f>
        <v>731</v>
      </c>
      <c r="J43" s="965">
        <f>ABS($H$1/J42)</f>
        <v>76.726342710997443</v>
      </c>
      <c r="K43" s="965">
        <f>ABS($H$1/K42)</f>
        <v>108.69565217391305</v>
      </c>
      <c r="L43" s="965">
        <f>ABS($H$1/L42)</f>
        <v>260.86956521739131</v>
      </c>
      <c r="M43" s="967" t="s">
        <v>222</v>
      </c>
      <c r="O43" s="995"/>
      <c r="P43" s="126"/>
      <c r="Q43" s="126"/>
      <c r="R43" s="126"/>
      <c r="S43" s="126"/>
      <c r="T43" s="126"/>
      <c r="U43" s="126"/>
      <c r="AP43" s="78"/>
    </row>
    <row r="44" spans="7:42" hidden="1" x14ac:dyDescent="0.2">
      <c r="G44" s="1000"/>
      <c r="H44" s="63"/>
      <c r="J44" s="1733"/>
      <c r="K44" s="1733"/>
      <c r="L44" s="1733">
        <f>ABS($D$16/BC49)*2</f>
        <v>115.94202898550725</v>
      </c>
      <c r="M44" s="1734" t="s">
        <v>350</v>
      </c>
      <c r="N44" s="1730" t="s">
        <v>352</v>
      </c>
      <c r="O44" s="995"/>
      <c r="P44" s="126"/>
      <c r="Q44" s="126"/>
      <c r="R44" s="126"/>
      <c r="S44" s="126"/>
      <c r="T44" s="126"/>
      <c r="U44" s="126"/>
      <c r="AP44" s="76"/>
    </row>
    <row r="45" spans="7:42" ht="21" hidden="1" thickBot="1" x14ac:dyDescent="0.25">
      <c r="G45" s="998"/>
      <c r="J45" s="59"/>
      <c r="K45" s="59"/>
      <c r="L45" s="59"/>
      <c r="M45" s="59"/>
      <c r="O45" s="995"/>
      <c r="P45" s="126"/>
      <c r="Q45" s="126"/>
      <c r="R45" s="126"/>
      <c r="S45" s="126"/>
      <c r="T45" s="126"/>
      <c r="U45" s="126"/>
      <c r="AP45" s="76"/>
    </row>
    <row r="46" spans="7:42" ht="21" hidden="1" thickBot="1" x14ac:dyDescent="0.25"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O46" s="995"/>
      <c r="P46" s="126"/>
      <c r="Q46" s="126"/>
      <c r="R46" s="126"/>
      <c r="S46" s="126"/>
      <c r="T46" s="126"/>
      <c r="U46" s="126"/>
      <c r="AP46" s="76"/>
    </row>
    <row r="47" spans="7:42" ht="23" hidden="1" x14ac:dyDescent="0.25">
      <c r="G47" s="1002" t="s">
        <v>245</v>
      </c>
      <c r="H47" s="1023">
        <f>SUM(CC122:CM122)</f>
        <v>0</v>
      </c>
      <c r="J47" s="972" t="s">
        <v>244</v>
      </c>
      <c r="K47" s="961" t="s">
        <v>215</v>
      </c>
      <c r="L47" s="961" t="s">
        <v>216</v>
      </c>
      <c r="M47" s="1724"/>
      <c r="O47" s="995"/>
      <c r="P47" s="126"/>
      <c r="Q47" s="126"/>
      <c r="R47" s="126"/>
      <c r="S47" s="126"/>
      <c r="T47" s="126"/>
      <c r="U47" s="126"/>
      <c r="AP47" s="76"/>
    </row>
    <row r="48" spans="7:42" hidden="1" x14ac:dyDescent="0.2">
      <c r="G48" s="994" t="s">
        <v>243</v>
      </c>
      <c r="H48" s="1020">
        <f>($E$2*(H47-1))-$H$4</f>
        <v>-903</v>
      </c>
      <c r="J48" s="963">
        <f>+BC49/2</f>
        <v>69</v>
      </c>
      <c r="K48" s="963">
        <f>((H8-H48)/H8)*BC49/2</f>
        <v>358.8</v>
      </c>
      <c r="L48" s="963">
        <f>+H48/H8*BC49/2</f>
        <v>-289.8</v>
      </c>
      <c r="M48" s="961" t="s">
        <v>223</v>
      </c>
      <c r="O48" s="995"/>
      <c r="P48" s="126"/>
      <c r="Q48" s="126"/>
      <c r="R48" s="126"/>
      <c r="S48" s="126"/>
      <c r="T48" s="126"/>
      <c r="U48" s="126"/>
      <c r="AP48" s="76"/>
    </row>
    <row r="49" spans="7:94" ht="37.5" customHeight="1" thickBot="1" x14ac:dyDescent="0.25">
      <c r="G49" s="998"/>
      <c r="J49" s="965">
        <f>ABS($H$1/J48)</f>
        <v>260.86956521739131</v>
      </c>
      <c r="K49" s="965">
        <f>ABS($H$1/K48)</f>
        <v>50.167224080267559</v>
      </c>
      <c r="L49" s="965">
        <f>ABS($H$1/L48)</f>
        <v>62.11180124223602</v>
      </c>
      <c r="M49" s="967" t="s">
        <v>222</v>
      </c>
      <c r="N49" s="74"/>
      <c r="O49" s="1010"/>
      <c r="P49" s="126"/>
      <c r="Q49" s="126"/>
      <c r="R49" s="126"/>
      <c r="S49" s="126"/>
      <c r="T49" s="126"/>
      <c r="U49" s="126"/>
      <c r="AP49" s="76"/>
      <c r="AQ49" s="74"/>
      <c r="AR49" s="74"/>
      <c r="AS49" s="74"/>
      <c r="AT49" s="74"/>
      <c r="BA49" s="64"/>
      <c r="BB49" s="75" t="s">
        <v>25</v>
      </c>
      <c r="BC49" s="1814">
        <f>+C7</f>
        <v>138</v>
      </c>
      <c r="BD49" s="1814"/>
      <c r="BE49" s="76" t="s">
        <v>17</v>
      </c>
      <c r="BF49" s="76"/>
      <c r="BG49" s="77" t="s">
        <v>152</v>
      </c>
      <c r="BH49" s="78"/>
      <c r="BI49" s="78"/>
      <c r="BJ49" s="78"/>
      <c r="BK49" s="78"/>
      <c r="BL49" s="78"/>
      <c r="BM49" s="78"/>
      <c r="BN49" s="78"/>
      <c r="BO49" s="78"/>
      <c r="BP49" s="78"/>
      <c r="BQ49" s="78"/>
      <c r="BR49" s="78"/>
      <c r="BS49" s="78"/>
      <c r="BT49" s="78"/>
      <c r="BU49" s="78"/>
      <c r="BV49" s="78"/>
      <c r="BW49" s="78"/>
      <c r="BX49" s="78"/>
      <c r="BY49" s="78"/>
      <c r="BZ49" s="78"/>
      <c r="CA49" s="78"/>
      <c r="CB49" s="78"/>
      <c r="CC49" s="78"/>
      <c r="CD49" s="78"/>
      <c r="CE49" s="78"/>
      <c r="CF49" s="78"/>
      <c r="CG49" s="78"/>
      <c r="CH49" s="78"/>
      <c r="CI49" s="78"/>
      <c r="CJ49" s="78"/>
      <c r="CK49" s="78"/>
      <c r="CL49" s="78"/>
      <c r="CM49" s="78"/>
      <c r="CN49" s="78"/>
      <c r="CO49" s="78"/>
      <c r="CP49" s="78"/>
    </row>
    <row r="50" spans="7:94" ht="38.75" customHeight="1" thickBot="1" x14ac:dyDescent="0.3">
      <c r="G50" s="998"/>
      <c r="J50" s="1733">
        <f>ABS($D$16/BC49)*2</f>
        <v>115.94202898550725</v>
      </c>
      <c r="K50" s="1733"/>
      <c r="L50" s="1733"/>
      <c r="M50" s="1734" t="s">
        <v>350</v>
      </c>
      <c r="N50" s="1730" t="s">
        <v>352</v>
      </c>
      <c r="O50" s="995"/>
      <c r="P50" s="126"/>
      <c r="Q50" s="126"/>
      <c r="R50" s="126"/>
      <c r="S50" s="126"/>
      <c r="T50" s="126"/>
      <c r="U50" s="126"/>
      <c r="AP50" s="76"/>
      <c r="AQ50" s="85"/>
      <c r="AR50" s="85"/>
      <c r="AS50" s="85"/>
      <c r="AT50" s="85"/>
      <c r="AY50" s="182" t="b">
        <f>AND(BC51&gt;0,CA51&gt;0)</f>
        <v>1</v>
      </c>
      <c r="AZ50" s="952" t="str">
        <f>IF(AY50=TRUE,"","negative force at the motor")</f>
        <v/>
      </c>
      <c r="BA50" s="1095" t="s">
        <v>128</v>
      </c>
      <c r="BB50" s="740" t="s">
        <v>27</v>
      </c>
      <c r="BC50" s="914" t="s">
        <v>28</v>
      </c>
      <c r="BD50" s="915"/>
      <c r="BE50" s="915"/>
      <c r="BF50" s="915"/>
      <c r="BG50" s="915"/>
      <c r="BH50" s="915"/>
      <c r="BI50" s="915"/>
      <c r="BJ50" s="915"/>
      <c r="BK50" s="915"/>
      <c r="BL50" s="915"/>
      <c r="BM50" s="915"/>
      <c r="BN50" s="915"/>
      <c r="BO50" s="915"/>
      <c r="BP50" s="915"/>
      <c r="BQ50" s="915"/>
      <c r="BR50" s="915"/>
      <c r="BS50" s="915"/>
      <c r="BT50" s="915"/>
      <c r="BU50" s="916"/>
      <c r="BV50" s="915"/>
      <c r="BW50" s="917"/>
      <c r="BX50" s="917"/>
      <c r="BY50" s="917"/>
      <c r="BZ50" s="917"/>
      <c r="CA50" s="915"/>
      <c r="CB50" s="918" t="s">
        <v>29</v>
      </c>
      <c r="CC50" s="1801"/>
      <c r="CD50" s="1801"/>
      <c r="CE50" s="1801"/>
      <c r="CF50" s="1801"/>
      <c r="CG50" s="1801"/>
      <c r="CH50" s="1801"/>
      <c r="CI50" s="1801"/>
      <c r="CJ50" s="1801"/>
      <c r="CK50" s="1801"/>
      <c r="CL50" s="1801"/>
      <c r="CM50" s="1802"/>
      <c r="CN50" s="78"/>
      <c r="CO50" s="78"/>
      <c r="CP50" s="78"/>
    </row>
    <row r="51" spans="7:94" ht="44" thickBot="1" x14ac:dyDescent="0.3">
      <c r="G51" s="998"/>
      <c r="J51" s="59"/>
      <c r="K51" s="59"/>
      <c r="L51" s="59"/>
      <c r="M51" s="59"/>
      <c r="O51" s="995"/>
      <c r="P51" s="126"/>
      <c r="Q51" s="126"/>
      <c r="R51" s="126"/>
      <c r="S51" s="126"/>
      <c r="T51" s="126"/>
      <c r="U51" s="126"/>
      <c r="AP51" s="76"/>
      <c r="AQ51" s="85"/>
      <c r="AR51" s="85"/>
      <c r="AS51" s="85"/>
      <c r="AT51" s="85"/>
      <c r="AX51" s="968">
        <v>1</v>
      </c>
      <c r="AY51" s="182" t="b">
        <f>AND(BA51&gt;=10,$AN$142&gt;=10,$AO$142&gt;=10)</f>
        <v>1</v>
      </c>
      <c r="AZ51" s="84" t="str">
        <f>IF(AY51=TRUE,"O K","OVERLOAD")</f>
        <v>O K</v>
      </c>
      <c r="BA51" s="982">
        <f>+MIN(J7:L8)</f>
        <v>80.672658763646069</v>
      </c>
      <c r="BB51" s="741" t="s">
        <v>180</v>
      </c>
      <c r="BC51" s="1842">
        <f>+((D4-D5)/D4)*C7</f>
        <v>38.833812562961157</v>
      </c>
      <c r="BD51" s="1843"/>
      <c r="BE51" s="919"/>
      <c r="BF51" s="919"/>
      <c r="BG51" s="919"/>
      <c r="BH51" s="920"/>
      <c r="BI51" s="920"/>
      <c r="BJ51" s="920"/>
      <c r="BK51" s="921"/>
      <c r="BL51" s="921"/>
      <c r="BM51" s="921"/>
      <c r="BN51" s="921"/>
      <c r="BO51" s="921"/>
      <c r="BP51" s="921"/>
      <c r="BQ51" s="921"/>
      <c r="BR51" s="921"/>
      <c r="BS51" s="921"/>
      <c r="BT51" s="921"/>
      <c r="BU51" s="922"/>
      <c r="BV51" s="919"/>
      <c r="BW51" s="919"/>
      <c r="BX51" s="919"/>
      <c r="BY51" s="920"/>
      <c r="BZ51" s="920"/>
      <c r="CA51" s="1844">
        <f>(D5/D4)*C7</f>
        <v>99.166187437038843</v>
      </c>
      <c r="CB51" s="1845"/>
      <c r="CC51" s="1803"/>
      <c r="CD51" s="1803"/>
      <c r="CE51" s="1803"/>
      <c r="CF51" s="1803"/>
      <c r="CG51" s="1803"/>
      <c r="CH51" s="1803"/>
      <c r="CI51" s="1803"/>
      <c r="CJ51" s="1803"/>
      <c r="CK51" s="1803"/>
      <c r="CL51" s="1803"/>
      <c r="CM51" s="1804"/>
      <c r="CN51" s="78"/>
      <c r="CO51" s="78"/>
      <c r="CP51" s="78"/>
    </row>
    <row r="52" spans="7:94" ht="12" customHeight="1" thickBot="1" x14ac:dyDescent="0.3">
      <c r="G52" s="998"/>
      <c r="I52" s="984">
        <v>64</v>
      </c>
      <c r="J52" s="1721" t="s">
        <v>258</v>
      </c>
      <c r="K52" s="1727"/>
      <c r="L52" s="1727"/>
      <c r="M52" s="1727"/>
      <c r="O52" s="995"/>
      <c r="P52" s="126"/>
      <c r="Q52" s="126"/>
      <c r="R52" s="126"/>
      <c r="S52" s="126"/>
      <c r="T52" s="126"/>
      <c r="U52" s="126"/>
      <c r="AP52" s="76"/>
      <c r="AQ52" s="85"/>
      <c r="AR52" s="85"/>
      <c r="AS52" s="85"/>
      <c r="AT52" s="85"/>
      <c r="AZ52" s="86"/>
      <c r="BA52" s="85"/>
      <c r="BB52" s="87"/>
      <c r="BC52" s="88"/>
      <c r="BD52" s="88"/>
      <c r="BE52" s="87"/>
      <c r="BF52" s="87"/>
      <c r="BG52" s="87"/>
      <c r="BH52" s="87"/>
      <c r="BI52" s="87"/>
      <c r="BJ52" s="87"/>
      <c r="BK52" s="87"/>
      <c r="BL52" s="87"/>
      <c r="BM52" s="87"/>
      <c r="BN52" s="87"/>
      <c r="BO52" s="87"/>
      <c r="BP52" s="87"/>
      <c r="BQ52" s="87"/>
      <c r="BR52" s="87"/>
      <c r="BS52" s="87"/>
      <c r="BT52" s="87"/>
      <c r="BV52" s="76"/>
      <c r="BW52" s="76"/>
      <c r="BX52" s="88"/>
      <c r="BY52" s="89"/>
      <c r="BZ52" s="89"/>
      <c r="CA52" s="89"/>
      <c r="CB52" s="89"/>
      <c r="CC52" s="89"/>
      <c r="CD52" s="89"/>
      <c r="CE52" s="89"/>
      <c r="CF52" s="89"/>
      <c r="CG52" s="89"/>
      <c r="CH52" s="89"/>
      <c r="CI52" s="89"/>
      <c r="CJ52" s="89"/>
      <c r="CK52" s="89"/>
      <c r="CL52" s="89"/>
      <c r="CM52" s="89"/>
      <c r="CN52" s="89"/>
      <c r="CO52" s="78"/>
      <c r="CP52" s="78"/>
    </row>
    <row r="53" spans="7:94" ht="38.75" customHeight="1" thickBot="1" x14ac:dyDescent="0.3">
      <c r="G53" s="1002" t="s">
        <v>245</v>
      </c>
      <c r="H53" s="1007" t="s">
        <v>252</v>
      </c>
      <c r="J53" s="972" t="s">
        <v>244</v>
      </c>
      <c r="K53" s="961"/>
      <c r="L53" s="972" t="s">
        <v>242</v>
      </c>
      <c r="M53" s="1724"/>
      <c r="O53" s="995"/>
      <c r="P53" s="126"/>
      <c r="Q53" s="126"/>
      <c r="R53" s="126"/>
      <c r="S53" s="126"/>
      <c r="T53" s="126"/>
      <c r="U53" s="126"/>
      <c r="AP53" s="76"/>
      <c r="AQ53" s="85"/>
      <c r="AR53" s="85"/>
      <c r="AS53" s="85"/>
      <c r="AT53" s="85"/>
      <c r="AY53" s="182" t="b">
        <f>AND(BN54&gt;0,CL54&gt;0)</f>
        <v>1</v>
      </c>
      <c r="AZ53" s="952" t="str">
        <f>IF(AY53=TRUE,"","negative force at the motor")</f>
        <v/>
      </c>
      <c r="BA53" s="82" t="s">
        <v>128</v>
      </c>
      <c r="BB53" s="742" t="s">
        <v>27</v>
      </c>
      <c r="BC53" s="1833"/>
      <c r="BD53" s="1834"/>
      <c r="BE53" s="1834"/>
      <c r="BF53" s="1834"/>
      <c r="BG53" s="1834"/>
      <c r="BH53" s="1834"/>
      <c r="BI53" s="1834"/>
      <c r="BJ53" s="1834"/>
      <c r="BK53" s="1834"/>
      <c r="BL53" s="1834"/>
      <c r="BM53" s="1834"/>
      <c r="BN53" s="772" t="s">
        <v>28</v>
      </c>
      <c r="BO53" s="774"/>
      <c r="BP53" s="774"/>
      <c r="BQ53" s="774"/>
      <c r="BR53" s="774"/>
      <c r="BS53" s="774"/>
      <c r="BT53" s="774"/>
      <c r="BU53" s="774"/>
      <c r="BV53" s="774"/>
      <c r="BW53" s="774"/>
      <c r="BX53" s="774"/>
      <c r="BY53" s="774"/>
      <c r="BZ53" s="888"/>
      <c r="CA53" s="765"/>
      <c r="CB53" s="765"/>
      <c r="CC53" s="765"/>
      <c r="CD53" s="765"/>
      <c r="CE53" s="889"/>
      <c r="CF53" s="889"/>
      <c r="CG53" s="888"/>
      <c r="CH53" s="888"/>
      <c r="CI53" s="888"/>
      <c r="CJ53" s="888"/>
      <c r="CK53" s="888"/>
      <c r="CL53" s="765"/>
      <c r="CM53" s="766" t="s">
        <v>29</v>
      </c>
      <c r="CN53" s="90"/>
      <c r="CO53" s="78"/>
      <c r="CP53" s="78"/>
    </row>
    <row r="54" spans="7:94" ht="44" thickBot="1" x14ac:dyDescent="0.3">
      <c r="G54" s="994" t="s">
        <v>243</v>
      </c>
      <c r="H54" s="956"/>
      <c r="J54" s="963">
        <f>+((H6-D3)/H6)*BC49</f>
        <v>69.346093862430649</v>
      </c>
      <c r="K54" s="963"/>
      <c r="L54" s="963">
        <f>+(D3/H6)*BC49</f>
        <v>68.653906137569365</v>
      </c>
      <c r="M54" s="961" t="s">
        <v>223</v>
      </c>
      <c r="O54" s="995"/>
      <c r="AA54" s="306"/>
      <c r="AP54" s="76"/>
      <c r="AX54" s="968">
        <v>2</v>
      </c>
      <c r="AY54" s="182" t="b">
        <f>AND(BA54&gt;=10,$AN$142&gt;=10,$AO$142&gt;=10)</f>
        <v>1</v>
      </c>
      <c r="AZ54" s="84" t="str">
        <f>IF(AY54=TRUE,"O K","OVERLOAD")</f>
        <v>O K</v>
      </c>
      <c r="BA54" s="1096">
        <f>+MIN(J13:L14)</f>
        <v>80.358549753587099</v>
      </c>
      <c r="BB54" s="743" t="s">
        <v>126</v>
      </c>
      <c r="BC54" s="1835"/>
      <c r="BD54" s="1836"/>
      <c r="BE54" s="1836"/>
      <c r="BF54" s="1836"/>
      <c r="BG54" s="1836"/>
      <c r="BH54" s="1836"/>
      <c r="BI54" s="1836"/>
      <c r="BJ54" s="1836"/>
      <c r="BK54" s="1836"/>
      <c r="BL54" s="1836"/>
      <c r="BM54" s="1836"/>
      <c r="BN54" s="1840">
        <f>((D4-D3)/D4)*C7</f>
        <v>99.55381256296117</v>
      </c>
      <c r="BO54" s="1841"/>
      <c r="BP54" s="890"/>
      <c r="BQ54" s="890"/>
      <c r="BR54" s="890"/>
      <c r="BS54" s="890"/>
      <c r="BT54" s="890"/>
      <c r="BU54" s="890"/>
      <c r="BV54" s="890"/>
      <c r="BW54" s="890"/>
      <c r="BX54" s="890"/>
      <c r="BY54" s="890"/>
      <c r="BZ54" s="891"/>
      <c r="CA54" s="892"/>
      <c r="CB54" s="892"/>
      <c r="CC54" s="892"/>
      <c r="CD54" s="892"/>
      <c r="CE54" s="893"/>
      <c r="CF54" s="893"/>
      <c r="CG54" s="883"/>
      <c r="CH54" s="883"/>
      <c r="CI54" s="883"/>
      <c r="CJ54" s="883"/>
      <c r="CK54" s="883"/>
      <c r="CL54" s="1797">
        <f>+(D3/D4)*C7</f>
        <v>38.446187437038844</v>
      </c>
      <c r="CM54" s="1798"/>
      <c r="CN54" s="92"/>
      <c r="CO54" s="78"/>
      <c r="CP54" s="78"/>
    </row>
    <row r="55" spans="7:94" ht="12" customHeight="1" thickBot="1" x14ac:dyDescent="0.3">
      <c r="G55" s="1000"/>
      <c r="H55" s="63"/>
      <c r="J55" s="965">
        <f>ABS($H$1/J54)</f>
        <v>259.56761221055291</v>
      </c>
      <c r="K55" s="965"/>
      <c r="L55" s="965">
        <f>ABS($H$1/L54)</f>
        <v>262.18464487557964</v>
      </c>
      <c r="M55" s="967" t="s">
        <v>222</v>
      </c>
      <c r="O55" s="995"/>
      <c r="Y55" s="322"/>
      <c r="Z55" s="1839"/>
      <c r="AA55" s="1839"/>
      <c r="AP55" s="76"/>
      <c r="AZ55" s="86"/>
      <c r="BA55" s="18"/>
      <c r="BB55" s="93"/>
      <c r="BC55" s="93"/>
      <c r="BD55" s="93"/>
      <c r="BE55" s="93"/>
      <c r="BF55" s="93"/>
      <c r="BG55" s="93"/>
      <c r="BH55" s="93"/>
      <c r="BI55" s="93"/>
      <c r="BJ55" s="93"/>
      <c r="BK55" s="94"/>
      <c r="BL55" s="94"/>
      <c r="BM55" s="89"/>
      <c r="BN55" s="89"/>
      <c r="BO55" s="89"/>
      <c r="BP55" s="89"/>
      <c r="BQ55" s="89"/>
      <c r="BR55" s="89"/>
      <c r="BS55" s="89"/>
      <c r="BT55" s="89"/>
      <c r="BU55" s="89"/>
      <c r="BV55" s="89"/>
      <c r="BW55" s="89"/>
      <c r="BX55" s="89"/>
      <c r="BY55" s="89"/>
      <c r="BZ55" s="37"/>
      <c r="CA55" s="95"/>
      <c r="CB55" s="95"/>
      <c r="CC55" s="95"/>
      <c r="CD55" s="95"/>
      <c r="CE55" s="92"/>
      <c r="CF55" s="92"/>
      <c r="CG55" s="92"/>
      <c r="CH55" s="92"/>
      <c r="CI55" s="92"/>
      <c r="CJ55" s="92"/>
      <c r="CK55" s="92"/>
      <c r="CL55" s="92"/>
      <c r="CM55" s="92"/>
      <c r="CN55" s="92"/>
      <c r="CO55" s="78"/>
      <c r="CP55" s="78"/>
    </row>
    <row r="56" spans="7:94" ht="38.75" customHeight="1" thickBot="1" x14ac:dyDescent="0.25">
      <c r="G56" s="1000"/>
      <c r="H56" s="63"/>
      <c r="I56" s="74"/>
      <c r="J56" s="1733">
        <f>ABS($D$16/BC49)*2</f>
        <v>115.94202898550725</v>
      </c>
      <c r="K56" s="1733"/>
      <c r="L56" s="1733"/>
      <c r="M56" s="1734" t="s">
        <v>350</v>
      </c>
      <c r="N56" s="1730" t="s">
        <v>352</v>
      </c>
      <c r="O56" s="995"/>
      <c r="P56" s="311"/>
      <c r="Q56" s="311"/>
      <c r="R56" s="311"/>
      <c r="S56" s="311"/>
      <c r="T56" s="311"/>
      <c r="U56" s="311"/>
      <c r="V56" s="311"/>
      <c r="W56" s="311"/>
      <c r="X56" s="311"/>
      <c r="Y56" s="323"/>
      <c r="Z56" s="323"/>
      <c r="AA56" s="324"/>
      <c r="AP56" s="76"/>
      <c r="AY56" s="182" t="b">
        <f>AND(BN57&gt;0,CC57&gt;0)</f>
        <v>1</v>
      </c>
      <c r="AZ56" s="952" t="str">
        <f>IF(AY56=TRUE,"","negative force at the motor")</f>
        <v/>
      </c>
      <c r="BA56" s="1095" t="s">
        <v>128</v>
      </c>
      <c r="BB56" s="744" t="s">
        <v>27</v>
      </c>
      <c r="BC56" s="1822"/>
      <c r="BD56" s="1823"/>
      <c r="BE56" s="1823"/>
      <c r="BF56" s="1823"/>
      <c r="BG56" s="1823"/>
      <c r="BH56" s="1823"/>
      <c r="BI56" s="1823"/>
      <c r="BJ56" s="1823"/>
      <c r="BK56" s="1823"/>
      <c r="BL56" s="1823"/>
      <c r="BM56" s="1823"/>
      <c r="BN56" s="894" t="s">
        <v>28</v>
      </c>
      <c r="BO56" s="895"/>
      <c r="BP56" s="895"/>
      <c r="BQ56" s="895"/>
      <c r="BR56" s="895"/>
      <c r="BS56" s="895"/>
      <c r="BT56" s="895"/>
      <c r="BU56" s="896"/>
      <c r="BV56" s="895"/>
      <c r="BW56" s="897"/>
      <c r="BX56" s="897"/>
      <c r="BY56" s="895"/>
      <c r="BZ56" s="895"/>
      <c r="CA56" s="895"/>
      <c r="CB56" s="895"/>
      <c r="CC56" s="895"/>
      <c r="CD56" s="898" t="s">
        <v>29</v>
      </c>
      <c r="CE56" s="1801"/>
      <c r="CF56" s="1801"/>
      <c r="CG56" s="1801"/>
      <c r="CH56" s="1801"/>
      <c r="CI56" s="1801"/>
      <c r="CJ56" s="1801"/>
      <c r="CK56" s="1801"/>
      <c r="CL56" s="1801"/>
      <c r="CM56" s="1802"/>
      <c r="CN56" s="89"/>
      <c r="CO56" s="78"/>
      <c r="CP56" s="78"/>
    </row>
    <row r="57" spans="7:94" ht="31" thickBot="1" x14ac:dyDescent="0.3">
      <c r="G57" s="998"/>
      <c r="O57" s="995"/>
      <c r="AP57" s="76"/>
      <c r="AX57" s="968">
        <v>3</v>
      </c>
      <c r="AY57" s="182" t="b">
        <f>AND(BA57&gt;=10,$AN$142&gt;=10,$AO$142&gt;=10)</f>
        <v>1</v>
      </c>
      <c r="AZ57" s="84" t="str">
        <f>IF(AY57=TRUE,"O K","OVERLOAD")</f>
        <v>O K</v>
      </c>
      <c r="BA57" s="983">
        <f>+$D$16/(MAX(BN57,CC57))</f>
        <v>102.6590857383615</v>
      </c>
      <c r="BB57" s="745" t="s">
        <v>123</v>
      </c>
      <c r="BC57" s="1824"/>
      <c r="BD57" s="1825"/>
      <c r="BE57" s="1825"/>
      <c r="BF57" s="1825"/>
      <c r="BG57" s="1825"/>
      <c r="BH57" s="1825"/>
      <c r="BI57" s="1825"/>
      <c r="BJ57" s="1825"/>
      <c r="BK57" s="1825"/>
      <c r="BL57" s="1825"/>
      <c r="BM57" s="1825"/>
      <c r="BN57" s="1807">
        <f>+((D2-D3)/D2)*C7</f>
        <v>77.927832129626808</v>
      </c>
      <c r="BO57" s="1808"/>
      <c r="BP57" s="899"/>
      <c r="BQ57" s="899"/>
      <c r="BR57" s="899"/>
      <c r="BS57" s="899"/>
      <c r="BT57" s="899"/>
      <c r="BU57" s="900"/>
      <c r="BV57" s="899"/>
      <c r="BW57" s="901"/>
      <c r="BX57" s="901"/>
      <c r="BY57" s="902"/>
      <c r="BZ57" s="902"/>
      <c r="CA57" s="902"/>
      <c r="CB57" s="902"/>
      <c r="CC57" s="1795">
        <f>+(D3/D2)*C7</f>
        <v>60.072167870373192</v>
      </c>
      <c r="CD57" s="1796"/>
      <c r="CE57" s="1803"/>
      <c r="CF57" s="1803"/>
      <c r="CG57" s="1803"/>
      <c r="CH57" s="1803"/>
      <c r="CI57" s="1803"/>
      <c r="CJ57" s="1803"/>
      <c r="CK57" s="1803"/>
      <c r="CL57" s="1803"/>
      <c r="CM57" s="1804"/>
      <c r="CN57" s="89"/>
      <c r="CO57" s="78"/>
      <c r="CP57" s="78"/>
    </row>
    <row r="58" spans="7:94" ht="23" hidden="1" x14ac:dyDescent="0.25">
      <c r="G58" s="998"/>
      <c r="O58" s="995"/>
      <c r="AP58" s="76"/>
      <c r="AZ58" s="86"/>
      <c r="BA58" s="18"/>
      <c r="BB58" s="93"/>
      <c r="BC58" s="93"/>
      <c r="BD58" s="93"/>
      <c r="BE58" s="93"/>
      <c r="BF58" s="93"/>
      <c r="BG58" s="93"/>
      <c r="BH58" s="93"/>
      <c r="BI58" s="93"/>
      <c r="BJ58" s="93"/>
      <c r="BK58" s="94"/>
      <c r="BL58" s="94"/>
      <c r="BM58" s="89"/>
      <c r="BN58" s="89"/>
      <c r="BO58" s="89"/>
      <c r="BP58" s="89"/>
      <c r="BQ58" s="89"/>
      <c r="BR58" s="89"/>
      <c r="BS58" s="89"/>
      <c r="BT58" s="89"/>
      <c r="BU58" s="89"/>
      <c r="BV58" s="89"/>
      <c r="BW58" s="93"/>
      <c r="BX58" s="89"/>
      <c r="BY58" s="89"/>
      <c r="BZ58" s="37"/>
      <c r="CA58" s="95"/>
      <c r="CB58" s="95"/>
      <c r="CC58" s="95"/>
      <c r="CD58" s="95"/>
      <c r="CE58" s="92"/>
      <c r="CF58" s="92"/>
      <c r="CG58" s="92"/>
      <c r="CH58" s="92"/>
      <c r="CI58" s="92"/>
      <c r="CJ58" s="92"/>
      <c r="CK58" s="92"/>
      <c r="CL58" s="92"/>
      <c r="CM58" s="92"/>
      <c r="CN58" s="92"/>
      <c r="CO58" s="78"/>
      <c r="CP58" s="78"/>
    </row>
    <row r="59" spans="7:94" hidden="1" x14ac:dyDescent="0.2">
      <c r="G59" s="998"/>
      <c r="O59" s="995"/>
      <c r="AZ59" s="86"/>
    </row>
    <row r="60" spans="7:94" hidden="1" x14ac:dyDescent="0.2">
      <c r="G60" s="998"/>
      <c r="O60" s="995"/>
      <c r="AZ60" s="86"/>
    </row>
    <row r="61" spans="7:94" ht="23" hidden="1" x14ac:dyDescent="0.25">
      <c r="G61" s="998"/>
      <c r="O61" s="995"/>
      <c r="AZ61" s="86"/>
      <c r="BA61" s="17"/>
      <c r="BB61" s="177"/>
      <c r="BC61" s="178"/>
      <c r="BD61" s="178"/>
      <c r="BE61" s="178"/>
      <c r="BF61" s="178"/>
      <c r="BG61" s="178"/>
      <c r="BH61" s="178"/>
      <c r="BI61" s="178"/>
      <c r="BJ61" s="178"/>
      <c r="BK61" s="179"/>
      <c r="BL61" s="179"/>
      <c r="BM61" s="180"/>
      <c r="BN61" s="180"/>
      <c r="BO61" s="180"/>
      <c r="BP61" s="180"/>
      <c r="BQ61" s="180"/>
      <c r="BR61" s="180"/>
      <c r="BS61" s="180"/>
      <c r="BT61" s="180"/>
      <c r="BU61" s="37"/>
      <c r="BV61" s="89"/>
      <c r="BW61" s="181"/>
      <c r="BX61" s="181"/>
      <c r="BY61" s="89"/>
      <c r="BZ61" s="89"/>
      <c r="CA61" s="89"/>
      <c r="CB61" s="89"/>
      <c r="CC61" s="89"/>
      <c r="CD61" s="89"/>
      <c r="CE61" s="89"/>
      <c r="CF61" s="89"/>
      <c r="CG61" s="89"/>
      <c r="CH61" s="89"/>
      <c r="CI61" s="178"/>
      <c r="CJ61" s="178"/>
      <c r="CK61" s="178"/>
      <c r="CL61" s="178"/>
      <c r="CM61" s="178"/>
      <c r="CN61" s="178"/>
      <c r="CO61" s="178"/>
      <c r="CP61" s="178"/>
    </row>
    <row r="62" spans="7:94" ht="24" hidden="1" thickBot="1" x14ac:dyDescent="0.3">
      <c r="G62" s="998"/>
      <c r="O62" s="995"/>
      <c r="AZ62" s="86"/>
      <c r="BA62" s="17"/>
      <c r="BB62" s="177"/>
      <c r="BC62" s="178"/>
      <c r="BD62" s="178"/>
      <c r="BE62" s="178"/>
      <c r="BF62" s="178"/>
      <c r="BG62" s="178"/>
      <c r="BH62" s="178"/>
      <c r="BI62" s="178"/>
      <c r="BJ62" s="178"/>
      <c r="BK62" s="179"/>
      <c r="BL62" s="179"/>
      <c r="BM62" s="180"/>
      <c r="BN62" s="180"/>
      <c r="BO62" s="180"/>
      <c r="BP62" s="180"/>
      <c r="BQ62" s="180"/>
      <c r="BR62" s="180"/>
      <c r="BS62" s="180"/>
      <c r="BT62" s="180"/>
      <c r="BU62" s="37"/>
      <c r="BV62" s="89"/>
      <c r="BW62" s="181"/>
      <c r="BX62" s="181"/>
      <c r="BY62" s="89"/>
      <c r="BZ62" s="89"/>
      <c r="CA62" s="89"/>
      <c r="CB62" s="89"/>
      <c r="CC62" s="89"/>
      <c r="CD62" s="89"/>
      <c r="CE62" s="89"/>
      <c r="CF62" s="89"/>
      <c r="CG62" s="89"/>
      <c r="CH62" s="89"/>
      <c r="CI62" s="178"/>
      <c r="CJ62" s="178"/>
      <c r="CK62" s="178"/>
      <c r="CL62" s="178"/>
      <c r="CM62" s="178"/>
      <c r="CN62" s="178"/>
      <c r="CO62" s="178"/>
      <c r="CP62" s="178"/>
    </row>
    <row r="63" spans="7:94" ht="24" hidden="1" thickBot="1" x14ac:dyDescent="0.3">
      <c r="G63" s="998"/>
      <c r="O63" s="995"/>
      <c r="AZ63" s="86"/>
      <c r="BA63" s="17"/>
      <c r="BB63" s="177"/>
      <c r="BC63" s="178"/>
      <c r="BD63" s="178"/>
      <c r="BE63" s="178"/>
      <c r="BF63" s="178"/>
      <c r="BG63" s="178"/>
      <c r="BH63" s="178"/>
      <c r="BI63" s="178"/>
      <c r="BJ63" s="178"/>
      <c r="BK63" s="179"/>
      <c r="BL63" s="179"/>
      <c r="BM63" s="182">
        <v>16</v>
      </c>
      <c r="BN63" s="180"/>
      <c r="BO63" s="180"/>
      <c r="BP63" s="180"/>
      <c r="BQ63" s="180"/>
      <c r="BR63" s="180"/>
      <c r="BS63" s="180"/>
      <c r="BT63" s="180"/>
      <c r="BU63" s="37"/>
      <c r="BV63" s="89"/>
      <c r="BW63" s="181"/>
      <c r="BX63" s="181"/>
      <c r="BY63" s="89"/>
      <c r="BZ63" s="89"/>
      <c r="CA63" s="89"/>
      <c r="CB63" s="117" t="b">
        <f>IF(CC81=27,15)</f>
        <v>0</v>
      </c>
      <c r="CC63" s="183"/>
      <c r="CD63" s="103" t="b">
        <f>IF(CC81=27,17)</f>
        <v>0</v>
      </c>
      <c r="CE63" s="89"/>
      <c r="CF63" s="89"/>
      <c r="CG63" s="89"/>
      <c r="CH63" s="89"/>
      <c r="CI63" s="178"/>
      <c r="CJ63" s="178"/>
      <c r="CK63" s="178"/>
      <c r="CL63" s="178"/>
      <c r="CM63" s="178"/>
      <c r="CN63" s="178"/>
      <c r="CO63" s="178"/>
      <c r="CP63" s="178"/>
    </row>
    <row r="64" spans="7:94" ht="24" hidden="1" thickBot="1" x14ac:dyDescent="0.3">
      <c r="G64" s="998"/>
      <c r="O64" s="995"/>
      <c r="AZ64" s="86"/>
      <c r="BA64" s="17"/>
      <c r="BB64" s="177"/>
      <c r="BC64" s="178"/>
      <c r="BD64" s="178"/>
      <c r="BE64" s="178"/>
      <c r="BF64" s="178"/>
      <c r="BG64" s="178"/>
      <c r="BH64" s="178"/>
      <c r="BI64" s="178"/>
      <c r="BJ64" s="178"/>
      <c r="BK64" s="179"/>
      <c r="BL64" s="179"/>
      <c r="BM64" s="182">
        <v>15</v>
      </c>
      <c r="BN64" s="180"/>
      <c r="BO64" s="180"/>
      <c r="BP64" s="180"/>
      <c r="BQ64" s="180"/>
      <c r="BR64" s="180"/>
      <c r="BS64" s="180"/>
      <c r="BT64" s="180"/>
      <c r="BU64" s="37"/>
      <c r="BV64" s="89"/>
      <c r="BW64" s="181"/>
      <c r="BX64" s="181"/>
      <c r="BY64" s="89"/>
      <c r="BZ64" s="117" t="b">
        <f>IF(CB81=26,13)</f>
        <v>0</v>
      </c>
      <c r="CA64" s="183"/>
      <c r="CB64" s="183"/>
      <c r="CC64" s="183"/>
      <c r="CD64" s="103" t="b">
        <f>IF(CB81=26,17)</f>
        <v>0</v>
      </c>
      <c r="CE64" s="89"/>
      <c r="CF64" s="89"/>
      <c r="CG64" s="89"/>
      <c r="CH64" s="89"/>
      <c r="CI64" s="178"/>
      <c r="CJ64" s="178"/>
      <c r="CK64" s="178"/>
      <c r="CL64" s="178"/>
      <c r="CM64" s="178"/>
      <c r="CN64" s="178"/>
      <c r="CO64" s="178"/>
      <c r="CP64" s="178"/>
    </row>
    <row r="65" spans="7:100" ht="24" hidden="1" thickBot="1" x14ac:dyDescent="0.3">
      <c r="G65" s="998"/>
      <c r="O65" s="995"/>
      <c r="AZ65" s="86"/>
      <c r="BA65" s="17"/>
      <c r="BB65" s="177"/>
      <c r="BC65" s="178"/>
      <c r="BD65" s="178"/>
      <c r="BE65" s="178"/>
      <c r="BF65" s="178"/>
      <c r="BG65" s="178"/>
      <c r="BH65" s="178"/>
      <c r="BI65" s="178"/>
      <c r="BJ65" s="178"/>
      <c r="BK65" s="179"/>
      <c r="BL65" s="179"/>
      <c r="BM65" s="182">
        <v>14</v>
      </c>
      <c r="BN65" s="180"/>
      <c r="BO65" s="180"/>
      <c r="BP65" s="180"/>
      <c r="BQ65" s="180"/>
      <c r="BR65" s="180"/>
      <c r="BS65" s="180"/>
      <c r="BT65" s="180"/>
      <c r="BU65" s="37"/>
      <c r="BV65" s="89"/>
      <c r="BW65" s="181"/>
      <c r="BX65" s="117" t="b">
        <f>IF(CA81=25,11)</f>
        <v>0</v>
      </c>
      <c r="BY65" s="183"/>
      <c r="BZ65" s="184"/>
      <c r="CA65" s="184"/>
      <c r="CB65" s="184"/>
      <c r="CC65" s="184"/>
      <c r="CD65" s="124" t="b">
        <f>IF(CA81=25,17)</f>
        <v>0</v>
      </c>
      <c r="CE65" s="89"/>
      <c r="CF65" s="89"/>
      <c r="CG65" s="89"/>
      <c r="CH65" s="89"/>
      <c r="CI65" s="178"/>
      <c r="CJ65" s="178"/>
      <c r="CK65" s="178"/>
      <c r="CL65" s="178"/>
      <c r="CM65" s="178"/>
      <c r="CN65" s="178"/>
      <c r="CO65" s="178"/>
      <c r="CP65" s="178"/>
      <c r="CQ65" s="136"/>
      <c r="CR65" s="136"/>
      <c r="CS65" s="136"/>
      <c r="CT65" s="136"/>
      <c r="CU65" s="136"/>
      <c r="CV65" s="136"/>
    </row>
    <row r="66" spans="7:100" ht="21" hidden="1" thickBot="1" x14ac:dyDescent="0.25">
      <c r="G66" s="998"/>
      <c r="O66" s="995"/>
      <c r="AZ66" s="86"/>
      <c r="BA66" s="1091"/>
      <c r="BB66" s="177"/>
      <c r="BC66" s="178"/>
      <c r="BD66" s="178"/>
      <c r="BE66" s="178"/>
      <c r="BF66" s="178"/>
      <c r="BG66" s="178"/>
      <c r="BH66" s="178"/>
      <c r="BI66" s="178"/>
      <c r="BJ66" s="178"/>
      <c r="BM66" s="182">
        <v>13</v>
      </c>
      <c r="BN66" s="178"/>
      <c r="BO66" s="177"/>
      <c r="BP66" s="177"/>
      <c r="BQ66" s="177"/>
      <c r="BR66" s="177"/>
      <c r="BS66" s="177"/>
      <c r="BT66" s="177"/>
      <c r="BU66" s="177"/>
      <c r="BV66" s="117" t="b">
        <f>IF(BZ81=24,9)</f>
        <v>0</v>
      </c>
      <c r="BW66" s="185"/>
      <c r="BX66" s="186"/>
      <c r="BY66" s="122"/>
      <c r="BZ66" s="186"/>
      <c r="CA66" s="122"/>
      <c r="CB66" s="122"/>
      <c r="CC66" s="121"/>
      <c r="CD66" s="124" t="b">
        <f>IF(BZ81=24,17)</f>
        <v>0</v>
      </c>
      <c r="CE66" s="78"/>
      <c r="CF66" s="78"/>
      <c r="CG66" s="78"/>
      <c r="CH66" s="78"/>
      <c r="CI66" s="78"/>
      <c r="CJ66" s="78"/>
      <c r="CK66" s="78"/>
      <c r="CL66" s="78"/>
      <c r="CM66" s="78"/>
      <c r="CN66" s="78"/>
      <c r="CO66" s="78"/>
      <c r="CP66" s="78"/>
      <c r="CQ66" s="136"/>
      <c r="CR66" s="136"/>
      <c r="CS66" s="136"/>
      <c r="CT66" s="136"/>
      <c r="CU66" s="136"/>
      <c r="CV66" s="136"/>
    </row>
    <row r="67" spans="7:100" ht="21" hidden="1" thickBot="1" x14ac:dyDescent="0.25">
      <c r="G67" s="998"/>
      <c r="O67" s="995"/>
      <c r="AZ67" s="86"/>
      <c r="BA67" s="1091"/>
      <c r="BB67" s="177"/>
      <c r="BC67" s="177"/>
      <c r="BD67" s="178"/>
      <c r="BE67" s="177"/>
      <c r="BF67" s="177"/>
      <c r="BG67" s="177"/>
      <c r="BM67" s="182">
        <v>12</v>
      </c>
      <c r="BN67" s="178"/>
      <c r="BO67" s="177"/>
      <c r="BP67" s="177"/>
      <c r="BQ67" s="177"/>
      <c r="BR67" s="177"/>
      <c r="BS67" s="177"/>
      <c r="BT67" s="117" t="b">
        <f>IF(BY81=23,7)</f>
        <v>0</v>
      </c>
      <c r="BU67" s="185"/>
      <c r="BV67" s="185"/>
      <c r="BW67" s="118"/>
      <c r="BX67" s="185"/>
      <c r="BY67" s="185"/>
      <c r="BZ67" s="185"/>
      <c r="CA67" s="118"/>
      <c r="CB67" s="118"/>
      <c r="CC67" s="111"/>
      <c r="CD67" s="103" t="b">
        <f>IF(BY81=23,17)</f>
        <v>0</v>
      </c>
      <c r="CE67" s="78"/>
      <c r="CF67" s="78"/>
      <c r="CG67" s="78"/>
      <c r="CH67" s="78"/>
      <c r="CI67" s="78"/>
      <c r="CJ67" s="78"/>
      <c r="CK67" s="78"/>
      <c r="CL67" s="78"/>
      <c r="CM67" s="78"/>
      <c r="CN67" s="78"/>
      <c r="CO67" s="78"/>
      <c r="CP67" s="78"/>
      <c r="CQ67" s="136"/>
      <c r="CR67" s="136"/>
      <c r="CS67" s="136"/>
      <c r="CT67" s="136"/>
      <c r="CU67" s="136"/>
      <c r="CV67" s="136"/>
    </row>
    <row r="68" spans="7:100" ht="21" hidden="1" thickBot="1" x14ac:dyDescent="0.25">
      <c r="G68" s="998"/>
      <c r="O68" s="995"/>
      <c r="AZ68" s="86"/>
      <c r="BA68" s="1091"/>
      <c r="BB68" s="177"/>
      <c r="BC68" s="177"/>
      <c r="BD68" s="178"/>
      <c r="BE68" s="177"/>
      <c r="BF68" s="177"/>
      <c r="BG68" s="177"/>
      <c r="BM68" s="182">
        <v>11</v>
      </c>
      <c r="BN68" s="178"/>
      <c r="BO68" s="177"/>
      <c r="BP68" s="177"/>
      <c r="BQ68" s="177"/>
      <c r="BR68" s="117" t="b">
        <f>IF(BX81=22,5)</f>
        <v>0</v>
      </c>
      <c r="BS68" s="185"/>
      <c r="BT68" s="185"/>
      <c r="BU68" s="118"/>
      <c r="BV68" s="185"/>
      <c r="BW68" s="118"/>
      <c r="BX68" s="185"/>
      <c r="BY68" s="118"/>
      <c r="BZ68" s="185"/>
      <c r="CA68" s="118"/>
      <c r="CB68" s="118"/>
      <c r="CC68" s="111"/>
      <c r="CD68" s="103" t="b">
        <f>IF(BX81=22,17)</f>
        <v>0</v>
      </c>
      <c r="CE68" s="78"/>
      <c r="CF68" s="78"/>
      <c r="CG68" s="78"/>
      <c r="CH68" s="78"/>
      <c r="CI68" s="78"/>
      <c r="CJ68" s="78"/>
      <c r="CK68" s="78"/>
      <c r="CL68" s="78"/>
      <c r="CM68" s="78"/>
      <c r="CN68" s="78"/>
      <c r="CO68" s="78"/>
      <c r="CP68" s="78"/>
      <c r="CQ68" s="136"/>
      <c r="CR68" s="136"/>
      <c r="CS68" s="136"/>
      <c r="CT68" s="136"/>
      <c r="CU68" s="136"/>
      <c r="CV68" s="136"/>
    </row>
    <row r="69" spans="7:100" ht="21" hidden="1" thickBot="1" x14ac:dyDescent="0.25">
      <c r="G69" s="998"/>
      <c r="O69" s="995"/>
      <c r="AZ69" s="86"/>
      <c r="BA69" s="1091"/>
      <c r="BB69" s="177"/>
      <c r="BC69" s="177"/>
      <c r="BD69" s="178"/>
      <c r="BE69" s="177"/>
      <c r="BF69" s="177"/>
      <c r="BG69" s="177"/>
      <c r="BM69" s="182">
        <v>10</v>
      </c>
      <c r="BN69" s="178"/>
      <c r="BO69" s="177"/>
      <c r="BP69" s="117" t="b">
        <f>IF(BW81=21,3)</f>
        <v>0</v>
      </c>
      <c r="BQ69" s="185"/>
      <c r="BR69" s="185"/>
      <c r="BS69" s="118"/>
      <c r="BT69" s="118"/>
      <c r="BU69" s="118"/>
      <c r="BV69" s="185"/>
      <c r="BW69" s="185"/>
      <c r="BX69" s="185"/>
      <c r="BY69" s="118"/>
      <c r="BZ69" s="185"/>
      <c r="CA69" s="118"/>
      <c r="CB69" s="118"/>
      <c r="CC69" s="111"/>
      <c r="CD69" s="103" t="b">
        <f>IF(BW81=21,17)</f>
        <v>0</v>
      </c>
      <c r="CE69" s="78"/>
      <c r="CF69" s="78"/>
      <c r="CG69" s="78"/>
      <c r="CH69" s="78"/>
      <c r="CI69" s="78"/>
      <c r="CJ69" s="78"/>
      <c r="CK69" s="78"/>
      <c r="CL69" s="78"/>
      <c r="CM69" s="78"/>
      <c r="CN69" s="78"/>
      <c r="CO69" s="78"/>
      <c r="CP69" s="78"/>
      <c r="CQ69" s="136"/>
      <c r="CR69" s="136"/>
      <c r="CS69" s="136"/>
      <c r="CT69" s="136"/>
      <c r="CU69" s="136"/>
      <c r="CV69" s="136"/>
    </row>
    <row r="70" spans="7:100" ht="21" hidden="1" thickBot="1" x14ac:dyDescent="0.25">
      <c r="G70" s="998"/>
      <c r="O70" s="995"/>
      <c r="AZ70" s="86"/>
      <c r="BA70" s="1091"/>
      <c r="BB70" s="177"/>
      <c r="BC70" s="177"/>
      <c r="BD70" s="178"/>
      <c r="BE70" s="177"/>
      <c r="BF70" s="177"/>
      <c r="BG70" s="177"/>
      <c r="BM70" s="182">
        <v>9</v>
      </c>
      <c r="BN70" s="117" t="b">
        <f>IF(BV81=20,1)</f>
        <v>0</v>
      </c>
      <c r="BO70" s="185"/>
      <c r="BP70" s="185"/>
      <c r="BQ70" s="118"/>
      <c r="BR70" s="185"/>
      <c r="BS70" s="185"/>
      <c r="BT70" s="185"/>
      <c r="BU70" s="185"/>
      <c r="BV70" s="185"/>
      <c r="BW70" s="185"/>
      <c r="BX70" s="185"/>
      <c r="BY70" s="185"/>
      <c r="BZ70" s="185"/>
      <c r="CA70" s="118"/>
      <c r="CB70" s="118"/>
      <c r="CC70" s="111"/>
      <c r="CD70" s="103" t="b">
        <f>IF(BV81=20,17)</f>
        <v>0</v>
      </c>
      <c r="CE70" s="78"/>
      <c r="CF70" s="78"/>
      <c r="CG70" s="78"/>
      <c r="CH70" s="78"/>
      <c r="CI70" s="78"/>
      <c r="CJ70" s="78"/>
      <c r="CK70" s="78"/>
      <c r="CL70" s="78"/>
      <c r="CM70" s="78"/>
      <c r="CN70" s="78"/>
      <c r="CO70" s="78"/>
      <c r="CP70" s="78"/>
      <c r="CQ70" s="136"/>
      <c r="CR70" s="136"/>
      <c r="CS70" s="136"/>
      <c r="CT70" s="136"/>
      <c r="CU70" s="136"/>
      <c r="CV70" s="136"/>
    </row>
    <row r="71" spans="7:100" ht="21" hidden="1" thickBot="1" x14ac:dyDescent="0.25">
      <c r="G71" s="998"/>
      <c r="O71" s="995"/>
      <c r="AZ71" s="86"/>
      <c r="BA71" s="1091"/>
      <c r="BB71" s="177"/>
      <c r="BC71" s="177"/>
      <c r="BD71" s="178"/>
      <c r="BE71" s="177"/>
      <c r="BF71" s="177"/>
      <c r="BG71" s="177"/>
      <c r="BM71" s="182">
        <v>8</v>
      </c>
      <c r="BN71" s="120">
        <f>IF(BU81=19,1)</f>
        <v>1</v>
      </c>
      <c r="BO71" s="122"/>
      <c r="BP71" s="186"/>
      <c r="BQ71" s="186"/>
      <c r="BR71" s="186"/>
      <c r="BS71" s="186"/>
      <c r="BT71" s="186"/>
      <c r="BU71" s="186"/>
      <c r="BV71" s="186"/>
      <c r="BW71" s="186"/>
      <c r="BX71" s="186"/>
      <c r="BY71" s="186"/>
      <c r="BZ71" s="186"/>
      <c r="CA71" s="122"/>
      <c r="CB71" s="124">
        <f>IF(BU81=19,15)</f>
        <v>15</v>
      </c>
      <c r="CC71" s="78"/>
      <c r="CD71" s="78"/>
      <c r="CE71" s="78"/>
      <c r="CF71" s="78"/>
      <c r="CG71" s="78"/>
      <c r="CH71" s="78"/>
      <c r="CI71" s="78"/>
      <c r="CJ71" s="78"/>
      <c r="CK71" s="78"/>
      <c r="CL71" s="78"/>
      <c r="CM71" s="78"/>
      <c r="CN71" s="78"/>
      <c r="CO71" s="78"/>
      <c r="CP71" s="78"/>
      <c r="CQ71" s="136"/>
      <c r="CR71" s="136"/>
      <c r="CS71" s="136"/>
      <c r="CT71" s="136"/>
      <c r="CU71" s="136"/>
      <c r="CV71" s="136"/>
    </row>
    <row r="72" spans="7:100" ht="21" hidden="1" thickBot="1" x14ac:dyDescent="0.25">
      <c r="G72" s="998"/>
      <c r="O72" s="995"/>
      <c r="AZ72" s="86"/>
      <c r="BA72" s="1091"/>
      <c r="BB72" s="177"/>
      <c r="BC72" s="177"/>
      <c r="BD72" s="178"/>
      <c r="BE72" s="177"/>
      <c r="BF72" s="177"/>
      <c r="BG72" s="177"/>
      <c r="BM72" s="182">
        <v>7</v>
      </c>
      <c r="BN72" s="120" t="b">
        <f>IF(BT81=18,1)</f>
        <v>0</v>
      </c>
      <c r="BO72" s="186"/>
      <c r="BP72" s="186"/>
      <c r="BQ72" s="186"/>
      <c r="BR72" s="186"/>
      <c r="BS72" s="186"/>
      <c r="BT72" s="186"/>
      <c r="BU72" s="186"/>
      <c r="BV72" s="186"/>
      <c r="BW72" s="186"/>
      <c r="BX72" s="186"/>
      <c r="BY72" s="186"/>
      <c r="BZ72" s="124" t="b">
        <f>IF(BT81=18,13)</f>
        <v>0</v>
      </c>
      <c r="CA72" s="178"/>
      <c r="CC72" s="78"/>
      <c r="CD72" s="78"/>
      <c r="CE72" s="78"/>
      <c r="CF72" s="78"/>
      <c r="CG72" s="78"/>
      <c r="CH72" s="78"/>
      <c r="CI72" s="78"/>
      <c r="CJ72" s="78"/>
      <c r="CK72" s="78"/>
      <c r="CL72" s="78"/>
      <c r="CM72" s="78"/>
      <c r="CN72" s="78"/>
      <c r="CO72" s="78"/>
      <c r="CP72" s="78"/>
      <c r="CQ72" s="136"/>
      <c r="CR72" s="136"/>
      <c r="CS72" s="136"/>
      <c r="CT72" s="136"/>
      <c r="CU72" s="136"/>
      <c r="CV72" s="136"/>
    </row>
    <row r="73" spans="7:100" ht="21" hidden="1" thickBot="1" x14ac:dyDescent="0.25">
      <c r="G73" s="998"/>
      <c r="O73" s="995"/>
      <c r="AZ73" s="86"/>
      <c r="BA73" s="1091"/>
      <c r="BB73" s="177"/>
      <c r="BC73" s="177"/>
      <c r="BD73" s="178"/>
      <c r="BE73" s="177"/>
      <c r="BF73" s="177"/>
      <c r="BG73" s="177"/>
      <c r="BM73" s="182">
        <v>6</v>
      </c>
      <c r="BN73" s="120" t="b">
        <f>IF(BS81=17,1)</f>
        <v>0</v>
      </c>
      <c r="BO73" s="186"/>
      <c r="BP73" s="186"/>
      <c r="BQ73" s="186"/>
      <c r="BR73" s="186"/>
      <c r="BS73" s="186"/>
      <c r="BT73" s="186"/>
      <c r="BU73" s="186"/>
      <c r="BV73" s="186"/>
      <c r="BW73" s="186"/>
      <c r="BX73" s="124" t="b">
        <f>IF(BS81=17,11)</f>
        <v>0</v>
      </c>
      <c r="BY73" s="177"/>
      <c r="BZ73" s="177"/>
      <c r="CA73" s="178"/>
      <c r="CC73" s="78"/>
      <c r="CD73" s="78"/>
      <c r="CE73" s="78"/>
      <c r="CF73" s="78"/>
      <c r="CG73" s="78"/>
      <c r="CH73" s="78"/>
      <c r="CI73" s="78"/>
      <c r="CJ73" s="78"/>
      <c r="CK73" s="78"/>
      <c r="CL73" s="78"/>
      <c r="CM73" s="78"/>
      <c r="CN73" s="78"/>
      <c r="CO73" s="78"/>
      <c r="CP73" s="78"/>
      <c r="CQ73" s="136"/>
      <c r="CR73" s="136"/>
      <c r="CS73" s="136"/>
      <c r="CT73" s="136"/>
      <c r="CU73" s="136"/>
      <c r="CV73" s="136"/>
    </row>
    <row r="74" spans="7:100" ht="21" hidden="1" thickBot="1" x14ac:dyDescent="0.25">
      <c r="G74" s="998"/>
      <c r="O74" s="995"/>
      <c r="AZ74" s="86"/>
      <c r="BA74" s="1091"/>
      <c r="BB74" s="177"/>
      <c r="BC74" s="177"/>
      <c r="BD74" s="178"/>
      <c r="BE74" s="177"/>
      <c r="BF74" s="177"/>
      <c r="BG74" s="177"/>
      <c r="BM74" s="182">
        <v>5</v>
      </c>
      <c r="BN74" s="117" t="b">
        <f>IF(BR81=16,1)</f>
        <v>0</v>
      </c>
      <c r="BO74" s="185"/>
      <c r="BP74" s="185"/>
      <c r="BQ74" s="118"/>
      <c r="BR74" s="185"/>
      <c r="BS74" s="118"/>
      <c r="BT74" s="185"/>
      <c r="BU74" s="185"/>
      <c r="BV74" s="103" t="b">
        <f>IF(BR81=16,9)</f>
        <v>0</v>
      </c>
      <c r="BW74" s="177"/>
      <c r="BX74" s="177"/>
      <c r="BY74" s="177"/>
      <c r="BZ74" s="177"/>
      <c r="CA74" s="178"/>
      <c r="CC74" s="78"/>
      <c r="CD74" s="78"/>
      <c r="CE74" s="78"/>
      <c r="CF74" s="78"/>
      <c r="CG74" s="78"/>
      <c r="CH74" s="78"/>
      <c r="CI74" s="78"/>
      <c r="CJ74" s="78"/>
      <c r="CK74" s="78"/>
      <c r="CL74" s="78"/>
      <c r="CM74" s="78"/>
      <c r="CN74" s="78"/>
      <c r="CO74" s="78"/>
      <c r="CP74" s="78"/>
      <c r="CQ74" s="136"/>
      <c r="CR74" s="136"/>
      <c r="CS74" s="136"/>
      <c r="CT74" s="136"/>
      <c r="CU74" s="136"/>
      <c r="CV74" s="136"/>
    </row>
    <row r="75" spans="7:100" ht="21" hidden="1" thickBot="1" x14ac:dyDescent="0.25">
      <c r="G75" s="998"/>
      <c r="O75" s="995"/>
      <c r="AZ75" s="86"/>
      <c r="BA75" s="1091"/>
      <c r="BB75" s="177"/>
      <c r="BC75" s="177"/>
      <c r="BD75" s="178"/>
      <c r="BE75" s="177"/>
      <c r="BF75" s="177"/>
      <c r="BG75" s="177"/>
      <c r="BM75" s="182">
        <v>4</v>
      </c>
      <c r="BN75" s="117" t="b">
        <f>IF(BQ81=15,1)</f>
        <v>0</v>
      </c>
      <c r="BO75" s="118"/>
      <c r="BP75" s="118"/>
      <c r="BQ75" s="185"/>
      <c r="BR75" s="118"/>
      <c r="BS75" s="118"/>
      <c r="BT75" s="103" t="b">
        <f>IF(BQ81=15,7)</f>
        <v>0</v>
      </c>
      <c r="BU75" s="177"/>
      <c r="BV75" s="177"/>
      <c r="BW75" s="177"/>
      <c r="BX75" s="177"/>
      <c r="BY75" s="177"/>
      <c r="BZ75" s="177"/>
      <c r="CA75" s="178"/>
      <c r="CC75" s="78"/>
      <c r="CD75" s="78"/>
      <c r="CE75" s="78"/>
      <c r="CF75" s="78"/>
      <c r="CG75" s="78"/>
      <c r="CH75" s="78"/>
      <c r="CI75" s="78"/>
      <c r="CJ75" s="78"/>
      <c r="CK75" s="78"/>
      <c r="CL75" s="78"/>
      <c r="CM75" s="78"/>
      <c r="CN75" s="78"/>
      <c r="CO75" s="78"/>
      <c r="CP75" s="78"/>
      <c r="CQ75" s="136"/>
      <c r="CR75" s="136"/>
      <c r="CS75" s="136"/>
      <c r="CT75" s="136"/>
      <c r="CU75" s="136"/>
      <c r="CV75" s="136"/>
    </row>
    <row r="76" spans="7:100" ht="21" hidden="1" thickBot="1" x14ac:dyDescent="0.25">
      <c r="G76" s="998"/>
      <c r="O76" s="995"/>
      <c r="AZ76" s="86"/>
      <c r="BA76" s="1091"/>
      <c r="BB76" s="177"/>
      <c r="BC76" s="177"/>
      <c r="BD76" s="178"/>
      <c r="BE76" s="177"/>
      <c r="BF76" s="177"/>
      <c r="BG76" s="177"/>
      <c r="BM76" s="182">
        <v>3</v>
      </c>
      <c r="BN76" s="120" t="b">
        <f>IF(BP81=14,1)</f>
        <v>0</v>
      </c>
      <c r="BO76" s="186"/>
      <c r="BP76" s="186"/>
      <c r="BQ76" s="186"/>
      <c r="BR76" s="124" t="b">
        <f>IF(BP81=14,5)</f>
        <v>0</v>
      </c>
      <c r="BS76" s="177"/>
      <c r="BT76" s="177"/>
      <c r="BU76" s="177"/>
      <c r="BV76" s="177"/>
      <c r="BW76" s="177"/>
      <c r="BX76" s="177"/>
      <c r="BY76" s="177"/>
      <c r="BZ76" s="177"/>
      <c r="CA76" s="178"/>
      <c r="CC76" s="78"/>
      <c r="CD76" s="78"/>
      <c r="CE76" s="78"/>
      <c r="CF76" s="78"/>
      <c r="CG76" s="78"/>
      <c r="CH76" s="78"/>
      <c r="CI76" s="78"/>
      <c r="CJ76" s="78"/>
      <c r="CK76" s="78"/>
      <c r="CL76" s="78"/>
      <c r="CM76" s="78"/>
      <c r="CN76" s="78"/>
      <c r="CO76" s="78"/>
      <c r="CP76" s="78"/>
      <c r="CQ76" s="136"/>
      <c r="CR76" s="136"/>
      <c r="CS76" s="136"/>
      <c r="CT76" s="136"/>
      <c r="CU76" s="136"/>
      <c r="CV76" s="136"/>
    </row>
    <row r="77" spans="7:100" ht="21" hidden="1" thickBot="1" x14ac:dyDescent="0.25">
      <c r="G77" s="998"/>
      <c r="O77" s="995"/>
      <c r="AZ77" s="86"/>
      <c r="BA77" s="1091"/>
      <c r="BB77" s="177"/>
      <c r="BC77" s="177"/>
      <c r="BD77" s="178"/>
      <c r="BE77" s="177"/>
      <c r="BF77" s="177"/>
      <c r="BG77" s="177"/>
      <c r="BM77" s="182">
        <v>2</v>
      </c>
      <c r="BN77" s="120" t="b">
        <f>IF(BO81=13,1)</f>
        <v>0</v>
      </c>
      <c r="BO77" s="186"/>
      <c r="BP77" s="124" t="b">
        <f>IF(BO81=13,3)</f>
        <v>0</v>
      </c>
      <c r="BQ77" s="177"/>
      <c r="BR77" s="177"/>
      <c r="BS77" s="177"/>
      <c r="BT77" s="177"/>
      <c r="BU77" s="177"/>
      <c r="BV77" s="177"/>
      <c r="BW77" s="177"/>
      <c r="BX77" s="177"/>
      <c r="BY77" s="177"/>
      <c r="BZ77" s="177"/>
      <c r="CA77" s="178"/>
      <c r="CC77" s="78"/>
      <c r="CD77" s="78"/>
      <c r="CE77" s="78"/>
      <c r="CF77" s="78"/>
      <c r="CG77" s="78"/>
      <c r="CH77" s="78"/>
      <c r="CI77" s="78"/>
      <c r="CJ77" s="78"/>
      <c r="CK77" s="78"/>
      <c r="CL77" s="78"/>
      <c r="CM77" s="78"/>
      <c r="CN77" s="78"/>
      <c r="CO77" s="78"/>
      <c r="CP77" s="78"/>
      <c r="CQ77" s="136"/>
      <c r="CR77" s="136"/>
      <c r="CS77" s="136"/>
      <c r="CT77" s="136"/>
      <c r="CU77" s="136"/>
      <c r="CV77" s="136"/>
    </row>
    <row r="78" spans="7:100" ht="12" customHeight="1" thickBot="1" x14ac:dyDescent="0.25">
      <c r="G78" s="998"/>
      <c r="O78" s="995"/>
      <c r="AZ78" s="86"/>
      <c r="BA78" s="1091"/>
      <c r="BB78" s="177"/>
      <c r="BC78" s="177"/>
      <c r="BD78" s="178"/>
      <c r="BE78" s="177"/>
      <c r="BF78" s="177"/>
      <c r="BG78" s="177"/>
      <c r="BH78" s="76"/>
      <c r="BI78" s="177"/>
      <c r="BM78" s="177"/>
      <c r="BN78" s="177"/>
      <c r="BO78" s="177"/>
      <c r="BP78" s="177"/>
      <c r="BQ78" s="177"/>
      <c r="BR78" s="177"/>
      <c r="BS78" s="177"/>
      <c r="BT78" s="177"/>
      <c r="BU78" s="177"/>
      <c r="BV78" s="177"/>
      <c r="BW78" s="177"/>
      <c r="BX78" s="178"/>
      <c r="BY78" s="107"/>
      <c r="BZ78" s="107"/>
      <c r="CA78" s="107"/>
      <c r="CC78" s="78"/>
      <c r="CD78" s="78"/>
      <c r="CE78" s="78"/>
      <c r="CF78" s="78"/>
      <c r="CG78" s="78"/>
      <c r="CH78" s="78"/>
      <c r="CI78" s="78"/>
      <c r="CJ78" s="78"/>
      <c r="CK78" s="78"/>
      <c r="CL78" s="78"/>
      <c r="CM78" s="78"/>
      <c r="CN78" s="78"/>
      <c r="CO78" s="78"/>
      <c r="CP78" s="78"/>
      <c r="CQ78" s="136"/>
      <c r="CR78" s="136"/>
      <c r="CS78" s="136"/>
      <c r="CT78" s="136"/>
      <c r="CU78" s="136"/>
      <c r="CV78" s="136"/>
    </row>
    <row r="79" spans="7:100" ht="56" customHeight="1" thickBot="1" x14ac:dyDescent="0.3">
      <c r="G79" s="1008"/>
      <c r="O79" s="995"/>
      <c r="AX79" s="136"/>
      <c r="AY79" s="1027"/>
      <c r="AZ79" s="188"/>
      <c r="BA79" s="1095" t="s">
        <v>128</v>
      </c>
      <c r="BB79" s="746" t="s">
        <v>125</v>
      </c>
      <c r="BC79" s="923"/>
      <c r="BD79" s="924"/>
      <c r="BE79" s="924"/>
      <c r="BF79" s="924"/>
      <c r="BG79" s="924"/>
      <c r="BH79" s="924"/>
      <c r="BI79" s="924"/>
      <c r="BJ79" s="924"/>
      <c r="BK79" s="924"/>
      <c r="BL79" s="924"/>
      <c r="BM79" s="924"/>
      <c r="BN79" s="758">
        <f t="shared" ref="BN79:CD79" si="0">SUM(BN63:BN78)</f>
        <v>1</v>
      </c>
      <c r="BO79" s="759">
        <f t="shared" si="0"/>
        <v>0</v>
      </c>
      <c r="BP79" s="759">
        <f t="shared" si="0"/>
        <v>0</v>
      </c>
      <c r="BQ79" s="759">
        <f t="shared" si="0"/>
        <v>0</v>
      </c>
      <c r="BR79" s="759">
        <f t="shared" si="0"/>
        <v>0</v>
      </c>
      <c r="BS79" s="759">
        <f t="shared" si="0"/>
        <v>0</v>
      </c>
      <c r="BT79" s="759">
        <f t="shared" si="0"/>
        <v>0</v>
      </c>
      <c r="BU79" s="759">
        <f t="shared" si="0"/>
        <v>0</v>
      </c>
      <c r="BV79" s="759">
        <f t="shared" si="0"/>
        <v>0</v>
      </c>
      <c r="BW79" s="759">
        <f t="shared" si="0"/>
        <v>0</v>
      </c>
      <c r="BX79" s="759">
        <f t="shared" si="0"/>
        <v>0</v>
      </c>
      <c r="BY79" s="759">
        <f t="shared" si="0"/>
        <v>0</v>
      </c>
      <c r="BZ79" s="759">
        <f t="shared" si="0"/>
        <v>0</v>
      </c>
      <c r="CA79" s="759">
        <f t="shared" si="0"/>
        <v>0</v>
      </c>
      <c r="CB79" s="759">
        <f t="shared" si="0"/>
        <v>15</v>
      </c>
      <c r="CC79" s="759">
        <f t="shared" si="0"/>
        <v>0</v>
      </c>
      <c r="CD79" s="760">
        <f t="shared" si="0"/>
        <v>0</v>
      </c>
      <c r="CE79" s="191"/>
      <c r="CF79" s="191"/>
      <c r="CG79" s="192"/>
      <c r="CH79" s="192"/>
      <c r="CI79" s="192"/>
      <c r="CJ79" s="192"/>
      <c r="CK79" s="192"/>
      <c r="CL79" s="192"/>
      <c r="CM79" s="193"/>
      <c r="CN79" s="89"/>
      <c r="CO79" s="78"/>
      <c r="CP79" s="78"/>
      <c r="CQ79" s="136"/>
      <c r="CR79" s="136"/>
      <c r="CS79" s="136"/>
      <c r="CT79" s="136"/>
      <c r="CU79" s="136"/>
      <c r="CV79" s="136"/>
    </row>
    <row r="80" spans="7:100" ht="45" customHeight="1" thickBot="1" x14ac:dyDescent="0.3">
      <c r="G80" s="998"/>
      <c r="O80" s="995"/>
      <c r="AX80" s="968">
        <v>4</v>
      </c>
      <c r="AY80" s="182" t="b">
        <f>AND(BA80&gt;=10,$AN$142&gt;=10,$AO$142&gt;=10)</f>
        <v>1</v>
      </c>
      <c r="AZ80" s="84" t="str">
        <f>IF(AY80=TRUE,"O K","OVERLOAD")</f>
        <v>O K</v>
      </c>
      <c r="BA80" s="982">
        <f>+$D$16/(BC49/2)</f>
        <v>115.94202898550725</v>
      </c>
      <c r="BB80" s="194"/>
      <c r="BC80" s="107"/>
      <c r="BD80" s="108"/>
      <c r="BE80" s="107"/>
      <c r="BF80" s="107"/>
      <c r="BG80" s="107"/>
      <c r="BH80" s="108"/>
      <c r="BI80" s="107"/>
      <c r="BJ80" s="107"/>
      <c r="BK80" s="107"/>
      <c r="BL80" s="107"/>
      <c r="BM80" s="107"/>
      <c r="BN80" s="107"/>
      <c r="BO80" s="107"/>
      <c r="BP80" s="107"/>
      <c r="BQ80" s="107"/>
      <c r="BR80" s="107"/>
      <c r="BS80" s="107"/>
      <c r="BT80" s="107"/>
      <c r="BU80" s="107"/>
      <c r="BV80" s="107"/>
      <c r="BW80" s="107"/>
      <c r="BX80" s="107"/>
      <c r="BY80" s="107"/>
      <c r="BZ80" s="107"/>
      <c r="CA80" s="107"/>
      <c r="CB80" s="107"/>
      <c r="CC80" s="107"/>
      <c r="CD80" s="107"/>
      <c r="CE80" s="78"/>
      <c r="CF80" s="78"/>
      <c r="CG80" s="78"/>
      <c r="CH80" s="78"/>
      <c r="CI80" s="78"/>
      <c r="CJ80" s="78"/>
      <c r="CK80" s="78"/>
      <c r="CL80" s="78"/>
      <c r="CM80" s="78"/>
      <c r="CN80" s="78"/>
      <c r="CO80" s="78"/>
      <c r="CP80" s="78"/>
      <c r="CQ80" s="136"/>
      <c r="CR80" s="136"/>
      <c r="CS80" s="136"/>
      <c r="CT80" s="136"/>
      <c r="CU80" s="136"/>
      <c r="CV80" s="136"/>
    </row>
    <row r="81" spans="2:100" ht="27.75" hidden="1" customHeight="1" x14ac:dyDescent="0.2">
      <c r="G81" s="998"/>
      <c r="O81" s="995"/>
      <c r="AX81" s="136"/>
      <c r="AY81" s="1027"/>
      <c r="AZ81" s="188"/>
      <c r="BA81" s="1091"/>
      <c r="BB81" s="76"/>
      <c r="BC81" s="195" t="b">
        <f>+AW161</f>
        <v>0</v>
      </c>
      <c r="BD81" s="195" t="b">
        <f>+AW162</f>
        <v>0</v>
      </c>
      <c r="BE81" s="195" t="b">
        <f>+AW163</f>
        <v>0</v>
      </c>
      <c r="BF81" s="195" t="b">
        <f>+AW164</f>
        <v>0</v>
      </c>
      <c r="BG81" s="195" t="b">
        <f>+AW165</f>
        <v>0</v>
      </c>
      <c r="BH81" s="195" t="b">
        <f>+AW166</f>
        <v>0</v>
      </c>
      <c r="BI81" s="195" t="b">
        <f>+AW167</f>
        <v>0</v>
      </c>
      <c r="BJ81" s="195" t="b">
        <f>+AW168</f>
        <v>0</v>
      </c>
      <c r="BK81" s="195" t="b">
        <f>+AW169</f>
        <v>0</v>
      </c>
      <c r="BL81" s="195" t="b">
        <f>+AW170</f>
        <v>0</v>
      </c>
      <c r="BM81" s="195" t="b">
        <f>+AW171</f>
        <v>0</v>
      </c>
      <c r="BN81" s="195" t="b">
        <f>+AW172</f>
        <v>0</v>
      </c>
      <c r="BO81" s="195" t="b">
        <f>+AW173</f>
        <v>0</v>
      </c>
      <c r="BP81" s="195" t="b">
        <f>+AW174</f>
        <v>0</v>
      </c>
      <c r="BQ81" s="195" t="b">
        <f>+AW175</f>
        <v>0</v>
      </c>
      <c r="BR81" s="195" t="b">
        <f>+AW176</f>
        <v>0</v>
      </c>
      <c r="BS81" s="195" t="b">
        <f>+AW177</f>
        <v>0</v>
      </c>
      <c r="BT81" s="195" t="b">
        <f>+AW178</f>
        <v>0</v>
      </c>
      <c r="BU81" s="195">
        <f>+AW179</f>
        <v>19</v>
      </c>
      <c r="BV81" s="195" t="b">
        <f>+AW180</f>
        <v>0</v>
      </c>
      <c r="BW81" s="195" t="b">
        <f>+AW181</f>
        <v>0</v>
      </c>
      <c r="BX81" s="195" t="b">
        <f>+AW182</f>
        <v>0</v>
      </c>
      <c r="BY81" s="195" t="b">
        <f>+AW183</f>
        <v>0</v>
      </c>
      <c r="BZ81" s="195" t="b">
        <f>+AW184</f>
        <v>0</v>
      </c>
      <c r="CA81" s="195" t="b">
        <f>+AW185</f>
        <v>0</v>
      </c>
      <c r="CB81" s="195" t="b">
        <f>+AW186</f>
        <v>0</v>
      </c>
      <c r="CC81" s="195" t="b">
        <f>+AW187</f>
        <v>0</v>
      </c>
      <c r="CD81" s="195" t="b">
        <f>+AW188</f>
        <v>0</v>
      </c>
      <c r="CE81" s="195" t="b">
        <f>+AW189</f>
        <v>0</v>
      </c>
      <c r="CF81" s="195" t="b">
        <f>+AW190</f>
        <v>0</v>
      </c>
      <c r="CG81" s="195" t="b">
        <f>+AW191</f>
        <v>0</v>
      </c>
      <c r="CH81" s="195" t="b">
        <f>+AW192</f>
        <v>0</v>
      </c>
      <c r="CI81" s="195" t="b">
        <f>+AW193</f>
        <v>0</v>
      </c>
      <c r="CJ81" s="195" t="b">
        <f>+AW194</f>
        <v>0</v>
      </c>
      <c r="CK81" s="195" t="b">
        <f>+AW195</f>
        <v>0</v>
      </c>
      <c r="CL81" s="195" t="b">
        <f>+AW196</f>
        <v>0</v>
      </c>
      <c r="CM81" s="195" t="b">
        <f>+AW197</f>
        <v>0</v>
      </c>
      <c r="CN81" s="196"/>
      <c r="CO81" s="78"/>
      <c r="CP81" s="78"/>
      <c r="CQ81" s="136"/>
      <c r="CR81" s="136"/>
      <c r="CS81" s="136"/>
      <c r="CT81" s="136"/>
      <c r="CU81" s="136"/>
      <c r="CV81" s="136"/>
    </row>
    <row r="82" spans="2:100" ht="27.75" hidden="1" customHeight="1" thickBot="1" x14ac:dyDescent="0.25">
      <c r="G82" s="998"/>
      <c r="O82" s="995"/>
      <c r="AX82" s="136"/>
      <c r="AY82" s="1027"/>
      <c r="AZ82" s="188"/>
      <c r="BA82" s="1091"/>
      <c r="BB82" s="78"/>
      <c r="BC82" s="196" t="b">
        <f>+BC81</f>
        <v>0</v>
      </c>
      <c r="BD82" s="196" t="b">
        <f t="shared" ref="BD82:BU82" si="1">+BD81</f>
        <v>0</v>
      </c>
      <c r="BE82" s="196" t="b">
        <f t="shared" si="1"/>
        <v>0</v>
      </c>
      <c r="BF82" s="196" t="b">
        <f t="shared" si="1"/>
        <v>0</v>
      </c>
      <c r="BG82" s="196" t="b">
        <f t="shared" si="1"/>
        <v>0</v>
      </c>
      <c r="BH82" s="196" t="b">
        <f t="shared" si="1"/>
        <v>0</v>
      </c>
      <c r="BI82" s="196" t="b">
        <f>+BI81</f>
        <v>0</v>
      </c>
      <c r="BJ82" s="196" t="b">
        <f t="shared" si="1"/>
        <v>0</v>
      </c>
      <c r="BK82" s="196" t="b">
        <f t="shared" si="1"/>
        <v>0</v>
      </c>
      <c r="BL82" s="196" t="b">
        <f t="shared" si="1"/>
        <v>0</v>
      </c>
      <c r="BM82" s="196" t="b">
        <f t="shared" si="1"/>
        <v>0</v>
      </c>
      <c r="BN82" s="196" t="b">
        <f>+BN81</f>
        <v>0</v>
      </c>
      <c r="BO82" s="196" t="b">
        <f>+BO81</f>
        <v>0</v>
      </c>
      <c r="BP82" s="196" t="b">
        <f>+BP81</f>
        <v>0</v>
      </c>
      <c r="BQ82" s="196" t="b">
        <f>+BQ81</f>
        <v>0</v>
      </c>
      <c r="BR82" s="196" t="b">
        <f>+BR81</f>
        <v>0</v>
      </c>
      <c r="BS82" s="196" t="b">
        <f t="shared" si="1"/>
        <v>0</v>
      </c>
      <c r="BT82" s="196" t="b">
        <f t="shared" si="1"/>
        <v>0</v>
      </c>
      <c r="BU82" s="196">
        <f t="shared" si="1"/>
        <v>19</v>
      </c>
      <c r="BV82" s="196" t="b">
        <f>+BV81</f>
        <v>0</v>
      </c>
      <c r="BW82" s="196" t="b">
        <f>+BW81</f>
        <v>0</v>
      </c>
      <c r="BX82" s="196" t="b">
        <f t="shared" ref="BX82:CM82" si="2">+BX81</f>
        <v>0</v>
      </c>
      <c r="BY82" s="196" t="b">
        <f t="shared" si="2"/>
        <v>0</v>
      </c>
      <c r="BZ82" s="196" t="b">
        <f t="shared" si="2"/>
        <v>0</v>
      </c>
      <c r="CA82" s="196" t="b">
        <f t="shared" si="2"/>
        <v>0</v>
      </c>
      <c r="CB82" s="196" t="b">
        <f t="shared" si="2"/>
        <v>0</v>
      </c>
      <c r="CC82" s="196" t="b">
        <f t="shared" si="2"/>
        <v>0</v>
      </c>
      <c r="CD82" s="196" t="b">
        <f t="shared" si="2"/>
        <v>0</v>
      </c>
      <c r="CE82" s="196" t="b">
        <f t="shared" si="2"/>
        <v>0</v>
      </c>
      <c r="CF82" s="196" t="b">
        <f t="shared" si="2"/>
        <v>0</v>
      </c>
      <c r="CG82" s="196" t="b">
        <f t="shared" si="2"/>
        <v>0</v>
      </c>
      <c r="CH82" s="196" t="b">
        <f t="shared" si="2"/>
        <v>0</v>
      </c>
      <c r="CI82" s="196" t="b">
        <f t="shared" si="2"/>
        <v>0</v>
      </c>
      <c r="CJ82" s="196" t="b">
        <f t="shared" si="2"/>
        <v>0</v>
      </c>
      <c r="CK82" s="196" t="b">
        <f t="shared" si="2"/>
        <v>0</v>
      </c>
      <c r="CL82" s="196" t="b">
        <f t="shared" si="2"/>
        <v>0</v>
      </c>
      <c r="CM82" s="196" t="b">
        <f t="shared" si="2"/>
        <v>0</v>
      </c>
      <c r="CN82" s="196"/>
      <c r="CO82" s="78"/>
      <c r="CP82" s="78"/>
      <c r="CQ82" s="136"/>
      <c r="CR82" s="136"/>
      <c r="CS82" s="136"/>
      <c r="CT82" s="136"/>
      <c r="CU82" s="136"/>
      <c r="CV82" s="136"/>
    </row>
    <row r="83" spans="2:100" ht="12" customHeight="1" thickBot="1" x14ac:dyDescent="0.25">
      <c r="G83" s="998"/>
      <c r="K83" s="988">
        <v>5</v>
      </c>
      <c r="M83" s="988">
        <v>51</v>
      </c>
      <c r="O83" s="995"/>
      <c r="AX83" s="136"/>
      <c r="AY83" s="1027"/>
      <c r="AZ83" s="188"/>
      <c r="BA83" s="1091"/>
      <c r="BB83" s="78"/>
      <c r="BC83" s="196"/>
      <c r="BD83" s="196"/>
      <c r="BE83" s="196"/>
      <c r="BF83" s="196"/>
      <c r="BG83" s="196"/>
      <c r="BH83" s="196"/>
      <c r="BI83" s="196"/>
      <c r="BJ83" s="196"/>
      <c r="BK83" s="196"/>
      <c r="BL83" s="196"/>
      <c r="BM83" s="196"/>
      <c r="BN83" s="196"/>
      <c r="BO83" s="196"/>
      <c r="BP83" s="196"/>
      <c r="BQ83" s="196"/>
      <c r="BR83" s="196"/>
      <c r="BS83" s="196"/>
      <c r="BT83" s="196"/>
      <c r="BU83" s="196"/>
      <c r="BV83" s="196"/>
      <c r="BW83" s="196"/>
      <c r="BX83" s="196"/>
      <c r="BY83" s="196"/>
      <c r="BZ83" s="196"/>
      <c r="CA83" s="196"/>
      <c r="CB83" s="196"/>
      <c r="CC83" s="196"/>
      <c r="CD83" s="196"/>
      <c r="CE83" s="196"/>
      <c r="CF83" s="196"/>
      <c r="CG83" s="196"/>
      <c r="CH83" s="196"/>
      <c r="CI83" s="196"/>
      <c r="CJ83" s="196"/>
      <c r="CK83" s="196"/>
      <c r="CL83" s="196"/>
      <c r="CM83" s="196"/>
      <c r="CN83" s="196"/>
      <c r="CO83" s="78"/>
      <c r="CP83" s="78"/>
      <c r="CQ83" s="136"/>
      <c r="CR83" s="136"/>
      <c r="CS83" s="136"/>
      <c r="CT83" s="136"/>
      <c r="CU83" s="136"/>
      <c r="CV83" s="136"/>
    </row>
    <row r="84" spans="2:100" ht="56" customHeight="1" thickBot="1" x14ac:dyDescent="0.3">
      <c r="G84" s="998"/>
      <c r="K84" s="969" t="s">
        <v>236</v>
      </c>
      <c r="L84" s="969" t="s">
        <v>238</v>
      </c>
      <c r="M84" s="969" t="s">
        <v>237</v>
      </c>
      <c r="O84" s="995"/>
      <c r="AX84" s="136"/>
      <c r="AY84" s="1027"/>
      <c r="AZ84" s="188"/>
      <c r="BA84" s="1095" t="s">
        <v>128</v>
      </c>
      <c r="BB84" s="197" t="s">
        <v>129</v>
      </c>
      <c r="BC84" s="748" t="str">
        <f>IF(BC82=1,17,"")</f>
        <v/>
      </c>
      <c r="BD84" s="749" t="str">
        <f>IF(BD82=2,16,"")</f>
        <v/>
      </c>
      <c r="BE84" s="749" t="str">
        <f>IF(BE82=3,15,"")</f>
        <v/>
      </c>
      <c r="BF84" s="749" t="str">
        <f>IF(BF82=4,14,"")</f>
        <v/>
      </c>
      <c r="BG84" s="749" t="str">
        <f>IF(BG82=5,13,"")</f>
        <v/>
      </c>
      <c r="BH84" s="749" t="str">
        <f>IF(BH82=6,12,"")</f>
        <v/>
      </c>
      <c r="BI84" s="749" t="str">
        <f>IF(BI82=7,11,"")</f>
        <v/>
      </c>
      <c r="BJ84" s="749" t="str">
        <f>IF(BJ82=8,10,"")</f>
        <v/>
      </c>
      <c r="BK84" s="749" t="str">
        <f>IF(BK82=9,9,"")</f>
        <v/>
      </c>
      <c r="BL84" s="749" t="str">
        <f>IF(BL82=10,8,"")</f>
        <v/>
      </c>
      <c r="BM84" s="749" t="str">
        <f>IF(BM82=11,7,"")</f>
        <v/>
      </c>
      <c r="BN84" s="928" t="str">
        <f>IF(BN82=12,1,"")</f>
        <v/>
      </c>
      <c r="BO84" s="747" t="str">
        <f>IF(BO82=13,2,"")</f>
        <v/>
      </c>
      <c r="BP84" s="747" t="str">
        <f>IF(BP82=14,3,"")</f>
        <v/>
      </c>
      <c r="BQ84" s="747" t="str">
        <f>IF(BQ82=15,4,"")</f>
        <v/>
      </c>
      <c r="BR84" s="747" t="str">
        <f>IF(BR82=16,5,"")</f>
        <v/>
      </c>
      <c r="BS84" s="747" t="str">
        <f>IF(BS82=17,6,"")</f>
        <v/>
      </c>
      <c r="BT84" s="747" t="str">
        <f>IF(BT82=18,7,"")</f>
        <v/>
      </c>
      <c r="BU84" s="747">
        <f>IF(BU82=19,8,"")</f>
        <v>8</v>
      </c>
      <c r="BV84" s="747" t="str">
        <f>IF(BV82=20,9,"")</f>
        <v/>
      </c>
      <c r="BW84" s="747" t="str">
        <f>IF(BW82=21,10,"")</f>
        <v/>
      </c>
      <c r="BX84" s="747" t="str">
        <f>IF(BX82=22,11,"")</f>
        <v/>
      </c>
      <c r="BY84" s="747" t="str">
        <f>IF(BY82=23,12,"")</f>
        <v/>
      </c>
      <c r="BZ84" s="747" t="str">
        <f>IF(BZ82=24,13,"")</f>
        <v/>
      </c>
      <c r="CA84" s="747" t="str">
        <f>IF(CA82=25,14,"")</f>
        <v/>
      </c>
      <c r="CB84" s="747" t="str">
        <f>IF(CB82=26,15,"")</f>
        <v/>
      </c>
      <c r="CC84" s="747" t="str">
        <f>IF(CC82=27,16,"")</f>
        <v/>
      </c>
      <c r="CD84" s="929" t="str">
        <f>IF(CD82=28,17,"")</f>
        <v/>
      </c>
      <c r="CE84" s="756" t="str">
        <f>IF(CE82=29,9,"")</f>
        <v/>
      </c>
      <c r="CF84" s="756" t="str">
        <f>IF(CF82=30,10,"")</f>
        <v/>
      </c>
      <c r="CG84" s="756" t="str">
        <f>IF(CG82=31,11,"")</f>
        <v/>
      </c>
      <c r="CH84" s="756" t="str">
        <f>IF(CH82=32,12,"")</f>
        <v/>
      </c>
      <c r="CI84" s="756" t="str">
        <f>IF(CI82=33,13,"")</f>
        <v/>
      </c>
      <c r="CJ84" s="756" t="str">
        <f>IF(CJ82=34,14,"")</f>
        <v/>
      </c>
      <c r="CK84" s="756" t="str">
        <f>IF(CK82=35,15,"")</f>
        <v/>
      </c>
      <c r="CL84" s="756" t="str">
        <f>IF(CL82=36,16,"")</f>
        <v/>
      </c>
      <c r="CM84" s="757" t="str">
        <f>IF(CM82=37,17,"")</f>
        <v/>
      </c>
      <c r="CN84" s="198"/>
      <c r="CO84" s="78"/>
      <c r="CP84" s="78"/>
      <c r="CQ84" s="136"/>
      <c r="CR84" s="136"/>
      <c r="CS84" s="136"/>
      <c r="CT84" s="136"/>
      <c r="CU84" s="136"/>
      <c r="CV84" s="136"/>
    </row>
    <row r="85" spans="2:100" ht="45" customHeight="1" thickBot="1" x14ac:dyDescent="0.3">
      <c r="G85" s="998"/>
      <c r="J85" s="1034" t="s">
        <v>260</v>
      </c>
      <c r="K85" s="1028">
        <f>+MIN(J19:K20)</f>
        <v>57.971014492753625</v>
      </c>
      <c r="L85" s="1028">
        <f>+$D$16/(BC49)</f>
        <v>57.971014492753625</v>
      </c>
      <c r="M85" s="1028">
        <f>+MIN(K25:L26)</f>
        <v>57.971014492753625</v>
      </c>
      <c r="O85" s="995"/>
      <c r="AX85" s="968">
        <v>5</v>
      </c>
      <c r="AY85" s="182" t="b">
        <f>AND(BA85&gt;=10,$AN$142&gt;=10,$AO$142&gt;=10)</f>
        <v>1</v>
      </c>
      <c r="AZ85" s="84" t="str">
        <f>IF(AY85=TRUE,"O K","OVERLOAD")</f>
        <v>O K</v>
      </c>
      <c r="BA85" s="982">
        <f>IF(SUM(BC84:BM84)&gt;0,K85,0)+IF(SUM(BN84:CD84)&gt;0,L85,0)+IF(SUM(CE84:CM84)&gt;0,M85,0)</f>
        <v>57.971014492753625</v>
      </c>
      <c r="BB85" s="788" t="s">
        <v>185</v>
      </c>
      <c r="BC85" s="789">
        <v>-10</v>
      </c>
      <c r="BD85" s="789">
        <v>-9</v>
      </c>
      <c r="BE85" s="789">
        <v>-8</v>
      </c>
      <c r="BF85" s="789">
        <v>-7</v>
      </c>
      <c r="BG85" s="789">
        <v>-6</v>
      </c>
      <c r="BH85" s="789">
        <v>-5</v>
      </c>
      <c r="BI85" s="789">
        <v>-4</v>
      </c>
      <c r="BJ85" s="789">
        <v>-3</v>
      </c>
      <c r="BK85" s="789">
        <v>-2</v>
      </c>
      <c r="BL85" s="789">
        <v>-1</v>
      </c>
      <c r="BM85" s="789">
        <v>0</v>
      </c>
      <c r="BN85" s="789">
        <v>1</v>
      </c>
      <c r="BO85" s="789">
        <v>2</v>
      </c>
      <c r="BP85" s="789">
        <v>3</v>
      </c>
      <c r="BQ85" s="789">
        <v>4</v>
      </c>
      <c r="BR85" s="789">
        <v>5</v>
      </c>
      <c r="BS85" s="789">
        <v>6</v>
      </c>
      <c r="BT85" s="789">
        <v>7</v>
      </c>
      <c r="BU85" s="789">
        <v>8</v>
      </c>
      <c r="BV85" s="789">
        <v>9</v>
      </c>
      <c r="BW85" s="789">
        <v>10</v>
      </c>
      <c r="BX85" s="789">
        <v>11</v>
      </c>
      <c r="BY85" s="789">
        <v>12</v>
      </c>
      <c r="BZ85" s="789">
        <v>13</v>
      </c>
      <c r="CA85" s="789">
        <v>14</v>
      </c>
      <c r="CB85" s="789">
        <v>15</v>
      </c>
      <c r="CC85" s="789">
        <v>16</v>
      </c>
      <c r="CD85" s="789">
        <v>17</v>
      </c>
      <c r="CE85" s="789">
        <v>18</v>
      </c>
      <c r="CF85" s="789">
        <v>19</v>
      </c>
      <c r="CG85" s="789">
        <v>20</v>
      </c>
      <c r="CH85" s="789">
        <v>21</v>
      </c>
      <c r="CI85" s="789">
        <v>22</v>
      </c>
      <c r="CJ85" s="789">
        <v>23</v>
      </c>
      <c r="CK85" s="789">
        <v>24</v>
      </c>
      <c r="CL85" s="789">
        <v>25</v>
      </c>
      <c r="CM85" s="791">
        <v>26</v>
      </c>
      <c r="CN85" s="198"/>
      <c r="CO85" s="78"/>
      <c r="CP85" s="78"/>
      <c r="CQ85" s="136"/>
      <c r="CR85" s="136"/>
      <c r="CS85" s="136"/>
      <c r="CT85" s="136"/>
      <c r="CU85" s="136"/>
      <c r="CV85" s="136"/>
    </row>
    <row r="86" spans="2:100" ht="27.75" hidden="1" customHeight="1" thickBot="1" x14ac:dyDescent="0.3">
      <c r="E86" s="325"/>
      <c r="G86" s="998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O86" s="995"/>
      <c r="AP86" s="76"/>
      <c r="AX86" s="136"/>
      <c r="AZ86" s="86"/>
      <c r="BA86" s="18"/>
      <c r="BB86" s="96"/>
      <c r="BC86" s="96"/>
      <c r="BD86" s="96"/>
      <c r="BE86" s="96"/>
      <c r="BF86" s="96"/>
      <c r="BG86" s="96"/>
      <c r="BH86" s="96"/>
      <c r="BI86" s="96"/>
      <c r="BJ86" s="96"/>
      <c r="BK86" s="96"/>
      <c r="BL86" s="96"/>
      <c r="BM86" s="96"/>
      <c r="BN86" s="96"/>
      <c r="BO86" s="96"/>
      <c r="BP86" s="96"/>
      <c r="BQ86" s="96"/>
      <c r="BR86" s="96"/>
      <c r="BS86" s="96"/>
      <c r="BT86" s="96"/>
      <c r="BU86" s="96"/>
      <c r="BV86" s="96"/>
      <c r="BW86" s="96"/>
      <c r="BX86" s="96"/>
      <c r="BY86" s="96"/>
      <c r="BZ86" s="96"/>
      <c r="CA86" s="96"/>
      <c r="CB86" s="96"/>
      <c r="CC86" s="96"/>
      <c r="CD86" s="96"/>
      <c r="CE86" s="96"/>
      <c r="CF86" s="96"/>
      <c r="CG86" s="96"/>
      <c r="CH86" s="96"/>
      <c r="CI86" s="96"/>
      <c r="CJ86" s="96"/>
      <c r="CK86" s="96"/>
      <c r="CL86" s="96"/>
      <c r="CM86" s="96"/>
      <c r="CN86" s="96"/>
      <c r="CO86" s="96"/>
      <c r="CP86" s="78"/>
    </row>
    <row r="87" spans="2:100" ht="24" hidden="1" thickBot="1" x14ac:dyDescent="0.3">
      <c r="E87" s="325"/>
      <c r="G87" s="998"/>
      <c r="O87" s="995"/>
      <c r="AP87" s="76"/>
      <c r="AZ87" s="86"/>
      <c r="BA87" s="18"/>
      <c r="BB87" s="96">
        <v>36</v>
      </c>
      <c r="BC87" s="97"/>
      <c r="BD87" s="97"/>
      <c r="BE87" s="97"/>
      <c r="BF87" s="97"/>
      <c r="BG87" s="97"/>
      <c r="BH87" s="97"/>
      <c r="BI87" s="97"/>
      <c r="BJ87" s="97"/>
      <c r="BK87" s="94"/>
      <c r="BL87" s="94"/>
      <c r="BM87" s="89"/>
      <c r="BN87" s="89"/>
      <c r="BO87" s="89"/>
      <c r="BP87" s="89"/>
      <c r="BQ87" s="89"/>
      <c r="BR87" s="89"/>
      <c r="BS87" s="89"/>
      <c r="BT87" s="98"/>
      <c r="BU87" s="99"/>
      <c r="BV87" s="100"/>
      <c r="BW87" s="89"/>
      <c r="BX87" s="89"/>
      <c r="BY87" s="89"/>
      <c r="BZ87" s="37"/>
      <c r="CA87" s="95"/>
      <c r="CB87" s="95"/>
      <c r="CC87" s="95"/>
      <c r="CD87" s="95"/>
      <c r="CE87" s="92"/>
      <c r="CF87" s="92"/>
      <c r="CG87" s="92"/>
      <c r="CH87" s="92"/>
      <c r="CI87" s="92"/>
      <c r="CJ87" s="92"/>
      <c r="CK87" s="101" t="b">
        <f>IF(CL81=36,35)</f>
        <v>0</v>
      </c>
      <c r="CL87" s="102"/>
      <c r="CM87" s="103" t="b">
        <f>IF(CL81=36,37)</f>
        <v>0</v>
      </c>
      <c r="CN87" s="92"/>
      <c r="CO87" s="17"/>
      <c r="CP87" s="78"/>
    </row>
    <row r="88" spans="2:100" ht="24" hidden="1" thickBot="1" x14ac:dyDescent="0.3">
      <c r="E88" s="325"/>
      <c r="G88" s="998"/>
      <c r="O88" s="995"/>
      <c r="AP88" s="76"/>
      <c r="AZ88" s="86"/>
      <c r="BA88" s="18"/>
      <c r="BB88" s="96">
        <v>35</v>
      </c>
      <c r="BC88" s="97"/>
      <c r="BD88" s="97"/>
      <c r="BE88" s="97"/>
      <c r="BF88" s="97"/>
      <c r="BG88" s="97"/>
      <c r="BH88" s="97"/>
      <c r="BI88" s="97"/>
      <c r="BJ88" s="97"/>
      <c r="BK88" s="94"/>
      <c r="BL88" s="94"/>
      <c r="BM88" s="89"/>
      <c r="BN88" s="89"/>
      <c r="BO88" s="89"/>
      <c r="BP88" s="89"/>
      <c r="BQ88" s="89"/>
      <c r="BR88" s="89"/>
      <c r="BS88" s="89"/>
      <c r="BT88" s="104"/>
      <c r="BU88" s="89"/>
      <c r="BV88" s="105"/>
      <c r="BW88" s="89"/>
      <c r="BX88" s="89"/>
      <c r="BY88" s="89"/>
      <c r="BZ88" s="37"/>
      <c r="CA88" s="95"/>
      <c r="CB88" s="95"/>
      <c r="CC88" s="95"/>
      <c r="CD88" s="95"/>
      <c r="CE88" s="92"/>
      <c r="CF88" s="92"/>
      <c r="CG88" s="92"/>
      <c r="CH88" s="92"/>
      <c r="CI88" s="101" t="b">
        <f>IF(CK81=35,33)</f>
        <v>0</v>
      </c>
      <c r="CJ88" s="102"/>
      <c r="CK88" s="102"/>
      <c r="CL88" s="102"/>
      <c r="CM88" s="103" t="b">
        <f>IF(CK81=35,37)</f>
        <v>0</v>
      </c>
      <c r="CN88" s="92"/>
      <c r="CO88" s="17"/>
      <c r="CP88" s="78"/>
    </row>
    <row r="89" spans="2:100" ht="24" hidden="1" thickBot="1" x14ac:dyDescent="0.3">
      <c r="E89" s="325"/>
      <c r="G89" s="998"/>
      <c r="O89" s="995"/>
      <c r="P89" s="203"/>
      <c r="Q89" s="203"/>
      <c r="R89" s="203"/>
      <c r="S89" s="203"/>
      <c r="T89" s="203"/>
      <c r="U89" s="326"/>
      <c r="V89" s="203"/>
      <c r="W89" s="203"/>
      <c r="X89" s="203"/>
      <c r="Y89" s="327"/>
      <c r="Z89" s="327"/>
      <c r="AA89" s="328"/>
      <c r="AP89" s="76"/>
      <c r="AZ89" s="86"/>
      <c r="BA89" s="18"/>
      <c r="BB89" s="96">
        <v>34</v>
      </c>
      <c r="BC89" s="97"/>
      <c r="BD89" s="97"/>
      <c r="BE89" s="97"/>
      <c r="BF89" s="97"/>
      <c r="BG89" s="97"/>
      <c r="BH89" s="97"/>
      <c r="BI89" s="97"/>
      <c r="BJ89" s="97"/>
      <c r="BK89" s="94"/>
      <c r="BL89" s="94"/>
      <c r="BM89" s="89"/>
      <c r="BN89" s="89"/>
      <c r="BO89" s="89"/>
      <c r="BP89" s="89"/>
      <c r="BQ89" s="89"/>
      <c r="BR89" s="89"/>
      <c r="BS89" s="89"/>
      <c r="BT89" s="104"/>
      <c r="BU89" s="89"/>
      <c r="BV89" s="105"/>
      <c r="BW89" s="89"/>
      <c r="BX89" s="89"/>
      <c r="BY89" s="89"/>
      <c r="BZ89" s="37"/>
      <c r="CA89" s="95"/>
      <c r="CB89" s="95"/>
      <c r="CC89" s="95"/>
      <c r="CD89" s="95"/>
      <c r="CE89" s="92"/>
      <c r="CF89" s="92"/>
      <c r="CG89" s="101" t="b">
        <f>IF(CJ81=34,31)</f>
        <v>0</v>
      </c>
      <c r="CH89" s="102"/>
      <c r="CI89" s="102"/>
      <c r="CJ89" s="102"/>
      <c r="CK89" s="102"/>
      <c r="CL89" s="102"/>
      <c r="CM89" s="103" t="b">
        <f>IF(CJ81=34,37)</f>
        <v>0</v>
      </c>
      <c r="CN89" s="92"/>
      <c r="CO89" s="17"/>
      <c r="CP89" s="78"/>
    </row>
    <row r="90" spans="2:100" ht="24" hidden="1" thickBot="1" x14ac:dyDescent="0.3">
      <c r="D90" s="126"/>
      <c r="E90" s="325"/>
      <c r="G90" s="998"/>
      <c r="O90" s="995"/>
      <c r="AP90" s="329"/>
      <c r="AZ90" s="86"/>
      <c r="BA90" s="18"/>
      <c r="BB90" s="96">
        <v>33</v>
      </c>
      <c r="BC90" s="97"/>
      <c r="BD90" s="97"/>
      <c r="BE90" s="97"/>
      <c r="BF90" s="97"/>
      <c r="BG90" s="97"/>
      <c r="BH90" s="97"/>
      <c r="BI90" s="97"/>
      <c r="BJ90" s="97"/>
      <c r="BK90" s="94"/>
      <c r="BL90" s="94"/>
      <c r="BM90" s="89"/>
      <c r="BN90" s="89"/>
      <c r="BO90" s="89"/>
      <c r="BP90" s="89"/>
      <c r="BQ90" s="89"/>
      <c r="BR90" s="89"/>
      <c r="BS90" s="89"/>
      <c r="BT90" s="104"/>
      <c r="BU90" s="89"/>
      <c r="BV90" s="105"/>
      <c r="BW90" s="89"/>
      <c r="BX90" s="89"/>
      <c r="BY90" s="89"/>
      <c r="BZ90" s="37"/>
      <c r="CA90" s="95"/>
      <c r="CB90" s="95"/>
      <c r="CC90" s="95"/>
      <c r="CD90" s="95"/>
      <c r="CE90" s="101" t="b">
        <f>IF(CI81=33,29)</f>
        <v>0</v>
      </c>
      <c r="CF90" s="102"/>
      <c r="CG90" s="102"/>
      <c r="CH90" s="102"/>
      <c r="CI90" s="102"/>
      <c r="CJ90" s="102"/>
      <c r="CK90" s="102"/>
      <c r="CL90" s="102"/>
      <c r="CM90" s="103" t="b">
        <f>IF(CI81=33,37)</f>
        <v>0</v>
      </c>
      <c r="CN90" s="92"/>
      <c r="CO90" s="17"/>
      <c r="CP90" s="78"/>
    </row>
    <row r="91" spans="2:100" ht="21" hidden="1" thickBot="1" x14ac:dyDescent="0.25">
      <c r="B91" s="330"/>
      <c r="C91" s="126"/>
      <c r="D91" s="126"/>
      <c r="E91" s="325"/>
      <c r="G91" s="998"/>
      <c r="O91" s="995"/>
      <c r="AP91" s="76"/>
      <c r="AZ91" s="86"/>
      <c r="BB91" s="96">
        <v>32</v>
      </c>
      <c r="BC91" s="107"/>
      <c r="BD91" s="107"/>
      <c r="BE91" s="107"/>
      <c r="BF91" s="107"/>
      <c r="BG91" s="107"/>
      <c r="BH91" s="108"/>
      <c r="BI91" s="107"/>
      <c r="BJ91" s="107"/>
      <c r="BK91" s="107"/>
      <c r="BL91" s="107"/>
      <c r="BM91" s="107"/>
      <c r="BN91" s="107"/>
      <c r="BO91" s="107"/>
      <c r="BP91" s="107"/>
      <c r="BQ91" s="107"/>
      <c r="BR91" s="107"/>
      <c r="BS91" s="107"/>
      <c r="BT91" s="109"/>
      <c r="BU91" s="107"/>
      <c r="BV91" s="110"/>
      <c r="BW91" s="107"/>
      <c r="BX91" s="107"/>
      <c r="BY91" s="107"/>
      <c r="BZ91" s="108"/>
      <c r="CA91" s="78"/>
      <c r="CB91" s="78"/>
      <c r="CC91" s="101" t="b">
        <f>IF(CH81=32,27)</f>
        <v>0</v>
      </c>
      <c r="CD91" s="111"/>
      <c r="CE91" s="111"/>
      <c r="CF91" s="111"/>
      <c r="CG91" s="111"/>
      <c r="CH91" s="111"/>
      <c r="CI91" s="111"/>
      <c r="CJ91" s="111"/>
      <c r="CK91" s="111"/>
      <c r="CL91" s="111"/>
      <c r="CM91" s="103" t="b">
        <f>IF(CH81=32,37)</f>
        <v>0</v>
      </c>
      <c r="CN91" s="78"/>
      <c r="CO91" s="78"/>
      <c r="CP91" s="78"/>
    </row>
    <row r="92" spans="2:100" ht="21" hidden="1" thickBot="1" x14ac:dyDescent="0.25">
      <c r="B92" s="330"/>
      <c r="C92" s="126"/>
      <c r="D92" s="126"/>
      <c r="E92" s="325"/>
      <c r="G92" s="998"/>
      <c r="O92" s="995"/>
      <c r="AP92" s="76"/>
      <c r="AZ92" s="86"/>
      <c r="BB92" s="96">
        <v>31</v>
      </c>
      <c r="BC92" s="107"/>
      <c r="BD92" s="107"/>
      <c r="BE92" s="107"/>
      <c r="BF92" s="107"/>
      <c r="BG92" s="107"/>
      <c r="BH92" s="108"/>
      <c r="BI92" s="107"/>
      <c r="BJ92" s="107"/>
      <c r="BK92" s="107"/>
      <c r="BL92" s="107"/>
      <c r="BM92" s="107"/>
      <c r="BN92" s="107"/>
      <c r="BO92" s="107"/>
      <c r="BP92" s="107"/>
      <c r="BQ92" s="107"/>
      <c r="BR92" s="107"/>
      <c r="BS92" s="107"/>
      <c r="BT92" s="109"/>
      <c r="BU92" s="107"/>
      <c r="BV92" s="110"/>
      <c r="BW92" s="107"/>
      <c r="BX92" s="107"/>
      <c r="BY92" s="107"/>
      <c r="BZ92" s="108"/>
      <c r="CA92" s="101" t="b">
        <f>IF(CG81=31,25)</f>
        <v>0</v>
      </c>
      <c r="CB92" s="111"/>
      <c r="CC92" s="111"/>
      <c r="CD92" s="111"/>
      <c r="CE92" s="111"/>
      <c r="CF92" s="111"/>
      <c r="CG92" s="111"/>
      <c r="CH92" s="111"/>
      <c r="CI92" s="111"/>
      <c r="CJ92" s="111"/>
      <c r="CK92" s="111"/>
      <c r="CL92" s="111"/>
      <c r="CM92" s="103" t="b">
        <f>IF(CG81=31,37)</f>
        <v>0</v>
      </c>
      <c r="CN92" s="78"/>
      <c r="CO92" s="78"/>
      <c r="CP92" s="78"/>
    </row>
    <row r="93" spans="2:100" ht="21" hidden="1" thickBot="1" x14ac:dyDescent="0.25">
      <c r="B93" s="330"/>
      <c r="C93" s="126"/>
      <c r="D93" s="126"/>
      <c r="E93" s="325"/>
      <c r="G93" s="998"/>
      <c r="O93" s="995"/>
      <c r="AP93" s="75"/>
      <c r="AZ93" s="86"/>
      <c r="BB93" s="96">
        <v>30</v>
      </c>
      <c r="BC93" s="107"/>
      <c r="BD93" s="107"/>
      <c r="BE93" s="107"/>
      <c r="BF93" s="107"/>
      <c r="BG93" s="107"/>
      <c r="BH93" s="108"/>
      <c r="BI93" s="107"/>
      <c r="BJ93" s="107"/>
      <c r="BK93" s="107"/>
      <c r="BL93" s="107"/>
      <c r="BM93" s="107"/>
      <c r="BN93" s="107"/>
      <c r="BO93" s="107"/>
      <c r="BP93" s="107"/>
      <c r="BQ93" s="107"/>
      <c r="BR93" s="107"/>
      <c r="BS93" s="107"/>
      <c r="BT93" s="109"/>
      <c r="BU93" s="107"/>
      <c r="BV93" s="110"/>
      <c r="BW93" s="107"/>
      <c r="BX93" s="107"/>
      <c r="BY93" s="101" t="b">
        <f>IF(CF81=30,23)</f>
        <v>0</v>
      </c>
      <c r="BZ93" s="112"/>
      <c r="CA93" s="111"/>
      <c r="CB93" s="111"/>
      <c r="CC93" s="111"/>
      <c r="CD93" s="111"/>
      <c r="CE93" s="111"/>
      <c r="CF93" s="111"/>
      <c r="CG93" s="111"/>
      <c r="CH93" s="111"/>
      <c r="CI93" s="111"/>
      <c r="CJ93" s="111"/>
      <c r="CK93" s="111"/>
      <c r="CL93" s="111"/>
      <c r="CM93" s="103" t="b">
        <f>IF(CF81=30,37)</f>
        <v>0</v>
      </c>
      <c r="CN93" s="78"/>
      <c r="CO93" s="78"/>
      <c r="CP93" s="78"/>
    </row>
    <row r="94" spans="2:100" ht="21" hidden="1" thickBot="1" x14ac:dyDescent="0.25">
      <c r="B94" s="330"/>
      <c r="C94" s="126"/>
      <c r="D94" s="126"/>
      <c r="E94" s="325"/>
      <c r="G94" s="998"/>
      <c r="O94" s="995"/>
      <c r="AP94" s="59"/>
      <c r="AQ94" s="114"/>
      <c r="AR94" s="114"/>
      <c r="AS94" s="114"/>
      <c r="AT94" s="114"/>
      <c r="AZ94" s="86"/>
      <c r="BA94" s="114"/>
      <c r="BB94" s="96">
        <v>29</v>
      </c>
      <c r="BC94" s="78"/>
      <c r="BD94" s="78"/>
      <c r="BE94" s="78"/>
      <c r="BF94" s="78"/>
      <c r="BG94" s="78"/>
      <c r="BH94" s="78"/>
      <c r="BI94" s="78"/>
      <c r="BJ94" s="78"/>
      <c r="BK94" s="78"/>
      <c r="BL94" s="78"/>
      <c r="BM94" s="78"/>
      <c r="BN94" s="78"/>
      <c r="BO94" s="78"/>
      <c r="BP94" s="78"/>
      <c r="BQ94" s="78"/>
      <c r="BR94" s="78"/>
      <c r="BS94" s="78"/>
      <c r="BT94" s="115"/>
      <c r="BU94" s="78"/>
      <c r="BV94" s="116"/>
      <c r="BW94" s="117" t="b">
        <f>IF(CE81=29,21)</f>
        <v>0</v>
      </c>
      <c r="BX94" s="111"/>
      <c r="BY94" s="111"/>
      <c r="BZ94" s="111"/>
      <c r="CA94" s="111"/>
      <c r="CB94" s="111"/>
      <c r="CC94" s="111"/>
      <c r="CD94" s="118"/>
      <c r="CE94" s="111"/>
      <c r="CF94" s="118"/>
      <c r="CG94" s="119"/>
      <c r="CH94" s="119"/>
      <c r="CI94" s="119"/>
      <c r="CJ94" s="119"/>
      <c r="CK94" s="119"/>
      <c r="CL94" s="119"/>
      <c r="CM94" s="103" t="b">
        <f>IF(CE81=29,37)</f>
        <v>0</v>
      </c>
      <c r="CN94" s="76"/>
      <c r="CO94" s="78"/>
      <c r="CP94" s="78"/>
    </row>
    <row r="95" spans="2:100" ht="21" hidden="1" thickBot="1" x14ac:dyDescent="0.25">
      <c r="B95" s="19"/>
      <c r="C95" s="126"/>
      <c r="D95" s="126"/>
      <c r="E95" s="19"/>
      <c r="G95" s="998"/>
      <c r="O95" s="995"/>
      <c r="AP95" s="126"/>
      <c r="AQ95" s="114"/>
      <c r="AR95" s="114"/>
      <c r="AS95" s="114"/>
      <c r="AT95" s="114"/>
      <c r="AZ95" s="86"/>
      <c r="BA95" s="114"/>
      <c r="BB95" s="96">
        <v>28</v>
      </c>
      <c r="BC95" s="78"/>
      <c r="BD95" s="78"/>
      <c r="BE95" s="78"/>
      <c r="BF95" s="78"/>
      <c r="BG95" s="78"/>
      <c r="BH95" s="78"/>
      <c r="BI95" s="78"/>
      <c r="BJ95" s="78"/>
      <c r="BK95" s="78"/>
      <c r="BL95" s="78"/>
      <c r="BM95" s="78"/>
      <c r="BN95" s="78"/>
      <c r="BO95" s="78"/>
      <c r="BP95" s="78"/>
      <c r="BQ95" s="78"/>
      <c r="BR95" s="78"/>
      <c r="BS95" s="78"/>
      <c r="BT95" s="115"/>
      <c r="BU95" s="78"/>
      <c r="BV95" s="116"/>
      <c r="BW95" s="120" t="b">
        <f>IF(CD81=28,21)</f>
        <v>0</v>
      </c>
      <c r="BX95" s="121"/>
      <c r="BY95" s="121"/>
      <c r="BZ95" s="121"/>
      <c r="CA95" s="121"/>
      <c r="CB95" s="122"/>
      <c r="CC95" s="121"/>
      <c r="CD95" s="121"/>
      <c r="CE95" s="121"/>
      <c r="CF95" s="122"/>
      <c r="CG95" s="123"/>
      <c r="CH95" s="123"/>
      <c r="CI95" s="123"/>
      <c r="CJ95" s="123"/>
      <c r="CK95" s="124" t="b">
        <f>IF(CD81=28,35)</f>
        <v>0</v>
      </c>
      <c r="CL95" s="76"/>
      <c r="CM95" s="76"/>
      <c r="CN95" s="76"/>
      <c r="CO95" s="78"/>
      <c r="CP95" s="78"/>
    </row>
    <row r="96" spans="2:100" ht="21" hidden="1" thickBot="1" x14ac:dyDescent="0.25">
      <c r="B96" s="330"/>
      <c r="C96" s="126"/>
      <c r="D96" s="126"/>
      <c r="E96" s="325"/>
      <c r="G96" s="998"/>
      <c r="O96" s="995"/>
      <c r="AP96" s="76"/>
      <c r="AQ96" s="114"/>
      <c r="AR96" s="114"/>
      <c r="AS96" s="114"/>
      <c r="AT96" s="114"/>
      <c r="AZ96" s="86"/>
      <c r="BA96" s="114"/>
      <c r="BB96" s="96">
        <v>27</v>
      </c>
      <c r="BC96" s="78"/>
      <c r="BD96" s="78"/>
      <c r="BE96" s="78"/>
      <c r="BF96" s="78"/>
      <c r="BG96" s="78"/>
      <c r="BH96" s="78"/>
      <c r="BI96" s="78"/>
      <c r="BJ96" s="78"/>
      <c r="BK96" s="78"/>
      <c r="BL96" s="78"/>
      <c r="BM96" s="78"/>
      <c r="BN96" s="78"/>
      <c r="BO96" s="78"/>
      <c r="BP96" s="78"/>
      <c r="BQ96" s="78"/>
      <c r="BR96" s="78"/>
      <c r="BS96" s="78"/>
      <c r="BT96" s="115"/>
      <c r="BU96" s="78"/>
      <c r="BV96" s="116"/>
      <c r="BW96" s="120" t="b">
        <f>IF(CC81=27,21)</f>
        <v>0</v>
      </c>
      <c r="BX96" s="121"/>
      <c r="BY96" s="121"/>
      <c r="BZ96" s="122"/>
      <c r="CA96" s="121"/>
      <c r="CB96" s="121"/>
      <c r="CC96" s="121"/>
      <c r="CD96" s="121"/>
      <c r="CE96" s="121"/>
      <c r="CF96" s="122"/>
      <c r="CG96" s="123"/>
      <c r="CH96" s="123"/>
      <c r="CI96" s="124" t="b">
        <f>IF(CC81=27,33)</f>
        <v>0</v>
      </c>
      <c r="CJ96" s="76"/>
      <c r="CK96" s="76"/>
      <c r="CL96" s="76"/>
      <c r="CM96" s="76"/>
      <c r="CN96" s="76"/>
      <c r="CO96" s="78"/>
      <c r="CP96" s="78"/>
    </row>
    <row r="97" spans="2:94" ht="21" hidden="1" thickBot="1" x14ac:dyDescent="0.25">
      <c r="B97" s="330"/>
      <c r="C97" s="126"/>
      <c r="D97" s="126"/>
      <c r="E97" s="325"/>
      <c r="G97" s="998"/>
      <c r="O97" s="995"/>
      <c r="AP97" s="76"/>
      <c r="AZ97" s="86"/>
      <c r="BB97" s="96">
        <v>26</v>
      </c>
      <c r="BC97" s="78"/>
      <c r="BD97" s="78"/>
      <c r="BE97" s="78"/>
      <c r="BF97" s="78"/>
      <c r="BG97" s="78"/>
      <c r="BH97" s="78"/>
      <c r="BI97" s="78"/>
      <c r="BJ97" s="78"/>
      <c r="BK97" s="78"/>
      <c r="BL97" s="78"/>
      <c r="BM97" s="78"/>
      <c r="BN97" s="78"/>
      <c r="BO97" s="78"/>
      <c r="BP97" s="78"/>
      <c r="BQ97" s="78"/>
      <c r="BR97" s="78"/>
      <c r="BS97" s="78"/>
      <c r="BT97" s="115"/>
      <c r="BU97" s="78"/>
      <c r="BV97" s="116"/>
      <c r="BW97" s="120" t="b">
        <f>IF(CB81=26,21)</f>
        <v>0</v>
      </c>
      <c r="BX97" s="122"/>
      <c r="BY97" s="121"/>
      <c r="BZ97" s="121"/>
      <c r="CA97" s="121"/>
      <c r="CB97" s="121"/>
      <c r="CC97" s="121"/>
      <c r="CD97" s="121"/>
      <c r="CE97" s="121"/>
      <c r="CF97" s="122"/>
      <c r="CG97" s="124" t="b">
        <f>IF(CB81=26,31)</f>
        <v>0</v>
      </c>
      <c r="CH97" s="76"/>
      <c r="CI97" s="76"/>
      <c r="CJ97" s="76"/>
      <c r="CK97" s="76"/>
      <c r="CL97" s="76"/>
      <c r="CM97" s="76"/>
      <c r="CN97" s="76"/>
      <c r="CO97" s="78"/>
      <c r="CP97" s="78"/>
    </row>
    <row r="98" spans="2:94" ht="21" hidden="1" thickBot="1" x14ac:dyDescent="0.25">
      <c r="B98" s="330"/>
      <c r="C98" s="126"/>
      <c r="D98" s="126"/>
      <c r="E98" s="325"/>
      <c r="G98" s="998"/>
      <c r="O98" s="995"/>
      <c r="AP98" s="76"/>
      <c r="AQ98" s="126"/>
      <c r="AR98" s="126"/>
      <c r="AS98" s="126"/>
      <c r="AT98" s="126"/>
      <c r="AZ98" s="86"/>
      <c r="BA98" s="126"/>
      <c r="BB98" s="96">
        <v>25</v>
      </c>
      <c r="BC98" s="78"/>
      <c r="BD98" s="78"/>
      <c r="BE98" s="78"/>
      <c r="BF98" s="78"/>
      <c r="BG98" s="78"/>
      <c r="BH98" s="78"/>
      <c r="BI98" s="78"/>
      <c r="BJ98" s="78"/>
      <c r="BK98" s="78"/>
      <c r="BL98" s="78"/>
      <c r="BM98" s="78"/>
      <c r="BO98" s="78"/>
      <c r="BP98" s="78"/>
      <c r="BQ98" s="78"/>
      <c r="BR98" s="78"/>
      <c r="BS98" s="78"/>
      <c r="BT98" s="115"/>
      <c r="BU98" s="78"/>
      <c r="BW98" s="128" t="b">
        <f>IF(CA81=25,21)</f>
        <v>0</v>
      </c>
      <c r="BX98" s="121"/>
      <c r="BY98" s="121"/>
      <c r="BZ98" s="121"/>
      <c r="CA98" s="121"/>
      <c r="CB98" s="121"/>
      <c r="CC98" s="121"/>
      <c r="CD98" s="121"/>
      <c r="CE98" s="124" t="b">
        <f>IF(CA81=25,29)</f>
        <v>0</v>
      </c>
      <c r="CG98" s="76"/>
      <c r="CH98" s="76"/>
      <c r="CI98" s="76"/>
      <c r="CJ98" s="76"/>
      <c r="CK98" s="76"/>
      <c r="CL98" s="76"/>
      <c r="CM98" s="76"/>
      <c r="CN98" s="76"/>
      <c r="CO98" s="78"/>
      <c r="CP98" s="78"/>
    </row>
    <row r="99" spans="2:94" ht="21" hidden="1" thickBot="1" x14ac:dyDescent="0.25">
      <c r="B99" s="330"/>
      <c r="C99" s="126"/>
      <c r="D99" s="126"/>
      <c r="E99" s="325"/>
      <c r="G99" s="998"/>
      <c r="O99" s="995"/>
      <c r="AP99" s="59"/>
      <c r="AQ99" s="126"/>
      <c r="AR99" s="126"/>
      <c r="AS99" s="126"/>
      <c r="AT99" s="126"/>
      <c r="AZ99" s="86"/>
      <c r="BA99" s="126"/>
      <c r="BB99" s="96">
        <v>24</v>
      </c>
      <c r="BC99" s="78"/>
      <c r="BD99" s="78"/>
      <c r="BE99" s="78"/>
      <c r="BF99" s="78"/>
      <c r="BG99" s="78"/>
      <c r="BH99" s="78"/>
      <c r="BI99" s="78"/>
      <c r="BJ99" s="78"/>
      <c r="BK99" s="78"/>
      <c r="BL99" s="78"/>
      <c r="BM99" s="78"/>
      <c r="BN99" s="117" t="b">
        <f>IF(BZ81=24,12)</f>
        <v>0</v>
      </c>
      <c r="BO99" s="111"/>
      <c r="BP99" s="111"/>
      <c r="BQ99" s="111"/>
      <c r="BR99" s="111"/>
      <c r="BS99" s="111"/>
      <c r="BT99" s="118"/>
      <c r="BU99" s="111"/>
      <c r="BV99" s="129"/>
      <c r="BW99" s="111"/>
      <c r="BX99" s="111"/>
      <c r="BY99" s="111"/>
      <c r="BZ99" s="111"/>
      <c r="CA99" s="111"/>
      <c r="CB99" s="111"/>
      <c r="CC99" s="111"/>
      <c r="CD99" s="111"/>
      <c r="CE99" s="111"/>
      <c r="CF99" s="118"/>
      <c r="CG99" s="119"/>
      <c r="CH99" s="119"/>
      <c r="CI99" s="119"/>
      <c r="CJ99" s="119"/>
      <c r="CK99" s="119"/>
      <c r="CL99" s="103" t="b">
        <f>IF(BZ81=24,36)</f>
        <v>0</v>
      </c>
      <c r="CM99" s="76"/>
      <c r="CN99" s="76"/>
      <c r="CO99" s="78"/>
      <c r="CP99" s="78"/>
    </row>
    <row r="100" spans="2:94" ht="21" hidden="1" thickBot="1" x14ac:dyDescent="0.25">
      <c r="B100" s="330"/>
      <c r="C100" s="126"/>
      <c r="D100" s="126"/>
      <c r="E100" s="325"/>
      <c r="G100" s="998"/>
      <c r="O100" s="995"/>
      <c r="AP100" s="76"/>
      <c r="AQ100" s="126"/>
      <c r="AR100" s="126"/>
      <c r="AS100" s="126"/>
      <c r="AT100" s="126"/>
      <c r="AZ100" s="86"/>
      <c r="BA100" s="126"/>
      <c r="BB100" s="96">
        <v>23</v>
      </c>
      <c r="BC100" s="78"/>
      <c r="BD100" s="78"/>
      <c r="BE100" s="78"/>
      <c r="BF100" s="78"/>
      <c r="BG100" s="78"/>
      <c r="BH100" s="78"/>
      <c r="BI100" s="78"/>
      <c r="BJ100" s="78"/>
      <c r="BK100" s="78"/>
      <c r="BL100" s="78"/>
      <c r="BM100" s="78"/>
      <c r="BN100" s="120" t="b">
        <f>IF(BY81=23,12)</f>
        <v>0</v>
      </c>
      <c r="BO100" s="121"/>
      <c r="BP100" s="121"/>
      <c r="BQ100" s="121"/>
      <c r="BR100" s="122"/>
      <c r="BS100" s="121"/>
      <c r="BT100" s="132"/>
      <c r="BU100" s="121"/>
      <c r="BV100" s="133"/>
      <c r="BW100" s="121"/>
      <c r="BX100" s="121"/>
      <c r="BY100" s="121"/>
      <c r="BZ100" s="121"/>
      <c r="CA100" s="121"/>
      <c r="CB100" s="121"/>
      <c r="CC100" s="121"/>
      <c r="CD100" s="121"/>
      <c r="CE100" s="121"/>
      <c r="CF100" s="122"/>
      <c r="CG100" s="123"/>
      <c r="CH100" s="123"/>
      <c r="CI100" s="123"/>
      <c r="CJ100" s="124" t="b">
        <f>IF(BY81=23,34)</f>
        <v>0</v>
      </c>
      <c r="CK100" s="76"/>
      <c r="CL100" s="76"/>
      <c r="CM100" s="76"/>
      <c r="CN100" s="76"/>
      <c r="CO100" s="78"/>
      <c r="CP100" s="78"/>
    </row>
    <row r="101" spans="2:94" ht="21" hidden="1" thickBot="1" x14ac:dyDescent="0.25">
      <c r="B101" s="330"/>
      <c r="C101" s="126"/>
      <c r="D101" s="126"/>
      <c r="E101" s="325"/>
      <c r="G101" s="998"/>
      <c r="O101" s="995"/>
      <c r="AP101" s="76"/>
      <c r="AQ101" s="126"/>
      <c r="AR101" s="126"/>
      <c r="AS101" s="126"/>
      <c r="AT101" s="126"/>
      <c r="AZ101" s="86"/>
      <c r="BA101" s="126"/>
      <c r="BB101" s="96">
        <v>22</v>
      </c>
      <c r="BC101" s="76"/>
      <c r="BD101" s="76"/>
      <c r="BE101" s="76"/>
      <c r="BF101" s="76"/>
      <c r="BG101" s="76"/>
      <c r="BH101" s="76"/>
      <c r="BI101" s="76"/>
      <c r="BJ101" s="76"/>
      <c r="BK101" s="76"/>
      <c r="BL101" s="76"/>
      <c r="BM101" s="76"/>
      <c r="BN101" s="120" t="b">
        <f>IF(BX81=22,12)</f>
        <v>0</v>
      </c>
      <c r="BO101" s="123"/>
      <c r="BP101" s="123"/>
      <c r="BQ101" s="123"/>
      <c r="BR101" s="122"/>
      <c r="BS101" s="123"/>
      <c r="BT101" s="134"/>
      <c r="BU101" s="123"/>
      <c r="BV101" s="135"/>
      <c r="BW101" s="123"/>
      <c r="BX101" s="123"/>
      <c r="BY101" s="123"/>
      <c r="BZ101" s="123"/>
      <c r="CA101" s="121"/>
      <c r="CB101" s="121"/>
      <c r="CC101" s="122"/>
      <c r="CD101" s="121"/>
      <c r="CE101" s="121"/>
      <c r="CF101" s="121"/>
      <c r="CG101" s="121"/>
      <c r="CH101" s="124" t="b">
        <f>IF(BX81=22,32)</f>
        <v>0</v>
      </c>
      <c r="CI101" s="78"/>
      <c r="CJ101" s="78"/>
      <c r="CK101" s="78"/>
      <c r="CL101" s="78"/>
      <c r="CM101" s="78"/>
      <c r="CN101" s="78"/>
      <c r="CO101" s="78"/>
      <c r="CP101" s="78"/>
    </row>
    <row r="102" spans="2:94" ht="21" hidden="1" thickBot="1" x14ac:dyDescent="0.25">
      <c r="B102" s="330"/>
      <c r="C102" s="126"/>
      <c r="D102" s="126"/>
      <c r="E102" s="325"/>
      <c r="G102" s="998"/>
      <c r="O102" s="995"/>
      <c r="AP102" s="331"/>
      <c r="AQ102" s="126"/>
      <c r="AR102" s="126"/>
      <c r="AS102" s="126"/>
      <c r="AT102" s="126"/>
      <c r="AZ102" s="86"/>
      <c r="BA102" s="126"/>
      <c r="BB102" s="96">
        <v>21</v>
      </c>
      <c r="BC102" s="78"/>
      <c r="BD102" s="78"/>
      <c r="BE102" s="78"/>
      <c r="BF102" s="78"/>
      <c r="BG102" s="78"/>
      <c r="BH102" s="78"/>
      <c r="BI102" s="78"/>
      <c r="BJ102" s="78"/>
      <c r="BK102" s="78"/>
      <c r="BL102" s="78"/>
      <c r="BM102" s="78"/>
      <c r="BN102" s="120" t="b">
        <f>IF(BW81=21,12)</f>
        <v>0</v>
      </c>
      <c r="BO102" s="121"/>
      <c r="BP102" s="121"/>
      <c r="BQ102" s="121"/>
      <c r="BR102" s="121"/>
      <c r="BS102" s="121"/>
      <c r="BT102" s="132"/>
      <c r="BU102" s="121"/>
      <c r="BV102" s="133"/>
      <c r="BW102" s="121"/>
      <c r="BX102" s="121"/>
      <c r="BY102" s="121"/>
      <c r="BZ102" s="121"/>
      <c r="CA102" s="121"/>
      <c r="CB102" s="121"/>
      <c r="CC102" s="121"/>
      <c r="CD102" s="121"/>
      <c r="CE102" s="121"/>
      <c r="CF102" s="124" t="b">
        <f>IF(BW81=21,30)</f>
        <v>0</v>
      </c>
      <c r="CG102" s="76"/>
      <c r="CH102" s="76"/>
      <c r="CI102" s="76"/>
      <c r="CJ102" s="76"/>
      <c r="CK102" s="76"/>
      <c r="CL102" s="76"/>
      <c r="CM102" s="76"/>
      <c r="CN102" s="76"/>
      <c r="CO102" s="78"/>
      <c r="CP102" s="78"/>
    </row>
    <row r="103" spans="2:94" ht="21" hidden="1" thickBot="1" x14ac:dyDescent="0.25">
      <c r="B103" s="330"/>
      <c r="C103" s="126"/>
      <c r="D103" s="126"/>
      <c r="E103" s="325"/>
      <c r="G103" s="998"/>
      <c r="O103" s="995"/>
      <c r="AP103" s="331"/>
      <c r="AQ103" s="136"/>
      <c r="AR103" s="136"/>
      <c r="AS103" s="136"/>
      <c r="AT103" s="136"/>
      <c r="AZ103" s="86"/>
      <c r="BA103" s="1091"/>
      <c r="BB103" s="96">
        <v>20</v>
      </c>
      <c r="BC103" s="78"/>
      <c r="BD103" s="78"/>
      <c r="BE103" s="78"/>
      <c r="BF103" s="78"/>
      <c r="BG103" s="78"/>
      <c r="BH103" s="78"/>
      <c r="BI103" s="78"/>
      <c r="BJ103" s="78"/>
      <c r="BM103" s="137"/>
      <c r="BN103" s="117" t="b">
        <f>IF(BV81=20,12)</f>
        <v>0</v>
      </c>
      <c r="BO103" s="111"/>
      <c r="BP103" s="111"/>
      <c r="BQ103" s="111"/>
      <c r="BR103" s="111"/>
      <c r="BS103" s="111"/>
      <c r="BT103" s="138"/>
      <c r="BU103" s="111"/>
      <c r="BV103" s="129"/>
      <c r="BW103" s="111"/>
      <c r="BX103" s="111"/>
      <c r="BY103" s="111"/>
      <c r="BZ103" s="111"/>
      <c r="CA103" s="111"/>
      <c r="CB103" s="111"/>
      <c r="CC103" s="111"/>
      <c r="CD103" s="103" t="b">
        <f>IF(BV81=20,28)</f>
        <v>0</v>
      </c>
      <c r="CE103" s="137"/>
      <c r="CG103" s="76"/>
      <c r="CH103" s="76"/>
      <c r="CI103" s="76"/>
      <c r="CJ103" s="76"/>
      <c r="CK103" s="76"/>
      <c r="CL103" s="76"/>
      <c r="CM103" s="76"/>
      <c r="CN103" s="76"/>
      <c r="CO103" s="78"/>
      <c r="CP103" s="78"/>
    </row>
    <row r="104" spans="2:94" ht="21" hidden="1" thickBot="1" x14ac:dyDescent="0.25">
      <c r="B104" s="330"/>
      <c r="C104" s="126"/>
      <c r="D104" s="126"/>
      <c r="E104" s="325"/>
      <c r="G104" s="998"/>
      <c r="O104" s="995"/>
      <c r="AP104" s="331"/>
      <c r="AQ104" s="136"/>
      <c r="AR104" s="136"/>
      <c r="AS104" s="136"/>
      <c r="AT104" s="136"/>
      <c r="AZ104" s="86"/>
      <c r="BA104" s="1091"/>
      <c r="BB104" s="96">
        <v>19</v>
      </c>
      <c r="BC104" s="78"/>
      <c r="BD104" s="78"/>
      <c r="BE104" s="78"/>
      <c r="BF104" s="78"/>
      <c r="BG104" s="78"/>
      <c r="BH104" s="78"/>
      <c r="BI104" s="78"/>
      <c r="BJ104" s="78"/>
      <c r="BL104" s="139"/>
      <c r="BM104" s="139"/>
      <c r="BN104" s="117">
        <f>IF(BU81=19,12)</f>
        <v>12</v>
      </c>
      <c r="BO104" s="119"/>
      <c r="BP104" s="119"/>
      <c r="BQ104" s="118"/>
      <c r="BR104" s="119"/>
      <c r="BS104" s="119"/>
      <c r="BT104" s="140"/>
      <c r="BU104" s="119"/>
      <c r="BV104" s="141"/>
      <c r="BW104" s="118"/>
      <c r="BX104" s="119"/>
      <c r="BY104" s="119"/>
      <c r="BZ104" s="119"/>
      <c r="CA104" s="111"/>
      <c r="CB104" s="103">
        <f>IF(BU81=19,26)</f>
        <v>26</v>
      </c>
      <c r="CC104" s="142"/>
      <c r="CD104" s="137"/>
      <c r="CF104" s="78"/>
      <c r="CG104" s="78"/>
      <c r="CH104" s="78"/>
      <c r="CI104" s="78"/>
      <c r="CJ104" s="78"/>
      <c r="CK104" s="78"/>
      <c r="CL104" s="78"/>
      <c r="CM104" s="78"/>
      <c r="CN104" s="78"/>
      <c r="CO104" s="78"/>
      <c r="CP104" s="78"/>
    </row>
    <row r="105" spans="2:94" ht="21" hidden="1" thickBot="1" x14ac:dyDescent="0.25">
      <c r="B105" s="330"/>
      <c r="C105" s="126"/>
      <c r="D105" s="126"/>
      <c r="E105" s="325"/>
      <c r="G105" s="998"/>
      <c r="O105" s="995"/>
      <c r="AP105" s="331"/>
      <c r="AQ105" s="136"/>
      <c r="AR105" s="136"/>
      <c r="AS105" s="136"/>
      <c r="AT105" s="136"/>
      <c r="AZ105" s="86"/>
      <c r="BA105" s="1091"/>
      <c r="BB105" s="96">
        <v>18</v>
      </c>
      <c r="BC105" s="76"/>
      <c r="BD105" s="76"/>
      <c r="BE105" s="76"/>
      <c r="BF105" s="76"/>
      <c r="BG105" s="76"/>
      <c r="BH105" s="76"/>
      <c r="BI105" s="76"/>
      <c r="BJ105" s="76"/>
      <c r="BL105" s="117" t="b">
        <f>IF(BT81=18,10)</f>
        <v>0</v>
      </c>
      <c r="BM105" s="119"/>
      <c r="BN105" s="119"/>
      <c r="BO105" s="119"/>
      <c r="BP105" s="119"/>
      <c r="BQ105" s="118"/>
      <c r="BR105" s="119"/>
      <c r="BS105" s="119"/>
      <c r="BT105" s="140"/>
      <c r="BU105" s="119"/>
      <c r="BV105" s="141"/>
      <c r="BW105" s="118"/>
      <c r="BX105" s="119"/>
      <c r="BY105" s="119"/>
      <c r="BZ105" s="119"/>
      <c r="CA105" s="111"/>
      <c r="CB105" s="103" t="b">
        <f>IF(BT81=18,26)</f>
        <v>0</v>
      </c>
      <c r="CD105" s="78"/>
      <c r="CE105" s="78"/>
      <c r="CF105" s="78"/>
      <c r="CG105" s="78"/>
      <c r="CH105" s="78"/>
      <c r="CI105" s="78"/>
      <c r="CJ105" s="78"/>
      <c r="CK105" s="78"/>
      <c r="CL105" s="78"/>
      <c r="CM105" s="78"/>
      <c r="CN105" s="78"/>
      <c r="CO105" s="78"/>
      <c r="CP105" s="78"/>
    </row>
    <row r="106" spans="2:94" ht="21" hidden="1" thickBot="1" x14ac:dyDescent="0.25">
      <c r="B106" s="330"/>
      <c r="C106" s="126"/>
      <c r="D106" s="126"/>
      <c r="E106" s="325"/>
      <c r="G106" s="998"/>
      <c r="O106" s="995"/>
      <c r="AP106" s="331"/>
      <c r="AQ106" s="136"/>
      <c r="AR106" s="136"/>
      <c r="AS106" s="136"/>
      <c r="AT106" s="136"/>
      <c r="AZ106" s="86"/>
      <c r="BA106" s="1091"/>
      <c r="BB106" s="96">
        <v>17</v>
      </c>
      <c r="BC106" s="76"/>
      <c r="BD106" s="76"/>
      <c r="BE106" s="76"/>
      <c r="BF106" s="76"/>
      <c r="BG106" s="76"/>
      <c r="BH106" s="76"/>
      <c r="BI106" s="76"/>
      <c r="BJ106" s="117" t="b">
        <f>IF(BS81=17,8)</f>
        <v>0</v>
      </c>
      <c r="BK106" s="118"/>
      <c r="BL106" s="118"/>
      <c r="BM106" s="119"/>
      <c r="BN106" s="119"/>
      <c r="BO106" s="119"/>
      <c r="BP106" s="119"/>
      <c r="BQ106" s="119"/>
      <c r="BR106" s="119"/>
      <c r="BS106" s="119"/>
      <c r="BT106" s="140"/>
      <c r="BU106" s="119"/>
      <c r="BV106" s="141"/>
      <c r="BW106" s="119"/>
      <c r="BX106" s="119"/>
      <c r="BY106" s="119"/>
      <c r="BZ106" s="118"/>
      <c r="CA106" s="118"/>
      <c r="CB106" s="103" t="b">
        <f>IF(BS81=17,26)</f>
        <v>0</v>
      </c>
      <c r="CC106" s="78"/>
      <c r="CD106" s="78"/>
      <c r="CE106" s="78"/>
      <c r="CF106" s="78"/>
      <c r="CG106" s="78"/>
      <c r="CH106" s="78"/>
      <c r="CI106" s="78"/>
      <c r="CJ106" s="78"/>
      <c r="CK106" s="78"/>
      <c r="CL106" s="78"/>
      <c r="CM106" s="78"/>
      <c r="CN106" s="78"/>
      <c r="CO106" s="78"/>
      <c r="CP106" s="78"/>
    </row>
    <row r="107" spans="2:94" ht="21" hidden="1" thickBot="1" x14ac:dyDescent="0.25">
      <c r="B107" s="330"/>
      <c r="C107" s="126"/>
      <c r="D107" s="126"/>
      <c r="E107" s="325"/>
      <c r="G107" s="998"/>
      <c r="O107" s="995"/>
      <c r="AP107" s="331"/>
      <c r="AQ107" s="136"/>
      <c r="AR107" s="136"/>
      <c r="AS107" s="136"/>
      <c r="AT107" s="136"/>
      <c r="AZ107" s="86"/>
      <c r="BA107" s="1091"/>
      <c r="BB107" s="96">
        <v>16</v>
      </c>
      <c r="BC107" s="76"/>
      <c r="BD107" s="76"/>
      <c r="BE107" s="76"/>
      <c r="BF107" s="76"/>
      <c r="BG107" s="76"/>
      <c r="BH107" s="145" t="b">
        <f>IF(BR81=16,6)</f>
        <v>0</v>
      </c>
      <c r="BI107" s="146"/>
      <c r="BJ107" s="147"/>
      <c r="BK107" s="147"/>
      <c r="BL107" s="146"/>
      <c r="BM107" s="146"/>
      <c r="BN107" s="146"/>
      <c r="BO107" s="146"/>
      <c r="BP107" s="146"/>
      <c r="BQ107" s="146"/>
      <c r="BR107" s="146"/>
      <c r="BS107" s="146"/>
      <c r="BT107" s="148"/>
      <c r="BU107" s="146"/>
      <c r="BV107" s="149"/>
      <c r="BW107" s="146"/>
      <c r="BX107" s="146"/>
      <c r="BY107" s="147"/>
      <c r="BZ107" s="147"/>
      <c r="CA107" s="150"/>
      <c r="CB107" s="151" t="b">
        <f>IF(BR81=16,26)</f>
        <v>0</v>
      </c>
      <c r="CC107" s="78"/>
      <c r="CD107" s="78"/>
      <c r="CE107" s="78"/>
      <c r="CF107" s="78"/>
      <c r="CG107" s="78"/>
      <c r="CH107" s="78"/>
      <c r="CI107" s="78"/>
      <c r="CJ107" s="78"/>
      <c r="CK107" s="78"/>
      <c r="CL107" s="78"/>
      <c r="CM107" s="78"/>
      <c r="CN107" s="78"/>
      <c r="CO107" s="78"/>
      <c r="CP107" s="78"/>
    </row>
    <row r="108" spans="2:94" ht="21" hidden="1" thickBot="1" x14ac:dyDescent="0.25">
      <c r="B108" s="330"/>
      <c r="C108" s="126"/>
      <c r="D108" s="126"/>
      <c r="E108" s="325"/>
      <c r="G108" s="998"/>
      <c r="O108" s="995"/>
      <c r="AP108" s="76"/>
      <c r="AQ108" s="136"/>
      <c r="AR108" s="136"/>
      <c r="AS108" s="136"/>
      <c r="AT108" s="136"/>
      <c r="AZ108" s="86"/>
      <c r="BA108" s="1091"/>
      <c r="BB108" s="96">
        <v>15</v>
      </c>
      <c r="BC108" s="76"/>
      <c r="BD108" s="76"/>
      <c r="BE108" s="76"/>
      <c r="BF108" s="117" t="b">
        <f>IF(BQ81=15,4)</f>
        <v>0</v>
      </c>
      <c r="BG108" s="119"/>
      <c r="BH108" s="119"/>
      <c r="BI108" s="119"/>
      <c r="BJ108" s="118"/>
      <c r="BK108" s="119"/>
      <c r="BL108" s="119"/>
      <c r="BM108" s="118"/>
      <c r="BN108" s="119"/>
      <c r="BO108" s="119"/>
      <c r="BP108" s="119"/>
      <c r="BQ108" s="119"/>
      <c r="BR108" s="119"/>
      <c r="BS108" s="119"/>
      <c r="BT108" s="140"/>
      <c r="BU108" s="118"/>
      <c r="BV108" s="141"/>
      <c r="BW108" s="119"/>
      <c r="BX108" s="118"/>
      <c r="BY108" s="119"/>
      <c r="BZ108" s="119"/>
      <c r="CA108" s="111"/>
      <c r="CB108" s="103" t="b">
        <f>IF(BQ81=15,26)</f>
        <v>0</v>
      </c>
      <c r="CC108" s="78"/>
      <c r="CD108" s="78"/>
      <c r="CE108" s="78"/>
      <c r="CF108" s="78"/>
      <c r="CG108" s="78"/>
      <c r="CH108" s="78"/>
      <c r="CI108" s="78"/>
      <c r="CJ108" s="78"/>
      <c r="CK108" s="78"/>
      <c r="CL108" s="78"/>
      <c r="CM108" s="78"/>
      <c r="CN108" s="78"/>
      <c r="CO108" s="78"/>
      <c r="CP108" s="78"/>
    </row>
    <row r="109" spans="2:94" ht="31" hidden="1" thickBot="1" x14ac:dyDescent="0.3">
      <c r="B109" s="332"/>
      <c r="C109" s="333"/>
      <c r="D109" s="333"/>
      <c r="E109" s="68"/>
      <c r="G109" s="998"/>
      <c r="O109" s="995"/>
      <c r="AP109" s="329"/>
      <c r="AQ109" s="136"/>
      <c r="AR109" s="136"/>
      <c r="AS109" s="136"/>
      <c r="AT109" s="136"/>
      <c r="AZ109" s="86"/>
      <c r="BA109" s="1091"/>
      <c r="BB109" s="96">
        <v>14</v>
      </c>
      <c r="BC109" s="76"/>
      <c r="BD109" s="117" t="b">
        <f>IF(BP81=14,2)</f>
        <v>0</v>
      </c>
      <c r="BE109" s="119"/>
      <c r="BF109" s="119"/>
      <c r="BG109" s="119"/>
      <c r="BH109" s="118"/>
      <c r="BI109" s="119"/>
      <c r="BJ109" s="119"/>
      <c r="BK109" s="118"/>
      <c r="BL109" s="119"/>
      <c r="BM109" s="119"/>
      <c r="BN109" s="119"/>
      <c r="BO109" s="119"/>
      <c r="BP109" s="119"/>
      <c r="BQ109" s="119"/>
      <c r="BR109" s="119"/>
      <c r="BS109" s="119"/>
      <c r="BT109" s="140"/>
      <c r="BU109" s="118"/>
      <c r="BV109" s="141"/>
      <c r="BW109" s="119"/>
      <c r="BX109" s="118"/>
      <c r="BY109" s="119"/>
      <c r="BZ109" s="119"/>
      <c r="CA109" s="111"/>
      <c r="CB109" s="103" t="b">
        <f>IF(BP81=14,26)</f>
        <v>0</v>
      </c>
      <c r="CC109" s="78"/>
      <c r="CD109" s="78"/>
      <c r="CE109" s="78"/>
      <c r="CF109" s="78"/>
      <c r="CG109" s="78"/>
      <c r="CH109" s="78"/>
      <c r="CI109" s="78"/>
      <c r="CJ109" s="78"/>
      <c r="CK109" s="78"/>
      <c r="CL109" s="78"/>
      <c r="CM109" s="78"/>
      <c r="CN109" s="78"/>
      <c r="CO109" s="78"/>
      <c r="CP109" s="78"/>
    </row>
    <row r="110" spans="2:94" ht="21" hidden="1" thickBot="1" x14ac:dyDescent="0.25">
      <c r="B110" s="1832"/>
      <c r="C110" s="1832"/>
      <c r="D110" s="1832"/>
      <c r="E110" s="1832"/>
      <c r="G110" s="998"/>
      <c r="O110" s="995"/>
      <c r="AP110" s="76"/>
      <c r="AQ110" s="136"/>
      <c r="AR110" s="136"/>
      <c r="AS110" s="136"/>
      <c r="AT110" s="136"/>
      <c r="AZ110" s="86"/>
      <c r="BA110" s="1091"/>
      <c r="BB110" s="96">
        <v>13</v>
      </c>
      <c r="BC110" s="76"/>
      <c r="BD110" s="76"/>
      <c r="BE110" s="76"/>
      <c r="BG110" s="152"/>
      <c r="BH110" s="152"/>
      <c r="BI110" s="91"/>
      <c r="BJ110" s="152"/>
      <c r="BK110" s="120" t="b">
        <f>IF(BO81=13,9)</f>
        <v>0</v>
      </c>
      <c r="BL110" s="123"/>
      <c r="BM110" s="123"/>
      <c r="BN110" s="123"/>
      <c r="BO110" s="123"/>
      <c r="BP110" s="123"/>
      <c r="BQ110" s="123"/>
      <c r="BR110" s="123"/>
      <c r="BS110" s="124" t="b">
        <f>IF(BO81=13,17)</f>
        <v>0</v>
      </c>
      <c r="BT110" s="153"/>
      <c r="BU110" s="91"/>
      <c r="BV110" s="154"/>
      <c r="BW110" s="152"/>
      <c r="BY110" s="76"/>
      <c r="BZ110" s="76"/>
      <c r="CA110" s="78"/>
      <c r="CB110" s="78"/>
      <c r="CC110" s="78"/>
      <c r="CD110" s="78"/>
      <c r="CE110" s="78"/>
      <c r="CF110" s="78"/>
      <c r="CG110" s="78"/>
      <c r="CH110" s="78"/>
      <c r="CI110" s="78"/>
      <c r="CJ110" s="78"/>
      <c r="CK110" s="78"/>
      <c r="CL110" s="78"/>
      <c r="CM110" s="78"/>
      <c r="CN110" s="78"/>
      <c r="CO110" s="78"/>
      <c r="CP110" s="78"/>
    </row>
    <row r="111" spans="2:94" ht="21" hidden="1" thickBot="1" x14ac:dyDescent="0.25">
      <c r="B111" s="330"/>
      <c r="C111" s="126"/>
      <c r="D111" s="126"/>
      <c r="E111" s="325"/>
      <c r="G111" s="998"/>
      <c r="O111" s="995"/>
      <c r="AP111" s="199"/>
      <c r="AQ111" s="136"/>
      <c r="AR111" s="136"/>
      <c r="AS111" s="136"/>
      <c r="AT111" s="136"/>
      <c r="AZ111" s="86"/>
      <c r="BA111" s="1091"/>
      <c r="BB111" s="96">
        <v>12</v>
      </c>
      <c r="BC111" s="76"/>
      <c r="BE111" s="139"/>
      <c r="BF111" s="139"/>
      <c r="BG111" s="142"/>
      <c r="BH111" s="139"/>
      <c r="BI111" s="117" t="b">
        <f>IF(BN81=12,7)</f>
        <v>0</v>
      </c>
      <c r="BJ111" s="119"/>
      <c r="BK111" s="119"/>
      <c r="BL111" s="119"/>
      <c r="BM111" s="119"/>
      <c r="BN111" s="119"/>
      <c r="BO111" s="119"/>
      <c r="BP111" s="119"/>
      <c r="BQ111" s="119"/>
      <c r="BR111" s="119"/>
      <c r="BS111" s="103" t="b">
        <f>IF(BN81=12,17)</f>
        <v>0</v>
      </c>
      <c r="BT111" s="155"/>
      <c r="BU111" s="142"/>
      <c r="BV111" s="156"/>
      <c r="BW111" s="139"/>
      <c r="BY111" s="76"/>
      <c r="BZ111" s="76"/>
      <c r="CA111" s="78"/>
      <c r="CB111" s="78"/>
      <c r="CC111" s="78"/>
      <c r="CD111" s="78"/>
      <c r="CE111" s="78"/>
      <c r="CF111" s="78"/>
      <c r="CG111" s="78"/>
      <c r="CH111" s="78"/>
      <c r="CI111" s="78"/>
      <c r="CJ111" s="78"/>
      <c r="CK111" s="78"/>
      <c r="CL111" s="78"/>
      <c r="CM111" s="78"/>
      <c r="CN111" s="78"/>
      <c r="CO111" s="78"/>
      <c r="CP111" s="78"/>
    </row>
    <row r="112" spans="2:94" ht="21" hidden="1" thickBot="1" x14ac:dyDescent="0.25">
      <c r="B112" s="330"/>
      <c r="C112" s="126"/>
      <c r="D112" s="64"/>
      <c r="E112" s="325"/>
      <c r="F112" s="64"/>
      <c r="G112" s="998"/>
      <c r="O112" s="995"/>
      <c r="AP112" s="199"/>
      <c r="AQ112" s="136"/>
      <c r="AR112" s="136"/>
      <c r="AS112" s="136"/>
      <c r="AT112" s="136"/>
      <c r="AZ112" s="86"/>
      <c r="BA112" s="1091"/>
      <c r="BB112" s="96">
        <v>11</v>
      </c>
      <c r="BD112" s="152"/>
      <c r="BE112" s="91"/>
      <c r="BF112" s="152"/>
      <c r="BG112" s="117" t="b">
        <f>IF(BM81=11,5)</f>
        <v>0</v>
      </c>
      <c r="BH112" s="119"/>
      <c r="BI112" s="119"/>
      <c r="BJ112" s="119"/>
      <c r="BK112" s="119"/>
      <c r="BL112" s="119"/>
      <c r="BM112" s="119"/>
      <c r="BN112" s="119"/>
      <c r="BO112" s="119"/>
      <c r="BP112" s="119"/>
      <c r="BQ112" s="119"/>
      <c r="BR112" s="119"/>
      <c r="BS112" s="103" t="b">
        <f>IF(BM81=11,17)</f>
        <v>0</v>
      </c>
      <c r="BT112" s="153"/>
      <c r="BU112" s="91"/>
      <c r="BV112" s="154"/>
      <c r="BX112" s="76"/>
      <c r="BY112" s="76"/>
      <c r="BZ112" s="76"/>
      <c r="CA112" s="78"/>
      <c r="CB112" s="78"/>
      <c r="CC112" s="78"/>
      <c r="CD112" s="78"/>
      <c r="CE112" s="78"/>
      <c r="CF112" s="78"/>
      <c r="CG112" s="78"/>
      <c r="CH112" s="78"/>
      <c r="CI112" s="78"/>
      <c r="CJ112" s="78"/>
      <c r="CK112" s="78"/>
      <c r="CL112" s="78"/>
      <c r="CM112" s="78"/>
      <c r="CN112" s="78"/>
      <c r="CO112" s="78"/>
      <c r="CP112" s="78"/>
    </row>
    <row r="113" spans="2:94" ht="24" hidden="1" thickBot="1" x14ac:dyDescent="0.3">
      <c r="B113" s="334"/>
      <c r="C113" s="333"/>
      <c r="D113" s="334"/>
      <c r="E113" s="334"/>
      <c r="G113" s="998"/>
      <c r="O113" s="995"/>
      <c r="AP113" s="329"/>
      <c r="AQ113" s="136"/>
      <c r="AR113" s="136"/>
      <c r="AS113" s="136"/>
      <c r="AT113" s="136"/>
      <c r="AZ113" s="86"/>
      <c r="BA113" s="1091"/>
      <c r="BB113" s="96">
        <v>10</v>
      </c>
      <c r="BD113" s="152"/>
      <c r="BE113" s="117" t="b">
        <f>IF(BL81=10,3)</f>
        <v>0</v>
      </c>
      <c r="BF113" s="119"/>
      <c r="BG113" s="119"/>
      <c r="BH113" s="119"/>
      <c r="BI113" s="119"/>
      <c r="BJ113" s="119"/>
      <c r="BK113" s="119"/>
      <c r="BL113" s="119"/>
      <c r="BM113" s="119"/>
      <c r="BN113" s="119"/>
      <c r="BO113" s="119"/>
      <c r="BP113" s="119"/>
      <c r="BQ113" s="119"/>
      <c r="BR113" s="119"/>
      <c r="BS113" s="103" t="b">
        <f>IF(BL81=10,17)</f>
        <v>0</v>
      </c>
      <c r="BT113" s="153"/>
      <c r="BV113" s="157"/>
      <c r="BW113" s="76"/>
      <c r="BX113" s="76"/>
      <c r="BY113" s="76"/>
      <c r="BZ113" s="76"/>
      <c r="CA113" s="78"/>
      <c r="CB113" s="78"/>
      <c r="CC113" s="78"/>
      <c r="CD113" s="78"/>
      <c r="CE113" s="78"/>
      <c r="CF113" s="78"/>
      <c r="CG113" s="78"/>
      <c r="CH113" s="78"/>
      <c r="CI113" s="78"/>
      <c r="CJ113" s="78"/>
      <c r="CK113" s="78"/>
      <c r="CL113" s="78"/>
      <c r="CM113" s="78"/>
      <c r="CN113" s="78"/>
      <c r="CO113" s="78"/>
      <c r="CP113" s="78"/>
    </row>
    <row r="114" spans="2:94" ht="21" hidden="1" thickBot="1" x14ac:dyDescent="0.25">
      <c r="B114" s="335"/>
      <c r="C114" s="333"/>
      <c r="D114" s="86"/>
      <c r="E114" s="336"/>
      <c r="G114" s="998"/>
      <c r="O114" s="995"/>
      <c r="AP114" s="199"/>
      <c r="AR114" s="136"/>
      <c r="AS114" s="136"/>
      <c r="AT114" s="136"/>
      <c r="AZ114" s="86"/>
      <c r="BA114" s="1091"/>
      <c r="BB114" s="96">
        <v>9</v>
      </c>
      <c r="BC114" s="117" t="b">
        <f>IF(BK81=9,1)</f>
        <v>0</v>
      </c>
      <c r="BD114" s="119"/>
      <c r="BE114" s="119"/>
      <c r="BF114" s="119"/>
      <c r="BG114" s="119"/>
      <c r="BH114" s="119"/>
      <c r="BI114" s="119"/>
      <c r="BJ114" s="119"/>
      <c r="BK114" s="119"/>
      <c r="BL114" s="119"/>
      <c r="BM114" s="119"/>
      <c r="BN114" s="119"/>
      <c r="BO114" s="119"/>
      <c r="BP114" s="119"/>
      <c r="BQ114" s="119"/>
      <c r="BR114" s="119"/>
      <c r="BS114" s="103" t="b">
        <f>IF(BK81=9,17)</f>
        <v>0</v>
      </c>
      <c r="BT114" s="76"/>
      <c r="BU114" s="76"/>
      <c r="BV114" s="157"/>
      <c r="BW114" s="76"/>
      <c r="BX114" s="76"/>
      <c r="BY114" s="76"/>
      <c r="BZ114" s="76"/>
      <c r="CA114" s="78"/>
      <c r="CB114" s="78"/>
      <c r="CC114" s="78"/>
      <c r="CD114" s="78"/>
      <c r="CE114" s="78"/>
      <c r="CF114" s="78"/>
      <c r="CG114" s="78"/>
      <c r="CH114" s="78"/>
      <c r="CI114" s="78"/>
      <c r="CJ114" s="78"/>
      <c r="CK114" s="78"/>
      <c r="CL114" s="78"/>
      <c r="CM114" s="78"/>
      <c r="CN114" s="78"/>
      <c r="CO114" s="78"/>
      <c r="CP114" s="78"/>
    </row>
    <row r="115" spans="2:94" ht="21" hidden="1" thickBot="1" x14ac:dyDescent="0.25">
      <c r="B115" s="335"/>
      <c r="C115" s="333"/>
      <c r="D115" s="333"/>
      <c r="E115" s="336"/>
      <c r="G115" s="998"/>
      <c r="O115" s="995"/>
      <c r="AP115" s="199"/>
      <c r="AQ115" s="136"/>
      <c r="AR115" s="136"/>
      <c r="AS115" s="136"/>
      <c r="AT115" s="136"/>
      <c r="AZ115" s="86"/>
      <c r="BA115" s="1091"/>
      <c r="BB115" s="96">
        <v>8</v>
      </c>
      <c r="BC115" s="117" t="b">
        <f>IF(BJ81=8,1)</f>
        <v>0</v>
      </c>
      <c r="BD115" s="119"/>
      <c r="BE115" s="118"/>
      <c r="BF115" s="119"/>
      <c r="BG115" s="119"/>
      <c r="BH115" s="119"/>
      <c r="BI115" s="119"/>
      <c r="BJ115" s="119"/>
      <c r="BK115" s="119"/>
      <c r="BL115" s="119"/>
      <c r="BM115" s="119"/>
      <c r="BN115" s="119"/>
      <c r="BO115" s="118"/>
      <c r="BP115" s="119"/>
      <c r="BQ115" s="103" t="b">
        <f>IF(BJ81=8,15)</f>
        <v>0</v>
      </c>
      <c r="BR115" s="76"/>
      <c r="BS115" s="76"/>
      <c r="BT115" s="158"/>
      <c r="BU115" s="76"/>
      <c r="BV115" s="157"/>
      <c r="BW115" s="76"/>
      <c r="BX115" s="76"/>
      <c r="BY115" s="76"/>
      <c r="BZ115" s="76"/>
      <c r="CA115" s="78"/>
      <c r="CB115" s="78"/>
      <c r="CC115" s="78"/>
      <c r="CD115" s="78"/>
      <c r="CE115" s="78"/>
      <c r="CF115" s="78"/>
      <c r="CG115" s="78"/>
      <c r="CH115" s="78"/>
      <c r="CI115" s="78"/>
      <c r="CJ115" s="78"/>
      <c r="CK115" s="78"/>
      <c r="CL115" s="78"/>
      <c r="CM115" s="78"/>
      <c r="CN115" s="78"/>
      <c r="CO115" s="78"/>
      <c r="CP115" s="78"/>
    </row>
    <row r="116" spans="2:94" ht="21" hidden="1" thickBot="1" x14ac:dyDescent="0.25">
      <c r="B116" s="337"/>
      <c r="C116" s="86"/>
      <c r="D116" s="86"/>
      <c r="E116" s="86"/>
      <c r="G116" s="998"/>
      <c r="O116" s="995"/>
      <c r="AP116" s="199"/>
      <c r="AR116" s="136"/>
      <c r="AS116" s="136"/>
      <c r="AT116" s="136"/>
      <c r="AZ116" s="86"/>
      <c r="BA116" s="1091"/>
      <c r="BB116" s="96">
        <v>7</v>
      </c>
      <c r="BC116" s="117" t="b">
        <f>IF(BI81=7,1)</f>
        <v>0</v>
      </c>
      <c r="BD116" s="118"/>
      <c r="BE116" s="119"/>
      <c r="BF116" s="119"/>
      <c r="BG116" s="119"/>
      <c r="BH116" s="119"/>
      <c r="BI116" s="119"/>
      <c r="BJ116" s="119"/>
      <c r="BK116" s="119"/>
      <c r="BL116" s="119"/>
      <c r="BM116" s="118"/>
      <c r="BN116" s="118"/>
      <c r="BO116" s="103" t="b">
        <f>IF(BI81=7,13)</f>
        <v>0</v>
      </c>
      <c r="BP116" s="76"/>
      <c r="BQ116" s="76"/>
      <c r="BR116" s="76"/>
      <c r="BS116" s="76"/>
      <c r="BT116" s="158"/>
      <c r="BU116" s="76"/>
      <c r="BV116" s="157"/>
      <c r="BW116" s="76"/>
      <c r="BX116" s="76"/>
      <c r="BY116" s="76"/>
      <c r="BZ116" s="76"/>
      <c r="CA116" s="78"/>
      <c r="CB116" s="78"/>
      <c r="CC116" s="78"/>
      <c r="CD116" s="78"/>
      <c r="CE116" s="78"/>
      <c r="CF116" s="78"/>
      <c r="CG116" s="78"/>
      <c r="CH116" s="78"/>
      <c r="CI116" s="78"/>
      <c r="CJ116" s="78"/>
      <c r="CK116" s="78"/>
      <c r="CL116" s="78"/>
      <c r="CM116" s="78"/>
      <c r="CN116" s="78"/>
      <c r="CO116" s="78"/>
      <c r="CP116" s="78"/>
    </row>
    <row r="117" spans="2:94" ht="21" hidden="1" thickBot="1" x14ac:dyDescent="0.25">
      <c r="B117" s="335"/>
      <c r="C117" s="333"/>
      <c r="G117" s="998"/>
      <c r="O117" s="995"/>
      <c r="AP117" s="78"/>
      <c r="AR117" s="136"/>
      <c r="AS117" s="136"/>
      <c r="AT117" s="136"/>
      <c r="AZ117" s="86"/>
      <c r="BA117" s="1091"/>
      <c r="BB117" s="96">
        <v>6</v>
      </c>
      <c r="BC117" s="120" t="b">
        <f>IF(BH81=6,1)</f>
        <v>0</v>
      </c>
      <c r="BD117" s="123"/>
      <c r="BE117" s="123"/>
      <c r="BF117" s="123"/>
      <c r="BG117" s="123"/>
      <c r="BH117" s="123"/>
      <c r="BI117" s="123"/>
      <c r="BJ117" s="123"/>
      <c r="BK117" s="123"/>
      <c r="BL117" s="123"/>
      <c r="BM117" s="124" t="b">
        <f>IF(BH81=6,11)</f>
        <v>0</v>
      </c>
      <c r="BN117" s="76"/>
      <c r="BO117" s="76"/>
      <c r="BP117" s="76"/>
      <c r="BQ117" s="76"/>
      <c r="BR117" s="76"/>
      <c r="BS117" s="76"/>
      <c r="BT117" s="158"/>
      <c r="BU117" s="76"/>
      <c r="BV117" s="157"/>
      <c r="BW117" s="76"/>
      <c r="BX117" s="76"/>
      <c r="BY117" s="76"/>
      <c r="BZ117" s="76"/>
      <c r="CA117" s="78"/>
      <c r="CB117" s="78"/>
      <c r="CC117" s="78"/>
      <c r="CD117" s="78"/>
      <c r="CE117" s="78"/>
      <c r="CF117" s="78"/>
      <c r="CG117" s="78"/>
      <c r="CH117" s="78"/>
      <c r="CI117" s="78"/>
      <c r="CJ117" s="78"/>
      <c r="CK117" s="78"/>
      <c r="CL117" s="78"/>
      <c r="CM117" s="78"/>
      <c r="CN117" s="78"/>
      <c r="CO117" s="78"/>
      <c r="CP117" s="78"/>
    </row>
    <row r="118" spans="2:94" ht="21" hidden="1" thickBot="1" x14ac:dyDescent="0.25">
      <c r="B118" s="338"/>
      <c r="C118" s="86"/>
      <c r="D118" s="338"/>
      <c r="E118" s="339"/>
      <c r="G118" s="998"/>
      <c r="O118" s="995"/>
      <c r="AP118" s="59"/>
      <c r="AQ118" s="136"/>
      <c r="AR118" s="136"/>
      <c r="AS118" s="136"/>
      <c r="AT118" s="136"/>
      <c r="AZ118" s="86"/>
      <c r="BA118" s="1091"/>
      <c r="BB118" s="96">
        <v>5</v>
      </c>
      <c r="BC118" s="120" t="b">
        <f>IF(BG81=5,1)</f>
        <v>0</v>
      </c>
      <c r="BD118" s="122"/>
      <c r="BE118" s="123"/>
      <c r="BF118" s="123"/>
      <c r="BG118" s="123"/>
      <c r="BH118" s="123"/>
      <c r="BI118" s="123"/>
      <c r="BJ118" s="122"/>
      <c r="BK118" s="124" t="b">
        <f>IF(BG81=5,9)</f>
        <v>0</v>
      </c>
      <c r="BL118" s="76"/>
      <c r="BM118" s="76"/>
      <c r="BN118" s="76"/>
      <c r="BO118" s="76"/>
      <c r="BP118" s="76"/>
      <c r="BQ118" s="76"/>
      <c r="BR118" s="76"/>
      <c r="BS118" s="76"/>
      <c r="BT118" s="158"/>
      <c r="BU118" s="76"/>
      <c r="BV118" s="157"/>
      <c r="BW118" s="76"/>
      <c r="BX118" s="76"/>
      <c r="BY118" s="76"/>
      <c r="BZ118" s="76"/>
      <c r="CA118" s="78"/>
      <c r="CB118" s="78"/>
      <c r="CC118" s="78"/>
      <c r="CD118" s="78"/>
      <c r="CE118" s="78"/>
      <c r="CF118" s="78"/>
      <c r="CG118" s="78"/>
      <c r="CH118" s="78"/>
      <c r="CI118" s="78"/>
      <c r="CJ118" s="78"/>
      <c r="CK118" s="78"/>
      <c r="CL118" s="78"/>
      <c r="CM118" s="78"/>
      <c r="CN118" s="78"/>
      <c r="CO118" s="78"/>
      <c r="CP118" s="78"/>
    </row>
    <row r="119" spans="2:94" ht="21" hidden="1" thickBot="1" x14ac:dyDescent="0.25">
      <c r="B119" s="338"/>
      <c r="C119" s="86"/>
      <c r="D119" s="338"/>
      <c r="E119" s="20"/>
      <c r="G119" s="998"/>
      <c r="O119" s="995"/>
      <c r="AP119" s="59"/>
      <c r="AR119" s="136"/>
      <c r="AS119" s="136"/>
      <c r="AT119" s="136"/>
      <c r="AZ119" s="86"/>
      <c r="BA119" s="1091"/>
      <c r="BB119" s="96">
        <v>4</v>
      </c>
      <c r="BC119" s="120" t="b">
        <f>IF(BF81=4,1)</f>
        <v>0</v>
      </c>
      <c r="BD119" s="123"/>
      <c r="BE119" s="123"/>
      <c r="BF119" s="123"/>
      <c r="BG119" s="123"/>
      <c r="BH119" s="123"/>
      <c r="BI119" s="124" t="b">
        <f>IF(BF81=4,7)</f>
        <v>0</v>
      </c>
      <c r="BJ119" s="76"/>
      <c r="BK119" s="159"/>
      <c r="BL119" s="159"/>
      <c r="BM119" s="76"/>
      <c r="BN119" s="159"/>
      <c r="BO119" s="76"/>
      <c r="BP119" s="76"/>
      <c r="BQ119" s="76"/>
      <c r="BR119" s="76"/>
      <c r="BS119" s="76"/>
      <c r="BT119" s="158"/>
      <c r="BU119" s="76"/>
      <c r="BV119" s="157"/>
      <c r="BW119" s="76"/>
      <c r="BX119" s="76"/>
      <c r="BY119" s="76"/>
      <c r="BZ119" s="76"/>
      <c r="CA119" s="78"/>
      <c r="CB119" s="78"/>
      <c r="CC119" s="78"/>
      <c r="CD119" s="78"/>
      <c r="CE119" s="78"/>
      <c r="CF119" s="78"/>
      <c r="CG119" s="78"/>
      <c r="CH119" s="78"/>
      <c r="CI119" s="78"/>
      <c r="CJ119" s="78"/>
      <c r="CK119" s="78"/>
      <c r="CL119" s="78"/>
      <c r="CM119" s="78"/>
      <c r="CN119" s="78"/>
      <c r="CO119" s="78"/>
      <c r="CP119" s="78"/>
    </row>
    <row r="120" spans="2:94" ht="21" hidden="1" thickBot="1" x14ac:dyDescent="0.25">
      <c r="B120" s="143"/>
      <c r="G120" s="998"/>
      <c r="O120" s="995"/>
      <c r="AP120" s="59"/>
      <c r="AQ120" s="136"/>
      <c r="AR120" s="136"/>
      <c r="AS120" s="136"/>
      <c r="AT120" s="136"/>
      <c r="AZ120" s="86"/>
      <c r="BA120" s="1091"/>
      <c r="BB120" s="96">
        <v>3</v>
      </c>
      <c r="BC120" s="120" t="b">
        <f>IF(BE81=3,1)</f>
        <v>0</v>
      </c>
      <c r="BD120" s="123"/>
      <c r="BE120" s="123"/>
      <c r="BF120" s="123"/>
      <c r="BG120" s="124" t="b">
        <f>IF(BE81=3,5)</f>
        <v>0</v>
      </c>
      <c r="BH120" s="76"/>
      <c r="BI120" s="76"/>
      <c r="BJ120" s="76"/>
      <c r="BK120" s="76"/>
      <c r="BL120" s="76"/>
      <c r="BM120" s="76"/>
      <c r="BN120" s="76"/>
      <c r="BO120" s="76"/>
      <c r="BP120" s="76"/>
      <c r="BQ120" s="76"/>
      <c r="BR120" s="76"/>
      <c r="BS120" s="76"/>
      <c r="BT120" s="158"/>
      <c r="BU120" s="76"/>
      <c r="BV120" s="157"/>
      <c r="BW120" s="76"/>
      <c r="BX120" s="76"/>
      <c r="BY120" s="76"/>
      <c r="BZ120" s="76"/>
      <c r="CA120" s="78"/>
      <c r="CB120" s="78"/>
      <c r="CC120" s="78"/>
      <c r="CD120" s="78"/>
      <c r="CE120" s="78"/>
      <c r="CF120" s="78"/>
      <c r="CG120" s="78"/>
      <c r="CH120" s="78"/>
      <c r="CI120" s="78"/>
      <c r="CJ120" s="78"/>
      <c r="CK120" s="78"/>
      <c r="CL120" s="78"/>
      <c r="CM120" s="78"/>
      <c r="CN120" s="78"/>
      <c r="CO120" s="78"/>
      <c r="CP120" s="78"/>
    </row>
    <row r="121" spans="2:94" hidden="1" x14ac:dyDescent="0.2">
      <c r="C121" s="126"/>
      <c r="G121" s="998"/>
      <c r="O121" s="995"/>
      <c r="AP121" s="59"/>
      <c r="AQ121" s="136"/>
      <c r="AR121" s="136"/>
      <c r="AS121" s="136"/>
      <c r="AT121" s="136"/>
      <c r="AZ121" s="86"/>
      <c r="BA121" s="1091"/>
      <c r="BB121" s="96">
        <v>2</v>
      </c>
      <c r="BC121" s="160" t="b">
        <f>IF(BD81=2,1)</f>
        <v>0</v>
      </c>
      <c r="BD121" s="161"/>
      <c r="BE121" s="162" t="b">
        <f>IF(BD81=2,3)</f>
        <v>0</v>
      </c>
      <c r="BF121" s="76"/>
      <c r="BG121" s="76"/>
      <c r="BH121" s="76"/>
      <c r="BI121" s="76"/>
      <c r="BJ121" s="76"/>
      <c r="BK121" s="76"/>
      <c r="BL121" s="76"/>
      <c r="BM121" s="76"/>
      <c r="BN121" s="76"/>
      <c r="BO121" s="76"/>
      <c r="BP121" s="76"/>
      <c r="BQ121" s="76"/>
      <c r="BR121" s="76"/>
      <c r="BS121" s="76"/>
      <c r="BT121" s="158"/>
      <c r="BU121" s="76"/>
      <c r="BV121" s="157"/>
      <c r="BW121" s="76"/>
      <c r="BX121" s="76"/>
      <c r="BY121" s="76"/>
      <c r="BZ121" s="76"/>
      <c r="CA121" s="78"/>
      <c r="CB121" s="78"/>
      <c r="CC121" s="78"/>
      <c r="CD121" s="78"/>
      <c r="CE121" s="78"/>
      <c r="CF121" s="78"/>
      <c r="CG121" s="78"/>
      <c r="CH121" s="78"/>
      <c r="CI121" s="78"/>
      <c r="CJ121" s="78"/>
      <c r="CK121" s="78"/>
      <c r="CL121" s="78"/>
      <c r="CM121" s="78"/>
      <c r="CN121" s="78"/>
      <c r="CO121" s="78"/>
      <c r="CP121" s="78"/>
    </row>
    <row r="122" spans="2:94" ht="32.25" hidden="1" customHeight="1" thickBot="1" x14ac:dyDescent="0.25">
      <c r="B122" s="330"/>
      <c r="C122" s="126"/>
      <c r="D122" s="126"/>
      <c r="E122" s="325"/>
      <c r="G122" s="998"/>
      <c r="O122" s="995"/>
      <c r="AP122" s="59"/>
      <c r="AQ122" s="136"/>
      <c r="AR122" s="136"/>
      <c r="AS122" s="136"/>
      <c r="AT122" s="136"/>
      <c r="AZ122" s="86"/>
      <c r="BA122" s="1091"/>
      <c r="BB122" s="163"/>
      <c r="BC122" s="164">
        <f>SUM(BC87:BC121)</f>
        <v>0</v>
      </c>
      <c r="BD122" s="164">
        <f t="shared" ref="BD122:CM122" si="3">SUM(BD87:BD121)</f>
        <v>0</v>
      </c>
      <c r="BE122" s="164">
        <f t="shared" si="3"/>
        <v>0</v>
      </c>
      <c r="BF122" s="164">
        <f t="shared" si="3"/>
        <v>0</v>
      </c>
      <c r="BG122" s="164">
        <f t="shared" si="3"/>
        <v>0</v>
      </c>
      <c r="BH122" s="164">
        <f t="shared" si="3"/>
        <v>0</v>
      </c>
      <c r="BI122" s="164">
        <f t="shared" si="3"/>
        <v>0</v>
      </c>
      <c r="BJ122" s="164">
        <f t="shared" si="3"/>
        <v>0</v>
      </c>
      <c r="BK122" s="164">
        <f t="shared" si="3"/>
        <v>0</v>
      </c>
      <c r="BL122" s="164">
        <f t="shared" si="3"/>
        <v>0</v>
      </c>
      <c r="BM122" s="164">
        <f t="shared" si="3"/>
        <v>0</v>
      </c>
      <c r="BN122" s="164">
        <f t="shared" si="3"/>
        <v>12</v>
      </c>
      <c r="BO122" s="164">
        <f t="shared" si="3"/>
        <v>0</v>
      </c>
      <c r="BP122" s="164">
        <f t="shared" si="3"/>
        <v>0</v>
      </c>
      <c r="BQ122" s="164">
        <f t="shared" si="3"/>
        <v>0</v>
      </c>
      <c r="BR122" s="164">
        <f t="shared" si="3"/>
        <v>0</v>
      </c>
      <c r="BS122" s="165">
        <f t="shared" si="3"/>
        <v>0</v>
      </c>
      <c r="BT122" s="166"/>
      <c r="BU122" s="167"/>
      <c r="BV122" s="168"/>
      <c r="BW122" s="787">
        <f t="shared" si="3"/>
        <v>0</v>
      </c>
      <c r="BX122" s="164">
        <f t="shared" si="3"/>
        <v>0</v>
      </c>
      <c r="BY122" s="164">
        <f t="shared" si="3"/>
        <v>0</v>
      </c>
      <c r="BZ122" s="164">
        <f t="shared" si="3"/>
        <v>0</v>
      </c>
      <c r="CA122" s="164">
        <f t="shared" si="3"/>
        <v>0</v>
      </c>
      <c r="CB122" s="164">
        <f t="shared" si="3"/>
        <v>26</v>
      </c>
      <c r="CC122" s="164">
        <f t="shared" si="3"/>
        <v>0</v>
      </c>
      <c r="CD122" s="164">
        <f t="shared" si="3"/>
        <v>0</v>
      </c>
      <c r="CE122" s="164">
        <f t="shared" si="3"/>
        <v>0</v>
      </c>
      <c r="CF122" s="164">
        <f t="shared" si="3"/>
        <v>0</v>
      </c>
      <c r="CG122" s="164">
        <f t="shared" si="3"/>
        <v>0</v>
      </c>
      <c r="CH122" s="164">
        <f t="shared" si="3"/>
        <v>0</v>
      </c>
      <c r="CI122" s="164">
        <f t="shared" si="3"/>
        <v>0</v>
      </c>
      <c r="CJ122" s="164">
        <f t="shared" si="3"/>
        <v>0</v>
      </c>
      <c r="CK122" s="164">
        <f t="shared" si="3"/>
        <v>0</v>
      </c>
      <c r="CL122" s="164">
        <f t="shared" si="3"/>
        <v>0</v>
      </c>
      <c r="CM122" s="164">
        <f t="shared" si="3"/>
        <v>0</v>
      </c>
      <c r="CN122" s="78"/>
      <c r="CO122" s="78"/>
      <c r="CP122" s="78"/>
    </row>
    <row r="123" spans="2:94" ht="142.5" customHeight="1" thickBot="1" x14ac:dyDescent="0.25">
      <c r="B123" s="330"/>
      <c r="C123" s="126"/>
      <c r="D123" s="126"/>
      <c r="E123" s="325"/>
      <c r="G123" s="998"/>
      <c r="O123" s="995"/>
      <c r="AP123" s="59"/>
      <c r="AQ123" s="136"/>
      <c r="AR123" s="136"/>
      <c r="AS123" s="136"/>
      <c r="AT123" s="136"/>
      <c r="AZ123" s="86"/>
      <c r="BA123" s="1091"/>
      <c r="BB123" s="163"/>
      <c r="BC123" s="170"/>
      <c r="BD123" s="170"/>
      <c r="BE123" s="170"/>
      <c r="BF123" s="170"/>
      <c r="BG123" s="170"/>
      <c r="BH123" s="170"/>
      <c r="BI123" s="170"/>
      <c r="BJ123" s="170"/>
      <c r="BK123" s="170"/>
      <c r="BL123" s="170"/>
      <c r="BM123" s="170"/>
      <c r="BN123" s="170"/>
      <c r="BO123" s="170"/>
      <c r="BP123" s="170"/>
      <c r="BQ123" s="170"/>
      <c r="BR123" s="170"/>
      <c r="BS123" s="170"/>
      <c r="BT123" s="170"/>
      <c r="BU123" s="170"/>
      <c r="BV123" s="170"/>
      <c r="BW123" s="170"/>
      <c r="BX123" s="170"/>
      <c r="BY123" s="170"/>
      <c r="BZ123" s="170"/>
      <c r="CA123" s="170"/>
      <c r="CB123" s="170"/>
      <c r="CC123" s="170"/>
      <c r="CD123" s="170"/>
      <c r="CE123" s="170"/>
      <c r="CF123" s="170"/>
      <c r="CG123" s="170"/>
      <c r="CH123" s="170"/>
      <c r="CI123" s="170"/>
      <c r="CJ123" s="170"/>
      <c r="CK123" s="170"/>
      <c r="CL123" s="170"/>
      <c r="CM123" s="170"/>
      <c r="CN123" s="78"/>
      <c r="CO123" s="78"/>
      <c r="CP123" s="78"/>
    </row>
    <row r="124" spans="2:94" ht="42.75" customHeight="1" thickBot="1" x14ac:dyDescent="0.3">
      <c r="B124" s="330"/>
      <c r="C124" s="126"/>
      <c r="D124" s="126"/>
      <c r="E124" s="325"/>
      <c r="G124" s="998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O124" s="995"/>
      <c r="AP124" s="59"/>
      <c r="AQ124" s="136"/>
      <c r="AR124" s="136"/>
      <c r="AS124" s="136"/>
      <c r="AT124" s="136"/>
      <c r="AZ124" s="86"/>
      <c r="BA124" s="1095" t="s">
        <v>128</v>
      </c>
      <c r="BB124" s="172" t="s">
        <v>124</v>
      </c>
      <c r="BC124" s="750" t="str">
        <f>IF(BC122=1,17,"")</f>
        <v/>
      </c>
      <c r="BD124" s="751" t="str">
        <f>IF(BD122=2,16,"")</f>
        <v/>
      </c>
      <c r="BE124" s="751" t="str">
        <f>IF(BE122=3,15,"")</f>
        <v/>
      </c>
      <c r="BF124" s="751" t="str">
        <f>IF(BF122=4,14,"")</f>
        <v/>
      </c>
      <c r="BG124" s="751" t="str">
        <f>IF(BG122=5,13,"")</f>
        <v/>
      </c>
      <c r="BH124" s="751" t="str">
        <f>IF(BH122=6,12,"")</f>
        <v/>
      </c>
      <c r="BI124" s="751" t="str">
        <f>IF(BI122=7,11,"")</f>
        <v/>
      </c>
      <c r="BJ124" s="751" t="str">
        <f>IF(BJ122=8,10,"")</f>
        <v/>
      </c>
      <c r="BK124" s="751" t="str">
        <f>IF(BK122=9,9,"")</f>
        <v/>
      </c>
      <c r="BL124" s="751" t="str">
        <f>IF(BL122=10,8,"")</f>
        <v/>
      </c>
      <c r="BM124" s="751" t="str">
        <f>IF(BM122=11,7,"")</f>
        <v/>
      </c>
      <c r="BN124" s="752" t="str">
        <f>IF(BN122=12,"6  ADS ","")</f>
        <v xml:space="preserve">6  ADS </v>
      </c>
      <c r="BO124" s="751" t="str">
        <f>IF(BO122=13,5,"")</f>
        <v/>
      </c>
      <c r="BP124" s="751" t="str">
        <f>IF(BP122=14,4,"")</f>
        <v/>
      </c>
      <c r="BQ124" s="751" t="str">
        <f>IF(BQ122=15,3,"")</f>
        <v/>
      </c>
      <c r="BR124" s="751" t="str">
        <f>IF(BR122=16,2,"")</f>
        <v/>
      </c>
      <c r="BS124" s="751" t="str">
        <f>IF(BS122=17,1,"")</f>
        <v/>
      </c>
      <c r="BT124" s="173"/>
      <c r="BU124" s="174"/>
      <c r="BV124" s="175"/>
      <c r="BW124" s="753" t="str">
        <f>IF(BW122=21,1,"")</f>
        <v/>
      </c>
      <c r="BX124" s="753" t="str">
        <f>IF(BX122=22,2,"")</f>
        <v/>
      </c>
      <c r="BY124" s="753" t="str">
        <f>IF(BY122=23,3,"")</f>
        <v/>
      </c>
      <c r="BZ124" s="753" t="str">
        <f>IF(BZ122=24,4,"")</f>
        <v/>
      </c>
      <c r="CA124" s="753" t="str">
        <f>IF(CA122=25,5,"")</f>
        <v/>
      </c>
      <c r="CB124" s="904" t="str">
        <f>IF(CB122=26,"6  ADS ","")</f>
        <v xml:space="preserve">6  ADS </v>
      </c>
      <c r="CC124" s="753" t="str">
        <f>IF(CC122=27,7,"")</f>
        <v/>
      </c>
      <c r="CD124" s="753" t="str">
        <f>IF(CD122=28,8,"")</f>
        <v/>
      </c>
      <c r="CE124" s="753" t="str">
        <f>IF(CE122=29,9,"")</f>
        <v/>
      </c>
      <c r="CF124" s="753" t="str">
        <f>IF(CF122=30,10,"")</f>
        <v/>
      </c>
      <c r="CG124" s="753" t="str">
        <f>IF(CG122=31,11,"")</f>
        <v/>
      </c>
      <c r="CH124" s="753" t="str">
        <f>IF(CH122=32,12,"")</f>
        <v/>
      </c>
      <c r="CI124" s="753" t="str">
        <f>IF(CI122=33,13,"")</f>
        <v/>
      </c>
      <c r="CJ124" s="753" t="str">
        <f>IF(CJ122=34,14,"")</f>
        <v/>
      </c>
      <c r="CK124" s="753" t="str">
        <f>IF(CK122=35,15,"")</f>
        <v/>
      </c>
      <c r="CL124" s="753" t="str">
        <f>IF(CL122=36,16,"")</f>
        <v/>
      </c>
      <c r="CM124" s="755" t="str">
        <f>IF(CM122=37,17,"")</f>
        <v/>
      </c>
      <c r="CN124" s="340"/>
      <c r="CO124" s="78"/>
      <c r="CP124" s="78"/>
    </row>
    <row r="125" spans="2:94" ht="45" customHeight="1" thickBot="1" x14ac:dyDescent="0.3">
      <c r="B125" s="330"/>
      <c r="C125" s="126"/>
      <c r="D125" s="126"/>
      <c r="E125" s="325"/>
      <c r="G125" s="998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O125" s="995"/>
      <c r="AP125" s="59"/>
      <c r="AQ125" s="136"/>
      <c r="AR125" s="136"/>
      <c r="AS125" s="136"/>
      <c r="AT125" s="136"/>
      <c r="AX125" s="968">
        <v>6</v>
      </c>
      <c r="AY125" s="182" t="b">
        <f>AND(BA125&gt;=10,$AN$142&gt;=10,$AO$142&gt;=10)</f>
        <v>1</v>
      </c>
      <c r="AZ125" s="84" t="str">
        <f>IF(AY125=TRUE,"O K","OVERLOAD")</f>
        <v>O K</v>
      </c>
      <c r="BA125" s="982">
        <f>SUM(I132:M132)</f>
        <v>115.94202898550725</v>
      </c>
      <c r="BB125" s="788" t="s">
        <v>185</v>
      </c>
      <c r="BC125" s="789">
        <v>-10</v>
      </c>
      <c r="BD125" s="789">
        <v>-9</v>
      </c>
      <c r="BE125" s="789">
        <v>-8</v>
      </c>
      <c r="BF125" s="789">
        <v>-7</v>
      </c>
      <c r="BG125" s="789">
        <v>-6</v>
      </c>
      <c r="BH125" s="789">
        <v>-5</v>
      </c>
      <c r="BI125" s="789">
        <v>-4</v>
      </c>
      <c r="BJ125" s="789">
        <v>-3</v>
      </c>
      <c r="BK125" s="789">
        <v>-2</v>
      </c>
      <c r="BL125" s="789">
        <v>-1</v>
      </c>
      <c r="BM125" s="789">
        <v>0</v>
      </c>
      <c r="BN125" s="789">
        <v>1</v>
      </c>
      <c r="BO125" s="789">
        <v>2</v>
      </c>
      <c r="BP125" s="789">
        <v>3</v>
      </c>
      <c r="BQ125" s="789">
        <v>4</v>
      </c>
      <c r="BR125" s="789">
        <v>5</v>
      </c>
      <c r="BS125" s="789">
        <v>6</v>
      </c>
      <c r="BT125" s="789">
        <v>7</v>
      </c>
      <c r="BU125" s="789">
        <v>8</v>
      </c>
      <c r="BV125" s="789">
        <v>9</v>
      </c>
      <c r="BW125" s="789">
        <v>10</v>
      </c>
      <c r="BX125" s="789">
        <v>11</v>
      </c>
      <c r="BY125" s="789">
        <v>12</v>
      </c>
      <c r="BZ125" s="789">
        <v>13</v>
      </c>
      <c r="CA125" s="789">
        <v>14</v>
      </c>
      <c r="CB125" s="789">
        <v>15</v>
      </c>
      <c r="CC125" s="789">
        <v>16</v>
      </c>
      <c r="CD125" s="789">
        <v>17</v>
      </c>
      <c r="CE125" s="789">
        <v>18</v>
      </c>
      <c r="CF125" s="789">
        <v>19</v>
      </c>
      <c r="CG125" s="789">
        <v>20</v>
      </c>
      <c r="CH125" s="789">
        <v>21</v>
      </c>
      <c r="CI125" s="789">
        <v>22</v>
      </c>
      <c r="CJ125" s="789">
        <v>23</v>
      </c>
      <c r="CK125" s="789">
        <v>24</v>
      </c>
      <c r="CL125" s="789">
        <v>25</v>
      </c>
      <c r="CM125" s="791">
        <v>26</v>
      </c>
      <c r="CN125" s="78"/>
      <c r="CO125" s="78"/>
      <c r="CP125" s="78"/>
    </row>
    <row r="126" spans="2:94" ht="121" hidden="1" thickBot="1" x14ac:dyDescent="0.3">
      <c r="G126" s="998"/>
      <c r="H126" s="1034" t="s">
        <v>260</v>
      </c>
      <c r="I126" s="1028">
        <f>+MIN(K31:L32)</f>
        <v>92.702718646626039</v>
      </c>
      <c r="J126" s="1029">
        <f>+MIN(J37:K38)</f>
        <v>93.637373169849866</v>
      </c>
      <c r="K126" s="1030">
        <f>+MIN(J43:L44)</f>
        <v>76.726342710997443</v>
      </c>
      <c r="L126" s="1031">
        <f>+MIN(J49:L50)</f>
        <v>50.167224080267559</v>
      </c>
      <c r="M126" s="1032">
        <f>+MIN(J55:L56)</f>
        <v>115.94202898550725</v>
      </c>
      <c r="O126" s="995"/>
      <c r="AX126" s="968"/>
      <c r="AY126" s="1027"/>
      <c r="AZ126" s="136"/>
      <c r="BB126" s="78"/>
      <c r="BC126" s="199"/>
      <c r="BD126" s="199"/>
      <c r="BE126" s="199"/>
      <c r="BF126" s="199"/>
      <c r="BG126" s="199"/>
      <c r="BH126" s="199"/>
      <c r="BI126" s="199"/>
      <c r="BJ126" s="199"/>
      <c r="BK126" s="199"/>
      <c r="BL126" s="199"/>
      <c r="BM126" s="199"/>
      <c r="BN126" s="199"/>
      <c r="BO126" s="199"/>
      <c r="BP126" s="199"/>
      <c r="BQ126" s="199"/>
      <c r="BR126" s="199"/>
      <c r="BS126" s="199"/>
      <c r="BT126" s="199"/>
      <c r="BU126" s="199"/>
      <c r="BV126" s="199"/>
      <c r="BW126" s="199"/>
      <c r="BX126" s="199"/>
      <c r="BY126" s="199"/>
      <c r="BZ126" s="199"/>
      <c r="CA126" s="199"/>
      <c r="CB126" s="199"/>
      <c r="CC126" s="199"/>
      <c r="CD126" s="199"/>
      <c r="CE126" s="199"/>
      <c r="CF126" s="199"/>
      <c r="CG126" s="199"/>
      <c r="CH126" s="199"/>
      <c r="CI126" s="199"/>
      <c r="CJ126" s="199"/>
      <c r="CK126" s="199"/>
      <c r="CL126" s="199"/>
      <c r="CM126" s="199"/>
      <c r="CN126" s="199"/>
      <c r="CO126" s="78"/>
      <c r="CP126" s="78"/>
    </row>
    <row r="127" spans="2:94" hidden="1" x14ac:dyDescent="0.2">
      <c r="B127" s="330"/>
      <c r="C127" s="126"/>
      <c r="D127" s="126"/>
      <c r="E127" s="325"/>
      <c r="G127" s="1011"/>
      <c r="H127" s="131"/>
      <c r="I127" s="131"/>
      <c r="J127" s="131"/>
      <c r="K127" s="131"/>
      <c r="L127" s="131"/>
      <c r="M127" s="131"/>
      <c r="N127" s="131"/>
      <c r="O127" s="1012"/>
      <c r="AP127" s="59"/>
      <c r="AQ127" s="136"/>
      <c r="AR127" s="136"/>
      <c r="AS127" s="136"/>
      <c r="AT127" s="136"/>
      <c r="AY127" s="1027"/>
      <c r="AZ127" s="136"/>
      <c r="BA127" s="1091"/>
      <c r="BB127" s="78"/>
      <c r="BC127" s="199"/>
      <c r="BD127" s="199"/>
      <c r="BE127" s="199"/>
      <c r="BF127" s="199"/>
      <c r="BG127" s="199"/>
      <c r="BH127" s="199"/>
      <c r="BI127" s="199"/>
      <c r="BJ127" s="199"/>
      <c r="BK127" s="199"/>
      <c r="BL127" s="199"/>
      <c r="BM127" s="199"/>
      <c r="BN127" s="199"/>
      <c r="BO127" s="199"/>
      <c r="BP127" s="199"/>
      <c r="BQ127" s="199"/>
      <c r="BR127" s="199"/>
      <c r="BS127" s="199"/>
      <c r="BT127" s="199"/>
      <c r="BU127" s="199"/>
      <c r="BV127" s="199"/>
      <c r="BW127" s="199"/>
      <c r="BX127" s="199"/>
      <c r="BY127" s="199"/>
      <c r="BZ127" s="199"/>
      <c r="CA127" s="199"/>
      <c r="CB127" s="199"/>
      <c r="CC127" s="199"/>
      <c r="CD127" s="199"/>
      <c r="CE127" s="199"/>
      <c r="CF127" s="199"/>
      <c r="CG127" s="199"/>
      <c r="CH127" s="199"/>
      <c r="CI127" s="199"/>
      <c r="CJ127" s="199"/>
      <c r="CK127" s="199"/>
      <c r="CL127" s="199"/>
      <c r="CM127" s="199"/>
      <c r="CN127" s="199"/>
    </row>
    <row r="128" spans="2:94" ht="30" hidden="1" x14ac:dyDescent="0.2">
      <c r="B128" s="330"/>
      <c r="C128" s="126"/>
      <c r="D128" s="126"/>
      <c r="E128" s="325"/>
      <c r="G128" s="998"/>
      <c r="H128" s="201"/>
      <c r="I128" s="201"/>
      <c r="J128" s="201"/>
      <c r="K128" s="201"/>
      <c r="L128" s="201"/>
      <c r="M128" s="201"/>
      <c r="N128" s="201"/>
      <c r="O128" s="1013"/>
      <c r="AP128" s="59"/>
      <c r="AQ128" s="136"/>
      <c r="AR128" s="136"/>
      <c r="AS128" s="136"/>
      <c r="AT128" s="136"/>
      <c r="AY128" s="1027"/>
      <c r="AZ128" s="136"/>
      <c r="BA128" s="1091"/>
      <c r="BB128" s="76"/>
      <c r="BC128" s="76"/>
      <c r="BD128" s="76"/>
      <c r="BE128" s="76"/>
      <c r="BF128" s="76"/>
      <c r="BG128" s="76"/>
      <c r="BH128" s="202"/>
      <c r="BI128" s="202"/>
      <c r="BJ128" s="202"/>
      <c r="BK128" s="202"/>
      <c r="BL128" s="202"/>
      <c r="BM128" s="202"/>
      <c r="BN128" s="202"/>
      <c r="BO128" s="202"/>
      <c r="BP128" s="202"/>
      <c r="BQ128" s="202"/>
      <c r="BR128" s="202"/>
      <c r="BS128" s="202"/>
      <c r="BT128" s="202"/>
      <c r="BU128" s="202"/>
      <c r="BV128" s="78"/>
      <c r="BW128" s="78"/>
      <c r="BX128" s="78"/>
      <c r="BY128" s="78"/>
      <c r="BZ128" s="78"/>
      <c r="CA128" s="78"/>
      <c r="CB128" s="78"/>
      <c r="CC128" s="78"/>
      <c r="CD128" s="78"/>
      <c r="CE128" s="78"/>
      <c r="CF128" s="78"/>
      <c r="CG128" s="78"/>
      <c r="CH128" s="78"/>
      <c r="CI128" s="78"/>
      <c r="CJ128" s="78"/>
      <c r="CK128" s="78"/>
      <c r="CL128" s="78"/>
      <c r="CM128" s="78"/>
      <c r="CN128" s="78"/>
      <c r="CO128" s="78"/>
      <c r="CP128" s="78"/>
    </row>
    <row r="129" spans="2:94" hidden="1" x14ac:dyDescent="0.2">
      <c r="B129" s="330"/>
      <c r="C129" s="126"/>
      <c r="D129" s="126"/>
      <c r="E129" s="325"/>
      <c r="G129" s="998"/>
      <c r="O129" s="995"/>
      <c r="AP129" s="236"/>
      <c r="AQ129" s="136"/>
      <c r="AR129" s="136"/>
      <c r="AS129" s="136"/>
      <c r="AT129" s="136"/>
      <c r="AY129" s="1027"/>
      <c r="AZ129" s="136"/>
      <c r="BA129" s="1091"/>
      <c r="BB129" s="126"/>
      <c r="BC129" s="126"/>
      <c r="BD129" s="126"/>
      <c r="BE129" s="126"/>
      <c r="BF129" s="126"/>
      <c r="BG129" s="126"/>
      <c r="BH129" s="203"/>
      <c r="BI129" s="203"/>
      <c r="BJ129" s="203"/>
      <c r="BK129" s="203"/>
      <c r="BL129" s="203"/>
      <c r="BM129" s="203"/>
      <c r="BN129" s="203"/>
      <c r="BO129" s="203"/>
      <c r="BP129" s="203"/>
      <c r="BQ129" s="203"/>
      <c r="BR129" s="203"/>
      <c r="BS129" s="203"/>
      <c r="BT129" s="203"/>
      <c r="BU129" s="203"/>
    </row>
    <row r="130" spans="2:94" hidden="1" x14ac:dyDescent="0.2">
      <c r="B130" s="330"/>
      <c r="C130" s="126"/>
      <c r="D130" s="126"/>
      <c r="E130" s="325"/>
      <c r="G130" s="998"/>
      <c r="O130" s="995"/>
      <c r="AQ130" s="136"/>
      <c r="AR130" s="136"/>
      <c r="AS130" s="136"/>
      <c r="AT130" s="136"/>
      <c r="AY130" s="204" t="s">
        <v>59</v>
      </c>
      <c r="AZ130" s="187"/>
      <c r="BA130" s="1091"/>
      <c r="BB130" s="64"/>
      <c r="BE130" s="126"/>
      <c r="BF130" s="126"/>
      <c r="BG130" s="126"/>
      <c r="BH130" s="203"/>
      <c r="BI130" s="203"/>
      <c r="BJ130" s="203"/>
      <c r="BK130" s="203"/>
      <c r="BL130" s="203"/>
      <c r="BM130" s="203"/>
      <c r="BN130" s="203"/>
      <c r="BO130" s="203"/>
      <c r="BP130" s="203"/>
      <c r="BQ130" s="203"/>
      <c r="BR130" s="203"/>
      <c r="BS130" s="203"/>
      <c r="BT130" s="203"/>
      <c r="BU130" s="203"/>
      <c r="CD130" s="64"/>
      <c r="CP130" s="204" t="s">
        <v>58</v>
      </c>
    </row>
    <row r="131" spans="2:94" hidden="1" x14ac:dyDescent="0.2">
      <c r="B131" s="330"/>
      <c r="C131" s="126"/>
      <c r="D131" s="126"/>
      <c r="E131" s="325"/>
      <c r="G131" s="1014"/>
      <c r="H131" s="209"/>
      <c r="I131" s="1042">
        <f>COUNTIF(BW122:CM122,"&gt;0")</f>
        <v>1</v>
      </c>
      <c r="J131" s="1042">
        <f>COUNTIF(BC122:BS122,"&gt;0")</f>
        <v>1</v>
      </c>
      <c r="K131" s="1033" t="b">
        <f>AND(IF(SUM(BC124:BM124)&gt;0,1,0),IF(CB124="6  ADS ",1,0))</f>
        <v>0</v>
      </c>
      <c r="L131" s="1033" t="b">
        <f>AND(IF(SUM(CC124:CM124)&gt;0,1,0),IF(BN124="6  ADS ",1,0))</f>
        <v>0</v>
      </c>
      <c r="M131" s="1033" t="b">
        <f>AND(IF(CB124="6  ADS ",1,0),IF(BN124="6  ADS ",1,0))</f>
        <v>1</v>
      </c>
      <c r="N131" s="209"/>
      <c r="O131" s="1015"/>
      <c r="AQ131" s="136"/>
      <c r="AR131" s="136"/>
      <c r="AS131" s="136"/>
      <c r="AT131" s="136"/>
      <c r="AY131" s="204">
        <f>-+AT161</f>
        <v>772.49022822330983</v>
      </c>
      <c r="AZ131" s="187"/>
      <c r="BA131" s="1091"/>
      <c r="BB131" s="64"/>
      <c r="BE131" s="126"/>
      <c r="BF131" s="126"/>
      <c r="BG131" s="126"/>
      <c r="BH131" s="203"/>
      <c r="BI131" s="203"/>
      <c r="BJ131" s="203"/>
      <c r="BK131" s="203"/>
      <c r="BL131" s="203"/>
      <c r="BM131" s="203"/>
      <c r="BN131" s="203"/>
      <c r="BO131" s="203"/>
      <c r="BP131" s="203"/>
      <c r="BQ131" s="203"/>
      <c r="BR131" s="203"/>
      <c r="BS131" s="203"/>
      <c r="BT131" s="203"/>
      <c r="BU131" s="203"/>
      <c r="CB131" s="212"/>
      <c r="CD131" s="64"/>
      <c r="CP131" s="204">
        <f>+-AT197</f>
        <v>-775.50977177669017</v>
      </c>
    </row>
    <row r="132" spans="2:94" ht="21" hidden="1" thickBot="1" x14ac:dyDescent="0.25">
      <c r="B132" s="330"/>
      <c r="C132" s="126"/>
      <c r="D132" s="126"/>
      <c r="E132" s="325"/>
      <c r="G132" s="1016"/>
      <c r="H132" s="1017"/>
      <c r="I132" s="1043">
        <f>IF(I131=2,I126,0)</f>
        <v>0</v>
      </c>
      <c r="J132" s="1043">
        <f>IF(J131=2,J126,0)</f>
        <v>0</v>
      </c>
      <c r="K132" s="1036">
        <f t="shared" ref="K132:M132" si="4">IF(K131=TRUE,K126,0)</f>
        <v>0</v>
      </c>
      <c r="L132" s="1036">
        <f t="shared" si="4"/>
        <v>0</v>
      </c>
      <c r="M132" s="1036">
        <f t="shared" si="4"/>
        <v>115.94202898550725</v>
      </c>
      <c r="N132" s="1017"/>
      <c r="O132" s="1018"/>
      <c r="AQ132" s="136"/>
      <c r="AR132" s="136"/>
      <c r="AS132" s="136"/>
      <c r="AT132" s="136"/>
      <c r="AY132" s="1027"/>
      <c r="AZ132" s="136"/>
      <c r="BA132" s="1091"/>
      <c r="BB132" s="126"/>
      <c r="BC132" s="126"/>
      <c r="BD132" s="126"/>
      <c r="BE132" s="126"/>
      <c r="BF132" s="126"/>
      <c r="BG132" s="126"/>
      <c r="BH132" s="203"/>
      <c r="BI132" s="203"/>
      <c r="BJ132" s="203"/>
      <c r="BK132" s="203"/>
      <c r="BL132" s="203"/>
      <c r="BM132" s="203"/>
      <c r="BN132" s="203"/>
      <c r="BO132" s="203"/>
      <c r="BP132" s="203"/>
      <c r="BQ132" s="203"/>
      <c r="BR132" s="203"/>
      <c r="BS132" s="203"/>
      <c r="BT132" s="203"/>
      <c r="BU132" s="203"/>
    </row>
    <row r="133" spans="2:94" ht="41.25" customHeight="1" thickBot="1" x14ac:dyDescent="0.45">
      <c r="B133" s="330"/>
      <c r="C133" s="35"/>
      <c r="D133" s="341" t="str">
        <f>IF(AY131&gt;0," ","change the angle of frame")</f>
        <v xml:space="preserve"> </v>
      </c>
      <c r="E133" s="208"/>
      <c r="F133" s="208"/>
      <c r="R133" s="235"/>
      <c r="S133" s="235"/>
      <c r="T133" s="235"/>
      <c r="AQ133" s="136"/>
      <c r="AR133" s="136"/>
      <c r="AS133" s="136"/>
      <c r="AT133" s="136"/>
      <c r="AY133" s="1037"/>
      <c r="AZ133" s="214"/>
      <c r="BA133" s="214"/>
      <c r="BB133" s="126"/>
      <c r="BC133" s="126"/>
      <c r="BD133" s="126"/>
      <c r="BE133" s="126"/>
      <c r="BF133" s="126"/>
      <c r="BG133" s="126"/>
      <c r="BH133" s="203"/>
      <c r="BI133" s="203"/>
      <c r="BJ133" s="203"/>
      <c r="BK133" s="203"/>
      <c r="BL133" s="203"/>
      <c r="BM133" s="203"/>
      <c r="BN133" s="203"/>
      <c r="BO133" s="203"/>
      <c r="BP133" s="203"/>
      <c r="BQ133" s="203"/>
      <c r="BR133" s="203"/>
      <c r="BS133" s="203"/>
      <c r="BT133" s="203"/>
      <c r="BU133" s="203"/>
    </row>
    <row r="134" spans="2:94" ht="41.25" customHeight="1" thickBot="1" x14ac:dyDescent="0.45">
      <c r="B134" s="1837" t="s">
        <v>116</v>
      </c>
      <c r="C134" s="35"/>
      <c r="D134" s="341" t="str">
        <f>IF(CP131&lt;0," ","change the angle of frame")</f>
        <v xml:space="preserve"> </v>
      </c>
      <c r="E134" s="208"/>
      <c r="F134" s="208"/>
      <c r="Q134" s="802" t="s">
        <v>174</v>
      </c>
      <c r="R134" s="794"/>
      <c r="S134" s="794"/>
      <c r="T134" s="794"/>
      <c r="U134" s="795"/>
      <c r="V134" s="796"/>
      <c r="W134" s="796"/>
      <c r="X134" s="803" t="s">
        <v>178</v>
      </c>
      <c r="Y134" s="143"/>
      <c r="Z134" s="143"/>
      <c r="AA134" s="143"/>
      <c r="AB134" s="143"/>
      <c r="AC134" s="143"/>
      <c r="AD134" s="143"/>
      <c r="AE134" s="143"/>
      <c r="AF134" s="143"/>
      <c r="AG134" s="143"/>
      <c r="AH134" s="143"/>
      <c r="AI134" s="143"/>
      <c r="AJ134" s="143"/>
      <c r="AK134" s="143"/>
      <c r="AL134" s="143"/>
      <c r="AM134" s="143"/>
      <c r="AN134" s="143"/>
      <c r="AO134" s="143"/>
      <c r="AQ134" s="136"/>
      <c r="AR134" s="136"/>
      <c r="AS134" s="136"/>
      <c r="AT134" s="136"/>
      <c r="AY134" s="1037"/>
      <c r="AZ134" s="214"/>
      <c r="BA134" s="214"/>
      <c r="BB134" s="126"/>
      <c r="BC134" s="126"/>
      <c r="BD134" s="126"/>
      <c r="BE134" s="126"/>
      <c r="BF134" s="126"/>
      <c r="BG134" s="126"/>
      <c r="BH134" s="203"/>
      <c r="BI134" s="203"/>
      <c r="BJ134" s="203"/>
      <c r="BK134" s="203"/>
      <c r="BL134" s="203"/>
      <c r="BM134" s="203"/>
      <c r="BN134" s="203"/>
      <c r="BO134" s="203"/>
      <c r="BP134" s="203"/>
      <c r="BQ134" s="203"/>
      <c r="BR134" s="203"/>
      <c r="BS134" s="203"/>
      <c r="BT134" s="203"/>
      <c r="BU134" s="203"/>
    </row>
    <row r="135" spans="2:94" ht="41.25" customHeight="1" thickBot="1" x14ac:dyDescent="0.45">
      <c r="B135" s="1838"/>
      <c r="C135" s="213"/>
      <c r="D135" s="341" t="str">
        <f>IF(AY131&gt;(+COS(($B$136*-1)*3.14159265358979/180)*451.5)," ","USE EXBAR AR AT THE FRONT")</f>
        <v xml:space="preserve"> </v>
      </c>
      <c r="E135" s="208"/>
      <c r="F135" s="208"/>
      <c r="Q135" s="738" t="s">
        <v>175</v>
      </c>
      <c r="R135" s="797" t="s">
        <v>176</v>
      </c>
      <c r="S135" s="797" t="s">
        <v>177</v>
      </c>
      <c r="T135" s="798" t="s">
        <v>181</v>
      </c>
      <c r="U135" s="795"/>
      <c r="V135" s="796"/>
      <c r="W135" s="796"/>
      <c r="X135" s="799" t="s">
        <v>179</v>
      </c>
      <c r="AQ135" s="136"/>
      <c r="AR135" s="136"/>
      <c r="AS135" s="136"/>
      <c r="AT135" s="136"/>
      <c r="AY135" s="1037"/>
      <c r="AZ135" s="214"/>
      <c r="BA135" s="214"/>
      <c r="BB135" s="126"/>
      <c r="BC135" s="126"/>
      <c r="BD135" s="126"/>
      <c r="BE135" s="126"/>
      <c r="BF135" s="126"/>
      <c r="BG135" s="126"/>
      <c r="BH135" s="203"/>
      <c r="BI135" s="203"/>
      <c r="BJ135" s="203"/>
      <c r="BK135" s="203"/>
      <c r="BL135" s="203"/>
      <c r="BM135" s="203"/>
      <c r="BN135" s="203"/>
      <c r="BO135" s="203"/>
      <c r="BP135" s="203"/>
      <c r="BQ135" s="203"/>
      <c r="BR135" s="203"/>
      <c r="BS135" s="203"/>
      <c r="BT135" s="203"/>
      <c r="BU135" s="203"/>
    </row>
    <row r="136" spans="2:94" ht="41.25" customHeight="1" thickBot="1" x14ac:dyDescent="0.45">
      <c r="B136" s="3">
        <v>0</v>
      </c>
      <c r="C136" s="213"/>
      <c r="D136" s="341" t="str">
        <f>IF(CP131&lt;-(+COS(($B$136*-1)*3.14159265358979/180)*365.5)," ","USE EXBAR AR AT THE BACK")</f>
        <v xml:space="preserve"> </v>
      </c>
      <c r="E136" s="208"/>
      <c r="F136" s="208"/>
      <c r="Q136" s="738">
        <v>6.8623010000000004</v>
      </c>
      <c r="R136" s="797">
        <f>+$B$136-Q136</f>
        <v>-6.8623010000000004</v>
      </c>
      <c r="S136" s="800">
        <f>COS(R136*3.14159265358979/180)</f>
        <v>0.99283617366519983</v>
      </c>
      <c r="T136" s="793">
        <f>+S136*378.71303</f>
        <v>375.99999562235405</v>
      </c>
      <c r="U136" s="795"/>
      <c r="V136" s="796"/>
      <c r="W136" s="796"/>
      <c r="X136" s="801">
        <f>+((X142*AF142)+(T136*31))/(AF142+31)</f>
        <v>346.99024192591281</v>
      </c>
      <c r="AQ136" s="136"/>
      <c r="AR136" s="136"/>
      <c r="AS136" s="136"/>
      <c r="AT136" s="136"/>
      <c r="AY136" s="1037"/>
      <c r="AZ136" s="214"/>
      <c r="BA136" s="214"/>
      <c r="BU136" s="236"/>
      <c r="BV136" s="236"/>
      <c r="BW136" s="236"/>
      <c r="BX136" s="236"/>
      <c r="BY136" s="236"/>
      <c r="BZ136" s="236"/>
    </row>
    <row r="137" spans="2:94" ht="10.5" customHeight="1" thickBot="1" x14ac:dyDescent="0.45">
      <c r="C137" s="35"/>
      <c r="G137" s="342" t="s">
        <v>87</v>
      </c>
      <c r="H137" s="342" t="s">
        <v>88</v>
      </c>
      <c r="I137" s="342" t="s">
        <v>89</v>
      </c>
      <c r="O137" s="342" t="s">
        <v>90</v>
      </c>
      <c r="P137" s="342" t="s">
        <v>91</v>
      </c>
      <c r="Q137" s="330"/>
      <c r="R137" s="342" t="s">
        <v>92</v>
      </c>
      <c r="U137" s="343"/>
      <c r="V137" s="344"/>
      <c r="AQ137" s="136"/>
      <c r="AR137" s="136"/>
      <c r="AS137" s="136"/>
      <c r="AT137" s="136"/>
      <c r="AY137" s="1037"/>
      <c r="AZ137" s="214"/>
      <c r="BA137" s="214"/>
    </row>
    <row r="138" spans="2:94" ht="69" customHeight="1" thickBot="1" x14ac:dyDescent="0.45">
      <c r="B138" s="345" t="s">
        <v>211</v>
      </c>
      <c r="C138" s="346"/>
      <c r="D138" s="1830" t="s">
        <v>109</v>
      </c>
      <c r="E138" s="1831"/>
      <c r="F138" s="37"/>
      <c r="S138" s="126"/>
      <c r="T138" s="126"/>
      <c r="AN138" s="1828" t="s">
        <v>52</v>
      </c>
      <c r="AO138" s="1829"/>
      <c r="AQ138" s="136"/>
      <c r="AR138" s="136"/>
      <c r="AS138" s="136"/>
      <c r="AT138" s="136"/>
      <c r="AY138" s="1037"/>
      <c r="AZ138" s="214"/>
      <c r="BA138" s="214"/>
    </row>
    <row r="139" spans="2:94" ht="40.5" customHeight="1" thickBot="1" x14ac:dyDescent="0.45">
      <c r="B139" s="27">
        <v>1</v>
      </c>
      <c r="C139" s="347"/>
      <c r="D139" s="348" t="s">
        <v>22</v>
      </c>
      <c r="E139" s="349"/>
      <c r="F139" s="330"/>
      <c r="G139" s="330"/>
      <c r="H139" s="330"/>
      <c r="I139" s="330"/>
      <c r="J139" s="330"/>
      <c r="K139" s="330"/>
      <c r="L139" s="330"/>
      <c r="M139" s="330"/>
      <c r="N139" s="330"/>
      <c r="O139" s="330"/>
      <c r="P139" s="330"/>
      <c r="Q139" s="330"/>
      <c r="R139" s="330"/>
      <c r="S139" s="330"/>
      <c r="T139" s="330"/>
      <c r="AM139" s="350"/>
      <c r="AN139" s="351" t="s">
        <v>23</v>
      </c>
      <c r="AO139" s="351" t="s">
        <v>24</v>
      </c>
      <c r="AQ139" s="136"/>
      <c r="AR139" s="136"/>
      <c r="AS139" s="136"/>
      <c r="AT139" s="136"/>
      <c r="AY139" s="1037"/>
      <c r="AZ139" s="214"/>
      <c r="BA139" s="214"/>
    </row>
    <row r="140" spans="2:94" ht="27" hidden="1" thickBot="1" x14ac:dyDescent="0.45">
      <c r="B140" s="352"/>
      <c r="C140" s="353"/>
      <c r="D140" s="354"/>
      <c r="E140" s="355"/>
      <c r="G140" s="5" t="s">
        <v>4</v>
      </c>
      <c r="H140" s="5" t="s">
        <v>1</v>
      </c>
      <c r="I140" s="357" t="s">
        <v>73</v>
      </c>
      <c r="J140" s="302" t="s">
        <v>2</v>
      </c>
      <c r="K140" s="302" t="s">
        <v>3</v>
      </c>
      <c r="L140" s="302" t="s">
        <v>8</v>
      </c>
      <c r="M140" s="302" t="s">
        <v>5</v>
      </c>
      <c r="N140" s="302" t="s">
        <v>6</v>
      </c>
      <c r="O140" s="302" t="s">
        <v>7</v>
      </c>
      <c r="P140" s="302" t="s">
        <v>9</v>
      </c>
      <c r="Q140" s="302" t="s">
        <v>10</v>
      </c>
      <c r="R140" s="302" t="s">
        <v>11</v>
      </c>
      <c r="S140" s="358" t="s">
        <v>12</v>
      </c>
      <c r="T140" s="359"/>
      <c r="U140" s="228"/>
      <c r="V140" s="231"/>
      <c r="W140" s="231"/>
      <c r="X140" s="231"/>
      <c r="Y140" s="231"/>
      <c r="Z140" s="231"/>
      <c r="AA140" s="231"/>
      <c r="AB140" s="231"/>
      <c r="AC140" s="231"/>
      <c r="AD140" s="231"/>
      <c r="AE140" s="231"/>
      <c r="AF140" s="231"/>
      <c r="AG140" s="231"/>
      <c r="AH140" s="231"/>
      <c r="AI140" s="231"/>
      <c r="AJ140" s="231"/>
      <c r="AK140" s="231"/>
      <c r="AL140" s="350"/>
      <c r="AM140" s="350"/>
      <c r="AN140" s="231"/>
      <c r="AO140" s="231"/>
      <c r="AQ140" s="136"/>
      <c r="AR140" s="136"/>
      <c r="AS140" s="136"/>
      <c r="AT140" s="136"/>
      <c r="AY140" s="1037"/>
      <c r="AZ140" s="214"/>
      <c r="BA140" s="214"/>
    </row>
    <row r="141" spans="2:94" ht="39" hidden="1" thickBot="1" x14ac:dyDescent="0.45">
      <c r="B141" s="360"/>
      <c r="C141" s="361"/>
      <c r="D141" s="362"/>
      <c r="E141" s="363"/>
      <c r="F141" s="240"/>
      <c r="G141" s="5"/>
      <c r="H141" s="5"/>
      <c r="I141" s="357"/>
      <c r="J141" s="302"/>
      <c r="K141" s="302"/>
      <c r="L141" s="302"/>
      <c r="M141" s="302"/>
      <c r="N141" s="302"/>
      <c r="O141" s="302"/>
      <c r="P141" s="302"/>
      <c r="Q141" s="302"/>
      <c r="R141" s="302"/>
      <c r="S141" s="358"/>
      <c r="T141" s="359"/>
      <c r="U141" s="228"/>
      <c r="V141" s="231"/>
      <c r="W141" s="231"/>
      <c r="X141" s="359" t="s">
        <v>38</v>
      </c>
      <c r="Y141" s="364" t="s">
        <v>31</v>
      </c>
      <c r="Z141" s="10" t="s">
        <v>108</v>
      </c>
      <c r="AA141" s="366" t="s">
        <v>32</v>
      </c>
      <c r="AB141" s="9" t="s">
        <v>33</v>
      </c>
      <c r="AC141" s="8" t="s">
        <v>107</v>
      </c>
      <c r="AD141" s="369" t="s">
        <v>34</v>
      </c>
      <c r="AE141" s="7" t="s">
        <v>35</v>
      </c>
      <c r="AF141" s="365" t="s">
        <v>148</v>
      </c>
      <c r="AG141" s="359" t="s">
        <v>46</v>
      </c>
      <c r="AH141" s="359" t="s">
        <v>39</v>
      </c>
      <c r="AI141" s="359" t="s">
        <v>70</v>
      </c>
      <c r="AJ141" s="371" t="s">
        <v>41</v>
      </c>
      <c r="AK141" s="371" t="s">
        <v>42</v>
      </c>
      <c r="AL141" s="372" t="s">
        <v>23</v>
      </c>
      <c r="AM141" s="372" t="s">
        <v>24</v>
      </c>
      <c r="AN141" s="228"/>
      <c r="AO141" s="228"/>
      <c r="AQ141" s="136"/>
      <c r="AR141" s="136"/>
      <c r="AS141" s="136"/>
      <c r="AT141" s="136"/>
      <c r="AY141" s="1037"/>
      <c r="AZ141" s="214"/>
      <c r="BA141" s="214"/>
    </row>
    <row r="142" spans="2:94" ht="27" thickBot="1" x14ac:dyDescent="0.45">
      <c r="B142" s="373">
        <v>1</v>
      </c>
      <c r="C142" s="374">
        <f>+(B136*-1)+D142</f>
        <v>0</v>
      </c>
      <c r="D142" s="26">
        <v>0</v>
      </c>
      <c r="E142" s="375" t="s">
        <v>80</v>
      </c>
      <c r="F142" s="376"/>
      <c r="G142" s="14">
        <v>414.62658399999998</v>
      </c>
      <c r="H142" s="15">
        <v>36.220413100000002</v>
      </c>
      <c r="I142" s="389">
        <f>+H142-C142</f>
        <v>36.220413100000002</v>
      </c>
      <c r="J142" s="302"/>
      <c r="K142" s="302"/>
      <c r="L142" s="302"/>
      <c r="M142" s="302"/>
      <c r="N142" s="302"/>
      <c r="O142" s="390">
        <f>COS(I142*3.14159265358979/180)</f>
        <v>0.80674984242354264</v>
      </c>
      <c r="P142" s="390">
        <f>+O142*G142</f>
        <v>334.49993130661176</v>
      </c>
      <c r="Q142" s="377">
        <v>334.5</v>
      </c>
      <c r="R142" s="390">
        <f>+P142</f>
        <v>334.49993130661176</v>
      </c>
      <c r="S142" s="302">
        <f t="shared" ref="S142:S153" si="5">+R142</f>
        <v>334.49993130661176</v>
      </c>
      <c r="T142" s="228"/>
      <c r="U142" s="257" t="str">
        <f>IF(AM142&lt;0,"use the locking pin"," ")</f>
        <v xml:space="preserve"> </v>
      </c>
      <c r="V142" s="285">
        <f t="shared" ref="V142:V153" si="6">IF(B142&lt;($B$139+1),S142,0)</f>
        <v>334.49993130661176</v>
      </c>
      <c r="W142" s="378"/>
      <c r="X142" s="285">
        <f>SUM(V142:V153)/($B$139)</f>
        <v>334.49993130661176</v>
      </c>
      <c r="Y142" s="379">
        <f>+D142+C142</f>
        <v>0</v>
      </c>
      <c r="Z142" s="6">
        <f>53.779595+Y142</f>
        <v>53.779595</v>
      </c>
      <c r="AA142" s="381">
        <f>SIN(Z142*3.14159265358979/180)</f>
        <v>0.8067499259590819</v>
      </c>
      <c r="AB142" s="6">
        <f>+AA142*414.6266</f>
        <v>334.49997885066585</v>
      </c>
      <c r="AC142" s="6">
        <f>59.2910885-Y142</f>
        <v>59.291088500000001</v>
      </c>
      <c r="AD142" s="383">
        <f>SIN(AC142*3.14159265358979/180)</f>
        <v>0.85977285389573432</v>
      </c>
      <c r="AE142" s="6">
        <f>+AD142*479.7721</f>
        <v>412.49502763654965</v>
      </c>
      <c r="AF142" s="391">
        <f>72*B139</f>
        <v>72</v>
      </c>
      <c r="AG142" s="384">
        <f>+AE142+AB142</f>
        <v>746.99500648721551</v>
      </c>
      <c r="AH142" s="292">
        <f>+V142-AB142</f>
        <v>-4.7544054098125343E-5</v>
      </c>
      <c r="AI142" s="292">
        <f t="shared" ref="AI142:AI153" si="7">+X142-AH142</f>
        <v>334.49997885066585</v>
      </c>
      <c r="AJ142" s="293">
        <f>+((AG142-AI142)/AG142)*AF142</f>
        <v>39.75882265866241</v>
      </c>
      <c r="AK142" s="293">
        <f>+(AI142/AG142)*AF142</f>
        <v>32.24117734133759</v>
      </c>
      <c r="AL142" s="258">
        <f t="shared" ref="AL142:AL153" si="8">2*$B$15/AJ142</f>
        <v>291.75914235661259</v>
      </c>
      <c r="AM142" s="258">
        <f>2*$C$15/AK142</f>
        <v>359.788350071423</v>
      </c>
      <c r="AN142" s="385">
        <f>ABS(AL142)</f>
        <v>291.75914235661259</v>
      </c>
      <c r="AO142" s="385">
        <f>ABS(AM142)</f>
        <v>359.788350071423</v>
      </c>
      <c r="AQ142" s="136"/>
      <c r="AR142" s="136"/>
      <c r="AS142" s="136"/>
      <c r="AT142" s="136"/>
      <c r="AY142" s="1037"/>
      <c r="AZ142" s="214"/>
      <c r="BA142" s="214"/>
    </row>
    <row r="143" spans="2:94" ht="27" thickBot="1" x14ac:dyDescent="0.45">
      <c r="B143" s="386">
        <v>2</v>
      </c>
      <c r="C143" s="386"/>
      <c r="D143" s="26">
        <v>0</v>
      </c>
      <c r="E143" s="375" t="s">
        <v>80</v>
      </c>
      <c r="F143" s="387"/>
      <c r="G143" s="5">
        <v>479.77208100000001</v>
      </c>
      <c r="H143" s="5">
        <v>61.416098300000002</v>
      </c>
      <c r="I143" s="357">
        <f>+H143+D143</f>
        <v>61.416098300000002</v>
      </c>
      <c r="J143" s="302">
        <f t="shared" ref="J143:J153" si="9">+I143/2</f>
        <v>30.708049150000001</v>
      </c>
      <c r="K143" s="302">
        <f t="shared" ref="K143:K153" si="10">SIN(J143*3.14159265358979/180)</f>
        <v>0.51066370850547771</v>
      </c>
      <c r="L143" s="302">
        <f t="shared" ref="L143:L153" si="11">+K143*G143</f>
        <v>245.00219012085046</v>
      </c>
      <c r="M143" s="302">
        <f t="shared" ref="M143:M153" si="12">+L143*2</f>
        <v>490.00438024170091</v>
      </c>
      <c r="N143" s="302">
        <f>+C142+(D143/2)</f>
        <v>0</v>
      </c>
      <c r="O143" s="302">
        <f t="shared" ref="O143:O153" si="13">SIN(N143*3.14159265358979/180)</f>
        <v>0</v>
      </c>
      <c r="P143" s="302">
        <f t="shared" ref="P143:P153" si="14">+O143*M143</f>
        <v>0</v>
      </c>
      <c r="Q143" s="302">
        <f t="shared" ref="Q143:Q153" si="15">+S142</f>
        <v>334.49993130661176</v>
      </c>
      <c r="R143" s="302">
        <f>+Q143+P143</f>
        <v>334.49993130661176</v>
      </c>
      <c r="S143" s="302">
        <f t="shared" si="5"/>
        <v>334.49993130661176</v>
      </c>
      <c r="T143" s="228"/>
      <c r="U143" s="257" t="e">
        <f t="shared" ref="U143:U153" si="16">IF(AM143&lt;0,"use the locking pin"," ")</f>
        <v>#DIV/0!</v>
      </c>
      <c r="V143" s="285">
        <f t="shared" si="6"/>
        <v>0</v>
      </c>
      <c r="W143" s="378"/>
      <c r="X143" s="285" t="e">
        <f>SUM(V143:V153)/($B$139-B142)</f>
        <v>#DIV/0!</v>
      </c>
      <c r="Y143" s="286">
        <f>SUM(D143)+$C$142</f>
        <v>0</v>
      </c>
      <c r="Z143" s="6">
        <f t="shared" ref="Z143:Z153" si="17">53.779595+Y143</f>
        <v>53.779595</v>
      </c>
      <c r="AA143" s="381">
        <f>SIN(Z143*3.14159265358979/180)</f>
        <v>0.8067499259590819</v>
      </c>
      <c r="AB143" s="6">
        <f t="shared" ref="AB143:AB153" si="18">+AA143*414.6266</f>
        <v>334.49997885066585</v>
      </c>
      <c r="AC143" s="6">
        <f t="shared" ref="AC143:AC153" si="19">59.2910885-Y143</f>
        <v>59.291088500000001</v>
      </c>
      <c r="AD143" s="383">
        <f t="shared" ref="AD143:AD153" si="20">SIN(AC143*3.14159265358979/180)</f>
        <v>0.85977285389573432</v>
      </c>
      <c r="AE143" s="6">
        <f t="shared" ref="AE143:AE153" si="21">+AD143*479.7721</f>
        <v>412.49502763654965</v>
      </c>
      <c r="AF143" s="391">
        <f t="shared" ref="AF143:AF153" si="22">72*($B$139-B142)</f>
        <v>0</v>
      </c>
      <c r="AG143" s="384">
        <f t="shared" ref="AG143:AG153" si="23">+AE143+AB143</f>
        <v>746.99500648721551</v>
      </c>
      <c r="AH143" s="292">
        <f t="shared" ref="AH143:AH153" si="24">+V143-AB143</f>
        <v>-334.49997885066585</v>
      </c>
      <c r="AI143" s="292" t="e">
        <f t="shared" si="7"/>
        <v>#DIV/0!</v>
      </c>
      <c r="AJ143" s="293" t="e">
        <f t="shared" ref="AJ143:AJ153" si="25">+((AG143-AI143)/AG143)*AF143</f>
        <v>#DIV/0!</v>
      </c>
      <c r="AK143" s="293" t="e">
        <f t="shared" ref="AK143:AK153" si="26">+(AI143/AG143)*AF143</f>
        <v>#DIV/0!</v>
      </c>
      <c r="AL143" s="258" t="e">
        <f t="shared" si="8"/>
        <v>#DIV/0!</v>
      </c>
      <c r="AM143" s="258" t="e">
        <f t="shared" ref="AM143:AM153" si="27">2*$C$15/AK143</f>
        <v>#DIV/0!</v>
      </c>
      <c r="AN143" s="385" t="e">
        <f t="shared" ref="AN143:AO153" si="28">ABS(AL143)</f>
        <v>#DIV/0!</v>
      </c>
      <c r="AO143" s="385" t="e">
        <f t="shared" si="28"/>
        <v>#DIV/0!</v>
      </c>
      <c r="AQ143" s="136"/>
      <c r="AR143" s="136"/>
      <c r="AS143" s="136"/>
      <c r="AT143" s="136"/>
      <c r="AY143" s="1037"/>
      <c r="AZ143" s="214"/>
      <c r="BA143" s="214"/>
    </row>
    <row r="144" spans="2:94" ht="27" thickBot="1" x14ac:dyDescent="0.45">
      <c r="B144" s="386">
        <v>3</v>
      </c>
      <c r="C144" s="386"/>
      <c r="D144" s="26">
        <v>0</v>
      </c>
      <c r="E144" s="375" t="s">
        <v>80</v>
      </c>
      <c r="F144" s="387"/>
      <c r="G144" s="5">
        <v>479.77208100000001</v>
      </c>
      <c r="H144" s="5">
        <v>61.416098300000002</v>
      </c>
      <c r="I144" s="357">
        <f t="shared" ref="I144:I153" si="29">+H144+D144</f>
        <v>61.416098300000002</v>
      </c>
      <c r="J144" s="302">
        <f t="shared" si="9"/>
        <v>30.708049150000001</v>
      </c>
      <c r="K144" s="302">
        <f t="shared" si="10"/>
        <v>0.51066370850547771</v>
      </c>
      <c r="L144" s="302">
        <f t="shared" si="11"/>
        <v>245.00219012085046</v>
      </c>
      <c r="M144" s="302">
        <f t="shared" si="12"/>
        <v>490.00438024170091</v>
      </c>
      <c r="N144" s="302">
        <f>+C142+D143+(D144/2)</f>
        <v>0</v>
      </c>
      <c r="O144" s="302">
        <f t="shared" si="13"/>
        <v>0</v>
      </c>
      <c r="P144" s="302">
        <f t="shared" si="14"/>
        <v>0</v>
      </c>
      <c r="Q144" s="302">
        <f t="shared" si="15"/>
        <v>334.49993130661176</v>
      </c>
      <c r="R144" s="302">
        <f t="shared" ref="R144:R153" si="30">+R143+P144</f>
        <v>334.49993130661176</v>
      </c>
      <c r="S144" s="302">
        <f t="shared" si="5"/>
        <v>334.49993130661176</v>
      </c>
      <c r="T144" s="228"/>
      <c r="U144" s="257" t="str">
        <f t="shared" si="16"/>
        <v>use the locking pin</v>
      </c>
      <c r="V144" s="285">
        <f t="shared" si="6"/>
        <v>0</v>
      </c>
      <c r="W144" s="378"/>
      <c r="X144" s="285">
        <f>SUM(V144:V153)/($B$139-B143)</f>
        <v>0</v>
      </c>
      <c r="Y144" s="286">
        <f>SUM(D143:D144)+$C$142</f>
        <v>0</v>
      </c>
      <c r="Z144" s="6">
        <f t="shared" si="17"/>
        <v>53.779595</v>
      </c>
      <c r="AA144" s="381">
        <f t="shared" ref="AA144:AA153" si="31">SIN(Z144*3.14159265358979/180)</f>
        <v>0.8067499259590819</v>
      </c>
      <c r="AB144" s="6">
        <f t="shared" si="18"/>
        <v>334.49997885066585</v>
      </c>
      <c r="AC144" s="6">
        <f t="shared" si="19"/>
        <v>59.291088500000001</v>
      </c>
      <c r="AD144" s="383">
        <f t="shared" si="20"/>
        <v>0.85977285389573432</v>
      </c>
      <c r="AE144" s="6">
        <f t="shared" si="21"/>
        <v>412.49502763654965</v>
      </c>
      <c r="AF144" s="391">
        <f t="shared" si="22"/>
        <v>-72</v>
      </c>
      <c r="AG144" s="384">
        <f t="shared" si="23"/>
        <v>746.99500648721551</v>
      </c>
      <c r="AH144" s="292">
        <f t="shared" si="24"/>
        <v>-334.49997885066585</v>
      </c>
      <c r="AI144" s="292">
        <f t="shared" si="7"/>
        <v>334.49997885066585</v>
      </c>
      <c r="AJ144" s="293">
        <f t="shared" si="25"/>
        <v>-39.75882265866241</v>
      </c>
      <c r="AK144" s="293">
        <f t="shared" si="26"/>
        <v>-32.24117734133759</v>
      </c>
      <c r="AL144" s="258">
        <f t="shared" si="8"/>
        <v>-291.75914235661259</v>
      </c>
      <c r="AM144" s="258">
        <f t="shared" si="27"/>
        <v>-359.788350071423</v>
      </c>
      <c r="AN144" s="385">
        <f t="shared" si="28"/>
        <v>291.75914235661259</v>
      </c>
      <c r="AO144" s="385">
        <f t="shared" si="28"/>
        <v>359.788350071423</v>
      </c>
      <c r="AQ144" s="136"/>
      <c r="AR144" s="136"/>
      <c r="AS144" s="136"/>
      <c r="AT144" s="136"/>
      <c r="AY144" s="1037"/>
      <c r="AZ144" s="214"/>
      <c r="BA144" s="214"/>
    </row>
    <row r="145" spans="2:53" ht="27" thickBot="1" x14ac:dyDescent="0.45">
      <c r="B145" s="386">
        <v>4</v>
      </c>
      <c r="C145" s="386"/>
      <c r="D145" s="26">
        <v>0</v>
      </c>
      <c r="E145" s="375" t="s">
        <v>80</v>
      </c>
      <c r="F145" s="387"/>
      <c r="G145" s="5">
        <v>479.77208100000001</v>
      </c>
      <c r="H145" s="5">
        <v>61.416098300000002</v>
      </c>
      <c r="I145" s="357">
        <f t="shared" si="29"/>
        <v>61.416098300000002</v>
      </c>
      <c r="J145" s="302">
        <f t="shared" si="9"/>
        <v>30.708049150000001</v>
      </c>
      <c r="K145" s="302">
        <f t="shared" si="10"/>
        <v>0.51066370850547771</v>
      </c>
      <c r="L145" s="302">
        <f t="shared" si="11"/>
        <v>245.00219012085046</v>
      </c>
      <c r="M145" s="302">
        <f t="shared" si="12"/>
        <v>490.00438024170091</v>
      </c>
      <c r="N145" s="302">
        <f>+C142+D143+D144+(D145/2)</f>
        <v>0</v>
      </c>
      <c r="O145" s="302">
        <f t="shared" si="13"/>
        <v>0</v>
      </c>
      <c r="P145" s="302">
        <f t="shared" si="14"/>
        <v>0</v>
      </c>
      <c r="Q145" s="302">
        <f t="shared" si="15"/>
        <v>334.49993130661176</v>
      </c>
      <c r="R145" s="302">
        <f t="shared" si="30"/>
        <v>334.49993130661176</v>
      </c>
      <c r="S145" s="302">
        <f t="shared" si="5"/>
        <v>334.49993130661176</v>
      </c>
      <c r="T145" s="228"/>
      <c r="U145" s="257" t="str">
        <f t="shared" si="16"/>
        <v>use the locking pin</v>
      </c>
      <c r="V145" s="285">
        <f t="shared" si="6"/>
        <v>0</v>
      </c>
      <c r="W145" s="378"/>
      <c r="X145" s="285">
        <f>SUM(V145:V153)/($B$139-B144)</f>
        <v>0</v>
      </c>
      <c r="Y145" s="286">
        <f>SUM(D143:D145)+$C$142</f>
        <v>0</v>
      </c>
      <c r="Z145" s="6">
        <f t="shared" si="17"/>
        <v>53.779595</v>
      </c>
      <c r="AA145" s="381">
        <f t="shared" si="31"/>
        <v>0.8067499259590819</v>
      </c>
      <c r="AB145" s="6">
        <f t="shared" si="18"/>
        <v>334.49997885066585</v>
      </c>
      <c r="AC145" s="6">
        <f t="shared" si="19"/>
        <v>59.291088500000001</v>
      </c>
      <c r="AD145" s="383">
        <f t="shared" si="20"/>
        <v>0.85977285389573432</v>
      </c>
      <c r="AE145" s="6">
        <f t="shared" si="21"/>
        <v>412.49502763654965</v>
      </c>
      <c r="AF145" s="391">
        <f t="shared" si="22"/>
        <v>-144</v>
      </c>
      <c r="AG145" s="384">
        <f t="shared" si="23"/>
        <v>746.99500648721551</v>
      </c>
      <c r="AH145" s="292">
        <f t="shared" si="24"/>
        <v>-334.49997885066585</v>
      </c>
      <c r="AI145" s="292">
        <f t="shared" si="7"/>
        <v>334.49997885066585</v>
      </c>
      <c r="AJ145" s="293">
        <f t="shared" si="25"/>
        <v>-79.517645317324821</v>
      </c>
      <c r="AK145" s="293">
        <f t="shared" si="26"/>
        <v>-64.482354682675179</v>
      </c>
      <c r="AL145" s="258">
        <f t="shared" si="8"/>
        <v>-145.87957117830629</v>
      </c>
      <c r="AM145" s="258">
        <f t="shared" si="27"/>
        <v>-179.8941750357115</v>
      </c>
      <c r="AN145" s="385">
        <f t="shared" si="28"/>
        <v>145.87957117830629</v>
      </c>
      <c r="AO145" s="385">
        <f t="shared" si="28"/>
        <v>179.8941750357115</v>
      </c>
      <c r="AQ145" s="136"/>
      <c r="AR145" s="136"/>
      <c r="AS145" s="136"/>
      <c r="AT145" s="136"/>
      <c r="AY145" s="1037"/>
      <c r="AZ145" s="214"/>
      <c r="BA145" s="214"/>
    </row>
    <row r="146" spans="2:53" ht="27" thickBot="1" x14ac:dyDescent="0.45">
      <c r="B146" s="386">
        <v>5</v>
      </c>
      <c r="C146" s="386"/>
      <c r="D146" s="26">
        <v>0</v>
      </c>
      <c r="E146" s="375" t="s">
        <v>80</v>
      </c>
      <c r="F146" s="387"/>
      <c r="G146" s="5">
        <v>479.77208100000001</v>
      </c>
      <c r="H146" s="5">
        <v>61.416098300000002</v>
      </c>
      <c r="I146" s="357">
        <f t="shared" si="29"/>
        <v>61.416098300000002</v>
      </c>
      <c r="J146" s="302">
        <f t="shared" si="9"/>
        <v>30.708049150000001</v>
      </c>
      <c r="K146" s="302">
        <f t="shared" si="10"/>
        <v>0.51066370850547771</v>
      </c>
      <c r="L146" s="302">
        <f t="shared" si="11"/>
        <v>245.00219012085046</v>
      </c>
      <c r="M146" s="302">
        <f t="shared" si="12"/>
        <v>490.00438024170091</v>
      </c>
      <c r="N146" s="302">
        <f>+C142+D143+D144+D145+(D146/2)</f>
        <v>0</v>
      </c>
      <c r="O146" s="302">
        <f t="shared" si="13"/>
        <v>0</v>
      </c>
      <c r="P146" s="302">
        <f t="shared" si="14"/>
        <v>0</v>
      </c>
      <c r="Q146" s="302">
        <f t="shared" si="15"/>
        <v>334.49993130661176</v>
      </c>
      <c r="R146" s="302">
        <f t="shared" si="30"/>
        <v>334.49993130661176</v>
      </c>
      <c r="S146" s="302">
        <f t="shared" si="5"/>
        <v>334.49993130661176</v>
      </c>
      <c r="T146" s="228"/>
      <c r="U146" s="257" t="str">
        <f t="shared" si="16"/>
        <v>use the locking pin</v>
      </c>
      <c r="V146" s="285">
        <f t="shared" si="6"/>
        <v>0</v>
      </c>
      <c r="W146" s="378"/>
      <c r="X146" s="285">
        <f>SUM(V146:V153)/($B$139-B145)</f>
        <v>0</v>
      </c>
      <c r="Y146" s="286">
        <f>SUM(D143:D146)+$C$142</f>
        <v>0</v>
      </c>
      <c r="Z146" s="6">
        <f t="shared" si="17"/>
        <v>53.779595</v>
      </c>
      <c r="AA146" s="381">
        <f t="shared" si="31"/>
        <v>0.8067499259590819</v>
      </c>
      <c r="AB146" s="6">
        <f t="shared" si="18"/>
        <v>334.49997885066585</v>
      </c>
      <c r="AC146" s="6">
        <f t="shared" si="19"/>
        <v>59.291088500000001</v>
      </c>
      <c r="AD146" s="383">
        <f t="shared" si="20"/>
        <v>0.85977285389573432</v>
      </c>
      <c r="AE146" s="6">
        <f t="shared" si="21"/>
        <v>412.49502763654965</v>
      </c>
      <c r="AF146" s="391">
        <f t="shared" si="22"/>
        <v>-216</v>
      </c>
      <c r="AG146" s="384">
        <f t="shared" si="23"/>
        <v>746.99500648721551</v>
      </c>
      <c r="AH146" s="292">
        <f t="shared" si="24"/>
        <v>-334.49997885066585</v>
      </c>
      <c r="AI146" s="292">
        <f t="shared" si="7"/>
        <v>334.49997885066585</v>
      </c>
      <c r="AJ146" s="293">
        <f t="shared" si="25"/>
        <v>-119.27646797598722</v>
      </c>
      <c r="AK146" s="293">
        <f t="shared" si="26"/>
        <v>-96.723532024012783</v>
      </c>
      <c r="AL146" s="258">
        <f t="shared" si="8"/>
        <v>-97.2530474522042</v>
      </c>
      <c r="AM146" s="258">
        <f t="shared" si="27"/>
        <v>-119.92945002380765</v>
      </c>
      <c r="AN146" s="385">
        <f t="shared" si="28"/>
        <v>97.2530474522042</v>
      </c>
      <c r="AO146" s="385">
        <f t="shared" si="28"/>
        <v>119.92945002380765</v>
      </c>
      <c r="AQ146" s="136"/>
      <c r="AR146" s="136"/>
      <c r="AS146" s="136"/>
      <c r="AT146" s="136"/>
      <c r="AY146" s="1037"/>
      <c r="AZ146" s="214"/>
      <c r="BA146" s="214"/>
    </row>
    <row r="147" spans="2:53" ht="27" thickBot="1" x14ac:dyDescent="0.45">
      <c r="B147" s="386">
        <v>6</v>
      </c>
      <c r="C147" s="386"/>
      <c r="D147" s="26">
        <v>0</v>
      </c>
      <c r="E147" s="375" t="s">
        <v>80</v>
      </c>
      <c r="F147" s="387"/>
      <c r="G147" s="5">
        <v>479.77208100000001</v>
      </c>
      <c r="H147" s="5">
        <v>61.416098300000002</v>
      </c>
      <c r="I147" s="357">
        <f t="shared" si="29"/>
        <v>61.416098300000002</v>
      </c>
      <c r="J147" s="302">
        <f t="shared" si="9"/>
        <v>30.708049150000001</v>
      </c>
      <c r="K147" s="302">
        <f t="shared" si="10"/>
        <v>0.51066370850547771</v>
      </c>
      <c r="L147" s="302">
        <f t="shared" si="11"/>
        <v>245.00219012085046</v>
      </c>
      <c r="M147" s="302">
        <f t="shared" si="12"/>
        <v>490.00438024170091</v>
      </c>
      <c r="N147" s="302">
        <f>+C142+D143+D144+D145+D146+(D147/2)</f>
        <v>0</v>
      </c>
      <c r="O147" s="302">
        <f t="shared" si="13"/>
        <v>0</v>
      </c>
      <c r="P147" s="302">
        <f t="shared" si="14"/>
        <v>0</v>
      </c>
      <c r="Q147" s="302">
        <f t="shared" si="15"/>
        <v>334.49993130661176</v>
      </c>
      <c r="R147" s="302">
        <f t="shared" si="30"/>
        <v>334.49993130661176</v>
      </c>
      <c r="S147" s="302">
        <f t="shared" si="5"/>
        <v>334.49993130661176</v>
      </c>
      <c r="T147" s="228"/>
      <c r="U147" s="257" t="str">
        <f t="shared" si="16"/>
        <v>use the locking pin</v>
      </c>
      <c r="V147" s="285">
        <f t="shared" si="6"/>
        <v>0</v>
      </c>
      <c r="W147" s="378"/>
      <c r="X147" s="285">
        <f>SUM(V147:V153)/($B$139-B146)</f>
        <v>0</v>
      </c>
      <c r="Y147" s="286">
        <f>SUM(D143:D147)+$C$142</f>
        <v>0</v>
      </c>
      <c r="Z147" s="6">
        <f t="shared" si="17"/>
        <v>53.779595</v>
      </c>
      <c r="AA147" s="381">
        <f t="shared" si="31"/>
        <v>0.8067499259590819</v>
      </c>
      <c r="AB147" s="6">
        <f t="shared" si="18"/>
        <v>334.49997885066585</v>
      </c>
      <c r="AC147" s="6">
        <f t="shared" si="19"/>
        <v>59.291088500000001</v>
      </c>
      <c r="AD147" s="383">
        <f t="shared" si="20"/>
        <v>0.85977285389573432</v>
      </c>
      <c r="AE147" s="6">
        <f t="shared" si="21"/>
        <v>412.49502763654965</v>
      </c>
      <c r="AF147" s="391">
        <f t="shared" si="22"/>
        <v>-288</v>
      </c>
      <c r="AG147" s="384">
        <f t="shared" si="23"/>
        <v>746.99500648721551</v>
      </c>
      <c r="AH147" s="292">
        <f t="shared" si="24"/>
        <v>-334.49997885066585</v>
      </c>
      <c r="AI147" s="292">
        <f t="shared" si="7"/>
        <v>334.49997885066585</v>
      </c>
      <c r="AJ147" s="293">
        <f t="shared" si="25"/>
        <v>-159.03529063464964</v>
      </c>
      <c r="AK147" s="293">
        <f t="shared" si="26"/>
        <v>-128.96470936535036</v>
      </c>
      <c r="AL147" s="258">
        <f t="shared" si="8"/>
        <v>-72.939785589153146</v>
      </c>
      <c r="AM147" s="258">
        <f t="shared" si="27"/>
        <v>-89.947087517855749</v>
      </c>
      <c r="AN147" s="385">
        <f t="shared" si="28"/>
        <v>72.939785589153146</v>
      </c>
      <c r="AO147" s="385">
        <f t="shared" si="28"/>
        <v>89.947087517855749</v>
      </c>
      <c r="AQ147" s="136"/>
      <c r="AR147" s="136"/>
      <c r="AS147" s="136"/>
      <c r="AT147" s="136"/>
      <c r="AU147" s="136"/>
      <c r="AW147" s="136"/>
      <c r="AX147" s="136"/>
      <c r="AY147" s="1037"/>
      <c r="AZ147" s="214"/>
      <c r="BA147" s="214"/>
    </row>
    <row r="148" spans="2:53" ht="27" thickBot="1" x14ac:dyDescent="0.45">
      <c r="B148" s="386">
        <v>7</v>
      </c>
      <c r="C148" s="386"/>
      <c r="D148" s="26">
        <v>0</v>
      </c>
      <c r="E148" s="375" t="s">
        <v>80</v>
      </c>
      <c r="F148" s="387"/>
      <c r="G148" s="5">
        <v>479.77208100000001</v>
      </c>
      <c r="H148" s="5">
        <v>61.416098300000002</v>
      </c>
      <c r="I148" s="357">
        <f t="shared" si="29"/>
        <v>61.416098300000002</v>
      </c>
      <c r="J148" s="302">
        <f t="shared" si="9"/>
        <v>30.708049150000001</v>
      </c>
      <c r="K148" s="302">
        <f t="shared" si="10"/>
        <v>0.51066370850547771</v>
      </c>
      <c r="L148" s="302">
        <f t="shared" si="11"/>
        <v>245.00219012085046</v>
      </c>
      <c r="M148" s="302">
        <f t="shared" si="12"/>
        <v>490.00438024170091</v>
      </c>
      <c r="N148" s="302">
        <f>+C142+D143+D144+D145+D146+D147+(D148/2)</f>
        <v>0</v>
      </c>
      <c r="O148" s="302">
        <f t="shared" si="13"/>
        <v>0</v>
      </c>
      <c r="P148" s="302">
        <f t="shared" si="14"/>
        <v>0</v>
      </c>
      <c r="Q148" s="302">
        <f t="shared" si="15"/>
        <v>334.49993130661176</v>
      </c>
      <c r="R148" s="302">
        <f t="shared" si="30"/>
        <v>334.49993130661176</v>
      </c>
      <c r="S148" s="302">
        <f t="shared" si="5"/>
        <v>334.49993130661176</v>
      </c>
      <c r="T148" s="228"/>
      <c r="U148" s="257" t="str">
        <f t="shared" si="16"/>
        <v>use the locking pin</v>
      </c>
      <c r="V148" s="285">
        <f t="shared" si="6"/>
        <v>0</v>
      </c>
      <c r="W148" s="378"/>
      <c r="X148" s="285">
        <f>SUM(V148:V153)/($B$139-B147)</f>
        <v>0</v>
      </c>
      <c r="Y148" s="286">
        <f>SUM(D143:D148)+$C$142</f>
        <v>0</v>
      </c>
      <c r="Z148" s="6">
        <f t="shared" si="17"/>
        <v>53.779595</v>
      </c>
      <c r="AA148" s="381">
        <f t="shared" si="31"/>
        <v>0.8067499259590819</v>
      </c>
      <c r="AB148" s="6">
        <f t="shared" si="18"/>
        <v>334.49997885066585</v>
      </c>
      <c r="AC148" s="6">
        <f t="shared" si="19"/>
        <v>59.291088500000001</v>
      </c>
      <c r="AD148" s="383">
        <f t="shared" si="20"/>
        <v>0.85977285389573432</v>
      </c>
      <c r="AE148" s="6">
        <f t="shared" si="21"/>
        <v>412.49502763654965</v>
      </c>
      <c r="AF148" s="391">
        <f t="shared" si="22"/>
        <v>-360</v>
      </c>
      <c r="AG148" s="384">
        <f t="shared" si="23"/>
        <v>746.99500648721551</v>
      </c>
      <c r="AH148" s="292">
        <f t="shared" si="24"/>
        <v>-334.49997885066585</v>
      </c>
      <c r="AI148" s="292">
        <f t="shared" si="7"/>
        <v>334.49997885066585</v>
      </c>
      <c r="AJ148" s="293">
        <f t="shared" si="25"/>
        <v>-198.79411329331202</v>
      </c>
      <c r="AK148" s="293">
        <f t="shared" si="26"/>
        <v>-161.20588670668798</v>
      </c>
      <c r="AL148" s="258">
        <f t="shared" si="8"/>
        <v>-58.351828471322527</v>
      </c>
      <c r="AM148" s="258">
        <f t="shared" si="27"/>
        <v>-71.957670014284588</v>
      </c>
      <c r="AN148" s="385">
        <f t="shared" si="28"/>
        <v>58.351828471322527</v>
      </c>
      <c r="AO148" s="385">
        <f t="shared" si="28"/>
        <v>71.957670014284588</v>
      </c>
      <c r="AQ148" s="136"/>
      <c r="AR148" s="136"/>
      <c r="AS148" s="136"/>
      <c r="AT148" s="136"/>
      <c r="AU148" s="136"/>
      <c r="AV148" s="136"/>
      <c r="AW148" s="136"/>
      <c r="AX148" s="136"/>
      <c r="AY148" s="1037"/>
      <c r="AZ148" s="214"/>
      <c r="BA148" s="214"/>
    </row>
    <row r="149" spans="2:53" ht="27" thickBot="1" x14ac:dyDescent="0.45">
      <c r="B149" s="386">
        <v>8</v>
      </c>
      <c r="C149" s="386"/>
      <c r="D149" s="26">
        <v>0</v>
      </c>
      <c r="E149" s="375" t="s">
        <v>80</v>
      </c>
      <c r="F149" s="387"/>
      <c r="G149" s="5">
        <v>479.77208100000001</v>
      </c>
      <c r="H149" s="5">
        <v>61.416098300000002</v>
      </c>
      <c r="I149" s="357">
        <f t="shared" si="29"/>
        <v>61.416098300000002</v>
      </c>
      <c r="J149" s="302">
        <f t="shared" si="9"/>
        <v>30.708049150000001</v>
      </c>
      <c r="K149" s="302">
        <f t="shared" si="10"/>
        <v>0.51066370850547771</v>
      </c>
      <c r="L149" s="302">
        <f t="shared" si="11"/>
        <v>245.00219012085046</v>
      </c>
      <c r="M149" s="302">
        <f t="shared" si="12"/>
        <v>490.00438024170091</v>
      </c>
      <c r="N149" s="302">
        <f>+C142+D143+D144+D145+D146+D147+D148+(D149/2)</f>
        <v>0</v>
      </c>
      <c r="O149" s="302">
        <f t="shared" si="13"/>
        <v>0</v>
      </c>
      <c r="P149" s="302">
        <f t="shared" si="14"/>
        <v>0</v>
      </c>
      <c r="Q149" s="302">
        <f t="shared" si="15"/>
        <v>334.49993130661176</v>
      </c>
      <c r="R149" s="302">
        <f t="shared" si="30"/>
        <v>334.49993130661176</v>
      </c>
      <c r="S149" s="302">
        <f t="shared" si="5"/>
        <v>334.49993130661176</v>
      </c>
      <c r="T149" s="228"/>
      <c r="U149" s="257" t="str">
        <f t="shared" si="16"/>
        <v>use the locking pin</v>
      </c>
      <c r="V149" s="285">
        <f t="shared" si="6"/>
        <v>0</v>
      </c>
      <c r="W149" s="378"/>
      <c r="X149" s="285">
        <f>SUM(V149:V153)/($B$139-B148)</f>
        <v>0</v>
      </c>
      <c r="Y149" s="286">
        <f>SUM(D143:D149)+$C$142</f>
        <v>0</v>
      </c>
      <c r="Z149" s="6">
        <f t="shared" si="17"/>
        <v>53.779595</v>
      </c>
      <c r="AA149" s="381">
        <f t="shared" si="31"/>
        <v>0.8067499259590819</v>
      </c>
      <c r="AB149" s="6">
        <f t="shared" si="18"/>
        <v>334.49997885066585</v>
      </c>
      <c r="AC149" s="6">
        <f t="shared" si="19"/>
        <v>59.291088500000001</v>
      </c>
      <c r="AD149" s="383">
        <f t="shared" si="20"/>
        <v>0.85977285389573432</v>
      </c>
      <c r="AE149" s="6">
        <f t="shared" si="21"/>
        <v>412.49502763654965</v>
      </c>
      <c r="AF149" s="391">
        <f t="shared" si="22"/>
        <v>-432</v>
      </c>
      <c r="AG149" s="384">
        <f t="shared" si="23"/>
        <v>746.99500648721551</v>
      </c>
      <c r="AH149" s="292">
        <f t="shared" si="24"/>
        <v>-334.49997885066585</v>
      </c>
      <c r="AI149" s="292">
        <f t="shared" si="7"/>
        <v>334.49997885066585</v>
      </c>
      <c r="AJ149" s="293">
        <f t="shared" si="25"/>
        <v>-238.55293595197443</v>
      </c>
      <c r="AK149" s="293">
        <f t="shared" si="26"/>
        <v>-193.44706404802557</v>
      </c>
      <c r="AL149" s="258">
        <f t="shared" si="8"/>
        <v>-48.6265237261021</v>
      </c>
      <c r="AM149" s="258">
        <f t="shared" si="27"/>
        <v>-59.964725011903823</v>
      </c>
      <c r="AN149" s="385">
        <f t="shared" si="28"/>
        <v>48.6265237261021</v>
      </c>
      <c r="AO149" s="385">
        <f t="shared" si="28"/>
        <v>59.964725011903823</v>
      </c>
      <c r="AQ149" s="136"/>
      <c r="AR149" s="136"/>
      <c r="AS149" s="136"/>
      <c r="AT149" s="136"/>
      <c r="AU149" s="136"/>
      <c r="AV149" s="136"/>
      <c r="AW149" s="136"/>
      <c r="AX149" s="136"/>
      <c r="AY149" s="1037"/>
      <c r="AZ149" s="214"/>
      <c r="BA149" s="214"/>
    </row>
    <row r="150" spans="2:53" ht="27" thickBot="1" x14ac:dyDescent="0.45">
      <c r="B150" s="386">
        <v>9</v>
      </c>
      <c r="C150" s="386"/>
      <c r="D150" s="26">
        <v>0</v>
      </c>
      <c r="E150" s="375" t="s">
        <v>80</v>
      </c>
      <c r="F150" s="387"/>
      <c r="G150" s="5">
        <v>479.77208100000001</v>
      </c>
      <c r="H150" s="5">
        <v>61.416098300000002</v>
      </c>
      <c r="I150" s="357">
        <f t="shared" si="29"/>
        <v>61.416098300000002</v>
      </c>
      <c r="J150" s="302">
        <f t="shared" si="9"/>
        <v>30.708049150000001</v>
      </c>
      <c r="K150" s="302">
        <f t="shared" si="10"/>
        <v>0.51066370850547771</v>
      </c>
      <c r="L150" s="302">
        <f t="shared" si="11"/>
        <v>245.00219012085046</v>
      </c>
      <c r="M150" s="302">
        <f t="shared" si="12"/>
        <v>490.00438024170091</v>
      </c>
      <c r="N150" s="302">
        <f>+C142+D143+D144+D145+D146+D147+D148+D149+(D150/2)</f>
        <v>0</v>
      </c>
      <c r="O150" s="302">
        <f t="shared" si="13"/>
        <v>0</v>
      </c>
      <c r="P150" s="302">
        <f t="shared" si="14"/>
        <v>0</v>
      </c>
      <c r="Q150" s="302">
        <f t="shared" si="15"/>
        <v>334.49993130661176</v>
      </c>
      <c r="R150" s="302">
        <f t="shared" si="30"/>
        <v>334.49993130661176</v>
      </c>
      <c r="S150" s="302">
        <f t="shared" si="5"/>
        <v>334.49993130661176</v>
      </c>
      <c r="T150" s="228"/>
      <c r="U150" s="257" t="str">
        <f t="shared" si="16"/>
        <v>use the locking pin</v>
      </c>
      <c r="V150" s="285">
        <f t="shared" si="6"/>
        <v>0</v>
      </c>
      <c r="W150" s="378"/>
      <c r="X150" s="285">
        <f>SUM(V150:V153)/($B$139-B149)</f>
        <v>0</v>
      </c>
      <c r="Y150" s="286">
        <f>SUM(D143:D150)+$C$142</f>
        <v>0</v>
      </c>
      <c r="Z150" s="6">
        <f t="shared" si="17"/>
        <v>53.779595</v>
      </c>
      <c r="AA150" s="381">
        <f t="shared" si="31"/>
        <v>0.8067499259590819</v>
      </c>
      <c r="AB150" s="6">
        <f t="shared" si="18"/>
        <v>334.49997885066585</v>
      </c>
      <c r="AC150" s="6">
        <f t="shared" si="19"/>
        <v>59.291088500000001</v>
      </c>
      <c r="AD150" s="383">
        <f t="shared" si="20"/>
        <v>0.85977285389573432</v>
      </c>
      <c r="AE150" s="6">
        <f t="shared" si="21"/>
        <v>412.49502763654965</v>
      </c>
      <c r="AF150" s="391">
        <f t="shared" si="22"/>
        <v>-504</v>
      </c>
      <c r="AG150" s="384">
        <f t="shared" si="23"/>
        <v>746.99500648721551</v>
      </c>
      <c r="AH150" s="292">
        <f t="shared" si="24"/>
        <v>-334.49997885066585</v>
      </c>
      <c r="AI150" s="292">
        <f t="shared" si="7"/>
        <v>334.49997885066585</v>
      </c>
      <c r="AJ150" s="293">
        <f t="shared" si="25"/>
        <v>-278.31175861063684</v>
      </c>
      <c r="AK150" s="293">
        <f t="shared" si="26"/>
        <v>-225.68824138936316</v>
      </c>
      <c r="AL150" s="258">
        <f t="shared" si="8"/>
        <v>-41.679877479516087</v>
      </c>
      <c r="AM150" s="258">
        <f t="shared" si="27"/>
        <v>-51.398335724488994</v>
      </c>
      <c r="AN150" s="385">
        <f t="shared" si="28"/>
        <v>41.679877479516087</v>
      </c>
      <c r="AO150" s="385">
        <f t="shared" si="28"/>
        <v>51.398335724488994</v>
      </c>
      <c r="AQ150" s="136"/>
      <c r="AR150" s="136"/>
      <c r="AS150" s="136"/>
      <c r="AT150" s="136"/>
      <c r="AU150" s="136"/>
      <c r="AV150" s="136"/>
      <c r="AW150" s="136"/>
      <c r="AX150" s="136"/>
      <c r="AY150" s="1037"/>
      <c r="AZ150" s="214"/>
      <c r="BA150" s="214"/>
    </row>
    <row r="151" spans="2:53" ht="27" thickBot="1" x14ac:dyDescent="0.45">
      <c r="B151" s="386">
        <v>10</v>
      </c>
      <c r="C151" s="386"/>
      <c r="D151" s="26">
        <v>0</v>
      </c>
      <c r="E151" s="375" t="s">
        <v>80</v>
      </c>
      <c r="F151" s="387"/>
      <c r="G151" s="5">
        <v>479.77208100000001</v>
      </c>
      <c r="H151" s="5">
        <v>61.416098300000002</v>
      </c>
      <c r="I151" s="357">
        <f t="shared" si="29"/>
        <v>61.416098300000002</v>
      </c>
      <c r="J151" s="302">
        <f t="shared" si="9"/>
        <v>30.708049150000001</v>
      </c>
      <c r="K151" s="302">
        <f t="shared" si="10"/>
        <v>0.51066370850547771</v>
      </c>
      <c r="L151" s="302">
        <f t="shared" si="11"/>
        <v>245.00219012085046</v>
      </c>
      <c r="M151" s="302">
        <f t="shared" si="12"/>
        <v>490.00438024170091</v>
      </c>
      <c r="N151" s="302">
        <f>+C142+D143+D144+D145+D146+D147+D148+D149+D150+(D151/2)</f>
        <v>0</v>
      </c>
      <c r="O151" s="302">
        <f t="shared" si="13"/>
        <v>0</v>
      </c>
      <c r="P151" s="302">
        <f t="shared" si="14"/>
        <v>0</v>
      </c>
      <c r="Q151" s="302">
        <f t="shared" si="15"/>
        <v>334.49993130661176</v>
      </c>
      <c r="R151" s="302">
        <f t="shared" si="30"/>
        <v>334.49993130661176</v>
      </c>
      <c r="S151" s="302">
        <f t="shared" si="5"/>
        <v>334.49993130661176</v>
      </c>
      <c r="T151" s="228"/>
      <c r="U151" s="257" t="str">
        <f t="shared" si="16"/>
        <v>use the locking pin</v>
      </c>
      <c r="V151" s="285">
        <f t="shared" si="6"/>
        <v>0</v>
      </c>
      <c r="W151" s="378"/>
      <c r="X151" s="285">
        <f>SUM(V151:V153)/($B$139-B150)</f>
        <v>0</v>
      </c>
      <c r="Y151" s="286">
        <f>SUM(D143:D151)+$C$142</f>
        <v>0</v>
      </c>
      <c r="Z151" s="6">
        <f t="shared" si="17"/>
        <v>53.779595</v>
      </c>
      <c r="AA151" s="381">
        <f t="shared" si="31"/>
        <v>0.8067499259590819</v>
      </c>
      <c r="AB151" s="6">
        <f t="shared" si="18"/>
        <v>334.49997885066585</v>
      </c>
      <c r="AC151" s="6">
        <f t="shared" si="19"/>
        <v>59.291088500000001</v>
      </c>
      <c r="AD151" s="383">
        <f t="shared" si="20"/>
        <v>0.85977285389573432</v>
      </c>
      <c r="AE151" s="6">
        <f t="shared" si="21"/>
        <v>412.49502763654965</v>
      </c>
      <c r="AF151" s="391">
        <f t="shared" si="22"/>
        <v>-576</v>
      </c>
      <c r="AG151" s="384">
        <f t="shared" si="23"/>
        <v>746.99500648721551</v>
      </c>
      <c r="AH151" s="292">
        <f t="shared" si="24"/>
        <v>-334.49997885066585</v>
      </c>
      <c r="AI151" s="292">
        <f t="shared" si="7"/>
        <v>334.49997885066585</v>
      </c>
      <c r="AJ151" s="293">
        <f t="shared" si="25"/>
        <v>-318.07058126929928</v>
      </c>
      <c r="AK151" s="293">
        <f t="shared" si="26"/>
        <v>-257.92941873070072</v>
      </c>
      <c r="AL151" s="258">
        <f t="shared" si="8"/>
        <v>-36.469892794576573</v>
      </c>
      <c r="AM151" s="258">
        <f t="shared" si="27"/>
        <v>-44.973543758927875</v>
      </c>
      <c r="AN151" s="385">
        <f t="shared" si="28"/>
        <v>36.469892794576573</v>
      </c>
      <c r="AO151" s="385">
        <f t="shared" si="28"/>
        <v>44.973543758927875</v>
      </c>
      <c r="AQ151" s="136"/>
      <c r="AR151" s="136"/>
      <c r="AS151" s="136"/>
      <c r="AT151" s="136"/>
      <c r="AU151" s="136"/>
      <c r="AV151" s="136"/>
      <c r="AW151" s="136"/>
      <c r="AX151" s="136"/>
      <c r="AY151" s="1037"/>
      <c r="AZ151" s="214"/>
      <c r="BA151" s="214"/>
    </row>
    <row r="152" spans="2:53" ht="27" hidden="1" thickBot="1" x14ac:dyDescent="0.45">
      <c r="B152" s="386">
        <v>11</v>
      </c>
      <c r="C152" s="386"/>
      <c r="D152" s="26">
        <v>0</v>
      </c>
      <c r="E152" s="375" t="s">
        <v>80</v>
      </c>
      <c r="F152" s="387"/>
      <c r="G152" s="5">
        <v>479.77208100000001</v>
      </c>
      <c r="H152" s="5">
        <v>61.416098300000002</v>
      </c>
      <c r="I152" s="357">
        <f t="shared" si="29"/>
        <v>61.416098300000002</v>
      </c>
      <c r="J152" s="302">
        <f t="shared" si="9"/>
        <v>30.708049150000001</v>
      </c>
      <c r="K152" s="302">
        <f t="shared" si="10"/>
        <v>0.51066370850547771</v>
      </c>
      <c r="L152" s="302">
        <f t="shared" si="11"/>
        <v>245.00219012085046</v>
      </c>
      <c r="M152" s="302">
        <f t="shared" si="12"/>
        <v>490.00438024170091</v>
      </c>
      <c r="N152" s="302">
        <f>+C142+D143+D144+D145+D146+D147+D148+D149+D150+D151+(D152/2)</f>
        <v>0</v>
      </c>
      <c r="O152" s="302">
        <f t="shared" si="13"/>
        <v>0</v>
      </c>
      <c r="P152" s="302">
        <f t="shared" si="14"/>
        <v>0</v>
      </c>
      <c r="Q152" s="302">
        <f t="shared" si="15"/>
        <v>334.49993130661176</v>
      </c>
      <c r="R152" s="302">
        <f t="shared" si="30"/>
        <v>334.49993130661176</v>
      </c>
      <c r="S152" s="302">
        <f t="shared" si="5"/>
        <v>334.49993130661176</v>
      </c>
      <c r="T152" s="228"/>
      <c r="U152" s="257" t="str">
        <f t="shared" si="16"/>
        <v>use the locking pin</v>
      </c>
      <c r="V152" s="285">
        <f t="shared" si="6"/>
        <v>0</v>
      </c>
      <c r="W152" s="378"/>
      <c r="X152" s="285">
        <f>SUM(V152:V153)/($B$139-B151)</f>
        <v>0</v>
      </c>
      <c r="Y152" s="286">
        <f>SUM(D143:D152)+$C$142</f>
        <v>0</v>
      </c>
      <c r="Z152" s="6">
        <f t="shared" si="17"/>
        <v>53.779595</v>
      </c>
      <c r="AA152" s="381">
        <f t="shared" si="31"/>
        <v>0.8067499259590819</v>
      </c>
      <c r="AB152" s="6">
        <f t="shared" si="18"/>
        <v>334.49997885066585</v>
      </c>
      <c r="AC152" s="6">
        <f t="shared" si="19"/>
        <v>59.291088500000001</v>
      </c>
      <c r="AD152" s="383">
        <f t="shared" si="20"/>
        <v>0.85977285389573432</v>
      </c>
      <c r="AE152" s="6">
        <f t="shared" si="21"/>
        <v>412.49502763654965</v>
      </c>
      <c r="AF152" s="391">
        <f t="shared" si="22"/>
        <v>-648</v>
      </c>
      <c r="AG152" s="384">
        <f t="shared" si="23"/>
        <v>746.99500648721551</v>
      </c>
      <c r="AH152" s="292">
        <f t="shared" si="24"/>
        <v>-334.49997885066585</v>
      </c>
      <c r="AI152" s="292">
        <f t="shared" si="7"/>
        <v>334.49997885066585</v>
      </c>
      <c r="AJ152" s="293">
        <f t="shared" si="25"/>
        <v>-357.82940392796166</v>
      </c>
      <c r="AK152" s="293">
        <f t="shared" si="26"/>
        <v>-290.17059607203834</v>
      </c>
      <c r="AL152" s="258">
        <f t="shared" si="8"/>
        <v>-32.417682484068067</v>
      </c>
      <c r="AM152" s="258">
        <f t="shared" si="27"/>
        <v>-39.976483341269216</v>
      </c>
      <c r="AN152" s="385">
        <f t="shared" si="28"/>
        <v>32.417682484068067</v>
      </c>
      <c r="AO152" s="385">
        <f t="shared" si="28"/>
        <v>39.976483341269216</v>
      </c>
      <c r="AQ152" s="136"/>
      <c r="AR152" s="136"/>
      <c r="AS152" s="136"/>
      <c r="AT152" s="136"/>
      <c r="AU152" s="136"/>
      <c r="AV152" s="136"/>
      <c r="AW152" s="136"/>
      <c r="AX152" s="136"/>
      <c r="AY152" s="1037"/>
      <c r="AZ152" s="214"/>
      <c r="BA152" s="214"/>
    </row>
    <row r="153" spans="2:53" ht="27" hidden="1" thickBot="1" x14ac:dyDescent="0.45">
      <c r="B153" s="386">
        <v>12</v>
      </c>
      <c r="C153" s="386"/>
      <c r="D153" s="26">
        <v>0</v>
      </c>
      <c r="E153" s="375" t="s">
        <v>80</v>
      </c>
      <c r="F153" s="387"/>
      <c r="G153" s="5">
        <v>479.77208100000001</v>
      </c>
      <c r="H153" s="5">
        <v>61.416098300000002</v>
      </c>
      <c r="I153" s="357">
        <f t="shared" si="29"/>
        <v>61.416098300000002</v>
      </c>
      <c r="J153" s="302">
        <f t="shared" si="9"/>
        <v>30.708049150000001</v>
      </c>
      <c r="K153" s="302">
        <f t="shared" si="10"/>
        <v>0.51066370850547771</v>
      </c>
      <c r="L153" s="302">
        <f t="shared" si="11"/>
        <v>245.00219012085046</v>
      </c>
      <c r="M153" s="302">
        <f t="shared" si="12"/>
        <v>490.00438024170091</v>
      </c>
      <c r="N153" s="302">
        <f>+C142+D143+D144+D145+D146+D147+D148+D149+D150+D151+D152+(D153/2)</f>
        <v>0</v>
      </c>
      <c r="O153" s="302">
        <f t="shared" si="13"/>
        <v>0</v>
      </c>
      <c r="P153" s="302">
        <f t="shared" si="14"/>
        <v>0</v>
      </c>
      <c r="Q153" s="302">
        <f t="shared" si="15"/>
        <v>334.49993130661176</v>
      </c>
      <c r="R153" s="302">
        <f t="shared" si="30"/>
        <v>334.49993130661176</v>
      </c>
      <c r="S153" s="302">
        <f t="shared" si="5"/>
        <v>334.49993130661176</v>
      </c>
      <c r="T153" s="228"/>
      <c r="U153" s="257" t="str">
        <f t="shared" si="16"/>
        <v>use the locking pin</v>
      </c>
      <c r="V153" s="285">
        <f t="shared" si="6"/>
        <v>0</v>
      </c>
      <c r="W153" s="378"/>
      <c r="X153" s="285">
        <f>SUM(V153)/($B$139-B152)</f>
        <v>0</v>
      </c>
      <c r="Y153" s="286">
        <f>SUM(D143:D153)+$C$142</f>
        <v>0</v>
      </c>
      <c r="Z153" s="6">
        <f t="shared" si="17"/>
        <v>53.779595</v>
      </c>
      <c r="AA153" s="381">
        <f t="shared" si="31"/>
        <v>0.8067499259590819</v>
      </c>
      <c r="AB153" s="6">
        <f t="shared" si="18"/>
        <v>334.49997885066585</v>
      </c>
      <c r="AC153" s="6">
        <f t="shared" si="19"/>
        <v>59.291088500000001</v>
      </c>
      <c r="AD153" s="383">
        <f t="shared" si="20"/>
        <v>0.85977285389573432</v>
      </c>
      <c r="AE153" s="6">
        <f t="shared" si="21"/>
        <v>412.49502763654965</v>
      </c>
      <c r="AF153" s="391">
        <f t="shared" si="22"/>
        <v>-720</v>
      </c>
      <c r="AG153" s="384">
        <f t="shared" si="23"/>
        <v>746.99500648721551</v>
      </c>
      <c r="AH153" s="292">
        <f t="shared" si="24"/>
        <v>-334.49997885066585</v>
      </c>
      <c r="AI153" s="292">
        <f t="shared" si="7"/>
        <v>334.49997885066585</v>
      </c>
      <c r="AJ153" s="293">
        <f t="shared" si="25"/>
        <v>-397.58822658662405</v>
      </c>
      <c r="AK153" s="293">
        <f t="shared" si="26"/>
        <v>-322.41177341337595</v>
      </c>
      <c r="AL153" s="258">
        <f t="shared" si="8"/>
        <v>-29.175914235661264</v>
      </c>
      <c r="AM153" s="258">
        <f t="shared" si="27"/>
        <v>-35.978835007142294</v>
      </c>
      <c r="AN153" s="385">
        <f t="shared" si="28"/>
        <v>29.175914235661264</v>
      </c>
      <c r="AO153" s="385">
        <f t="shared" si="28"/>
        <v>35.978835007142294</v>
      </c>
      <c r="AQ153" s="136"/>
      <c r="AR153" s="136"/>
      <c r="AS153" s="136"/>
      <c r="AT153" s="136"/>
      <c r="AU153" s="136"/>
      <c r="AV153" s="136"/>
      <c r="AW153" s="136"/>
      <c r="AX153" s="136"/>
      <c r="AY153" s="1037"/>
      <c r="AZ153" s="214"/>
      <c r="BA153" s="214"/>
    </row>
    <row r="154" spans="2:53" ht="26" x14ac:dyDescent="0.4">
      <c r="AQ154" s="136"/>
      <c r="AR154" s="136"/>
      <c r="AS154" s="136"/>
      <c r="AT154" s="136"/>
      <c r="AU154" s="136"/>
      <c r="AV154" s="136"/>
      <c r="AW154" s="136"/>
      <c r="AX154" s="136"/>
      <c r="AY154" s="1037"/>
      <c r="AZ154" s="214"/>
      <c r="BA154" s="214"/>
    </row>
    <row r="155" spans="2:53" ht="26" x14ac:dyDescent="0.4">
      <c r="AQ155" s="136"/>
      <c r="AR155" s="136"/>
      <c r="AS155" s="136"/>
      <c r="AT155" s="136"/>
      <c r="AU155" s="136"/>
      <c r="AV155" s="136"/>
      <c r="AW155" s="136"/>
      <c r="AX155" s="136"/>
      <c r="AY155" s="1037"/>
      <c r="AZ155" s="214"/>
      <c r="BA155" s="214"/>
    </row>
    <row r="156" spans="2:53" ht="26" x14ac:dyDescent="0.4">
      <c r="AQ156" s="136"/>
      <c r="AR156" s="136"/>
      <c r="AS156" s="136"/>
      <c r="AT156" s="136"/>
      <c r="AU156" s="136"/>
      <c r="AV156" s="136"/>
      <c r="AW156" s="136"/>
      <c r="AX156" s="136"/>
      <c r="AY156" s="1037"/>
      <c r="AZ156" s="214"/>
      <c r="BA156" s="214"/>
    </row>
    <row r="157" spans="2:53" ht="26" x14ac:dyDescent="0.4">
      <c r="B157" s="350"/>
      <c r="AQ157" s="136"/>
      <c r="AR157" s="136"/>
      <c r="AS157" s="136"/>
      <c r="AT157" s="136"/>
      <c r="AU157" s="136"/>
      <c r="AV157" s="136"/>
      <c r="AW157" s="136"/>
      <c r="AX157" s="136"/>
      <c r="AY157" s="1037"/>
      <c r="AZ157" s="214"/>
      <c r="BA157" s="214"/>
    </row>
    <row r="158" spans="2:53" ht="26" x14ac:dyDescent="0.4">
      <c r="AQ158" s="136"/>
      <c r="AR158" s="136"/>
      <c r="AS158" s="136"/>
      <c r="AT158" s="136"/>
      <c r="AU158" s="136"/>
      <c r="AV158" s="136"/>
      <c r="AY158" s="1037"/>
      <c r="AZ158" s="214"/>
      <c r="BA158" s="214"/>
    </row>
    <row r="159" spans="2:53" ht="26" x14ac:dyDescent="0.4">
      <c r="AQ159" s="136"/>
      <c r="AR159" s="136"/>
      <c r="AS159" s="136"/>
      <c r="AT159" s="136"/>
      <c r="AU159" s="136"/>
      <c r="AV159" s="136"/>
      <c r="AW159" s="212"/>
      <c r="AY159" s="1037"/>
      <c r="AZ159" s="214"/>
      <c r="BA159" s="214"/>
    </row>
    <row r="160" spans="2:53" ht="26" x14ac:dyDescent="0.4">
      <c r="AQ160" s="136"/>
      <c r="AR160" s="136"/>
      <c r="AS160" s="297" t="s">
        <v>122</v>
      </c>
      <c r="AT160" s="136"/>
      <c r="AU160" s="136"/>
      <c r="AV160" s="136"/>
      <c r="AW160" s="136"/>
      <c r="AX160" s="136"/>
      <c r="AY160" s="1037"/>
      <c r="AZ160" s="214"/>
      <c r="BA160" s="214"/>
    </row>
    <row r="161" spans="43:53" ht="26" x14ac:dyDescent="0.4">
      <c r="AQ161" s="298">
        <v>1</v>
      </c>
      <c r="AR161" s="299">
        <v>-473</v>
      </c>
      <c r="AS161" s="300">
        <f>+COS(($B$136*-1)*3.14159265358979/180)*AR161</f>
        <v>-473</v>
      </c>
      <c r="AT161" s="303">
        <f t="shared" ref="AT161:AT197" si="32">+AS161-D$3</f>
        <v>-772.49022822330983</v>
      </c>
      <c r="AU161" s="302">
        <f t="shared" ref="AU161:AU197" si="33">ABS(AT161)</f>
        <v>772.49022822330983</v>
      </c>
      <c r="AV161" s="303">
        <f>MIN(AU161:AU197)</f>
        <v>1.5097717766901724</v>
      </c>
      <c r="AW161" s="302" t="b">
        <f t="shared" ref="AW161:AW197" si="34">IF(AV161=AU161,AQ161)</f>
        <v>0</v>
      </c>
      <c r="AX161" s="304">
        <v>1</v>
      </c>
      <c r="AY161" s="1037"/>
      <c r="AZ161" s="214"/>
      <c r="BA161" s="214"/>
    </row>
    <row r="162" spans="43:53" ht="26" x14ac:dyDescent="0.4">
      <c r="AQ162" s="298">
        <v>2</v>
      </c>
      <c r="AR162" s="299">
        <f>+AR161+43</f>
        <v>-430</v>
      </c>
      <c r="AS162" s="42">
        <f>+AS161+$E$2</f>
        <v>-430</v>
      </c>
      <c r="AT162" s="303">
        <f t="shared" si="32"/>
        <v>-729.49022822330983</v>
      </c>
      <c r="AU162" s="302">
        <f t="shared" si="33"/>
        <v>729.49022822330983</v>
      </c>
      <c r="AV162" s="302">
        <f>+AV161</f>
        <v>1.5097717766901724</v>
      </c>
      <c r="AW162" s="302" t="b">
        <f t="shared" si="34"/>
        <v>0</v>
      </c>
      <c r="AX162" s="304">
        <v>2</v>
      </c>
      <c r="AY162" s="1037"/>
      <c r="AZ162" s="214"/>
      <c r="BA162" s="214"/>
    </row>
    <row r="163" spans="43:53" ht="26" x14ac:dyDescent="0.4">
      <c r="AQ163" s="298">
        <v>3</v>
      </c>
      <c r="AR163" s="299">
        <f t="shared" ref="AR163:AR197" si="35">+AR162+43</f>
        <v>-387</v>
      </c>
      <c r="AS163" s="42">
        <f t="shared" ref="AS163:AS197" si="36">+AS162+$E$2</f>
        <v>-387</v>
      </c>
      <c r="AT163" s="303">
        <f t="shared" si="32"/>
        <v>-686.49022822330983</v>
      </c>
      <c r="AU163" s="302">
        <f t="shared" si="33"/>
        <v>686.49022822330983</v>
      </c>
      <c r="AV163" s="302">
        <f t="shared" ref="AV163:AV197" si="37">+AV162</f>
        <v>1.5097717766901724</v>
      </c>
      <c r="AW163" s="302" t="b">
        <f t="shared" si="34"/>
        <v>0</v>
      </c>
      <c r="AX163" s="304">
        <v>3</v>
      </c>
      <c r="AY163" s="1037"/>
      <c r="AZ163" s="214"/>
      <c r="BA163" s="214"/>
    </row>
    <row r="164" spans="43:53" ht="26" x14ac:dyDescent="0.4">
      <c r="AQ164" s="298">
        <v>4</v>
      </c>
      <c r="AR164" s="299">
        <f t="shared" si="35"/>
        <v>-344</v>
      </c>
      <c r="AS164" s="42">
        <f t="shared" si="36"/>
        <v>-344</v>
      </c>
      <c r="AT164" s="303">
        <f t="shared" si="32"/>
        <v>-643.49022822330983</v>
      </c>
      <c r="AU164" s="302">
        <f t="shared" si="33"/>
        <v>643.49022822330983</v>
      </c>
      <c r="AV164" s="302">
        <f t="shared" si="37"/>
        <v>1.5097717766901724</v>
      </c>
      <c r="AW164" s="302" t="b">
        <f t="shared" si="34"/>
        <v>0</v>
      </c>
      <c r="AX164" s="304">
        <v>4</v>
      </c>
      <c r="AY164" s="1037"/>
      <c r="AZ164" s="214"/>
      <c r="BA164" s="214"/>
    </row>
    <row r="165" spans="43:53" ht="26" x14ac:dyDescent="0.4">
      <c r="AQ165" s="298">
        <v>5</v>
      </c>
      <c r="AR165" s="299">
        <f t="shared" si="35"/>
        <v>-301</v>
      </c>
      <c r="AS165" s="42">
        <f t="shared" si="36"/>
        <v>-301</v>
      </c>
      <c r="AT165" s="303">
        <f t="shared" si="32"/>
        <v>-600.49022822330983</v>
      </c>
      <c r="AU165" s="302">
        <f t="shared" si="33"/>
        <v>600.49022822330983</v>
      </c>
      <c r="AV165" s="302">
        <f t="shared" si="37"/>
        <v>1.5097717766901724</v>
      </c>
      <c r="AW165" s="302" t="b">
        <f t="shared" si="34"/>
        <v>0</v>
      </c>
      <c r="AX165" s="304">
        <v>5</v>
      </c>
      <c r="AY165" s="1037"/>
      <c r="AZ165" s="214"/>
      <c r="BA165" s="214"/>
    </row>
    <row r="166" spans="43:53" ht="26" x14ac:dyDescent="0.4">
      <c r="AQ166" s="298">
        <v>6</v>
      </c>
      <c r="AR166" s="299">
        <f t="shared" si="35"/>
        <v>-258</v>
      </c>
      <c r="AS166" s="42">
        <f t="shared" si="36"/>
        <v>-258</v>
      </c>
      <c r="AT166" s="303">
        <f t="shared" si="32"/>
        <v>-557.49022822330983</v>
      </c>
      <c r="AU166" s="302">
        <f t="shared" si="33"/>
        <v>557.49022822330983</v>
      </c>
      <c r="AV166" s="302">
        <f t="shared" si="37"/>
        <v>1.5097717766901724</v>
      </c>
      <c r="AW166" s="302" t="b">
        <f t="shared" si="34"/>
        <v>0</v>
      </c>
      <c r="AX166" s="304">
        <v>6</v>
      </c>
      <c r="AY166" s="1037"/>
      <c r="AZ166" s="214"/>
      <c r="BA166" s="214"/>
    </row>
    <row r="167" spans="43:53" ht="26" x14ac:dyDescent="0.4">
      <c r="AQ167" s="298">
        <v>7</v>
      </c>
      <c r="AR167" s="299">
        <f t="shared" si="35"/>
        <v>-215</v>
      </c>
      <c r="AS167" s="42">
        <f t="shared" si="36"/>
        <v>-215</v>
      </c>
      <c r="AT167" s="303">
        <f t="shared" si="32"/>
        <v>-514.49022822330983</v>
      </c>
      <c r="AU167" s="302">
        <f t="shared" si="33"/>
        <v>514.49022822330983</v>
      </c>
      <c r="AV167" s="302">
        <f t="shared" si="37"/>
        <v>1.5097717766901724</v>
      </c>
      <c r="AW167" s="302" t="b">
        <f t="shared" si="34"/>
        <v>0</v>
      </c>
      <c r="AX167" s="304">
        <v>7</v>
      </c>
      <c r="AY167" s="1037"/>
      <c r="AZ167" s="214"/>
      <c r="BA167" s="214"/>
    </row>
    <row r="168" spans="43:53" ht="26" x14ac:dyDescent="0.4">
      <c r="AQ168" s="298">
        <v>8</v>
      </c>
      <c r="AR168" s="299">
        <f t="shared" si="35"/>
        <v>-172</v>
      </c>
      <c r="AS168" s="42">
        <f t="shared" si="36"/>
        <v>-172</v>
      </c>
      <c r="AT168" s="303">
        <f t="shared" si="32"/>
        <v>-471.49022822330983</v>
      </c>
      <c r="AU168" s="302">
        <f t="shared" si="33"/>
        <v>471.49022822330983</v>
      </c>
      <c r="AV168" s="302">
        <f t="shared" si="37"/>
        <v>1.5097717766901724</v>
      </c>
      <c r="AW168" s="302" t="b">
        <f t="shared" si="34"/>
        <v>0</v>
      </c>
      <c r="AX168" s="304">
        <v>8</v>
      </c>
      <c r="AY168" s="1037"/>
      <c r="AZ168" s="214"/>
      <c r="BA168" s="214"/>
    </row>
    <row r="169" spans="43:53" ht="26" x14ac:dyDescent="0.4">
      <c r="AQ169" s="298">
        <v>9</v>
      </c>
      <c r="AR169" s="299">
        <f t="shared" si="35"/>
        <v>-129</v>
      </c>
      <c r="AS169" s="42">
        <f t="shared" si="36"/>
        <v>-129</v>
      </c>
      <c r="AT169" s="303">
        <f t="shared" si="32"/>
        <v>-428.49022822330983</v>
      </c>
      <c r="AU169" s="302">
        <f t="shared" si="33"/>
        <v>428.49022822330983</v>
      </c>
      <c r="AV169" s="302">
        <f t="shared" si="37"/>
        <v>1.5097717766901724</v>
      </c>
      <c r="AW169" s="302" t="b">
        <f t="shared" si="34"/>
        <v>0</v>
      </c>
      <c r="AX169" s="304">
        <v>9</v>
      </c>
      <c r="AY169" s="1037"/>
      <c r="AZ169" s="214"/>
      <c r="BA169" s="214"/>
    </row>
    <row r="170" spans="43:53" ht="22" x14ac:dyDescent="0.3">
      <c r="AQ170" s="298">
        <v>10</v>
      </c>
      <c r="AR170" s="299">
        <f t="shared" si="35"/>
        <v>-86</v>
      </c>
      <c r="AS170" s="42">
        <f t="shared" si="36"/>
        <v>-86</v>
      </c>
      <c r="AT170" s="303">
        <f t="shared" si="32"/>
        <v>-385.49022822330983</v>
      </c>
      <c r="AU170" s="302">
        <f t="shared" si="33"/>
        <v>385.49022822330983</v>
      </c>
      <c r="AV170" s="302">
        <f t="shared" si="37"/>
        <v>1.5097717766901724</v>
      </c>
      <c r="AW170" s="302" t="b">
        <f t="shared" si="34"/>
        <v>0</v>
      </c>
      <c r="AX170" s="304">
        <v>10</v>
      </c>
    </row>
    <row r="171" spans="43:53" ht="22" x14ac:dyDescent="0.3">
      <c r="AQ171" s="298">
        <v>11</v>
      </c>
      <c r="AR171" s="299">
        <f t="shared" si="35"/>
        <v>-43</v>
      </c>
      <c r="AS171" s="42">
        <f t="shared" si="36"/>
        <v>-43</v>
      </c>
      <c r="AT171" s="303">
        <f t="shared" si="32"/>
        <v>-342.49022822330983</v>
      </c>
      <c r="AU171" s="302">
        <f t="shared" si="33"/>
        <v>342.49022822330983</v>
      </c>
      <c r="AV171" s="302">
        <f t="shared" si="37"/>
        <v>1.5097717766901724</v>
      </c>
      <c r="AW171" s="302" t="b">
        <f t="shared" si="34"/>
        <v>0</v>
      </c>
      <c r="AX171" s="304">
        <v>11</v>
      </c>
    </row>
    <row r="172" spans="43:53" ht="22" x14ac:dyDescent="0.3">
      <c r="AQ172" s="298">
        <v>12</v>
      </c>
      <c r="AR172" s="299">
        <f t="shared" si="35"/>
        <v>0</v>
      </c>
      <c r="AS172" s="42">
        <f t="shared" si="36"/>
        <v>0</v>
      </c>
      <c r="AT172" s="303">
        <f t="shared" si="32"/>
        <v>-299.49022822330983</v>
      </c>
      <c r="AU172" s="302">
        <f t="shared" si="33"/>
        <v>299.49022822330983</v>
      </c>
      <c r="AV172" s="302">
        <f t="shared" si="37"/>
        <v>1.5097717766901724</v>
      </c>
      <c r="AW172" s="302" t="b">
        <f t="shared" si="34"/>
        <v>0</v>
      </c>
      <c r="AX172" s="304">
        <v>12</v>
      </c>
    </row>
    <row r="173" spans="43:53" ht="22" x14ac:dyDescent="0.3">
      <c r="AQ173" s="298">
        <v>13</v>
      </c>
      <c r="AR173" s="299">
        <f t="shared" si="35"/>
        <v>43</v>
      </c>
      <c r="AS173" s="42">
        <f t="shared" si="36"/>
        <v>43</v>
      </c>
      <c r="AT173" s="303">
        <f t="shared" si="32"/>
        <v>-256.49022822330983</v>
      </c>
      <c r="AU173" s="302">
        <f t="shared" si="33"/>
        <v>256.49022822330983</v>
      </c>
      <c r="AV173" s="302">
        <f t="shared" si="37"/>
        <v>1.5097717766901724</v>
      </c>
      <c r="AW173" s="302" t="b">
        <f t="shared" si="34"/>
        <v>0</v>
      </c>
      <c r="AX173" s="304">
        <v>13</v>
      </c>
    </row>
    <row r="174" spans="43:53" ht="22" x14ac:dyDescent="0.3">
      <c r="AQ174" s="298">
        <v>14</v>
      </c>
      <c r="AR174" s="299">
        <f t="shared" si="35"/>
        <v>86</v>
      </c>
      <c r="AS174" s="42">
        <f t="shared" si="36"/>
        <v>86</v>
      </c>
      <c r="AT174" s="303">
        <f t="shared" si="32"/>
        <v>-213.49022822330983</v>
      </c>
      <c r="AU174" s="302">
        <f t="shared" si="33"/>
        <v>213.49022822330983</v>
      </c>
      <c r="AV174" s="302">
        <f t="shared" si="37"/>
        <v>1.5097717766901724</v>
      </c>
      <c r="AW174" s="302" t="b">
        <f t="shared" si="34"/>
        <v>0</v>
      </c>
      <c r="AX174" s="304">
        <v>14</v>
      </c>
    </row>
    <row r="175" spans="43:53" ht="22" x14ac:dyDescent="0.3">
      <c r="AQ175" s="298">
        <v>15</v>
      </c>
      <c r="AR175" s="299">
        <f t="shared" si="35"/>
        <v>129</v>
      </c>
      <c r="AS175" s="42">
        <f t="shared" si="36"/>
        <v>129</v>
      </c>
      <c r="AT175" s="303">
        <f t="shared" si="32"/>
        <v>-170.49022822330983</v>
      </c>
      <c r="AU175" s="302">
        <f t="shared" si="33"/>
        <v>170.49022822330983</v>
      </c>
      <c r="AV175" s="302">
        <f t="shared" si="37"/>
        <v>1.5097717766901724</v>
      </c>
      <c r="AW175" s="302" t="b">
        <f t="shared" si="34"/>
        <v>0</v>
      </c>
      <c r="AX175" s="304">
        <v>15</v>
      </c>
    </row>
    <row r="176" spans="43:53" ht="22" x14ac:dyDescent="0.3">
      <c r="AQ176" s="298">
        <v>16</v>
      </c>
      <c r="AR176" s="299">
        <f t="shared" si="35"/>
        <v>172</v>
      </c>
      <c r="AS176" s="42">
        <f t="shared" si="36"/>
        <v>172</v>
      </c>
      <c r="AT176" s="303">
        <f t="shared" si="32"/>
        <v>-127.49022822330983</v>
      </c>
      <c r="AU176" s="302">
        <f t="shared" si="33"/>
        <v>127.49022822330983</v>
      </c>
      <c r="AV176" s="302">
        <f t="shared" si="37"/>
        <v>1.5097717766901724</v>
      </c>
      <c r="AW176" s="302" t="b">
        <f t="shared" si="34"/>
        <v>0</v>
      </c>
      <c r="AX176" s="304">
        <v>16</v>
      </c>
    </row>
    <row r="177" spans="42:73" ht="22" x14ac:dyDescent="0.3">
      <c r="AQ177" s="298">
        <v>17</v>
      </c>
      <c r="AR177" s="299">
        <f t="shared" si="35"/>
        <v>215</v>
      </c>
      <c r="AS177" s="42">
        <f t="shared" si="36"/>
        <v>215</v>
      </c>
      <c r="AT177" s="303">
        <f t="shared" si="32"/>
        <v>-84.490228223309828</v>
      </c>
      <c r="AU177" s="302">
        <f t="shared" si="33"/>
        <v>84.490228223309828</v>
      </c>
      <c r="AV177" s="302">
        <f t="shared" si="37"/>
        <v>1.5097717766901724</v>
      </c>
      <c r="AW177" s="302" t="b">
        <f t="shared" si="34"/>
        <v>0</v>
      </c>
      <c r="AX177" s="304">
        <v>17</v>
      </c>
    </row>
    <row r="178" spans="42:73" ht="22" x14ac:dyDescent="0.3">
      <c r="AQ178" s="298">
        <v>18</v>
      </c>
      <c r="AR178" s="299">
        <f t="shared" si="35"/>
        <v>258</v>
      </c>
      <c r="AS178" s="42">
        <f t="shared" si="36"/>
        <v>258</v>
      </c>
      <c r="AT178" s="303">
        <f t="shared" si="32"/>
        <v>-41.490228223309828</v>
      </c>
      <c r="AU178" s="302">
        <f t="shared" si="33"/>
        <v>41.490228223309828</v>
      </c>
      <c r="AV178" s="302">
        <f t="shared" si="37"/>
        <v>1.5097717766901724</v>
      </c>
      <c r="AW178" s="302" t="b">
        <f t="shared" si="34"/>
        <v>0</v>
      </c>
      <c r="AX178" s="304">
        <v>18</v>
      </c>
    </row>
    <row r="179" spans="42:73" ht="22" x14ac:dyDescent="0.3">
      <c r="AQ179" s="298">
        <v>19</v>
      </c>
      <c r="AR179" s="299">
        <f t="shared" si="35"/>
        <v>301</v>
      </c>
      <c r="AS179" s="42">
        <f t="shared" si="36"/>
        <v>301</v>
      </c>
      <c r="AT179" s="303">
        <f t="shared" si="32"/>
        <v>1.5097717766901724</v>
      </c>
      <c r="AU179" s="302">
        <f t="shared" si="33"/>
        <v>1.5097717766901724</v>
      </c>
      <c r="AV179" s="302">
        <f t="shared" si="37"/>
        <v>1.5097717766901724</v>
      </c>
      <c r="AW179" s="302">
        <f t="shared" si="34"/>
        <v>19</v>
      </c>
      <c r="AX179" s="304">
        <v>19</v>
      </c>
    </row>
    <row r="180" spans="42:73" ht="22" x14ac:dyDescent="0.3">
      <c r="AP180" s="236"/>
      <c r="AQ180" s="298">
        <v>20</v>
      </c>
      <c r="AR180" s="299">
        <f t="shared" si="35"/>
        <v>344</v>
      </c>
      <c r="AS180" s="42">
        <f t="shared" si="36"/>
        <v>344</v>
      </c>
      <c r="AT180" s="303">
        <f t="shared" si="32"/>
        <v>44.509771776690172</v>
      </c>
      <c r="AU180" s="302">
        <f t="shared" si="33"/>
        <v>44.509771776690172</v>
      </c>
      <c r="AV180" s="302">
        <f t="shared" si="37"/>
        <v>1.5097717766901724</v>
      </c>
      <c r="AW180" s="302" t="b">
        <f t="shared" si="34"/>
        <v>0</v>
      </c>
      <c r="AX180" s="304">
        <v>20</v>
      </c>
    </row>
    <row r="181" spans="42:73" ht="22" x14ac:dyDescent="0.3">
      <c r="AQ181" s="298">
        <v>21</v>
      </c>
      <c r="AR181" s="299">
        <f t="shared" si="35"/>
        <v>387</v>
      </c>
      <c r="AS181" s="42">
        <f t="shared" si="36"/>
        <v>387</v>
      </c>
      <c r="AT181" s="303">
        <f t="shared" si="32"/>
        <v>87.509771776690172</v>
      </c>
      <c r="AU181" s="302">
        <f t="shared" si="33"/>
        <v>87.509771776690172</v>
      </c>
      <c r="AV181" s="302">
        <f t="shared" si="37"/>
        <v>1.5097717766901724</v>
      </c>
      <c r="AW181" s="302" t="b">
        <f t="shared" si="34"/>
        <v>0</v>
      </c>
      <c r="AX181" s="304">
        <v>21</v>
      </c>
    </row>
    <row r="182" spans="42:73" ht="22" x14ac:dyDescent="0.3">
      <c r="AQ182" s="298">
        <v>22</v>
      </c>
      <c r="AR182" s="299">
        <f t="shared" si="35"/>
        <v>430</v>
      </c>
      <c r="AS182" s="42">
        <f t="shared" si="36"/>
        <v>430</v>
      </c>
      <c r="AT182" s="303">
        <f t="shared" si="32"/>
        <v>130.50977177669017</v>
      </c>
      <c r="AU182" s="302">
        <f t="shared" si="33"/>
        <v>130.50977177669017</v>
      </c>
      <c r="AV182" s="302">
        <f t="shared" si="37"/>
        <v>1.5097717766901724</v>
      </c>
      <c r="AW182" s="302" t="b">
        <f t="shared" si="34"/>
        <v>0</v>
      </c>
      <c r="AX182" s="304">
        <v>22</v>
      </c>
      <c r="BB182" s="305"/>
      <c r="BC182" s="305"/>
      <c r="BD182" s="305"/>
      <c r="BE182" s="305"/>
      <c r="BF182" s="305"/>
      <c r="BG182" s="305"/>
      <c r="BH182" s="1818"/>
      <c r="BI182" s="1818"/>
      <c r="BJ182" s="1818"/>
      <c r="BK182" s="126"/>
    </row>
    <row r="183" spans="42:73" ht="22" x14ac:dyDescent="0.3">
      <c r="AQ183" s="298">
        <v>23</v>
      </c>
      <c r="AR183" s="299">
        <f t="shared" si="35"/>
        <v>473</v>
      </c>
      <c r="AS183" s="42">
        <f t="shared" si="36"/>
        <v>473</v>
      </c>
      <c r="AT183" s="303">
        <f t="shared" si="32"/>
        <v>173.50977177669017</v>
      </c>
      <c r="AU183" s="302">
        <f t="shared" si="33"/>
        <v>173.50977177669017</v>
      </c>
      <c r="AV183" s="302">
        <f t="shared" si="37"/>
        <v>1.5097717766901724</v>
      </c>
      <c r="AW183" s="302" t="b">
        <f t="shared" si="34"/>
        <v>0</v>
      </c>
      <c r="AX183" s="304">
        <v>23</v>
      </c>
      <c r="BH183" s="306"/>
      <c r="BU183" s="306"/>
    </row>
    <row r="184" spans="42:73" ht="22" x14ac:dyDescent="0.3">
      <c r="AQ184" s="298">
        <v>24</v>
      </c>
      <c r="AR184" s="299">
        <f t="shared" si="35"/>
        <v>516</v>
      </c>
      <c r="AS184" s="42">
        <f t="shared" si="36"/>
        <v>516</v>
      </c>
      <c r="AT184" s="303">
        <f t="shared" si="32"/>
        <v>216.50977177669017</v>
      </c>
      <c r="AU184" s="302">
        <f t="shared" si="33"/>
        <v>216.50977177669017</v>
      </c>
      <c r="AV184" s="302">
        <f t="shared" si="37"/>
        <v>1.5097717766901724</v>
      </c>
      <c r="AW184" s="302" t="b">
        <f t="shared" si="34"/>
        <v>0</v>
      </c>
      <c r="AX184" s="304">
        <v>24</v>
      </c>
      <c r="BB184" s="307"/>
      <c r="BC184" s="307"/>
      <c r="BD184" s="307"/>
      <c r="BE184" s="307"/>
      <c r="BF184" s="307"/>
      <c r="BG184" s="307"/>
      <c r="BH184" s="1819"/>
      <c r="BI184" s="1819"/>
      <c r="BT184" s="1813"/>
      <c r="BU184" s="1813"/>
    </row>
    <row r="185" spans="42:73" ht="22" x14ac:dyDescent="0.3">
      <c r="AQ185" s="298">
        <v>25</v>
      </c>
      <c r="AR185" s="299">
        <f t="shared" si="35"/>
        <v>559</v>
      </c>
      <c r="AS185" s="42">
        <f t="shared" si="36"/>
        <v>559</v>
      </c>
      <c r="AT185" s="303">
        <f t="shared" si="32"/>
        <v>259.50977177669017</v>
      </c>
      <c r="AU185" s="302">
        <f t="shared" si="33"/>
        <v>259.50977177669017</v>
      </c>
      <c r="AV185" s="302">
        <f t="shared" si="37"/>
        <v>1.5097717766901724</v>
      </c>
      <c r="AW185" s="302" t="b">
        <f t="shared" si="34"/>
        <v>0</v>
      </c>
      <c r="AX185" s="304">
        <v>25</v>
      </c>
    </row>
    <row r="186" spans="42:73" ht="22" x14ac:dyDescent="0.3">
      <c r="AQ186" s="298">
        <v>26</v>
      </c>
      <c r="AR186" s="299">
        <f t="shared" si="35"/>
        <v>602</v>
      </c>
      <c r="AS186" s="42">
        <f t="shared" si="36"/>
        <v>602</v>
      </c>
      <c r="AT186" s="303">
        <f t="shared" si="32"/>
        <v>302.50977177669017</v>
      </c>
      <c r="AU186" s="302">
        <f t="shared" si="33"/>
        <v>302.50977177669017</v>
      </c>
      <c r="AV186" s="302">
        <f t="shared" si="37"/>
        <v>1.5097717766901724</v>
      </c>
      <c r="AW186" s="302" t="b">
        <f t="shared" si="34"/>
        <v>0</v>
      </c>
      <c r="AX186" s="304">
        <v>26</v>
      </c>
    </row>
    <row r="187" spans="42:73" ht="22" x14ac:dyDescent="0.3">
      <c r="AQ187" s="298">
        <v>27</v>
      </c>
      <c r="AR187" s="299">
        <f t="shared" si="35"/>
        <v>645</v>
      </c>
      <c r="AS187" s="42">
        <f t="shared" si="36"/>
        <v>645</v>
      </c>
      <c r="AT187" s="303">
        <f t="shared" si="32"/>
        <v>345.50977177669017</v>
      </c>
      <c r="AU187" s="302">
        <f t="shared" si="33"/>
        <v>345.50977177669017</v>
      </c>
      <c r="AV187" s="302">
        <f t="shared" si="37"/>
        <v>1.5097717766901724</v>
      </c>
      <c r="AW187" s="302" t="b">
        <f t="shared" si="34"/>
        <v>0</v>
      </c>
      <c r="AX187" s="304">
        <v>27</v>
      </c>
    </row>
    <row r="188" spans="42:73" ht="22" x14ac:dyDescent="0.3">
      <c r="AQ188" s="298">
        <v>28</v>
      </c>
      <c r="AR188" s="299">
        <f t="shared" si="35"/>
        <v>688</v>
      </c>
      <c r="AS188" s="42">
        <f t="shared" si="36"/>
        <v>688</v>
      </c>
      <c r="AT188" s="303">
        <f t="shared" si="32"/>
        <v>388.50977177669017</v>
      </c>
      <c r="AU188" s="302">
        <f t="shared" si="33"/>
        <v>388.50977177669017</v>
      </c>
      <c r="AV188" s="302">
        <f t="shared" si="37"/>
        <v>1.5097717766901724</v>
      </c>
      <c r="AW188" s="302" t="b">
        <f t="shared" si="34"/>
        <v>0</v>
      </c>
      <c r="AX188" s="304">
        <v>28</v>
      </c>
    </row>
    <row r="189" spans="42:73" ht="22" x14ac:dyDescent="0.3">
      <c r="AQ189" s="298">
        <v>29</v>
      </c>
      <c r="AR189" s="299">
        <f t="shared" si="35"/>
        <v>731</v>
      </c>
      <c r="AS189" s="42">
        <f t="shared" si="36"/>
        <v>731</v>
      </c>
      <c r="AT189" s="303">
        <f t="shared" si="32"/>
        <v>431.50977177669017</v>
      </c>
      <c r="AU189" s="302">
        <f t="shared" si="33"/>
        <v>431.50977177669017</v>
      </c>
      <c r="AV189" s="302">
        <f t="shared" si="37"/>
        <v>1.5097717766901724</v>
      </c>
      <c r="AW189" s="302" t="b">
        <f t="shared" si="34"/>
        <v>0</v>
      </c>
      <c r="AX189" s="304">
        <v>29</v>
      </c>
    </row>
    <row r="190" spans="42:73" ht="22" x14ac:dyDescent="0.3">
      <c r="AQ190" s="298">
        <v>30</v>
      </c>
      <c r="AR190" s="299">
        <f t="shared" si="35"/>
        <v>774</v>
      </c>
      <c r="AS190" s="42">
        <f t="shared" si="36"/>
        <v>774</v>
      </c>
      <c r="AT190" s="303">
        <f t="shared" si="32"/>
        <v>474.50977177669017</v>
      </c>
      <c r="AU190" s="302">
        <f t="shared" si="33"/>
        <v>474.50977177669017</v>
      </c>
      <c r="AV190" s="302">
        <f t="shared" si="37"/>
        <v>1.5097717766901724</v>
      </c>
      <c r="AW190" s="302" t="b">
        <f t="shared" si="34"/>
        <v>0</v>
      </c>
      <c r="AX190" s="304">
        <v>30</v>
      </c>
    </row>
    <row r="191" spans="42:73" ht="22" x14ac:dyDescent="0.3">
      <c r="AQ191" s="298">
        <v>31</v>
      </c>
      <c r="AR191" s="299">
        <f t="shared" si="35"/>
        <v>817</v>
      </c>
      <c r="AS191" s="42">
        <f t="shared" si="36"/>
        <v>817</v>
      </c>
      <c r="AT191" s="303">
        <f t="shared" si="32"/>
        <v>517.50977177669017</v>
      </c>
      <c r="AU191" s="302">
        <f t="shared" si="33"/>
        <v>517.50977177669017</v>
      </c>
      <c r="AV191" s="302">
        <f t="shared" si="37"/>
        <v>1.5097717766901724</v>
      </c>
      <c r="AW191" s="302" t="b">
        <f t="shared" si="34"/>
        <v>0</v>
      </c>
      <c r="AX191" s="304">
        <v>31</v>
      </c>
    </row>
    <row r="192" spans="42:73" ht="22" x14ac:dyDescent="0.3">
      <c r="AQ192" s="298">
        <v>32</v>
      </c>
      <c r="AR192" s="299">
        <f t="shared" si="35"/>
        <v>860</v>
      </c>
      <c r="AS192" s="42">
        <f t="shared" si="36"/>
        <v>860</v>
      </c>
      <c r="AT192" s="303">
        <f t="shared" si="32"/>
        <v>560.50977177669017</v>
      </c>
      <c r="AU192" s="302">
        <f t="shared" si="33"/>
        <v>560.50977177669017</v>
      </c>
      <c r="AV192" s="302">
        <f t="shared" si="37"/>
        <v>1.5097717766901724</v>
      </c>
      <c r="AW192" s="302" t="b">
        <f t="shared" si="34"/>
        <v>0</v>
      </c>
      <c r="AX192" s="304">
        <v>32</v>
      </c>
    </row>
    <row r="193" spans="43:78" ht="22" x14ac:dyDescent="0.3">
      <c r="AQ193" s="298">
        <v>33</v>
      </c>
      <c r="AR193" s="299">
        <f t="shared" si="35"/>
        <v>903</v>
      </c>
      <c r="AS193" s="42">
        <f t="shared" si="36"/>
        <v>903</v>
      </c>
      <c r="AT193" s="303">
        <f t="shared" si="32"/>
        <v>603.50977177669017</v>
      </c>
      <c r="AU193" s="302">
        <f t="shared" si="33"/>
        <v>603.50977177669017</v>
      </c>
      <c r="AV193" s="302">
        <f t="shared" si="37"/>
        <v>1.5097717766901724</v>
      </c>
      <c r="AW193" s="302" t="b">
        <f t="shared" si="34"/>
        <v>0</v>
      </c>
      <c r="AX193" s="304">
        <v>33</v>
      </c>
    </row>
    <row r="194" spans="43:78" ht="22" x14ac:dyDescent="0.3">
      <c r="AQ194" s="298">
        <v>34</v>
      </c>
      <c r="AR194" s="299">
        <f t="shared" si="35"/>
        <v>946</v>
      </c>
      <c r="AS194" s="42">
        <f t="shared" si="36"/>
        <v>946</v>
      </c>
      <c r="AT194" s="303">
        <f t="shared" si="32"/>
        <v>646.50977177669017</v>
      </c>
      <c r="AU194" s="302">
        <f t="shared" si="33"/>
        <v>646.50977177669017</v>
      </c>
      <c r="AV194" s="302">
        <f t="shared" si="37"/>
        <v>1.5097717766901724</v>
      </c>
      <c r="AW194" s="302" t="b">
        <f t="shared" si="34"/>
        <v>0</v>
      </c>
      <c r="AX194" s="304">
        <v>34</v>
      </c>
    </row>
    <row r="195" spans="43:78" ht="22" x14ac:dyDescent="0.3">
      <c r="AQ195" s="298">
        <v>35</v>
      </c>
      <c r="AR195" s="299">
        <f t="shared" si="35"/>
        <v>989</v>
      </c>
      <c r="AS195" s="42">
        <f t="shared" si="36"/>
        <v>989</v>
      </c>
      <c r="AT195" s="303">
        <f t="shared" si="32"/>
        <v>689.50977177669017</v>
      </c>
      <c r="AU195" s="302">
        <f t="shared" si="33"/>
        <v>689.50977177669017</v>
      </c>
      <c r="AV195" s="302">
        <f t="shared" si="37"/>
        <v>1.5097717766901724</v>
      </c>
      <c r="AW195" s="302" t="b">
        <f t="shared" si="34"/>
        <v>0</v>
      </c>
      <c r="AX195" s="304">
        <v>35</v>
      </c>
    </row>
    <row r="196" spans="43:78" ht="22" x14ac:dyDescent="0.3">
      <c r="AQ196" s="298">
        <v>36</v>
      </c>
      <c r="AR196" s="299">
        <f t="shared" si="35"/>
        <v>1032</v>
      </c>
      <c r="AS196" s="42">
        <f t="shared" si="36"/>
        <v>1032</v>
      </c>
      <c r="AT196" s="303">
        <f t="shared" si="32"/>
        <v>732.50977177669017</v>
      </c>
      <c r="AU196" s="302">
        <f t="shared" si="33"/>
        <v>732.50977177669017</v>
      </c>
      <c r="AV196" s="302">
        <f t="shared" si="37"/>
        <v>1.5097717766901724</v>
      </c>
      <c r="AW196" s="302" t="b">
        <f t="shared" si="34"/>
        <v>0</v>
      </c>
      <c r="AX196" s="304">
        <v>36</v>
      </c>
    </row>
    <row r="197" spans="43:78" ht="22" x14ac:dyDescent="0.3">
      <c r="AQ197" s="308">
        <v>37</v>
      </c>
      <c r="AR197" s="309">
        <f t="shared" si="35"/>
        <v>1075</v>
      </c>
      <c r="AS197" s="42">
        <f t="shared" si="36"/>
        <v>1075</v>
      </c>
      <c r="AT197" s="303">
        <f t="shared" si="32"/>
        <v>775.50977177669017</v>
      </c>
      <c r="AU197" s="302">
        <f t="shared" si="33"/>
        <v>775.50977177669017</v>
      </c>
      <c r="AV197" s="302">
        <f t="shared" si="37"/>
        <v>1.5097717766901724</v>
      </c>
      <c r="AW197" s="302" t="b">
        <f t="shared" si="34"/>
        <v>0</v>
      </c>
      <c r="AX197" s="310">
        <v>37</v>
      </c>
    </row>
    <row r="198" spans="43:78" x14ac:dyDescent="0.2">
      <c r="AR198" s="388"/>
    </row>
    <row r="199" spans="43:78" x14ac:dyDescent="0.2">
      <c r="AR199" s="388"/>
    </row>
    <row r="200" spans="43:78" x14ac:dyDescent="0.2">
      <c r="AR200" s="388"/>
    </row>
    <row r="201" spans="43:78" x14ac:dyDescent="0.2">
      <c r="AR201" s="388"/>
      <c r="BB201" s="126"/>
      <c r="BD201" s="126"/>
      <c r="BF201" s="126"/>
    </row>
    <row r="202" spans="43:78" x14ac:dyDescent="0.2">
      <c r="AR202" s="388"/>
      <c r="BB202" s="126"/>
      <c r="BF202" s="126"/>
    </row>
    <row r="203" spans="43:78" x14ac:dyDescent="0.2">
      <c r="AR203" s="388"/>
      <c r="BB203" s="126"/>
      <c r="BC203" s="311"/>
      <c r="BD203" s="311"/>
      <c r="BE203" s="311"/>
      <c r="BF203" s="311"/>
      <c r="BG203" s="311"/>
      <c r="BH203" s="311"/>
      <c r="BI203" s="311"/>
      <c r="BJ203" s="311"/>
      <c r="BK203" s="311"/>
      <c r="BL203" s="311"/>
      <c r="BM203" s="311"/>
      <c r="BN203" s="311"/>
      <c r="BO203" s="311"/>
      <c r="BP203" s="311"/>
      <c r="BQ203" s="311"/>
      <c r="BR203" s="311"/>
      <c r="BS203" s="311"/>
      <c r="BT203" s="311"/>
      <c r="BU203" s="311"/>
      <c r="BV203" s="311"/>
      <c r="BW203" s="311"/>
      <c r="BX203" s="311"/>
      <c r="BY203" s="311"/>
      <c r="BZ203" s="311"/>
    </row>
    <row r="204" spans="43:78" x14ac:dyDescent="0.2">
      <c r="BB204" s="126"/>
    </row>
    <row r="205" spans="43:78" x14ac:dyDescent="0.2">
      <c r="BB205" s="235"/>
      <c r="BC205" s="312"/>
      <c r="BD205" s="312"/>
      <c r="BE205" s="312"/>
      <c r="BF205" s="312"/>
      <c r="BG205" s="312"/>
      <c r="BH205" s="312"/>
      <c r="BI205" s="312"/>
      <c r="BJ205" s="312"/>
      <c r="BK205" s="312"/>
      <c r="BL205" s="312"/>
      <c r="BM205" s="312"/>
      <c r="BN205" s="312"/>
      <c r="BO205" s="312"/>
      <c r="BP205" s="312"/>
      <c r="BQ205" s="312"/>
      <c r="BR205" s="312"/>
      <c r="BS205" s="312"/>
      <c r="BT205" s="312"/>
      <c r="BU205" s="312"/>
      <c r="BV205" s="312"/>
      <c r="BW205" s="312"/>
      <c r="BX205" s="312"/>
      <c r="BY205" s="312"/>
      <c r="BZ205" s="312"/>
    </row>
    <row r="206" spans="43:78" x14ac:dyDescent="0.2">
      <c r="BB206" s="126"/>
      <c r="BC206" s="203"/>
      <c r="BD206" s="203"/>
      <c r="BE206" s="203"/>
      <c r="BF206" s="203"/>
      <c r="BG206" s="203"/>
      <c r="BH206" s="203"/>
      <c r="BI206" s="203"/>
      <c r="BJ206" s="203"/>
      <c r="BK206" s="203"/>
      <c r="BL206" s="203"/>
      <c r="BM206" s="203"/>
      <c r="BN206" s="203"/>
      <c r="BO206" s="203"/>
      <c r="BP206" s="203"/>
      <c r="BQ206" s="203"/>
      <c r="BR206" s="203"/>
      <c r="BS206" s="203"/>
      <c r="BT206" s="203"/>
      <c r="BU206" s="203"/>
      <c r="BV206" s="203"/>
      <c r="BW206" s="203"/>
      <c r="BX206" s="203"/>
      <c r="BY206" s="203"/>
      <c r="BZ206" s="203"/>
    </row>
    <row r="208" spans="43:78" x14ac:dyDescent="0.2">
      <c r="BC208" s="236"/>
      <c r="BD208" s="236"/>
      <c r="BE208" s="236"/>
      <c r="BF208" s="236"/>
      <c r="BG208" s="236"/>
      <c r="BH208" s="236"/>
      <c r="BI208" s="126"/>
      <c r="BJ208" s="126"/>
      <c r="BK208" s="126"/>
      <c r="BL208" s="126"/>
      <c r="BM208" s="126"/>
      <c r="BN208" s="236"/>
      <c r="BO208" s="236"/>
      <c r="BP208" s="236"/>
      <c r="BQ208" s="126"/>
      <c r="BR208" s="126"/>
      <c r="BS208" s="126"/>
      <c r="BT208" s="126"/>
      <c r="BU208" s="126"/>
      <c r="BV208" s="126"/>
      <c r="BW208" s="126"/>
      <c r="BX208" s="126"/>
      <c r="BY208" s="126"/>
      <c r="BZ208" s="126"/>
    </row>
    <row r="209" spans="55:78" x14ac:dyDescent="0.2">
      <c r="BC209" s="236"/>
      <c r="BD209" s="236"/>
      <c r="BE209" s="236"/>
      <c r="BF209" s="236"/>
      <c r="BG209" s="236"/>
      <c r="BH209" s="236"/>
      <c r="BM209" s="236"/>
      <c r="BN209" s="236"/>
      <c r="BO209" s="236"/>
      <c r="BP209" s="236"/>
      <c r="BU209" s="236"/>
      <c r="BV209" s="236"/>
      <c r="BW209" s="236"/>
      <c r="BX209" s="236"/>
      <c r="BY209" s="236"/>
      <c r="BZ209" s="236"/>
    </row>
  </sheetData>
  <sheetProtection algorithmName="SHA-512" hashValue="fKkEfkiW3mpjHWdWCYQlWXmhRujUwmGzlKi+AzP4GB/rHU3oBiKteCxkDcDj5EHcWyOuHzDkhyIzf1ZsrCi+Rg==" saltValue="P2NVlUcvQKAKV2UmhxntbQ==" spinCount="100000" sheet="1" objects="1" scenarios="1" selectLockedCells="1"/>
  <protectedRanges>
    <protectedRange sqref="B136 B139 D142:D153" name="Range1"/>
  </protectedRanges>
  <mergeCells count="19">
    <mergeCell ref="BT184:BU184"/>
    <mergeCell ref="B110:E110"/>
    <mergeCell ref="B134:B135"/>
    <mergeCell ref="D138:E138"/>
    <mergeCell ref="AN138:AO138"/>
    <mergeCell ref="BH182:BJ182"/>
    <mergeCell ref="BH184:BI184"/>
    <mergeCell ref="Z55:AA55"/>
    <mergeCell ref="BC56:BM57"/>
    <mergeCell ref="CE56:CM57"/>
    <mergeCell ref="BN57:BO57"/>
    <mergeCell ref="CC57:CD57"/>
    <mergeCell ref="BC53:BM54"/>
    <mergeCell ref="BN54:BO54"/>
    <mergeCell ref="CL54:CM54"/>
    <mergeCell ref="BC49:BD49"/>
    <mergeCell ref="CC50:CM51"/>
    <mergeCell ref="BC51:BD51"/>
    <mergeCell ref="CA51:CB51"/>
  </mergeCells>
  <conditionalFormatting sqref="B142:B153">
    <cfRule type="cellIs" dxfId="1544" priority="41" stopIfTrue="1" operator="greaterThan">
      <formula>$B$139</formula>
    </cfRule>
  </conditionalFormatting>
  <conditionalFormatting sqref="D133:D134">
    <cfRule type="cellIs" dxfId="1543" priority="48" stopIfTrue="1" operator="equal">
      <formula>"change the angle of frame"</formula>
    </cfRule>
  </conditionalFormatting>
  <conditionalFormatting sqref="D135">
    <cfRule type="cellIs" dxfId="1542" priority="28" stopIfTrue="1" operator="equal">
      <formula>"USE EXBAR AR AT THE FRONT"</formula>
    </cfRule>
  </conditionalFormatting>
  <conditionalFormatting sqref="D136">
    <cfRule type="cellIs" dxfId="1541" priority="27" stopIfTrue="1" operator="equal">
      <formula>"USE EXBAR AR AT THE BACK"</formula>
    </cfRule>
  </conditionalFormatting>
  <conditionalFormatting sqref="D142:D153">
    <cfRule type="cellIs" dxfId="1540" priority="42" stopIfTrue="1" operator="notEqual">
      <formula>0</formula>
    </cfRule>
  </conditionalFormatting>
  <conditionalFormatting sqref="D142:E142 U142 AL142:AO142">
    <cfRule type="expression" dxfId="1539" priority="40" stopIfTrue="1">
      <formula>$B$139&lt;1</formula>
    </cfRule>
  </conditionalFormatting>
  <conditionalFormatting sqref="D143:E143 U143 AL143:AO143">
    <cfRule type="expression" dxfId="1538" priority="39" stopIfTrue="1">
      <formula>$B$139&lt;2</formula>
    </cfRule>
  </conditionalFormatting>
  <conditionalFormatting sqref="D144:E144 U144 AL144:AO144">
    <cfRule type="expression" dxfId="1537" priority="38" stopIfTrue="1">
      <formula>$B$139&lt;3</formula>
    </cfRule>
  </conditionalFormatting>
  <conditionalFormatting sqref="D145:E145 U145 AL145:AO145">
    <cfRule type="expression" dxfId="1536" priority="37" stopIfTrue="1">
      <formula>$B$139&lt;4</formula>
    </cfRule>
  </conditionalFormatting>
  <conditionalFormatting sqref="D146:E146 U146 AL146:AO146">
    <cfRule type="expression" dxfId="1535" priority="36" stopIfTrue="1">
      <formula>$B$139&lt;5</formula>
    </cfRule>
  </conditionalFormatting>
  <conditionalFormatting sqref="D148:E148 U148 AL148:AO148">
    <cfRule type="expression" dxfId="1534" priority="34" stopIfTrue="1">
      <formula>$B$139&lt;7</formula>
    </cfRule>
  </conditionalFormatting>
  <conditionalFormatting sqref="D149:E149 U149 AL149:AO149">
    <cfRule type="expression" dxfId="1533" priority="33" stopIfTrue="1">
      <formula>$B$139&lt;8</formula>
    </cfRule>
  </conditionalFormatting>
  <conditionalFormatting sqref="D150:E150 U150 AL150:AO150">
    <cfRule type="expression" dxfId="1532" priority="32" stopIfTrue="1">
      <formula>$B$139&lt;9</formula>
    </cfRule>
  </conditionalFormatting>
  <conditionalFormatting sqref="D151:E151 U151 AL151:AO151">
    <cfRule type="expression" dxfId="1531" priority="31" stopIfTrue="1">
      <formula>$B$139&lt;10</formula>
    </cfRule>
  </conditionalFormatting>
  <conditionalFormatting sqref="D152:E152 U152 AL152:AO152">
    <cfRule type="expression" dxfId="1530" priority="30" stopIfTrue="1">
      <formula>$B$139&lt;11</formula>
    </cfRule>
  </conditionalFormatting>
  <conditionalFormatting sqref="D153:E153 U153 AL153:AO153">
    <cfRule type="expression" dxfId="1529" priority="29" stopIfTrue="1">
      <formula>$B$139&lt;12</formula>
    </cfRule>
  </conditionalFormatting>
  <conditionalFormatting sqref="E135 E136:F136">
    <cfRule type="cellIs" dxfId="1528" priority="46" stopIfTrue="1" operator="equal">
      <formula>"USE EXBAR VR AT THE BACK"</formula>
    </cfRule>
  </conditionalFormatting>
  <conditionalFormatting sqref="E147:E148 D147 U147 AL147:AO147">
    <cfRule type="expression" dxfId="1527" priority="35" stopIfTrue="1">
      <formula>$B$139&lt;6</formula>
    </cfRule>
  </conditionalFormatting>
  <conditionalFormatting sqref="E133:F134">
    <cfRule type="cellIs" dxfId="1526" priority="45" stopIfTrue="1" operator="equal">
      <formula>"change the angle of frame or of cabinets"</formula>
    </cfRule>
  </conditionalFormatting>
  <conditionalFormatting sqref="E135:F135 E136">
    <cfRule type="cellIs" dxfId="1525" priority="47" stopIfTrue="1" operator="equal">
      <formula>"USE EXBAR VR AT THE FRONT"</formula>
    </cfRule>
  </conditionalFormatting>
  <conditionalFormatting sqref="AN142:AO153">
    <cfRule type="cellIs" dxfId="1524" priority="43" stopIfTrue="1" operator="lessThan">
      <formula>10</formula>
    </cfRule>
  </conditionalFormatting>
  <conditionalFormatting sqref="AW161:AW197">
    <cfRule type="cellIs" dxfId="1523" priority="20" stopIfTrue="1" operator="equal">
      <formula>FALSE</formula>
    </cfRule>
  </conditionalFormatting>
  <conditionalFormatting sqref="AZ50">
    <cfRule type="cellIs" dxfId="1522" priority="12" stopIfTrue="1" operator="equal">
      <formula>"negative force at the motor"</formula>
    </cfRule>
  </conditionalFormatting>
  <conditionalFormatting sqref="AZ50:AZ51">
    <cfRule type="cellIs" dxfId="1521" priority="11" operator="equal">
      <formula>"""OK"""</formula>
    </cfRule>
  </conditionalFormatting>
  <conditionalFormatting sqref="AZ51">
    <cfRule type="cellIs" dxfId="1520" priority="16" stopIfTrue="1" operator="equal">
      <formula>"overload"</formula>
    </cfRule>
  </conditionalFormatting>
  <conditionalFormatting sqref="AZ53">
    <cfRule type="cellIs" dxfId="1519" priority="10" stopIfTrue="1" operator="equal">
      <formula>"negative force at the motor"</formula>
    </cfRule>
  </conditionalFormatting>
  <conditionalFormatting sqref="AZ53:AZ54">
    <cfRule type="cellIs" dxfId="1518" priority="9" operator="equal">
      <formula>"""OK"""</formula>
    </cfRule>
  </conditionalFormatting>
  <conditionalFormatting sqref="AZ56">
    <cfRule type="cellIs" dxfId="1517" priority="8" stopIfTrue="1" operator="equal">
      <formula>"negative force at the motor"</formula>
    </cfRule>
  </conditionalFormatting>
  <conditionalFormatting sqref="AZ56:AZ57">
    <cfRule type="cellIs" dxfId="1516" priority="7" operator="equal">
      <formula>"""OK"""</formula>
    </cfRule>
  </conditionalFormatting>
  <conditionalFormatting sqref="AZ80 AZ85 AZ125 AZ54 AZ57">
    <cfRule type="cellIs" dxfId="1515" priority="14" stopIfTrue="1" operator="equal">
      <formula>"overload"</formula>
    </cfRule>
  </conditionalFormatting>
  <conditionalFormatting sqref="AZ80 AZ125 AZ85">
    <cfRule type="cellIs" dxfId="1514" priority="13" operator="equal">
      <formula>"""OK"""</formula>
    </cfRule>
  </conditionalFormatting>
  <conditionalFormatting sqref="BA79:BA80 AZ80 BA124 AZ125:BA125">
    <cfRule type="expression" dxfId="1513" priority="4">
      <formula>$B$136&lt;&gt;0</formula>
    </cfRule>
  </conditionalFormatting>
  <conditionalFormatting sqref="BC124:BS124">
    <cfRule type="expression" dxfId="1512" priority="3">
      <formula>$B$136=0</formula>
    </cfRule>
  </conditionalFormatting>
  <conditionalFormatting sqref="BC81:CN83 BH128:BU135 BC205:BZ206">
    <cfRule type="cellIs" dxfId="1511" priority="23" stopIfTrue="1" operator="equal">
      <formula>FALSE</formula>
    </cfRule>
  </conditionalFormatting>
  <conditionalFormatting sqref="BN79:CD79">
    <cfRule type="expression" dxfId="1510" priority="6">
      <formula>$B$136=0</formula>
    </cfRule>
    <cfRule type="cellIs" dxfId="1509" priority="5" operator="equal">
      <formula>0</formula>
    </cfRule>
  </conditionalFormatting>
  <conditionalFormatting sqref="BW124:CM124">
    <cfRule type="expression" dxfId="1508" priority="2">
      <formula>$B$136=0</formula>
    </cfRule>
  </conditionalFormatting>
  <dataValidations count="5">
    <dataValidation type="decimal" allowBlank="1" showInputMessage="1" showErrorMessage="1" sqref="B136" xr:uid="{00000000-0002-0000-0300-000000000000}">
      <formula1>-89.9</formula1>
      <formula2>89.9</formula2>
    </dataValidation>
    <dataValidation type="custom" allowBlank="1" showInputMessage="1" showErrorMessage="1" sqref="D142:D153" xr:uid="{00000000-0002-0000-0300-000001000000}">
      <formula1>OR(D142=0,D142=2.5,D142=5)</formula1>
    </dataValidation>
    <dataValidation type="decimal" allowBlank="1" showInputMessage="1" showErrorMessage="1" sqref="F142" xr:uid="{00000000-0002-0000-0300-000002000000}">
      <formula1>0</formula1>
      <formula2>4</formula2>
    </dataValidation>
    <dataValidation type="decimal" allowBlank="1" showInputMessage="1" showErrorMessage="1" sqref="F143:F153" xr:uid="{00000000-0002-0000-0300-000003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39" xr:uid="{00000000-0002-0000-0300-000004000000}">
      <formula1>1</formula1>
      <formula2>10</formula2>
    </dataValidation>
  </dataValidations>
  <pageMargins left="0.75" right="0.75" top="1" bottom="1" header="0.5" footer="0.5"/>
  <pageSetup orientation="portrait" r:id="rId1"/>
  <headerFooter alignWithMargins="0"/>
  <ignoredErrors>
    <ignoredError sqref="AZ50:BA50 AZ59:BA84 AZ52:BA53 AZ51 AZ55:BA58 AZ54 AZ85" unlockedFormula="1"/>
  </ignoredErrors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3">
    <tabColor rgb="FF92D050"/>
  </sheetPr>
  <dimension ref="A1:ES223"/>
  <sheetViews>
    <sheetView topLeftCell="A25" zoomScale="50" zoomScaleNormal="50" workbookViewId="0">
      <selection activeCell="D150" sqref="D150"/>
    </sheetView>
  </sheetViews>
  <sheetFormatPr baseColWidth="10" defaultColWidth="9.1640625" defaultRowHeight="18" x14ac:dyDescent="0.2"/>
  <cols>
    <col min="1" max="1" width="1.5" customWidth="1"/>
    <col min="2" max="2" width="29.1640625" style="35" customWidth="1"/>
    <col min="3" max="3" width="19.5" style="35" hidden="1" customWidth="1"/>
    <col min="4" max="4" width="28.1640625" customWidth="1"/>
    <col min="5" max="5" width="38.83203125" customWidth="1"/>
    <col min="6" max="6" width="17.1640625" hidden="1" customWidth="1"/>
    <col min="7" max="7" width="36.33203125" hidden="1" customWidth="1"/>
    <col min="8" max="8" width="26.33203125" style="64" hidden="1" customWidth="1"/>
    <col min="9" max="9" width="16.33203125" style="64" hidden="1" customWidth="1"/>
    <col min="10" max="12" width="21.6640625" style="64" hidden="1" customWidth="1"/>
    <col min="13" max="13" width="23.5" style="64" hidden="1" customWidth="1"/>
    <col min="14" max="14" width="18.83203125" style="64" hidden="1" customWidth="1"/>
    <col min="15" max="15" width="8.5" style="64" hidden="1" customWidth="1"/>
    <col min="16" max="16" width="16.33203125" style="64" hidden="1" customWidth="1"/>
    <col min="17" max="17" width="19.5" style="64" hidden="1" customWidth="1"/>
    <col min="18" max="18" width="28.1640625" style="64" hidden="1" customWidth="1"/>
    <col min="19" max="19" width="18" style="64" hidden="1" customWidth="1"/>
    <col min="20" max="20" width="23" style="64" hidden="1" customWidth="1"/>
    <col min="21" max="21" width="11.6640625" style="64" hidden="1" customWidth="1"/>
    <col min="22" max="22" width="15.5" style="64" hidden="1" customWidth="1"/>
    <col min="23" max="24" width="14.33203125" style="64" hidden="1" customWidth="1"/>
    <col min="25" max="25" width="12.1640625" style="64" hidden="1" customWidth="1"/>
    <col min="26" max="26" width="15.5" style="64" hidden="1" customWidth="1"/>
    <col min="27" max="27" width="7.33203125" style="64" hidden="1" customWidth="1"/>
    <col min="28" max="28" width="33.33203125" style="64" customWidth="1"/>
    <col min="29" max="29" width="26.6640625" style="64" hidden="1" customWidth="1"/>
    <col min="30" max="30" width="2.5" style="64" hidden="1" customWidth="1"/>
    <col min="31" max="31" width="16.5" style="64" hidden="1" customWidth="1"/>
    <col min="32" max="32" width="46.5" style="64" hidden="1" customWidth="1"/>
    <col min="33" max="34" width="17" style="64" hidden="1" customWidth="1"/>
    <col min="35" max="35" width="20.83203125" style="64" hidden="1" customWidth="1"/>
    <col min="36" max="36" width="19.5" style="64" hidden="1" customWidth="1"/>
    <col min="37" max="37" width="33.33203125" style="64" hidden="1" customWidth="1"/>
    <col min="38" max="38" width="20.83203125" style="64" hidden="1" customWidth="1"/>
    <col min="39" max="39" width="19.5" style="64" hidden="1" customWidth="1"/>
    <col min="40" max="40" width="46.1640625" style="64" hidden="1" customWidth="1"/>
    <col min="41" max="41" width="66.83203125" style="64" hidden="1" customWidth="1"/>
    <col min="42" max="42" width="27.1640625" style="64" hidden="1" customWidth="1"/>
    <col min="43" max="43" width="68.33203125" style="64" hidden="1" customWidth="1"/>
    <col min="44" max="44" width="22.6640625" style="64" hidden="1" customWidth="1"/>
    <col min="45" max="45" width="24.5" style="64" hidden="1" customWidth="1"/>
    <col min="46" max="46" width="33.6640625" style="64" hidden="1" customWidth="1"/>
    <col min="47" max="47" width="22.6640625" style="64" hidden="1" customWidth="1"/>
    <col min="48" max="49" width="24.5" style="64" hidden="1" customWidth="1"/>
    <col min="50" max="50" width="28.33203125" style="64" hidden="1" customWidth="1"/>
    <col min="51" max="51" width="15" style="64" hidden="1" customWidth="1"/>
    <col min="52" max="53" width="13" style="64" customWidth="1"/>
    <col min="54" max="54" width="17" hidden="1" customWidth="1"/>
    <col min="55" max="55" width="14.5" hidden="1" customWidth="1"/>
    <col min="56" max="56" width="9.33203125" hidden="1" customWidth="1"/>
    <col min="57" max="57" width="4.83203125" hidden="1" customWidth="1"/>
    <col min="58" max="58" width="6.83203125" hidden="1" customWidth="1"/>
    <col min="59" max="59" width="136" hidden="1" customWidth="1"/>
    <col min="60" max="60" width="17" hidden="1" customWidth="1"/>
    <col min="61" max="62" width="16.33203125" hidden="1" customWidth="1"/>
    <col min="63" max="63" width="9.33203125" hidden="1" customWidth="1"/>
    <col min="64" max="64" width="8.5" hidden="1" customWidth="1"/>
    <col min="65" max="65" width="18.5" style="81" hidden="1" customWidth="1"/>
    <col min="66" max="66" width="27" customWidth="1"/>
    <col min="67" max="67" width="37.83203125" style="59" customWidth="1"/>
    <col min="68" max="68" width="49" customWidth="1"/>
    <col min="69" max="105" width="7.1640625" customWidth="1"/>
    <col min="106" max="106" width="7.6640625" hidden="1" customWidth="1"/>
    <col min="107" max="107" width="16" hidden="1" customWidth="1"/>
    <col min="108" max="108" width="41" hidden="1" customWidth="1"/>
    <col min="109" max="109" width="41.5" hidden="1" customWidth="1"/>
    <col min="110" max="139" width="6.5" hidden="1" customWidth="1"/>
    <col min="140" max="142" width="9.1640625" hidden="1" customWidth="1"/>
    <col min="143" max="143" width="11.5" hidden="1" customWidth="1"/>
    <col min="144" max="144" width="9.33203125" hidden="1" customWidth="1"/>
    <col min="145" max="149" width="9.1640625" hidden="1" customWidth="1"/>
  </cols>
  <sheetData>
    <row r="1" spans="2:15" ht="20" hidden="1" x14ac:dyDescent="0.2">
      <c r="D1" s="36" t="s">
        <v>104</v>
      </c>
      <c r="E1" s="36" t="s">
        <v>105</v>
      </c>
      <c r="F1" s="36" t="s">
        <v>106</v>
      </c>
      <c r="G1" s="990" t="s">
        <v>220</v>
      </c>
      <c r="H1" s="1044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+COS(($B$144*-1)*3.14159265358979/180)*C2</f>
        <v>688</v>
      </c>
      <c r="E2" s="41">
        <f>+COS(($B$144*-1)*3.14159265358979/180)*43</f>
        <v>43</v>
      </c>
      <c r="F2" s="42">
        <f>+COS((($B$144*-1)+72.969997)*3.14159265358979/180)*162.1867</f>
        <v>47.500013702602963</v>
      </c>
      <c r="G2" s="994" t="s">
        <v>212</v>
      </c>
      <c r="H2" s="1045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232.99507740150204</v>
      </c>
      <c r="D3" s="40">
        <f>+C9-F2</f>
        <v>232.99506369889909</v>
      </c>
      <c r="G3" s="994" t="s">
        <v>213</v>
      </c>
      <c r="H3" s="1046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+COS(($B$144*-1)*3.14159265358979/180)*C4</f>
        <v>1075</v>
      </c>
      <c r="G4" s="996" t="s">
        <v>233</v>
      </c>
      <c r="H4" s="1047">
        <v>860</v>
      </c>
      <c r="I4" s="984">
        <v>1</v>
      </c>
      <c r="J4" s="1721" t="s">
        <v>228</v>
      </c>
      <c r="K4" s="1727"/>
      <c r="L4" s="1727"/>
      <c r="M4" s="1727"/>
      <c r="N4"/>
      <c r="O4" s="995"/>
    </row>
    <row r="5" spans="2:15" ht="38" hidden="1" x14ac:dyDescent="0.2">
      <c r="B5" s="44" t="s">
        <v>115</v>
      </c>
      <c r="C5" s="45">
        <f>+C9+425.5</f>
        <v>705.99507740150204</v>
      </c>
      <c r="D5" s="40">
        <f>+(COS(($B$144*-1)*3.14159265358979/180)*473)+$D$3</f>
        <v>705.99506369889912</v>
      </c>
      <c r="G5" s="996" t="s">
        <v>214</v>
      </c>
      <c r="H5" s="1047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0" hidden="1" x14ac:dyDescent="0.2">
      <c r="B6" s="187"/>
      <c r="C6" s="187"/>
      <c r="G6" s="996" t="s">
        <v>259</v>
      </c>
      <c r="H6" s="1047">
        <v>602</v>
      </c>
      <c r="I6"/>
      <c r="J6" s="963">
        <f>+H9/H8*BQ27</f>
        <v>213.6452766081909</v>
      </c>
      <c r="K6" s="963">
        <f>((H8-H9)/H8)*BQ27</f>
        <v>-146.88112766813126</v>
      </c>
      <c r="L6" s="963">
        <f>+CO27</f>
        <v>127.73585105994034</v>
      </c>
      <c r="M6" s="961" t="s">
        <v>223</v>
      </c>
      <c r="N6"/>
      <c r="O6" s="995"/>
    </row>
    <row r="7" spans="2:15" ht="20" hidden="1" x14ac:dyDescent="0.2">
      <c r="B7" s="393" t="s">
        <v>18</v>
      </c>
      <c r="C7" s="394">
        <f>+C11+C14+4.5+0.5+30</f>
        <v>194.5</v>
      </c>
      <c r="G7" s="997" t="s">
        <v>230</v>
      </c>
      <c r="H7" s="1048">
        <f>(+SIN(($B$144*-1)*3.14159265358979/180)*H2)</f>
        <v>0</v>
      </c>
      <c r="I7"/>
      <c r="J7" s="965">
        <f>ABS($H$1/J6)</f>
        <v>84.251804138926147</v>
      </c>
      <c r="K7" s="965">
        <f>ABS($H$1/K6)</f>
        <v>122.54807874752893</v>
      </c>
      <c r="L7" s="965">
        <f>ABS($H$1/L6)</f>
        <v>140.9158028121131</v>
      </c>
      <c r="M7" s="967" t="s">
        <v>222</v>
      </c>
      <c r="N7"/>
      <c r="O7" s="995"/>
    </row>
    <row r="8" spans="2:15" ht="20" hidden="1" x14ac:dyDescent="0.2">
      <c r="B8" s="393" t="s">
        <v>19</v>
      </c>
      <c r="C8" s="393">
        <f>+AR150</f>
        <v>747.0023123282715</v>
      </c>
      <c r="G8" s="997" t="s">
        <v>229</v>
      </c>
      <c r="H8" s="1048">
        <f>(+COS(($B$144*-1)*3.14159265358979/180)*H3)</f>
        <v>215</v>
      </c>
      <c r="I8"/>
      <c r="J8" s="1733">
        <f>ABS($E$20/BQ27)</f>
        <v>119.82478810869497</v>
      </c>
      <c r="K8" s="1733"/>
      <c r="L8" s="1733">
        <f>ABS($E$20/CO27)</f>
        <v>62.629245694272484</v>
      </c>
      <c r="M8" s="1734" t="s">
        <v>350</v>
      </c>
      <c r="N8"/>
      <c r="O8" s="995"/>
    </row>
    <row r="9" spans="2:15" ht="21" hidden="1" thickBot="1" x14ac:dyDescent="0.25">
      <c r="B9" s="393" t="s">
        <v>14</v>
      </c>
      <c r="C9" s="393">
        <f>+AO146</f>
        <v>280.49507740150204</v>
      </c>
      <c r="G9" s="994" t="s">
        <v>227</v>
      </c>
      <c r="H9" s="1048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395" t="s">
        <v>62</v>
      </c>
      <c r="C11" s="396">
        <f>+B147*57+31</f>
        <v>88</v>
      </c>
      <c r="G11" s="994" t="s">
        <v>226</v>
      </c>
      <c r="H11" s="1048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0" hidden="1" x14ac:dyDescent="0.2">
      <c r="B12" s="395" t="s">
        <v>63</v>
      </c>
      <c r="C12" s="396">
        <v>747</v>
      </c>
      <c r="D12" s="397"/>
      <c r="G12" s="998"/>
      <c r="H12" s="37"/>
      <c r="I12"/>
      <c r="J12" s="963">
        <f>(CB30)</f>
        <v>152.34414894005965</v>
      </c>
      <c r="K12" s="963">
        <f>((+H8-H11)/H8*CZ30)</f>
        <v>-92.742872331868767</v>
      </c>
      <c r="L12" s="963">
        <f>(H11/H8*CZ30)</f>
        <v>134.89872339180911</v>
      </c>
      <c r="M12" s="961" t="s">
        <v>223</v>
      </c>
      <c r="N12"/>
      <c r="O12" s="995"/>
    </row>
    <row r="13" spans="2:15" ht="20" hidden="1" x14ac:dyDescent="0.2">
      <c r="D13" s="397"/>
      <c r="G13" s="998"/>
      <c r="H13"/>
      <c r="I13"/>
      <c r="J13" s="965">
        <f>ABS($H$1/J12)</f>
        <v>118.15353674713273</v>
      </c>
      <c r="K13" s="965">
        <f>ABS($H$1/K12)</f>
        <v>194.08499594005727</v>
      </c>
      <c r="L13" s="965">
        <f>ABS($H$1/L12)</f>
        <v>133.43343470878938</v>
      </c>
      <c r="M13" s="967" t="s">
        <v>222</v>
      </c>
      <c r="N13"/>
      <c r="O13" s="995"/>
    </row>
    <row r="14" spans="2:15" ht="27" hidden="1" customHeight="1" x14ac:dyDescent="0.2">
      <c r="B14" s="398" t="s">
        <v>132</v>
      </c>
      <c r="C14" s="396">
        <f>(+B172*40.5)+31</f>
        <v>71.5</v>
      </c>
      <c r="D14" s="397"/>
      <c r="G14" s="998"/>
      <c r="H14"/>
      <c r="I14"/>
      <c r="J14" s="1733">
        <f>ABS($E$20/CB30)</f>
        <v>52.512682998725658</v>
      </c>
      <c r="K14" s="1733"/>
      <c r="L14" s="1733">
        <f>ABS($E$20/CZ30)</f>
        <v>189.77199603027825</v>
      </c>
      <c r="M14" s="1734" t="s">
        <v>350</v>
      </c>
      <c r="N14"/>
      <c r="O14" s="995"/>
    </row>
    <row r="15" spans="2:15" ht="19" hidden="1" thickBot="1" x14ac:dyDescent="0.25">
      <c r="B15" s="398" t="s">
        <v>133</v>
      </c>
      <c r="C15" s="396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1" hidden="1" thickBot="1" x14ac:dyDescent="0.25">
      <c r="B16" s="399"/>
      <c r="C16" s="399"/>
      <c r="D16" s="397"/>
      <c r="G16" s="994" t="s">
        <v>231</v>
      </c>
      <c r="H16" s="1048">
        <f>+D2+H7-BL107</f>
        <v>-17.995063698899116</v>
      </c>
      <c r="I16" s="984" t="s">
        <v>251</v>
      </c>
      <c r="J16" s="1721" t="s">
        <v>232</v>
      </c>
      <c r="K16" s="1727"/>
      <c r="L16" s="1727"/>
      <c r="M16" s="1727"/>
      <c r="N16"/>
      <c r="O16" s="995"/>
    </row>
    <row r="17" spans="2:108" ht="20" hidden="1" x14ac:dyDescent="0.2">
      <c r="B17" s="399"/>
      <c r="C17" s="399"/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08" ht="20" hidden="1" x14ac:dyDescent="0.2">
      <c r="B18" s="48" t="s">
        <v>74</v>
      </c>
      <c r="C18" s="204">
        <v>5800</v>
      </c>
      <c r="D18" s="204">
        <v>10000</v>
      </c>
      <c r="G18" s="998"/>
      <c r="H18"/>
      <c r="I18"/>
      <c r="J18" s="963">
        <f>+H16/H8*BQ25</f>
        <v>-16.279255299701759</v>
      </c>
      <c r="K18" s="963">
        <f>((H8-H16)/H8)*BQ25</f>
        <v>210.77925529970176</v>
      </c>
      <c r="L18" s="963"/>
      <c r="M18" s="961" t="s">
        <v>223</v>
      </c>
      <c r="N18"/>
      <c r="O18" s="995"/>
    </row>
    <row r="19" spans="2:108" ht="38" hidden="1" x14ac:dyDescent="0.2">
      <c r="B19" s="48" t="s">
        <v>75</v>
      </c>
      <c r="C19" s="204">
        <v>5800</v>
      </c>
      <c r="D19" s="204">
        <v>5800</v>
      </c>
      <c r="G19" s="998"/>
      <c r="H19"/>
      <c r="I19"/>
      <c r="J19" s="965">
        <f>ABS($H$1/J18)</f>
        <v>1105.7016840524495</v>
      </c>
      <c r="K19" s="965">
        <f>ABS($H$1/K18)</f>
        <v>85.397398213625195</v>
      </c>
      <c r="L19" s="965"/>
      <c r="M19" s="967" t="s">
        <v>222</v>
      </c>
      <c r="N19"/>
      <c r="O19" s="995"/>
    </row>
    <row r="20" spans="2:108" ht="20" hidden="1" x14ac:dyDescent="0.2">
      <c r="B20" s="48" t="s">
        <v>86</v>
      </c>
      <c r="C20" s="204">
        <v>8000</v>
      </c>
      <c r="D20" s="204">
        <v>8000</v>
      </c>
      <c r="E20" s="49">
        <v>8000</v>
      </c>
      <c r="G20" s="998"/>
      <c r="H20"/>
      <c r="I20"/>
      <c r="J20" s="1733">
        <f>ABS($E$20/BQ25)</f>
        <v>41.131105398457585</v>
      </c>
      <c r="K20" s="1733"/>
      <c r="L20" s="1733"/>
      <c r="M20" s="1734" t="s">
        <v>350</v>
      </c>
      <c r="N20"/>
      <c r="O20" s="995"/>
    </row>
    <row r="21" spans="2:108" ht="19" hidden="1" thickBot="1" x14ac:dyDescent="0.25">
      <c r="B21" s="204"/>
      <c r="C21" s="204" t="s">
        <v>20</v>
      </c>
      <c r="D21" s="204" t="s">
        <v>21</v>
      </c>
      <c r="G21" s="998"/>
      <c r="H21"/>
      <c r="I21"/>
      <c r="J21" s="59"/>
      <c r="K21" s="59"/>
      <c r="L21" s="59"/>
      <c r="M21" s="59"/>
      <c r="N21"/>
      <c r="O21" s="995"/>
    </row>
    <row r="22" spans="2:108" ht="21" hidden="1" thickBot="1" x14ac:dyDescent="0.25">
      <c r="B22" s="400" t="s">
        <v>64</v>
      </c>
      <c r="C22" s="204">
        <f>+((C8-C9)/C8)*C7</f>
        <v>121.46636723312137</v>
      </c>
      <c r="D22" s="204">
        <f>+(C9/C8)*C7</f>
        <v>73.033632766878625</v>
      </c>
      <c r="G22" s="994" t="s">
        <v>219</v>
      </c>
      <c r="H22" s="1048">
        <f>(+COS(($B$144*-1)*3.14159265358979/180)*(H4))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</row>
    <row r="23" spans="2:108" ht="20" hidden="1" x14ac:dyDescent="0.2">
      <c r="G23" s="994" t="s">
        <v>234</v>
      </c>
      <c r="H23" s="1094">
        <f>+BL107-H22+H7</f>
        <v>-154.00493630110088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08" ht="20" hidden="1" x14ac:dyDescent="0.2">
      <c r="E24" s="397"/>
      <c r="F24" s="397"/>
      <c r="G24" s="998"/>
      <c r="H24"/>
      <c r="I24"/>
      <c r="J24" s="963"/>
      <c r="K24" s="963">
        <f>((+H8-H23)/H8*BQ25)</f>
        <v>333.82074470029823</v>
      </c>
      <c r="L24" s="963">
        <f>(H23/H8*BQ25)</f>
        <v>-139.32074470029826</v>
      </c>
      <c r="M24" s="961" t="s">
        <v>223</v>
      </c>
      <c r="N24"/>
      <c r="O24" s="995"/>
    </row>
    <row r="25" spans="2:108" ht="30.75" customHeight="1" thickBot="1" x14ac:dyDescent="0.25">
      <c r="E25" s="397"/>
      <c r="F25" s="397"/>
      <c r="G25" s="998"/>
      <c r="H25"/>
      <c r="I25"/>
      <c r="J25" s="965"/>
      <c r="K25" s="965">
        <f>ABS($H$1/K24)</f>
        <v>53.92115464891274</v>
      </c>
      <c r="L25" s="965">
        <f>ABS($H$1/L24)</f>
        <v>129.19827581112165</v>
      </c>
      <c r="M25" s="967" t="s">
        <v>222</v>
      </c>
      <c r="N25"/>
      <c r="O25" s="995"/>
      <c r="BE25" s="74"/>
      <c r="BF25" s="74"/>
      <c r="BG25" s="74"/>
      <c r="BH25" s="74"/>
      <c r="BO25" s="64"/>
      <c r="BP25" s="75" t="s">
        <v>25</v>
      </c>
      <c r="BQ25" s="1814">
        <f>+C7</f>
        <v>194.5</v>
      </c>
      <c r="BR25" s="1814"/>
      <c r="BS25" s="76" t="s">
        <v>17</v>
      </c>
      <c r="BT25" s="76"/>
      <c r="BU25" s="77" t="s">
        <v>137</v>
      </c>
      <c r="BV25" s="78"/>
      <c r="BW25" s="78"/>
      <c r="BX25" s="78"/>
      <c r="BY25" s="78"/>
      <c r="BZ25" s="78"/>
      <c r="CA25" s="78"/>
      <c r="CB25" s="78"/>
      <c r="CC25" s="78"/>
      <c r="CD25" s="78"/>
      <c r="CE25" s="78"/>
      <c r="CF25" s="78"/>
      <c r="CG25" s="78"/>
      <c r="CH25" s="78"/>
      <c r="CI25" s="78"/>
      <c r="CJ25" s="78"/>
      <c r="CK25" s="78"/>
      <c r="CL25" s="78"/>
      <c r="CM25" s="78"/>
      <c r="CN25" s="78"/>
      <c r="CO25" s="78"/>
      <c r="CP25" s="78"/>
      <c r="CQ25" s="78"/>
      <c r="CR25" s="78"/>
      <c r="CS25" s="78"/>
      <c r="CT25" s="78"/>
      <c r="CU25" s="78"/>
      <c r="CV25" s="78"/>
      <c r="CW25" s="78"/>
      <c r="CX25" s="78"/>
      <c r="CY25" s="78"/>
      <c r="CZ25" s="78"/>
      <c r="DA25" s="78"/>
      <c r="DB25" s="78"/>
      <c r="DC25" s="78"/>
      <c r="DD25" s="78"/>
    </row>
    <row r="26" spans="2:108" ht="45" customHeight="1" thickBot="1" x14ac:dyDescent="0.3">
      <c r="E26" s="397"/>
      <c r="F26" s="397"/>
      <c r="G26" s="998"/>
      <c r="H26"/>
      <c r="I26"/>
      <c r="J26" s="1733"/>
      <c r="K26" s="1733"/>
      <c r="L26" s="1733">
        <f>ABS($E$20/BQ25)</f>
        <v>41.131105398457585</v>
      </c>
      <c r="M26" s="1734" t="s">
        <v>350</v>
      </c>
      <c r="N26"/>
      <c r="O26" s="995"/>
      <c r="U26" s="114"/>
      <c r="AB26" s="114"/>
      <c r="AC26" s="114"/>
      <c r="AD26" s="114"/>
      <c r="AE26" s="114"/>
      <c r="BE26" s="85"/>
      <c r="BF26" s="85"/>
      <c r="BG26" s="85"/>
      <c r="BH26" s="85"/>
      <c r="BM26" s="81" t="b">
        <f>AND(BQ27&gt;0,CO27&gt;0)</f>
        <v>1</v>
      </c>
      <c r="BN26" s="952" t="str">
        <f>IF(BM26=TRUE,"","negative force at the motor")</f>
        <v/>
      </c>
      <c r="BO26" s="1095" t="s">
        <v>128</v>
      </c>
      <c r="BP26" s="740" t="s">
        <v>27</v>
      </c>
      <c r="BQ26" s="776" t="s">
        <v>28</v>
      </c>
      <c r="BR26" s="777"/>
      <c r="BS26" s="777"/>
      <c r="BT26" s="777"/>
      <c r="BU26" s="777"/>
      <c r="BV26" s="777"/>
      <c r="BW26" s="777"/>
      <c r="BX26" s="777"/>
      <c r="BY26" s="777"/>
      <c r="BZ26" s="777"/>
      <c r="CA26" s="777"/>
      <c r="CB26" s="777"/>
      <c r="CC26" s="777"/>
      <c r="CD26" s="777"/>
      <c r="CE26" s="777"/>
      <c r="CF26" s="777"/>
      <c r="CG26" s="777"/>
      <c r="CH26" s="777"/>
      <c r="CI26" s="884"/>
      <c r="CJ26" s="777"/>
      <c r="CK26" s="885"/>
      <c r="CL26" s="885"/>
      <c r="CM26" s="885"/>
      <c r="CN26" s="885"/>
      <c r="CO26" s="777"/>
      <c r="CP26" s="782" t="s">
        <v>29</v>
      </c>
      <c r="CQ26" s="1801"/>
      <c r="CR26" s="1801"/>
      <c r="CS26" s="1801"/>
      <c r="CT26" s="1801"/>
      <c r="CU26" s="1801"/>
      <c r="CV26" s="1801"/>
      <c r="CW26" s="1801"/>
      <c r="CX26" s="1801"/>
      <c r="CY26" s="1801"/>
      <c r="CZ26" s="1801"/>
      <c r="DA26" s="1802"/>
      <c r="DB26" s="78"/>
      <c r="DC26" s="78"/>
      <c r="DD26" s="78"/>
    </row>
    <row r="27" spans="2:108" ht="45" customHeight="1" thickBot="1" x14ac:dyDescent="0.3">
      <c r="E27" s="397"/>
      <c r="F27" s="397"/>
      <c r="G27" s="998"/>
      <c r="H27"/>
      <c r="I27"/>
      <c r="J27" s="59"/>
      <c r="K27" s="59"/>
      <c r="L27" s="59"/>
      <c r="M27" s="59"/>
      <c r="N27"/>
      <c r="O27" s="995"/>
      <c r="BE27" s="85"/>
      <c r="BF27" s="85"/>
      <c r="BG27" s="85"/>
      <c r="BH27" s="85"/>
      <c r="BL27" s="968">
        <v>1</v>
      </c>
      <c r="BM27" s="1762" t="b">
        <f>AND(BO27&gt;=10,$AZ$150&gt;=10,$BA$150&gt;=10,$AZ$175&gt;=10,$BA$175&gt;=10)</f>
        <v>1</v>
      </c>
      <c r="BN27" s="84" t="str">
        <f>IF(BM27=TRUE,"O K","OVERLOAD")</f>
        <v>O K</v>
      </c>
      <c r="BO27" s="982">
        <f>+MIN(J7:L8)</f>
        <v>62.629245694272484</v>
      </c>
      <c r="BP27" s="741" t="s">
        <v>138</v>
      </c>
      <c r="BQ27" s="1809">
        <f>+((D4-D5)/D4)*C7</f>
        <v>66.764148940059656</v>
      </c>
      <c r="BR27" s="1810"/>
      <c r="BS27" s="783"/>
      <c r="BT27" s="783"/>
      <c r="BU27" s="783"/>
      <c r="BV27" s="784"/>
      <c r="BW27" s="784"/>
      <c r="BX27" s="784"/>
      <c r="BY27" s="886"/>
      <c r="BZ27" s="886"/>
      <c r="CA27" s="886"/>
      <c r="CB27" s="886"/>
      <c r="CC27" s="886"/>
      <c r="CD27" s="886"/>
      <c r="CE27" s="886"/>
      <c r="CF27" s="886"/>
      <c r="CG27" s="886"/>
      <c r="CH27" s="886"/>
      <c r="CI27" s="887"/>
      <c r="CJ27" s="783"/>
      <c r="CK27" s="783"/>
      <c r="CL27" s="783"/>
      <c r="CM27" s="784"/>
      <c r="CN27" s="784"/>
      <c r="CO27" s="1799">
        <f>+(D5/D4)*C7</f>
        <v>127.73585105994034</v>
      </c>
      <c r="CP27" s="1800"/>
      <c r="CQ27" s="1803"/>
      <c r="CR27" s="1803"/>
      <c r="CS27" s="1803"/>
      <c r="CT27" s="1803"/>
      <c r="CU27" s="1803"/>
      <c r="CV27" s="1803"/>
      <c r="CW27" s="1803"/>
      <c r="CX27" s="1803"/>
      <c r="CY27" s="1803"/>
      <c r="CZ27" s="1803"/>
      <c r="DA27" s="1804"/>
      <c r="DB27" s="78"/>
      <c r="DC27" s="78"/>
      <c r="DD27" s="78"/>
    </row>
    <row r="28" spans="2:108" ht="26" thickBot="1" x14ac:dyDescent="0.3">
      <c r="E28" s="397"/>
      <c r="F28" s="397"/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  <c r="T28" s="401"/>
      <c r="BE28" s="85"/>
      <c r="BF28" s="85"/>
      <c r="BG28" s="85"/>
      <c r="BH28" s="85"/>
      <c r="BN28" s="86"/>
      <c r="BO28" s="85"/>
      <c r="BP28" s="87"/>
      <c r="BQ28" s="88"/>
      <c r="BR28" s="88"/>
      <c r="BS28" s="87"/>
      <c r="BT28" s="87"/>
      <c r="BU28" s="87"/>
      <c r="BV28" s="87"/>
      <c r="BW28" s="87"/>
      <c r="BX28" s="87"/>
      <c r="BY28" s="87"/>
      <c r="BZ28" s="87"/>
      <c r="CA28" s="87"/>
      <c r="CB28" s="87"/>
      <c r="CC28" s="87"/>
      <c r="CD28" s="87"/>
      <c r="CE28" s="87"/>
      <c r="CF28" s="87"/>
      <c r="CG28" s="87"/>
      <c r="CH28" s="87"/>
      <c r="CJ28" s="76"/>
      <c r="CK28" s="76"/>
      <c r="CL28" s="88"/>
      <c r="CM28" s="89"/>
      <c r="CN28" s="89"/>
      <c r="CO28" s="89"/>
      <c r="CP28" s="89"/>
      <c r="CQ28" s="89"/>
      <c r="CR28" s="89"/>
      <c r="CS28" s="89"/>
      <c r="CT28" s="89"/>
      <c r="CU28" s="89"/>
      <c r="CV28" s="89"/>
      <c r="CW28" s="89"/>
      <c r="CX28" s="89"/>
      <c r="CY28" s="89"/>
      <c r="CZ28" s="89"/>
      <c r="DA28" s="89"/>
      <c r="DB28" s="89"/>
      <c r="DC28" s="78"/>
      <c r="DD28" s="78"/>
    </row>
    <row r="29" spans="2:108" ht="45" customHeight="1" thickBot="1" x14ac:dyDescent="0.3">
      <c r="E29" s="397"/>
      <c r="F29" s="397"/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  <c r="U29" s="114"/>
      <c r="AB29" s="114"/>
      <c r="AC29" s="114"/>
      <c r="AD29" s="114"/>
      <c r="AE29" s="114"/>
      <c r="BE29" s="85"/>
      <c r="BF29" s="85"/>
      <c r="BG29" s="85"/>
      <c r="BH29" s="85"/>
      <c r="BM29" s="81" t="b">
        <f>AND(CB30&gt;0,CZ30&gt;0)</f>
        <v>1</v>
      </c>
      <c r="BN29" s="952" t="str">
        <f>IF(BM29=TRUE,"","negative force at the motor")</f>
        <v/>
      </c>
      <c r="BO29" s="1095" t="s">
        <v>128</v>
      </c>
      <c r="BP29" s="742" t="s">
        <v>27</v>
      </c>
      <c r="BQ29" s="1833"/>
      <c r="BR29" s="1834"/>
      <c r="BS29" s="1834"/>
      <c r="BT29" s="1834"/>
      <c r="BU29" s="1834"/>
      <c r="BV29" s="1834"/>
      <c r="BW29" s="1834"/>
      <c r="BX29" s="1834"/>
      <c r="BY29" s="1834"/>
      <c r="BZ29" s="1834"/>
      <c r="CA29" s="1834"/>
      <c r="CB29" s="772" t="s">
        <v>28</v>
      </c>
      <c r="CC29" s="774"/>
      <c r="CD29" s="774"/>
      <c r="CE29" s="774"/>
      <c r="CF29" s="774"/>
      <c r="CG29" s="774"/>
      <c r="CH29" s="774"/>
      <c r="CI29" s="774"/>
      <c r="CJ29" s="774"/>
      <c r="CK29" s="774"/>
      <c r="CL29" s="774"/>
      <c r="CM29" s="774"/>
      <c r="CN29" s="888"/>
      <c r="CO29" s="765"/>
      <c r="CP29" s="765"/>
      <c r="CQ29" s="765"/>
      <c r="CR29" s="765"/>
      <c r="CS29" s="889"/>
      <c r="CT29" s="889"/>
      <c r="CU29" s="888"/>
      <c r="CV29" s="888"/>
      <c r="CW29" s="888"/>
      <c r="CX29" s="888"/>
      <c r="CY29" s="888"/>
      <c r="CZ29" s="765"/>
      <c r="DA29" s="766" t="s">
        <v>29</v>
      </c>
      <c r="DB29" s="90"/>
      <c r="DC29" s="78"/>
      <c r="DD29" s="78"/>
    </row>
    <row r="30" spans="2:108" ht="45" customHeight="1" thickBot="1" x14ac:dyDescent="0.3">
      <c r="E30" s="397"/>
      <c r="F30" s="397"/>
      <c r="G30" s="1000"/>
      <c r="H30" s="63"/>
      <c r="I30"/>
      <c r="J30" s="963"/>
      <c r="K30" s="963">
        <f>((+H8-H23)/H8*BQ25)</f>
        <v>333.82074470029823</v>
      </c>
      <c r="L30" s="963">
        <f>(H23/H8*BQ25)</f>
        <v>-139.32074470029826</v>
      </c>
      <c r="M30" s="961" t="s">
        <v>223</v>
      </c>
      <c r="N30"/>
      <c r="O30" s="995"/>
      <c r="U30" s="114"/>
      <c r="AB30" s="114"/>
      <c r="AC30" s="114"/>
      <c r="AD30" s="114"/>
      <c r="AE30" s="114"/>
      <c r="BL30" s="968">
        <v>2</v>
      </c>
      <c r="BM30" s="1762" t="b">
        <f>AND(BO30&gt;=10,$AZ$150&gt;=10,$BA$150&gt;=10,$AZ$175&gt;=10,$BA$175&gt;=10)</f>
        <v>1</v>
      </c>
      <c r="BN30" s="84" t="str">
        <f>IF(BM30=TRUE,"O K","OVERLOAD")</f>
        <v>O K</v>
      </c>
      <c r="BO30" s="982">
        <f>+MIN(J13:L14)</f>
        <v>52.512682998725658</v>
      </c>
      <c r="BP30" s="743" t="s">
        <v>126</v>
      </c>
      <c r="BQ30" s="1835"/>
      <c r="BR30" s="1836"/>
      <c r="BS30" s="1836"/>
      <c r="BT30" s="1836"/>
      <c r="BU30" s="1836"/>
      <c r="BV30" s="1836"/>
      <c r="BW30" s="1836"/>
      <c r="BX30" s="1836"/>
      <c r="BY30" s="1836"/>
      <c r="BZ30" s="1836"/>
      <c r="CA30" s="1836"/>
      <c r="CB30" s="1840">
        <f>+((D4-D3)/D4)*C7</f>
        <v>152.34414894005965</v>
      </c>
      <c r="CC30" s="1841"/>
      <c r="CD30" s="890"/>
      <c r="CE30" s="890"/>
      <c r="CF30" s="890"/>
      <c r="CG30" s="890"/>
      <c r="CH30" s="890"/>
      <c r="CI30" s="890"/>
      <c r="CJ30" s="890"/>
      <c r="CK30" s="890"/>
      <c r="CL30" s="890"/>
      <c r="CM30" s="890"/>
      <c r="CN30" s="891"/>
      <c r="CO30" s="892"/>
      <c r="CP30" s="892"/>
      <c r="CQ30" s="892"/>
      <c r="CR30" s="892"/>
      <c r="CS30" s="893"/>
      <c r="CT30" s="893"/>
      <c r="CU30" s="883"/>
      <c r="CV30" s="883"/>
      <c r="CW30" s="883"/>
      <c r="CX30" s="883"/>
      <c r="CY30" s="883"/>
      <c r="CZ30" s="1797">
        <f>+(D3/D4)*C7</f>
        <v>42.155851059940346</v>
      </c>
      <c r="DA30" s="1798"/>
      <c r="DB30" s="92"/>
      <c r="DC30" s="78"/>
      <c r="DD30" s="78"/>
    </row>
    <row r="31" spans="2:108" ht="24" thickBot="1" x14ac:dyDescent="0.3">
      <c r="E31" s="397"/>
      <c r="F31" s="397"/>
      <c r="G31" s="1000"/>
      <c r="H31" s="63"/>
      <c r="I31"/>
      <c r="J31" s="965"/>
      <c r="K31" s="965">
        <f>ABS($H$1/K30)</f>
        <v>53.92115464891274</v>
      </c>
      <c r="L31" s="965">
        <f>ABS($H$1/L30)</f>
        <v>129.19827581112165</v>
      </c>
      <c r="M31" s="967" t="s">
        <v>222</v>
      </c>
      <c r="N31"/>
      <c r="O31" s="995"/>
      <c r="U31" s="114"/>
      <c r="AB31" s="114"/>
      <c r="AC31" s="114"/>
      <c r="AD31" s="114"/>
      <c r="AE31" s="114"/>
      <c r="BN31" s="86"/>
      <c r="BO31" s="18"/>
      <c r="BP31" s="93"/>
      <c r="BQ31" s="93"/>
      <c r="BR31" s="93"/>
      <c r="BS31" s="93"/>
      <c r="BT31" s="93"/>
      <c r="BU31" s="93"/>
      <c r="BV31" s="93"/>
      <c r="BW31" s="93"/>
      <c r="BX31" s="93"/>
      <c r="BY31" s="94"/>
      <c r="BZ31" s="94"/>
      <c r="CA31" s="89"/>
      <c r="CB31" s="89"/>
      <c r="CC31" s="89"/>
      <c r="CD31" s="89"/>
      <c r="CE31" s="89"/>
      <c r="CF31" s="89"/>
      <c r="CG31" s="89"/>
      <c r="CH31" s="89"/>
      <c r="CI31" s="89"/>
      <c r="CJ31" s="89"/>
      <c r="CK31" s="89"/>
      <c r="CL31" s="89"/>
      <c r="CM31" s="89"/>
      <c r="CN31" s="37"/>
      <c r="CO31" s="95"/>
      <c r="CP31" s="95"/>
      <c r="CQ31" s="95"/>
      <c r="CR31" s="95"/>
      <c r="CS31" s="92"/>
      <c r="CT31" s="92"/>
      <c r="CU31" s="92"/>
      <c r="CV31" s="92"/>
      <c r="CW31" s="92"/>
      <c r="CX31" s="92"/>
      <c r="CY31" s="92"/>
      <c r="CZ31" s="92"/>
      <c r="DA31" s="92"/>
      <c r="DB31" s="92"/>
      <c r="DC31" s="78"/>
      <c r="DD31" s="78"/>
    </row>
    <row r="32" spans="2:108" ht="45" customHeight="1" thickBot="1" x14ac:dyDescent="0.25">
      <c r="E32" s="397"/>
      <c r="F32" s="397"/>
      <c r="G32" s="1000"/>
      <c r="H32" s="63"/>
      <c r="I32"/>
      <c r="J32" s="1733"/>
      <c r="K32" s="1733"/>
      <c r="L32" s="1733">
        <f>ABS($E$20/BQ25)*2</f>
        <v>82.26221079691517</v>
      </c>
      <c r="M32" s="1734" t="s">
        <v>350</v>
      </c>
      <c r="N32" s="1730" t="s">
        <v>352</v>
      </c>
      <c r="O32" s="995"/>
      <c r="U32" s="114"/>
      <c r="AB32" s="114"/>
      <c r="AC32" s="114"/>
      <c r="AD32" s="114"/>
      <c r="AE32" s="114"/>
      <c r="BM32" s="81" t="b">
        <f>AND(CB33&gt;0,CQ33&gt;0)</f>
        <v>1</v>
      </c>
      <c r="BN32" s="952" t="str">
        <f>IF(BM32=TRUE,"","negative force at the motor")</f>
        <v/>
      </c>
      <c r="BO32" s="1095" t="s">
        <v>128</v>
      </c>
      <c r="BP32" s="744" t="s">
        <v>27</v>
      </c>
      <c r="BQ32" s="1822"/>
      <c r="BR32" s="1823"/>
      <c r="BS32" s="1823"/>
      <c r="BT32" s="1823"/>
      <c r="BU32" s="1823"/>
      <c r="BV32" s="1823"/>
      <c r="BW32" s="1823"/>
      <c r="BX32" s="1823"/>
      <c r="BY32" s="1823"/>
      <c r="BZ32" s="1823"/>
      <c r="CA32" s="1823"/>
      <c r="CB32" s="894" t="s">
        <v>28</v>
      </c>
      <c r="CC32" s="895"/>
      <c r="CD32" s="895"/>
      <c r="CE32" s="895"/>
      <c r="CF32" s="895"/>
      <c r="CG32" s="895"/>
      <c r="CH32" s="895"/>
      <c r="CI32" s="896"/>
      <c r="CJ32" s="895"/>
      <c r="CK32" s="897"/>
      <c r="CL32" s="897"/>
      <c r="CM32" s="895"/>
      <c r="CN32" s="895"/>
      <c r="CO32" s="895"/>
      <c r="CP32" s="895"/>
      <c r="CQ32" s="895"/>
      <c r="CR32" s="898" t="s">
        <v>29</v>
      </c>
      <c r="CS32" s="1801"/>
      <c r="CT32" s="1801"/>
      <c r="CU32" s="1801"/>
      <c r="CV32" s="1801"/>
      <c r="CW32" s="1801"/>
      <c r="CX32" s="1801"/>
      <c r="CY32" s="1801"/>
      <c r="CZ32" s="1801"/>
      <c r="DA32" s="1802"/>
      <c r="DB32" s="89"/>
      <c r="DC32" s="78"/>
      <c r="DD32" s="78"/>
    </row>
    <row r="33" spans="5:141" ht="45" customHeight="1" thickBot="1" x14ac:dyDescent="0.3">
      <c r="E33" s="397"/>
      <c r="F33" s="397"/>
      <c r="G33" s="1000"/>
      <c r="H33" s="63"/>
      <c r="I33"/>
      <c r="J33" s="59"/>
      <c r="K33" s="59"/>
      <c r="L33" s="59"/>
      <c r="M33" s="59"/>
      <c r="N33"/>
      <c r="O33" s="995"/>
      <c r="U33" s="114"/>
      <c r="AB33" s="114"/>
      <c r="AC33" s="114"/>
      <c r="AD33" s="114"/>
      <c r="AE33" s="114"/>
      <c r="BL33" s="968">
        <v>3</v>
      </c>
      <c r="BM33" s="1762" t="b">
        <f>AND(BO33&gt;=10,$AZ$150&gt;=10,$BA$150&gt;=10,$AZ$175&gt;=10,$BA$175&gt;=10)</f>
        <v>1</v>
      </c>
      <c r="BN33" s="84" t="str">
        <f>IF(BM33=TRUE,"O K","OVERLOAD")</f>
        <v>O K</v>
      </c>
      <c r="BO33" s="1090">
        <f>+$E$20/(MAX(CB33,CQ33))</f>
        <v>62.193172549258662</v>
      </c>
      <c r="BP33" s="745" t="s">
        <v>123</v>
      </c>
      <c r="BQ33" s="1824"/>
      <c r="BR33" s="1825"/>
      <c r="BS33" s="1825"/>
      <c r="BT33" s="1825"/>
      <c r="BU33" s="1825"/>
      <c r="BV33" s="1825"/>
      <c r="BW33" s="1825"/>
      <c r="BX33" s="1825"/>
      <c r="BY33" s="1825"/>
      <c r="BZ33" s="1825"/>
      <c r="CA33" s="1825"/>
      <c r="CB33" s="1807">
        <f>+((D2-D3)/D2)*C7</f>
        <v>128.63148271884322</v>
      </c>
      <c r="CC33" s="1808"/>
      <c r="CD33" s="899"/>
      <c r="CE33" s="899"/>
      <c r="CF33" s="899"/>
      <c r="CG33" s="899"/>
      <c r="CH33" s="899"/>
      <c r="CI33" s="900"/>
      <c r="CJ33" s="899"/>
      <c r="CK33" s="901"/>
      <c r="CL33" s="901"/>
      <c r="CM33" s="902"/>
      <c r="CN33" s="902"/>
      <c r="CO33" s="902"/>
      <c r="CP33" s="902"/>
      <c r="CQ33" s="1852">
        <f>+(D3/D2)*C7</f>
        <v>65.868517281156798</v>
      </c>
      <c r="CR33" s="1853"/>
      <c r="CS33" s="1803"/>
      <c r="CT33" s="1803"/>
      <c r="CU33" s="1803"/>
      <c r="CV33" s="1803"/>
      <c r="CW33" s="1803"/>
      <c r="CX33" s="1803"/>
      <c r="CY33" s="1803"/>
      <c r="CZ33" s="1803"/>
      <c r="DA33" s="1804"/>
      <c r="DB33" s="89"/>
      <c r="DC33" s="78"/>
      <c r="DD33" s="78"/>
    </row>
    <row r="34" spans="5:141" ht="24" hidden="1" thickBot="1" x14ac:dyDescent="0.3"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  <c r="BN34" s="86"/>
      <c r="BO34" s="18"/>
      <c r="BP34" s="93"/>
      <c r="BQ34" s="93"/>
      <c r="BR34" s="93"/>
      <c r="BS34" s="93"/>
      <c r="BT34" s="93"/>
      <c r="BU34" s="93"/>
      <c r="BV34" s="93"/>
      <c r="BW34" s="93"/>
      <c r="BX34" s="93"/>
      <c r="BY34" s="94"/>
      <c r="BZ34" s="94"/>
      <c r="CA34" s="89"/>
      <c r="CB34" s="89"/>
      <c r="CC34" s="89"/>
      <c r="CD34" s="89"/>
      <c r="CE34" s="89"/>
      <c r="CF34" s="89"/>
      <c r="CG34" s="89"/>
      <c r="CH34" s="89"/>
      <c r="CI34" s="89"/>
      <c r="CJ34" s="89"/>
      <c r="CK34" s="93"/>
      <c r="CL34" s="89"/>
      <c r="CM34" s="89"/>
      <c r="CN34" s="37"/>
      <c r="CO34" s="95"/>
      <c r="CP34" s="95"/>
      <c r="CQ34" s="95"/>
      <c r="CR34" s="95"/>
      <c r="CS34" s="92"/>
      <c r="CT34" s="92"/>
      <c r="CU34" s="92"/>
      <c r="CV34" s="92"/>
      <c r="CW34" s="92"/>
      <c r="CX34" s="92"/>
      <c r="CY34" s="92"/>
      <c r="CZ34" s="92"/>
      <c r="DA34" s="92"/>
      <c r="DB34" s="92"/>
      <c r="DC34" s="78"/>
      <c r="DD34" s="78"/>
    </row>
    <row r="35" spans="5:141" ht="20" hidden="1" x14ac:dyDescent="0.2"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  <c r="BN35" s="86"/>
      <c r="EJ35" s="78"/>
      <c r="EK35" s="78"/>
    </row>
    <row r="36" spans="5:141" ht="20" hidden="1" x14ac:dyDescent="0.2">
      <c r="G36" s="1000"/>
      <c r="H36" s="63"/>
      <c r="I36"/>
      <c r="J36" s="963">
        <f>+H16/H8*BQ25</f>
        <v>-16.279255299701759</v>
      </c>
      <c r="K36" s="963">
        <f>((H8-H16)/H8)*BQ25</f>
        <v>210.77925529970176</v>
      </c>
      <c r="L36" s="963"/>
      <c r="M36" s="961" t="s">
        <v>223</v>
      </c>
      <c r="N36"/>
      <c r="O36" s="995"/>
      <c r="BN36" s="86"/>
      <c r="EJ36" s="78"/>
      <c r="EK36" s="78"/>
    </row>
    <row r="37" spans="5:141" ht="23" hidden="1" x14ac:dyDescent="0.25">
      <c r="G37" s="1000"/>
      <c r="H37" s="63"/>
      <c r="I37"/>
      <c r="J37" s="965">
        <f>ABS($H$1/J36)</f>
        <v>1105.7016840524495</v>
      </c>
      <c r="K37" s="965">
        <f>ABS($H$1/K36)</f>
        <v>85.397398213625195</v>
      </c>
      <c r="L37" s="965"/>
      <c r="M37" s="967" t="s">
        <v>222</v>
      </c>
      <c r="N37"/>
      <c r="O37" s="995"/>
      <c r="BN37" s="86"/>
      <c r="BO37" s="17"/>
      <c r="BP37" s="177"/>
      <c r="BQ37" s="178"/>
      <c r="BR37" s="178"/>
      <c r="BS37" s="178"/>
      <c r="BT37" s="178"/>
      <c r="BU37" s="178"/>
      <c r="BV37" s="178"/>
      <c r="BW37" s="178"/>
      <c r="BX37" s="178"/>
      <c r="BY37" s="179"/>
      <c r="BZ37" s="179"/>
      <c r="CA37" s="180"/>
      <c r="CB37" s="180"/>
      <c r="CC37" s="180"/>
      <c r="CD37" s="180"/>
      <c r="CE37" s="180"/>
      <c r="CF37" s="180"/>
      <c r="CG37" s="180"/>
      <c r="CH37" s="180"/>
      <c r="CI37" s="37"/>
      <c r="CJ37" s="89"/>
      <c r="CK37" s="181"/>
      <c r="CL37" s="181"/>
      <c r="CM37" s="89"/>
      <c r="CN37" s="89"/>
      <c r="CO37" s="89"/>
      <c r="CP37" s="89"/>
      <c r="CQ37" s="89"/>
      <c r="CR37" s="89"/>
      <c r="CS37" s="89"/>
      <c r="CT37" s="89"/>
      <c r="CU37" s="89"/>
      <c r="CV37" s="89"/>
      <c r="CW37" s="178"/>
      <c r="CX37" s="178"/>
      <c r="CY37" s="178"/>
      <c r="CZ37" s="178"/>
      <c r="DA37" s="178"/>
      <c r="DB37" s="178"/>
      <c r="DC37" s="178"/>
      <c r="DD37" s="178"/>
      <c r="EJ37" s="78"/>
      <c r="EK37" s="78"/>
    </row>
    <row r="38" spans="5:141" ht="24" hidden="1" thickBot="1" x14ac:dyDescent="0.3">
      <c r="G38" s="1000"/>
      <c r="H38" s="63"/>
      <c r="I38"/>
      <c r="J38" s="1733">
        <f>ABS($E$20/BQ25)*2</f>
        <v>82.26221079691517</v>
      </c>
      <c r="K38" s="1733"/>
      <c r="L38" s="1733"/>
      <c r="M38" s="1734" t="s">
        <v>350</v>
      </c>
      <c r="N38" s="1730" t="s">
        <v>352</v>
      </c>
      <c r="O38" s="995"/>
      <c r="BN38" s="86"/>
      <c r="BO38" s="17"/>
      <c r="BP38" s="177"/>
      <c r="BQ38" s="178"/>
      <c r="BR38" s="178"/>
      <c r="BS38" s="178"/>
      <c r="BT38" s="178"/>
      <c r="BU38" s="178"/>
      <c r="BV38" s="178"/>
      <c r="BW38" s="178"/>
      <c r="BX38" s="178"/>
      <c r="BY38" s="179"/>
      <c r="BZ38" s="179"/>
      <c r="CA38" s="180"/>
      <c r="CB38" s="180"/>
      <c r="CC38" s="180"/>
      <c r="CD38" s="180"/>
      <c r="CE38" s="180"/>
      <c r="CF38" s="180"/>
      <c r="CG38" s="180"/>
      <c r="CH38" s="180"/>
      <c r="CI38" s="37"/>
      <c r="CJ38" s="89"/>
      <c r="CK38" s="181"/>
      <c r="CL38" s="181"/>
      <c r="CM38" s="89"/>
      <c r="CN38" s="89"/>
      <c r="CO38" s="89"/>
      <c r="CP38" s="89"/>
      <c r="CQ38" s="89"/>
      <c r="CR38" s="89"/>
      <c r="CS38" s="89"/>
      <c r="CT38" s="89"/>
      <c r="CU38" s="89"/>
      <c r="CV38" s="89"/>
      <c r="CW38" s="178"/>
      <c r="CX38" s="178"/>
      <c r="CY38" s="178"/>
      <c r="CZ38" s="178"/>
      <c r="DA38" s="178"/>
      <c r="DB38" s="178"/>
      <c r="DC38" s="178"/>
      <c r="DD38" s="178"/>
      <c r="EJ38" s="78"/>
      <c r="EK38" s="78"/>
    </row>
    <row r="39" spans="5:141" ht="24" hidden="1" thickBot="1" x14ac:dyDescent="0.3">
      <c r="G39" s="998"/>
      <c r="H39"/>
      <c r="I39"/>
      <c r="J39" s="59"/>
      <c r="K39" s="59"/>
      <c r="L39" s="59"/>
      <c r="M39" s="59"/>
      <c r="N39"/>
      <c r="O39" s="995"/>
      <c r="BN39" s="86"/>
      <c r="BO39" s="17"/>
      <c r="BP39" s="177"/>
      <c r="BQ39" s="178"/>
      <c r="BR39" s="178"/>
      <c r="BS39" s="178"/>
      <c r="BT39" s="178"/>
      <c r="BU39" s="178"/>
      <c r="BV39" s="178"/>
      <c r="BW39" s="178"/>
      <c r="BX39" s="178"/>
      <c r="BY39" s="179"/>
      <c r="BZ39" s="179"/>
      <c r="CA39" s="182">
        <v>16</v>
      </c>
      <c r="CB39" s="180"/>
      <c r="CC39" s="180"/>
      <c r="CD39" s="180"/>
      <c r="CE39" s="180"/>
      <c r="CF39" s="180"/>
      <c r="CG39" s="180"/>
      <c r="CH39" s="180"/>
      <c r="CI39" s="37"/>
      <c r="CJ39" s="89"/>
      <c r="CK39" s="181"/>
      <c r="CL39" s="181"/>
      <c r="CM39" s="89"/>
      <c r="CN39" s="89"/>
      <c r="CO39" s="89"/>
      <c r="CP39" s="117" t="b">
        <f>IF(CQ98=27,15)</f>
        <v>0</v>
      </c>
      <c r="CQ39" s="183"/>
      <c r="CR39" s="103" t="b">
        <f>IF(CQ98=27,17)</f>
        <v>0</v>
      </c>
      <c r="CS39" s="89"/>
      <c r="CT39" s="89"/>
      <c r="CU39" s="89"/>
      <c r="CV39" s="89"/>
      <c r="CW39" s="178"/>
      <c r="CX39" s="178"/>
      <c r="CY39" s="178"/>
      <c r="CZ39" s="178"/>
      <c r="DA39" s="178"/>
      <c r="DB39" s="178"/>
      <c r="DC39" s="178"/>
      <c r="DD39" s="178"/>
      <c r="EJ39" s="78"/>
      <c r="EK39" s="78"/>
    </row>
    <row r="40" spans="5:141" ht="24" hidden="1" thickBot="1" x14ac:dyDescent="0.3">
      <c r="G40" s="998"/>
      <c r="H40"/>
      <c r="I40" s="984">
        <v>62</v>
      </c>
      <c r="J40" s="1721" t="s">
        <v>256</v>
      </c>
      <c r="K40" s="1727"/>
      <c r="L40" s="1727"/>
      <c r="M40" s="1727"/>
      <c r="N40"/>
      <c r="O40" s="995"/>
      <c r="BN40" s="86"/>
      <c r="BO40" s="17"/>
      <c r="BP40" s="177"/>
      <c r="BQ40" s="178"/>
      <c r="BR40" s="178"/>
      <c r="BS40" s="178"/>
      <c r="BT40" s="178"/>
      <c r="BU40" s="178"/>
      <c r="BV40" s="178"/>
      <c r="BW40" s="178"/>
      <c r="BX40" s="178"/>
      <c r="BY40" s="179"/>
      <c r="BZ40" s="179"/>
      <c r="CA40" s="182">
        <v>15</v>
      </c>
      <c r="CB40" s="180"/>
      <c r="CC40" s="180"/>
      <c r="CD40" s="180"/>
      <c r="CE40" s="180"/>
      <c r="CF40" s="180"/>
      <c r="CG40" s="180"/>
      <c r="CH40" s="180"/>
      <c r="CI40" s="37"/>
      <c r="CJ40" s="89"/>
      <c r="CK40" s="181"/>
      <c r="CL40" s="181"/>
      <c r="CM40" s="89"/>
      <c r="CN40" s="117" t="b">
        <f>IF(CP98=26,13)</f>
        <v>0</v>
      </c>
      <c r="CO40" s="183"/>
      <c r="CP40" s="183"/>
      <c r="CQ40" s="183"/>
      <c r="CR40" s="103" t="b">
        <f>IF(CP98=26,17)</f>
        <v>0</v>
      </c>
      <c r="CS40" s="89"/>
      <c r="CT40" s="89"/>
      <c r="CU40" s="89"/>
      <c r="CV40" s="89"/>
      <c r="CW40" s="178"/>
      <c r="CX40" s="178"/>
      <c r="CY40" s="178"/>
      <c r="CZ40" s="178"/>
      <c r="DA40" s="178"/>
      <c r="DB40" s="178"/>
      <c r="DC40" s="178"/>
      <c r="DD40" s="178"/>
      <c r="EJ40" s="78"/>
      <c r="EK40" s="78"/>
    </row>
    <row r="41" spans="5:141" ht="24" hidden="1" thickBot="1" x14ac:dyDescent="0.3"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  <c r="BN41" s="86"/>
      <c r="BO41" s="17"/>
      <c r="BP41" s="177"/>
      <c r="BQ41" s="178"/>
      <c r="BR41" s="178"/>
      <c r="BS41" s="178"/>
      <c r="BT41" s="178"/>
      <c r="BU41" s="178"/>
      <c r="BV41" s="178"/>
      <c r="BW41" s="178"/>
      <c r="BX41" s="178"/>
      <c r="BY41" s="179"/>
      <c r="BZ41" s="179"/>
      <c r="CA41" s="182">
        <v>14</v>
      </c>
      <c r="CB41" s="180"/>
      <c r="CC41" s="180"/>
      <c r="CD41" s="180"/>
      <c r="CE41" s="180"/>
      <c r="CF41" s="180"/>
      <c r="CG41" s="180"/>
      <c r="CH41" s="180"/>
      <c r="CI41" s="37"/>
      <c r="CJ41" s="89"/>
      <c r="CK41" s="181"/>
      <c r="CL41" s="117" t="b">
        <f>IF(CO98=25,11)</f>
        <v>0</v>
      </c>
      <c r="CM41" s="183"/>
      <c r="CN41" s="184"/>
      <c r="CO41" s="184"/>
      <c r="CP41" s="184"/>
      <c r="CQ41" s="184"/>
      <c r="CR41" s="124" t="b">
        <f>IF(CO98=25,17)</f>
        <v>0</v>
      </c>
      <c r="CS41" s="89"/>
      <c r="CT41" s="89"/>
      <c r="CU41" s="89"/>
      <c r="CV41" s="89"/>
      <c r="CW41" s="178"/>
      <c r="CX41" s="178"/>
      <c r="CY41" s="178"/>
      <c r="CZ41" s="178"/>
      <c r="DA41" s="178"/>
      <c r="DB41" s="178"/>
      <c r="DC41" s="178"/>
      <c r="DD41" s="178"/>
      <c r="EJ41" s="78"/>
      <c r="EK41" s="78"/>
    </row>
    <row r="42" spans="5:141" ht="24" hidden="1" thickBot="1" x14ac:dyDescent="0.3">
      <c r="G42" s="1002" t="s">
        <v>245</v>
      </c>
      <c r="H42" s="1049">
        <f>SUM(BQ97:CA97)</f>
        <v>8</v>
      </c>
      <c r="I42"/>
      <c r="J42" s="963">
        <f>+H43/H8*BQ25/2</f>
        <v>175.05</v>
      </c>
      <c r="K42" s="963">
        <f>((H8-H43)/H8)*BQ25/2</f>
        <v>-77.800000000000011</v>
      </c>
      <c r="L42" s="963">
        <f>+BQ25/2</f>
        <v>97.25</v>
      </c>
      <c r="M42" s="961" t="s">
        <v>223</v>
      </c>
      <c r="N42"/>
      <c r="O42" s="995"/>
      <c r="BN42" s="86"/>
      <c r="BO42" s="1091"/>
      <c r="BP42" s="177"/>
      <c r="BQ42" s="178"/>
      <c r="BR42" s="178"/>
      <c r="BS42" s="178"/>
      <c r="BT42" s="178"/>
      <c r="BU42" s="178"/>
      <c r="BV42" s="178"/>
      <c r="BW42" s="178"/>
      <c r="BX42" s="178"/>
      <c r="CA42" s="182">
        <v>13</v>
      </c>
      <c r="CB42" s="178"/>
      <c r="CC42" s="177"/>
      <c r="CD42" s="177"/>
      <c r="CE42" s="177"/>
      <c r="CF42" s="177"/>
      <c r="CG42" s="177"/>
      <c r="CH42" s="177"/>
      <c r="CI42" s="177"/>
      <c r="CJ42" s="117" t="b">
        <f>IF(CN98=24,9)</f>
        <v>0</v>
      </c>
      <c r="CK42" s="185"/>
      <c r="CL42" s="186"/>
      <c r="CM42" s="122"/>
      <c r="CN42" s="186"/>
      <c r="CO42" s="122"/>
      <c r="CP42" s="122"/>
      <c r="CQ42" s="121"/>
      <c r="CR42" s="124" t="b">
        <f>IF(CN98=24,17)</f>
        <v>0</v>
      </c>
      <c r="CS42" s="78"/>
      <c r="CT42" s="78"/>
      <c r="CU42" s="78"/>
      <c r="CV42" s="78"/>
      <c r="CW42" s="78"/>
      <c r="CX42" s="78"/>
      <c r="CY42" s="78"/>
      <c r="CZ42" s="78"/>
      <c r="DA42" s="78"/>
      <c r="DB42" s="78"/>
      <c r="DC42" s="78"/>
      <c r="DD42" s="78"/>
      <c r="EJ42" s="78"/>
      <c r="EK42" s="78"/>
    </row>
    <row r="43" spans="5:141" ht="21" hidden="1" thickBot="1" x14ac:dyDescent="0.25">
      <c r="G43" s="994" t="s">
        <v>243</v>
      </c>
      <c r="H43" s="1048">
        <f>$H$5-((H42-1)*$E$2)</f>
        <v>387</v>
      </c>
      <c r="I43"/>
      <c r="J43" s="965">
        <f>ABS($H$1/J42)</f>
        <v>102.82776349614396</v>
      </c>
      <c r="K43" s="965">
        <f>ABS($H$1/K42)</f>
        <v>231.36246786632387</v>
      </c>
      <c r="L43" s="965">
        <f>ABS($H$1/L42)</f>
        <v>185.08997429305913</v>
      </c>
      <c r="M43" s="967" t="s">
        <v>222</v>
      </c>
      <c r="N43"/>
      <c r="O43" s="995"/>
      <c r="BN43" s="86"/>
      <c r="BO43" s="1091"/>
      <c r="BP43" s="177"/>
      <c r="BQ43" s="177"/>
      <c r="BR43" s="178"/>
      <c r="BS43" s="177"/>
      <c r="BT43" s="177"/>
      <c r="BU43" s="177"/>
      <c r="CA43" s="182">
        <v>12</v>
      </c>
      <c r="CB43" s="178"/>
      <c r="CC43" s="177"/>
      <c r="CD43" s="177"/>
      <c r="CE43" s="177"/>
      <c r="CF43" s="177"/>
      <c r="CG43" s="177"/>
      <c r="CH43" s="117" t="b">
        <f>IF(CM98=23,7)</f>
        <v>0</v>
      </c>
      <c r="CI43" s="185"/>
      <c r="CJ43" s="185"/>
      <c r="CK43" s="118"/>
      <c r="CL43" s="185"/>
      <c r="CM43" s="185"/>
      <c r="CN43" s="185"/>
      <c r="CO43" s="118"/>
      <c r="CP43" s="118"/>
      <c r="CQ43" s="111"/>
      <c r="CR43" s="103" t="b">
        <f>IF(CM98=23,17)</f>
        <v>0</v>
      </c>
      <c r="CS43" s="78"/>
      <c r="CT43" s="78"/>
      <c r="CU43" s="78"/>
      <c r="CV43" s="78"/>
      <c r="CW43" s="78"/>
      <c r="CX43" s="78"/>
      <c r="CY43" s="78"/>
      <c r="CZ43" s="78"/>
      <c r="DA43" s="78"/>
      <c r="DB43" s="78"/>
      <c r="DC43" s="78"/>
      <c r="DD43" s="78"/>
      <c r="EJ43" s="78"/>
      <c r="EK43" s="78"/>
    </row>
    <row r="44" spans="5:141" ht="21" hidden="1" thickBot="1" x14ac:dyDescent="0.25">
      <c r="G44" s="1000"/>
      <c r="H44" s="63"/>
      <c r="I44"/>
      <c r="J44" s="1733"/>
      <c r="K44" s="1733"/>
      <c r="L44" s="1733">
        <f>ABS($E$20/BQ25)*2</f>
        <v>82.26221079691517</v>
      </c>
      <c r="M44" s="1734" t="s">
        <v>350</v>
      </c>
      <c r="N44" s="1730" t="s">
        <v>352</v>
      </c>
      <c r="O44" s="995"/>
      <c r="BN44" s="86"/>
      <c r="BO44" s="1091"/>
      <c r="BP44" s="177"/>
      <c r="BQ44" s="177"/>
      <c r="BR44" s="178"/>
      <c r="BS44" s="177"/>
      <c r="BT44" s="177"/>
      <c r="BU44" s="177"/>
      <c r="CA44" s="182">
        <v>11</v>
      </c>
      <c r="CB44" s="178"/>
      <c r="CC44" s="177"/>
      <c r="CD44" s="177"/>
      <c r="CE44" s="177"/>
      <c r="CF44" s="117" t="b">
        <f>IF(CL98=22,5)</f>
        <v>0</v>
      </c>
      <c r="CG44" s="185"/>
      <c r="CH44" s="185"/>
      <c r="CI44" s="118"/>
      <c r="CJ44" s="185"/>
      <c r="CK44" s="118"/>
      <c r="CL44" s="185"/>
      <c r="CM44" s="118"/>
      <c r="CN44" s="185"/>
      <c r="CO44" s="118"/>
      <c r="CP44" s="118"/>
      <c r="CQ44" s="111"/>
      <c r="CR44" s="103" t="b">
        <f>IF(CL98=22,17)</f>
        <v>0</v>
      </c>
      <c r="CS44" s="78"/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EJ44" s="78"/>
      <c r="EK44" s="78"/>
    </row>
    <row r="45" spans="5:141" ht="21" hidden="1" thickBot="1" x14ac:dyDescent="0.25">
      <c r="G45" s="998"/>
      <c r="H45"/>
      <c r="I45"/>
      <c r="J45" s="59"/>
      <c r="K45" s="59"/>
      <c r="L45" s="59"/>
      <c r="M45" s="59"/>
      <c r="N45"/>
      <c r="O45" s="995"/>
      <c r="BN45" s="86"/>
      <c r="BO45" s="1091"/>
      <c r="BP45" s="177"/>
      <c r="BQ45" s="177"/>
      <c r="BR45" s="178"/>
      <c r="BS45" s="177"/>
      <c r="BT45" s="177"/>
      <c r="BU45" s="177"/>
      <c r="CA45" s="182">
        <v>10</v>
      </c>
      <c r="CB45" s="178"/>
      <c r="CC45" s="177"/>
      <c r="CD45" s="117" t="b">
        <f>IF(CK98=21,3)</f>
        <v>0</v>
      </c>
      <c r="CE45" s="185"/>
      <c r="CF45" s="185"/>
      <c r="CG45" s="118"/>
      <c r="CH45" s="118"/>
      <c r="CI45" s="118"/>
      <c r="CJ45" s="185"/>
      <c r="CK45" s="185"/>
      <c r="CL45" s="185"/>
      <c r="CM45" s="118"/>
      <c r="CN45" s="185"/>
      <c r="CO45" s="118"/>
      <c r="CP45" s="118"/>
      <c r="CQ45" s="111"/>
      <c r="CR45" s="103" t="b">
        <f>IF(CK98=21,17)</f>
        <v>0</v>
      </c>
      <c r="CS45" s="78"/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EJ45" s="78"/>
      <c r="EK45" s="78"/>
    </row>
    <row r="46" spans="5:141" ht="21" hidden="1" thickBot="1" x14ac:dyDescent="0.25"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  <c r="BN46" s="86"/>
      <c r="BO46" s="1091"/>
      <c r="BP46" s="177"/>
      <c r="BQ46" s="177"/>
      <c r="BR46" s="178"/>
      <c r="BS46" s="177"/>
      <c r="BT46" s="177"/>
      <c r="BU46" s="177"/>
      <c r="CA46" s="182">
        <v>9</v>
      </c>
      <c r="CB46" s="117" t="b">
        <f>IF(CJ98=20,1)</f>
        <v>0</v>
      </c>
      <c r="CC46" s="185"/>
      <c r="CD46" s="185"/>
      <c r="CE46" s="118"/>
      <c r="CF46" s="185"/>
      <c r="CG46" s="185"/>
      <c r="CH46" s="185"/>
      <c r="CI46" s="185"/>
      <c r="CJ46" s="185"/>
      <c r="CK46" s="185"/>
      <c r="CL46" s="185"/>
      <c r="CM46" s="185"/>
      <c r="CN46" s="185"/>
      <c r="CO46" s="118"/>
      <c r="CP46" s="118"/>
      <c r="CQ46" s="111"/>
      <c r="CR46" s="103" t="b">
        <f>IF(CJ98=20,17)</f>
        <v>0</v>
      </c>
      <c r="CS46" s="78"/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EJ46" s="78"/>
      <c r="EK46" s="78"/>
    </row>
    <row r="47" spans="5:141" ht="24" hidden="1" thickBot="1" x14ac:dyDescent="0.3">
      <c r="G47" s="1002" t="s">
        <v>245</v>
      </c>
      <c r="H47" s="1050">
        <f>SUM(CQ97:DA97)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  <c r="BN47" s="86"/>
      <c r="BO47" s="1091"/>
      <c r="BP47" s="177"/>
      <c r="BQ47" s="177"/>
      <c r="BR47" s="178"/>
      <c r="BS47" s="177"/>
      <c r="BT47" s="177"/>
      <c r="BU47" s="177"/>
      <c r="CA47" s="182">
        <v>8</v>
      </c>
      <c r="CB47" s="120" t="b">
        <f>IF(CI98=19,1)</f>
        <v>0</v>
      </c>
      <c r="CC47" s="122"/>
      <c r="CD47" s="186"/>
      <c r="CE47" s="186"/>
      <c r="CF47" s="186"/>
      <c r="CG47" s="186"/>
      <c r="CH47" s="186"/>
      <c r="CI47" s="186"/>
      <c r="CJ47" s="186"/>
      <c r="CK47" s="186"/>
      <c r="CL47" s="186"/>
      <c r="CM47" s="186"/>
      <c r="CN47" s="186"/>
      <c r="CO47" s="122"/>
      <c r="CP47" s="124" t="b">
        <f>IF(CI98=19,15)</f>
        <v>0</v>
      </c>
      <c r="CQ47" s="78"/>
      <c r="CR47" s="78"/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EJ47" s="78"/>
      <c r="EK47" s="78"/>
    </row>
    <row r="48" spans="5:141" ht="21" hidden="1" thickBot="1" x14ac:dyDescent="0.25">
      <c r="G48" s="994" t="s">
        <v>243</v>
      </c>
      <c r="H48" s="1048">
        <f>($E$2*(H47-1))-$H$4</f>
        <v>-903</v>
      </c>
      <c r="I48"/>
      <c r="J48" s="963">
        <f>+BQ25/2</f>
        <v>97.25</v>
      </c>
      <c r="K48" s="963">
        <f>((H8-H48)/H8)*BQ25/2</f>
        <v>505.70000000000005</v>
      </c>
      <c r="L48" s="963">
        <f>+H48/H8*BQ25/2</f>
        <v>-408.45000000000005</v>
      </c>
      <c r="M48" s="961" t="s">
        <v>223</v>
      </c>
      <c r="N48"/>
      <c r="O48" s="995"/>
      <c r="BN48" s="86"/>
      <c r="BO48" s="1091"/>
      <c r="BP48" s="177"/>
      <c r="BQ48" s="177"/>
      <c r="BR48" s="178"/>
      <c r="BS48" s="177"/>
      <c r="BT48" s="177"/>
      <c r="BU48" s="177"/>
      <c r="CA48" s="182">
        <v>7</v>
      </c>
      <c r="CB48" s="120" t="b">
        <f>IF(CH98=18,1)</f>
        <v>0</v>
      </c>
      <c r="CC48" s="186"/>
      <c r="CD48" s="186"/>
      <c r="CE48" s="186"/>
      <c r="CF48" s="186"/>
      <c r="CG48" s="186"/>
      <c r="CH48" s="186"/>
      <c r="CI48" s="186"/>
      <c r="CJ48" s="186"/>
      <c r="CK48" s="186"/>
      <c r="CL48" s="186"/>
      <c r="CM48" s="186"/>
      <c r="CN48" s="124" t="b">
        <f>IF(CH98=18,13)</f>
        <v>0</v>
      </c>
      <c r="CO48" s="178"/>
      <c r="CQ48" s="78"/>
      <c r="CR48" s="78"/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EJ48" s="78"/>
      <c r="EK48" s="78"/>
    </row>
    <row r="49" spans="5:141" ht="21" hidden="1" thickBot="1" x14ac:dyDescent="0.25">
      <c r="G49" s="998"/>
      <c r="H49"/>
      <c r="I49"/>
      <c r="J49" s="965">
        <f>ABS($H$1/J48)</f>
        <v>185.08997429305913</v>
      </c>
      <c r="K49" s="965">
        <f>ABS($H$1/K48)</f>
        <v>35.594225825588289</v>
      </c>
      <c r="L49" s="965">
        <f>ABS($H$1/L48)</f>
        <v>44.069041498347403</v>
      </c>
      <c r="M49" s="967" t="s">
        <v>222</v>
      </c>
      <c r="N49" s="74"/>
      <c r="O49" s="1010"/>
      <c r="BN49" s="86"/>
      <c r="BO49" s="1091"/>
      <c r="BP49" s="177"/>
      <c r="BQ49" s="177"/>
      <c r="BR49" s="178"/>
      <c r="BS49" s="177"/>
      <c r="BT49" s="177"/>
      <c r="BU49" s="177"/>
      <c r="CA49" s="182">
        <v>6</v>
      </c>
      <c r="CB49" s="120">
        <f>IF(CG98=17,1)</f>
        <v>1</v>
      </c>
      <c r="CC49" s="186"/>
      <c r="CD49" s="186"/>
      <c r="CE49" s="186"/>
      <c r="CF49" s="186"/>
      <c r="CG49" s="186"/>
      <c r="CH49" s="186"/>
      <c r="CI49" s="186"/>
      <c r="CJ49" s="186"/>
      <c r="CK49" s="186"/>
      <c r="CL49" s="124">
        <f>IF(CG98=17,11)</f>
        <v>11</v>
      </c>
      <c r="CM49" s="177"/>
      <c r="CN49" s="177"/>
      <c r="CO49" s="178"/>
      <c r="CQ49" s="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EJ49" s="78"/>
      <c r="EK49" s="78"/>
    </row>
    <row r="50" spans="5:141" ht="21" hidden="1" thickBot="1" x14ac:dyDescent="0.25">
      <c r="G50" s="998"/>
      <c r="H50"/>
      <c r="I50"/>
      <c r="J50" s="1733">
        <f>ABS($E$20/BQ25)*2</f>
        <v>82.26221079691517</v>
      </c>
      <c r="K50" s="1733"/>
      <c r="L50" s="1733"/>
      <c r="M50" s="1734" t="s">
        <v>350</v>
      </c>
      <c r="N50" s="1730" t="s">
        <v>352</v>
      </c>
      <c r="O50" s="995"/>
      <c r="BN50" s="86"/>
      <c r="BO50" s="1091"/>
      <c r="BP50" s="177"/>
      <c r="BQ50" s="177"/>
      <c r="BR50" s="178"/>
      <c r="BS50" s="177"/>
      <c r="BT50" s="177"/>
      <c r="BU50" s="177"/>
      <c r="CA50" s="182">
        <v>5</v>
      </c>
      <c r="CB50" s="117" t="b">
        <f>IF(CF98=16,1)</f>
        <v>0</v>
      </c>
      <c r="CC50" s="185"/>
      <c r="CD50" s="185"/>
      <c r="CE50" s="118"/>
      <c r="CF50" s="185"/>
      <c r="CG50" s="118"/>
      <c r="CH50" s="185"/>
      <c r="CI50" s="185"/>
      <c r="CJ50" s="103" t="b">
        <f>IF(CF98=16,9)</f>
        <v>0</v>
      </c>
      <c r="CK50" s="177"/>
      <c r="CL50" s="177"/>
      <c r="CM50" s="177"/>
      <c r="CN50" s="177"/>
      <c r="CO50" s="178"/>
      <c r="CQ50" s="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EJ50" s="78"/>
      <c r="EK50" s="78"/>
    </row>
    <row r="51" spans="5:141" ht="21" hidden="1" thickBot="1" x14ac:dyDescent="0.25">
      <c r="G51" s="998"/>
      <c r="H51"/>
      <c r="I51"/>
      <c r="J51" s="59"/>
      <c r="K51" s="59"/>
      <c r="L51" s="59"/>
      <c r="M51" s="59"/>
      <c r="N51"/>
      <c r="O51" s="995"/>
      <c r="BN51" s="86"/>
      <c r="BO51" s="1091"/>
      <c r="BP51" s="177"/>
      <c r="BQ51" s="177"/>
      <c r="BR51" s="178"/>
      <c r="BS51" s="177"/>
      <c r="BT51" s="177"/>
      <c r="BU51" s="177"/>
      <c r="CA51" s="182">
        <v>4</v>
      </c>
      <c r="CB51" s="117" t="b">
        <f>IF(CE98=15,1)</f>
        <v>0</v>
      </c>
      <c r="CC51" s="118"/>
      <c r="CD51" s="118"/>
      <c r="CE51" s="185"/>
      <c r="CF51" s="118"/>
      <c r="CG51" s="118"/>
      <c r="CH51" s="103" t="b">
        <f>IF(CE98=15,7)</f>
        <v>0</v>
      </c>
      <c r="CI51" s="177"/>
      <c r="CJ51" s="177"/>
      <c r="CK51" s="177"/>
      <c r="CL51" s="177"/>
      <c r="CM51" s="177"/>
      <c r="CN51" s="177"/>
      <c r="CO51" s="178"/>
      <c r="CQ51" s="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EJ51" s="78"/>
      <c r="EK51" s="78"/>
    </row>
    <row r="52" spans="5:141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  <c r="BN52" s="86"/>
      <c r="BO52" s="1091"/>
      <c r="BP52" s="177"/>
      <c r="BQ52" s="177"/>
      <c r="BR52" s="178"/>
      <c r="BS52" s="177"/>
      <c r="BT52" s="177"/>
      <c r="BU52" s="177"/>
      <c r="CA52" s="182">
        <v>3</v>
      </c>
      <c r="CB52" s="120" t="b">
        <f>IF(CD98=14,1)</f>
        <v>0</v>
      </c>
      <c r="CC52" s="186"/>
      <c r="CD52" s="186"/>
      <c r="CE52" s="186"/>
      <c r="CF52" s="124" t="b">
        <f>IF(CD98=14,5)</f>
        <v>0</v>
      </c>
      <c r="CG52" s="177"/>
      <c r="CH52" s="177"/>
      <c r="CI52" s="177"/>
      <c r="CJ52" s="177"/>
      <c r="CK52" s="177"/>
      <c r="CL52" s="177"/>
      <c r="CM52" s="177"/>
      <c r="CN52" s="177"/>
      <c r="CO52" s="178"/>
      <c r="CQ52" s="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EJ52" s="78"/>
      <c r="EK52" s="78"/>
    </row>
    <row r="53" spans="5:141" ht="24" hidden="1" thickBot="1" x14ac:dyDescent="0.3"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N53" s="86"/>
      <c r="BO53" s="1091"/>
      <c r="BP53" s="177"/>
      <c r="BQ53" s="177"/>
      <c r="BR53" s="178"/>
      <c r="BS53" s="177"/>
      <c r="BT53" s="177"/>
      <c r="BU53" s="177"/>
      <c r="CA53" s="182">
        <v>2</v>
      </c>
      <c r="CB53" s="120" t="b">
        <f>IF(CC98=13,1)</f>
        <v>0</v>
      </c>
      <c r="CC53" s="186"/>
      <c r="CD53" s="124" t="b">
        <f>IF(CC98=13,3)</f>
        <v>0</v>
      </c>
      <c r="CE53" s="177"/>
      <c r="CF53" s="177"/>
      <c r="CG53" s="177"/>
      <c r="CH53" s="177"/>
      <c r="CI53" s="177"/>
      <c r="CJ53" s="177"/>
      <c r="CK53" s="177"/>
      <c r="CL53" s="177"/>
      <c r="CM53" s="177"/>
      <c r="CN53" s="177"/>
      <c r="CO53" s="1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EJ53" s="78"/>
      <c r="EK53" s="78"/>
    </row>
    <row r="54" spans="5:141" ht="21" thickBot="1" x14ac:dyDescent="0.25">
      <c r="G54" s="994" t="s">
        <v>243</v>
      </c>
      <c r="H54" s="956"/>
      <c r="I54"/>
      <c r="J54" s="963">
        <f>+((H6-D3)/H6)*BQ25</f>
        <v>119.22169453582079</v>
      </c>
      <c r="K54" s="963"/>
      <c r="L54" s="963">
        <f>+(D3/H6)*BQ25</f>
        <v>75.278305464179198</v>
      </c>
      <c r="M54" s="961" t="s">
        <v>223</v>
      </c>
      <c r="N54"/>
      <c r="O54" s="995"/>
      <c r="BN54" s="86"/>
      <c r="BO54" s="1091"/>
      <c r="BP54" s="177"/>
      <c r="BQ54" s="177"/>
      <c r="BR54" s="178"/>
      <c r="BS54" s="177"/>
      <c r="BT54" s="177"/>
      <c r="BU54" s="177"/>
      <c r="BV54" s="76"/>
      <c r="BW54" s="177"/>
      <c r="CA54" s="177"/>
      <c r="CB54" s="177"/>
      <c r="CC54" s="177"/>
      <c r="CD54" s="177"/>
      <c r="CE54" s="177"/>
      <c r="CF54" s="177"/>
      <c r="CG54" s="177"/>
      <c r="CH54" s="177"/>
      <c r="CI54" s="177"/>
      <c r="CJ54" s="177"/>
      <c r="CK54" s="177"/>
      <c r="CL54" s="178"/>
      <c r="CM54" s="107"/>
      <c r="CN54" s="107"/>
      <c r="CO54" s="107"/>
      <c r="CQ54" s="78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EJ54" s="78"/>
      <c r="EK54" s="78"/>
    </row>
    <row r="55" spans="5:141" ht="45" customHeight="1" thickBot="1" x14ac:dyDescent="0.3">
      <c r="G55" s="1000"/>
      <c r="H55" s="63"/>
      <c r="I55"/>
      <c r="J55" s="965">
        <f>ABS($H$1/J54)</f>
        <v>150.9792330169557</v>
      </c>
      <c r="K55" s="965"/>
      <c r="L55" s="965">
        <f>ABS($H$1/L54)</f>
        <v>239.11271499815055</v>
      </c>
      <c r="M55" s="967" t="s">
        <v>222</v>
      </c>
      <c r="N55"/>
      <c r="O55" s="995"/>
      <c r="BM55" s="402"/>
      <c r="BN55" s="188"/>
      <c r="BO55" s="1095" t="s">
        <v>128</v>
      </c>
      <c r="BP55" s="746" t="s">
        <v>125</v>
      </c>
      <c r="BQ55" s="923"/>
      <c r="BR55" s="924"/>
      <c r="BS55" s="924"/>
      <c r="BT55" s="924"/>
      <c r="BU55" s="924"/>
      <c r="BV55" s="924"/>
      <c r="BW55" s="924"/>
      <c r="BX55" s="924"/>
      <c r="BY55" s="924"/>
      <c r="BZ55" s="924"/>
      <c r="CA55" s="924"/>
      <c r="CB55" s="925">
        <f>SUM(CB39:CB54)</f>
        <v>1</v>
      </c>
      <c r="CC55" s="926">
        <f t="shared" ref="CC55:CR55" si="0">SUM(CC39:CC54)</f>
        <v>0</v>
      </c>
      <c r="CD55" s="926">
        <f t="shared" si="0"/>
        <v>0</v>
      </c>
      <c r="CE55" s="926">
        <f t="shared" si="0"/>
        <v>0</v>
      </c>
      <c r="CF55" s="926">
        <f t="shared" si="0"/>
        <v>0</v>
      </c>
      <c r="CG55" s="926">
        <f t="shared" si="0"/>
        <v>0</v>
      </c>
      <c r="CH55" s="926">
        <f t="shared" si="0"/>
        <v>0</v>
      </c>
      <c r="CI55" s="926">
        <f t="shared" si="0"/>
        <v>0</v>
      </c>
      <c r="CJ55" s="926">
        <f t="shared" si="0"/>
        <v>0</v>
      </c>
      <c r="CK55" s="926">
        <f t="shared" si="0"/>
        <v>0</v>
      </c>
      <c r="CL55" s="926">
        <f t="shared" si="0"/>
        <v>11</v>
      </c>
      <c r="CM55" s="926">
        <f t="shared" si="0"/>
        <v>0</v>
      </c>
      <c r="CN55" s="926">
        <f t="shared" si="0"/>
        <v>0</v>
      </c>
      <c r="CO55" s="926">
        <f t="shared" si="0"/>
        <v>0</v>
      </c>
      <c r="CP55" s="926">
        <f t="shared" si="0"/>
        <v>0</v>
      </c>
      <c r="CQ55" s="926">
        <f t="shared" si="0"/>
        <v>0</v>
      </c>
      <c r="CR55" s="927">
        <f t="shared" si="0"/>
        <v>0</v>
      </c>
      <c r="CS55" s="191"/>
      <c r="CT55" s="191"/>
      <c r="CU55" s="192"/>
      <c r="CV55" s="192"/>
      <c r="CW55" s="192"/>
      <c r="CX55" s="192"/>
      <c r="CY55" s="192"/>
      <c r="CZ55" s="192"/>
      <c r="DA55" s="193"/>
      <c r="DB55" s="89"/>
      <c r="DC55" s="78"/>
      <c r="DD55" s="78"/>
    </row>
    <row r="56" spans="5:141" ht="45" customHeight="1" thickBot="1" x14ac:dyDescent="0.3">
      <c r="G56" s="1000"/>
      <c r="H56" s="63"/>
      <c r="I56" s="74"/>
      <c r="J56" s="1733">
        <f>ABS($E$20/BQ25)*2</f>
        <v>82.26221079691517</v>
      </c>
      <c r="K56" s="1733"/>
      <c r="L56" s="1733"/>
      <c r="M56" s="1734" t="s">
        <v>350</v>
      </c>
      <c r="N56" s="1730" t="s">
        <v>352</v>
      </c>
      <c r="O56" s="995"/>
      <c r="BL56" s="968">
        <v>4</v>
      </c>
      <c r="BM56" s="1762" t="b">
        <f>AND(BO56&gt;=10,$AZ$150&gt;=10,$BA$150&gt;=10,$AZ$175&gt;=10,$BA$175&gt;=10)</f>
        <v>1</v>
      </c>
      <c r="BN56" s="84" t="str">
        <f>IF(BM56=TRUE,"O K","OVERLOAD")</f>
        <v>O K</v>
      </c>
      <c r="BO56" s="1089">
        <f>+$E$20/(BQ25/2)</f>
        <v>82.26221079691517</v>
      </c>
      <c r="BP56" s="194"/>
      <c r="BQ56" s="107"/>
      <c r="BR56" s="108"/>
      <c r="BS56" s="107"/>
      <c r="BT56" s="107"/>
      <c r="BU56" s="107"/>
      <c r="BV56" s="108"/>
      <c r="BW56" s="107"/>
      <c r="BX56" s="107"/>
      <c r="BY56" s="107"/>
      <c r="BZ56" s="107"/>
      <c r="CA56" s="107"/>
      <c r="CB56" s="107"/>
      <c r="CC56" s="107"/>
      <c r="CD56" s="107"/>
      <c r="CE56" s="107"/>
      <c r="CF56" s="196"/>
      <c r="CG56" s="107"/>
      <c r="CH56" s="107"/>
      <c r="CI56" s="107"/>
      <c r="CJ56" s="107"/>
      <c r="CK56" s="107"/>
      <c r="CL56" s="107"/>
      <c r="CM56" s="107"/>
      <c r="CN56" s="107"/>
      <c r="CO56" s="107"/>
      <c r="CP56" s="107"/>
      <c r="CQ56" s="107"/>
      <c r="CR56" s="107"/>
      <c r="CS56" s="78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</row>
    <row r="57" spans="5:141" ht="15.75" customHeight="1" thickBot="1" x14ac:dyDescent="0.25">
      <c r="G57" s="998"/>
      <c r="H57"/>
      <c r="I57"/>
      <c r="J57"/>
      <c r="K57"/>
      <c r="L57"/>
      <c r="M57"/>
      <c r="N57"/>
      <c r="O57" s="995"/>
      <c r="BM57" s="402"/>
      <c r="BN57" s="188"/>
      <c r="BO57" s="1091"/>
      <c r="BP57" s="78"/>
      <c r="BQ57" s="196"/>
      <c r="BR57" s="196"/>
      <c r="BS57" s="196"/>
      <c r="BT57" s="196"/>
      <c r="BU57" s="196"/>
      <c r="BV57" s="196"/>
      <c r="BW57" s="196"/>
      <c r="BX57" s="196"/>
      <c r="BY57" s="196"/>
      <c r="BZ57" s="196"/>
      <c r="CA57" s="196"/>
      <c r="CB57" s="196"/>
      <c r="CC57" s="196"/>
      <c r="CD57" s="196"/>
      <c r="CE57" s="196"/>
      <c r="CF57" s="196"/>
      <c r="CG57" s="196"/>
      <c r="CH57" s="196"/>
      <c r="CI57" s="196"/>
      <c r="CJ57" s="196"/>
      <c r="CK57" s="196"/>
      <c r="CL57" s="196"/>
      <c r="CM57" s="196"/>
      <c r="CN57" s="196"/>
      <c r="CO57" s="196"/>
      <c r="CP57" s="196"/>
      <c r="CQ57" s="196"/>
      <c r="CR57" s="196"/>
      <c r="CS57" s="196"/>
      <c r="CT57" s="196"/>
      <c r="CU57" s="196"/>
      <c r="CV57" s="196"/>
      <c r="CW57" s="196"/>
      <c r="CX57" s="196"/>
      <c r="CY57" s="196"/>
      <c r="CZ57" s="196"/>
      <c r="DA57" s="196"/>
      <c r="DB57" s="196"/>
      <c r="DC57" s="78"/>
      <c r="DD57" s="78"/>
    </row>
    <row r="58" spans="5:141" ht="45" customHeight="1" thickBot="1" x14ac:dyDescent="0.3">
      <c r="G58" s="998"/>
      <c r="H58"/>
      <c r="I58"/>
      <c r="J58"/>
      <c r="K58"/>
      <c r="L58"/>
      <c r="M58"/>
      <c r="N58"/>
      <c r="O58" s="995"/>
      <c r="BM58" s="402"/>
      <c r="BN58" s="188"/>
      <c r="BO58" s="1095" t="s">
        <v>128</v>
      </c>
      <c r="BP58" s="197" t="s">
        <v>129</v>
      </c>
      <c r="BQ58" s="748" t="str">
        <f>IF(BQ99=1,17,"")</f>
        <v/>
      </c>
      <c r="BR58" s="749" t="str">
        <f>IF(BR99=2,16,"")</f>
        <v/>
      </c>
      <c r="BS58" s="749" t="str">
        <f>IF(BS99=3,15,"")</f>
        <v/>
      </c>
      <c r="BT58" s="749" t="str">
        <f>IF(BT99=4,14,"")</f>
        <v/>
      </c>
      <c r="BU58" s="749" t="str">
        <f>IF(BU99=5,13,"")</f>
        <v/>
      </c>
      <c r="BV58" s="749" t="str">
        <f>IF(BV99=6,12,"")</f>
        <v/>
      </c>
      <c r="BW58" s="749" t="str">
        <f>IF(BW99=7,11,"")</f>
        <v/>
      </c>
      <c r="BX58" s="749" t="str">
        <f>IF(BX99=8,10,"")</f>
        <v/>
      </c>
      <c r="BY58" s="749" t="str">
        <f>IF(BY99=9,9,"")</f>
        <v/>
      </c>
      <c r="BZ58" s="749" t="str">
        <f>IF(BZ99=10,8,"")</f>
        <v/>
      </c>
      <c r="CA58" s="749" t="str">
        <f>IF(CA99=11,7,"")</f>
        <v/>
      </c>
      <c r="CB58" s="928" t="str">
        <f>IF(CB99=12,1,"")</f>
        <v/>
      </c>
      <c r="CC58" s="747" t="str">
        <f>IF(CC99=13,2,"")</f>
        <v/>
      </c>
      <c r="CD58" s="747" t="str">
        <f>IF(CD99=14,3,"")</f>
        <v/>
      </c>
      <c r="CE58" s="747" t="str">
        <f>IF(CE99=15,4,"")</f>
        <v/>
      </c>
      <c r="CF58" s="747" t="str">
        <f>IF(CF99=16,5,"")</f>
        <v/>
      </c>
      <c r="CG58" s="747">
        <f>IF(CG99=17,6,"")</f>
        <v>6</v>
      </c>
      <c r="CH58" s="747" t="str">
        <f>IF(CH99=18,7,"")</f>
        <v/>
      </c>
      <c r="CI58" s="747" t="str">
        <f>IF(CI99=19,8,"")</f>
        <v/>
      </c>
      <c r="CJ58" s="747" t="str">
        <f>IF(CJ99=20,9,"")</f>
        <v/>
      </c>
      <c r="CK58" s="747" t="str">
        <f>IF(CK99=21,10,"")</f>
        <v/>
      </c>
      <c r="CL58" s="747" t="str">
        <f>IF(CL99=22,11,"")</f>
        <v/>
      </c>
      <c r="CM58" s="747" t="str">
        <f>IF(CM99=23,12,"")</f>
        <v/>
      </c>
      <c r="CN58" s="747" t="str">
        <f>IF(CN99=24,13,"")</f>
        <v/>
      </c>
      <c r="CO58" s="747" t="str">
        <f>IF(CO99=25,14,"")</f>
        <v/>
      </c>
      <c r="CP58" s="747" t="str">
        <f>IF(CP99=26,15,"")</f>
        <v/>
      </c>
      <c r="CQ58" s="747" t="str">
        <f>IF(CQ99=27,16,"")</f>
        <v/>
      </c>
      <c r="CR58" s="929" t="str">
        <f>IF(CR99=28,17,"")</f>
        <v/>
      </c>
      <c r="CS58" s="756" t="str">
        <f>IF(CS99=29,9,"")</f>
        <v/>
      </c>
      <c r="CT58" s="756" t="str">
        <f>IF(CT99=30,10,"")</f>
        <v/>
      </c>
      <c r="CU58" s="756" t="str">
        <f>IF(CU99=31,11,"")</f>
        <v/>
      </c>
      <c r="CV58" s="756" t="str">
        <f>IF(CV99=32,12,"")</f>
        <v/>
      </c>
      <c r="CW58" s="756" t="str">
        <f>IF(CW99=33,13,"")</f>
        <v/>
      </c>
      <c r="CX58" s="756" t="str">
        <f>IF(CX99=34,14,"")</f>
        <v/>
      </c>
      <c r="CY58" s="756" t="str">
        <f>IF(CY99=35,15,"")</f>
        <v/>
      </c>
      <c r="CZ58" s="756" t="str">
        <f>IF(CZ99=36,16,"")</f>
        <v/>
      </c>
      <c r="DA58" s="757" t="str">
        <f>IF(DA99=37,17,"")</f>
        <v/>
      </c>
      <c r="DB58" s="198"/>
      <c r="DC58" s="78"/>
      <c r="DD58" s="78"/>
    </row>
    <row r="59" spans="5:141" ht="45" customHeight="1" thickBot="1" x14ac:dyDescent="0.3">
      <c r="G59" s="998"/>
      <c r="H59"/>
      <c r="I59"/>
      <c r="J59"/>
      <c r="K59"/>
      <c r="L59"/>
      <c r="M59"/>
      <c r="N59"/>
      <c r="O59" s="995"/>
      <c r="BL59" s="968">
        <v>5</v>
      </c>
      <c r="BM59" s="1762" t="b">
        <f>AND(BO59&gt;=10,$AZ$150&gt;=10,$BA$150&gt;=10,$AZ$175&gt;=10,$BA$175&gt;=10)</f>
        <v>1</v>
      </c>
      <c r="BN59" s="84" t="str">
        <f>IF(BM59=TRUE,"O K","OVERLOAD")</f>
        <v>O K</v>
      </c>
      <c r="BO59" s="982">
        <f>IF(SUM(BQ58:CA58)&gt;0,K85,0)+IF(SUM(CB58:CR58)&gt;0,L85,0)+IF(SUM(CS58:DA58)&gt;0,M85,0)</f>
        <v>41.131105398457585</v>
      </c>
      <c r="BP59" s="788" t="s">
        <v>185</v>
      </c>
      <c r="BQ59" s="789">
        <v>-10</v>
      </c>
      <c r="BR59" s="789">
        <v>-9</v>
      </c>
      <c r="BS59" s="789">
        <v>-8</v>
      </c>
      <c r="BT59" s="789">
        <v>-7</v>
      </c>
      <c r="BU59" s="789">
        <v>-6</v>
      </c>
      <c r="BV59" s="789">
        <v>-5</v>
      </c>
      <c r="BW59" s="789">
        <v>-4</v>
      </c>
      <c r="BX59" s="789">
        <v>-3</v>
      </c>
      <c r="BY59" s="789">
        <v>-2</v>
      </c>
      <c r="BZ59" s="789">
        <v>-1</v>
      </c>
      <c r="CA59" s="789">
        <v>0</v>
      </c>
      <c r="CB59" s="789">
        <v>1</v>
      </c>
      <c r="CC59" s="789">
        <v>2</v>
      </c>
      <c r="CD59" s="789">
        <v>3</v>
      </c>
      <c r="CE59" s="789">
        <v>4</v>
      </c>
      <c r="CF59" s="789">
        <v>5</v>
      </c>
      <c r="CG59" s="789">
        <v>6</v>
      </c>
      <c r="CH59" s="789">
        <v>7</v>
      </c>
      <c r="CI59" s="789">
        <v>8</v>
      </c>
      <c r="CJ59" s="789">
        <v>9</v>
      </c>
      <c r="CK59" s="789">
        <v>10</v>
      </c>
      <c r="CL59" s="789">
        <v>11</v>
      </c>
      <c r="CM59" s="789">
        <v>12</v>
      </c>
      <c r="CN59" s="789">
        <v>13</v>
      </c>
      <c r="CO59" s="789">
        <v>14</v>
      </c>
      <c r="CP59" s="789">
        <v>15</v>
      </c>
      <c r="CQ59" s="789">
        <v>16</v>
      </c>
      <c r="CR59" s="789">
        <v>17</v>
      </c>
      <c r="CS59" s="789">
        <v>18</v>
      </c>
      <c r="CT59" s="789">
        <v>19</v>
      </c>
      <c r="CU59" s="789">
        <v>20</v>
      </c>
      <c r="CV59" s="789">
        <v>21</v>
      </c>
      <c r="CW59" s="789">
        <v>22</v>
      </c>
      <c r="CX59" s="789">
        <v>23</v>
      </c>
      <c r="CY59" s="789">
        <v>24</v>
      </c>
      <c r="CZ59" s="789">
        <v>25</v>
      </c>
      <c r="DA59" s="791">
        <v>26</v>
      </c>
      <c r="DB59" s="198"/>
      <c r="DC59" s="78"/>
      <c r="DD59" s="78"/>
    </row>
    <row r="60" spans="5:141" ht="20" hidden="1" x14ac:dyDescent="0.2">
      <c r="E60" s="397"/>
      <c r="F60" s="397"/>
      <c r="G60" s="998"/>
      <c r="H60"/>
      <c r="I60"/>
      <c r="J60"/>
      <c r="K60"/>
      <c r="L60"/>
      <c r="M60"/>
      <c r="N60"/>
      <c r="O60" s="995"/>
      <c r="U60" s="114"/>
      <c r="AB60" s="114"/>
      <c r="AC60" s="114"/>
      <c r="AD60" s="114"/>
      <c r="AE60" s="114"/>
      <c r="BM60" s="402"/>
      <c r="BN60" s="136"/>
      <c r="BP60" s="78"/>
      <c r="BQ60" s="199"/>
      <c r="BR60" s="199"/>
      <c r="BS60" s="199"/>
      <c r="BT60" s="199"/>
      <c r="BU60" s="199"/>
      <c r="BV60" s="199"/>
      <c r="BW60" s="199"/>
      <c r="BX60" s="199"/>
      <c r="BY60" s="199"/>
      <c r="BZ60" s="199"/>
      <c r="CA60" s="199"/>
      <c r="CB60" s="199"/>
      <c r="CC60" s="199"/>
      <c r="CD60" s="199"/>
      <c r="CE60" s="199"/>
      <c r="CF60" s="199"/>
      <c r="CG60" s="199"/>
      <c r="CH60" s="199"/>
      <c r="CI60" s="199"/>
      <c r="CJ60" s="199"/>
      <c r="CK60" s="199"/>
      <c r="CL60" s="199"/>
      <c r="CM60" s="199"/>
      <c r="CN60" s="199"/>
      <c r="CO60" s="199"/>
      <c r="CP60" s="199"/>
      <c r="CQ60" s="199"/>
      <c r="CR60" s="199"/>
      <c r="CS60" s="199"/>
      <c r="CT60" s="199"/>
      <c r="CU60" s="199"/>
      <c r="CV60" s="199"/>
      <c r="CW60" s="199"/>
      <c r="CX60" s="199"/>
      <c r="CY60" s="199"/>
      <c r="CZ60" s="199"/>
      <c r="DA60" s="199"/>
      <c r="DB60" s="199"/>
      <c r="DC60" s="78"/>
      <c r="DD60" s="78"/>
    </row>
    <row r="61" spans="5:141" ht="24" hidden="1" thickBot="1" x14ac:dyDescent="0.3">
      <c r="G61" s="998"/>
      <c r="H61"/>
      <c r="I61"/>
      <c r="J61"/>
      <c r="K61"/>
      <c r="L61"/>
      <c r="M61"/>
      <c r="N61"/>
      <c r="O61" s="995"/>
      <c r="BN61" s="86"/>
      <c r="BO61" s="18"/>
      <c r="BP61" s="96"/>
      <c r="BQ61" s="97"/>
      <c r="BR61" s="97"/>
      <c r="BS61" s="97"/>
      <c r="BT61" s="97"/>
      <c r="BU61" s="97"/>
      <c r="BV61" s="97"/>
      <c r="BW61" s="97"/>
      <c r="BX61" s="97"/>
      <c r="BY61" s="94"/>
      <c r="BZ61" s="94"/>
      <c r="CA61" s="89"/>
      <c r="CB61" s="89"/>
      <c r="CC61" s="89"/>
      <c r="CD61" s="89"/>
      <c r="CE61" s="89"/>
      <c r="CF61" s="89"/>
      <c r="CG61" s="89"/>
      <c r="CH61" s="89"/>
      <c r="CI61" s="89"/>
      <c r="CJ61" s="89"/>
      <c r="CK61" s="89"/>
      <c r="CL61" s="89"/>
      <c r="CM61" s="89"/>
      <c r="CN61" s="37"/>
      <c r="CO61" s="95"/>
      <c r="CP61" s="95"/>
      <c r="CQ61" s="95"/>
      <c r="CR61" s="95"/>
      <c r="CS61" s="92"/>
      <c r="CT61" s="92"/>
      <c r="CU61" s="92"/>
      <c r="CV61" s="92"/>
      <c r="CW61" s="92"/>
      <c r="CX61" s="92"/>
      <c r="CY61" s="92"/>
      <c r="CZ61" s="92"/>
      <c r="DA61" s="92"/>
      <c r="DB61" s="92"/>
      <c r="DC61" s="17"/>
      <c r="DD61" s="78"/>
    </row>
    <row r="62" spans="5:141" ht="24" hidden="1" thickBot="1" x14ac:dyDescent="0.3">
      <c r="G62" s="998"/>
      <c r="H62"/>
      <c r="I62"/>
      <c r="J62"/>
      <c r="K62"/>
      <c r="L62"/>
      <c r="M62"/>
      <c r="N62"/>
      <c r="O62" s="995"/>
      <c r="BN62" s="86"/>
      <c r="BO62" s="18"/>
      <c r="BP62" s="96">
        <v>36</v>
      </c>
      <c r="BQ62" s="97"/>
      <c r="BR62" s="97"/>
      <c r="BS62" s="97"/>
      <c r="BT62" s="97"/>
      <c r="BU62" s="97"/>
      <c r="BV62" s="97"/>
      <c r="BW62" s="97"/>
      <c r="BX62" s="97"/>
      <c r="BY62" s="94"/>
      <c r="BZ62" s="94"/>
      <c r="CA62" s="89"/>
      <c r="CB62" s="89"/>
      <c r="CC62" s="89"/>
      <c r="CD62" s="89"/>
      <c r="CE62" s="89"/>
      <c r="CF62" s="89"/>
      <c r="CG62" s="89"/>
      <c r="CH62" s="98"/>
      <c r="CI62" s="99"/>
      <c r="CJ62" s="100"/>
      <c r="CK62" s="89"/>
      <c r="CL62" s="89"/>
      <c r="CM62" s="89"/>
      <c r="CN62" s="37"/>
      <c r="CO62" s="95"/>
      <c r="CP62" s="95"/>
      <c r="CQ62" s="95"/>
      <c r="CR62" s="95"/>
      <c r="CS62" s="92"/>
      <c r="CT62" s="92"/>
      <c r="CU62" s="92"/>
      <c r="CV62" s="92"/>
      <c r="CW62" s="92"/>
      <c r="CX62" s="92"/>
      <c r="CY62" s="101" t="b">
        <f>IF(CZ98=36,35)</f>
        <v>0</v>
      </c>
      <c r="CZ62" s="102"/>
      <c r="DA62" s="103" t="b">
        <f>IF(CZ98=36,37)</f>
        <v>0</v>
      </c>
      <c r="DB62" s="92"/>
      <c r="DC62" s="17"/>
      <c r="DD62" s="78"/>
    </row>
    <row r="63" spans="5:141" ht="24" hidden="1" thickBot="1" x14ac:dyDescent="0.3">
      <c r="G63" s="998"/>
      <c r="H63"/>
      <c r="I63"/>
      <c r="J63"/>
      <c r="K63"/>
      <c r="L63"/>
      <c r="M63"/>
      <c r="N63"/>
      <c r="O63" s="995"/>
      <c r="BN63" s="86"/>
      <c r="BO63" s="18"/>
      <c r="BP63" s="96">
        <v>35</v>
      </c>
      <c r="BQ63" s="97"/>
      <c r="BR63" s="97"/>
      <c r="BS63" s="97"/>
      <c r="BT63" s="97"/>
      <c r="BU63" s="97"/>
      <c r="BV63" s="97"/>
      <c r="BW63" s="97"/>
      <c r="BX63" s="97"/>
      <c r="BY63" s="94"/>
      <c r="BZ63" s="94"/>
      <c r="CA63" s="89"/>
      <c r="CB63" s="89"/>
      <c r="CC63" s="89"/>
      <c r="CD63" s="89"/>
      <c r="CE63" s="89"/>
      <c r="CF63" s="89"/>
      <c r="CG63" s="89"/>
      <c r="CH63" s="104"/>
      <c r="CI63" s="89"/>
      <c r="CJ63" s="105"/>
      <c r="CK63" s="89"/>
      <c r="CL63" s="89"/>
      <c r="CM63" s="89"/>
      <c r="CN63" s="37"/>
      <c r="CO63" s="95"/>
      <c r="CP63" s="95"/>
      <c r="CQ63" s="95"/>
      <c r="CR63" s="95"/>
      <c r="CS63" s="92"/>
      <c r="CT63" s="92"/>
      <c r="CU63" s="92"/>
      <c r="CV63" s="92"/>
      <c r="CW63" s="101" t="b">
        <f>IF(CY98=35,33)</f>
        <v>0</v>
      </c>
      <c r="CX63" s="102"/>
      <c r="CY63" s="102"/>
      <c r="CZ63" s="102"/>
      <c r="DA63" s="103" t="b">
        <f>IF(CY98=35,37)</f>
        <v>0</v>
      </c>
      <c r="DB63" s="92"/>
      <c r="DC63" s="17"/>
      <c r="DD63" s="78"/>
    </row>
    <row r="64" spans="5:141" ht="24" hidden="1" thickBot="1" x14ac:dyDescent="0.3">
      <c r="G64" s="998"/>
      <c r="H64"/>
      <c r="I64"/>
      <c r="J64"/>
      <c r="K64"/>
      <c r="L64"/>
      <c r="M64"/>
      <c r="N64"/>
      <c r="O64" s="995"/>
      <c r="BN64" s="86"/>
      <c r="BO64" s="18"/>
      <c r="BP64" s="96">
        <v>34</v>
      </c>
      <c r="BQ64" s="97"/>
      <c r="BR64" s="97"/>
      <c r="BS64" s="97"/>
      <c r="BT64" s="97"/>
      <c r="BU64" s="97"/>
      <c r="BV64" s="97"/>
      <c r="BW64" s="97"/>
      <c r="BX64" s="97"/>
      <c r="BY64" s="94"/>
      <c r="BZ64" s="94"/>
      <c r="CA64" s="89"/>
      <c r="CB64" s="89"/>
      <c r="CC64" s="89"/>
      <c r="CD64" s="89"/>
      <c r="CE64" s="89"/>
      <c r="CF64" s="89"/>
      <c r="CG64" s="89"/>
      <c r="CH64" s="104"/>
      <c r="CI64" s="89"/>
      <c r="CJ64" s="105"/>
      <c r="CK64" s="89"/>
      <c r="CL64" s="89"/>
      <c r="CM64" s="89"/>
      <c r="CN64" s="37"/>
      <c r="CO64" s="95"/>
      <c r="CP64" s="95"/>
      <c r="CQ64" s="95"/>
      <c r="CR64" s="95"/>
      <c r="CS64" s="92"/>
      <c r="CT64" s="92"/>
      <c r="CU64" s="101" t="b">
        <f>IF(CX98=34,31)</f>
        <v>0</v>
      </c>
      <c r="CV64" s="102"/>
      <c r="CW64" s="102"/>
      <c r="CX64" s="102"/>
      <c r="CY64" s="102"/>
      <c r="CZ64" s="102"/>
      <c r="DA64" s="103" t="b">
        <f>IF(CX98=34,37)</f>
        <v>0</v>
      </c>
      <c r="DB64" s="92"/>
      <c r="DC64" s="17"/>
      <c r="DD64" s="78"/>
    </row>
    <row r="65" spans="7:108" ht="24" hidden="1" thickBot="1" x14ac:dyDescent="0.3">
      <c r="G65" s="998"/>
      <c r="H65"/>
      <c r="I65"/>
      <c r="J65"/>
      <c r="K65"/>
      <c r="L65"/>
      <c r="M65"/>
      <c r="N65"/>
      <c r="O65" s="995"/>
      <c r="BN65" s="86"/>
      <c r="BO65" s="18"/>
      <c r="BP65" s="96">
        <v>33</v>
      </c>
      <c r="BQ65" s="97"/>
      <c r="BR65" s="97"/>
      <c r="BS65" s="97"/>
      <c r="BT65" s="97"/>
      <c r="BU65" s="97"/>
      <c r="BV65" s="97"/>
      <c r="BW65" s="97"/>
      <c r="BX65" s="97"/>
      <c r="BY65" s="94"/>
      <c r="BZ65" s="94"/>
      <c r="CA65" s="89"/>
      <c r="CB65" s="89"/>
      <c r="CC65" s="89"/>
      <c r="CD65" s="89"/>
      <c r="CE65" s="89"/>
      <c r="CF65" s="89"/>
      <c r="CG65" s="89"/>
      <c r="CH65" s="104"/>
      <c r="CI65" s="89"/>
      <c r="CJ65" s="105"/>
      <c r="CK65" s="89"/>
      <c r="CL65" s="89"/>
      <c r="CM65" s="89"/>
      <c r="CN65" s="37"/>
      <c r="CO65" s="95"/>
      <c r="CP65" s="95"/>
      <c r="CQ65" s="95"/>
      <c r="CR65" s="95"/>
      <c r="CS65" s="101" t="b">
        <f>IF(CW98=33,29)</f>
        <v>0</v>
      </c>
      <c r="CT65" s="102"/>
      <c r="CU65" s="102"/>
      <c r="CV65" s="102"/>
      <c r="CW65" s="102"/>
      <c r="CX65" s="102"/>
      <c r="CY65" s="102"/>
      <c r="CZ65" s="102"/>
      <c r="DA65" s="103" t="b">
        <f>IF(CW98=33,37)</f>
        <v>0</v>
      </c>
      <c r="DB65" s="92"/>
      <c r="DC65" s="17"/>
      <c r="DD65" s="78"/>
    </row>
    <row r="66" spans="7:108" ht="21" hidden="1" thickBot="1" x14ac:dyDescent="0.25">
      <c r="G66" s="998"/>
      <c r="H66"/>
      <c r="I66"/>
      <c r="J66"/>
      <c r="K66"/>
      <c r="L66"/>
      <c r="M66"/>
      <c r="N66"/>
      <c r="O66" s="995"/>
      <c r="BN66" s="86"/>
      <c r="BP66" s="96">
        <v>32</v>
      </c>
      <c r="BQ66" s="107"/>
      <c r="BR66" s="107"/>
      <c r="BS66" s="107"/>
      <c r="BT66" s="107"/>
      <c r="BU66" s="107"/>
      <c r="BV66" s="108"/>
      <c r="BW66" s="107"/>
      <c r="BX66" s="107"/>
      <c r="BY66" s="107"/>
      <c r="BZ66" s="107"/>
      <c r="CA66" s="107"/>
      <c r="CB66" s="107"/>
      <c r="CC66" s="107"/>
      <c r="CD66" s="107"/>
      <c r="CE66" s="107"/>
      <c r="CF66" s="107"/>
      <c r="CG66" s="107"/>
      <c r="CH66" s="109"/>
      <c r="CI66" s="107"/>
      <c r="CJ66" s="110"/>
      <c r="CK66" s="107"/>
      <c r="CL66" s="107"/>
      <c r="CM66" s="107"/>
      <c r="CN66" s="108"/>
      <c r="CO66" s="78"/>
      <c r="CP66" s="78"/>
      <c r="CQ66" s="101" t="b">
        <f>IF(CV98=32,27)</f>
        <v>0</v>
      </c>
      <c r="CR66" s="111"/>
      <c r="CS66" s="111"/>
      <c r="CT66" s="111"/>
      <c r="CU66" s="111"/>
      <c r="CV66" s="111"/>
      <c r="CW66" s="111"/>
      <c r="CX66" s="111"/>
      <c r="CY66" s="111"/>
      <c r="CZ66" s="111"/>
      <c r="DA66" s="103" t="b">
        <f>IF(CV98=32,37)</f>
        <v>0</v>
      </c>
      <c r="DB66" s="78"/>
      <c r="DC66" s="78"/>
      <c r="DD66" s="78"/>
    </row>
    <row r="67" spans="7:108" ht="21" hidden="1" thickBot="1" x14ac:dyDescent="0.25">
      <c r="G67" s="998"/>
      <c r="H67"/>
      <c r="I67"/>
      <c r="J67"/>
      <c r="K67"/>
      <c r="L67"/>
      <c r="M67"/>
      <c r="N67"/>
      <c r="O67" s="995"/>
      <c r="BN67" s="86"/>
      <c r="BP67" s="96">
        <v>31</v>
      </c>
      <c r="BQ67" s="107"/>
      <c r="BR67" s="107"/>
      <c r="BS67" s="107"/>
      <c r="BT67" s="107"/>
      <c r="BU67" s="107"/>
      <c r="BV67" s="108"/>
      <c r="BW67" s="107"/>
      <c r="BX67" s="107"/>
      <c r="BY67" s="107"/>
      <c r="BZ67" s="107"/>
      <c r="CA67" s="107"/>
      <c r="CB67" s="107"/>
      <c r="CC67" s="107"/>
      <c r="CD67" s="107"/>
      <c r="CE67" s="107"/>
      <c r="CF67" s="107"/>
      <c r="CG67" s="107"/>
      <c r="CH67" s="109"/>
      <c r="CI67" s="107"/>
      <c r="CJ67" s="110"/>
      <c r="CK67" s="107"/>
      <c r="CL67" s="107"/>
      <c r="CM67" s="107"/>
      <c r="CN67" s="108"/>
      <c r="CO67" s="101" t="b">
        <f>IF(CU98=31,25)</f>
        <v>0</v>
      </c>
      <c r="CP67" s="111"/>
      <c r="CQ67" s="111"/>
      <c r="CR67" s="111"/>
      <c r="CS67" s="111"/>
      <c r="CT67" s="111"/>
      <c r="CU67" s="111"/>
      <c r="CV67" s="111"/>
      <c r="CW67" s="111"/>
      <c r="CX67" s="111"/>
      <c r="CY67" s="111"/>
      <c r="CZ67" s="111"/>
      <c r="DA67" s="103" t="b">
        <f>IF(CU98=31,37)</f>
        <v>0</v>
      </c>
      <c r="DB67" s="78"/>
      <c r="DC67" s="78"/>
      <c r="DD67" s="78"/>
    </row>
    <row r="68" spans="7:108" ht="21" hidden="1" thickBot="1" x14ac:dyDescent="0.25">
      <c r="G68" s="998"/>
      <c r="H68"/>
      <c r="I68"/>
      <c r="J68"/>
      <c r="K68"/>
      <c r="L68"/>
      <c r="M68"/>
      <c r="N68"/>
      <c r="O68" s="995"/>
      <c r="BN68" s="86"/>
      <c r="BP68" s="96">
        <v>30</v>
      </c>
      <c r="BQ68" s="107"/>
      <c r="BR68" s="107"/>
      <c r="BS68" s="107"/>
      <c r="BT68" s="107"/>
      <c r="BU68" s="107"/>
      <c r="BV68" s="108"/>
      <c r="BW68" s="107"/>
      <c r="BX68" s="107"/>
      <c r="BY68" s="107"/>
      <c r="BZ68" s="107"/>
      <c r="CA68" s="107"/>
      <c r="CB68" s="107"/>
      <c r="CC68" s="107"/>
      <c r="CD68" s="107"/>
      <c r="CE68" s="107"/>
      <c r="CF68" s="107"/>
      <c r="CG68" s="107"/>
      <c r="CH68" s="109"/>
      <c r="CI68" s="107"/>
      <c r="CJ68" s="110"/>
      <c r="CK68" s="107"/>
      <c r="CL68" s="107"/>
      <c r="CM68" s="101" t="b">
        <f>IF(CT98=30,23)</f>
        <v>0</v>
      </c>
      <c r="CN68" s="112"/>
      <c r="CO68" s="111"/>
      <c r="CP68" s="111"/>
      <c r="CQ68" s="111"/>
      <c r="CR68" s="111"/>
      <c r="CS68" s="111"/>
      <c r="CT68" s="111"/>
      <c r="CU68" s="111"/>
      <c r="CV68" s="111"/>
      <c r="CW68" s="111"/>
      <c r="CX68" s="111"/>
      <c r="CY68" s="111"/>
      <c r="CZ68" s="111"/>
      <c r="DA68" s="103" t="b">
        <f>IF(CT98=30,37)</f>
        <v>0</v>
      </c>
      <c r="DB68" s="78"/>
      <c r="DC68" s="78"/>
      <c r="DD68" s="78"/>
    </row>
    <row r="69" spans="7:108" ht="21" hidden="1" thickBot="1" x14ac:dyDescent="0.25">
      <c r="G69" s="998"/>
      <c r="H69"/>
      <c r="I69"/>
      <c r="J69"/>
      <c r="K69"/>
      <c r="L69"/>
      <c r="M69"/>
      <c r="N69"/>
      <c r="O69" s="995"/>
      <c r="BN69" s="86"/>
      <c r="BO69" s="114"/>
      <c r="BP69" s="96">
        <v>29</v>
      </c>
      <c r="BQ69" s="78"/>
      <c r="BR69" s="78"/>
      <c r="BS69" s="78"/>
      <c r="BT69" s="78"/>
      <c r="BU69" s="78"/>
      <c r="BV69" s="78"/>
      <c r="BW69" s="78"/>
      <c r="BX69" s="78"/>
      <c r="BY69" s="78"/>
      <c r="BZ69" s="78"/>
      <c r="CA69" s="78"/>
      <c r="CB69" s="78"/>
      <c r="CC69" s="78"/>
      <c r="CD69" s="78"/>
      <c r="CE69" s="78"/>
      <c r="CF69" s="78"/>
      <c r="CG69" s="78"/>
      <c r="CH69" s="115"/>
      <c r="CI69" s="78"/>
      <c r="CJ69" s="116"/>
      <c r="CK69" s="117" t="b">
        <f>IF(CS98=29,21)</f>
        <v>0</v>
      </c>
      <c r="CL69" s="111"/>
      <c r="CM69" s="111"/>
      <c r="CN69" s="111"/>
      <c r="CO69" s="111"/>
      <c r="CP69" s="111"/>
      <c r="CQ69" s="111"/>
      <c r="CR69" s="118"/>
      <c r="CS69" s="111"/>
      <c r="CT69" s="118"/>
      <c r="CU69" s="119"/>
      <c r="CV69" s="119"/>
      <c r="CW69" s="119"/>
      <c r="CX69" s="119"/>
      <c r="CY69" s="119"/>
      <c r="CZ69" s="119"/>
      <c r="DA69" s="103" t="b">
        <f>IF(CS98=29,37)</f>
        <v>0</v>
      </c>
      <c r="DB69" s="76"/>
      <c r="DC69" s="78"/>
      <c r="DD69" s="78"/>
    </row>
    <row r="70" spans="7:108" ht="21" hidden="1" thickBot="1" x14ac:dyDescent="0.25">
      <c r="G70" s="998"/>
      <c r="H70"/>
      <c r="I70"/>
      <c r="J70"/>
      <c r="K70"/>
      <c r="L70"/>
      <c r="M70"/>
      <c r="N70"/>
      <c r="O70" s="995"/>
      <c r="BN70" s="86"/>
      <c r="BO70" s="114"/>
      <c r="BP70" s="96">
        <v>28</v>
      </c>
      <c r="BQ70" s="78"/>
      <c r="BR70" s="78"/>
      <c r="BS70" s="78"/>
      <c r="BT70" s="78"/>
      <c r="BU70" s="78"/>
      <c r="BV70" s="78"/>
      <c r="BW70" s="78"/>
      <c r="BX70" s="78"/>
      <c r="BY70" s="78"/>
      <c r="BZ70" s="78"/>
      <c r="CA70" s="78"/>
      <c r="CB70" s="78"/>
      <c r="CC70" s="78"/>
      <c r="CD70" s="78"/>
      <c r="CE70" s="78"/>
      <c r="CF70" s="78"/>
      <c r="CG70" s="78"/>
      <c r="CH70" s="115"/>
      <c r="CI70" s="78"/>
      <c r="CJ70" s="116"/>
      <c r="CK70" s="120" t="b">
        <f>IF(CR98=28,21)</f>
        <v>0</v>
      </c>
      <c r="CL70" s="121"/>
      <c r="CM70" s="121"/>
      <c r="CN70" s="121"/>
      <c r="CO70" s="121"/>
      <c r="CP70" s="122"/>
      <c r="CQ70" s="121"/>
      <c r="CR70" s="121"/>
      <c r="CS70" s="121"/>
      <c r="CT70" s="122"/>
      <c r="CU70" s="123"/>
      <c r="CV70" s="123"/>
      <c r="CW70" s="123"/>
      <c r="CX70" s="123"/>
      <c r="CY70" s="124" t="b">
        <f>IF(CR98=28,35)</f>
        <v>0</v>
      </c>
      <c r="CZ70" s="76"/>
      <c r="DA70" s="76"/>
      <c r="DB70" s="76"/>
      <c r="DC70" s="78"/>
      <c r="DD70" s="78"/>
    </row>
    <row r="71" spans="7:108" ht="21" hidden="1" thickBot="1" x14ac:dyDescent="0.25">
      <c r="G71" s="998"/>
      <c r="H71"/>
      <c r="I71"/>
      <c r="J71"/>
      <c r="K71"/>
      <c r="L71"/>
      <c r="M71"/>
      <c r="N71"/>
      <c r="O71" s="995"/>
      <c r="BN71" s="86"/>
      <c r="BO71" s="114"/>
      <c r="BP71" s="96">
        <v>27</v>
      </c>
      <c r="BQ71" s="78"/>
      <c r="BR71" s="78"/>
      <c r="BS71" s="78"/>
      <c r="BT71" s="78"/>
      <c r="BU71" s="78"/>
      <c r="BV71" s="78"/>
      <c r="BW71" s="78"/>
      <c r="BX71" s="78"/>
      <c r="BY71" s="78"/>
      <c r="BZ71" s="78"/>
      <c r="CA71" s="78"/>
      <c r="CB71" s="78"/>
      <c r="CC71" s="78"/>
      <c r="CD71" s="78"/>
      <c r="CE71" s="78"/>
      <c r="CF71" s="78"/>
      <c r="CG71" s="78"/>
      <c r="CH71" s="115"/>
      <c r="CI71" s="78"/>
      <c r="CJ71" s="116"/>
      <c r="CK71" s="120" t="b">
        <f>IF(CQ98=27,21)</f>
        <v>0</v>
      </c>
      <c r="CL71" s="121"/>
      <c r="CM71" s="121"/>
      <c r="CN71" s="122"/>
      <c r="CO71" s="121"/>
      <c r="CP71" s="121"/>
      <c r="CQ71" s="121"/>
      <c r="CR71" s="121"/>
      <c r="CS71" s="121"/>
      <c r="CT71" s="122"/>
      <c r="CU71" s="123"/>
      <c r="CV71" s="123"/>
      <c r="CW71" s="124" t="b">
        <f>IF(CQ98=27,33)</f>
        <v>0</v>
      </c>
      <c r="CX71" s="76"/>
      <c r="CY71" s="76"/>
      <c r="CZ71" s="76"/>
      <c r="DA71" s="76"/>
      <c r="DB71" s="76"/>
      <c r="DC71" s="78"/>
      <c r="DD71" s="78"/>
    </row>
    <row r="72" spans="7:108" ht="21" hidden="1" thickBot="1" x14ac:dyDescent="0.25">
      <c r="G72" s="998"/>
      <c r="H72"/>
      <c r="I72"/>
      <c r="J72"/>
      <c r="K72"/>
      <c r="L72"/>
      <c r="M72"/>
      <c r="N72"/>
      <c r="O72" s="995"/>
      <c r="BN72" s="86"/>
      <c r="BP72" s="96">
        <v>26</v>
      </c>
      <c r="BQ72" s="78"/>
      <c r="BR72" s="78"/>
      <c r="BS72" s="78"/>
      <c r="BT72" s="78"/>
      <c r="BU72" s="78"/>
      <c r="BV72" s="78"/>
      <c r="BW72" s="78"/>
      <c r="BX72" s="78"/>
      <c r="BY72" s="78"/>
      <c r="BZ72" s="78"/>
      <c r="CA72" s="78"/>
      <c r="CB72" s="78"/>
      <c r="CC72" s="78"/>
      <c r="CD72" s="78"/>
      <c r="CE72" s="78"/>
      <c r="CF72" s="78"/>
      <c r="CG72" s="78"/>
      <c r="CH72" s="115"/>
      <c r="CI72" s="78"/>
      <c r="CJ72" s="116"/>
      <c r="CK72" s="120" t="b">
        <f>IF(CP98=26,21)</f>
        <v>0</v>
      </c>
      <c r="CL72" s="122"/>
      <c r="CM72" s="121"/>
      <c r="CN72" s="121"/>
      <c r="CO72" s="121"/>
      <c r="CP72" s="121"/>
      <c r="CQ72" s="121"/>
      <c r="CR72" s="121"/>
      <c r="CS72" s="121"/>
      <c r="CT72" s="122"/>
      <c r="CU72" s="124" t="b">
        <f>IF(CP98=26,31)</f>
        <v>0</v>
      </c>
      <c r="CV72" s="76"/>
      <c r="CW72" s="76"/>
      <c r="CX72" s="76"/>
      <c r="CY72" s="76"/>
      <c r="CZ72" s="76"/>
      <c r="DA72" s="76"/>
      <c r="DB72" s="76"/>
      <c r="DC72" s="78"/>
      <c r="DD72" s="78"/>
    </row>
    <row r="73" spans="7:108" ht="21" hidden="1" thickBot="1" x14ac:dyDescent="0.25">
      <c r="G73" s="998"/>
      <c r="H73"/>
      <c r="I73"/>
      <c r="J73"/>
      <c r="K73"/>
      <c r="L73"/>
      <c r="M73"/>
      <c r="N73"/>
      <c r="O73" s="995"/>
      <c r="BN73" s="86"/>
      <c r="BO73" s="126"/>
      <c r="BP73" s="96">
        <v>25</v>
      </c>
      <c r="BQ73" s="78"/>
      <c r="BR73" s="78"/>
      <c r="BS73" s="78"/>
      <c r="BT73" s="78"/>
      <c r="BU73" s="78"/>
      <c r="BV73" s="78"/>
      <c r="BW73" s="78"/>
      <c r="BX73" s="78"/>
      <c r="BY73" s="78"/>
      <c r="BZ73" s="78"/>
      <c r="CA73" s="78"/>
      <c r="CC73" s="78"/>
      <c r="CD73" s="78"/>
      <c r="CE73" s="78"/>
      <c r="CF73" s="78"/>
      <c r="CG73" s="78"/>
      <c r="CH73" s="115"/>
      <c r="CI73" s="78"/>
      <c r="CK73" s="128" t="b">
        <f>IF(CO98=25,21)</f>
        <v>0</v>
      </c>
      <c r="CL73" s="121"/>
      <c r="CM73" s="121"/>
      <c r="CN73" s="121"/>
      <c r="CO73" s="121"/>
      <c r="CP73" s="121"/>
      <c r="CQ73" s="121"/>
      <c r="CR73" s="121"/>
      <c r="CS73" s="124" t="b">
        <f>IF(CO98=25,29)</f>
        <v>0</v>
      </c>
      <c r="CU73" s="76"/>
      <c r="CV73" s="76"/>
      <c r="CW73" s="76"/>
      <c r="CX73" s="76"/>
      <c r="CY73" s="76"/>
      <c r="CZ73" s="76"/>
      <c r="DA73" s="76"/>
      <c r="DB73" s="76"/>
      <c r="DC73" s="78"/>
      <c r="DD73" s="78"/>
    </row>
    <row r="74" spans="7:108" ht="21" hidden="1" thickBot="1" x14ac:dyDescent="0.25">
      <c r="G74" s="998"/>
      <c r="H74"/>
      <c r="I74"/>
      <c r="J74"/>
      <c r="K74"/>
      <c r="L74"/>
      <c r="M74"/>
      <c r="N74"/>
      <c r="O74" s="995"/>
      <c r="BN74" s="86"/>
      <c r="BO74" s="126"/>
      <c r="BP74" s="96">
        <v>24</v>
      </c>
      <c r="BQ74" s="78"/>
      <c r="BR74" s="78"/>
      <c r="BS74" s="78"/>
      <c r="BT74" s="78"/>
      <c r="BU74" s="78"/>
      <c r="BV74" s="78"/>
      <c r="BW74" s="78"/>
      <c r="BX74" s="78"/>
      <c r="BY74" s="78"/>
      <c r="BZ74" s="78"/>
      <c r="CA74" s="78"/>
      <c r="CB74" s="117" t="b">
        <f>IF(CN98=24,12)</f>
        <v>0</v>
      </c>
      <c r="CC74" s="111"/>
      <c r="CD74" s="111"/>
      <c r="CE74" s="111"/>
      <c r="CF74" s="111"/>
      <c r="CG74" s="111"/>
      <c r="CH74" s="118"/>
      <c r="CI74" s="111"/>
      <c r="CJ74" s="129"/>
      <c r="CK74" s="111"/>
      <c r="CL74" s="111"/>
      <c r="CM74" s="111"/>
      <c r="CN74" s="111"/>
      <c r="CO74" s="111"/>
      <c r="CP74" s="111"/>
      <c r="CQ74" s="111"/>
      <c r="CR74" s="111"/>
      <c r="CS74" s="111"/>
      <c r="CT74" s="118"/>
      <c r="CU74" s="119"/>
      <c r="CV74" s="119"/>
      <c r="CW74" s="119"/>
      <c r="CX74" s="119"/>
      <c r="CY74" s="119"/>
      <c r="CZ74" s="103" t="b">
        <f>IF(CN98=24,36)</f>
        <v>0</v>
      </c>
      <c r="DA74" s="76"/>
      <c r="DB74" s="76"/>
      <c r="DC74" s="78"/>
      <c r="DD74" s="78"/>
    </row>
    <row r="75" spans="7:108" ht="21" hidden="1" thickBot="1" x14ac:dyDescent="0.25">
      <c r="G75" s="998"/>
      <c r="H75"/>
      <c r="I75"/>
      <c r="J75"/>
      <c r="K75"/>
      <c r="L75"/>
      <c r="M75"/>
      <c r="N75"/>
      <c r="O75" s="995"/>
      <c r="BN75" s="86"/>
      <c r="BO75" s="126"/>
      <c r="BP75" s="96">
        <v>23</v>
      </c>
      <c r="BQ75" s="78"/>
      <c r="BR75" s="78"/>
      <c r="BS75" s="78"/>
      <c r="BT75" s="78"/>
      <c r="BU75" s="78"/>
      <c r="BV75" s="78"/>
      <c r="BW75" s="78"/>
      <c r="BX75" s="78"/>
      <c r="BY75" s="78"/>
      <c r="BZ75" s="78"/>
      <c r="CA75" s="78"/>
      <c r="CB75" s="120" t="b">
        <f>IF(CM98=23,12)</f>
        <v>0</v>
      </c>
      <c r="CC75" s="121"/>
      <c r="CD75" s="121"/>
      <c r="CE75" s="121"/>
      <c r="CF75" s="122"/>
      <c r="CG75" s="121"/>
      <c r="CH75" s="132"/>
      <c r="CI75" s="121"/>
      <c r="CJ75" s="133"/>
      <c r="CK75" s="121"/>
      <c r="CL75" s="121"/>
      <c r="CM75" s="121"/>
      <c r="CN75" s="121"/>
      <c r="CO75" s="121"/>
      <c r="CP75" s="121"/>
      <c r="CQ75" s="121"/>
      <c r="CR75" s="121"/>
      <c r="CS75" s="121"/>
      <c r="CT75" s="122"/>
      <c r="CU75" s="123"/>
      <c r="CV75" s="123"/>
      <c r="CW75" s="123"/>
      <c r="CX75" s="124" t="b">
        <f>IF(CM98=23,34)</f>
        <v>0</v>
      </c>
      <c r="CY75" s="76"/>
      <c r="CZ75" s="76"/>
      <c r="DA75" s="76"/>
      <c r="DB75" s="76"/>
      <c r="DC75" s="78"/>
      <c r="DD75" s="78"/>
    </row>
    <row r="76" spans="7:108" ht="21" hidden="1" thickBot="1" x14ac:dyDescent="0.25">
      <c r="G76" s="998"/>
      <c r="H76"/>
      <c r="I76"/>
      <c r="J76"/>
      <c r="K76"/>
      <c r="L76"/>
      <c r="M76"/>
      <c r="N76"/>
      <c r="O76" s="995"/>
      <c r="BN76" s="86"/>
      <c r="BO76" s="126"/>
      <c r="BP76" s="96">
        <v>22</v>
      </c>
      <c r="BQ76" s="76"/>
      <c r="BR76" s="76"/>
      <c r="BS76" s="76"/>
      <c r="BT76" s="76"/>
      <c r="BU76" s="76"/>
      <c r="BV76" s="76"/>
      <c r="BW76" s="76"/>
      <c r="BX76" s="76"/>
      <c r="BY76" s="76"/>
      <c r="BZ76" s="76"/>
      <c r="CA76" s="76"/>
      <c r="CB76" s="120" t="b">
        <f>IF(CL98=22,12)</f>
        <v>0</v>
      </c>
      <c r="CC76" s="123"/>
      <c r="CD76" s="123"/>
      <c r="CE76" s="123"/>
      <c r="CF76" s="122"/>
      <c r="CG76" s="123"/>
      <c r="CH76" s="134"/>
      <c r="CI76" s="123"/>
      <c r="CJ76" s="135"/>
      <c r="CK76" s="123"/>
      <c r="CL76" s="123"/>
      <c r="CM76" s="123"/>
      <c r="CN76" s="123"/>
      <c r="CO76" s="121"/>
      <c r="CP76" s="121"/>
      <c r="CQ76" s="122"/>
      <c r="CR76" s="121"/>
      <c r="CS76" s="121"/>
      <c r="CT76" s="121"/>
      <c r="CU76" s="121"/>
      <c r="CV76" s="124" t="b">
        <f>IF(CL98=22,32)</f>
        <v>0</v>
      </c>
      <c r="CW76" s="78"/>
      <c r="CX76" s="78"/>
      <c r="CY76" s="78"/>
      <c r="CZ76" s="78"/>
      <c r="DA76" s="78"/>
      <c r="DB76" s="78"/>
      <c r="DC76" s="78"/>
      <c r="DD76" s="78"/>
    </row>
    <row r="77" spans="7:108" ht="21" hidden="1" thickBot="1" x14ac:dyDescent="0.25">
      <c r="G77" s="998"/>
      <c r="H77"/>
      <c r="I77"/>
      <c r="J77"/>
      <c r="K77"/>
      <c r="L77"/>
      <c r="M77"/>
      <c r="N77"/>
      <c r="O77" s="995"/>
      <c r="BN77" s="86"/>
      <c r="BO77" s="126"/>
      <c r="BP77" s="96">
        <v>21</v>
      </c>
      <c r="BQ77" s="78"/>
      <c r="BR77" s="78"/>
      <c r="BS77" s="78"/>
      <c r="BT77" s="78"/>
      <c r="BU77" s="78"/>
      <c r="BV77" s="78"/>
      <c r="BW77" s="78"/>
      <c r="BX77" s="78"/>
      <c r="BY77" s="78"/>
      <c r="BZ77" s="78"/>
      <c r="CA77" s="78"/>
      <c r="CB77" s="120" t="b">
        <f>IF(CK98=21,12)</f>
        <v>0</v>
      </c>
      <c r="CC77" s="121"/>
      <c r="CD77" s="121"/>
      <c r="CE77" s="121"/>
      <c r="CF77" s="121"/>
      <c r="CG77" s="121"/>
      <c r="CH77" s="132"/>
      <c r="CI77" s="121"/>
      <c r="CJ77" s="133"/>
      <c r="CK77" s="121"/>
      <c r="CL77" s="121"/>
      <c r="CM77" s="121"/>
      <c r="CN77" s="121"/>
      <c r="CO77" s="121"/>
      <c r="CP77" s="121"/>
      <c r="CQ77" s="121"/>
      <c r="CR77" s="121"/>
      <c r="CS77" s="121"/>
      <c r="CT77" s="124" t="b">
        <f>IF(CK98=21,30)</f>
        <v>0</v>
      </c>
      <c r="CU77" s="76"/>
      <c r="CV77" s="76"/>
      <c r="CW77" s="76"/>
      <c r="CX77" s="76"/>
      <c r="CY77" s="76"/>
      <c r="CZ77" s="76"/>
      <c r="DA77" s="76"/>
      <c r="DB77" s="76"/>
      <c r="DC77" s="78"/>
      <c r="DD77" s="78"/>
    </row>
    <row r="78" spans="7:108" ht="21" hidden="1" thickBot="1" x14ac:dyDescent="0.25">
      <c r="G78" s="998"/>
      <c r="H78"/>
      <c r="I78"/>
      <c r="J78"/>
      <c r="K78"/>
      <c r="L78"/>
      <c r="M78"/>
      <c r="N78"/>
      <c r="O78" s="995"/>
      <c r="BN78" s="86"/>
      <c r="BO78" s="1091"/>
      <c r="BP78" s="96">
        <v>20</v>
      </c>
      <c r="BQ78" s="78"/>
      <c r="BR78" s="78"/>
      <c r="BS78" s="78"/>
      <c r="BT78" s="78"/>
      <c r="BU78" s="78"/>
      <c r="BV78" s="78"/>
      <c r="BW78" s="78"/>
      <c r="BX78" s="78"/>
      <c r="CA78" s="137"/>
      <c r="CB78" s="117" t="b">
        <f>IF(CJ98=20,12)</f>
        <v>0</v>
      </c>
      <c r="CC78" s="111"/>
      <c r="CD78" s="111"/>
      <c r="CE78" s="111"/>
      <c r="CF78" s="111"/>
      <c r="CG78" s="111"/>
      <c r="CH78" s="138"/>
      <c r="CI78" s="111"/>
      <c r="CJ78" s="129"/>
      <c r="CK78" s="111"/>
      <c r="CL78" s="111"/>
      <c r="CM78" s="111"/>
      <c r="CN78" s="111"/>
      <c r="CO78" s="111"/>
      <c r="CP78" s="111"/>
      <c r="CQ78" s="111"/>
      <c r="CR78" s="103" t="b">
        <f>IF(CJ98=20,28)</f>
        <v>0</v>
      </c>
      <c r="CS78" s="137"/>
      <c r="CU78" s="76"/>
      <c r="CV78" s="76"/>
      <c r="CW78" s="76"/>
      <c r="CX78" s="76"/>
      <c r="CY78" s="76"/>
      <c r="CZ78" s="76"/>
      <c r="DA78" s="76"/>
      <c r="DB78" s="76"/>
      <c r="DC78" s="78"/>
      <c r="DD78" s="78"/>
    </row>
    <row r="79" spans="7:108" ht="21" hidden="1" thickBot="1" x14ac:dyDescent="0.25">
      <c r="G79" s="1008"/>
      <c r="H79"/>
      <c r="I79"/>
      <c r="J79"/>
      <c r="K79"/>
      <c r="L79"/>
      <c r="M79"/>
      <c r="N79"/>
      <c r="O79" s="995"/>
      <c r="BN79" s="86"/>
      <c r="BO79" s="1091"/>
      <c r="BP79" s="96">
        <v>19</v>
      </c>
      <c r="BQ79" s="78"/>
      <c r="BR79" s="78"/>
      <c r="BS79" s="78"/>
      <c r="BT79" s="78"/>
      <c r="BU79" s="78"/>
      <c r="BV79" s="78"/>
      <c r="BW79" s="78"/>
      <c r="BX79" s="78"/>
      <c r="BZ79" s="139"/>
      <c r="CA79" s="139"/>
      <c r="CB79" s="117" t="b">
        <f>IF(CI98=19,12)</f>
        <v>0</v>
      </c>
      <c r="CC79" s="119"/>
      <c r="CD79" s="119"/>
      <c r="CE79" s="118"/>
      <c r="CF79" s="119"/>
      <c r="CG79" s="119"/>
      <c r="CH79" s="140"/>
      <c r="CI79" s="119"/>
      <c r="CJ79" s="141"/>
      <c r="CK79" s="118"/>
      <c r="CL79" s="119"/>
      <c r="CM79" s="119"/>
      <c r="CN79" s="119"/>
      <c r="CO79" s="111"/>
      <c r="CP79" s="103" t="b">
        <f>IF(CI98=19,26)</f>
        <v>0</v>
      </c>
      <c r="CQ79" s="142"/>
      <c r="CR79" s="137"/>
      <c r="CT79" s="78"/>
      <c r="CU79" s="78"/>
      <c r="CV79" s="78"/>
      <c r="CW79" s="78"/>
      <c r="CX79" s="78"/>
      <c r="CY79" s="78"/>
      <c r="CZ79" s="78"/>
      <c r="DA79" s="78"/>
      <c r="DB79" s="78"/>
      <c r="DC79" s="78"/>
      <c r="DD79" s="78"/>
    </row>
    <row r="80" spans="7:108" ht="21" hidden="1" thickBot="1" x14ac:dyDescent="0.25">
      <c r="G80" s="998"/>
      <c r="H80"/>
      <c r="I80"/>
      <c r="J80"/>
      <c r="K80"/>
      <c r="L80"/>
      <c r="M80"/>
      <c r="N80"/>
      <c r="O80" s="995"/>
      <c r="BN80" s="86"/>
      <c r="BO80" s="1091"/>
      <c r="BP80" s="96">
        <v>18</v>
      </c>
      <c r="BQ80" s="76"/>
      <c r="BR80" s="76"/>
      <c r="BS80" s="76"/>
      <c r="BT80" s="76"/>
      <c r="BU80" s="76"/>
      <c r="BV80" s="76"/>
      <c r="BW80" s="76"/>
      <c r="BX80" s="76"/>
      <c r="BZ80" s="117" t="b">
        <f>IF(CH98=18,10)</f>
        <v>0</v>
      </c>
      <c r="CA80" s="119"/>
      <c r="CB80" s="119"/>
      <c r="CC80" s="119"/>
      <c r="CD80" s="119"/>
      <c r="CE80" s="118"/>
      <c r="CF80" s="119"/>
      <c r="CG80" s="119"/>
      <c r="CH80" s="140"/>
      <c r="CI80" s="119"/>
      <c r="CJ80" s="141"/>
      <c r="CK80" s="118"/>
      <c r="CL80" s="119"/>
      <c r="CM80" s="119"/>
      <c r="CN80" s="119"/>
      <c r="CO80" s="111"/>
      <c r="CP80" s="103" t="b">
        <f>IF(CH98=18,26)</f>
        <v>0</v>
      </c>
      <c r="CR80" s="78"/>
      <c r="CS80" s="78"/>
      <c r="CT80" s="78"/>
      <c r="CU80" s="78"/>
      <c r="CV80" s="78"/>
      <c r="CW80" s="78"/>
      <c r="CX80" s="78"/>
      <c r="CY80" s="78"/>
      <c r="CZ80" s="78"/>
      <c r="DA80" s="78"/>
      <c r="DB80" s="78"/>
      <c r="DC80" s="78"/>
      <c r="DD80" s="78"/>
    </row>
    <row r="81" spans="7:143" ht="21" hidden="1" thickBot="1" x14ac:dyDescent="0.25">
      <c r="G81" s="998"/>
      <c r="H81"/>
      <c r="I81"/>
      <c r="J81"/>
      <c r="K81"/>
      <c r="L81"/>
      <c r="M81"/>
      <c r="N81"/>
      <c r="O81" s="995"/>
      <c r="BN81" s="86"/>
      <c r="BO81" s="1091"/>
      <c r="BP81" s="96">
        <v>17</v>
      </c>
      <c r="BQ81" s="76"/>
      <c r="BR81" s="76"/>
      <c r="BS81" s="76"/>
      <c r="BT81" s="76"/>
      <c r="BU81" s="76"/>
      <c r="BV81" s="76"/>
      <c r="BW81" s="76"/>
      <c r="BX81" s="117">
        <f>IF(CG98=17,8)</f>
        <v>8</v>
      </c>
      <c r="BY81" s="118"/>
      <c r="BZ81" s="118"/>
      <c r="CA81" s="119"/>
      <c r="CB81" s="119"/>
      <c r="CC81" s="119"/>
      <c r="CD81" s="119"/>
      <c r="CE81" s="119"/>
      <c r="CF81" s="119"/>
      <c r="CG81" s="119"/>
      <c r="CH81" s="140"/>
      <c r="CI81" s="119"/>
      <c r="CJ81" s="141"/>
      <c r="CK81" s="119"/>
      <c r="CL81" s="119"/>
      <c r="CM81" s="119"/>
      <c r="CN81" s="118"/>
      <c r="CO81" s="118"/>
      <c r="CP81" s="103">
        <f>IF(CG98=17,26)</f>
        <v>26</v>
      </c>
      <c r="CQ81" s="78"/>
      <c r="CR81" s="78"/>
      <c r="CS81" s="78"/>
      <c r="CT81" s="78"/>
      <c r="CU81" s="78"/>
      <c r="CV81" s="78"/>
      <c r="CW81" s="78"/>
      <c r="CX81" s="78"/>
      <c r="CY81" s="78"/>
      <c r="CZ81" s="78"/>
      <c r="DA81" s="78"/>
      <c r="DB81" s="78"/>
      <c r="DC81" s="78"/>
      <c r="DD81" s="78"/>
      <c r="DF81" s="1814"/>
      <c r="DG81" s="1814"/>
      <c r="DH81" s="76"/>
      <c r="DI81" s="76"/>
      <c r="DJ81" s="77"/>
      <c r="DK81" s="78"/>
      <c r="DL81" s="78"/>
      <c r="DM81" s="78"/>
      <c r="DN81" s="78"/>
      <c r="DO81" s="78"/>
      <c r="DP81" s="78"/>
      <c r="DQ81" s="78"/>
      <c r="DR81" s="78"/>
      <c r="DS81" s="78"/>
      <c r="DT81" s="78"/>
      <c r="DU81" s="78"/>
      <c r="DV81" s="78"/>
      <c r="DW81" s="78"/>
      <c r="DX81" s="78"/>
      <c r="DY81" s="78"/>
      <c r="DZ81" s="78"/>
      <c r="EA81" s="78"/>
      <c r="EB81" s="78"/>
      <c r="EC81" s="78"/>
      <c r="ED81" s="78"/>
      <c r="EE81" s="78"/>
      <c r="EF81" s="78"/>
      <c r="EG81" s="78"/>
      <c r="EH81" s="78"/>
      <c r="EI81" s="78"/>
      <c r="EJ81" s="78"/>
      <c r="EK81" s="78"/>
      <c r="EL81" s="74"/>
      <c r="EM81" s="74"/>
    </row>
    <row r="82" spans="7:143" ht="21" hidden="1" thickBot="1" x14ac:dyDescent="0.25">
      <c r="G82" s="998"/>
      <c r="H82"/>
      <c r="I82"/>
      <c r="J82"/>
      <c r="K82"/>
      <c r="L82"/>
      <c r="M82"/>
      <c r="N82"/>
      <c r="O82" s="995"/>
      <c r="BN82" s="86"/>
      <c r="BO82" s="1091"/>
      <c r="BP82" s="96">
        <v>16</v>
      </c>
      <c r="BQ82" s="76"/>
      <c r="BR82" s="76"/>
      <c r="BS82" s="76"/>
      <c r="BT82" s="76"/>
      <c r="BU82" s="76"/>
      <c r="BV82" s="145" t="b">
        <f>IF(CF98=16,6)</f>
        <v>0</v>
      </c>
      <c r="BW82" s="146"/>
      <c r="BX82" s="147"/>
      <c r="BY82" s="147"/>
      <c r="BZ82" s="146"/>
      <c r="CA82" s="146"/>
      <c r="CB82" s="146"/>
      <c r="CC82" s="146"/>
      <c r="CD82" s="146"/>
      <c r="CE82" s="146"/>
      <c r="CF82" s="146"/>
      <c r="CG82" s="146"/>
      <c r="CH82" s="148"/>
      <c r="CI82" s="146"/>
      <c r="CJ82" s="149"/>
      <c r="CK82" s="146"/>
      <c r="CL82" s="146"/>
      <c r="CM82" s="147"/>
      <c r="CN82" s="147"/>
      <c r="CO82" s="150"/>
      <c r="CP82" s="151" t="b">
        <f>IF(CF98=16,26)</f>
        <v>0</v>
      </c>
      <c r="CQ82" s="78"/>
      <c r="CR82" s="78"/>
      <c r="CS82" s="78"/>
      <c r="CT82" s="78"/>
      <c r="CU82" s="78"/>
      <c r="CV82" s="78"/>
      <c r="CW82" s="78"/>
      <c r="CX82" s="78"/>
      <c r="CY82" s="78"/>
      <c r="CZ82" s="78"/>
      <c r="DA82" s="78"/>
      <c r="DB82" s="78"/>
      <c r="DC82" s="78"/>
      <c r="DD82" s="78"/>
      <c r="EJ82" s="78"/>
      <c r="EK82" s="78"/>
    </row>
    <row r="83" spans="7:143" ht="21" hidden="1" thickBot="1" x14ac:dyDescent="0.25">
      <c r="G83" s="998"/>
      <c r="H83"/>
      <c r="I83"/>
      <c r="J83"/>
      <c r="K83" s="988">
        <v>5</v>
      </c>
      <c r="L83"/>
      <c r="M83" s="988">
        <v>51</v>
      </c>
      <c r="N83"/>
      <c r="O83" s="995"/>
      <c r="BN83" s="86"/>
      <c r="BO83" s="1091"/>
      <c r="BP83" s="96">
        <v>15</v>
      </c>
      <c r="BQ83" s="76"/>
      <c r="BR83" s="76"/>
      <c r="BS83" s="76"/>
      <c r="BT83" s="117" t="b">
        <f>IF(CE98=15,4)</f>
        <v>0</v>
      </c>
      <c r="BU83" s="119"/>
      <c r="BV83" s="119"/>
      <c r="BW83" s="119"/>
      <c r="BX83" s="118"/>
      <c r="BY83" s="119"/>
      <c r="BZ83" s="119"/>
      <c r="CA83" s="118"/>
      <c r="CB83" s="119"/>
      <c r="CC83" s="119"/>
      <c r="CD83" s="119"/>
      <c r="CE83" s="119"/>
      <c r="CF83" s="119"/>
      <c r="CG83" s="119"/>
      <c r="CH83" s="140"/>
      <c r="CI83" s="118"/>
      <c r="CJ83" s="141"/>
      <c r="CK83" s="119"/>
      <c r="CL83" s="118"/>
      <c r="CM83" s="119"/>
      <c r="CN83" s="119"/>
      <c r="CO83" s="111"/>
      <c r="CP83" s="103" t="b">
        <f>IF(CE98=15,26)</f>
        <v>0</v>
      </c>
      <c r="CQ83" s="78"/>
      <c r="CR83" s="78"/>
      <c r="CS83" s="78"/>
      <c r="CT83" s="78"/>
      <c r="CU83" s="78"/>
      <c r="CV83" s="78"/>
      <c r="CW83" s="78"/>
      <c r="CX83" s="78"/>
      <c r="CY83" s="78"/>
      <c r="CZ83" s="78"/>
      <c r="DA83" s="78"/>
      <c r="DB83" s="78"/>
      <c r="DC83" s="78"/>
      <c r="DD83" s="78"/>
      <c r="EJ83" s="78"/>
      <c r="EK83" s="78"/>
    </row>
    <row r="84" spans="7:143" ht="64" hidden="1" thickBot="1" x14ac:dyDescent="0.25"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BN84" s="86"/>
      <c r="BO84" s="1091"/>
      <c r="BP84" s="96">
        <v>14</v>
      </c>
      <c r="BQ84" s="76"/>
      <c r="BR84" s="117" t="b">
        <f>IF(CD98=14,2)</f>
        <v>0</v>
      </c>
      <c r="BS84" s="119"/>
      <c r="BT84" s="119"/>
      <c r="BU84" s="119"/>
      <c r="BV84" s="118"/>
      <c r="BW84" s="119"/>
      <c r="BX84" s="119"/>
      <c r="BY84" s="118"/>
      <c r="BZ84" s="119"/>
      <c r="CA84" s="119"/>
      <c r="CB84" s="119"/>
      <c r="CC84" s="119"/>
      <c r="CD84" s="119"/>
      <c r="CE84" s="119"/>
      <c r="CF84" s="119"/>
      <c r="CG84" s="119"/>
      <c r="CH84" s="140"/>
      <c r="CI84" s="118"/>
      <c r="CJ84" s="141"/>
      <c r="CK84" s="119"/>
      <c r="CL84" s="118"/>
      <c r="CM84" s="119"/>
      <c r="CN84" s="119"/>
      <c r="CO84" s="111"/>
      <c r="CP84" s="103" t="b">
        <f>IF(CD98=14,26)</f>
        <v>0</v>
      </c>
      <c r="CQ84" s="78"/>
      <c r="CR84" s="78"/>
      <c r="CS84" s="78"/>
      <c r="CT84" s="78"/>
      <c r="CU84" s="78"/>
      <c r="CV84" s="78"/>
      <c r="CW84" s="78"/>
      <c r="CX84" s="78"/>
      <c r="CY84" s="78"/>
      <c r="CZ84" s="78"/>
      <c r="DA84" s="78"/>
      <c r="DB84" s="78"/>
      <c r="DC84" s="78"/>
      <c r="DD84" s="78"/>
      <c r="EJ84" s="78"/>
      <c r="EK84" s="78"/>
    </row>
    <row r="85" spans="7:143" ht="55.5" hidden="1" customHeight="1" thickBot="1" x14ac:dyDescent="0.3">
      <c r="G85" s="998"/>
      <c r="H85"/>
      <c r="I85"/>
      <c r="J85" s="1064" t="s">
        <v>260</v>
      </c>
      <c r="K85" s="1051">
        <f>+MIN(J19:K20)</f>
        <v>41.131105398457585</v>
      </c>
      <c r="L85" s="1051">
        <f>+$E$20/(BQ25)</f>
        <v>41.131105398457585</v>
      </c>
      <c r="M85" s="1051">
        <f>+MIN(K25:L26)</f>
        <v>41.131105398457585</v>
      </c>
      <c r="N85"/>
      <c r="O85" s="995"/>
      <c r="BN85" s="86"/>
      <c r="BO85" s="1091"/>
      <c r="BP85" s="96">
        <v>13</v>
      </c>
      <c r="BQ85" s="76"/>
      <c r="BR85" s="76"/>
      <c r="BS85" s="76"/>
      <c r="BU85" s="152"/>
      <c r="BV85" s="152"/>
      <c r="BW85" s="91"/>
      <c r="BX85" s="152"/>
      <c r="BY85" s="120" t="b">
        <f>IF(CC98=13,9)</f>
        <v>0</v>
      </c>
      <c r="BZ85" s="123"/>
      <c r="CA85" s="123"/>
      <c r="CB85" s="123"/>
      <c r="CC85" s="123"/>
      <c r="CD85" s="123"/>
      <c r="CE85" s="123"/>
      <c r="CF85" s="123"/>
      <c r="CG85" s="124" t="b">
        <f>IF(CC98=13,17)</f>
        <v>0</v>
      </c>
      <c r="CH85" s="153"/>
      <c r="CI85" s="91"/>
      <c r="CJ85" s="154"/>
      <c r="CK85" s="152"/>
      <c r="CM85" s="76"/>
      <c r="CN85" s="76"/>
      <c r="CO85" s="78"/>
      <c r="CP85" s="78"/>
      <c r="CQ85" s="78"/>
      <c r="CR85" s="78"/>
      <c r="CS85" s="78"/>
      <c r="CT85" s="78"/>
      <c r="CU85" s="78"/>
      <c r="CV85" s="78"/>
      <c r="CW85" s="78"/>
      <c r="CX85" s="78"/>
      <c r="CY85" s="78"/>
      <c r="CZ85" s="78"/>
      <c r="DA85" s="78"/>
      <c r="DB85" s="78"/>
      <c r="DC85" s="78"/>
      <c r="DD85" s="78"/>
      <c r="EJ85" s="78"/>
      <c r="EK85" s="78"/>
    </row>
    <row r="86" spans="7:143" ht="21" hidden="1" thickBot="1" x14ac:dyDescent="0.25"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BN86" s="86"/>
      <c r="BO86" s="1091"/>
      <c r="BP86" s="96">
        <v>12</v>
      </c>
      <c r="BQ86" s="76"/>
      <c r="BS86" s="139"/>
      <c r="BT86" s="139"/>
      <c r="BU86" s="142"/>
      <c r="BV86" s="139"/>
      <c r="BW86" s="117" t="b">
        <f>IF(CB98=12,7)</f>
        <v>0</v>
      </c>
      <c r="BX86" s="119"/>
      <c r="BY86" s="119"/>
      <c r="BZ86" s="119"/>
      <c r="CA86" s="119"/>
      <c r="CB86" s="119"/>
      <c r="CC86" s="119"/>
      <c r="CD86" s="119"/>
      <c r="CE86" s="119"/>
      <c r="CF86" s="119"/>
      <c r="CG86" s="103" t="b">
        <f>IF(CB98=12,17)</f>
        <v>0</v>
      </c>
      <c r="CH86" s="155"/>
      <c r="CI86" s="142"/>
      <c r="CJ86" s="156"/>
      <c r="CK86" s="139"/>
      <c r="CM86" s="76"/>
      <c r="CN86" s="76"/>
      <c r="CO86" s="78"/>
      <c r="CP86" s="78"/>
      <c r="CQ86" s="78"/>
      <c r="CR86" s="78"/>
      <c r="CS86" s="78"/>
      <c r="CT86" s="78"/>
      <c r="CU86" s="78"/>
      <c r="CV86" s="78"/>
      <c r="CW86" s="78"/>
      <c r="CX86" s="78"/>
      <c r="CY86" s="78"/>
      <c r="CZ86" s="78"/>
      <c r="DA86" s="78"/>
      <c r="DB86" s="78"/>
      <c r="DC86" s="78"/>
      <c r="DD86" s="78"/>
      <c r="DF86" s="107"/>
      <c r="DG86" s="107"/>
      <c r="DH86" s="107"/>
      <c r="DI86" s="107"/>
      <c r="DJ86" s="107"/>
      <c r="DK86" s="108"/>
      <c r="DL86" s="107"/>
      <c r="DM86" s="107"/>
      <c r="DN86" s="107"/>
      <c r="DO86" s="107"/>
      <c r="DP86" s="107"/>
      <c r="DQ86" s="107"/>
      <c r="DR86" s="107"/>
      <c r="DS86" s="107"/>
      <c r="DT86" s="107"/>
      <c r="DU86" s="107"/>
      <c r="DV86" s="107"/>
      <c r="DW86" s="107"/>
      <c r="DX86" s="107"/>
      <c r="DY86" s="107"/>
      <c r="DZ86" s="107"/>
      <c r="EA86" s="107"/>
      <c r="EB86" s="107"/>
      <c r="EC86" s="108"/>
      <c r="ED86" s="78"/>
      <c r="EE86" s="78"/>
      <c r="EF86" s="78"/>
      <c r="EG86" s="78"/>
      <c r="EH86" s="78"/>
      <c r="EI86" s="78"/>
      <c r="EJ86" s="78"/>
      <c r="EK86" s="78"/>
    </row>
    <row r="87" spans="7:143" ht="21" hidden="1" thickBot="1" x14ac:dyDescent="0.25">
      <c r="G87" s="998"/>
      <c r="H87"/>
      <c r="I87"/>
      <c r="J87"/>
      <c r="K87"/>
      <c r="L87"/>
      <c r="M87"/>
      <c r="N87"/>
      <c r="O87" s="995"/>
      <c r="BN87" s="86"/>
      <c r="BO87" s="1091"/>
      <c r="BP87" s="96">
        <v>11</v>
      </c>
      <c r="BR87" s="152"/>
      <c r="BS87" s="91"/>
      <c r="BT87" s="152"/>
      <c r="BU87" s="117" t="b">
        <f>IF(CA98=11,5)</f>
        <v>0</v>
      </c>
      <c r="BV87" s="119"/>
      <c r="BW87" s="119"/>
      <c r="BX87" s="119"/>
      <c r="BY87" s="119"/>
      <c r="BZ87" s="119"/>
      <c r="CA87" s="119"/>
      <c r="CB87" s="119"/>
      <c r="CC87" s="119"/>
      <c r="CD87" s="119"/>
      <c r="CE87" s="119"/>
      <c r="CF87" s="119"/>
      <c r="CG87" s="103" t="b">
        <f>IF(CA98=11,17)</f>
        <v>0</v>
      </c>
      <c r="CH87" s="153"/>
      <c r="CI87" s="91"/>
      <c r="CJ87" s="154"/>
      <c r="CL87" s="76"/>
      <c r="CM87" s="76"/>
      <c r="CN87" s="76"/>
      <c r="CO87" s="78"/>
      <c r="CP87" s="78"/>
      <c r="CQ87" s="78"/>
      <c r="CR87" s="78"/>
      <c r="CS87" s="78"/>
      <c r="CT87" s="78"/>
      <c r="CU87" s="78"/>
      <c r="CV87" s="78"/>
      <c r="CW87" s="78"/>
      <c r="CX87" s="78"/>
      <c r="CY87" s="78"/>
      <c r="CZ87" s="78"/>
      <c r="DA87" s="78"/>
      <c r="DB87" s="78"/>
      <c r="DC87" s="78"/>
      <c r="DD87" s="78"/>
      <c r="DF87" s="107"/>
      <c r="DG87" s="107"/>
      <c r="DH87" s="107"/>
      <c r="DI87" s="107"/>
      <c r="DJ87" s="107"/>
      <c r="DK87" s="108"/>
      <c r="DL87" s="107"/>
      <c r="DM87" s="107"/>
      <c r="DN87" s="107"/>
      <c r="DO87" s="107"/>
      <c r="DP87" s="107"/>
      <c r="DQ87" s="107"/>
      <c r="DR87" s="107"/>
      <c r="DS87" s="107"/>
      <c r="DT87" s="107"/>
      <c r="DU87" s="107"/>
      <c r="DV87" s="107"/>
      <c r="DW87" s="107"/>
      <c r="DX87" s="107"/>
      <c r="DY87" s="107"/>
      <c r="DZ87" s="107"/>
      <c r="EA87" s="107"/>
      <c r="EB87" s="107"/>
      <c r="EC87" s="108"/>
      <c r="ED87" s="78"/>
      <c r="EE87" s="78"/>
      <c r="EF87" s="78"/>
      <c r="EG87" s="78"/>
      <c r="EH87" s="78"/>
      <c r="EI87" s="78"/>
      <c r="EJ87" s="78"/>
      <c r="EK87" s="78"/>
    </row>
    <row r="88" spans="7:143" ht="21" hidden="1" thickBot="1" x14ac:dyDescent="0.25">
      <c r="G88" s="998"/>
      <c r="H88"/>
      <c r="I88"/>
      <c r="J88"/>
      <c r="K88"/>
      <c r="L88"/>
      <c r="M88"/>
      <c r="N88"/>
      <c r="O88" s="995"/>
      <c r="BN88" s="86"/>
      <c r="BO88" s="1091"/>
      <c r="BP88" s="96">
        <v>10</v>
      </c>
      <c r="BR88" s="152"/>
      <c r="BS88" s="117" t="b">
        <f>IF(BZ98=10,3)</f>
        <v>0</v>
      </c>
      <c r="BT88" s="119"/>
      <c r="BU88" s="119"/>
      <c r="BV88" s="119"/>
      <c r="BW88" s="119"/>
      <c r="BX88" s="119"/>
      <c r="BY88" s="119"/>
      <c r="BZ88" s="119"/>
      <c r="CA88" s="119"/>
      <c r="CB88" s="119"/>
      <c r="CC88" s="119"/>
      <c r="CD88" s="119"/>
      <c r="CE88" s="119"/>
      <c r="CF88" s="119"/>
      <c r="CG88" s="103" t="b">
        <f>IF(BZ98=10,17)</f>
        <v>0</v>
      </c>
      <c r="CH88" s="153"/>
      <c r="CJ88" s="157"/>
      <c r="CK88" s="76"/>
      <c r="CL88" s="76"/>
      <c r="CM88" s="76"/>
      <c r="CN88" s="76"/>
      <c r="CO88" s="78"/>
      <c r="CP88" s="78"/>
      <c r="CQ88" s="78"/>
      <c r="CR88" s="78"/>
      <c r="CS88" s="78"/>
      <c r="CT88" s="78"/>
      <c r="CU88" s="78"/>
      <c r="CV88" s="78"/>
      <c r="CW88" s="78"/>
      <c r="CX88" s="78"/>
      <c r="CY88" s="78"/>
      <c r="CZ88" s="78"/>
      <c r="DA88" s="78"/>
      <c r="DB88" s="78"/>
      <c r="DC88" s="78"/>
      <c r="DD88" s="78"/>
      <c r="EJ88" s="78"/>
      <c r="EK88" s="78"/>
    </row>
    <row r="89" spans="7:143" ht="21" hidden="1" thickBot="1" x14ac:dyDescent="0.25">
      <c r="G89" s="998"/>
      <c r="H89"/>
      <c r="I89"/>
      <c r="J89"/>
      <c r="K89"/>
      <c r="L89"/>
      <c r="M89"/>
      <c r="N89"/>
      <c r="O89" s="995"/>
      <c r="BN89" s="86"/>
      <c r="BO89" s="1091"/>
      <c r="BP89" s="96">
        <v>9</v>
      </c>
      <c r="BQ89" s="117" t="b">
        <f>IF(BY98=9,1)</f>
        <v>0</v>
      </c>
      <c r="BR89" s="119"/>
      <c r="BS89" s="119"/>
      <c r="BT89" s="119"/>
      <c r="BU89" s="119"/>
      <c r="BV89" s="119"/>
      <c r="BW89" s="119"/>
      <c r="BX89" s="119"/>
      <c r="BY89" s="119"/>
      <c r="BZ89" s="119"/>
      <c r="CA89" s="119"/>
      <c r="CB89" s="119"/>
      <c r="CC89" s="119"/>
      <c r="CD89" s="119"/>
      <c r="CE89" s="119"/>
      <c r="CF89" s="119"/>
      <c r="CG89" s="103" t="b">
        <f>IF(BY98=9,17)</f>
        <v>0</v>
      </c>
      <c r="CH89" s="76"/>
      <c r="CI89" s="76"/>
      <c r="CJ89" s="157"/>
      <c r="CK89" s="76"/>
      <c r="CL89" s="76"/>
      <c r="CM89" s="76"/>
      <c r="CN89" s="76"/>
      <c r="CO89" s="78"/>
      <c r="CP89" s="78"/>
      <c r="CQ89" s="78"/>
      <c r="CR89" s="78"/>
      <c r="CS89" s="78"/>
      <c r="CT89" s="78"/>
      <c r="CU89" s="78"/>
      <c r="CV89" s="78"/>
      <c r="CW89" s="78"/>
      <c r="CX89" s="78"/>
      <c r="CY89" s="78"/>
      <c r="CZ89" s="78"/>
      <c r="DA89" s="78"/>
      <c r="DB89" s="78"/>
      <c r="DC89" s="78"/>
      <c r="DD89" s="78"/>
      <c r="EJ89" s="78"/>
      <c r="EK89" s="78"/>
    </row>
    <row r="90" spans="7:143" ht="21" hidden="1" thickBot="1" x14ac:dyDescent="0.25">
      <c r="G90" s="998"/>
      <c r="H90"/>
      <c r="I90"/>
      <c r="J90"/>
      <c r="K90"/>
      <c r="L90"/>
      <c r="M90"/>
      <c r="N90"/>
      <c r="O90" s="995"/>
      <c r="BN90" s="86"/>
      <c r="BO90" s="1091"/>
      <c r="BP90" s="96">
        <v>8</v>
      </c>
      <c r="BQ90" s="117" t="b">
        <f>IF(BX98=8,1)</f>
        <v>0</v>
      </c>
      <c r="BR90" s="119"/>
      <c r="BS90" s="118"/>
      <c r="BT90" s="119"/>
      <c r="BU90" s="119"/>
      <c r="BV90" s="119"/>
      <c r="BW90" s="119"/>
      <c r="BX90" s="119"/>
      <c r="BY90" s="119"/>
      <c r="BZ90" s="119"/>
      <c r="CA90" s="119"/>
      <c r="CB90" s="119"/>
      <c r="CC90" s="118"/>
      <c r="CD90" s="119"/>
      <c r="CE90" s="103" t="b">
        <f>IF(BX98=8,15)</f>
        <v>0</v>
      </c>
      <c r="CF90" s="76"/>
      <c r="CG90" s="76"/>
      <c r="CH90" s="158"/>
      <c r="CI90" s="76"/>
      <c r="CJ90" s="157"/>
      <c r="CK90" s="76"/>
      <c r="CL90" s="76"/>
      <c r="CM90" s="76"/>
      <c r="CN90" s="76"/>
      <c r="CO90" s="78"/>
      <c r="CP90" s="78"/>
      <c r="CQ90" s="78"/>
      <c r="CR90" s="78"/>
      <c r="CS90" s="78"/>
      <c r="CT90" s="78"/>
      <c r="CU90" s="78"/>
      <c r="CV90" s="78"/>
      <c r="CW90" s="78"/>
      <c r="CX90" s="78"/>
      <c r="CY90" s="78"/>
      <c r="CZ90" s="78"/>
      <c r="DA90" s="78"/>
      <c r="DB90" s="78"/>
      <c r="DC90" s="78"/>
      <c r="DD90" s="78"/>
      <c r="EJ90" s="78"/>
      <c r="EK90" s="78"/>
    </row>
    <row r="91" spans="7:143" ht="21" hidden="1" thickBot="1" x14ac:dyDescent="0.25">
      <c r="G91" s="998"/>
      <c r="H91"/>
      <c r="I91"/>
      <c r="J91"/>
      <c r="K91"/>
      <c r="L91"/>
      <c r="M91"/>
      <c r="N91"/>
      <c r="O91" s="995"/>
      <c r="BN91" s="86"/>
      <c r="BO91" s="1091"/>
      <c r="BP91" s="96">
        <v>7</v>
      </c>
      <c r="BQ91" s="117" t="b">
        <f>IF(BW98=7,1)</f>
        <v>0</v>
      </c>
      <c r="BR91" s="118"/>
      <c r="BS91" s="119"/>
      <c r="BT91" s="119"/>
      <c r="BU91" s="119"/>
      <c r="BV91" s="119"/>
      <c r="BW91" s="119"/>
      <c r="BX91" s="119"/>
      <c r="BY91" s="119"/>
      <c r="BZ91" s="119"/>
      <c r="CA91" s="118"/>
      <c r="CB91" s="118"/>
      <c r="CC91" s="103" t="b">
        <f>IF(BW98=7,13)</f>
        <v>0</v>
      </c>
      <c r="CD91" s="76"/>
      <c r="CE91" s="76"/>
      <c r="CF91" s="76"/>
      <c r="CG91" s="76"/>
      <c r="CH91" s="158"/>
      <c r="CI91" s="76"/>
      <c r="CJ91" s="157"/>
      <c r="CK91" s="76"/>
      <c r="CL91" s="76"/>
      <c r="CM91" s="76"/>
      <c r="CN91" s="76"/>
      <c r="CO91" s="78"/>
      <c r="CP91" s="78"/>
      <c r="CQ91" s="78"/>
      <c r="CR91" s="78"/>
      <c r="CS91" s="78"/>
      <c r="CT91" s="78"/>
      <c r="CU91" s="78"/>
      <c r="CV91" s="78"/>
      <c r="CW91" s="78"/>
      <c r="CX91" s="78"/>
      <c r="CY91" s="78"/>
      <c r="CZ91" s="78"/>
      <c r="DA91" s="78"/>
      <c r="DB91" s="78"/>
      <c r="DC91" s="78"/>
      <c r="DD91" s="78"/>
      <c r="EJ91" s="78"/>
      <c r="EK91" s="78"/>
    </row>
    <row r="92" spans="7:143" ht="21" hidden="1" thickBot="1" x14ac:dyDescent="0.25">
      <c r="G92" s="998"/>
      <c r="H92"/>
      <c r="I92"/>
      <c r="J92"/>
      <c r="K92"/>
      <c r="L92"/>
      <c r="M92"/>
      <c r="N92"/>
      <c r="O92" s="995"/>
      <c r="BN92" s="86"/>
      <c r="BO92" s="1091"/>
      <c r="BP92" s="96">
        <v>6</v>
      </c>
      <c r="BQ92" s="120" t="b">
        <f>IF(BV98=6,1)</f>
        <v>0</v>
      </c>
      <c r="BR92" s="123"/>
      <c r="BS92" s="123"/>
      <c r="BT92" s="123"/>
      <c r="BU92" s="123"/>
      <c r="BV92" s="123"/>
      <c r="BW92" s="123"/>
      <c r="BX92" s="123"/>
      <c r="BY92" s="123"/>
      <c r="BZ92" s="123"/>
      <c r="CA92" s="124" t="b">
        <f>IF(BV98=6,11)</f>
        <v>0</v>
      </c>
      <c r="CB92" s="76"/>
      <c r="CC92" s="76"/>
      <c r="CD92" s="76"/>
      <c r="CE92" s="76"/>
      <c r="CF92" s="76"/>
      <c r="CG92" s="76"/>
      <c r="CH92" s="158"/>
      <c r="CI92" s="76"/>
      <c r="CJ92" s="157"/>
      <c r="CK92" s="76"/>
      <c r="CL92" s="76"/>
      <c r="CM92" s="76"/>
      <c r="CN92" s="76"/>
      <c r="CO92" s="78"/>
      <c r="CP92" s="78"/>
      <c r="CQ92" s="78"/>
      <c r="CR92" s="78"/>
      <c r="CS92" s="78"/>
      <c r="CT92" s="78"/>
      <c r="CU92" s="78"/>
      <c r="CV92" s="78"/>
      <c r="CW92" s="78"/>
      <c r="CX92" s="78"/>
      <c r="CY92" s="78"/>
      <c r="CZ92" s="78"/>
      <c r="DA92" s="78"/>
      <c r="DB92" s="78"/>
      <c r="DC92" s="78"/>
      <c r="DD92" s="78"/>
      <c r="EJ92" s="78"/>
      <c r="EK92" s="78"/>
    </row>
    <row r="93" spans="7:143" ht="21" hidden="1" thickBot="1" x14ac:dyDescent="0.25">
      <c r="G93" s="998"/>
      <c r="H93"/>
      <c r="I93"/>
      <c r="J93"/>
      <c r="K93"/>
      <c r="L93"/>
      <c r="M93"/>
      <c r="N93"/>
      <c r="O93" s="995"/>
      <c r="BN93" s="86"/>
      <c r="BO93" s="1091"/>
      <c r="BP93" s="96">
        <v>5</v>
      </c>
      <c r="BQ93" s="120" t="b">
        <f>IF(BU98=5,1)</f>
        <v>0</v>
      </c>
      <c r="BR93" s="122"/>
      <c r="BS93" s="123"/>
      <c r="BT93" s="123"/>
      <c r="BU93" s="123"/>
      <c r="BV93" s="123"/>
      <c r="BW93" s="123"/>
      <c r="BX93" s="122"/>
      <c r="BY93" s="124" t="b">
        <f>IF(BU98=5,9)</f>
        <v>0</v>
      </c>
      <c r="BZ93" s="76"/>
      <c r="CA93" s="76"/>
      <c r="CB93" s="76"/>
      <c r="CC93" s="76"/>
      <c r="CD93" s="76"/>
      <c r="CE93" s="76"/>
      <c r="CF93" s="76"/>
      <c r="CG93" s="76"/>
      <c r="CH93" s="158"/>
      <c r="CI93" s="76"/>
      <c r="CJ93" s="157"/>
      <c r="CK93" s="76"/>
      <c r="CL93" s="76"/>
      <c r="CM93" s="76"/>
      <c r="CN93" s="76"/>
      <c r="CO93" s="78"/>
      <c r="CP93" s="78"/>
      <c r="CQ93" s="78"/>
      <c r="CR93" s="78"/>
      <c r="CS93" s="78"/>
      <c r="CT93" s="78"/>
      <c r="CU93" s="78"/>
      <c r="CV93" s="78"/>
      <c r="CW93" s="78"/>
      <c r="CX93" s="78"/>
      <c r="CY93" s="78"/>
      <c r="CZ93" s="78"/>
      <c r="DA93" s="78"/>
      <c r="DB93" s="78"/>
      <c r="DC93" s="78"/>
      <c r="DD93" s="78"/>
      <c r="EJ93" s="78"/>
      <c r="EK93" s="78"/>
    </row>
    <row r="94" spans="7:143" ht="21" hidden="1" thickBot="1" x14ac:dyDescent="0.25">
      <c r="G94" s="998"/>
      <c r="H94"/>
      <c r="I94"/>
      <c r="J94"/>
      <c r="K94"/>
      <c r="L94"/>
      <c r="M94"/>
      <c r="N94"/>
      <c r="O94" s="995"/>
      <c r="BN94" s="86"/>
      <c r="BO94" s="1091"/>
      <c r="BP94" s="96">
        <v>4</v>
      </c>
      <c r="BQ94" s="120" t="b">
        <f>IF(BT98=4,1)</f>
        <v>0</v>
      </c>
      <c r="BR94" s="123"/>
      <c r="BS94" s="123"/>
      <c r="BT94" s="123"/>
      <c r="BU94" s="123"/>
      <c r="BV94" s="123"/>
      <c r="BW94" s="124" t="b">
        <f>IF(BT98=4,7)</f>
        <v>0</v>
      </c>
      <c r="BX94" s="76"/>
      <c r="BY94" s="159"/>
      <c r="BZ94" s="159"/>
      <c r="CA94" s="76"/>
      <c r="CB94" s="159"/>
      <c r="CC94" s="76"/>
      <c r="CD94" s="76"/>
      <c r="CE94" s="76"/>
      <c r="CF94" s="76"/>
      <c r="CG94" s="76"/>
      <c r="CH94" s="158"/>
      <c r="CI94" s="76"/>
      <c r="CJ94" s="157"/>
      <c r="CK94" s="76"/>
      <c r="CL94" s="76"/>
      <c r="CM94" s="76"/>
      <c r="CN94" s="76"/>
      <c r="CO94" s="78"/>
      <c r="CP94" s="78"/>
      <c r="CQ94" s="78"/>
      <c r="CR94" s="78"/>
      <c r="CS94" s="78"/>
      <c r="CT94" s="78"/>
      <c r="CU94" s="78"/>
      <c r="CV94" s="78"/>
      <c r="CW94" s="78"/>
      <c r="CX94" s="78"/>
      <c r="CY94" s="78"/>
      <c r="CZ94" s="78"/>
      <c r="DA94" s="78"/>
      <c r="DB94" s="78"/>
      <c r="DC94" s="78"/>
      <c r="DD94" s="78"/>
      <c r="EJ94" s="78"/>
      <c r="EK94" s="78"/>
    </row>
    <row r="95" spans="7:143" ht="21" hidden="1" thickBot="1" x14ac:dyDescent="0.25">
      <c r="G95" s="998"/>
      <c r="H95"/>
      <c r="I95"/>
      <c r="J95"/>
      <c r="K95"/>
      <c r="L95"/>
      <c r="M95"/>
      <c r="N95"/>
      <c r="O95" s="995"/>
      <c r="BN95" s="86"/>
      <c r="BO95" s="1091"/>
      <c r="BP95" s="96">
        <v>3</v>
      </c>
      <c r="BQ95" s="120" t="b">
        <f>IF(BS98=3,1)</f>
        <v>0</v>
      </c>
      <c r="BR95" s="123"/>
      <c r="BS95" s="123"/>
      <c r="BT95" s="123"/>
      <c r="BU95" s="124" t="b">
        <f>IF(BS98=3,5)</f>
        <v>0</v>
      </c>
      <c r="BV95" s="76"/>
      <c r="BW95" s="76"/>
      <c r="BX95" s="76"/>
      <c r="BY95" s="76"/>
      <c r="BZ95" s="76"/>
      <c r="CA95" s="76"/>
      <c r="CB95" s="76"/>
      <c r="CC95" s="76"/>
      <c r="CD95" s="76"/>
      <c r="CE95" s="76"/>
      <c r="CF95" s="76"/>
      <c r="CG95" s="76"/>
      <c r="CH95" s="158"/>
      <c r="CI95" s="76"/>
      <c r="CJ95" s="157"/>
      <c r="CK95" s="76"/>
      <c r="CL95" s="76"/>
      <c r="CM95" s="76"/>
      <c r="CN95" s="76"/>
      <c r="CO95" s="78"/>
      <c r="CP95" s="78"/>
      <c r="CQ95" s="78"/>
      <c r="CR95" s="78"/>
      <c r="CS95" s="78"/>
      <c r="CT95" s="78"/>
      <c r="CU95" s="78"/>
      <c r="CV95" s="78"/>
      <c r="CW95" s="78"/>
      <c r="CX95" s="78"/>
      <c r="CY95" s="78"/>
      <c r="CZ95" s="78"/>
      <c r="DA95" s="78"/>
      <c r="DB95" s="78"/>
      <c r="DC95" s="78"/>
      <c r="DD95" s="78"/>
      <c r="EJ95" s="78"/>
      <c r="EK95" s="78"/>
    </row>
    <row r="96" spans="7:143" ht="20" hidden="1" x14ac:dyDescent="0.2">
      <c r="G96" s="998"/>
      <c r="H96"/>
      <c r="I96"/>
      <c r="J96"/>
      <c r="K96"/>
      <c r="L96"/>
      <c r="M96"/>
      <c r="N96"/>
      <c r="O96" s="995"/>
      <c r="BN96" s="86"/>
      <c r="BO96" s="1091"/>
      <c r="BP96" s="96">
        <v>2</v>
      </c>
      <c r="BQ96" s="160" t="b">
        <f>IF(BR98=2,1)</f>
        <v>0</v>
      </c>
      <c r="BR96" s="161"/>
      <c r="BS96" s="162" t="b">
        <f>IF(BR98=2,3)</f>
        <v>0</v>
      </c>
      <c r="BT96" s="76"/>
      <c r="BU96" s="76"/>
      <c r="BV96" s="76"/>
      <c r="BW96" s="76"/>
      <c r="BX96" s="76"/>
      <c r="BY96" s="76"/>
      <c r="BZ96" s="76"/>
      <c r="CA96" s="76"/>
      <c r="CB96" s="76"/>
      <c r="CC96" s="76"/>
      <c r="CD96" s="76"/>
      <c r="CE96" s="76"/>
      <c r="CF96" s="76"/>
      <c r="CG96" s="76"/>
      <c r="CH96" s="158"/>
      <c r="CI96" s="76"/>
      <c r="CJ96" s="157"/>
      <c r="CK96" s="76"/>
      <c r="CL96" s="76"/>
      <c r="CM96" s="76"/>
      <c r="CN96" s="76"/>
      <c r="CO96" s="78"/>
      <c r="CP96" s="78"/>
      <c r="CQ96" s="78"/>
      <c r="CR96" s="78"/>
      <c r="CS96" s="78"/>
      <c r="CT96" s="78"/>
      <c r="CU96" s="78"/>
      <c r="CV96" s="78"/>
      <c r="CW96" s="78"/>
      <c r="CX96" s="78"/>
      <c r="CY96" s="78"/>
      <c r="CZ96" s="78"/>
      <c r="DA96" s="78"/>
      <c r="DB96" s="78"/>
      <c r="DC96" s="78"/>
      <c r="DD96" s="78"/>
      <c r="EJ96" s="78"/>
      <c r="EK96" s="78"/>
    </row>
    <row r="97" spans="2:141" ht="28.5" hidden="1" customHeight="1" thickBot="1" x14ac:dyDescent="0.25">
      <c r="G97" s="998"/>
      <c r="H97"/>
      <c r="I97"/>
      <c r="J97"/>
      <c r="K97"/>
      <c r="L97"/>
      <c r="M97"/>
      <c r="N97"/>
      <c r="O97" s="995"/>
      <c r="BN97" s="86"/>
      <c r="BO97" s="1091"/>
      <c r="BP97" s="163"/>
      <c r="BQ97" s="164">
        <f>SUM(BQ62:BQ96)</f>
        <v>0</v>
      </c>
      <c r="BR97" s="164">
        <f t="shared" ref="BR97:DA97" si="1">SUM(BR62:BR96)</f>
        <v>0</v>
      </c>
      <c r="BS97" s="164">
        <f t="shared" si="1"/>
        <v>0</v>
      </c>
      <c r="BT97" s="164">
        <f t="shared" si="1"/>
        <v>0</v>
      </c>
      <c r="BU97" s="164">
        <f t="shared" si="1"/>
        <v>0</v>
      </c>
      <c r="BV97" s="164">
        <f t="shared" si="1"/>
        <v>0</v>
      </c>
      <c r="BW97" s="164">
        <f t="shared" si="1"/>
        <v>0</v>
      </c>
      <c r="BX97" s="164">
        <f t="shared" si="1"/>
        <v>8</v>
      </c>
      <c r="BY97" s="164">
        <f t="shared" si="1"/>
        <v>0</v>
      </c>
      <c r="BZ97" s="164">
        <f t="shared" si="1"/>
        <v>0</v>
      </c>
      <c r="CA97" s="164">
        <f t="shared" si="1"/>
        <v>0</v>
      </c>
      <c r="CB97" s="164">
        <f t="shared" si="1"/>
        <v>0</v>
      </c>
      <c r="CC97" s="164">
        <f t="shared" si="1"/>
        <v>0</v>
      </c>
      <c r="CD97" s="164">
        <f t="shared" si="1"/>
        <v>0</v>
      </c>
      <c r="CE97" s="164">
        <f t="shared" si="1"/>
        <v>0</v>
      </c>
      <c r="CF97" s="164">
        <f t="shared" si="1"/>
        <v>0</v>
      </c>
      <c r="CG97" s="805">
        <f t="shared" si="1"/>
        <v>0</v>
      </c>
      <c r="CH97" s="806"/>
      <c r="CI97" s="804"/>
      <c r="CJ97" s="807"/>
      <c r="CK97" s="787">
        <f t="shared" si="1"/>
        <v>0</v>
      </c>
      <c r="CL97" s="164">
        <f t="shared" si="1"/>
        <v>0</v>
      </c>
      <c r="CM97" s="164">
        <f t="shared" si="1"/>
        <v>0</v>
      </c>
      <c r="CN97" s="164">
        <f t="shared" si="1"/>
        <v>0</v>
      </c>
      <c r="CO97" s="164">
        <f t="shared" si="1"/>
        <v>0</v>
      </c>
      <c r="CP97" s="164">
        <f t="shared" si="1"/>
        <v>26</v>
      </c>
      <c r="CQ97" s="164">
        <f t="shared" si="1"/>
        <v>0</v>
      </c>
      <c r="CR97" s="164">
        <f t="shared" si="1"/>
        <v>0</v>
      </c>
      <c r="CS97" s="164">
        <f t="shared" si="1"/>
        <v>0</v>
      </c>
      <c r="CT97" s="164">
        <f t="shared" si="1"/>
        <v>0</v>
      </c>
      <c r="CU97" s="164">
        <f t="shared" si="1"/>
        <v>0</v>
      </c>
      <c r="CV97" s="164">
        <f t="shared" si="1"/>
        <v>0</v>
      </c>
      <c r="CW97" s="164">
        <f t="shared" si="1"/>
        <v>0</v>
      </c>
      <c r="CX97" s="164">
        <f t="shared" si="1"/>
        <v>0</v>
      </c>
      <c r="CY97" s="164">
        <f t="shared" si="1"/>
        <v>0</v>
      </c>
      <c r="CZ97" s="164">
        <f t="shared" si="1"/>
        <v>0</v>
      </c>
      <c r="DA97" s="164">
        <f t="shared" si="1"/>
        <v>0</v>
      </c>
      <c r="DB97" s="78"/>
      <c r="DC97" s="78"/>
      <c r="DD97" s="78"/>
      <c r="EJ97" s="78"/>
      <c r="EK97" s="78"/>
    </row>
    <row r="98" spans="2:141" ht="20" hidden="1" x14ac:dyDescent="0.2">
      <c r="G98" s="998"/>
      <c r="H98"/>
      <c r="I98"/>
      <c r="J98"/>
      <c r="K98"/>
      <c r="L98"/>
      <c r="M98"/>
      <c r="N98"/>
      <c r="O98" s="995"/>
      <c r="BM98" s="402"/>
      <c r="BN98" s="188"/>
      <c r="BO98" s="1091"/>
      <c r="BP98" s="76"/>
      <c r="BQ98" s="1057" t="b">
        <f>+BK181</f>
        <v>0</v>
      </c>
      <c r="BR98" s="1058" t="b">
        <f>+BK182</f>
        <v>0</v>
      </c>
      <c r="BS98" s="1058" t="b">
        <f>+BK183</f>
        <v>0</v>
      </c>
      <c r="BT98" s="1058" t="b">
        <f>+BK184</f>
        <v>0</v>
      </c>
      <c r="BU98" s="1058" t="b">
        <f>+BK185</f>
        <v>0</v>
      </c>
      <c r="BV98" s="1058" t="b">
        <f>+BK186</f>
        <v>0</v>
      </c>
      <c r="BW98" s="1058" t="b">
        <f>+BK187</f>
        <v>0</v>
      </c>
      <c r="BX98" s="1058" t="b">
        <f>+BK188</f>
        <v>0</v>
      </c>
      <c r="BY98" s="1058" t="b">
        <f>+BK189</f>
        <v>0</v>
      </c>
      <c r="BZ98" s="1058" t="b">
        <f>+BK190</f>
        <v>0</v>
      </c>
      <c r="CA98" s="1058" t="b">
        <f>+BK191</f>
        <v>0</v>
      </c>
      <c r="CB98" s="1058" t="b">
        <f>+BK192</f>
        <v>0</v>
      </c>
      <c r="CC98" s="1058" t="b">
        <f>+BK193</f>
        <v>0</v>
      </c>
      <c r="CD98" s="1058" t="b">
        <f>+BK194</f>
        <v>0</v>
      </c>
      <c r="CE98" s="1058" t="b">
        <f>+BK195</f>
        <v>0</v>
      </c>
      <c r="CF98" s="1058" t="b">
        <f>+BK196</f>
        <v>0</v>
      </c>
      <c r="CG98" s="808">
        <f>+BK197</f>
        <v>17</v>
      </c>
      <c r="CH98" s="808" t="b">
        <f>+BK198</f>
        <v>0</v>
      </c>
      <c r="CI98" s="808" t="b">
        <f>+BK199</f>
        <v>0</v>
      </c>
      <c r="CJ98" s="808" t="b">
        <f>+BK200</f>
        <v>0</v>
      </c>
      <c r="CK98" s="808" t="b">
        <f>+BK201</f>
        <v>0</v>
      </c>
      <c r="CL98" s="1058" t="b">
        <f>+BK202</f>
        <v>0</v>
      </c>
      <c r="CM98" s="1058" t="b">
        <f>+BK203</f>
        <v>0</v>
      </c>
      <c r="CN98" s="1058" t="b">
        <f>+BK204</f>
        <v>0</v>
      </c>
      <c r="CO98" s="1058" t="b">
        <f>+BK205</f>
        <v>0</v>
      </c>
      <c r="CP98" s="1058" t="b">
        <f>+BK206</f>
        <v>0</v>
      </c>
      <c r="CQ98" s="1058" t="b">
        <f>+BK207</f>
        <v>0</v>
      </c>
      <c r="CR98" s="1058" t="b">
        <f>+BK208</f>
        <v>0</v>
      </c>
      <c r="CS98" s="1058" t="b">
        <f>+BK209</f>
        <v>0</v>
      </c>
      <c r="CT98" s="1058" t="b">
        <f>+BK210</f>
        <v>0</v>
      </c>
      <c r="CU98" s="1058" t="b">
        <f>+BK211</f>
        <v>0</v>
      </c>
      <c r="CV98" s="1058" t="b">
        <f>+BK212</f>
        <v>0</v>
      </c>
      <c r="CW98" s="1058" t="b">
        <f>+BK213</f>
        <v>0</v>
      </c>
      <c r="CX98" s="1058" t="b">
        <f>+BK214</f>
        <v>0</v>
      </c>
      <c r="CY98" s="1058" t="b">
        <f>+BK215</f>
        <v>0</v>
      </c>
      <c r="CZ98" s="1058" t="b">
        <f>+BK216</f>
        <v>0</v>
      </c>
      <c r="DA98" s="1059" t="b">
        <f>+BK217</f>
        <v>0</v>
      </c>
      <c r="DB98" s="196"/>
      <c r="DC98" s="78"/>
      <c r="DD98" s="78"/>
    </row>
    <row r="99" spans="2:141" ht="21" hidden="1" thickBot="1" x14ac:dyDescent="0.25">
      <c r="G99" s="998"/>
      <c r="H99"/>
      <c r="I99"/>
      <c r="J99"/>
      <c r="K99"/>
      <c r="L99"/>
      <c r="M99"/>
      <c r="N99"/>
      <c r="O99" s="995"/>
      <c r="BM99" s="402"/>
      <c r="BN99" s="188"/>
      <c r="BO99" s="1091"/>
      <c r="BP99" s="78"/>
      <c r="BQ99" s="809" t="b">
        <f>+BQ98</f>
        <v>0</v>
      </c>
      <c r="BR99" s="810" t="b">
        <f t="shared" ref="BR99:CI99" si="2">+BR98</f>
        <v>0</v>
      </c>
      <c r="BS99" s="810" t="b">
        <f t="shared" si="2"/>
        <v>0</v>
      </c>
      <c r="BT99" s="810" t="b">
        <f t="shared" si="2"/>
        <v>0</v>
      </c>
      <c r="BU99" s="810" t="b">
        <f t="shared" si="2"/>
        <v>0</v>
      </c>
      <c r="BV99" s="810" t="b">
        <f t="shared" si="2"/>
        <v>0</v>
      </c>
      <c r="BW99" s="810" t="b">
        <f>+BW98</f>
        <v>0</v>
      </c>
      <c r="BX99" s="810" t="b">
        <f t="shared" si="2"/>
        <v>0</v>
      </c>
      <c r="BY99" s="810" t="b">
        <f t="shared" si="2"/>
        <v>0</v>
      </c>
      <c r="BZ99" s="810" t="b">
        <f t="shared" si="2"/>
        <v>0</v>
      </c>
      <c r="CA99" s="810" t="b">
        <f t="shared" si="2"/>
        <v>0</v>
      </c>
      <c r="CB99" s="810" t="b">
        <f>+CB98</f>
        <v>0</v>
      </c>
      <c r="CC99" s="810" t="b">
        <f>+CC98</f>
        <v>0</v>
      </c>
      <c r="CD99" s="810" t="b">
        <f>+CD98</f>
        <v>0</v>
      </c>
      <c r="CE99" s="810" t="b">
        <f>+CE98</f>
        <v>0</v>
      </c>
      <c r="CF99" s="810" t="b">
        <f>+CF98</f>
        <v>0</v>
      </c>
      <c r="CG99" s="810">
        <f t="shared" si="2"/>
        <v>17</v>
      </c>
      <c r="CH99" s="810" t="b">
        <f t="shared" si="2"/>
        <v>0</v>
      </c>
      <c r="CI99" s="810" t="b">
        <f t="shared" si="2"/>
        <v>0</v>
      </c>
      <c r="CJ99" s="810" t="b">
        <f>+CJ98</f>
        <v>0</v>
      </c>
      <c r="CK99" s="810" t="b">
        <f>+CK98</f>
        <v>0</v>
      </c>
      <c r="CL99" s="810" t="b">
        <f t="shared" ref="CL99:DA99" si="3">+CL98</f>
        <v>0</v>
      </c>
      <c r="CM99" s="810" t="b">
        <f t="shared" si="3"/>
        <v>0</v>
      </c>
      <c r="CN99" s="810" t="b">
        <f t="shared" si="3"/>
        <v>0</v>
      </c>
      <c r="CO99" s="810" t="b">
        <f t="shared" si="3"/>
        <v>0</v>
      </c>
      <c r="CP99" s="810" t="b">
        <f t="shared" si="3"/>
        <v>0</v>
      </c>
      <c r="CQ99" s="810" t="b">
        <f t="shared" si="3"/>
        <v>0</v>
      </c>
      <c r="CR99" s="810" t="b">
        <f t="shared" si="3"/>
        <v>0</v>
      </c>
      <c r="CS99" s="810" t="b">
        <f t="shared" si="3"/>
        <v>0</v>
      </c>
      <c r="CT99" s="810" t="b">
        <f t="shared" si="3"/>
        <v>0</v>
      </c>
      <c r="CU99" s="810" t="b">
        <f t="shared" si="3"/>
        <v>0</v>
      </c>
      <c r="CV99" s="810" t="b">
        <f t="shared" si="3"/>
        <v>0</v>
      </c>
      <c r="CW99" s="810" t="b">
        <f t="shared" si="3"/>
        <v>0</v>
      </c>
      <c r="CX99" s="810" t="b">
        <f t="shared" si="3"/>
        <v>0</v>
      </c>
      <c r="CY99" s="810" t="b">
        <f t="shared" si="3"/>
        <v>0</v>
      </c>
      <c r="CZ99" s="810" t="b">
        <f t="shared" si="3"/>
        <v>0</v>
      </c>
      <c r="DA99" s="811" t="b">
        <f t="shared" si="3"/>
        <v>0</v>
      </c>
      <c r="DB99" s="196"/>
      <c r="DC99" s="78"/>
      <c r="DD99" s="78"/>
    </row>
    <row r="100" spans="2:141" ht="165.75" customHeight="1" thickBot="1" x14ac:dyDescent="0.25">
      <c r="G100" s="998"/>
      <c r="H100"/>
      <c r="I100"/>
      <c r="J100"/>
      <c r="K100"/>
      <c r="L100"/>
      <c r="M100"/>
      <c r="N100"/>
      <c r="O100" s="995"/>
      <c r="BN100" s="86"/>
      <c r="BO100" s="1091"/>
      <c r="BP100" s="163"/>
      <c r="BQ100" s="170"/>
      <c r="BR100" s="170"/>
      <c r="BS100" s="170"/>
      <c r="BT100" s="170"/>
      <c r="BU100" s="170"/>
      <c r="BV100" s="170"/>
      <c r="BW100" s="170"/>
      <c r="BX100" s="170"/>
      <c r="BY100" s="170"/>
      <c r="BZ100" s="170"/>
      <c r="CA100" s="170"/>
      <c r="CB100" s="170"/>
      <c r="CC100" s="170"/>
      <c r="CD100" s="170"/>
      <c r="CE100" s="170"/>
      <c r="CF100" s="170"/>
      <c r="CG100" s="170"/>
      <c r="CH100" s="170"/>
      <c r="CI100" s="170"/>
      <c r="CJ100" s="170"/>
      <c r="CK100" s="170"/>
      <c r="CL100" s="170"/>
      <c r="CM100" s="170"/>
      <c r="CN100" s="170"/>
      <c r="CO100" s="170"/>
      <c r="CP100" s="170"/>
      <c r="CQ100" s="170"/>
      <c r="CR100" s="170"/>
      <c r="CS100" s="170"/>
      <c r="CT100" s="170"/>
      <c r="CU100" s="170"/>
      <c r="CV100" s="170"/>
      <c r="CW100" s="170"/>
      <c r="CX100" s="170"/>
      <c r="CY100" s="170"/>
      <c r="CZ100" s="170"/>
      <c r="DA100" s="170"/>
      <c r="DB100" s="78"/>
      <c r="DC100" s="78"/>
      <c r="DD100" s="78"/>
      <c r="EJ100" s="78"/>
      <c r="EK100" s="78"/>
    </row>
    <row r="101" spans="2:141" ht="45" customHeight="1" thickBot="1" x14ac:dyDescent="0.3">
      <c r="G101" s="998"/>
      <c r="H101"/>
      <c r="I101"/>
      <c r="J101"/>
      <c r="K101"/>
      <c r="L101"/>
      <c r="M101"/>
      <c r="N101"/>
      <c r="O101" s="995"/>
      <c r="BN101" s="86"/>
      <c r="BO101" s="1095" t="s">
        <v>128</v>
      </c>
      <c r="BP101" s="172" t="s">
        <v>124</v>
      </c>
      <c r="BQ101" s="750" t="str">
        <f>IF(BQ97=1,17,"")</f>
        <v/>
      </c>
      <c r="BR101" s="751" t="str">
        <f>IF(BR97=2,16,"")</f>
        <v/>
      </c>
      <c r="BS101" s="751" t="str">
        <f>IF(BS97=3,15,"")</f>
        <v/>
      </c>
      <c r="BT101" s="751" t="str">
        <f>IF(BT97=4,14,"")</f>
        <v/>
      </c>
      <c r="BU101" s="751" t="str">
        <f>IF(BU97=5,13,"")</f>
        <v/>
      </c>
      <c r="BV101" s="751" t="str">
        <f>IF(BV97=6,12,"")</f>
        <v/>
      </c>
      <c r="BW101" s="751" t="str">
        <f>IF(BW97=7,11,"")</f>
        <v/>
      </c>
      <c r="BX101" s="751">
        <f>IF(BX97=8,10,"")</f>
        <v>10</v>
      </c>
      <c r="BY101" s="751" t="str">
        <f>IF(BY97=9,9,"")</f>
        <v/>
      </c>
      <c r="BZ101" s="751" t="str">
        <f>IF(BZ97=10,8,"")</f>
        <v/>
      </c>
      <c r="CA101" s="751" t="str">
        <f>IF(CA97=11,7,"")</f>
        <v/>
      </c>
      <c r="CB101" s="752" t="str">
        <f>IF(CB97=12,"6  ADS ","")</f>
        <v/>
      </c>
      <c r="CC101" s="751" t="str">
        <f>IF(CC97=13,5,"")</f>
        <v/>
      </c>
      <c r="CD101" s="751" t="str">
        <f>IF(CD97=14,4,"")</f>
        <v/>
      </c>
      <c r="CE101" s="751" t="str">
        <f>IF(CE97=15,3,"")</f>
        <v/>
      </c>
      <c r="CF101" s="751" t="str">
        <f>IF(CF97=16,2,"")</f>
        <v/>
      </c>
      <c r="CG101" s="751" t="str">
        <f>IF(CG97=17,1,"")</f>
        <v/>
      </c>
      <c r="CH101" s="173"/>
      <c r="CI101" s="174"/>
      <c r="CJ101" s="175"/>
      <c r="CK101" s="753" t="str">
        <f>IF(CK97=21,1,"")</f>
        <v/>
      </c>
      <c r="CL101" s="753" t="str">
        <f>IF(CL97=22,2,"")</f>
        <v/>
      </c>
      <c r="CM101" s="753" t="str">
        <f>IF(CM97=23,3,"")</f>
        <v/>
      </c>
      <c r="CN101" s="753" t="str">
        <f>IF(CN97=24,4,"")</f>
        <v/>
      </c>
      <c r="CO101" s="753" t="str">
        <f>IF(CO97=25,5,"")</f>
        <v/>
      </c>
      <c r="CP101" s="754" t="str">
        <f>IF(CP97=26,"6  ADS ","")</f>
        <v xml:space="preserve">6  ADS </v>
      </c>
      <c r="CQ101" s="753" t="str">
        <f>IF(CQ97=27,7,"")</f>
        <v/>
      </c>
      <c r="CR101" s="753" t="str">
        <f>IF(CR97=28,8,"")</f>
        <v/>
      </c>
      <c r="CS101" s="753" t="str">
        <f>IF(CS97=29,9,"")</f>
        <v/>
      </c>
      <c r="CT101" s="753" t="str">
        <f>IF(CT97=30,10,"")</f>
        <v/>
      </c>
      <c r="CU101" s="753" t="str">
        <f>IF(CU97=31,11,"")</f>
        <v/>
      </c>
      <c r="CV101" s="753" t="str">
        <f>IF(CV97=32,12,"")</f>
        <v/>
      </c>
      <c r="CW101" s="753" t="str">
        <f>IF(CW97=33,13,"")</f>
        <v/>
      </c>
      <c r="CX101" s="753" t="str">
        <f>IF(CX97=34,14,"")</f>
        <v/>
      </c>
      <c r="CY101" s="753" t="str">
        <f>IF(CY97=35,15,"")</f>
        <v/>
      </c>
      <c r="CZ101" s="753" t="str">
        <f>IF(CZ97=36,16,"")</f>
        <v/>
      </c>
      <c r="DA101" s="755" t="str">
        <f>IF(DA97=37,17,"")</f>
        <v/>
      </c>
      <c r="DB101" s="340"/>
      <c r="DC101" s="78"/>
      <c r="DD101" s="78"/>
      <c r="EJ101" s="78"/>
      <c r="EK101" s="78"/>
    </row>
    <row r="102" spans="2:141" ht="45" customHeight="1" thickBot="1" x14ac:dyDescent="0.3">
      <c r="G102" s="998"/>
      <c r="H102"/>
      <c r="I102"/>
      <c r="J102"/>
      <c r="K102"/>
      <c r="L102"/>
      <c r="M102"/>
      <c r="N102"/>
      <c r="O102" s="995"/>
      <c r="BL102" s="968">
        <v>6</v>
      </c>
      <c r="BM102" s="1762" t="b">
        <f>AND(BO102&gt;=10,$AZ$150&gt;=10,$BA$150&gt;=10,$AZ$175&gt;=10,$BA$175&gt;=10)</f>
        <v>1</v>
      </c>
      <c r="BN102" s="84" t="str">
        <f>IF(BM102=TRUE,"O K","OVERLOAD")</f>
        <v>O K</v>
      </c>
      <c r="BO102" s="1089">
        <f>SUM(I132:M132)</f>
        <v>82.26221079691517</v>
      </c>
      <c r="BP102" s="788" t="s">
        <v>185</v>
      </c>
      <c r="BQ102" s="789">
        <v>-10</v>
      </c>
      <c r="BR102" s="789">
        <v>-9</v>
      </c>
      <c r="BS102" s="789">
        <v>-8</v>
      </c>
      <c r="BT102" s="789">
        <v>-7</v>
      </c>
      <c r="BU102" s="789">
        <v>-6</v>
      </c>
      <c r="BV102" s="789">
        <v>-5</v>
      </c>
      <c r="BW102" s="789">
        <v>-4</v>
      </c>
      <c r="BX102" s="789">
        <v>-3</v>
      </c>
      <c r="BY102" s="789">
        <v>-2</v>
      </c>
      <c r="BZ102" s="789">
        <v>-1</v>
      </c>
      <c r="CA102" s="789">
        <v>0</v>
      </c>
      <c r="CB102" s="789">
        <v>1</v>
      </c>
      <c r="CC102" s="789">
        <v>2</v>
      </c>
      <c r="CD102" s="789">
        <v>3</v>
      </c>
      <c r="CE102" s="789">
        <v>4</v>
      </c>
      <c r="CF102" s="789">
        <v>5</v>
      </c>
      <c r="CG102" s="789">
        <v>6</v>
      </c>
      <c r="CH102" s="789">
        <v>7</v>
      </c>
      <c r="CI102" s="789">
        <v>8</v>
      </c>
      <c r="CJ102" s="789">
        <v>9</v>
      </c>
      <c r="CK102" s="789">
        <v>10</v>
      </c>
      <c r="CL102" s="789">
        <v>11</v>
      </c>
      <c r="CM102" s="789">
        <v>12</v>
      </c>
      <c r="CN102" s="789">
        <v>13</v>
      </c>
      <c r="CO102" s="789">
        <v>14</v>
      </c>
      <c r="CP102" s="789">
        <v>15</v>
      </c>
      <c r="CQ102" s="789">
        <v>16</v>
      </c>
      <c r="CR102" s="789">
        <v>17</v>
      </c>
      <c r="CS102" s="789">
        <v>18</v>
      </c>
      <c r="CT102" s="789">
        <v>19</v>
      </c>
      <c r="CU102" s="789">
        <v>20</v>
      </c>
      <c r="CV102" s="789">
        <v>21</v>
      </c>
      <c r="CW102" s="789">
        <v>22</v>
      </c>
      <c r="CX102" s="789">
        <v>23</v>
      </c>
      <c r="CY102" s="789">
        <v>24</v>
      </c>
      <c r="CZ102" s="789">
        <v>25</v>
      </c>
      <c r="DA102" s="791">
        <v>26</v>
      </c>
      <c r="DB102" s="78"/>
      <c r="DC102" s="78"/>
      <c r="DD102" s="78"/>
      <c r="EJ102" s="78"/>
      <c r="EK102" s="78"/>
    </row>
    <row r="103" spans="2:141" ht="20" hidden="1" x14ac:dyDescent="0.2">
      <c r="E103" s="397"/>
      <c r="F103" s="397"/>
      <c r="G103" s="998"/>
      <c r="H103"/>
      <c r="I103"/>
      <c r="J103"/>
      <c r="K103"/>
      <c r="L103"/>
      <c r="M103"/>
      <c r="N103"/>
      <c r="O103" s="995"/>
      <c r="U103" s="114"/>
      <c r="AB103" s="114"/>
      <c r="AC103" s="114"/>
      <c r="AD103" s="114"/>
      <c r="AE103" s="114"/>
      <c r="BM103" s="402"/>
      <c r="BN103" s="136"/>
      <c r="BO103" s="1091"/>
      <c r="BP103" s="78"/>
      <c r="BQ103" s="199"/>
      <c r="BR103" s="199"/>
      <c r="BS103" s="199"/>
      <c r="BT103" s="199"/>
      <c r="BU103" s="199"/>
      <c r="BV103" s="199"/>
      <c r="BW103" s="199"/>
      <c r="BX103" s="199"/>
      <c r="BY103" s="199"/>
      <c r="BZ103" s="199"/>
      <c r="CA103" s="199"/>
      <c r="CB103" s="199"/>
      <c r="CC103" s="199"/>
      <c r="CD103" s="199"/>
      <c r="CE103" s="199"/>
      <c r="CF103" s="199"/>
      <c r="CG103" s="199"/>
      <c r="CH103" s="199"/>
      <c r="CI103" s="199"/>
      <c r="CJ103" s="199"/>
      <c r="CK103" s="199"/>
      <c r="CL103" s="199"/>
      <c r="CM103" s="199"/>
      <c r="CN103" s="199"/>
      <c r="CO103" s="199"/>
      <c r="CP103" s="199"/>
      <c r="CQ103" s="199"/>
      <c r="CR103" s="199"/>
      <c r="CS103" s="199"/>
      <c r="CT103" s="199"/>
      <c r="CU103" s="199"/>
      <c r="CV103" s="199"/>
      <c r="CW103" s="199"/>
      <c r="CX103" s="199"/>
      <c r="CY103" s="199"/>
      <c r="CZ103" s="199"/>
      <c r="DA103" s="199"/>
      <c r="DB103" s="199"/>
    </row>
    <row r="104" spans="2:141" ht="20" hidden="1" x14ac:dyDescent="0.2">
      <c r="D104" s="397"/>
      <c r="E104" s="397"/>
      <c r="F104" s="397"/>
      <c r="G104" s="998"/>
      <c r="H104"/>
      <c r="I104"/>
      <c r="J104"/>
      <c r="K104"/>
      <c r="L104"/>
      <c r="M104"/>
      <c r="N104"/>
      <c r="O104" s="995"/>
      <c r="U104" s="114"/>
      <c r="AB104" s="114"/>
      <c r="AC104" s="114"/>
      <c r="AD104" s="114"/>
      <c r="AE104" s="114"/>
      <c r="BM104" s="402"/>
      <c r="BN104" s="136"/>
      <c r="BO104" s="1091"/>
      <c r="BP104" s="76"/>
      <c r="BQ104" s="76"/>
      <c r="BR104" s="76"/>
      <c r="BS104" s="76"/>
      <c r="BT104" s="76"/>
      <c r="BU104" s="76"/>
      <c r="BV104" s="202"/>
      <c r="BW104" s="202"/>
      <c r="BX104" s="202"/>
      <c r="BY104" s="202"/>
      <c r="BZ104" s="202"/>
      <c r="CA104" s="202"/>
      <c r="CB104" s="202"/>
      <c r="CC104" s="202"/>
      <c r="CD104" s="202"/>
      <c r="CE104" s="202"/>
      <c r="CF104" s="202"/>
      <c r="CG104" s="202"/>
      <c r="CH104" s="202"/>
      <c r="CI104" s="202"/>
      <c r="CJ104" s="78"/>
      <c r="CK104" s="78"/>
      <c r="CL104" s="78"/>
      <c r="CM104" s="78"/>
      <c r="CN104" s="78"/>
      <c r="CO104" s="78"/>
      <c r="CP104" s="78"/>
      <c r="CQ104" s="78"/>
      <c r="CR104" s="78"/>
      <c r="CS104" s="78"/>
      <c r="CT104" s="78"/>
      <c r="CU104" s="78"/>
      <c r="CV104" s="78"/>
      <c r="CW104" s="78"/>
      <c r="CX104" s="78"/>
      <c r="CY104" s="78"/>
      <c r="CZ104" s="78"/>
      <c r="DA104" s="78"/>
      <c r="DB104" s="78"/>
      <c r="DC104" s="78"/>
      <c r="DD104" s="78"/>
    </row>
    <row r="105" spans="2:141" hidden="1" x14ac:dyDescent="0.2">
      <c r="D105" s="397"/>
      <c r="E105" s="397"/>
      <c r="F105" s="397"/>
      <c r="G105" s="998"/>
      <c r="H105"/>
      <c r="I105"/>
      <c r="J105"/>
      <c r="K105"/>
      <c r="L105"/>
      <c r="M105"/>
      <c r="N105"/>
      <c r="O105" s="995"/>
      <c r="U105" s="114"/>
      <c r="AB105" s="114"/>
      <c r="AC105" s="114"/>
      <c r="AD105" s="114"/>
      <c r="AE105" s="114"/>
      <c r="BM105" s="402"/>
      <c r="BN105" s="136"/>
      <c r="BO105" s="1091"/>
      <c r="BP105" s="126"/>
      <c r="BQ105" s="126"/>
      <c r="BR105" s="126"/>
      <c r="BS105" s="126"/>
      <c r="BT105" s="126"/>
      <c r="BU105" s="126"/>
      <c r="BV105" s="203"/>
      <c r="BW105" s="203"/>
      <c r="BX105" s="203"/>
      <c r="BY105" s="203"/>
      <c r="BZ105" s="203"/>
      <c r="CA105" s="203"/>
      <c r="CB105" s="203"/>
      <c r="CC105" s="203"/>
      <c r="CD105" s="203"/>
      <c r="CE105" s="203"/>
      <c r="CF105" s="203"/>
      <c r="CG105" s="203"/>
      <c r="CH105" s="203"/>
      <c r="CI105" s="203"/>
    </row>
    <row r="106" spans="2:141" hidden="1" x14ac:dyDescent="0.2">
      <c r="B106" s="399"/>
      <c r="C106" s="399"/>
      <c r="D106" s="397"/>
      <c r="E106" s="397"/>
      <c r="F106" s="397"/>
      <c r="G106" s="998"/>
      <c r="H106"/>
      <c r="I106"/>
      <c r="J106"/>
      <c r="K106"/>
      <c r="L106"/>
      <c r="M106"/>
      <c r="N106"/>
      <c r="O106" s="995"/>
      <c r="U106" s="114"/>
      <c r="AB106" s="114"/>
      <c r="AC106" s="114"/>
      <c r="AD106" s="114"/>
      <c r="AE106" s="114"/>
      <c r="BL106" s="204" t="s">
        <v>59</v>
      </c>
      <c r="BM106" s="402"/>
      <c r="BN106" s="187"/>
      <c r="BO106" s="1091"/>
      <c r="BP106" s="64"/>
      <c r="BS106" s="126"/>
      <c r="BT106" s="126"/>
      <c r="BU106" s="126"/>
      <c r="BV106" s="203"/>
      <c r="BW106" s="203"/>
      <c r="BX106" s="203"/>
      <c r="BY106" s="203"/>
      <c r="BZ106" s="203"/>
      <c r="CA106" s="203"/>
      <c r="CB106" s="203"/>
      <c r="CC106" s="203"/>
      <c r="CD106" s="203"/>
      <c r="CE106" s="203"/>
      <c r="CF106" s="203"/>
      <c r="CG106" s="203"/>
      <c r="CH106" s="203"/>
      <c r="CI106" s="203"/>
      <c r="CR106" s="64"/>
      <c r="DD106" s="204" t="s">
        <v>58</v>
      </c>
    </row>
    <row r="107" spans="2:141" hidden="1" x14ac:dyDescent="0.2">
      <c r="B107" s="399"/>
      <c r="C107" s="399"/>
      <c r="D107" s="397"/>
      <c r="E107" s="397"/>
      <c r="F107" s="397"/>
      <c r="G107" s="998"/>
      <c r="H107"/>
      <c r="I107"/>
      <c r="J107"/>
      <c r="K107"/>
      <c r="L107"/>
      <c r="M107"/>
      <c r="N107"/>
      <c r="O107" s="995"/>
      <c r="U107" s="114"/>
      <c r="AB107" s="114"/>
      <c r="AC107" s="114"/>
      <c r="AD107" s="114"/>
      <c r="AE107" s="114"/>
      <c r="BL107" s="204">
        <f>-+BH181</f>
        <v>705.99506369889912</v>
      </c>
      <c r="BM107" s="402"/>
      <c r="BN107" s="187"/>
      <c r="BO107" s="1091"/>
      <c r="BP107" s="64"/>
      <c r="BS107" s="126"/>
      <c r="BT107" s="126"/>
      <c r="BU107" s="126"/>
      <c r="BV107" s="203"/>
      <c r="BW107" s="203"/>
      <c r="BX107" s="203"/>
      <c r="BY107" s="203"/>
      <c r="BZ107" s="203"/>
      <c r="CA107" s="203"/>
      <c r="CB107" s="203"/>
      <c r="CC107" s="203"/>
      <c r="CD107" s="203"/>
      <c r="CE107" s="203"/>
      <c r="CF107" s="203"/>
      <c r="CG107" s="203"/>
      <c r="CH107" s="203"/>
      <c r="CI107" s="203"/>
      <c r="CP107" s="212"/>
      <c r="CR107" s="64"/>
      <c r="DD107" s="204">
        <f>+-BH217</f>
        <v>-842.00493630110088</v>
      </c>
    </row>
    <row r="108" spans="2:141" hidden="1" x14ac:dyDescent="0.2">
      <c r="B108" s="401"/>
      <c r="E108" s="397"/>
      <c r="F108" s="397"/>
      <c r="G108" s="998"/>
      <c r="H108"/>
      <c r="I108"/>
      <c r="J108"/>
      <c r="K108"/>
      <c r="L108"/>
      <c r="M108"/>
      <c r="N108"/>
      <c r="O108" s="995"/>
      <c r="U108" s="114"/>
      <c r="AB108" s="114"/>
      <c r="AC108" s="114"/>
      <c r="AD108" s="114"/>
      <c r="AE108" s="114"/>
      <c r="BM108" s="402"/>
      <c r="BN108" s="136"/>
      <c r="BO108" s="1091"/>
      <c r="BP108" s="126"/>
      <c r="BQ108" s="126"/>
      <c r="BR108" s="126"/>
      <c r="BS108" s="126"/>
      <c r="BT108" s="126"/>
      <c r="BU108" s="126"/>
      <c r="BV108" s="203"/>
      <c r="BW108" s="203"/>
      <c r="BX108" s="203"/>
      <c r="BY108" s="203"/>
      <c r="BZ108" s="203"/>
      <c r="CA108" s="203"/>
      <c r="CB108" s="203"/>
      <c r="CC108" s="203"/>
      <c r="CD108" s="203"/>
      <c r="CE108" s="203"/>
      <c r="CF108" s="203"/>
      <c r="CG108" s="203"/>
      <c r="CH108" s="203"/>
      <c r="CI108" s="203"/>
    </row>
    <row r="109" spans="2:141" ht="20" hidden="1" x14ac:dyDescent="0.3">
      <c r="B109" s="64"/>
      <c r="C109" s="399"/>
      <c r="D109" s="397"/>
      <c r="E109" s="64"/>
      <c r="G109" s="998"/>
      <c r="H109"/>
      <c r="I109"/>
      <c r="J109"/>
      <c r="K109"/>
      <c r="L109"/>
      <c r="M109"/>
      <c r="N109"/>
      <c r="O109" s="995"/>
      <c r="U109" s="114"/>
      <c r="AB109" s="114"/>
      <c r="AC109" s="114"/>
      <c r="AD109" s="114"/>
      <c r="AE109" s="114"/>
      <c r="BM109" s="214"/>
      <c r="BN109" s="214"/>
      <c r="BO109" s="214"/>
      <c r="BP109" s="126"/>
      <c r="BQ109" s="126"/>
      <c r="BR109" s="126"/>
      <c r="BS109" s="126"/>
      <c r="BT109" s="126"/>
      <c r="BU109" s="126"/>
      <c r="BV109" s="203"/>
      <c r="BW109" s="203"/>
      <c r="BX109" s="203"/>
      <c r="BY109" s="203"/>
      <c r="BZ109" s="203"/>
      <c r="CA109" s="203"/>
      <c r="CB109" s="203"/>
      <c r="CC109" s="203"/>
      <c r="CD109" s="203"/>
      <c r="CE109" s="203"/>
      <c r="CF109" s="203"/>
      <c r="CG109" s="203"/>
      <c r="CH109" s="203"/>
      <c r="CI109" s="203"/>
    </row>
    <row r="110" spans="2:141" ht="20" hidden="1" x14ac:dyDescent="0.3">
      <c r="B110" s="399"/>
      <c r="C110" s="399"/>
      <c r="D110" s="397"/>
      <c r="E110" s="397"/>
      <c r="F110" s="397"/>
      <c r="G110" s="998"/>
      <c r="H110"/>
      <c r="I110"/>
      <c r="J110"/>
      <c r="K110"/>
      <c r="L110"/>
      <c r="M110"/>
      <c r="N110"/>
      <c r="O110" s="995"/>
      <c r="U110" s="114"/>
      <c r="AB110" s="114"/>
      <c r="AC110" s="114"/>
      <c r="AD110" s="114"/>
      <c r="AE110" s="114"/>
      <c r="BM110" s="214"/>
      <c r="BN110" s="214"/>
      <c r="BO110" s="214"/>
      <c r="BP110" s="126"/>
      <c r="BQ110" s="126"/>
      <c r="BR110" s="126"/>
      <c r="BS110" s="126"/>
      <c r="BT110" s="126"/>
      <c r="BU110" s="126"/>
      <c r="BV110" s="203"/>
      <c r="BW110" s="203"/>
      <c r="BX110" s="203"/>
      <c r="BY110" s="203"/>
      <c r="BZ110" s="203"/>
      <c r="CA110" s="203"/>
      <c r="CB110" s="203"/>
      <c r="CC110" s="203"/>
      <c r="CD110" s="203"/>
      <c r="CE110" s="203"/>
      <c r="CF110" s="203"/>
      <c r="CG110" s="203"/>
      <c r="CH110" s="203"/>
      <c r="CI110" s="203"/>
    </row>
    <row r="111" spans="2:141" ht="20" hidden="1" x14ac:dyDescent="0.3">
      <c r="B111" s="19"/>
      <c r="C111" s="399"/>
      <c r="E111" s="19"/>
      <c r="G111" s="998"/>
      <c r="H111"/>
      <c r="I111"/>
      <c r="J111"/>
      <c r="K111"/>
      <c r="L111"/>
      <c r="M111"/>
      <c r="N111"/>
      <c r="O111" s="995"/>
      <c r="U111" s="114"/>
      <c r="AB111" s="114"/>
      <c r="AC111" s="114"/>
      <c r="AD111" s="114"/>
      <c r="AE111" s="114"/>
      <c r="BE111" s="114"/>
      <c r="BF111" s="114"/>
      <c r="BG111" s="114"/>
      <c r="BH111" s="114"/>
      <c r="BM111" s="214"/>
      <c r="BN111" s="214"/>
      <c r="BO111" s="214"/>
      <c r="BP111" s="126"/>
      <c r="BQ111" s="126"/>
      <c r="BR111" s="126"/>
      <c r="BS111" s="126"/>
      <c r="BT111" s="126"/>
      <c r="BU111" s="126"/>
      <c r="BV111" s="203"/>
      <c r="BW111" s="203"/>
      <c r="BX111" s="203"/>
      <c r="BY111" s="203"/>
      <c r="BZ111" s="203"/>
      <c r="CA111" s="203"/>
      <c r="CB111" s="203"/>
      <c r="CC111" s="203"/>
      <c r="CD111" s="203"/>
      <c r="CE111" s="203"/>
      <c r="CF111" s="203"/>
      <c r="CG111" s="203"/>
      <c r="CH111" s="203"/>
      <c r="CI111" s="203"/>
    </row>
    <row r="112" spans="2:141" ht="30" hidden="1" x14ac:dyDescent="0.3">
      <c r="B112" s="67"/>
      <c r="C112" s="399"/>
      <c r="E112" s="68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E112" s="114"/>
      <c r="BF112" s="114"/>
      <c r="BG112" s="114"/>
      <c r="BH112" s="114"/>
      <c r="BM112" s="214"/>
      <c r="BN112" s="214"/>
      <c r="BO112" s="214"/>
      <c r="CI112" s="236"/>
      <c r="CJ112" s="236"/>
      <c r="CK112" s="236"/>
      <c r="CL112" s="236"/>
      <c r="CM112" s="236"/>
      <c r="CN112" s="236"/>
    </row>
    <row r="113" spans="2:128" ht="20" hidden="1" x14ac:dyDescent="0.3">
      <c r="B113" s="399"/>
      <c r="C113" s="399"/>
      <c r="D113" s="397"/>
      <c r="E113" s="397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E113" s="114"/>
      <c r="BF113" s="114"/>
      <c r="BG113" s="114"/>
      <c r="BH113" s="114"/>
      <c r="BM113" s="214"/>
      <c r="BN113" s="214"/>
      <c r="BO113" s="214"/>
    </row>
    <row r="114" spans="2:128" ht="20" hidden="1" x14ac:dyDescent="0.3">
      <c r="B114" s="399"/>
      <c r="C114" s="399"/>
      <c r="D114" s="397"/>
      <c r="E114" s="397"/>
      <c r="F114" s="397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M114" s="214"/>
      <c r="BN114" s="214"/>
      <c r="BO114" s="214"/>
    </row>
    <row r="115" spans="2:128" ht="20" hidden="1" x14ac:dyDescent="0.3">
      <c r="B115" s="399"/>
      <c r="C115" s="399"/>
      <c r="D115" s="397"/>
      <c r="E115" s="397"/>
      <c r="F115" s="397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26"/>
      <c r="BF115" s="126"/>
      <c r="BG115" s="126"/>
      <c r="BH115" s="126"/>
      <c r="BM115" s="214"/>
      <c r="BN115" s="214"/>
      <c r="BO115" s="214"/>
    </row>
    <row r="116" spans="2:128" ht="20" hidden="1" x14ac:dyDescent="0.3">
      <c r="B116" s="399"/>
      <c r="C116" s="399"/>
      <c r="D116" s="397"/>
      <c r="E116" s="397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E116" s="126"/>
      <c r="BF116" s="126"/>
      <c r="BG116" s="126"/>
      <c r="BH116" s="126"/>
      <c r="BM116" s="214"/>
      <c r="BN116" s="214"/>
      <c r="BO116" s="214"/>
    </row>
    <row r="117" spans="2:128" ht="20" hidden="1" x14ac:dyDescent="0.3">
      <c r="B117" s="399"/>
      <c r="C117" s="399"/>
      <c r="D117" s="397"/>
      <c r="E117" s="397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E117" s="126"/>
      <c r="BF117" s="126"/>
      <c r="BG117" s="126"/>
      <c r="BH117" s="126"/>
      <c r="BM117" s="214"/>
      <c r="BN117" s="214"/>
      <c r="BO117" s="214"/>
    </row>
    <row r="118" spans="2:128" ht="20" hidden="1" x14ac:dyDescent="0.3">
      <c r="B118" s="399"/>
      <c r="C118" s="399"/>
      <c r="D118" s="397"/>
      <c r="E118" s="397"/>
      <c r="F118" s="397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E118" s="126"/>
      <c r="BF118" s="126"/>
      <c r="BG118" s="126"/>
      <c r="BH118" s="126"/>
      <c r="BM118" s="214"/>
      <c r="BN118" s="214"/>
      <c r="BO118" s="214"/>
    </row>
    <row r="119" spans="2:128" ht="20" hidden="1" x14ac:dyDescent="0.3">
      <c r="B119" s="399"/>
      <c r="C119" s="399"/>
      <c r="D119" s="397"/>
      <c r="E119" s="397"/>
      <c r="F119" s="397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E119" s="126"/>
      <c r="BF119" s="126"/>
      <c r="BG119" s="126"/>
      <c r="BH119" s="126"/>
      <c r="BM119" s="214"/>
      <c r="BN119" s="214"/>
      <c r="BO119" s="214"/>
      <c r="DE119" s="126"/>
      <c r="DF119" s="126"/>
      <c r="DG119" s="126"/>
      <c r="DH119" s="126"/>
      <c r="DI119" s="126"/>
      <c r="DJ119" s="126"/>
      <c r="DK119" s="203"/>
      <c r="DL119" s="203"/>
      <c r="DM119" s="203"/>
      <c r="DN119" s="203"/>
      <c r="DO119" s="203"/>
      <c r="DP119" s="203"/>
      <c r="DQ119" s="203"/>
      <c r="DR119" s="203"/>
      <c r="DS119" s="203"/>
      <c r="DT119" s="203"/>
      <c r="DU119" s="203"/>
      <c r="DV119" s="203"/>
      <c r="DW119" s="203"/>
      <c r="DX119" s="203"/>
    </row>
    <row r="120" spans="2:128" ht="20" hidden="1" x14ac:dyDescent="0.3">
      <c r="B120" s="399"/>
      <c r="C120" s="399"/>
      <c r="D120" s="397"/>
      <c r="E120" s="397"/>
      <c r="F120" s="397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E120" s="136"/>
      <c r="BF120" s="136"/>
      <c r="BG120" s="136"/>
      <c r="BH120" s="136"/>
      <c r="BM120" s="214"/>
      <c r="BN120" s="214"/>
      <c r="BO120" s="214"/>
      <c r="DE120" s="126"/>
      <c r="DF120" s="126"/>
      <c r="DG120" s="126"/>
      <c r="DH120" s="126"/>
      <c r="DI120" s="126"/>
      <c r="DJ120" s="126"/>
      <c r="DK120" s="203"/>
      <c r="DL120" s="203"/>
      <c r="DM120" s="203"/>
      <c r="DN120" s="203"/>
      <c r="DO120" s="203"/>
      <c r="DP120" s="203"/>
      <c r="DQ120" s="203"/>
      <c r="DR120" s="203"/>
      <c r="DS120" s="203"/>
      <c r="DT120" s="203"/>
      <c r="DU120" s="203"/>
      <c r="DV120" s="203"/>
      <c r="DW120" s="203"/>
      <c r="DX120" s="203"/>
    </row>
    <row r="121" spans="2:128" ht="20" hidden="1" x14ac:dyDescent="0.3">
      <c r="B121" s="399"/>
      <c r="C121" s="399"/>
      <c r="D121" s="397"/>
      <c r="E121" s="397"/>
      <c r="F121" s="397"/>
      <c r="G121" s="998"/>
      <c r="H121"/>
      <c r="I121"/>
      <c r="J121"/>
      <c r="K121"/>
      <c r="L121"/>
      <c r="M121"/>
      <c r="N121"/>
      <c r="O121" s="995"/>
      <c r="U121" s="114"/>
      <c r="AB121" s="114"/>
      <c r="AC121" s="114"/>
      <c r="AD121" s="114"/>
      <c r="AE121" s="114"/>
      <c r="BE121" s="136"/>
      <c r="BF121" s="136"/>
      <c r="BG121" s="136"/>
      <c r="BH121" s="136"/>
      <c r="BM121" s="214"/>
      <c r="BN121" s="214"/>
      <c r="BO121" s="214"/>
      <c r="DE121" s="126"/>
      <c r="DF121" s="126"/>
      <c r="DG121" s="126"/>
      <c r="DH121" s="126"/>
      <c r="DI121" s="126"/>
      <c r="DJ121" s="126"/>
      <c r="DK121" s="203"/>
      <c r="DL121" s="203"/>
      <c r="DM121" s="203"/>
      <c r="DN121" s="203"/>
      <c r="DO121" s="203"/>
      <c r="DP121" s="203"/>
      <c r="DQ121" s="203"/>
      <c r="DR121" s="203"/>
      <c r="DS121" s="203"/>
      <c r="DT121" s="203"/>
      <c r="DU121" s="203"/>
      <c r="DV121" s="203"/>
      <c r="DW121" s="203"/>
      <c r="DX121" s="203"/>
    </row>
    <row r="122" spans="2:128" ht="20" hidden="1" x14ac:dyDescent="0.3">
      <c r="B122" s="399"/>
      <c r="C122" s="399"/>
      <c r="D122" s="397"/>
      <c r="E122" s="397"/>
      <c r="F122" s="397"/>
      <c r="G122" s="998"/>
      <c r="H122"/>
      <c r="I122"/>
      <c r="J122"/>
      <c r="K122"/>
      <c r="L122"/>
      <c r="M122"/>
      <c r="N122"/>
      <c r="O122" s="995"/>
      <c r="U122" s="114"/>
      <c r="AB122" s="114"/>
      <c r="AC122" s="114"/>
      <c r="AD122" s="114"/>
      <c r="AE122" s="114"/>
      <c r="BE122" s="136"/>
      <c r="BF122" s="136"/>
      <c r="BG122" s="136"/>
      <c r="BH122" s="136"/>
      <c r="BM122" s="214"/>
      <c r="BN122" s="214"/>
      <c r="BO122" s="214"/>
      <c r="DE122" s="126"/>
      <c r="DF122" s="126"/>
      <c r="DG122" s="126"/>
      <c r="DH122" s="126"/>
      <c r="DI122" s="126"/>
      <c r="DJ122" s="126"/>
      <c r="DK122" s="203"/>
      <c r="DL122" s="203"/>
      <c r="DM122" s="203"/>
      <c r="DN122" s="203"/>
      <c r="DO122" s="203"/>
      <c r="DP122" s="203"/>
      <c r="DQ122" s="203"/>
      <c r="DR122" s="203"/>
      <c r="DS122" s="203"/>
      <c r="DT122" s="203"/>
      <c r="DU122" s="203"/>
      <c r="DV122" s="203"/>
      <c r="DW122" s="203"/>
      <c r="DX122" s="203"/>
    </row>
    <row r="123" spans="2:128" ht="20" hidden="1" x14ac:dyDescent="0.3">
      <c r="B123" s="399"/>
      <c r="C123" s="399"/>
      <c r="D123" s="397"/>
      <c r="E123" s="397"/>
      <c r="F123" s="397"/>
      <c r="G123" s="998"/>
      <c r="H123"/>
      <c r="I123"/>
      <c r="J123"/>
      <c r="K123"/>
      <c r="L123"/>
      <c r="M123"/>
      <c r="N123"/>
      <c r="O123" s="995"/>
      <c r="U123" s="114"/>
      <c r="AB123" s="114"/>
      <c r="AC123" s="114"/>
      <c r="AD123" s="114"/>
      <c r="AE123" s="114"/>
      <c r="BE123" s="136"/>
      <c r="BF123" s="136"/>
      <c r="BG123" s="136"/>
      <c r="BH123" s="136"/>
      <c r="BM123" s="214"/>
      <c r="BN123" s="214"/>
      <c r="BO123" s="214"/>
    </row>
    <row r="124" spans="2:128" ht="86" hidden="1" x14ac:dyDescent="0.3">
      <c r="B124" s="399"/>
      <c r="C124" s="399"/>
      <c r="D124" s="397"/>
      <c r="E124" s="397"/>
      <c r="F124" s="39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114"/>
      <c r="AB124" s="114"/>
      <c r="AC124" s="114"/>
      <c r="AD124" s="114"/>
      <c r="AE124" s="114"/>
      <c r="BE124" s="136"/>
      <c r="BF124" s="136"/>
      <c r="BG124" s="136"/>
      <c r="BH124" s="136"/>
      <c r="BM124" s="214"/>
      <c r="BN124" s="214"/>
      <c r="BO124" s="214"/>
    </row>
    <row r="125" spans="2:128" ht="86" hidden="1" x14ac:dyDescent="0.3">
      <c r="C125" s="399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114"/>
      <c r="AB125" s="114"/>
      <c r="AC125" s="114"/>
      <c r="AD125" s="114"/>
      <c r="AE125" s="114"/>
      <c r="BE125" s="136"/>
      <c r="BF125" s="136"/>
      <c r="BG125" s="136"/>
      <c r="BH125" s="136"/>
      <c r="BM125" s="214"/>
      <c r="BN125" s="214"/>
      <c r="BO125" s="214"/>
    </row>
    <row r="126" spans="2:128" ht="66" hidden="1" customHeight="1" x14ac:dyDescent="0.3">
      <c r="B126" s="1851"/>
      <c r="C126" s="1851"/>
      <c r="D126" s="1851"/>
      <c r="E126" s="1851"/>
      <c r="G126" s="998"/>
      <c r="H126" s="1065" t="s">
        <v>260</v>
      </c>
      <c r="I126" s="1051">
        <f>+MIN(K31:L32)</f>
        <v>53.92115464891274</v>
      </c>
      <c r="J126" s="1052">
        <f>+MIN(J37:K38)</f>
        <v>82.26221079691517</v>
      </c>
      <c r="K126" s="1053">
        <f>+MIN(J43:L44)</f>
        <v>82.26221079691517</v>
      </c>
      <c r="L126" s="1054">
        <f>+MIN(J49:L50)</f>
        <v>35.594225825588289</v>
      </c>
      <c r="M126" s="1055">
        <f>+MIN(J55:L56)</f>
        <v>82.26221079691517</v>
      </c>
      <c r="N126"/>
      <c r="O126" s="995"/>
      <c r="U126" s="114"/>
      <c r="AB126" s="114"/>
      <c r="AC126" s="114"/>
      <c r="AD126" s="114"/>
      <c r="AE126" s="114"/>
      <c r="BE126" s="136"/>
      <c r="BF126" s="136"/>
      <c r="BG126" s="136"/>
      <c r="BH126" s="136"/>
      <c r="BM126" s="214"/>
      <c r="BN126" s="214"/>
      <c r="BO126" s="214"/>
    </row>
    <row r="127" spans="2:128" ht="20" hidden="1" x14ac:dyDescent="0.3">
      <c r="B127" s="334"/>
      <c r="C127" s="403"/>
      <c r="D127" s="334"/>
      <c r="E127" s="334"/>
      <c r="F127" s="397"/>
      <c r="G127" s="1011"/>
      <c r="H127" s="131"/>
      <c r="I127" s="131"/>
      <c r="J127" s="131"/>
      <c r="K127" s="131"/>
      <c r="L127" s="131"/>
      <c r="M127" s="131"/>
      <c r="N127" s="131"/>
      <c r="O127" s="1012"/>
      <c r="U127" s="114"/>
      <c r="AB127" s="114"/>
      <c r="AC127" s="114"/>
      <c r="AD127" s="114"/>
      <c r="AE127" s="114"/>
      <c r="BE127" s="136"/>
      <c r="BF127" s="136"/>
      <c r="BG127" s="136"/>
      <c r="BH127" s="136"/>
      <c r="BM127" s="214"/>
      <c r="BN127" s="214"/>
      <c r="BO127" s="214"/>
    </row>
    <row r="128" spans="2:128" ht="30" hidden="1" x14ac:dyDescent="0.3">
      <c r="B128" s="404"/>
      <c r="C128" s="403"/>
      <c r="D128" s="405"/>
      <c r="E128" s="339"/>
      <c r="F128" s="397"/>
      <c r="G128" s="998"/>
      <c r="H128" s="201"/>
      <c r="I128" s="201"/>
      <c r="J128" s="201"/>
      <c r="K128" s="201"/>
      <c r="L128" s="201"/>
      <c r="M128" s="201"/>
      <c r="N128" s="201"/>
      <c r="O128" s="1013"/>
      <c r="U128" s="114"/>
      <c r="AB128" s="114"/>
      <c r="AC128" s="114"/>
      <c r="AD128" s="114"/>
      <c r="AE128" s="114"/>
      <c r="BE128" s="136"/>
      <c r="BF128" s="136"/>
      <c r="BG128" s="136"/>
      <c r="BH128" s="136"/>
      <c r="BM128" s="214"/>
      <c r="BN128" s="214"/>
      <c r="BO128" s="214"/>
    </row>
    <row r="129" spans="2:67" ht="20" hidden="1" x14ac:dyDescent="0.3">
      <c r="B129" s="403"/>
      <c r="C129" s="403"/>
      <c r="D129" s="86"/>
      <c r="E129" s="86"/>
      <c r="F129" s="397"/>
      <c r="G129" s="998"/>
      <c r="H129"/>
      <c r="I129"/>
      <c r="J129"/>
      <c r="K129"/>
      <c r="L129"/>
      <c r="M129"/>
      <c r="N129"/>
      <c r="O129" s="995"/>
      <c r="U129" s="114"/>
      <c r="AB129" s="114"/>
      <c r="AC129" s="114"/>
      <c r="AD129" s="114"/>
      <c r="AE129" s="114"/>
      <c r="BE129" s="136"/>
      <c r="BF129" s="136"/>
      <c r="BG129" s="136"/>
      <c r="BH129" s="136"/>
      <c r="BM129" s="214"/>
      <c r="BN129" s="214"/>
      <c r="BO129" s="214"/>
    </row>
    <row r="130" spans="2:67" ht="20" hidden="1" x14ac:dyDescent="0.3">
      <c r="B130" s="334"/>
      <c r="C130" s="403"/>
      <c r="D130" s="334"/>
      <c r="E130" s="20"/>
      <c r="F130" s="397"/>
      <c r="G130" s="998"/>
      <c r="H130"/>
      <c r="I130"/>
      <c r="J130"/>
      <c r="K130"/>
      <c r="L130"/>
      <c r="M130"/>
      <c r="N130"/>
      <c r="O130" s="995"/>
      <c r="U130" s="114"/>
      <c r="AB130" s="114"/>
      <c r="AC130" s="114"/>
      <c r="AD130" s="114"/>
      <c r="AE130" s="114"/>
      <c r="BE130" s="136"/>
      <c r="BF130" s="136"/>
      <c r="BG130" s="136"/>
      <c r="BH130" s="136"/>
      <c r="BM130" s="214"/>
      <c r="BN130" s="214"/>
      <c r="BO130" s="214"/>
    </row>
    <row r="131" spans="2:67" ht="24" hidden="1" x14ac:dyDescent="0.3">
      <c r="B131" s="399"/>
      <c r="C131" s="399"/>
      <c r="F131" s="397"/>
      <c r="G131" s="1014"/>
      <c r="H131" s="209"/>
      <c r="I131" s="1062">
        <f>COUNTIF(CK97:DA97,"&gt;0")</f>
        <v>1</v>
      </c>
      <c r="J131" s="1062">
        <f>COUNTIF(BQ97:CG97,"&gt;0")</f>
        <v>1</v>
      </c>
      <c r="K131" s="1062" t="b">
        <f>AND(IF(SUM(BQ101:CA101)&gt;0,1,0),IF(CP101="6  ADS ",1,0))</f>
        <v>1</v>
      </c>
      <c r="L131" s="1062" t="b">
        <f>AND(IF(SUM(CQ101:DA101)&gt;0,1,0),IF(CB101="6  ADS ",1,0))</f>
        <v>0</v>
      </c>
      <c r="M131" s="1062" t="b">
        <f>AND(IF(CP101="6  ADS ",1,0),IF(CB101="6  ADS ",1,0))</f>
        <v>0</v>
      </c>
      <c r="N131" s="209"/>
      <c r="O131" s="1015"/>
      <c r="U131" s="114"/>
      <c r="AB131" s="114"/>
      <c r="AC131" s="114"/>
      <c r="AD131" s="114"/>
      <c r="AE131" s="114"/>
      <c r="BF131" s="136"/>
      <c r="BG131" s="136"/>
      <c r="BH131" s="136"/>
      <c r="BM131" s="214"/>
      <c r="BN131" s="214"/>
      <c r="BO131" s="214"/>
    </row>
    <row r="132" spans="2:67" ht="25" hidden="1" thickBot="1" x14ac:dyDescent="0.35">
      <c r="B132" s="399"/>
      <c r="C132" s="399"/>
      <c r="G132" s="1016"/>
      <c r="H132" s="1017"/>
      <c r="I132" s="1063">
        <f>IF(I131=2,I126,0)</f>
        <v>0</v>
      </c>
      <c r="J132" s="1063">
        <f>IF(J131=2,J126,0)</f>
        <v>0</v>
      </c>
      <c r="K132" s="1063">
        <f t="shared" ref="K132:M132" si="4">IF(K131=TRUE,K126,0)</f>
        <v>82.26221079691517</v>
      </c>
      <c r="L132" s="1063">
        <f t="shared" si="4"/>
        <v>0</v>
      </c>
      <c r="M132" s="1063">
        <f t="shared" si="4"/>
        <v>0</v>
      </c>
      <c r="N132" s="1017"/>
      <c r="O132" s="1018"/>
      <c r="U132" s="114"/>
      <c r="AB132" s="114"/>
      <c r="AC132" s="114"/>
      <c r="AD132" s="114"/>
      <c r="AE132" s="114"/>
      <c r="BE132" s="136"/>
      <c r="BF132" s="136"/>
      <c r="BG132" s="136"/>
      <c r="BH132" s="136"/>
      <c r="BM132" s="214"/>
      <c r="BN132" s="214"/>
      <c r="BO132" s="214"/>
    </row>
    <row r="133" spans="2:67" ht="20" hidden="1" x14ac:dyDescent="0.3">
      <c r="B133" s="399"/>
      <c r="C133" s="399"/>
      <c r="G133" s="397"/>
      <c r="U133" s="114"/>
      <c r="AB133" s="114"/>
      <c r="AC133" s="114"/>
      <c r="AD133" s="114"/>
      <c r="AE133" s="114"/>
      <c r="BF133" s="136"/>
      <c r="BG133" s="136"/>
      <c r="BH133" s="136"/>
      <c r="BM133" s="214"/>
      <c r="BN133" s="214"/>
      <c r="BO133" s="214"/>
    </row>
    <row r="134" spans="2:67" ht="20" hidden="1" x14ac:dyDescent="0.3">
      <c r="C134" s="114"/>
      <c r="G134" s="397"/>
      <c r="U134" s="114"/>
      <c r="AB134" s="114"/>
      <c r="AC134" s="114"/>
      <c r="AD134" s="114"/>
      <c r="AE134" s="114"/>
      <c r="BF134" s="136"/>
      <c r="BG134" s="136"/>
      <c r="BH134" s="136"/>
      <c r="BM134" s="214"/>
      <c r="BN134" s="214"/>
      <c r="BO134" s="214"/>
    </row>
    <row r="135" spans="2:67" ht="20" hidden="1" x14ac:dyDescent="0.3">
      <c r="B135" s="406"/>
      <c r="C135" s="406"/>
      <c r="D135" s="407"/>
      <c r="E135" s="407"/>
      <c r="F135" s="407"/>
      <c r="G135" s="407"/>
      <c r="BE135" s="136"/>
      <c r="BF135" s="136"/>
      <c r="BG135" s="136"/>
      <c r="BH135" s="136"/>
      <c r="BM135" s="214"/>
      <c r="BN135" s="214"/>
      <c r="BO135" s="214"/>
    </row>
    <row r="136" spans="2:67" ht="20" hidden="1" x14ac:dyDescent="0.3">
      <c r="BF136" s="136"/>
      <c r="BG136" s="136"/>
      <c r="BH136" s="136"/>
      <c r="BM136" s="214"/>
      <c r="BN136" s="214"/>
      <c r="BO136" s="214"/>
    </row>
    <row r="137" spans="2:67" ht="20" hidden="1" x14ac:dyDescent="0.3">
      <c r="B137"/>
      <c r="BE137" s="136"/>
      <c r="BF137" s="136"/>
      <c r="BG137" s="136"/>
      <c r="BH137" s="136"/>
      <c r="BM137" s="214"/>
      <c r="BN137" s="214"/>
      <c r="BO137" s="214"/>
    </row>
    <row r="138" spans="2:67" ht="20" hidden="1" x14ac:dyDescent="0.3">
      <c r="B138" s="406"/>
      <c r="C138" s="406"/>
      <c r="D138" s="407"/>
      <c r="E138" s="407"/>
      <c r="F138" s="407"/>
      <c r="G138" s="407"/>
      <c r="BE138" s="136"/>
      <c r="BF138" s="136"/>
      <c r="BG138" s="136"/>
      <c r="BH138" s="136"/>
      <c r="BM138" s="214"/>
      <c r="BN138" s="214"/>
      <c r="BO138" s="214"/>
    </row>
    <row r="139" spans="2:67" ht="20" hidden="1" x14ac:dyDescent="0.3">
      <c r="B139" s="406"/>
      <c r="C139" s="406"/>
      <c r="D139" s="407"/>
      <c r="E139" s="407"/>
      <c r="F139" s="407"/>
      <c r="G139" s="407"/>
      <c r="BE139" s="136"/>
      <c r="BF139" s="136"/>
      <c r="BG139" s="136"/>
      <c r="BH139" s="136"/>
      <c r="BM139" s="214"/>
      <c r="BN139" s="214"/>
      <c r="BO139" s="214"/>
    </row>
    <row r="140" spans="2:67" ht="21" hidden="1" thickBot="1" x14ac:dyDescent="0.35">
      <c r="B140" s="406"/>
      <c r="C140" s="406"/>
      <c r="D140" s="407"/>
      <c r="E140" s="407"/>
      <c r="F140" s="407"/>
      <c r="G140" s="407"/>
      <c r="BE140" s="136"/>
      <c r="BF140" s="136"/>
      <c r="BG140" s="136"/>
      <c r="BH140" s="136"/>
      <c r="BM140" s="214"/>
      <c r="BN140" s="214"/>
      <c r="BO140" s="214"/>
    </row>
    <row r="141" spans="2:67" ht="52.5" customHeight="1" thickBot="1" x14ac:dyDescent="0.35">
      <c r="B141" s="408"/>
      <c r="D141" s="409" t="str">
        <f>IF(BL107&gt;0," ","change the angle of frame or of cabinets")</f>
        <v xml:space="preserve"> </v>
      </c>
      <c r="E141" s="208"/>
      <c r="F141" s="208"/>
      <c r="G141" s="208"/>
      <c r="BE141" s="136"/>
      <c r="BF141" s="136"/>
      <c r="BG141" s="136"/>
      <c r="BH141" s="136"/>
      <c r="BM141" s="214"/>
      <c r="BN141" s="214"/>
      <c r="BO141" s="214"/>
    </row>
    <row r="142" spans="2:67" ht="52.5" customHeight="1" thickBot="1" x14ac:dyDescent="0.35">
      <c r="B142" s="1846" t="s">
        <v>116</v>
      </c>
      <c r="D142" s="409" t="str">
        <f>IF(DD107&lt;0," ","change the angle of frame or of cabinets")</f>
        <v xml:space="preserve"> </v>
      </c>
      <c r="E142" s="208"/>
      <c r="F142" s="208"/>
      <c r="G142" s="208"/>
      <c r="V142" s="410"/>
      <c r="W142" s="410"/>
      <c r="X142" s="410"/>
      <c r="Y142" s="410"/>
      <c r="Z142" s="410"/>
      <c r="AA142" s="410"/>
      <c r="AF142" s="401"/>
      <c r="AG142" s="401"/>
      <c r="AH142" s="401"/>
      <c r="AI142" s="401"/>
      <c r="AJ142" s="401"/>
      <c r="AK142" s="401"/>
      <c r="AL142" s="401"/>
      <c r="AM142" s="401"/>
      <c r="AN142" s="401"/>
      <c r="AO142" s="401"/>
      <c r="AP142" s="401"/>
      <c r="AQ142" s="401"/>
      <c r="AR142" s="401"/>
      <c r="AS142" s="401"/>
      <c r="AT142" s="401"/>
      <c r="AU142" s="401"/>
      <c r="AV142" s="401"/>
      <c r="AW142" s="401"/>
      <c r="AX142" s="401"/>
      <c r="AY142" s="401"/>
      <c r="AZ142" s="401"/>
      <c r="BA142" s="401"/>
      <c r="BB142" s="143"/>
      <c r="BE142" s="136"/>
      <c r="BF142" s="136"/>
      <c r="BG142" s="136"/>
      <c r="BH142" s="136"/>
      <c r="BM142" s="214"/>
      <c r="BN142" s="214"/>
      <c r="BO142" s="214"/>
    </row>
    <row r="143" spans="2:67" ht="52.5" customHeight="1" thickBot="1" x14ac:dyDescent="0.35">
      <c r="B143" s="1847"/>
      <c r="C143" s="213"/>
      <c r="D143" s="409" t="str">
        <f>IF(BL107&gt;(+COS(($B$144*-1)*3.14159265358979/180)*451.5)," ","USE EXBAR AR AT THE FRONT")</f>
        <v xml:space="preserve"> </v>
      </c>
      <c r="E143" s="208"/>
      <c r="F143" s="208"/>
      <c r="G143" s="208"/>
      <c r="BE143" s="136"/>
      <c r="BF143" s="136"/>
      <c r="BG143" s="136"/>
      <c r="BH143" s="136"/>
      <c r="BM143" s="214"/>
      <c r="BN143" s="214"/>
      <c r="BO143" s="214"/>
    </row>
    <row r="144" spans="2:67" ht="52.5" customHeight="1" thickBot="1" x14ac:dyDescent="0.35">
      <c r="B144" s="4">
        <v>0</v>
      </c>
      <c r="C144" s="213"/>
      <c r="D144" s="341" t="str">
        <f>IF(DD107&lt;-(+COS(($B$144*-1)*3.14159265358979/180)*365.5)," ","USE EXBAR AR AT THE BACK")</f>
        <v xml:space="preserve"> </v>
      </c>
      <c r="E144" s="208"/>
      <c r="F144" s="208"/>
      <c r="G144" s="208"/>
      <c r="AK144" s="826" t="s">
        <v>174</v>
      </c>
      <c r="AL144" s="827"/>
      <c r="AM144" s="827"/>
      <c r="AN144" s="827"/>
      <c r="AO144" s="828" t="s">
        <v>188</v>
      </c>
      <c r="BE144" s="136"/>
      <c r="BF144" s="136"/>
      <c r="BG144" s="136"/>
      <c r="BH144" s="136"/>
      <c r="BM144" s="214"/>
      <c r="BN144" s="214"/>
      <c r="BO144" s="214"/>
    </row>
    <row r="145" spans="2:87" ht="42" customHeight="1" thickBot="1" x14ac:dyDescent="0.35">
      <c r="AK145" s="829" t="s">
        <v>175</v>
      </c>
      <c r="AL145" s="826" t="s">
        <v>176</v>
      </c>
      <c r="AM145" s="826" t="s">
        <v>177</v>
      </c>
      <c r="AN145" s="830" t="s">
        <v>181</v>
      </c>
      <c r="AO145" s="831" t="s">
        <v>179</v>
      </c>
      <c r="BE145" s="136"/>
      <c r="BF145" s="136"/>
      <c r="BG145" s="136"/>
      <c r="BH145" s="136"/>
      <c r="BM145" s="214"/>
      <c r="BN145" s="214"/>
      <c r="BO145" s="214"/>
    </row>
    <row r="146" spans="2:87" ht="64" thickBot="1" x14ac:dyDescent="0.35">
      <c r="B146" s="411" t="s">
        <v>30</v>
      </c>
      <c r="C146" s="412"/>
      <c r="D146" s="37"/>
      <c r="E146" s="37"/>
      <c r="F146" s="37"/>
      <c r="G146" s="37"/>
      <c r="T146" s="187"/>
      <c r="AK146" s="829">
        <v>6.8623010000000004</v>
      </c>
      <c r="AL146" s="826">
        <f>+$B$144-AK146</f>
        <v>-6.8623010000000004</v>
      </c>
      <c r="AM146" s="832">
        <f>COS(AL146*3.14159265358979/180)</f>
        <v>0.99283617366519983</v>
      </c>
      <c r="AN146" s="833">
        <f>+AM146*378.71303</f>
        <v>375.99999562235405</v>
      </c>
      <c r="AO146" s="834">
        <f>+((AO150*(AQ150-31))+(AN146*31)+(AO168*31))/(AQ150+31)</f>
        <v>280.49507740150204</v>
      </c>
      <c r="AP146" s="1100" t="s">
        <v>266</v>
      </c>
      <c r="BE146" s="136"/>
      <c r="BF146" s="136"/>
      <c r="BG146" s="136"/>
      <c r="BH146" s="136"/>
    </row>
    <row r="147" spans="2:87" ht="28" thickBot="1" x14ac:dyDescent="0.3">
      <c r="B147" s="28">
        <v>1</v>
      </c>
      <c r="C147" s="216"/>
      <c r="D147" s="413" t="s">
        <v>65</v>
      </c>
      <c r="E147" s="330"/>
      <c r="F147" s="330"/>
      <c r="G147" s="330"/>
      <c r="H147" s="342" t="s">
        <v>87</v>
      </c>
      <c r="I147" s="342" t="s">
        <v>88</v>
      </c>
      <c r="J147" s="342" t="s">
        <v>89</v>
      </c>
      <c r="K147"/>
      <c r="L147"/>
      <c r="M147"/>
      <c r="N147"/>
      <c r="O147"/>
      <c r="P147" s="342" t="s">
        <v>90</v>
      </c>
      <c r="Q147" s="342" t="s">
        <v>91</v>
      </c>
      <c r="R147" s="330"/>
      <c r="S147" s="342" t="s">
        <v>92</v>
      </c>
      <c r="T147" s="414"/>
      <c r="W147" s="1850" t="s">
        <v>93</v>
      </c>
      <c r="X147" s="1850"/>
      <c r="Y147" s="1850"/>
      <c r="Z147" s="1850"/>
      <c r="AA147" s="1850"/>
      <c r="AY147" s="415"/>
      <c r="AZ147" s="1848" t="s">
        <v>52</v>
      </c>
      <c r="BA147" s="1849"/>
      <c r="BE147" s="136"/>
      <c r="BF147" s="136"/>
      <c r="BG147" s="136"/>
      <c r="BH147" s="136"/>
    </row>
    <row r="148" spans="2:87" ht="21" hidden="1" thickBot="1" x14ac:dyDescent="0.25">
      <c r="C148" s="416"/>
      <c r="D148" s="417" t="s">
        <v>13</v>
      </c>
      <c r="H148" s="356" t="s">
        <v>4</v>
      </c>
      <c r="I148" s="356" t="s">
        <v>1</v>
      </c>
      <c r="J148" s="377" t="s">
        <v>73</v>
      </c>
      <c r="K148" s="316" t="s">
        <v>2</v>
      </c>
      <c r="L148" s="316" t="s">
        <v>3</v>
      </c>
      <c r="M148" s="316" t="s">
        <v>8</v>
      </c>
      <c r="N148" s="316" t="s">
        <v>5</v>
      </c>
      <c r="O148" s="316" t="s">
        <v>6</v>
      </c>
      <c r="P148" s="316" t="s">
        <v>7</v>
      </c>
      <c r="Q148" s="316" t="s">
        <v>9</v>
      </c>
      <c r="R148" s="356" t="s">
        <v>10</v>
      </c>
      <c r="S148" s="316" t="s">
        <v>11</v>
      </c>
      <c r="T148" s="418" t="s">
        <v>12</v>
      </c>
      <c r="W148" s="356" t="s">
        <v>97</v>
      </c>
      <c r="X148" s="316" t="s">
        <v>94</v>
      </c>
      <c r="Y148" s="356" t="s">
        <v>98</v>
      </c>
      <c r="Z148" s="419" t="s">
        <v>95</v>
      </c>
      <c r="AA148" s="419" t="s">
        <v>96</v>
      </c>
      <c r="AC148" s="316" t="s">
        <v>99</v>
      </c>
      <c r="AD148" s="316"/>
      <c r="AE148" s="316"/>
      <c r="AF148" s="420"/>
      <c r="AG148" s="420"/>
      <c r="AH148" s="420"/>
      <c r="AI148" s="420"/>
      <c r="AJ148" s="420"/>
      <c r="AK148" s="420"/>
      <c r="AL148" s="420"/>
      <c r="AM148" s="420"/>
      <c r="AN148" s="420"/>
      <c r="AO148" s="420" t="s">
        <v>135</v>
      </c>
      <c r="AP148" s="420"/>
      <c r="AQ148" s="420" t="s">
        <v>135</v>
      </c>
      <c r="AR148" s="420"/>
      <c r="AS148" s="420"/>
      <c r="AT148" s="420" t="s">
        <v>135</v>
      </c>
      <c r="AU148" s="420"/>
      <c r="AV148" s="420"/>
      <c r="AW148" s="420"/>
      <c r="AX148" s="415"/>
      <c r="AY148" s="415"/>
      <c r="AZ148" s="420"/>
      <c r="BA148" s="420"/>
      <c r="BB148" s="231"/>
      <c r="BE148" s="136"/>
      <c r="BF148" s="136"/>
      <c r="BG148" s="136"/>
      <c r="BH148" s="136"/>
    </row>
    <row r="149" spans="2:87" ht="39" thickBot="1" x14ac:dyDescent="0.25">
      <c r="B149" s="421"/>
      <c r="C149" s="422"/>
      <c r="D149" s="348" t="s">
        <v>22</v>
      </c>
      <c r="E149" s="330"/>
      <c r="F149" s="330"/>
      <c r="G149" s="240"/>
      <c r="H149" s="356"/>
      <c r="I149" s="356"/>
      <c r="J149" s="377"/>
      <c r="K149" s="316"/>
      <c r="L149" s="316"/>
      <c r="M149" s="316"/>
      <c r="N149" s="316"/>
      <c r="O149" s="316"/>
      <c r="P149" s="316"/>
      <c r="Q149" s="316"/>
      <c r="R149" s="356"/>
      <c r="S149" s="316"/>
      <c r="T149" s="418"/>
      <c r="V149" s="420"/>
      <c r="W149" s="420"/>
      <c r="X149" s="420"/>
      <c r="Y149" s="420"/>
      <c r="Z149" s="420"/>
      <c r="AA149" s="420"/>
      <c r="AB149" s="420"/>
      <c r="AC149" s="423">
        <f>SUM(AC150:AC161)</f>
        <v>343.49989132317432</v>
      </c>
      <c r="AD149" s="424"/>
      <c r="AE149" s="424"/>
      <c r="AF149" s="420" t="s">
        <v>38</v>
      </c>
      <c r="AG149" s="425" t="s">
        <v>31</v>
      </c>
      <c r="AH149" s="425"/>
      <c r="AI149" s="367" t="s">
        <v>67</v>
      </c>
      <c r="AJ149" s="426" t="s">
        <v>32</v>
      </c>
      <c r="AK149" s="367" t="s">
        <v>33</v>
      </c>
      <c r="AL149" s="368" t="s">
        <v>68</v>
      </c>
      <c r="AM149" s="427" t="s">
        <v>34</v>
      </c>
      <c r="AN149" s="367" t="s">
        <v>35</v>
      </c>
      <c r="AO149" s="428" t="s">
        <v>48</v>
      </c>
      <c r="AP149" s="367" t="s">
        <v>47</v>
      </c>
      <c r="AQ149" s="428" t="s">
        <v>136</v>
      </c>
      <c r="AR149" s="420" t="s">
        <v>46</v>
      </c>
      <c r="AS149" s="420" t="s">
        <v>39</v>
      </c>
      <c r="AT149" s="428" t="s">
        <v>50</v>
      </c>
      <c r="AU149" s="420" t="s">
        <v>49</v>
      </c>
      <c r="AV149" s="429" t="s">
        <v>41</v>
      </c>
      <c r="AW149" s="429" t="s">
        <v>42</v>
      </c>
      <c r="AX149" s="430" t="s">
        <v>23</v>
      </c>
      <c r="AY149" s="430" t="s">
        <v>24</v>
      </c>
      <c r="AZ149" s="431" t="s">
        <v>23</v>
      </c>
      <c r="BA149" s="431" t="s">
        <v>24</v>
      </c>
      <c r="BC149" s="276"/>
      <c r="BE149" s="136"/>
      <c r="BF149" s="136"/>
      <c r="BG149" s="136"/>
      <c r="BH149" s="136"/>
    </row>
    <row r="150" spans="2:87" ht="19" thickBot="1" x14ac:dyDescent="0.25">
      <c r="B150" s="255">
        <v>1</v>
      </c>
      <c r="C150" s="256">
        <f>+(B144*-1)+D150</f>
        <v>0</v>
      </c>
      <c r="D150" s="25">
        <v>0</v>
      </c>
      <c r="E150" s="432" t="s">
        <v>80</v>
      </c>
      <c r="F150" s="280"/>
      <c r="G150" s="280"/>
      <c r="H150" s="342">
        <v>421.92079999999999</v>
      </c>
      <c r="I150" s="342">
        <v>35.4982179</v>
      </c>
      <c r="J150" s="342">
        <f>+I150-C150</f>
        <v>35.4982179</v>
      </c>
      <c r="K150" s="280"/>
      <c r="L150" s="280"/>
      <c r="M150" s="280"/>
      <c r="N150" s="280"/>
      <c r="O150" s="280"/>
      <c r="P150" s="342">
        <f>COS(J150*3.14159265358979/180)</f>
        <v>0.81413357986421708</v>
      </c>
      <c r="Q150" s="342">
        <f>+P150*H150</f>
        <v>343.49989132317432</v>
      </c>
      <c r="R150" s="433">
        <v>343.5</v>
      </c>
      <c r="S150" s="342">
        <f>+Q150</f>
        <v>343.49989132317432</v>
      </c>
      <c r="T150" s="280">
        <f t="shared" ref="T150:T161" si="5">+S150</f>
        <v>343.49989132317432</v>
      </c>
      <c r="U150" s="280"/>
      <c r="V150" s="280">
        <f t="shared" ref="V150:V161" si="6">IF(B150&lt;($B$147+1),T150,0)</f>
        <v>343.49989132317432</v>
      </c>
      <c r="W150" s="433">
        <v>35.4982179</v>
      </c>
      <c r="X150" s="280">
        <f>+W150+AH162</f>
        <v>35.4982179</v>
      </c>
      <c r="Y150" s="280">
        <v>421.92079999999999</v>
      </c>
      <c r="Z150" s="434">
        <f>+COS(X150*3.14159265358979/180)*Y150</f>
        <v>343.49989132317432</v>
      </c>
      <c r="AA150" s="435">
        <f>+AC149-Z150</f>
        <v>0</v>
      </c>
      <c r="AB150" s="280"/>
      <c r="AC150" s="436">
        <f>IF(AD150=1,AF150)</f>
        <v>343.49989132317432</v>
      </c>
      <c r="AD150" s="436">
        <f t="shared" ref="AD150:AD161" si="7">MAX(AE$150:AE$161)</f>
        <v>1</v>
      </c>
      <c r="AE150" s="436">
        <f>IF(V150=0,0,1)</f>
        <v>1</v>
      </c>
      <c r="AF150" s="437">
        <f>SUM(V150:V161)/($B$147)</f>
        <v>343.49989132317432</v>
      </c>
      <c r="AG150" s="438">
        <f>+D150+C150</f>
        <v>0</v>
      </c>
      <c r="AH150" s="439">
        <f t="shared" ref="AH150:AH161" si="8">IF(B150&lt;($B$147+1),AG150)</f>
        <v>0</v>
      </c>
      <c r="AI150" s="440">
        <f>54.5017821+AG150</f>
        <v>54.5017821</v>
      </c>
      <c r="AJ150" s="441">
        <f>SIN(AI150*3.14159265358979/180)</f>
        <v>0.81413357986421619</v>
      </c>
      <c r="AK150" s="382">
        <f>+AJ150*421.92</f>
        <v>343.49924001631013</v>
      </c>
      <c r="AL150" s="440">
        <f>58.7344156-AG150</f>
        <v>58.734415599999998</v>
      </c>
      <c r="AM150" s="442">
        <f>SIN(AL150*3.14159265358979/180)</f>
        <v>0.85477073319485097</v>
      </c>
      <c r="AN150" s="382">
        <f>+AM150*472.06</f>
        <v>403.50307231196138</v>
      </c>
      <c r="AO150" s="443">
        <f t="shared" ref="AO150:AO161" si="9">+((AF150*AP150)+($AP$175*($AF$175+$AA$150)))/AQ150</f>
        <v>219.76374478926797</v>
      </c>
      <c r="AP150" s="382">
        <f>57*B147</f>
        <v>57</v>
      </c>
      <c r="AQ150" s="443">
        <f t="shared" ref="AQ150:AQ161" si="10">+AP150+$AP$175+31</f>
        <v>128.5</v>
      </c>
      <c r="AR150" s="444">
        <f>+AN150+AK150</f>
        <v>747.0023123282715</v>
      </c>
      <c r="AS150" s="445">
        <f>+V150-AN150</f>
        <v>-60.003180988787051</v>
      </c>
      <c r="AT150" s="446">
        <f>+AO150-AS150</f>
        <v>279.766925778055</v>
      </c>
      <c r="AU150" s="445">
        <f>+AF150-AS150</f>
        <v>403.50307231196138</v>
      </c>
      <c r="AV150" s="447">
        <f>+((AR150-AT150)/AR150)*AQ150</f>
        <v>80.374245408384027</v>
      </c>
      <c r="AW150" s="447">
        <f>+(AT150/AR150)*AQ150</f>
        <v>48.12575459161598</v>
      </c>
      <c r="AX150" s="448">
        <f t="shared" ref="AX150:AX161" si="11">2*$C$19/AV150</f>
        <v>144.32483864775389</v>
      </c>
      <c r="AY150" s="448">
        <f t="shared" ref="AY150:AY161" si="12">2*$D$19/AW150</f>
        <v>241.03518164930435</v>
      </c>
      <c r="AZ150" s="449">
        <f>ABS(AX150)</f>
        <v>144.32483864775389</v>
      </c>
      <c r="BA150" s="449">
        <f>ABS(AY150)</f>
        <v>241.03518164930435</v>
      </c>
      <c r="BB150" s="91"/>
      <c r="BC150" s="276"/>
      <c r="BE150" s="136"/>
      <c r="BF150" s="136"/>
      <c r="BG150" s="136"/>
      <c r="BH150" s="136"/>
    </row>
    <row r="151" spans="2:87" ht="19" thickBot="1" x14ac:dyDescent="0.25">
      <c r="B151" s="277">
        <v>2</v>
      </c>
      <c r="C151" s="278"/>
      <c r="D151" s="25">
        <v>0</v>
      </c>
      <c r="E151" s="257" t="s">
        <v>80</v>
      </c>
      <c r="F151" s="258"/>
      <c r="G151" s="258"/>
      <c r="H151" s="258">
        <v>472.06</v>
      </c>
      <c r="I151" s="258">
        <v>62.531168700000002</v>
      </c>
      <c r="J151" s="258">
        <f>+I151+D151</f>
        <v>62.531168700000002</v>
      </c>
      <c r="K151" s="258">
        <f t="shared" ref="K151:K161" si="13">+J151/2</f>
        <v>31.265584350000001</v>
      </c>
      <c r="L151" s="258">
        <f t="shared" ref="L151:L161" si="14">SIN(K151*3.14159265358979/180)</f>
        <v>0.51900577347391186</v>
      </c>
      <c r="M151" s="258">
        <f t="shared" ref="M151:M161" si="15">+L151*H151</f>
        <v>245.00186542609484</v>
      </c>
      <c r="N151" s="258">
        <f t="shared" ref="N151:N161" si="16">+M151*2</f>
        <v>490.00373085218968</v>
      </c>
      <c r="O151" s="258">
        <f>+C150+(D151/2)</f>
        <v>0</v>
      </c>
      <c r="P151" s="258">
        <f t="shared" ref="P151:P161" si="17">SIN(O151*3.14159265358979/180)</f>
        <v>0</v>
      </c>
      <c r="Q151" s="258">
        <f t="shared" ref="Q151:Q161" si="18">+P151*N151</f>
        <v>0</v>
      </c>
      <c r="R151" s="258">
        <f t="shared" ref="R151:R161" si="19">+T150</f>
        <v>343.49989132317432</v>
      </c>
      <c r="S151" s="258">
        <f>+R151+Q151</f>
        <v>343.49989132317432</v>
      </c>
      <c r="T151" s="258">
        <f t="shared" si="5"/>
        <v>343.49989132317432</v>
      </c>
      <c r="U151" s="258"/>
      <c r="V151" s="258">
        <f t="shared" si="6"/>
        <v>0</v>
      </c>
      <c r="W151" s="258"/>
      <c r="X151" s="258"/>
      <c r="Y151" s="258"/>
      <c r="Z151" s="258"/>
      <c r="AA151" s="258"/>
      <c r="AB151" s="258"/>
      <c r="AC151" s="436" t="b">
        <f>IF(AD151=2,AF151)</f>
        <v>0</v>
      </c>
      <c r="AD151" s="436">
        <f t="shared" si="7"/>
        <v>1</v>
      </c>
      <c r="AE151" s="436">
        <f>IF(V151=0,0,2)</f>
        <v>0</v>
      </c>
      <c r="AF151" s="437" t="e">
        <f>SUM(V151:V161)/($B$147-B150)</f>
        <v>#DIV/0!</v>
      </c>
      <c r="AG151" s="450">
        <f>SUM(D151)+$C$150</f>
        <v>0</v>
      </c>
      <c r="AH151" s="439" t="b">
        <f t="shared" si="8"/>
        <v>0</v>
      </c>
      <c r="AI151" s="440">
        <f t="shared" ref="AI151:AI161" si="20">54.5017821+AG151</f>
        <v>54.5017821</v>
      </c>
      <c r="AJ151" s="441">
        <f>SIN(AI151*3.14159265358979/180)</f>
        <v>0.81413357986421619</v>
      </c>
      <c r="AK151" s="382">
        <f t="shared" ref="AK151:AK161" si="21">+AJ151*421.92</f>
        <v>343.49924001631013</v>
      </c>
      <c r="AL151" s="440">
        <f t="shared" ref="AL151:AL161" si="22">58.7344156-AG151</f>
        <v>58.734415599999998</v>
      </c>
      <c r="AM151" s="442">
        <f t="shared" ref="AM151:AM161" si="23">SIN(AL151*3.14159265358979/180)</f>
        <v>0.85477073319485097</v>
      </c>
      <c r="AN151" s="382">
        <f t="shared" ref="AN151:AN161" si="24">+AM151*472.06</f>
        <v>403.50307231196138</v>
      </c>
      <c r="AO151" s="443" t="e">
        <f t="shared" si="9"/>
        <v>#DIV/0!</v>
      </c>
      <c r="AP151" s="382">
        <f t="shared" ref="AP151:AP161" si="25">57*($B$147-B150)</f>
        <v>0</v>
      </c>
      <c r="AQ151" s="443">
        <f t="shared" si="10"/>
        <v>71.5</v>
      </c>
      <c r="AR151" s="444">
        <f t="shared" ref="AR151:AR161" si="26">+AN151+AK151</f>
        <v>747.0023123282715</v>
      </c>
      <c r="AS151" s="445">
        <f>+V151-AN151</f>
        <v>-403.50307231196138</v>
      </c>
      <c r="AT151" s="446" t="e">
        <f t="shared" ref="AT151:AT161" si="27">+AO151-AS151</f>
        <v>#DIV/0!</v>
      </c>
      <c r="AU151" s="445" t="e">
        <f>+AF151-AS151</f>
        <v>#DIV/0!</v>
      </c>
      <c r="AV151" s="447" t="e">
        <f t="shared" ref="AV151:AV161" si="28">+((AR151-AT151)/AR151)*AQ151</f>
        <v>#DIV/0!</v>
      </c>
      <c r="AW151" s="447" t="e">
        <f t="shared" ref="AW151:AW161" si="29">+(AT151/AR151)*AQ151</f>
        <v>#DIV/0!</v>
      </c>
      <c r="AX151" s="448" t="e">
        <f t="shared" si="11"/>
        <v>#DIV/0!</v>
      </c>
      <c r="AY151" s="448" t="e">
        <f t="shared" si="12"/>
        <v>#DIV/0!</v>
      </c>
      <c r="AZ151" s="451" t="e">
        <f t="shared" ref="AZ151:AZ161" si="30">ABS(AX151)</f>
        <v>#DIV/0!</v>
      </c>
      <c r="BA151" s="451" t="e">
        <f t="shared" ref="BA151:BA161" si="31">ABS(AY151)</f>
        <v>#DIV/0!</v>
      </c>
      <c r="BC151" s="276"/>
      <c r="BE151" s="136"/>
      <c r="BF151" s="136"/>
      <c r="BG151" s="136"/>
      <c r="BH151" s="136"/>
    </row>
    <row r="152" spans="2:87" ht="19" thickBot="1" x14ac:dyDescent="0.25">
      <c r="B152" s="277">
        <v>3</v>
      </c>
      <c r="C152" s="278"/>
      <c r="D152" s="25">
        <v>0</v>
      </c>
      <c r="E152" s="257" t="s">
        <v>80</v>
      </c>
      <c r="F152" s="258"/>
      <c r="G152" s="258"/>
      <c r="H152" s="258">
        <v>472.06</v>
      </c>
      <c r="I152" s="258">
        <v>62.531168700000002</v>
      </c>
      <c r="J152" s="258">
        <f t="shared" ref="J152:J161" si="32">+I152+D152</f>
        <v>62.531168700000002</v>
      </c>
      <c r="K152" s="258">
        <f t="shared" si="13"/>
        <v>31.265584350000001</v>
      </c>
      <c r="L152" s="258">
        <f t="shared" si="14"/>
        <v>0.51900577347391186</v>
      </c>
      <c r="M152" s="258">
        <f t="shared" si="15"/>
        <v>245.00186542609484</v>
      </c>
      <c r="N152" s="258">
        <f t="shared" si="16"/>
        <v>490.00373085218968</v>
      </c>
      <c r="O152" s="258">
        <f>+C150+D151+(D152/2)</f>
        <v>0</v>
      </c>
      <c r="P152" s="258">
        <f t="shared" si="17"/>
        <v>0</v>
      </c>
      <c r="Q152" s="258">
        <f t="shared" si="18"/>
        <v>0</v>
      </c>
      <c r="R152" s="258">
        <f t="shared" si="19"/>
        <v>343.49989132317432</v>
      </c>
      <c r="S152" s="258">
        <f t="shared" ref="S152:S161" si="33">+S151+Q152</f>
        <v>343.49989132317432</v>
      </c>
      <c r="T152" s="258">
        <f t="shared" si="5"/>
        <v>343.49989132317432</v>
      </c>
      <c r="U152" s="258"/>
      <c r="V152" s="258">
        <f t="shared" si="6"/>
        <v>0</v>
      </c>
      <c r="W152" s="258"/>
      <c r="X152" s="258"/>
      <c r="Y152" s="258"/>
      <c r="Z152" s="258"/>
      <c r="AA152" s="258"/>
      <c r="AB152" s="258"/>
      <c r="AC152" s="436" t="b">
        <f>IF(AD152=3,AF152)</f>
        <v>0</v>
      </c>
      <c r="AD152" s="436">
        <f t="shared" si="7"/>
        <v>1</v>
      </c>
      <c r="AE152" s="436">
        <f>IF(V152=0,0,3)</f>
        <v>0</v>
      </c>
      <c r="AF152" s="437">
        <f>SUM(V152:V161)/($B$147-B151)</f>
        <v>0</v>
      </c>
      <c r="AG152" s="450">
        <f>SUM(D151:D152)+$C$150</f>
        <v>0</v>
      </c>
      <c r="AH152" s="439" t="b">
        <f t="shared" si="8"/>
        <v>0</v>
      </c>
      <c r="AI152" s="440">
        <f t="shared" si="20"/>
        <v>54.5017821</v>
      </c>
      <c r="AJ152" s="441">
        <f t="shared" ref="AJ152:AJ161" si="34">SIN(AI152*3.14159265358979/180)</f>
        <v>0.81413357986421619</v>
      </c>
      <c r="AK152" s="382">
        <f t="shared" si="21"/>
        <v>343.49924001631013</v>
      </c>
      <c r="AL152" s="440">
        <f t="shared" si="22"/>
        <v>58.734415599999998</v>
      </c>
      <c r="AM152" s="442">
        <f t="shared" si="23"/>
        <v>0.85477073319485097</v>
      </c>
      <c r="AN152" s="382">
        <f t="shared" si="24"/>
        <v>403.50307231196138</v>
      </c>
      <c r="AO152" s="443">
        <f t="shared" si="9"/>
        <v>597.25154482758614</v>
      </c>
      <c r="AP152" s="382">
        <f t="shared" si="25"/>
        <v>-57</v>
      </c>
      <c r="AQ152" s="443">
        <f t="shared" si="10"/>
        <v>14.5</v>
      </c>
      <c r="AR152" s="444">
        <f t="shared" si="26"/>
        <v>747.0023123282715</v>
      </c>
      <c r="AS152" s="445">
        <f>+V152-AN152</f>
        <v>-403.50307231196138</v>
      </c>
      <c r="AT152" s="446">
        <f t="shared" si="27"/>
        <v>1000.7546171395475</v>
      </c>
      <c r="AU152" s="445">
        <f>+AF152-AS152</f>
        <v>403.50307231196138</v>
      </c>
      <c r="AV152" s="447">
        <f t="shared" si="28"/>
        <v>-4.9255649668545853</v>
      </c>
      <c r="AW152" s="447">
        <f t="shared" si="29"/>
        <v>19.425564966854587</v>
      </c>
      <c r="AX152" s="448">
        <f t="shared" si="11"/>
        <v>-2355.0597907162801</v>
      </c>
      <c r="AY152" s="448">
        <f t="shared" si="12"/>
        <v>597.15122931007795</v>
      </c>
      <c r="AZ152" s="451">
        <f t="shared" si="30"/>
        <v>2355.0597907162801</v>
      </c>
      <c r="BA152" s="451">
        <f t="shared" si="31"/>
        <v>597.15122931007795</v>
      </c>
      <c r="BC152" s="276"/>
      <c r="BE152" s="136"/>
      <c r="BF152" s="136"/>
      <c r="BG152" s="136"/>
      <c r="BH152" s="136"/>
    </row>
    <row r="153" spans="2:87" ht="19" thickBot="1" x14ac:dyDescent="0.25">
      <c r="B153" s="277">
        <v>4</v>
      </c>
      <c r="C153" s="278"/>
      <c r="D153" s="25">
        <v>0</v>
      </c>
      <c r="E153" s="257" t="s">
        <v>80</v>
      </c>
      <c r="F153" s="258"/>
      <c r="G153" s="258"/>
      <c r="H153" s="258">
        <v>472.06</v>
      </c>
      <c r="I153" s="258">
        <v>62.531168700000002</v>
      </c>
      <c r="J153" s="258">
        <f t="shared" si="32"/>
        <v>62.531168700000002</v>
      </c>
      <c r="K153" s="258">
        <f t="shared" si="13"/>
        <v>31.265584350000001</v>
      </c>
      <c r="L153" s="258">
        <f t="shared" si="14"/>
        <v>0.51900577347391186</v>
      </c>
      <c r="M153" s="258">
        <f t="shared" si="15"/>
        <v>245.00186542609484</v>
      </c>
      <c r="N153" s="258">
        <f t="shared" si="16"/>
        <v>490.00373085218968</v>
      </c>
      <c r="O153" s="258">
        <f>+C150+D151+D152+(D153/2)</f>
        <v>0</v>
      </c>
      <c r="P153" s="258">
        <f t="shared" si="17"/>
        <v>0</v>
      </c>
      <c r="Q153" s="258">
        <f t="shared" si="18"/>
        <v>0</v>
      </c>
      <c r="R153" s="258">
        <f t="shared" si="19"/>
        <v>343.49989132317432</v>
      </c>
      <c r="S153" s="258">
        <f t="shared" si="33"/>
        <v>343.49989132317432</v>
      </c>
      <c r="T153" s="258">
        <f t="shared" si="5"/>
        <v>343.49989132317432</v>
      </c>
      <c r="U153" s="258"/>
      <c r="V153" s="258">
        <f t="shared" si="6"/>
        <v>0</v>
      </c>
      <c r="W153" s="258"/>
      <c r="X153" s="258"/>
      <c r="Y153" s="258"/>
      <c r="Z153" s="258"/>
      <c r="AA153" s="258"/>
      <c r="AB153" s="258"/>
      <c r="AC153" s="436" t="b">
        <f>IF(AD153=4,AF153)</f>
        <v>0</v>
      </c>
      <c r="AD153" s="436">
        <f t="shared" si="7"/>
        <v>1</v>
      </c>
      <c r="AE153" s="436">
        <f>IF(V153=0,0,4)</f>
        <v>0</v>
      </c>
      <c r="AF153" s="437">
        <f>SUM(V153:V161)/($B$147-B152)</f>
        <v>0</v>
      </c>
      <c r="AG153" s="450">
        <f>SUM(D151:D153)+$C$150</f>
        <v>0</v>
      </c>
      <c r="AH153" s="439" t="b">
        <f t="shared" si="8"/>
        <v>0</v>
      </c>
      <c r="AI153" s="440">
        <f t="shared" si="20"/>
        <v>54.5017821</v>
      </c>
      <c r="AJ153" s="441">
        <f t="shared" si="34"/>
        <v>0.81413357986421619</v>
      </c>
      <c r="AK153" s="382">
        <f t="shared" si="21"/>
        <v>343.49924001631013</v>
      </c>
      <c r="AL153" s="440">
        <f t="shared" si="22"/>
        <v>58.734415599999998</v>
      </c>
      <c r="AM153" s="442">
        <f t="shared" si="23"/>
        <v>0.85477073319485097</v>
      </c>
      <c r="AN153" s="382">
        <f t="shared" si="24"/>
        <v>403.50307231196138</v>
      </c>
      <c r="AO153" s="443">
        <f t="shared" si="9"/>
        <v>-203.76817411764705</v>
      </c>
      <c r="AP153" s="382">
        <f t="shared" si="25"/>
        <v>-114</v>
      </c>
      <c r="AQ153" s="443">
        <f t="shared" si="10"/>
        <v>-42.5</v>
      </c>
      <c r="AR153" s="444">
        <f t="shared" si="26"/>
        <v>747.0023123282715</v>
      </c>
      <c r="AS153" s="445">
        <f>+V153-AN153</f>
        <v>-403.50307231196138</v>
      </c>
      <c r="AT153" s="446">
        <f t="shared" si="27"/>
        <v>199.73489819431433</v>
      </c>
      <c r="AU153" s="445">
        <f t="shared" ref="AU153:AU161" si="35">+AF153-AS153</f>
        <v>403.50307231196138</v>
      </c>
      <c r="AV153" s="447">
        <f t="shared" si="28"/>
        <v>-31.136269214749134</v>
      </c>
      <c r="AW153" s="447">
        <f t="shared" si="29"/>
        <v>-11.363730785250864</v>
      </c>
      <c r="AX153" s="448">
        <f t="shared" si="11"/>
        <v>-372.55587430831707</v>
      </c>
      <c r="AY153" s="448">
        <f t="shared" si="12"/>
        <v>-1020.7915181390774</v>
      </c>
      <c r="AZ153" s="451">
        <f t="shared" si="30"/>
        <v>372.55587430831707</v>
      </c>
      <c r="BA153" s="451">
        <f t="shared" si="31"/>
        <v>1020.7915181390774</v>
      </c>
      <c r="BC153" s="276"/>
      <c r="BE153" s="136"/>
      <c r="BF153" s="136"/>
      <c r="BG153" s="136"/>
      <c r="BH153" s="136"/>
    </row>
    <row r="154" spans="2:87" ht="19" thickBot="1" x14ac:dyDescent="0.25">
      <c r="B154" s="277">
        <v>5</v>
      </c>
      <c r="C154" s="278"/>
      <c r="D154" s="25">
        <v>0</v>
      </c>
      <c r="E154" s="257" t="s">
        <v>80</v>
      </c>
      <c r="F154" s="258"/>
      <c r="G154" s="258"/>
      <c r="H154" s="258">
        <v>472.06</v>
      </c>
      <c r="I154" s="258">
        <v>62.531168700000002</v>
      </c>
      <c r="J154" s="258">
        <f t="shared" si="32"/>
        <v>62.531168700000002</v>
      </c>
      <c r="K154" s="258">
        <f t="shared" si="13"/>
        <v>31.265584350000001</v>
      </c>
      <c r="L154" s="258">
        <f t="shared" si="14"/>
        <v>0.51900577347391186</v>
      </c>
      <c r="M154" s="258">
        <f t="shared" si="15"/>
        <v>245.00186542609484</v>
      </c>
      <c r="N154" s="258">
        <f t="shared" si="16"/>
        <v>490.00373085218968</v>
      </c>
      <c r="O154" s="258">
        <f>+C150+D151+D152+D153+(D154/2)</f>
        <v>0</v>
      </c>
      <c r="P154" s="258">
        <f t="shared" si="17"/>
        <v>0</v>
      </c>
      <c r="Q154" s="258">
        <f t="shared" si="18"/>
        <v>0</v>
      </c>
      <c r="R154" s="258">
        <f t="shared" si="19"/>
        <v>343.49989132317432</v>
      </c>
      <c r="S154" s="258">
        <f t="shared" si="33"/>
        <v>343.49989132317432</v>
      </c>
      <c r="T154" s="258">
        <f t="shared" si="5"/>
        <v>343.49989132317432</v>
      </c>
      <c r="U154" s="258"/>
      <c r="V154" s="258">
        <f t="shared" si="6"/>
        <v>0</v>
      </c>
      <c r="W154" s="258"/>
      <c r="X154" s="258"/>
      <c r="Y154" s="258"/>
      <c r="Z154" s="258"/>
      <c r="AA154" s="258"/>
      <c r="AB154" s="258"/>
      <c r="AC154" s="436" t="b">
        <f>IF(AD154=5,AF154)</f>
        <v>0</v>
      </c>
      <c r="AD154" s="436">
        <f t="shared" si="7"/>
        <v>1</v>
      </c>
      <c r="AE154" s="436">
        <f>IF(V154=0,0,5)</f>
        <v>0</v>
      </c>
      <c r="AF154" s="437">
        <f>SUM(V154:V161)/($B$147-B153)</f>
        <v>0</v>
      </c>
      <c r="AG154" s="450">
        <f>SUM(D151:D154)+$C$150</f>
        <v>0</v>
      </c>
      <c r="AH154" s="439" t="b">
        <f t="shared" si="8"/>
        <v>0</v>
      </c>
      <c r="AI154" s="440">
        <f t="shared" si="20"/>
        <v>54.5017821</v>
      </c>
      <c r="AJ154" s="441">
        <f t="shared" si="34"/>
        <v>0.81413357986421619</v>
      </c>
      <c r="AK154" s="382">
        <f t="shared" si="21"/>
        <v>343.49924001631013</v>
      </c>
      <c r="AL154" s="440">
        <f t="shared" si="22"/>
        <v>58.734415599999998</v>
      </c>
      <c r="AM154" s="442">
        <f t="shared" si="23"/>
        <v>0.85477073319485097</v>
      </c>
      <c r="AN154" s="382">
        <f t="shared" si="24"/>
        <v>403.50307231196138</v>
      </c>
      <c r="AO154" s="443">
        <f t="shared" si="9"/>
        <v>-87.03665728643216</v>
      </c>
      <c r="AP154" s="382">
        <f t="shared" si="25"/>
        <v>-171</v>
      </c>
      <c r="AQ154" s="443">
        <f t="shared" si="10"/>
        <v>-99.5</v>
      </c>
      <c r="AR154" s="444">
        <f t="shared" si="26"/>
        <v>747.0023123282715</v>
      </c>
      <c r="AS154" s="445">
        <f t="shared" ref="AS154:AS161" si="36">+V154-AN154</f>
        <v>-403.50307231196138</v>
      </c>
      <c r="AT154" s="446">
        <f t="shared" si="27"/>
        <v>316.46641502552922</v>
      </c>
      <c r="AU154" s="445">
        <f t="shared" si="35"/>
        <v>403.50307231196138</v>
      </c>
      <c r="AV154" s="447">
        <f t="shared" si="28"/>
        <v>-57.346973462643682</v>
      </c>
      <c r="AW154" s="447">
        <f t="shared" si="29"/>
        <v>-42.153026537356311</v>
      </c>
      <c r="AX154" s="448">
        <f t="shared" si="11"/>
        <v>-202.2774577206998</v>
      </c>
      <c r="AY154" s="448">
        <f t="shared" si="12"/>
        <v>-275.18783235457596</v>
      </c>
      <c r="AZ154" s="451">
        <f t="shared" si="30"/>
        <v>202.2774577206998</v>
      </c>
      <c r="BA154" s="451">
        <f t="shared" si="31"/>
        <v>275.18783235457596</v>
      </c>
      <c r="BC154" s="276"/>
      <c r="BE154" s="136"/>
      <c r="BF154" s="136"/>
      <c r="BG154" s="136"/>
      <c r="BH154" s="136"/>
    </row>
    <row r="155" spans="2:87" ht="19" thickBot="1" x14ac:dyDescent="0.25">
      <c r="B155" s="277">
        <v>6</v>
      </c>
      <c r="C155" s="278"/>
      <c r="D155" s="25">
        <v>0</v>
      </c>
      <c r="E155" s="257" t="s">
        <v>80</v>
      </c>
      <c r="F155" s="258"/>
      <c r="G155" s="258"/>
      <c r="H155" s="258">
        <v>472.06</v>
      </c>
      <c r="I155" s="258">
        <v>62.531168700000002</v>
      </c>
      <c r="J155" s="258">
        <f t="shared" si="32"/>
        <v>62.531168700000002</v>
      </c>
      <c r="K155" s="258">
        <f t="shared" si="13"/>
        <v>31.265584350000001</v>
      </c>
      <c r="L155" s="258">
        <f t="shared" si="14"/>
        <v>0.51900577347391186</v>
      </c>
      <c r="M155" s="258">
        <f t="shared" si="15"/>
        <v>245.00186542609484</v>
      </c>
      <c r="N155" s="258">
        <f t="shared" si="16"/>
        <v>490.00373085218968</v>
      </c>
      <c r="O155" s="258">
        <f>+C150+D151+D152+D153+D154+(D155/2)</f>
        <v>0</v>
      </c>
      <c r="P155" s="258">
        <f t="shared" si="17"/>
        <v>0</v>
      </c>
      <c r="Q155" s="258">
        <f t="shared" si="18"/>
        <v>0</v>
      </c>
      <c r="R155" s="258">
        <f t="shared" si="19"/>
        <v>343.49989132317432</v>
      </c>
      <c r="S155" s="258">
        <f t="shared" si="33"/>
        <v>343.49989132317432</v>
      </c>
      <c r="T155" s="258">
        <f t="shared" si="5"/>
        <v>343.49989132317432</v>
      </c>
      <c r="U155" s="258"/>
      <c r="V155" s="258">
        <f t="shared" si="6"/>
        <v>0</v>
      </c>
      <c r="W155" s="258"/>
      <c r="X155" s="258"/>
      <c r="Y155" s="258"/>
      <c r="Z155" s="258"/>
      <c r="AA155" s="258"/>
      <c r="AB155" s="258"/>
      <c r="AC155" s="436" t="b">
        <f>IF(AD155=6,AF155)</f>
        <v>0</v>
      </c>
      <c r="AD155" s="436">
        <f t="shared" si="7"/>
        <v>1</v>
      </c>
      <c r="AE155" s="436">
        <f>IF(V155=0,0,6)</f>
        <v>0</v>
      </c>
      <c r="AF155" s="437">
        <f>SUM(V155:V161)/($B$147-B154)</f>
        <v>0</v>
      </c>
      <c r="AG155" s="450">
        <f>SUM(D151:D155)+$C$150</f>
        <v>0</v>
      </c>
      <c r="AH155" s="439" t="b">
        <f t="shared" si="8"/>
        <v>0</v>
      </c>
      <c r="AI155" s="440">
        <f t="shared" si="20"/>
        <v>54.5017821</v>
      </c>
      <c r="AJ155" s="441">
        <f t="shared" si="34"/>
        <v>0.81413357986421619</v>
      </c>
      <c r="AK155" s="382">
        <f t="shared" si="21"/>
        <v>343.49924001631013</v>
      </c>
      <c r="AL155" s="440">
        <f t="shared" si="22"/>
        <v>58.734415599999998</v>
      </c>
      <c r="AM155" s="442">
        <f t="shared" si="23"/>
        <v>0.85477073319485097</v>
      </c>
      <c r="AN155" s="382">
        <f t="shared" si="24"/>
        <v>403.50307231196138</v>
      </c>
      <c r="AO155" s="443">
        <f t="shared" si="9"/>
        <v>-55.336405111821087</v>
      </c>
      <c r="AP155" s="382">
        <f t="shared" si="25"/>
        <v>-228</v>
      </c>
      <c r="AQ155" s="443">
        <f t="shared" si="10"/>
        <v>-156.5</v>
      </c>
      <c r="AR155" s="444">
        <f t="shared" si="26"/>
        <v>747.0023123282715</v>
      </c>
      <c r="AS155" s="445">
        <f t="shared" si="36"/>
        <v>-403.50307231196138</v>
      </c>
      <c r="AT155" s="446">
        <f t="shared" si="27"/>
        <v>348.1666672001403</v>
      </c>
      <c r="AU155" s="445">
        <f t="shared" si="35"/>
        <v>403.50307231196138</v>
      </c>
      <c r="AV155" s="447">
        <f t="shared" si="28"/>
        <v>-83.557677710538229</v>
      </c>
      <c r="AW155" s="447">
        <f t="shared" si="29"/>
        <v>-72.942322289461771</v>
      </c>
      <c r="AX155" s="448">
        <f t="shared" si="11"/>
        <v>-138.82626130641034</v>
      </c>
      <c r="AY155" s="448">
        <f t="shared" si="12"/>
        <v>-159.02975989668883</v>
      </c>
      <c r="AZ155" s="451">
        <f t="shared" si="30"/>
        <v>138.82626130641034</v>
      </c>
      <c r="BA155" s="451">
        <f t="shared" si="31"/>
        <v>159.02975989668883</v>
      </c>
      <c r="BC155" s="276"/>
      <c r="BE155" s="136"/>
      <c r="BF155" s="136"/>
      <c r="BG155" s="136"/>
      <c r="BH155" s="136"/>
    </row>
    <row r="156" spans="2:87" ht="19" thickBot="1" x14ac:dyDescent="0.25">
      <c r="B156" s="277">
        <v>7</v>
      </c>
      <c r="C156" s="278"/>
      <c r="D156" s="25">
        <v>0</v>
      </c>
      <c r="E156" s="257" t="s">
        <v>80</v>
      </c>
      <c r="F156" s="258"/>
      <c r="G156" s="258"/>
      <c r="H156" s="258">
        <v>472.06</v>
      </c>
      <c r="I156" s="258">
        <v>62.531168700000002</v>
      </c>
      <c r="J156" s="258">
        <f t="shared" si="32"/>
        <v>62.531168700000002</v>
      </c>
      <c r="K156" s="258">
        <f t="shared" si="13"/>
        <v>31.265584350000001</v>
      </c>
      <c r="L156" s="258">
        <f t="shared" si="14"/>
        <v>0.51900577347391186</v>
      </c>
      <c r="M156" s="258">
        <f t="shared" si="15"/>
        <v>245.00186542609484</v>
      </c>
      <c r="N156" s="258">
        <f t="shared" si="16"/>
        <v>490.00373085218968</v>
      </c>
      <c r="O156" s="258">
        <f>+C150+D151+D152+D153+D154+D155+(D156/2)</f>
        <v>0</v>
      </c>
      <c r="P156" s="258">
        <f t="shared" si="17"/>
        <v>0</v>
      </c>
      <c r="Q156" s="258">
        <f t="shared" si="18"/>
        <v>0</v>
      </c>
      <c r="R156" s="258">
        <f t="shared" si="19"/>
        <v>343.49989132317432</v>
      </c>
      <c r="S156" s="258">
        <f t="shared" si="33"/>
        <v>343.49989132317432</v>
      </c>
      <c r="T156" s="258">
        <f t="shared" si="5"/>
        <v>343.49989132317432</v>
      </c>
      <c r="U156" s="258"/>
      <c r="V156" s="258">
        <f t="shared" si="6"/>
        <v>0</v>
      </c>
      <c r="W156" s="258"/>
      <c r="X156" s="258"/>
      <c r="Y156" s="258"/>
      <c r="Z156" s="258"/>
      <c r="AA156" s="258"/>
      <c r="AB156" s="258"/>
      <c r="AC156" s="436" t="b">
        <f>IF(AD156=7,AF156)</f>
        <v>0</v>
      </c>
      <c r="AD156" s="436">
        <f t="shared" si="7"/>
        <v>1</v>
      </c>
      <c r="AE156" s="436">
        <f>IF(V156=0,0,7)</f>
        <v>0</v>
      </c>
      <c r="AF156" s="437">
        <f>SUM(V156:V161)/($B$147-B155)</f>
        <v>0</v>
      </c>
      <c r="AG156" s="450">
        <f>SUM(D151:D156)+$C$150</f>
        <v>0</v>
      </c>
      <c r="AH156" s="439" t="b">
        <f t="shared" si="8"/>
        <v>0</v>
      </c>
      <c r="AI156" s="440">
        <f t="shared" si="20"/>
        <v>54.5017821</v>
      </c>
      <c r="AJ156" s="441">
        <f t="shared" si="34"/>
        <v>0.81413357986421619</v>
      </c>
      <c r="AK156" s="382">
        <f t="shared" si="21"/>
        <v>343.49924001631013</v>
      </c>
      <c r="AL156" s="440">
        <f t="shared" si="22"/>
        <v>58.734415599999998</v>
      </c>
      <c r="AM156" s="442">
        <f t="shared" si="23"/>
        <v>0.85477073319485097</v>
      </c>
      <c r="AN156" s="382">
        <f t="shared" si="24"/>
        <v>403.50307231196138</v>
      </c>
      <c r="AO156" s="443">
        <f t="shared" si="9"/>
        <v>-40.562751288056205</v>
      </c>
      <c r="AP156" s="382">
        <f t="shared" si="25"/>
        <v>-285</v>
      </c>
      <c r="AQ156" s="443">
        <f t="shared" si="10"/>
        <v>-213.5</v>
      </c>
      <c r="AR156" s="444">
        <f t="shared" si="26"/>
        <v>747.0023123282715</v>
      </c>
      <c r="AS156" s="445">
        <f t="shared" si="36"/>
        <v>-403.50307231196138</v>
      </c>
      <c r="AT156" s="446">
        <f t="shared" si="27"/>
        <v>362.9403210239052</v>
      </c>
      <c r="AU156" s="445">
        <f t="shared" si="35"/>
        <v>403.50307231196138</v>
      </c>
      <c r="AV156" s="447">
        <f t="shared" si="28"/>
        <v>-109.76838195843278</v>
      </c>
      <c r="AW156" s="447">
        <f t="shared" si="29"/>
        <v>-103.73161804156722</v>
      </c>
      <c r="AX156" s="448">
        <f t="shared" si="11"/>
        <v>-105.67706103559676</v>
      </c>
      <c r="AY156" s="448">
        <f t="shared" si="12"/>
        <v>-111.82704192806152</v>
      </c>
      <c r="AZ156" s="451">
        <f t="shared" si="30"/>
        <v>105.67706103559676</v>
      </c>
      <c r="BA156" s="451">
        <f t="shared" si="31"/>
        <v>111.82704192806152</v>
      </c>
      <c r="BC156" s="276"/>
      <c r="BE156" s="136"/>
      <c r="BF156" s="136"/>
      <c r="BG156" s="136"/>
      <c r="BH156" s="136"/>
    </row>
    <row r="157" spans="2:87" ht="19" thickBot="1" x14ac:dyDescent="0.25">
      <c r="B157" s="277">
        <v>8</v>
      </c>
      <c r="C157" s="278"/>
      <c r="D157" s="25">
        <v>0</v>
      </c>
      <c r="E157" s="257" t="s">
        <v>80</v>
      </c>
      <c r="F157" s="258"/>
      <c r="G157" s="258"/>
      <c r="H157" s="258">
        <v>472.06</v>
      </c>
      <c r="I157" s="258">
        <v>62.531168700000002</v>
      </c>
      <c r="J157" s="258">
        <f t="shared" si="32"/>
        <v>62.531168700000002</v>
      </c>
      <c r="K157" s="258">
        <f t="shared" si="13"/>
        <v>31.265584350000001</v>
      </c>
      <c r="L157" s="258">
        <f t="shared" si="14"/>
        <v>0.51900577347391186</v>
      </c>
      <c r="M157" s="258">
        <f t="shared" si="15"/>
        <v>245.00186542609484</v>
      </c>
      <c r="N157" s="258">
        <f t="shared" si="16"/>
        <v>490.00373085218968</v>
      </c>
      <c r="O157" s="258">
        <f>+C150+D151+D152+D153+D154+D155+D156+(D157/2)</f>
        <v>0</v>
      </c>
      <c r="P157" s="258">
        <f t="shared" si="17"/>
        <v>0</v>
      </c>
      <c r="Q157" s="258">
        <f t="shared" si="18"/>
        <v>0</v>
      </c>
      <c r="R157" s="258">
        <f t="shared" si="19"/>
        <v>343.49989132317432</v>
      </c>
      <c r="S157" s="258">
        <f t="shared" si="33"/>
        <v>343.49989132317432</v>
      </c>
      <c r="T157" s="258">
        <f t="shared" si="5"/>
        <v>343.49989132317432</v>
      </c>
      <c r="U157" s="258"/>
      <c r="V157" s="258">
        <f t="shared" si="6"/>
        <v>0</v>
      </c>
      <c r="W157" s="258"/>
      <c r="X157" s="258"/>
      <c r="Y157" s="258"/>
      <c r="Z157" s="258"/>
      <c r="AA157" s="258"/>
      <c r="AB157" s="258"/>
      <c r="AC157" s="436" t="b">
        <f>IF(AD157=8,AF157)</f>
        <v>0</v>
      </c>
      <c r="AD157" s="436">
        <f t="shared" si="7"/>
        <v>1</v>
      </c>
      <c r="AE157" s="436">
        <f>IF(V157=0,0,8)</f>
        <v>0</v>
      </c>
      <c r="AF157" s="437">
        <f>SUM(V157:V161)/($B$147-B156)</f>
        <v>0</v>
      </c>
      <c r="AG157" s="450">
        <f>SUM(D151:D157)+$C$150</f>
        <v>0</v>
      </c>
      <c r="AH157" s="439" t="b">
        <f t="shared" si="8"/>
        <v>0</v>
      </c>
      <c r="AI157" s="440">
        <f t="shared" si="20"/>
        <v>54.5017821</v>
      </c>
      <c r="AJ157" s="441">
        <f t="shared" si="34"/>
        <v>0.81413357986421619</v>
      </c>
      <c r="AK157" s="382">
        <f t="shared" si="21"/>
        <v>343.49924001631013</v>
      </c>
      <c r="AL157" s="440">
        <f t="shared" si="22"/>
        <v>58.734415599999998</v>
      </c>
      <c r="AM157" s="442">
        <f t="shared" si="23"/>
        <v>0.85477073319485097</v>
      </c>
      <c r="AN157" s="382">
        <f t="shared" si="24"/>
        <v>403.50307231196138</v>
      </c>
      <c r="AO157" s="443">
        <f t="shared" si="9"/>
        <v>-32.015332347504618</v>
      </c>
      <c r="AP157" s="382">
        <f t="shared" si="25"/>
        <v>-342</v>
      </c>
      <c r="AQ157" s="443">
        <f t="shared" si="10"/>
        <v>-270.5</v>
      </c>
      <c r="AR157" s="444">
        <f t="shared" si="26"/>
        <v>747.0023123282715</v>
      </c>
      <c r="AS157" s="445">
        <f t="shared" si="36"/>
        <v>-403.50307231196138</v>
      </c>
      <c r="AT157" s="446">
        <f t="shared" si="27"/>
        <v>371.48773996445675</v>
      </c>
      <c r="AU157" s="445">
        <f t="shared" si="35"/>
        <v>403.50307231196138</v>
      </c>
      <c r="AV157" s="447">
        <f t="shared" si="28"/>
        <v>-135.97908620632734</v>
      </c>
      <c r="AW157" s="447">
        <f t="shared" si="29"/>
        <v>-134.52091379367266</v>
      </c>
      <c r="AX157" s="448">
        <f t="shared" si="11"/>
        <v>-85.307236014211668</v>
      </c>
      <c r="AY157" s="448">
        <f t="shared" si="12"/>
        <v>-86.231944705579437</v>
      </c>
      <c r="AZ157" s="451">
        <f t="shared" si="30"/>
        <v>85.307236014211668</v>
      </c>
      <c r="BA157" s="451">
        <f t="shared" si="31"/>
        <v>86.231944705579437</v>
      </c>
      <c r="BC157" s="276"/>
      <c r="BE157" s="136"/>
      <c r="BF157" s="136"/>
      <c r="BG157" s="136"/>
      <c r="BH157" s="136"/>
    </row>
    <row r="158" spans="2:87" ht="19" thickBot="1" x14ac:dyDescent="0.25">
      <c r="B158" s="277">
        <v>9</v>
      </c>
      <c r="C158" s="278"/>
      <c r="D158" s="25">
        <v>0</v>
      </c>
      <c r="E158" s="257" t="s">
        <v>80</v>
      </c>
      <c r="F158" s="258"/>
      <c r="G158" s="258"/>
      <c r="H158" s="258">
        <v>472.06</v>
      </c>
      <c r="I158" s="258">
        <v>62.531168700000002</v>
      </c>
      <c r="J158" s="258">
        <f t="shared" si="32"/>
        <v>62.531168700000002</v>
      </c>
      <c r="K158" s="258">
        <f t="shared" si="13"/>
        <v>31.265584350000001</v>
      </c>
      <c r="L158" s="258">
        <f t="shared" si="14"/>
        <v>0.51900577347391186</v>
      </c>
      <c r="M158" s="258">
        <f t="shared" si="15"/>
        <v>245.00186542609484</v>
      </c>
      <c r="N158" s="258">
        <f t="shared" si="16"/>
        <v>490.00373085218968</v>
      </c>
      <c r="O158" s="258">
        <f>+C150+D151+D152+D153+D154+D155+D156+D157+(D158/2)</f>
        <v>0</v>
      </c>
      <c r="P158" s="258">
        <f t="shared" si="17"/>
        <v>0</v>
      </c>
      <c r="Q158" s="258">
        <f t="shared" si="18"/>
        <v>0</v>
      </c>
      <c r="R158" s="258">
        <f t="shared" si="19"/>
        <v>343.49989132317432</v>
      </c>
      <c r="S158" s="258">
        <f t="shared" si="33"/>
        <v>343.49989132317432</v>
      </c>
      <c r="T158" s="258">
        <f t="shared" si="5"/>
        <v>343.49989132317432</v>
      </c>
      <c r="U158" s="258"/>
      <c r="V158" s="258">
        <f t="shared" si="6"/>
        <v>0</v>
      </c>
      <c r="W158" s="258"/>
      <c r="X158" s="258"/>
      <c r="Y158" s="258"/>
      <c r="Z158" s="258"/>
      <c r="AA158" s="258"/>
      <c r="AB158" s="258"/>
      <c r="AC158" s="436" t="b">
        <f>IF(AD158=9,AF158)</f>
        <v>0</v>
      </c>
      <c r="AD158" s="436">
        <f t="shared" si="7"/>
        <v>1</v>
      </c>
      <c r="AE158" s="436">
        <f>IF(V158=0,0,9)</f>
        <v>0</v>
      </c>
      <c r="AF158" s="437">
        <f>SUM(V158:V161)/($B$147-B157)</f>
        <v>0</v>
      </c>
      <c r="AG158" s="450">
        <f>SUM(D151:D158)+$C$150</f>
        <v>0</v>
      </c>
      <c r="AH158" s="439" t="b">
        <f t="shared" si="8"/>
        <v>0</v>
      </c>
      <c r="AI158" s="440">
        <f t="shared" si="20"/>
        <v>54.5017821</v>
      </c>
      <c r="AJ158" s="441">
        <f t="shared" si="34"/>
        <v>0.81413357986421619</v>
      </c>
      <c r="AK158" s="382">
        <f t="shared" si="21"/>
        <v>343.49924001631013</v>
      </c>
      <c r="AL158" s="440">
        <f t="shared" si="22"/>
        <v>58.734415599999998</v>
      </c>
      <c r="AM158" s="442">
        <f t="shared" si="23"/>
        <v>0.85477073319485097</v>
      </c>
      <c r="AN158" s="382">
        <f t="shared" si="24"/>
        <v>403.50307231196138</v>
      </c>
      <c r="AO158" s="443">
        <f t="shared" si="9"/>
        <v>-26.443198167938931</v>
      </c>
      <c r="AP158" s="382">
        <f t="shared" si="25"/>
        <v>-399</v>
      </c>
      <c r="AQ158" s="443">
        <f t="shared" si="10"/>
        <v>-327.5</v>
      </c>
      <c r="AR158" s="444">
        <f t="shared" si="26"/>
        <v>747.0023123282715</v>
      </c>
      <c r="AS158" s="445">
        <f t="shared" si="36"/>
        <v>-403.50307231196138</v>
      </c>
      <c r="AT158" s="446">
        <f t="shared" si="27"/>
        <v>377.05987414402244</v>
      </c>
      <c r="AU158" s="445">
        <f t="shared" si="35"/>
        <v>403.50307231196138</v>
      </c>
      <c r="AV158" s="447">
        <f t="shared" si="28"/>
        <v>-162.18979045422188</v>
      </c>
      <c r="AW158" s="447">
        <f t="shared" si="29"/>
        <v>-165.31020954577812</v>
      </c>
      <c r="AX158" s="448">
        <f t="shared" si="11"/>
        <v>-71.52114795582095</v>
      </c>
      <c r="AY158" s="448">
        <f t="shared" si="12"/>
        <v>-70.171104566821683</v>
      </c>
      <c r="AZ158" s="451">
        <f t="shared" si="30"/>
        <v>71.52114795582095</v>
      </c>
      <c r="BA158" s="451">
        <f t="shared" si="31"/>
        <v>70.171104566821683</v>
      </c>
      <c r="BC158" s="276"/>
      <c r="BE158" s="136"/>
      <c r="BF158" s="136"/>
      <c r="BG158" s="136"/>
      <c r="BH158" s="136"/>
      <c r="BP158" s="305"/>
      <c r="BQ158" s="305"/>
      <c r="BR158" s="305"/>
      <c r="BS158" s="305"/>
      <c r="BT158" s="305"/>
      <c r="BU158" s="305"/>
      <c r="BV158" s="1818"/>
      <c r="BW158" s="1818"/>
      <c r="BX158" s="1818"/>
      <c r="BY158" s="126"/>
    </row>
    <row r="159" spans="2:87" ht="19" thickBot="1" x14ac:dyDescent="0.25">
      <c r="B159" s="277">
        <v>10</v>
      </c>
      <c r="C159" s="278"/>
      <c r="D159" s="25">
        <v>0</v>
      </c>
      <c r="E159" s="257" t="s">
        <v>80</v>
      </c>
      <c r="F159" s="258"/>
      <c r="G159" s="258"/>
      <c r="H159" s="258">
        <v>472.06</v>
      </c>
      <c r="I159" s="258">
        <v>62.531168700000002</v>
      </c>
      <c r="J159" s="258">
        <f t="shared" si="32"/>
        <v>62.531168700000002</v>
      </c>
      <c r="K159" s="258">
        <f t="shared" si="13"/>
        <v>31.265584350000001</v>
      </c>
      <c r="L159" s="258">
        <f t="shared" si="14"/>
        <v>0.51900577347391186</v>
      </c>
      <c r="M159" s="258">
        <f t="shared" si="15"/>
        <v>245.00186542609484</v>
      </c>
      <c r="N159" s="258">
        <f t="shared" si="16"/>
        <v>490.00373085218968</v>
      </c>
      <c r="O159" s="258">
        <f>+C150+D151+D152+D153+D154+D155+D156+D157+D158+(D159/2)</f>
        <v>0</v>
      </c>
      <c r="P159" s="258">
        <f t="shared" si="17"/>
        <v>0</v>
      </c>
      <c r="Q159" s="258">
        <f t="shared" si="18"/>
        <v>0</v>
      </c>
      <c r="R159" s="258">
        <f t="shared" si="19"/>
        <v>343.49989132317432</v>
      </c>
      <c r="S159" s="258">
        <f t="shared" si="33"/>
        <v>343.49989132317432</v>
      </c>
      <c r="T159" s="258">
        <f t="shared" si="5"/>
        <v>343.49989132317432</v>
      </c>
      <c r="U159" s="258"/>
      <c r="V159" s="258">
        <f t="shared" si="6"/>
        <v>0</v>
      </c>
      <c r="W159" s="258"/>
      <c r="X159" s="258"/>
      <c r="Y159" s="258"/>
      <c r="Z159" s="258"/>
      <c r="AA159" s="258"/>
      <c r="AB159" s="258"/>
      <c r="AC159" s="436" t="b">
        <f>IF(AD159=10,AF159)</f>
        <v>0</v>
      </c>
      <c r="AD159" s="436">
        <f t="shared" si="7"/>
        <v>1</v>
      </c>
      <c r="AE159" s="436">
        <f>IF(V159=0,0,10)</f>
        <v>0</v>
      </c>
      <c r="AF159" s="437">
        <f>SUM(V159:V161)/($B$147-B158)</f>
        <v>0</v>
      </c>
      <c r="AG159" s="450">
        <f>SUM(D151:D159)+$C$150</f>
        <v>0</v>
      </c>
      <c r="AH159" s="439" t="b">
        <f t="shared" si="8"/>
        <v>0</v>
      </c>
      <c r="AI159" s="440">
        <f t="shared" si="20"/>
        <v>54.5017821</v>
      </c>
      <c r="AJ159" s="441">
        <f t="shared" si="34"/>
        <v>0.81413357986421619</v>
      </c>
      <c r="AK159" s="382">
        <f t="shared" si="21"/>
        <v>343.49924001631013</v>
      </c>
      <c r="AL159" s="440">
        <f t="shared" si="22"/>
        <v>58.734415599999998</v>
      </c>
      <c r="AM159" s="442">
        <f t="shared" si="23"/>
        <v>0.85477073319485097</v>
      </c>
      <c r="AN159" s="382">
        <f t="shared" si="24"/>
        <v>403.50307231196138</v>
      </c>
      <c r="AO159" s="443">
        <f t="shared" si="9"/>
        <v>-22.523140182054615</v>
      </c>
      <c r="AP159" s="382">
        <f t="shared" si="25"/>
        <v>-456</v>
      </c>
      <c r="AQ159" s="443">
        <f t="shared" si="10"/>
        <v>-384.5</v>
      </c>
      <c r="AR159" s="444">
        <f t="shared" si="26"/>
        <v>747.0023123282715</v>
      </c>
      <c r="AS159" s="445">
        <f t="shared" si="36"/>
        <v>-403.50307231196138</v>
      </c>
      <c r="AT159" s="446">
        <f t="shared" si="27"/>
        <v>380.97993212990679</v>
      </c>
      <c r="AU159" s="445">
        <f t="shared" si="35"/>
        <v>403.50307231196138</v>
      </c>
      <c r="AV159" s="447">
        <f t="shared" si="28"/>
        <v>-188.40049470211642</v>
      </c>
      <c r="AW159" s="447">
        <f t="shared" si="29"/>
        <v>-196.09950529788358</v>
      </c>
      <c r="AX159" s="448">
        <f t="shared" si="11"/>
        <v>-61.570963591900217</v>
      </c>
      <c r="AY159" s="448">
        <f t="shared" si="12"/>
        <v>-59.153642342845799</v>
      </c>
      <c r="AZ159" s="451">
        <f t="shared" si="30"/>
        <v>61.570963591900217</v>
      </c>
      <c r="BA159" s="451">
        <f t="shared" si="31"/>
        <v>59.153642342845799</v>
      </c>
      <c r="BC159" s="276"/>
      <c r="BE159" s="136"/>
      <c r="BF159" s="136"/>
      <c r="BG159" s="136"/>
      <c r="BH159" s="136"/>
      <c r="BV159" s="306"/>
      <c r="CI159" s="306"/>
    </row>
    <row r="160" spans="2:87" ht="19" thickBot="1" x14ac:dyDescent="0.25">
      <c r="B160" s="277">
        <v>11</v>
      </c>
      <c r="C160" s="278"/>
      <c r="D160" s="25">
        <v>0</v>
      </c>
      <c r="E160" s="257" t="s">
        <v>80</v>
      </c>
      <c r="F160" s="258"/>
      <c r="G160" s="258"/>
      <c r="H160" s="258">
        <v>472.06</v>
      </c>
      <c r="I160" s="258">
        <v>62.531168700000002</v>
      </c>
      <c r="J160" s="258">
        <f t="shared" si="32"/>
        <v>62.531168700000002</v>
      </c>
      <c r="K160" s="258">
        <f t="shared" si="13"/>
        <v>31.265584350000001</v>
      </c>
      <c r="L160" s="258">
        <f t="shared" si="14"/>
        <v>0.51900577347391186</v>
      </c>
      <c r="M160" s="258">
        <f t="shared" si="15"/>
        <v>245.00186542609484</v>
      </c>
      <c r="N160" s="258">
        <f t="shared" si="16"/>
        <v>490.00373085218968</v>
      </c>
      <c r="O160" s="258">
        <f>+C150+D151+D152+D153+D154+D155+D156+D157+D158+D159+(D160/2)</f>
        <v>0</v>
      </c>
      <c r="P160" s="258">
        <f t="shared" si="17"/>
        <v>0</v>
      </c>
      <c r="Q160" s="258">
        <f t="shared" si="18"/>
        <v>0</v>
      </c>
      <c r="R160" s="258">
        <f t="shared" si="19"/>
        <v>343.49989132317432</v>
      </c>
      <c r="S160" s="258">
        <f t="shared" si="33"/>
        <v>343.49989132317432</v>
      </c>
      <c r="T160" s="258">
        <f t="shared" si="5"/>
        <v>343.49989132317432</v>
      </c>
      <c r="U160" s="258"/>
      <c r="V160" s="258">
        <f t="shared" si="6"/>
        <v>0</v>
      </c>
      <c r="W160" s="258"/>
      <c r="X160" s="258"/>
      <c r="Y160" s="258"/>
      <c r="Z160" s="258"/>
      <c r="AA160" s="258"/>
      <c r="AB160" s="258"/>
      <c r="AC160" s="436" t="b">
        <f>IF(AD160=11,AF160)</f>
        <v>0</v>
      </c>
      <c r="AD160" s="436">
        <f t="shared" si="7"/>
        <v>1</v>
      </c>
      <c r="AE160" s="436">
        <f>IF(V160=0,0,11)</f>
        <v>0</v>
      </c>
      <c r="AF160" s="437">
        <f>SUM(V160:V161)/($B$147-B159)</f>
        <v>0</v>
      </c>
      <c r="AG160" s="450">
        <f>SUM(D151:D160)+$C$150</f>
        <v>0</v>
      </c>
      <c r="AH160" s="439" t="b">
        <f t="shared" si="8"/>
        <v>0</v>
      </c>
      <c r="AI160" s="440">
        <f t="shared" si="20"/>
        <v>54.5017821</v>
      </c>
      <c r="AJ160" s="441">
        <f t="shared" si="34"/>
        <v>0.81413357986421619</v>
      </c>
      <c r="AK160" s="382">
        <f t="shared" si="21"/>
        <v>343.49924001631013</v>
      </c>
      <c r="AL160" s="440">
        <f t="shared" si="22"/>
        <v>58.734415599999998</v>
      </c>
      <c r="AM160" s="442">
        <f t="shared" si="23"/>
        <v>0.85477073319485097</v>
      </c>
      <c r="AN160" s="382">
        <f t="shared" si="24"/>
        <v>403.50307231196138</v>
      </c>
      <c r="AO160" s="443">
        <f t="shared" si="9"/>
        <v>-19.615282899207248</v>
      </c>
      <c r="AP160" s="382">
        <f t="shared" si="25"/>
        <v>-513</v>
      </c>
      <c r="AQ160" s="443">
        <f t="shared" si="10"/>
        <v>-441.5</v>
      </c>
      <c r="AR160" s="444">
        <f t="shared" si="26"/>
        <v>747.0023123282715</v>
      </c>
      <c r="AS160" s="445">
        <f t="shared" si="36"/>
        <v>-403.50307231196138</v>
      </c>
      <c r="AT160" s="446">
        <f t="shared" si="27"/>
        <v>383.8877894127541</v>
      </c>
      <c r="AU160" s="445">
        <f t="shared" si="35"/>
        <v>403.50307231196138</v>
      </c>
      <c r="AV160" s="447">
        <f t="shared" si="28"/>
        <v>-214.61119895001102</v>
      </c>
      <c r="AW160" s="447">
        <f t="shared" si="29"/>
        <v>-226.88880104998901</v>
      </c>
      <c r="AX160" s="448">
        <f t="shared" si="11"/>
        <v>-54.05123337809583</v>
      </c>
      <c r="AY160" s="448">
        <f t="shared" si="12"/>
        <v>-51.126366512220422</v>
      </c>
      <c r="AZ160" s="451">
        <f t="shared" si="30"/>
        <v>54.05123337809583</v>
      </c>
      <c r="BA160" s="451">
        <f t="shared" si="31"/>
        <v>51.126366512220422</v>
      </c>
      <c r="BC160" s="276"/>
      <c r="BE160" s="136"/>
      <c r="BF160" s="136"/>
      <c r="BG160" s="136"/>
      <c r="BH160" s="136"/>
      <c r="BP160" s="307"/>
      <c r="BQ160" s="307"/>
      <c r="BR160" s="307"/>
      <c r="BS160" s="307"/>
      <c r="BT160" s="307"/>
      <c r="BU160" s="307"/>
      <c r="BV160" s="1819"/>
      <c r="BW160" s="1819"/>
      <c r="CH160" s="1813"/>
      <c r="CI160" s="1813"/>
    </row>
    <row r="161" spans="2:128" ht="19" thickBot="1" x14ac:dyDescent="0.25">
      <c r="B161" s="277">
        <v>12</v>
      </c>
      <c r="C161" s="278"/>
      <c r="D161" s="25">
        <v>0</v>
      </c>
      <c r="E161" s="257" t="s">
        <v>80</v>
      </c>
      <c r="F161" s="258"/>
      <c r="G161" s="258"/>
      <c r="H161" s="258">
        <v>472.06</v>
      </c>
      <c r="I161" s="258">
        <v>62.531168700000002</v>
      </c>
      <c r="J161" s="258">
        <f t="shared" si="32"/>
        <v>62.531168700000002</v>
      </c>
      <c r="K161" s="258">
        <f t="shared" si="13"/>
        <v>31.265584350000001</v>
      </c>
      <c r="L161" s="258">
        <f t="shared" si="14"/>
        <v>0.51900577347391186</v>
      </c>
      <c r="M161" s="258">
        <f t="shared" si="15"/>
        <v>245.00186542609484</v>
      </c>
      <c r="N161" s="258">
        <f t="shared" si="16"/>
        <v>490.00373085218968</v>
      </c>
      <c r="O161" s="258">
        <f>+C150+D151+D152+D153+D154+D155+D156+D157+D158+D159+D160+(D161/2)</f>
        <v>0</v>
      </c>
      <c r="P161" s="258">
        <f t="shared" si="17"/>
        <v>0</v>
      </c>
      <c r="Q161" s="258">
        <f t="shared" si="18"/>
        <v>0</v>
      </c>
      <c r="R161" s="258">
        <f t="shared" si="19"/>
        <v>343.49989132317432</v>
      </c>
      <c r="S161" s="258">
        <f t="shared" si="33"/>
        <v>343.49989132317432</v>
      </c>
      <c r="T161" s="258">
        <f t="shared" si="5"/>
        <v>343.49989132317432</v>
      </c>
      <c r="U161" s="258"/>
      <c r="V161" s="258">
        <f t="shared" si="6"/>
        <v>0</v>
      </c>
      <c r="W161" s="258"/>
      <c r="X161" s="258"/>
      <c r="Y161" s="258"/>
      <c r="Z161" s="258"/>
      <c r="AA161" s="258"/>
      <c r="AB161" s="258"/>
      <c r="AC161" s="436" t="b">
        <f>IF(AD161=12,AF161)</f>
        <v>0</v>
      </c>
      <c r="AD161" s="436">
        <f t="shared" si="7"/>
        <v>1</v>
      </c>
      <c r="AE161" s="436">
        <f>IF(V161=0,0,12)</f>
        <v>0</v>
      </c>
      <c r="AF161" s="437">
        <f>SUM(V161)/($B$147-B160)</f>
        <v>0</v>
      </c>
      <c r="AG161" s="450">
        <f>SUM(D151:D161)+$C$150</f>
        <v>0</v>
      </c>
      <c r="AH161" s="439" t="b">
        <f t="shared" si="8"/>
        <v>0</v>
      </c>
      <c r="AI161" s="440">
        <f t="shared" si="20"/>
        <v>54.5017821</v>
      </c>
      <c r="AJ161" s="441">
        <f t="shared" si="34"/>
        <v>0.81413357986421619</v>
      </c>
      <c r="AK161" s="382">
        <f t="shared" si="21"/>
        <v>343.49924001631013</v>
      </c>
      <c r="AL161" s="440">
        <f t="shared" si="22"/>
        <v>58.734415599999998</v>
      </c>
      <c r="AM161" s="442">
        <f t="shared" si="23"/>
        <v>0.85477073319485097</v>
      </c>
      <c r="AN161" s="382">
        <f t="shared" si="24"/>
        <v>403.50307231196138</v>
      </c>
      <c r="AO161" s="443">
        <f t="shared" si="9"/>
        <v>-17.372412036108326</v>
      </c>
      <c r="AP161" s="382">
        <f t="shared" si="25"/>
        <v>-570</v>
      </c>
      <c r="AQ161" s="443">
        <f t="shared" si="10"/>
        <v>-498.5</v>
      </c>
      <c r="AR161" s="444">
        <f t="shared" si="26"/>
        <v>747.0023123282715</v>
      </c>
      <c r="AS161" s="445">
        <f t="shared" si="36"/>
        <v>-403.50307231196138</v>
      </c>
      <c r="AT161" s="446">
        <f t="shared" si="27"/>
        <v>386.13066027585307</v>
      </c>
      <c r="AU161" s="445">
        <f t="shared" si="35"/>
        <v>403.50307231196138</v>
      </c>
      <c r="AV161" s="447">
        <f t="shared" si="28"/>
        <v>-240.82190319790553</v>
      </c>
      <c r="AW161" s="447">
        <f t="shared" si="29"/>
        <v>-257.6780968020945</v>
      </c>
      <c r="AX161" s="448">
        <f t="shared" si="11"/>
        <v>-48.168376073613253</v>
      </c>
      <c r="AY161" s="448">
        <f t="shared" si="12"/>
        <v>-45.01740793634157</v>
      </c>
      <c r="AZ161" s="451">
        <f t="shared" si="30"/>
        <v>48.168376073613253</v>
      </c>
      <c r="BA161" s="451">
        <f t="shared" si="31"/>
        <v>45.01740793634157</v>
      </c>
      <c r="BC161" s="276"/>
      <c r="BE161" s="136"/>
      <c r="BF161" s="136"/>
      <c r="BG161" s="136"/>
      <c r="BH161" s="136"/>
    </row>
    <row r="162" spans="2:128" ht="19" thickBot="1" x14ac:dyDescent="0.25">
      <c r="U162" s="276"/>
      <c r="AG162" s="452" t="s">
        <v>79</v>
      </c>
      <c r="AH162" s="453">
        <f>MAX(AH150:AH161)</f>
        <v>0</v>
      </c>
      <c r="BC162" s="276"/>
      <c r="BE162" s="136"/>
      <c r="BF162" s="136"/>
      <c r="BG162" s="136"/>
      <c r="BH162" s="136"/>
    </row>
    <row r="163" spans="2:128" ht="26" hidden="1" thickBot="1" x14ac:dyDescent="0.3">
      <c r="U163" s="276"/>
      <c r="AG163" s="812"/>
      <c r="AH163" s="439"/>
      <c r="AK163" s="845" t="s">
        <v>190</v>
      </c>
      <c r="AL163" s="846"/>
      <c r="AM163" s="846"/>
      <c r="AN163" s="846"/>
      <c r="AO163" s="847"/>
      <c r="BC163" s="276"/>
      <c r="BE163" s="136"/>
      <c r="BF163" s="136"/>
      <c r="BG163" s="136"/>
      <c r="BH163" s="136"/>
    </row>
    <row r="164" spans="2:128" ht="49" hidden="1" thickBot="1" x14ac:dyDescent="0.3">
      <c r="U164" s="276"/>
      <c r="AG164" s="812"/>
      <c r="AH164" s="439"/>
      <c r="AK164" s="814" t="s">
        <v>175</v>
      </c>
      <c r="AL164" s="815" t="s">
        <v>176</v>
      </c>
      <c r="AM164" s="815" t="s">
        <v>177</v>
      </c>
      <c r="AN164" s="816" t="s">
        <v>181</v>
      </c>
      <c r="AO164" s="817"/>
      <c r="BC164" s="276"/>
      <c r="BE164" s="136"/>
      <c r="BF164" s="136"/>
      <c r="BG164" s="136"/>
      <c r="BH164" s="136"/>
    </row>
    <row r="165" spans="2:128" ht="24" hidden="1" thickBot="1" x14ac:dyDescent="0.3">
      <c r="U165" s="276"/>
      <c r="AG165" s="812"/>
      <c r="AH165" s="439"/>
      <c r="AK165" s="818">
        <v>6.8623010000000004</v>
      </c>
      <c r="AL165" s="819">
        <f>+($AH$162*-1)-AK165</f>
        <v>-6.8623010000000004</v>
      </c>
      <c r="AM165" s="820">
        <f>COS(AL165*3.14159265358979/180)</f>
        <v>0.99283617366519983</v>
      </c>
      <c r="AN165" s="848">
        <f>+AM165*378.71303</f>
        <v>375.99999562235405</v>
      </c>
      <c r="AO165" s="821"/>
      <c r="BC165" s="276"/>
      <c r="BE165" s="136"/>
      <c r="BF165" s="136"/>
      <c r="BG165" s="136"/>
      <c r="BH165" s="136"/>
    </row>
    <row r="166" spans="2:128" ht="26" hidden="1" thickBot="1" x14ac:dyDescent="0.3">
      <c r="U166" s="276"/>
      <c r="AG166" s="812"/>
      <c r="AH166" s="439"/>
      <c r="AK166" s="844" t="s">
        <v>195</v>
      </c>
      <c r="AL166" s="849"/>
      <c r="AM166" s="849"/>
      <c r="AN166" s="849"/>
      <c r="AO166" s="850"/>
      <c r="BC166" s="276"/>
      <c r="BE166" s="136"/>
      <c r="BF166" s="136"/>
      <c r="BG166" s="136"/>
      <c r="BH166" s="136"/>
    </row>
    <row r="167" spans="2:128" ht="72" hidden="1" x14ac:dyDescent="0.25">
      <c r="B167" s="350"/>
      <c r="U167" s="276"/>
      <c r="AK167" s="851"/>
      <c r="AL167" s="815" t="s">
        <v>194</v>
      </c>
      <c r="AM167" s="815" t="s">
        <v>193</v>
      </c>
      <c r="AN167" s="816" t="s">
        <v>192</v>
      </c>
      <c r="AO167" s="843" t="s">
        <v>191</v>
      </c>
      <c r="BC167" s="276"/>
      <c r="BE167" s="136"/>
      <c r="BF167" s="136"/>
      <c r="BG167" s="136"/>
      <c r="BH167" s="136"/>
      <c r="BI167" s="136"/>
      <c r="BK167" s="136"/>
      <c r="BL167" s="136"/>
    </row>
    <row r="168" spans="2:128" ht="24" hidden="1" thickBot="1" x14ac:dyDescent="0.3">
      <c r="B168" s="350"/>
      <c r="AB168" s="415"/>
      <c r="AC168" s="415"/>
      <c r="AD168" s="415"/>
      <c r="AE168" s="415"/>
      <c r="AK168" s="852"/>
      <c r="AL168" s="822">
        <f>+AH162</f>
        <v>0</v>
      </c>
      <c r="AM168" s="823">
        <f>SIN(AL168*3.14159265358979/180)</f>
        <v>0</v>
      </c>
      <c r="AN168" s="824">
        <f>+AM168*((+B147*491.5)+119+119)</f>
        <v>0</v>
      </c>
      <c r="AO168" s="825">
        <f>+AN165+AN168</f>
        <v>375.99999562235405</v>
      </c>
      <c r="BE168" s="136"/>
      <c r="BF168" s="136"/>
      <c r="BG168" s="136"/>
      <c r="BH168" s="136"/>
      <c r="BI168" s="136"/>
      <c r="BJ168" s="136"/>
      <c r="BK168" s="136"/>
      <c r="BL168" s="136"/>
    </row>
    <row r="169" spans="2:128" hidden="1" x14ac:dyDescent="0.2">
      <c r="V169" s="187"/>
      <c r="W169" s="187"/>
      <c r="X169" s="187"/>
      <c r="Y169" s="187"/>
      <c r="Z169" s="187"/>
      <c r="AA169" s="187"/>
      <c r="AB169" s="187"/>
      <c r="AC169" s="187"/>
      <c r="AD169" s="187"/>
      <c r="AE169" s="187"/>
      <c r="AF169" s="187"/>
      <c r="AG169" s="187"/>
      <c r="AH169" s="187"/>
      <c r="AI169" s="187"/>
      <c r="AJ169" s="187"/>
      <c r="AK169" s="187"/>
      <c r="AL169" s="187"/>
      <c r="AM169" s="187"/>
      <c r="AN169" s="187"/>
      <c r="AO169" s="187"/>
      <c r="AP169" s="187"/>
      <c r="AQ169" s="187"/>
      <c r="AR169" s="187"/>
      <c r="AS169" s="187"/>
      <c r="AT169" s="187"/>
      <c r="AU169" s="187"/>
      <c r="AV169" s="187"/>
      <c r="AW169" s="187"/>
      <c r="AX169" s="187"/>
      <c r="AY169" s="187"/>
      <c r="AZ169" s="187"/>
      <c r="BA169" s="187"/>
      <c r="BB169" s="126"/>
      <c r="BE169" s="136"/>
      <c r="BF169" s="136"/>
      <c r="BG169" s="136"/>
      <c r="BH169" s="136"/>
      <c r="BI169" s="136"/>
      <c r="BJ169" s="136"/>
      <c r="BK169" s="136"/>
      <c r="BL169" s="136"/>
      <c r="DE169" s="305"/>
      <c r="DF169" s="305"/>
      <c r="DG169" s="305"/>
      <c r="DH169" s="305"/>
      <c r="DI169" s="305"/>
      <c r="DJ169" s="305"/>
      <c r="DK169" s="1818"/>
      <c r="DL169" s="1818"/>
      <c r="DM169" s="1818"/>
      <c r="DN169" s="126"/>
    </row>
    <row r="170" spans="2:128" ht="19" hidden="1" thickBot="1" x14ac:dyDescent="0.25">
      <c r="V170" s="187"/>
      <c r="W170" s="187"/>
      <c r="X170" s="187"/>
      <c r="Y170" s="187"/>
      <c r="Z170" s="187"/>
      <c r="AA170" s="187"/>
      <c r="AB170" s="187"/>
      <c r="AC170" s="187"/>
      <c r="AD170" s="187"/>
      <c r="AE170" s="187"/>
      <c r="AF170" s="187"/>
      <c r="AG170" s="187"/>
      <c r="AH170" s="187"/>
      <c r="AI170" s="187"/>
      <c r="AJ170" s="187"/>
      <c r="AK170" s="187"/>
      <c r="AL170" s="187"/>
      <c r="AM170" s="187"/>
      <c r="AN170" s="187"/>
      <c r="AO170" s="187"/>
      <c r="AP170" s="187"/>
      <c r="AQ170" s="187"/>
      <c r="AR170" s="187"/>
      <c r="AS170" s="187"/>
      <c r="AT170" s="187"/>
      <c r="AU170" s="187"/>
      <c r="AV170" s="187"/>
      <c r="AW170" s="187"/>
      <c r="AX170" s="187"/>
      <c r="AY170" s="187"/>
      <c r="AZ170" s="187"/>
      <c r="BA170" s="187"/>
      <c r="BB170" s="126"/>
      <c r="BE170" s="136"/>
      <c r="BF170" s="136"/>
      <c r="BG170" s="136"/>
      <c r="BH170" s="136"/>
      <c r="BI170" s="136"/>
      <c r="BJ170" s="136"/>
      <c r="BK170" s="136"/>
      <c r="BL170" s="136"/>
      <c r="DK170" s="306"/>
      <c r="DX170" s="306"/>
    </row>
    <row r="171" spans="2:128" ht="64" thickBot="1" x14ac:dyDescent="0.25">
      <c r="B171" s="345" t="s">
        <v>118</v>
      </c>
      <c r="C171" s="454"/>
      <c r="D171" s="455"/>
      <c r="E171" s="37"/>
      <c r="F171" s="37"/>
      <c r="G171" s="37"/>
      <c r="H171" s="456"/>
      <c r="I171" s="456"/>
      <c r="J171" s="456"/>
      <c r="K171" s="456"/>
      <c r="L171" s="456"/>
      <c r="M171" s="456"/>
      <c r="N171" s="456"/>
      <c r="O171" s="456"/>
      <c r="P171" s="456"/>
      <c r="Q171" s="456"/>
      <c r="R171" s="456"/>
      <c r="S171" s="457" t="s">
        <v>134</v>
      </c>
      <c r="T171" s="457">
        <f>SUM(V175:V194)/B172</f>
        <v>213.83080000000001</v>
      </c>
      <c r="U171" s="212"/>
      <c r="V171" s="187"/>
      <c r="W171" s="187"/>
      <c r="X171" s="187"/>
      <c r="Y171" s="187"/>
      <c r="Z171" s="187"/>
      <c r="AA171" s="187"/>
      <c r="AB171" s="187"/>
      <c r="AC171" s="187"/>
      <c r="AD171" s="187"/>
      <c r="AE171" s="187"/>
      <c r="AF171" s="187"/>
      <c r="AG171" s="187"/>
      <c r="AH171" s="187"/>
      <c r="AI171" s="187"/>
      <c r="AJ171" s="187"/>
      <c r="AK171" s="187"/>
      <c r="AL171" s="187"/>
      <c r="AM171" s="187"/>
      <c r="AN171" s="187"/>
      <c r="AO171" s="187"/>
      <c r="AP171" s="187"/>
      <c r="AQ171" s="187"/>
      <c r="AR171" s="187"/>
      <c r="AS171" s="187"/>
      <c r="AT171" s="187"/>
      <c r="AU171" s="187"/>
      <c r="AV171" s="187"/>
      <c r="AW171" s="187"/>
      <c r="AX171" s="187"/>
      <c r="AY171" s="187"/>
      <c r="AZ171" s="187"/>
      <c r="BA171" s="187"/>
      <c r="BB171" s="126"/>
      <c r="BC171" s="458"/>
      <c r="BD171" s="458"/>
      <c r="BE171" s="136"/>
      <c r="BF171" s="136"/>
      <c r="BG171" s="136"/>
      <c r="BH171" s="136"/>
      <c r="BI171" s="136"/>
      <c r="BJ171" s="136"/>
      <c r="BK171" s="136"/>
      <c r="BL171" s="136"/>
      <c r="DE171" s="307"/>
      <c r="DF171" s="307"/>
      <c r="DG171" s="307"/>
      <c r="DH171" s="307"/>
      <c r="DI171" s="307"/>
      <c r="DJ171" s="307"/>
      <c r="DK171" s="1819"/>
      <c r="DL171" s="1819"/>
      <c r="DW171" s="1813"/>
      <c r="DX171" s="1813"/>
    </row>
    <row r="172" spans="2:128" ht="27" thickBot="1" x14ac:dyDescent="0.3">
      <c r="B172" s="28">
        <v>1</v>
      </c>
      <c r="C172" s="216"/>
      <c r="D172" s="459" t="s">
        <v>117</v>
      </c>
      <c r="E172" s="330"/>
      <c r="F172" s="330"/>
      <c r="G172" s="330"/>
      <c r="H172" s="460"/>
      <c r="I172" s="461"/>
      <c r="J172" s="461"/>
      <c r="K172" s="461"/>
      <c r="L172" s="461"/>
      <c r="M172" s="461"/>
      <c r="N172" s="461"/>
      <c r="O172" s="461"/>
      <c r="P172" s="461"/>
      <c r="Q172" s="461"/>
      <c r="R172" s="461"/>
      <c r="S172" s="462"/>
      <c r="T172" s="463"/>
      <c r="U172" s="401"/>
      <c r="V172" s="464"/>
      <c r="W172" s="464"/>
      <c r="X172" s="464"/>
      <c r="Y172" s="464"/>
      <c r="Z172" s="464"/>
      <c r="AA172" s="464"/>
      <c r="AB172" s="464"/>
      <c r="AC172" s="464"/>
      <c r="AD172" s="464"/>
      <c r="AE172" s="464"/>
      <c r="AF172" s="464"/>
      <c r="AG172" s="464"/>
      <c r="AH172" s="464"/>
      <c r="AI172" s="464"/>
      <c r="AJ172" s="464"/>
      <c r="AK172" s="464"/>
      <c r="AL172" s="464"/>
      <c r="AM172" s="464"/>
      <c r="AN172" s="464"/>
      <c r="AO172" s="464"/>
      <c r="AP172" s="464"/>
      <c r="AQ172" s="464"/>
      <c r="AR172" s="464"/>
      <c r="AS172" s="464"/>
      <c r="AT172" s="464"/>
      <c r="AU172" s="464"/>
      <c r="AV172" s="464"/>
      <c r="AW172" s="464"/>
      <c r="AX172" s="464"/>
      <c r="AY172" s="464"/>
      <c r="AZ172" s="1848" t="s">
        <v>52</v>
      </c>
      <c r="BA172" s="1849"/>
      <c r="BB172" s="218"/>
      <c r="BC172" s="144"/>
      <c r="BD172" s="144"/>
      <c r="BE172" s="136"/>
      <c r="BF172" s="136"/>
      <c r="BG172" s="136"/>
      <c r="BH172" s="136"/>
      <c r="BI172" s="136"/>
      <c r="BJ172" s="136"/>
      <c r="BK172" s="136"/>
      <c r="BL172" s="136"/>
    </row>
    <row r="173" spans="2:128" ht="20" hidden="1" thickBot="1" x14ac:dyDescent="0.25">
      <c r="C173" s="416"/>
      <c r="D173" s="354" t="s">
        <v>13</v>
      </c>
      <c r="H173" s="465" t="s">
        <v>4</v>
      </c>
      <c r="I173" s="465" t="s">
        <v>1</v>
      </c>
      <c r="J173" s="456" t="s">
        <v>0</v>
      </c>
      <c r="K173" s="456" t="s">
        <v>2</v>
      </c>
      <c r="L173" s="456" t="s">
        <v>3</v>
      </c>
      <c r="M173" s="456" t="s">
        <v>8</v>
      </c>
      <c r="N173" s="456" t="s">
        <v>5</v>
      </c>
      <c r="O173" s="456" t="s">
        <v>6</v>
      </c>
      <c r="P173" s="456" t="s">
        <v>7</v>
      </c>
      <c r="Q173" s="456" t="s">
        <v>9</v>
      </c>
      <c r="R173" s="466" t="s">
        <v>10</v>
      </c>
      <c r="S173" s="456" t="s">
        <v>11</v>
      </c>
      <c r="T173" s="467" t="s">
        <v>12</v>
      </c>
      <c r="V173" s="420"/>
      <c r="W173" s="420"/>
      <c r="X173" s="420"/>
      <c r="Y173" s="420"/>
      <c r="Z173" s="420"/>
      <c r="AA173" s="420"/>
      <c r="AB173" s="420"/>
      <c r="AC173" s="420"/>
      <c r="AD173" s="420"/>
      <c r="AE173" s="420"/>
      <c r="AF173" s="420"/>
      <c r="AG173" s="420"/>
      <c r="AH173" s="420"/>
      <c r="AI173" s="420"/>
      <c r="AJ173" s="420"/>
      <c r="AK173" s="420"/>
      <c r="AL173" s="420"/>
      <c r="AM173" s="420"/>
      <c r="AN173" s="420"/>
      <c r="AO173" s="420"/>
      <c r="AP173" s="420"/>
      <c r="AQ173" s="420"/>
      <c r="AR173" s="420"/>
      <c r="AS173" s="420"/>
      <c r="AT173" s="420"/>
      <c r="AU173" s="420"/>
      <c r="AV173" s="420"/>
      <c r="AW173" s="420"/>
      <c r="AX173" s="415"/>
      <c r="AY173" s="420"/>
      <c r="AZ173" s="420"/>
      <c r="BA173" s="420"/>
      <c r="BB173" s="231"/>
      <c r="BC173" s="228"/>
      <c r="BE173" s="136"/>
      <c r="BF173" s="136"/>
      <c r="BG173" s="136"/>
      <c r="BH173" s="136"/>
      <c r="BI173" s="136"/>
      <c r="BJ173" s="136"/>
      <c r="BK173" s="136"/>
      <c r="BL173" s="136"/>
    </row>
    <row r="174" spans="2:128" ht="39" thickBot="1" x14ac:dyDescent="0.25">
      <c r="B174" s="421"/>
      <c r="C174" s="422"/>
      <c r="D174" s="348" t="s">
        <v>22</v>
      </c>
      <c r="E174" s="330"/>
      <c r="F174" s="468"/>
      <c r="G174" s="240"/>
      <c r="H174" s="469"/>
      <c r="I174" s="470"/>
      <c r="R174" s="466"/>
      <c r="T174" s="471"/>
      <c r="V174" s="420"/>
      <c r="W174" s="420"/>
      <c r="X174" s="420"/>
      <c r="Y174" s="420"/>
      <c r="Z174" s="420"/>
      <c r="AA174" s="420"/>
      <c r="AB174" s="420"/>
      <c r="AC174" s="420"/>
      <c r="AD174" s="420"/>
      <c r="AE174" s="420"/>
      <c r="AF174" s="420" t="s">
        <v>38</v>
      </c>
      <c r="AG174" s="425" t="s">
        <v>31</v>
      </c>
      <c r="AH174" s="425"/>
      <c r="AI174" s="368" t="s">
        <v>120</v>
      </c>
      <c r="AJ174" s="426" t="s">
        <v>32</v>
      </c>
      <c r="AK174" s="472" t="s">
        <v>142</v>
      </c>
      <c r="AL174" s="368" t="s">
        <v>121</v>
      </c>
      <c r="AM174" s="427" t="s">
        <v>34</v>
      </c>
      <c r="AN174" s="472" t="s">
        <v>143</v>
      </c>
      <c r="AO174" s="427"/>
      <c r="AP174" s="473" t="s">
        <v>36</v>
      </c>
      <c r="AQ174" s="420"/>
      <c r="AR174" s="420" t="s">
        <v>37</v>
      </c>
      <c r="AS174" s="420" t="s">
        <v>39</v>
      </c>
      <c r="AT174" s="420"/>
      <c r="AU174" s="420" t="s">
        <v>40</v>
      </c>
      <c r="AV174" s="429" t="s">
        <v>41</v>
      </c>
      <c r="AW174" s="429" t="s">
        <v>42</v>
      </c>
      <c r="AX174" s="430" t="s">
        <v>23</v>
      </c>
      <c r="AY174" s="430" t="s">
        <v>24</v>
      </c>
      <c r="AZ174" s="431" t="s">
        <v>23</v>
      </c>
      <c r="BA174" s="431" t="s">
        <v>24</v>
      </c>
      <c r="BC174" s="228"/>
      <c r="BE174" s="136"/>
      <c r="BF174" s="136"/>
      <c r="BG174" s="136"/>
      <c r="BH174" s="136"/>
      <c r="BI174" s="136"/>
      <c r="BJ174" s="136"/>
      <c r="BK174" s="136"/>
      <c r="BL174" s="136"/>
    </row>
    <row r="175" spans="2:128" ht="19" thickBot="1" x14ac:dyDescent="0.25">
      <c r="B175" s="255">
        <v>1</v>
      </c>
      <c r="C175" s="256">
        <f>+AH162+D175</f>
        <v>0</v>
      </c>
      <c r="D175" s="25">
        <v>0</v>
      </c>
      <c r="E175" s="257" t="s">
        <v>119</v>
      </c>
      <c r="F175" s="258"/>
      <c r="G175" s="258">
        <f>+D175</f>
        <v>0</v>
      </c>
      <c r="H175" s="282">
        <v>279.06049999999999</v>
      </c>
      <c r="I175" s="283">
        <v>79.962900599999998</v>
      </c>
      <c r="J175" s="474">
        <f>+I175-C175</f>
        <v>79.962900599999998</v>
      </c>
      <c r="K175" s="474">
        <f>+J175/2</f>
        <v>39.981450299999999</v>
      </c>
      <c r="L175" s="474">
        <f t="shared" ref="L175:L194" si="37">SIN(K175*3.14159265358979/180)</f>
        <v>0.64253956655634092</v>
      </c>
      <c r="M175" s="474">
        <f t="shared" ref="M175:M194" si="38">+L175*H175</f>
        <v>179.30741271299578</v>
      </c>
      <c r="N175" s="474">
        <f t="shared" ref="N175:N194" si="39">+M175*2</f>
        <v>358.61482542599157</v>
      </c>
      <c r="O175" s="474">
        <f>+C175/2</f>
        <v>0</v>
      </c>
      <c r="P175" s="474">
        <f t="shared" ref="P175:P194" si="40">SIN(O175*3.14159265358979/180)</f>
        <v>0</v>
      </c>
      <c r="Q175" s="474">
        <f t="shared" ref="Q175:Q194" si="41">+P175*N175</f>
        <v>0</v>
      </c>
      <c r="R175" s="475">
        <v>213.83080000000001</v>
      </c>
      <c r="S175" s="474">
        <f>+R175+Q175</f>
        <v>213.83080000000001</v>
      </c>
      <c r="T175" s="476">
        <f t="shared" ref="T175:T194" si="42">+S175</f>
        <v>213.83080000000001</v>
      </c>
      <c r="V175" s="437">
        <f t="shared" ref="V175:V194" si="43">IF(B175&lt;($B$172+1),T175,0)</f>
        <v>213.83080000000001</v>
      </c>
      <c r="W175" s="437"/>
      <c r="X175" s="437"/>
      <c r="Y175" s="437"/>
      <c r="Z175" s="437"/>
      <c r="AA175" s="437"/>
      <c r="AB175" s="477" t="str">
        <f>IF(AY175&lt;0,"use the locking pin"," ")</f>
        <v xml:space="preserve"> </v>
      </c>
      <c r="AC175" s="478"/>
      <c r="AD175" s="478"/>
      <c r="AE175" s="478"/>
      <c r="AF175" s="437">
        <f>SUM(V175:V194)/($B$172)</f>
        <v>213.83080000000001</v>
      </c>
      <c r="AG175" s="450">
        <f>C175</f>
        <v>0</v>
      </c>
      <c r="AH175" s="450"/>
      <c r="AI175" s="287">
        <f>66.2555484-AG175</f>
        <v>66.255548399999995</v>
      </c>
      <c r="AJ175" s="441">
        <f t="shared" ref="AJ175:AJ194" si="44">SIN(AI175*3.14159265358979/180)</f>
        <v>0.91535047595051022</v>
      </c>
      <c r="AK175" s="289">
        <f>+AJ175*304.3209</f>
        <v>278.56028065668761</v>
      </c>
      <c r="AL175" s="287">
        <f>50.0185497+AG175</f>
        <v>50.018549700000001</v>
      </c>
      <c r="AM175" s="442">
        <f>SIN(AL175*3.14159265358979/180)</f>
        <v>0.76625250760411079</v>
      </c>
      <c r="AN175" s="291">
        <f>+AM175*279.0605</f>
        <v>213.83080789825695</v>
      </c>
      <c r="AO175" s="479"/>
      <c r="AP175" s="480">
        <f>40.5*B172</f>
        <v>40.5</v>
      </c>
      <c r="AQ175" s="444"/>
      <c r="AR175" s="444">
        <f>+AN175+AK175</f>
        <v>492.39108855494453</v>
      </c>
      <c r="AS175" s="445">
        <f>+V175-AN175</f>
        <v>-7.8982569391428115E-6</v>
      </c>
      <c r="AT175" s="445"/>
      <c r="AU175" s="445">
        <f>+AF175-AS175</f>
        <v>213.83080789825695</v>
      </c>
      <c r="AV175" s="447">
        <f>+((AR175-AU175)/AR175)*AP175</f>
        <v>22.912054317849329</v>
      </c>
      <c r="AW175" s="447">
        <f>+(AU175/AR175)*AP175</f>
        <v>17.587945682150675</v>
      </c>
      <c r="AX175" s="448">
        <f>2*$C$18/AV175</f>
        <v>506.28371594611554</v>
      </c>
      <c r="AY175" s="448">
        <f>$D$18/AW175</f>
        <v>568.57123513569934</v>
      </c>
      <c r="AZ175" s="451">
        <f>ABS(AX175)</f>
        <v>506.28371594611554</v>
      </c>
      <c r="BA175" s="451">
        <f>ABS(AY175)</f>
        <v>568.57123513569934</v>
      </c>
      <c r="BB175" s="91"/>
      <c r="BC175" s="481"/>
      <c r="BE175" s="136"/>
      <c r="BF175" s="136"/>
      <c r="BG175" s="136"/>
      <c r="BH175" s="136"/>
      <c r="BI175" s="136"/>
      <c r="BJ175" s="136"/>
      <c r="BK175" s="136"/>
      <c r="BL175" s="136"/>
    </row>
    <row r="176" spans="2:128" ht="19" thickBot="1" x14ac:dyDescent="0.25">
      <c r="B176" s="277">
        <v>2</v>
      </c>
      <c r="C176" s="278"/>
      <c r="D176" s="25">
        <v>0</v>
      </c>
      <c r="E176" s="279" t="s">
        <v>130</v>
      </c>
      <c r="F176" s="258"/>
      <c r="G176" s="258">
        <f t="shared" ref="G176:G194" si="45">+D176+BB176</f>
        <v>0</v>
      </c>
      <c r="H176" s="282">
        <v>279.06049999999999</v>
      </c>
      <c r="I176" s="283">
        <v>79.962900599999998</v>
      </c>
      <c r="J176" s="474">
        <f t="shared" ref="J176:J194" si="46">+I176-D176</f>
        <v>79.962900599999998</v>
      </c>
      <c r="K176" s="474">
        <f t="shared" ref="K176:K194" si="47">+J176/2</f>
        <v>39.981450299999999</v>
      </c>
      <c r="L176" s="474">
        <f t="shared" si="37"/>
        <v>0.64253956655634092</v>
      </c>
      <c r="M176" s="474">
        <f t="shared" si="38"/>
        <v>179.30741271299578</v>
      </c>
      <c r="N176" s="474">
        <f t="shared" si="39"/>
        <v>358.61482542599157</v>
      </c>
      <c r="O176" s="474">
        <f>+C175+(D176/2)</f>
        <v>0</v>
      </c>
      <c r="P176" s="474">
        <f t="shared" si="40"/>
        <v>0</v>
      </c>
      <c r="Q176" s="474">
        <f t="shared" si="41"/>
        <v>0</v>
      </c>
      <c r="R176" s="474">
        <f t="shared" ref="R176:R194" si="48">+T175</f>
        <v>213.83080000000001</v>
      </c>
      <c r="S176" s="474">
        <f>+R176+Q176</f>
        <v>213.83080000000001</v>
      </c>
      <c r="T176" s="476">
        <f t="shared" si="42"/>
        <v>213.83080000000001</v>
      </c>
      <c r="V176" s="437">
        <f t="shared" si="43"/>
        <v>0</v>
      </c>
      <c r="W176" s="437"/>
      <c r="X176" s="437"/>
      <c r="Y176" s="437"/>
      <c r="Z176" s="437"/>
      <c r="AA176" s="437"/>
      <c r="AB176" s="477" t="e">
        <f t="shared" ref="AB176:AB194" si="49">IF(AY176&lt;0,"use the locking pin"," ")</f>
        <v>#DIV/0!</v>
      </c>
      <c r="AC176" s="478"/>
      <c r="AD176" s="478"/>
      <c r="AE176" s="478"/>
      <c r="AF176" s="437" t="e">
        <f t="shared" ref="AF176:AF194" si="50">SUM(V176:V195)/($B$172-B175)</f>
        <v>#DIV/0!</v>
      </c>
      <c r="AG176" s="450">
        <f>SUM(D176)+$C$175</f>
        <v>0</v>
      </c>
      <c r="AH176" s="450"/>
      <c r="AI176" s="287">
        <f t="shared" ref="AI176:AI194" si="51">66.2555484-AG176</f>
        <v>66.255548399999995</v>
      </c>
      <c r="AJ176" s="441">
        <f t="shared" si="44"/>
        <v>0.91535047595051022</v>
      </c>
      <c r="AK176" s="289">
        <f t="shared" ref="AK176:AK194" si="52">+AJ176*304.3209</f>
        <v>278.56028065668761</v>
      </c>
      <c r="AL176" s="287">
        <f t="shared" ref="AL176:AL194" si="53">50.0185497+AG176</f>
        <v>50.018549700000001</v>
      </c>
      <c r="AM176" s="442">
        <f t="shared" ref="AM176:AM194" si="54">SIN(AL176*3.14159265358979/180)</f>
        <v>0.76625250760411079</v>
      </c>
      <c r="AN176" s="291">
        <f t="shared" ref="AN176:AN194" si="55">+AM176*279.0605</f>
        <v>213.83080789825695</v>
      </c>
      <c r="AO176" s="479"/>
      <c r="AP176" s="291">
        <f t="shared" ref="AP176:AP194" si="56">40.5*($B$172-B175)</f>
        <v>0</v>
      </c>
      <c r="AQ176" s="444"/>
      <c r="AR176" s="444">
        <f t="shared" ref="AR176:AR194" si="57">+AN176+AK176</f>
        <v>492.39108855494453</v>
      </c>
      <c r="AS176" s="445">
        <f>+V176-AN176</f>
        <v>-213.83080789825695</v>
      </c>
      <c r="AT176" s="445"/>
      <c r="AU176" s="445" t="e">
        <f>+AF176-AS176</f>
        <v>#DIV/0!</v>
      </c>
      <c r="AV176" s="447" t="e">
        <f t="shared" ref="AV176:AV194" si="58">+((AR176-AU176)/AR176)*AP176</f>
        <v>#DIV/0!</v>
      </c>
      <c r="AW176" s="447" t="e">
        <f t="shared" ref="AW176:AW194" si="59">+(AU176/AR176)*AP176</f>
        <v>#DIV/0!</v>
      </c>
      <c r="AX176" s="448" t="e">
        <f t="shared" ref="AX176:AX194" si="60">2*$C$18/AV176</f>
        <v>#DIV/0!</v>
      </c>
      <c r="AY176" s="448" t="e">
        <f t="shared" ref="AY176:AY194" si="61">$D$18/AW176</f>
        <v>#DIV/0!</v>
      </c>
      <c r="AZ176" s="451" t="e">
        <f t="shared" ref="AZ176:BA194" si="62">ABS(AX176)</f>
        <v>#DIV/0!</v>
      </c>
      <c r="BA176" s="451" t="e">
        <f t="shared" si="62"/>
        <v>#DIV/0!</v>
      </c>
      <c r="BE176" s="136"/>
      <c r="BF176" s="136"/>
      <c r="BG176" s="136"/>
      <c r="BH176" s="136"/>
      <c r="BI176" s="136"/>
      <c r="BJ176" s="136"/>
      <c r="BK176" s="136"/>
      <c r="BL176" s="136"/>
    </row>
    <row r="177" spans="1:133" ht="19" thickBot="1" x14ac:dyDescent="0.25">
      <c r="B177" s="277">
        <v>3</v>
      </c>
      <c r="C177" s="278"/>
      <c r="D177" s="25">
        <v>0</v>
      </c>
      <c r="E177" s="279" t="s">
        <v>130</v>
      </c>
      <c r="F177" s="258"/>
      <c r="G177" s="258">
        <f t="shared" si="45"/>
        <v>0</v>
      </c>
      <c r="H177" s="282">
        <v>279.06049999999999</v>
      </c>
      <c r="I177" s="283">
        <v>79.962900599999998</v>
      </c>
      <c r="J177" s="474">
        <f t="shared" si="46"/>
        <v>79.962900599999998</v>
      </c>
      <c r="K177" s="474">
        <f t="shared" si="47"/>
        <v>39.981450299999999</v>
      </c>
      <c r="L177" s="474">
        <f t="shared" si="37"/>
        <v>0.64253956655634092</v>
      </c>
      <c r="M177" s="474">
        <f t="shared" si="38"/>
        <v>179.30741271299578</v>
      </c>
      <c r="N177" s="474">
        <f t="shared" si="39"/>
        <v>358.61482542599157</v>
      </c>
      <c r="O177" s="474">
        <f>+C175+D176+(D177/2)</f>
        <v>0</v>
      </c>
      <c r="P177" s="474">
        <f t="shared" si="40"/>
        <v>0</v>
      </c>
      <c r="Q177" s="474">
        <f t="shared" si="41"/>
        <v>0</v>
      </c>
      <c r="R177" s="474">
        <f t="shared" si="48"/>
        <v>213.83080000000001</v>
      </c>
      <c r="S177" s="474">
        <f t="shared" ref="S177:S194" si="63">+S176+Q177</f>
        <v>213.83080000000001</v>
      </c>
      <c r="T177" s="476">
        <f t="shared" si="42"/>
        <v>213.83080000000001</v>
      </c>
      <c r="V177" s="437">
        <f t="shared" si="43"/>
        <v>0</v>
      </c>
      <c r="W177" s="437"/>
      <c r="X177" s="437"/>
      <c r="Y177" s="437"/>
      <c r="Z177" s="437"/>
      <c r="AA177" s="437"/>
      <c r="AB177" s="477" t="str">
        <f t="shared" si="49"/>
        <v>use the locking pin</v>
      </c>
      <c r="AC177" s="478"/>
      <c r="AD177" s="478"/>
      <c r="AE177" s="478"/>
      <c r="AF177" s="437">
        <f t="shared" si="50"/>
        <v>0</v>
      </c>
      <c r="AG177" s="450">
        <f>SUM(D176:D177)+$C$175</f>
        <v>0</v>
      </c>
      <c r="AH177" s="450"/>
      <c r="AI177" s="287">
        <f t="shared" si="51"/>
        <v>66.255548399999995</v>
      </c>
      <c r="AJ177" s="441">
        <f t="shared" si="44"/>
        <v>0.91535047595051022</v>
      </c>
      <c r="AK177" s="289">
        <f t="shared" si="52"/>
        <v>278.56028065668761</v>
      </c>
      <c r="AL177" s="287">
        <f t="shared" si="53"/>
        <v>50.018549700000001</v>
      </c>
      <c r="AM177" s="442">
        <f t="shared" si="54"/>
        <v>0.76625250760411079</v>
      </c>
      <c r="AN177" s="291">
        <f t="shared" si="55"/>
        <v>213.83080789825695</v>
      </c>
      <c r="AO177" s="479"/>
      <c r="AP177" s="291">
        <f t="shared" si="56"/>
        <v>-40.5</v>
      </c>
      <c r="AQ177" s="444"/>
      <c r="AR177" s="444">
        <f t="shared" si="57"/>
        <v>492.39108855494453</v>
      </c>
      <c r="AS177" s="445">
        <f>+V177-AN177</f>
        <v>-213.83080789825695</v>
      </c>
      <c r="AT177" s="445"/>
      <c r="AU177" s="445">
        <f>+AF177-AS177</f>
        <v>213.83080789825695</v>
      </c>
      <c r="AV177" s="447">
        <f t="shared" si="58"/>
        <v>-22.912054317849329</v>
      </c>
      <c r="AW177" s="447">
        <f t="shared" si="59"/>
        <v>-17.587945682150675</v>
      </c>
      <c r="AX177" s="448">
        <f t="shared" si="60"/>
        <v>-506.28371594611554</v>
      </c>
      <c r="AY177" s="448">
        <f t="shared" si="61"/>
        <v>-568.57123513569934</v>
      </c>
      <c r="AZ177" s="451">
        <f t="shared" si="62"/>
        <v>506.28371594611554</v>
      </c>
      <c r="BA177" s="451">
        <f t="shared" si="62"/>
        <v>568.57123513569934</v>
      </c>
      <c r="BE177" s="136"/>
      <c r="BF177" s="136"/>
      <c r="BG177" s="136"/>
      <c r="BH177" s="136"/>
      <c r="BI177" s="136"/>
      <c r="BJ177" s="136"/>
      <c r="BK177" s="136"/>
      <c r="BL177" s="136"/>
    </row>
    <row r="178" spans="1:133" ht="19" thickBot="1" x14ac:dyDescent="0.25">
      <c r="B178" s="277">
        <v>4</v>
      </c>
      <c r="C178" s="278"/>
      <c r="D178" s="25">
        <v>0</v>
      </c>
      <c r="E178" s="279" t="s">
        <v>130</v>
      </c>
      <c r="F178" s="258"/>
      <c r="G178" s="258">
        <f t="shared" si="45"/>
        <v>0</v>
      </c>
      <c r="H178" s="282">
        <v>279.06049999999999</v>
      </c>
      <c r="I178" s="283">
        <v>79.962900599999998</v>
      </c>
      <c r="J178" s="474">
        <f t="shared" si="46"/>
        <v>79.962900599999998</v>
      </c>
      <c r="K178" s="474">
        <f t="shared" si="47"/>
        <v>39.981450299999999</v>
      </c>
      <c r="L178" s="474">
        <f t="shared" si="37"/>
        <v>0.64253956655634092</v>
      </c>
      <c r="M178" s="474">
        <f t="shared" si="38"/>
        <v>179.30741271299578</v>
      </c>
      <c r="N178" s="474">
        <f t="shared" si="39"/>
        <v>358.61482542599157</v>
      </c>
      <c r="O178" s="474">
        <f>+C175+D176+D177+(D178/2)</f>
        <v>0</v>
      </c>
      <c r="P178" s="474">
        <f t="shared" si="40"/>
        <v>0</v>
      </c>
      <c r="Q178" s="474">
        <f t="shared" si="41"/>
        <v>0</v>
      </c>
      <c r="R178" s="474">
        <f t="shared" si="48"/>
        <v>213.83080000000001</v>
      </c>
      <c r="S178" s="474">
        <f t="shared" si="63"/>
        <v>213.83080000000001</v>
      </c>
      <c r="T178" s="476">
        <f t="shared" si="42"/>
        <v>213.83080000000001</v>
      </c>
      <c r="V178" s="437">
        <f t="shared" si="43"/>
        <v>0</v>
      </c>
      <c r="W178" s="437"/>
      <c r="X178" s="437"/>
      <c r="Y178" s="437"/>
      <c r="Z178" s="437"/>
      <c r="AA178" s="437"/>
      <c r="AB178" s="477" t="str">
        <f t="shared" si="49"/>
        <v>use the locking pin</v>
      </c>
      <c r="AC178" s="478"/>
      <c r="AD178" s="478"/>
      <c r="AE178" s="478"/>
      <c r="AF178" s="437">
        <f t="shared" si="50"/>
        <v>0</v>
      </c>
      <c r="AG178" s="450">
        <f>SUM(D176:D178)+$C$175</f>
        <v>0</v>
      </c>
      <c r="AH178" s="450"/>
      <c r="AI178" s="287">
        <f t="shared" si="51"/>
        <v>66.255548399999995</v>
      </c>
      <c r="AJ178" s="441">
        <f t="shared" si="44"/>
        <v>0.91535047595051022</v>
      </c>
      <c r="AK178" s="289">
        <f t="shared" si="52"/>
        <v>278.56028065668761</v>
      </c>
      <c r="AL178" s="287">
        <f t="shared" si="53"/>
        <v>50.018549700000001</v>
      </c>
      <c r="AM178" s="442">
        <f t="shared" si="54"/>
        <v>0.76625250760411079</v>
      </c>
      <c r="AN178" s="291">
        <f t="shared" si="55"/>
        <v>213.83080789825695</v>
      </c>
      <c r="AO178" s="479"/>
      <c r="AP178" s="291">
        <f t="shared" si="56"/>
        <v>-81</v>
      </c>
      <c r="AQ178" s="444"/>
      <c r="AR178" s="444">
        <f t="shared" si="57"/>
        <v>492.39108855494453</v>
      </c>
      <c r="AS178" s="445">
        <f>+V178-AN178</f>
        <v>-213.83080789825695</v>
      </c>
      <c r="AT178" s="445"/>
      <c r="AU178" s="445">
        <f t="shared" ref="AU178:AU194" si="64">+AF178-AS178</f>
        <v>213.83080789825695</v>
      </c>
      <c r="AV178" s="447">
        <f t="shared" si="58"/>
        <v>-45.824108635698657</v>
      </c>
      <c r="AW178" s="447">
        <f t="shared" si="59"/>
        <v>-35.17589136430135</v>
      </c>
      <c r="AX178" s="448">
        <f t="shared" si="60"/>
        <v>-253.14185797305777</v>
      </c>
      <c r="AY178" s="448">
        <f t="shared" si="61"/>
        <v>-284.28561756784967</v>
      </c>
      <c r="AZ178" s="451">
        <f t="shared" si="62"/>
        <v>253.14185797305777</v>
      </c>
      <c r="BA178" s="451">
        <f t="shared" si="62"/>
        <v>284.28561756784967</v>
      </c>
      <c r="BE178" s="136"/>
      <c r="BF178" s="136"/>
      <c r="BG178" s="136"/>
      <c r="BH178" s="136"/>
      <c r="BI178" s="136"/>
      <c r="BJ178" s="136"/>
    </row>
    <row r="179" spans="1:133" ht="19" thickBot="1" x14ac:dyDescent="0.25">
      <c r="B179" s="277">
        <v>5</v>
      </c>
      <c r="C179" s="278"/>
      <c r="D179" s="25">
        <v>0</v>
      </c>
      <c r="E179" s="279" t="s">
        <v>130</v>
      </c>
      <c r="F179" s="258"/>
      <c r="G179" s="258">
        <f t="shared" si="45"/>
        <v>0</v>
      </c>
      <c r="H179" s="282">
        <v>279.06049999999999</v>
      </c>
      <c r="I179" s="283">
        <v>79.962900599999998</v>
      </c>
      <c r="J179" s="474">
        <f t="shared" si="46"/>
        <v>79.962900599999998</v>
      </c>
      <c r="K179" s="474">
        <f t="shared" si="47"/>
        <v>39.981450299999999</v>
      </c>
      <c r="L179" s="474">
        <f t="shared" si="37"/>
        <v>0.64253956655634092</v>
      </c>
      <c r="M179" s="474">
        <f t="shared" si="38"/>
        <v>179.30741271299578</v>
      </c>
      <c r="N179" s="474">
        <f t="shared" si="39"/>
        <v>358.61482542599157</v>
      </c>
      <c r="O179" s="474">
        <f>+C175+D176+D177+D178+(D179/2)</f>
        <v>0</v>
      </c>
      <c r="P179" s="474">
        <f t="shared" si="40"/>
        <v>0</v>
      </c>
      <c r="Q179" s="474">
        <f t="shared" si="41"/>
        <v>0</v>
      </c>
      <c r="R179" s="474">
        <f t="shared" si="48"/>
        <v>213.83080000000001</v>
      </c>
      <c r="S179" s="474">
        <f t="shared" si="63"/>
        <v>213.83080000000001</v>
      </c>
      <c r="T179" s="476">
        <f t="shared" si="42"/>
        <v>213.83080000000001</v>
      </c>
      <c r="V179" s="437">
        <f t="shared" si="43"/>
        <v>0</v>
      </c>
      <c r="W179" s="437"/>
      <c r="X179" s="437"/>
      <c r="Y179" s="437"/>
      <c r="Z179" s="437"/>
      <c r="AA179" s="437"/>
      <c r="AB179" s="477" t="str">
        <f t="shared" si="49"/>
        <v>use the locking pin</v>
      </c>
      <c r="AC179" s="478"/>
      <c r="AD179" s="478"/>
      <c r="AE179" s="478"/>
      <c r="AF179" s="437">
        <f t="shared" si="50"/>
        <v>0</v>
      </c>
      <c r="AG179" s="450">
        <f>SUM(D176:D179)+$C$175</f>
        <v>0</v>
      </c>
      <c r="AH179" s="450"/>
      <c r="AI179" s="287">
        <f t="shared" si="51"/>
        <v>66.255548399999995</v>
      </c>
      <c r="AJ179" s="441">
        <f t="shared" si="44"/>
        <v>0.91535047595051022</v>
      </c>
      <c r="AK179" s="289">
        <f t="shared" si="52"/>
        <v>278.56028065668761</v>
      </c>
      <c r="AL179" s="287">
        <f t="shared" si="53"/>
        <v>50.018549700000001</v>
      </c>
      <c r="AM179" s="442">
        <f t="shared" si="54"/>
        <v>0.76625250760411079</v>
      </c>
      <c r="AN179" s="291">
        <f t="shared" si="55"/>
        <v>213.83080789825695</v>
      </c>
      <c r="AO179" s="479"/>
      <c r="AP179" s="291">
        <f t="shared" si="56"/>
        <v>-121.5</v>
      </c>
      <c r="AQ179" s="444"/>
      <c r="AR179" s="444">
        <f t="shared" si="57"/>
        <v>492.39108855494453</v>
      </c>
      <c r="AS179" s="445">
        <f t="shared" ref="AS179:AS194" si="65">+V179-AN179</f>
        <v>-213.83080789825695</v>
      </c>
      <c r="AT179" s="445"/>
      <c r="AU179" s="445">
        <f t="shared" si="64"/>
        <v>213.83080789825695</v>
      </c>
      <c r="AV179" s="447">
        <f t="shared" si="58"/>
        <v>-68.736162953547989</v>
      </c>
      <c r="AW179" s="447">
        <f t="shared" si="59"/>
        <v>-52.763837046452025</v>
      </c>
      <c r="AX179" s="448">
        <f t="shared" si="60"/>
        <v>-168.76123864870519</v>
      </c>
      <c r="AY179" s="448">
        <f t="shared" si="61"/>
        <v>-189.52374504523311</v>
      </c>
      <c r="AZ179" s="451">
        <f t="shared" si="62"/>
        <v>168.76123864870519</v>
      </c>
      <c r="BA179" s="451">
        <f t="shared" si="62"/>
        <v>189.52374504523311</v>
      </c>
      <c r="BC179" s="126"/>
      <c r="BD179" s="126"/>
      <c r="BE179" s="136"/>
      <c r="BF179" s="136"/>
      <c r="BG179" s="136"/>
      <c r="BH179" s="136"/>
      <c r="BI179" s="136"/>
      <c r="BJ179" s="136"/>
      <c r="BK179" s="212"/>
    </row>
    <row r="180" spans="1:133" ht="19" thickBot="1" x14ac:dyDescent="0.25">
      <c r="B180" s="277">
        <v>6</v>
      </c>
      <c r="C180" s="278"/>
      <c r="D180" s="25">
        <v>0</v>
      </c>
      <c r="E180" s="279" t="s">
        <v>130</v>
      </c>
      <c r="F180" s="258"/>
      <c r="G180" s="258">
        <f t="shared" si="45"/>
        <v>0</v>
      </c>
      <c r="H180" s="282">
        <v>279.06049999999999</v>
      </c>
      <c r="I180" s="283">
        <v>79.962900599999998</v>
      </c>
      <c r="J180" s="474">
        <f t="shared" si="46"/>
        <v>79.962900599999998</v>
      </c>
      <c r="K180" s="474">
        <f t="shared" si="47"/>
        <v>39.981450299999999</v>
      </c>
      <c r="L180" s="474">
        <f t="shared" si="37"/>
        <v>0.64253956655634092</v>
      </c>
      <c r="M180" s="474">
        <f t="shared" si="38"/>
        <v>179.30741271299578</v>
      </c>
      <c r="N180" s="474">
        <f t="shared" si="39"/>
        <v>358.61482542599157</v>
      </c>
      <c r="O180" s="474">
        <f>+C175+D176+D177+D178+D179+(D180/2)</f>
        <v>0</v>
      </c>
      <c r="P180" s="474">
        <f t="shared" si="40"/>
        <v>0</v>
      </c>
      <c r="Q180" s="474">
        <f t="shared" si="41"/>
        <v>0</v>
      </c>
      <c r="R180" s="474">
        <f t="shared" si="48"/>
        <v>213.83080000000001</v>
      </c>
      <c r="S180" s="474">
        <f t="shared" si="63"/>
        <v>213.83080000000001</v>
      </c>
      <c r="T180" s="476">
        <f t="shared" si="42"/>
        <v>213.83080000000001</v>
      </c>
      <c r="V180" s="437">
        <f t="shared" si="43"/>
        <v>0</v>
      </c>
      <c r="W180" s="437"/>
      <c r="X180" s="437"/>
      <c r="Y180" s="437"/>
      <c r="Z180" s="437"/>
      <c r="AA180" s="437"/>
      <c r="AB180" s="477" t="str">
        <f t="shared" si="49"/>
        <v>use the locking pin</v>
      </c>
      <c r="AC180" s="478"/>
      <c r="AD180" s="478"/>
      <c r="AE180" s="478"/>
      <c r="AF180" s="437">
        <f t="shared" si="50"/>
        <v>0</v>
      </c>
      <c r="AG180" s="450">
        <f>SUM(D176:D180)+$C$175</f>
        <v>0</v>
      </c>
      <c r="AH180" s="450"/>
      <c r="AI180" s="287">
        <f t="shared" si="51"/>
        <v>66.255548399999995</v>
      </c>
      <c r="AJ180" s="441">
        <f t="shared" si="44"/>
        <v>0.91535047595051022</v>
      </c>
      <c r="AK180" s="289">
        <f t="shared" si="52"/>
        <v>278.56028065668761</v>
      </c>
      <c r="AL180" s="287">
        <f t="shared" si="53"/>
        <v>50.018549700000001</v>
      </c>
      <c r="AM180" s="442">
        <f t="shared" si="54"/>
        <v>0.76625250760411079</v>
      </c>
      <c r="AN180" s="291">
        <f t="shared" si="55"/>
        <v>213.83080789825695</v>
      </c>
      <c r="AO180" s="479"/>
      <c r="AP180" s="291">
        <f t="shared" si="56"/>
        <v>-162</v>
      </c>
      <c r="AQ180" s="444"/>
      <c r="AR180" s="444">
        <f t="shared" si="57"/>
        <v>492.39108855494453</v>
      </c>
      <c r="AS180" s="445">
        <f t="shared" si="65"/>
        <v>-213.83080789825695</v>
      </c>
      <c r="AT180" s="445"/>
      <c r="AU180" s="445">
        <f t="shared" si="64"/>
        <v>213.83080789825695</v>
      </c>
      <c r="AV180" s="447">
        <f t="shared" si="58"/>
        <v>-91.648217271397314</v>
      </c>
      <c r="AW180" s="447">
        <f t="shared" si="59"/>
        <v>-70.3517827286027</v>
      </c>
      <c r="AX180" s="448">
        <f t="shared" si="60"/>
        <v>-126.57092898652888</v>
      </c>
      <c r="AY180" s="448">
        <f t="shared" si="61"/>
        <v>-142.14280878392483</v>
      </c>
      <c r="AZ180" s="451">
        <f t="shared" si="62"/>
        <v>126.57092898652888</v>
      </c>
      <c r="BA180" s="451">
        <f t="shared" si="62"/>
        <v>142.14280878392483</v>
      </c>
      <c r="BC180" s="126"/>
      <c r="BD180" s="126"/>
      <c r="BE180" s="136"/>
      <c r="BF180" s="136"/>
      <c r="BG180" s="297" t="s">
        <v>122</v>
      </c>
      <c r="BH180" s="136"/>
      <c r="BI180" s="136"/>
      <c r="BJ180" s="136"/>
      <c r="BK180" s="136"/>
      <c r="BL180" s="136"/>
    </row>
    <row r="181" spans="1:133" ht="21" thickBot="1" x14ac:dyDescent="0.35">
      <c r="B181" s="277">
        <v>7</v>
      </c>
      <c r="C181" s="278"/>
      <c r="D181" s="25">
        <v>0</v>
      </c>
      <c r="E181" s="279" t="s">
        <v>130</v>
      </c>
      <c r="F181" s="258"/>
      <c r="G181" s="258">
        <f t="shared" si="45"/>
        <v>0</v>
      </c>
      <c r="H181" s="282">
        <v>279.06049999999999</v>
      </c>
      <c r="I181" s="283">
        <v>79.962900599999998</v>
      </c>
      <c r="J181" s="474">
        <f t="shared" si="46"/>
        <v>79.962900599999998</v>
      </c>
      <c r="K181" s="474">
        <f t="shared" si="47"/>
        <v>39.981450299999999</v>
      </c>
      <c r="L181" s="474">
        <f t="shared" si="37"/>
        <v>0.64253956655634092</v>
      </c>
      <c r="M181" s="474">
        <f t="shared" si="38"/>
        <v>179.30741271299578</v>
      </c>
      <c r="N181" s="474">
        <f t="shared" si="39"/>
        <v>358.61482542599157</v>
      </c>
      <c r="O181" s="474">
        <f>+C175+D176+D177+D178+D179+D180+(D181/2)</f>
        <v>0</v>
      </c>
      <c r="P181" s="474">
        <f t="shared" si="40"/>
        <v>0</v>
      </c>
      <c r="Q181" s="474">
        <f t="shared" si="41"/>
        <v>0</v>
      </c>
      <c r="R181" s="474">
        <f t="shared" si="48"/>
        <v>213.83080000000001</v>
      </c>
      <c r="S181" s="474">
        <f t="shared" si="63"/>
        <v>213.83080000000001</v>
      </c>
      <c r="T181" s="476">
        <f t="shared" si="42"/>
        <v>213.83080000000001</v>
      </c>
      <c r="V181" s="437">
        <f t="shared" si="43"/>
        <v>0</v>
      </c>
      <c r="W181" s="437"/>
      <c r="X181" s="437"/>
      <c r="Y181" s="437"/>
      <c r="Z181" s="437"/>
      <c r="AA181" s="437"/>
      <c r="AB181" s="477" t="str">
        <f>IF(AY181&lt;0,"use the locking pin"," ")</f>
        <v>use the locking pin</v>
      </c>
      <c r="AC181" s="478"/>
      <c r="AD181" s="478"/>
      <c r="AE181" s="478"/>
      <c r="AF181" s="437">
        <f t="shared" si="50"/>
        <v>0</v>
      </c>
      <c r="AG181" s="450">
        <f>SUM(D176:D181)+$C$175</f>
        <v>0</v>
      </c>
      <c r="AH181" s="450"/>
      <c r="AI181" s="287">
        <f t="shared" si="51"/>
        <v>66.255548399999995</v>
      </c>
      <c r="AJ181" s="441">
        <f t="shared" si="44"/>
        <v>0.91535047595051022</v>
      </c>
      <c r="AK181" s="289">
        <f t="shared" si="52"/>
        <v>278.56028065668761</v>
      </c>
      <c r="AL181" s="287">
        <f t="shared" si="53"/>
        <v>50.018549700000001</v>
      </c>
      <c r="AM181" s="442">
        <f t="shared" si="54"/>
        <v>0.76625250760411079</v>
      </c>
      <c r="AN181" s="291">
        <f t="shared" si="55"/>
        <v>213.83080789825695</v>
      </c>
      <c r="AO181" s="479"/>
      <c r="AP181" s="291">
        <f t="shared" si="56"/>
        <v>-202.5</v>
      </c>
      <c r="AQ181" s="444"/>
      <c r="AR181" s="444">
        <f t="shared" si="57"/>
        <v>492.39108855494453</v>
      </c>
      <c r="AS181" s="445">
        <f t="shared" si="65"/>
        <v>-213.83080789825695</v>
      </c>
      <c r="AT181" s="445"/>
      <c r="AU181" s="445">
        <f t="shared" si="64"/>
        <v>213.83080789825695</v>
      </c>
      <c r="AV181" s="447">
        <f t="shared" si="58"/>
        <v>-114.56027158924665</v>
      </c>
      <c r="AW181" s="447">
        <f t="shared" si="59"/>
        <v>-87.939728410753375</v>
      </c>
      <c r="AX181" s="448">
        <f t="shared" si="60"/>
        <v>-101.2567431892231</v>
      </c>
      <c r="AY181" s="448">
        <f t="shared" si="61"/>
        <v>-113.71424702713988</v>
      </c>
      <c r="AZ181" s="451">
        <f t="shared" si="62"/>
        <v>101.2567431892231</v>
      </c>
      <c r="BA181" s="451">
        <f t="shared" si="62"/>
        <v>113.71424702713988</v>
      </c>
      <c r="BE181" s="298">
        <v>1</v>
      </c>
      <c r="BF181" s="299">
        <v>-473</v>
      </c>
      <c r="BG181" s="300">
        <f>+COS(($B$144*-1)*3.14159265358979/180)*BF181</f>
        <v>-473</v>
      </c>
      <c r="BH181" s="301">
        <f t="shared" ref="BH181:BH217" si="66">+BG181-D$3</f>
        <v>-705.99506369889912</v>
      </c>
      <c r="BI181" s="302">
        <f t="shared" ref="BI181:BI217" si="67">ABS(BH181)</f>
        <v>705.99506369889912</v>
      </c>
      <c r="BJ181" s="303">
        <f>MIN(BI181:BI217)</f>
        <v>17.995063698899088</v>
      </c>
      <c r="BK181" s="302" t="b">
        <f>IF(BJ181=BI181,BE181)</f>
        <v>0</v>
      </c>
      <c r="BL181" s="304">
        <v>1</v>
      </c>
      <c r="BP181" s="126"/>
      <c r="BR181" s="126"/>
      <c r="BT181" s="126"/>
    </row>
    <row r="182" spans="1:133" ht="21" thickBot="1" x14ac:dyDescent="0.35">
      <c r="B182" s="277">
        <v>8</v>
      </c>
      <c r="C182" s="278"/>
      <c r="D182" s="25">
        <v>0</v>
      </c>
      <c r="E182" s="279" t="s">
        <v>130</v>
      </c>
      <c r="F182" s="258"/>
      <c r="G182" s="258">
        <f t="shared" si="45"/>
        <v>0</v>
      </c>
      <c r="H182" s="282">
        <v>279.06049999999999</v>
      </c>
      <c r="I182" s="283">
        <v>79.962900599999998</v>
      </c>
      <c r="J182" s="474">
        <f t="shared" si="46"/>
        <v>79.962900599999998</v>
      </c>
      <c r="K182" s="474">
        <f t="shared" si="47"/>
        <v>39.981450299999999</v>
      </c>
      <c r="L182" s="474">
        <f t="shared" si="37"/>
        <v>0.64253956655634092</v>
      </c>
      <c r="M182" s="474">
        <f t="shared" si="38"/>
        <v>179.30741271299578</v>
      </c>
      <c r="N182" s="474">
        <f t="shared" si="39"/>
        <v>358.61482542599157</v>
      </c>
      <c r="O182" s="474">
        <f>+C175+D176+D177+D178+D179+D180+D181+(D182/2)</f>
        <v>0</v>
      </c>
      <c r="P182" s="474">
        <f t="shared" si="40"/>
        <v>0</v>
      </c>
      <c r="Q182" s="474">
        <f t="shared" si="41"/>
        <v>0</v>
      </c>
      <c r="R182" s="474">
        <f t="shared" si="48"/>
        <v>213.83080000000001</v>
      </c>
      <c r="S182" s="474">
        <f t="shared" si="63"/>
        <v>213.83080000000001</v>
      </c>
      <c r="T182" s="476">
        <f t="shared" si="42"/>
        <v>213.83080000000001</v>
      </c>
      <c r="V182" s="437">
        <f t="shared" si="43"/>
        <v>0</v>
      </c>
      <c r="W182" s="437"/>
      <c r="X182" s="437"/>
      <c r="Y182" s="437"/>
      <c r="Z182" s="437"/>
      <c r="AA182" s="437"/>
      <c r="AB182" s="477" t="str">
        <f t="shared" si="49"/>
        <v>use the locking pin</v>
      </c>
      <c r="AC182" s="478"/>
      <c r="AD182" s="478"/>
      <c r="AE182" s="478"/>
      <c r="AF182" s="437">
        <f t="shared" si="50"/>
        <v>0</v>
      </c>
      <c r="AG182" s="450">
        <f>SUM(D176:D182)+$C$175</f>
        <v>0</v>
      </c>
      <c r="AH182" s="450"/>
      <c r="AI182" s="287">
        <f t="shared" si="51"/>
        <v>66.255548399999995</v>
      </c>
      <c r="AJ182" s="441">
        <f t="shared" si="44"/>
        <v>0.91535047595051022</v>
      </c>
      <c r="AK182" s="289">
        <f t="shared" si="52"/>
        <v>278.56028065668761</v>
      </c>
      <c r="AL182" s="287">
        <f t="shared" si="53"/>
        <v>50.018549700000001</v>
      </c>
      <c r="AM182" s="442">
        <f t="shared" si="54"/>
        <v>0.76625250760411079</v>
      </c>
      <c r="AN182" s="291">
        <f t="shared" si="55"/>
        <v>213.83080789825695</v>
      </c>
      <c r="AO182" s="479"/>
      <c r="AP182" s="291">
        <f t="shared" si="56"/>
        <v>-243</v>
      </c>
      <c r="AQ182" s="444"/>
      <c r="AR182" s="444">
        <f t="shared" si="57"/>
        <v>492.39108855494453</v>
      </c>
      <c r="AS182" s="445">
        <f t="shared" si="65"/>
        <v>-213.83080789825695</v>
      </c>
      <c r="AT182" s="445"/>
      <c r="AU182" s="445">
        <f t="shared" si="64"/>
        <v>213.83080789825695</v>
      </c>
      <c r="AV182" s="447">
        <f t="shared" si="58"/>
        <v>-137.47232590709598</v>
      </c>
      <c r="AW182" s="447">
        <f t="shared" si="59"/>
        <v>-105.52767409290405</v>
      </c>
      <c r="AX182" s="448">
        <f t="shared" si="60"/>
        <v>-84.380619324352594</v>
      </c>
      <c r="AY182" s="448">
        <f t="shared" si="61"/>
        <v>-94.761872522616557</v>
      </c>
      <c r="AZ182" s="451">
        <f t="shared" si="62"/>
        <v>84.380619324352594</v>
      </c>
      <c r="BA182" s="451">
        <f t="shared" si="62"/>
        <v>94.761872522616557</v>
      </c>
      <c r="BE182" s="298">
        <v>2</v>
      </c>
      <c r="BF182" s="299">
        <f>+BF181+43</f>
        <v>-430</v>
      </c>
      <c r="BG182" s="42">
        <f>+BG181+$E$2</f>
        <v>-430</v>
      </c>
      <c r="BH182" s="301">
        <f t="shared" si="66"/>
        <v>-662.99506369889912</v>
      </c>
      <c r="BI182" s="302">
        <f t="shared" si="67"/>
        <v>662.99506369889912</v>
      </c>
      <c r="BJ182" s="302">
        <f>+BJ181</f>
        <v>17.995063698899088</v>
      </c>
      <c r="BK182" s="302" t="b">
        <f t="shared" ref="BK182:BK217" si="68">IF(BJ182=BI182,BE182)</f>
        <v>0</v>
      </c>
      <c r="BL182" s="304">
        <v>2</v>
      </c>
      <c r="BP182" s="126"/>
      <c r="BT182" s="126"/>
    </row>
    <row r="183" spans="1:133" ht="21" thickBot="1" x14ac:dyDescent="0.35">
      <c r="B183" s="277">
        <v>9</v>
      </c>
      <c r="C183" s="278"/>
      <c r="D183" s="25">
        <v>0</v>
      </c>
      <c r="E183" s="279" t="s">
        <v>130</v>
      </c>
      <c r="F183" s="258"/>
      <c r="G183" s="258">
        <f t="shared" si="45"/>
        <v>0</v>
      </c>
      <c r="H183" s="282">
        <v>279.06049999999999</v>
      </c>
      <c r="I183" s="283">
        <v>79.962900599999998</v>
      </c>
      <c r="J183" s="474">
        <f t="shared" si="46"/>
        <v>79.962900599999998</v>
      </c>
      <c r="K183" s="474">
        <f t="shared" si="47"/>
        <v>39.981450299999999</v>
      </c>
      <c r="L183" s="474">
        <f t="shared" si="37"/>
        <v>0.64253956655634092</v>
      </c>
      <c r="M183" s="474">
        <f t="shared" si="38"/>
        <v>179.30741271299578</v>
      </c>
      <c r="N183" s="474">
        <f t="shared" si="39"/>
        <v>358.61482542599157</v>
      </c>
      <c r="O183" s="474">
        <f>+C175+D176+D177+D178+D179+D180+D181+D182+(D183/2)</f>
        <v>0</v>
      </c>
      <c r="P183" s="474">
        <f t="shared" si="40"/>
        <v>0</v>
      </c>
      <c r="Q183" s="474">
        <f t="shared" si="41"/>
        <v>0</v>
      </c>
      <c r="R183" s="474">
        <f t="shared" si="48"/>
        <v>213.83080000000001</v>
      </c>
      <c r="S183" s="474">
        <f t="shared" si="63"/>
        <v>213.83080000000001</v>
      </c>
      <c r="T183" s="476">
        <f t="shared" si="42"/>
        <v>213.83080000000001</v>
      </c>
      <c r="V183" s="437">
        <f t="shared" si="43"/>
        <v>0</v>
      </c>
      <c r="W183" s="437"/>
      <c r="X183" s="437"/>
      <c r="Y183" s="437"/>
      <c r="Z183" s="437"/>
      <c r="AA183" s="437"/>
      <c r="AB183" s="477" t="str">
        <f t="shared" si="49"/>
        <v>use the locking pin</v>
      </c>
      <c r="AC183" s="478"/>
      <c r="AD183" s="478"/>
      <c r="AE183" s="478"/>
      <c r="AF183" s="437">
        <f t="shared" si="50"/>
        <v>0</v>
      </c>
      <c r="AG183" s="450">
        <f>SUM(D176:D183)+$C$175</f>
        <v>0</v>
      </c>
      <c r="AH183" s="450"/>
      <c r="AI183" s="287">
        <f t="shared" si="51"/>
        <v>66.255548399999995</v>
      </c>
      <c r="AJ183" s="441">
        <f t="shared" si="44"/>
        <v>0.91535047595051022</v>
      </c>
      <c r="AK183" s="289">
        <f t="shared" si="52"/>
        <v>278.56028065668761</v>
      </c>
      <c r="AL183" s="287">
        <f t="shared" si="53"/>
        <v>50.018549700000001</v>
      </c>
      <c r="AM183" s="442">
        <f t="shared" si="54"/>
        <v>0.76625250760411079</v>
      </c>
      <c r="AN183" s="291">
        <f t="shared" si="55"/>
        <v>213.83080789825695</v>
      </c>
      <c r="AO183" s="479"/>
      <c r="AP183" s="291">
        <f t="shared" si="56"/>
        <v>-283.5</v>
      </c>
      <c r="AQ183" s="444"/>
      <c r="AR183" s="444">
        <f t="shared" si="57"/>
        <v>492.39108855494453</v>
      </c>
      <c r="AS183" s="445">
        <f t="shared" si="65"/>
        <v>-213.83080789825695</v>
      </c>
      <c r="AT183" s="445"/>
      <c r="AU183" s="445">
        <f t="shared" si="64"/>
        <v>213.83080789825695</v>
      </c>
      <c r="AV183" s="447">
        <f t="shared" si="58"/>
        <v>-160.38438022494532</v>
      </c>
      <c r="AW183" s="447">
        <f t="shared" si="59"/>
        <v>-123.11561977505472</v>
      </c>
      <c r="AX183" s="448">
        <f t="shared" si="60"/>
        <v>-72.326245135159354</v>
      </c>
      <c r="AY183" s="448">
        <f t="shared" si="61"/>
        <v>-81.224462162242773</v>
      </c>
      <c r="AZ183" s="451">
        <f t="shared" si="62"/>
        <v>72.326245135159354</v>
      </c>
      <c r="BA183" s="451">
        <f t="shared" si="62"/>
        <v>81.224462162242773</v>
      </c>
      <c r="BE183" s="298">
        <v>3</v>
      </c>
      <c r="BF183" s="299">
        <f t="shared" ref="BF183:BF217" si="69">+BF182+43</f>
        <v>-387</v>
      </c>
      <c r="BG183" s="42">
        <f t="shared" ref="BG183:BG217" si="70">+BG182+$E$2</f>
        <v>-387</v>
      </c>
      <c r="BH183" s="301">
        <f t="shared" si="66"/>
        <v>-619.99506369889912</v>
      </c>
      <c r="BI183" s="302">
        <f t="shared" si="67"/>
        <v>619.99506369889912</v>
      </c>
      <c r="BJ183" s="302">
        <f t="shared" ref="BJ183:BJ217" si="71">+BJ182</f>
        <v>17.995063698899088</v>
      </c>
      <c r="BK183" s="302" t="b">
        <f t="shared" si="68"/>
        <v>0</v>
      </c>
      <c r="BL183" s="304">
        <v>3</v>
      </c>
      <c r="BP183" s="126"/>
      <c r="BQ183" s="311"/>
      <c r="BR183" s="311"/>
      <c r="BS183" s="311"/>
      <c r="BT183" s="311"/>
      <c r="BU183" s="311"/>
      <c r="BV183" s="311"/>
      <c r="BW183" s="311"/>
      <c r="BX183" s="311"/>
      <c r="BY183" s="311"/>
      <c r="BZ183" s="311"/>
      <c r="CA183" s="311"/>
      <c r="CB183" s="311"/>
      <c r="CC183" s="311"/>
      <c r="CD183" s="311"/>
      <c r="CE183" s="311"/>
      <c r="CF183" s="311"/>
      <c r="CG183" s="311"/>
      <c r="CH183" s="311"/>
      <c r="CI183" s="311"/>
      <c r="CJ183" s="311"/>
      <c r="CK183" s="311"/>
      <c r="CL183" s="311"/>
      <c r="CM183" s="311"/>
      <c r="CN183" s="311"/>
    </row>
    <row r="184" spans="1:133" ht="21" thickBot="1" x14ac:dyDescent="0.35">
      <c r="B184" s="277">
        <v>10</v>
      </c>
      <c r="C184" s="278"/>
      <c r="D184" s="25">
        <v>0</v>
      </c>
      <c r="E184" s="279" t="s">
        <v>130</v>
      </c>
      <c r="F184" s="258"/>
      <c r="G184" s="258">
        <f t="shared" si="45"/>
        <v>0</v>
      </c>
      <c r="H184" s="282">
        <v>279.06049999999999</v>
      </c>
      <c r="I184" s="283">
        <v>79.962900599999998</v>
      </c>
      <c r="J184" s="474">
        <f t="shared" si="46"/>
        <v>79.962900599999998</v>
      </c>
      <c r="K184" s="474">
        <f t="shared" si="47"/>
        <v>39.981450299999999</v>
      </c>
      <c r="L184" s="474">
        <f t="shared" si="37"/>
        <v>0.64253956655634092</v>
      </c>
      <c r="M184" s="474">
        <f t="shared" si="38"/>
        <v>179.30741271299578</v>
      </c>
      <c r="N184" s="474">
        <f t="shared" si="39"/>
        <v>358.61482542599157</v>
      </c>
      <c r="O184" s="474">
        <f>+C175+D176+D177+D178+D179+D180+D181+D182+D183+(D184/2)</f>
        <v>0</v>
      </c>
      <c r="P184" s="474">
        <f t="shared" si="40"/>
        <v>0</v>
      </c>
      <c r="Q184" s="474">
        <f t="shared" si="41"/>
        <v>0</v>
      </c>
      <c r="R184" s="474">
        <f t="shared" si="48"/>
        <v>213.83080000000001</v>
      </c>
      <c r="S184" s="474">
        <f t="shared" si="63"/>
        <v>213.83080000000001</v>
      </c>
      <c r="T184" s="476">
        <f t="shared" si="42"/>
        <v>213.83080000000001</v>
      </c>
      <c r="V184" s="437">
        <f t="shared" si="43"/>
        <v>0</v>
      </c>
      <c r="W184" s="437"/>
      <c r="X184" s="437"/>
      <c r="Y184" s="437"/>
      <c r="Z184" s="437"/>
      <c r="AA184" s="437"/>
      <c r="AB184" s="477" t="str">
        <f t="shared" si="49"/>
        <v>use the locking pin</v>
      </c>
      <c r="AC184" s="478"/>
      <c r="AD184" s="478"/>
      <c r="AE184" s="478"/>
      <c r="AF184" s="437">
        <f t="shared" si="50"/>
        <v>0</v>
      </c>
      <c r="AG184" s="450">
        <f>SUM(D176:D184)+$C$175</f>
        <v>0</v>
      </c>
      <c r="AH184" s="450"/>
      <c r="AI184" s="287">
        <f t="shared" si="51"/>
        <v>66.255548399999995</v>
      </c>
      <c r="AJ184" s="441">
        <f t="shared" si="44"/>
        <v>0.91535047595051022</v>
      </c>
      <c r="AK184" s="289">
        <f t="shared" si="52"/>
        <v>278.56028065668761</v>
      </c>
      <c r="AL184" s="287">
        <f t="shared" si="53"/>
        <v>50.018549700000001</v>
      </c>
      <c r="AM184" s="442">
        <f t="shared" si="54"/>
        <v>0.76625250760411079</v>
      </c>
      <c r="AN184" s="291">
        <f t="shared" si="55"/>
        <v>213.83080789825695</v>
      </c>
      <c r="AO184" s="479"/>
      <c r="AP184" s="291">
        <f t="shared" si="56"/>
        <v>-324</v>
      </c>
      <c r="AQ184" s="444"/>
      <c r="AR184" s="444">
        <f t="shared" si="57"/>
        <v>492.39108855494453</v>
      </c>
      <c r="AS184" s="445">
        <f t="shared" si="65"/>
        <v>-213.83080789825695</v>
      </c>
      <c r="AT184" s="445"/>
      <c r="AU184" s="445">
        <f t="shared" si="64"/>
        <v>213.83080789825695</v>
      </c>
      <c r="AV184" s="447">
        <f t="shared" si="58"/>
        <v>-183.29643454279463</v>
      </c>
      <c r="AW184" s="447">
        <f t="shared" si="59"/>
        <v>-140.7035654572054</v>
      </c>
      <c r="AX184" s="448">
        <f t="shared" si="60"/>
        <v>-63.285464493264442</v>
      </c>
      <c r="AY184" s="448">
        <f t="shared" si="61"/>
        <v>-71.071404391962417</v>
      </c>
      <c r="AZ184" s="451">
        <f t="shared" si="62"/>
        <v>63.285464493264442</v>
      </c>
      <c r="BA184" s="451">
        <f t="shared" si="62"/>
        <v>71.071404391962417</v>
      </c>
      <c r="BE184" s="298">
        <v>4</v>
      </c>
      <c r="BF184" s="299">
        <f t="shared" si="69"/>
        <v>-344</v>
      </c>
      <c r="BG184" s="42">
        <f t="shared" si="70"/>
        <v>-344</v>
      </c>
      <c r="BH184" s="301">
        <f t="shared" si="66"/>
        <v>-576.99506369889912</v>
      </c>
      <c r="BI184" s="302">
        <f t="shared" si="67"/>
        <v>576.99506369889912</v>
      </c>
      <c r="BJ184" s="302">
        <f t="shared" si="71"/>
        <v>17.995063698899088</v>
      </c>
      <c r="BK184" s="302" t="b">
        <f t="shared" si="68"/>
        <v>0</v>
      </c>
      <c r="BL184" s="304">
        <v>4</v>
      </c>
      <c r="BP184" s="126"/>
    </row>
    <row r="185" spans="1:133" ht="21" thickBot="1" x14ac:dyDescent="0.35">
      <c r="A185" s="296"/>
      <c r="B185" s="277">
        <v>11</v>
      </c>
      <c r="C185" s="278"/>
      <c r="D185" s="25">
        <v>0</v>
      </c>
      <c r="E185" s="279" t="s">
        <v>130</v>
      </c>
      <c r="F185" s="258"/>
      <c r="G185" s="258">
        <f t="shared" si="45"/>
        <v>0</v>
      </c>
      <c r="H185" s="282">
        <v>279.06049999999999</v>
      </c>
      <c r="I185" s="283">
        <v>79.962900599999998</v>
      </c>
      <c r="J185" s="474">
        <f t="shared" si="46"/>
        <v>79.962900599999998</v>
      </c>
      <c r="K185" s="474">
        <f t="shared" si="47"/>
        <v>39.981450299999999</v>
      </c>
      <c r="L185" s="474">
        <f t="shared" si="37"/>
        <v>0.64253956655634092</v>
      </c>
      <c r="M185" s="474">
        <f t="shared" si="38"/>
        <v>179.30741271299578</v>
      </c>
      <c r="N185" s="474">
        <f t="shared" si="39"/>
        <v>358.61482542599157</v>
      </c>
      <c r="O185" s="474">
        <f>+C175+D176+D177+D178+D179+D180+D181+D182+D183+D184+(D185/2)</f>
        <v>0</v>
      </c>
      <c r="P185" s="474">
        <f t="shared" si="40"/>
        <v>0</v>
      </c>
      <c r="Q185" s="474">
        <f t="shared" si="41"/>
        <v>0</v>
      </c>
      <c r="R185" s="474">
        <f t="shared" si="48"/>
        <v>213.83080000000001</v>
      </c>
      <c r="S185" s="474">
        <f t="shared" si="63"/>
        <v>213.83080000000001</v>
      </c>
      <c r="T185" s="476">
        <f t="shared" si="42"/>
        <v>213.83080000000001</v>
      </c>
      <c r="V185" s="437">
        <f t="shared" si="43"/>
        <v>0</v>
      </c>
      <c r="W185" s="437"/>
      <c r="X185" s="437"/>
      <c r="Y185" s="437"/>
      <c r="Z185" s="437"/>
      <c r="AA185" s="437"/>
      <c r="AB185" s="477" t="str">
        <f t="shared" si="49"/>
        <v>use the locking pin</v>
      </c>
      <c r="AC185" s="478"/>
      <c r="AD185" s="478"/>
      <c r="AE185" s="478"/>
      <c r="AF185" s="437">
        <f t="shared" si="50"/>
        <v>0</v>
      </c>
      <c r="AG185" s="450">
        <f>SUM(D176:D185)+$C$175</f>
        <v>0</v>
      </c>
      <c r="AH185" s="450"/>
      <c r="AI185" s="287">
        <f t="shared" si="51"/>
        <v>66.255548399999995</v>
      </c>
      <c r="AJ185" s="441">
        <f t="shared" si="44"/>
        <v>0.91535047595051022</v>
      </c>
      <c r="AK185" s="289">
        <f t="shared" si="52"/>
        <v>278.56028065668761</v>
      </c>
      <c r="AL185" s="287">
        <f t="shared" si="53"/>
        <v>50.018549700000001</v>
      </c>
      <c r="AM185" s="442">
        <f t="shared" si="54"/>
        <v>0.76625250760411079</v>
      </c>
      <c r="AN185" s="291">
        <f t="shared" si="55"/>
        <v>213.83080789825695</v>
      </c>
      <c r="AO185" s="479"/>
      <c r="AP185" s="291">
        <f t="shared" si="56"/>
        <v>-364.5</v>
      </c>
      <c r="AQ185" s="444"/>
      <c r="AR185" s="444">
        <f t="shared" si="57"/>
        <v>492.39108855494453</v>
      </c>
      <c r="AS185" s="445">
        <f t="shared" si="65"/>
        <v>-213.83080789825695</v>
      </c>
      <c r="AT185" s="445"/>
      <c r="AU185" s="445">
        <f t="shared" si="64"/>
        <v>213.83080789825695</v>
      </c>
      <c r="AV185" s="447">
        <f t="shared" si="58"/>
        <v>-206.20848886064397</v>
      </c>
      <c r="AW185" s="447">
        <f t="shared" si="59"/>
        <v>-158.29151113935606</v>
      </c>
      <c r="AX185" s="448">
        <f t="shared" si="60"/>
        <v>-56.253746216235058</v>
      </c>
      <c r="AY185" s="448">
        <f t="shared" si="61"/>
        <v>-63.174581681744378</v>
      </c>
      <c r="AZ185" s="451">
        <f t="shared" si="62"/>
        <v>56.253746216235058</v>
      </c>
      <c r="BA185" s="451">
        <f t="shared" si="62"/>
        <v>63.174581681744378</v>
      </c>
      <c r="BE185" s="298">
        <v>5</v>
      </c>
      <c r="BF185" s="299">
        <f t="shared" si="69"/>
        <v>-301</v>
      </c>
      <c r="BG185" s="42">
        <f t="shared" si="70"/>
        <v>-301</v>
      </c>
      <c r="BH185" s="301">
        <f t="shared" si="66"/>
        <v>-533.99506369889912</v>
      </c>
      <c r="BI185" s="302">
        <f t="shared" si="67"/>
        <v>533.99506369889912</v>
      </c>
      <c r="BJ185" s="302">
        <f t="shared" si="71"/>
        <v>17.995063698899088</v>
      </c>
      <c r="BK185" s="302" t="b">
        <f t="shared" si="68"/>
        <v>0</v>
      </c>
      <c r="BL185" s="304">
        <v>5</v>
      </c>
      <c r="BP185" s="235"/>
      <c r="BQ185" s="312"/>
      <c r="BR185" s="312"/>
      <c r="BS185" s="312"/>
      <c r="BT185" s="312"/>
      <c r="BU185" s="312"/>
      <c r="BV185" s="312"/>
      <c r="BW185" s="312"/>
      <c r="BX185" s="312"/>
      <c r="BY185" s="312"/>
      <c r="BZ185" s="312"/>
      <c r="CA185" s="312"/>
      <c r="CB185" s="312"/>
      <c r="CC185" s="312"/>
      <c r="CD185" s="312"/>
      <c r="CE185" s="312"/>
      <c r="CF185" s="312"/>
      <c r="CG185" s="312"/>
      <c r="CH185" s="312"/>
      <c r="CI185" s="312"/>
      <c r="CJ185" s="312"/>
      <c r="CK185" s="312"/>
      <c r="CL185" s="312"/>
      <c r="CM185" s="312"/>
      <c r="CN185" s="312"/>
    </row>
    <row r="186" spans="1:133" ht="21" thickBot="1" x14ac:dyDescent="0.35">
      <c r="A186" s="296"/>
      <c r="B186" s="277">
        <v>12</v>
      </c>
      <c r="C186" s="278"/>
      <c r="D186" s="25">
        <v>0</v>
      </c>
      <c r="E186" s="279" t="s">
        <v>130</v>
      </c>
      <c r="F186" s="258"/>
      <c r="G186" s="258">
        <f t="shared" si="45"/>
        <v>0</v>
      </c>
      <c r="H186" s="282">
        <v>279.06049999999999</v>
      </c>
      <c r="I186" s="283">
        <v>79.962900599999998</v>
      </c>
      <c r="J186" s="474">
        <f t="shared" si="46"/>
        <v>79.962900599999998</v>
      </c>
      <c r="K186" s="474">
        <f t="shared" si="47"/>
        <v>39.981450299999999</v>
      </c>
      <c r="L186" s="474">
        <f t="shared" si="37"/>
        <v>0.64253956655634092</v>
      </c>
      <c r="M186" s="474">
        <f t="shared" si="38"/>
        <v>179.30741271299578</v>
      </c>
      <c r="N186" s="474">
        <f t="shared" si="39"/>
        <v>358.61482542599157</v>
      </c>
      <c r="O186" s="474">
        <f>+C175+D176+D177+D178+D179+D180+D181+D182+D183+D184+D185+(D186/2)</f>
        <v>0</v>
      </c>
      <c r="P186" s="474">
        <f t="shared" si="40"/>
        <v>0</v>
      </c>
      <c r="Q186" s="474">
        <f t="shared" si="41"/>
        <v>0</v>
      </c>
      <c r="R186" s="474">
        <f t="shared" si="48"/>
        <v>213.83080000000001</v>
      </c>
      <c r="S186" s="474">
        <f t="shared" si="63"/>
        <v>213.83080000000001</v>
      </c>
      <c r="T186" s="476">
        <f t="shared" si="42"/>
        <v>213.83080000000001</v>
      </c>
      <c r="V186" s="437">
        <f t="shared" si="43"/>
        <v>0</v>
      </c>
      <c r="W186" s="437"/>
      <c r="X186" s="437"/>
      <c r="Y186" s="437"/>
      <c r="Z186" s="437"/>
      <c r="AA186" s="437"/>
      <c r="AB186" s="477" t="str">
        <f t="shared" si="49"/>
        <v>use the locking pin</v>
      </c>
      <c r="AC186" s="478"/>
      <c r="AD186" s="478"/>
      <c r="AE186" s="478"/>
      <c r="AF186" s="437">
        <f t="shared" si="50"/>
        <v>0</v>
      </c>
      <c r="AG186" s="450">
        <f>SUM(D176:D186)+$C$175</f>
        <v>0</v>
      </c>
      <c r="AH186" s="450"/>
      <c r="AI186" s="287">
        <f t="shared" si="51"/>
        <v>66.255548399999995</v>
      </c>
      <c r="AJ186" s="441">
        <f t="shared" si="44"/>
        <v>0.91535047595051022</v>
      </c>
      <c r="AK186" s="289">
        <f t="shared" si="52"/>
        <v>278.56028065668761</v>
      </c>
      <c r="AL186" s="287">
        <f t="shared" si="53"/>
        <v>50.018549700000001</v>
      </c>
      <c r="AM186" s="442">
        <f t="shared" si="54"/>
        <v>0.76625250760411079</v>
      </c>
      <c r="AN186" s="291">
        <f t="shared" si="55"/>
        <v>213.83080789825695</v>
      </c>
      <c r="AO186" s="479"/>
      <c r="AP186" s="291">
        <f t="shared" si="56"/>
        <v>-405</v>
      </c>
      <c r="AQ186" s="444"/>
      <c r="AR186" s="444">
        <f t="shared" si="57"/>
        <v>492.39108855494453</v>
      </c>
      <c r="AS186" s="445">
        <f t="shared" si="65"/>
        <v>-213.83080789825695</v>
      </c>
      <c r="AT186" s="445"/>
      <c r="AU186" s="445">
        <f t="shared" si="64"/>
        <v>213.83080789825695</v>
      </c>
      <c r="AV186" s="447">
        <f t="shared" si="58"/>
        <v>-229.12054317849331</v>
      </c>
      <c r="AW186" s="447">
        <f t="shared" si="59"/>
        <v>-175.87945682150675</v>
      </c>
      <c r="AX186" s="448">
        <f t="shared" si="60"/>
        <v>-50.628371594611551</v>
      </c>
      <c r="AY186" s="448">
        <f t="shared" si="61"/>
        <v>-56.857123513569938</v>
      </c>
      <c r="AZ186" s="451">
        <f t="shared" si="62"/>
        <v>50.628371594611551</v>
      </c>
      <c r="BA186" s="451">
        <f t="shared" si="62"/>
        <v>56.857123513569938</v>
      </c>
      <c r="BE186" s="298">
        <v>6</v>
      </c>
      <c r="BF186" s="299">
        <f t="shared" si="69"/>
        <v>-258</v>
      </c>
      <c r="BG186" s="42">
        <f t="shared" si="70"/>
        <v>-258</v>
      </c>
      <c r="BH186" s="301">
        <f t="shared" si="66"/>
        <v>-490.99506369889912</v>
      </c>
      <c r="BI186" s="302">
        <f t="shared" si="67"/>
        <v>490.99506369889912</v>
      </c>
      <c r="BJ186" s="302">
        <f t="shared" si="71"/>
        <v>17.995063698899088</v>
      </c>
      <c r="BK186" s="302" t="b">
        <f t="shared" si="68"/>
        <v>0</v>
      </c>
      <c r="BL186" s="304">
        <v>6</v>
      </c>
      <c r="BP186" s="126"/>
      <c r="BQ186" s="203"/>
      <c r="BR186" s="203"/>
      <c r="BS186" s="203"/>
      <c r="BT186" s="203"/>
      <c r="BU186" s="203"/>
      <c r="BV186" s="203"/>
      <c r="BW186" s="203"/>
      <c r="BX186" s="203"/>
      <c r="BY186" s="203"/>
      <c r="BZ186" s="203"/>
      <c r="CA186" s="203"/>
      <c r="CB186" s="203"/>
      <c r="CC186" s="203"/>
      <c r="CD186" s="203"/>
      <c r="CE186" s="203"/>
      <c r="CF186" s="203"/>
      <c r="CG186" s="203"/>
      <c r="CH186" s="203"/>
      <c r="CI186" s="203"/>
      <c r="CJ186" s="203"/>
      <c r="CK186" s="203"/>
      <c r="CL186" s="203"/>
      <c r="CM186" s="203"/>
      <c r="CN186" s="203"/>
    </row>
    <row r="187" spans="1:133" ht="21" thickBot="1" x14ac:dyDescent="0.35">
      <c r="B187" s="277">
        <v>13</v>
      </c>
      <c r="C187" s="278"/>
      <c r="D187" s="25">
        <v>0</v>
      </c>
      <c r="E187" s="279" t="s">
        <v>130</v>
      </c>
      <c r="F187" s="258"/>
      <c r="G187" s="258">
        <f t="shared" si="45"/>
        <v>0</v>
      </c>
      <c r="H187" s="282">
        <v>279.06049999999999</v>
      </c>
      <c r="I187" s="283">
        <v>79.962900599999998</v>
      </c>
      <c r="J187" s="474">
        <f t="shared" si="46"/>
        <v>79.962900599999998</v>
      </c>
      <c r="K187" s="474">
        <f t="shared" si="47"/>
        <v>39.981450299999999</v>
      </c>
      <c r="L187" s="474">
        <f t="shared" si="37"/>
        <v>0.64253956655634092</v>
      </c>
      <c r="M187" s="474">
        <f t="shared" si="38"/>
        <v>179.30741271299578</v>
      </c>
      <c r="N187" s="474">
        <f t="shared" si="39"/>
        <v>358.61482542599157</v>
      </c>
      <c r="O187" s="474">
        <f>+C175+D176+D177+D178+D179+D180+D181+D182+D183+D184+D185+D186+(D187/2)</f>
        <v>0</v>
      </c>
      <c r="P187" s="474">
        <f t="shared" si="40"/>
        <v>0</v>
      </c>
      <c r="Q187" s="474">
        <f t="shared" si="41"/>
        <v>0</v>
      </c>
      <c r="R187" s="474">
        <f t="shared" si="48"/>
        <v>213.83080000000001</v>
      </c>
      <c r="S187" s="474">
        <f t="shared" si="63"/>
        <v>213.83080000000001</v>
      </c>
      <c r="T187" s="476">
        <f t="shared" si="42"/>
        <v>213.83080000000001</v>
      </c>
      <c r="V187" s="437">
        <f t="shared" si="43"/>
        <v>0</v>
      </c>
      <c r="W187" s="437"/>
      <c r="X187" s="437"/>
      <c r="Y187" s="437"/>
      <c r="Z187" s="437"/>
      <c r="AA187" s="437"/>
      <c r="AB187" s="477" t="str">
        <f t="shared" si="49"/>
        <v>use the locking pin</v>
      </c>
      <c r="AC187" s="478"/>
      <c r="AD187" s="478"/>
      <c r="AE187" s="478"/>
      <c r="AF187" s="437">
        <f t="shared" si="50"/>
        <v>0</v>
      </c>
      <c r="AG187" s="450">
        <f>SUM(D176:D187)+$C$175</f>
        <v>0</v>
      </c>
      <c r="AH187" s="450"/>
      <c r="AI187" s="287">
        <f t="shared" si="51"/>
        <v>66.255548399999995</v>
      </c>
      <c r="AJ187" s="441">
        <f t="shared" si="44"/>
        <v>0.91535047595051022</v>
      </c>
      <c r="AK187" s="289">
        <f t="shared" si="52"/>
        <v>278.56028065668761</v>
      </c>
      <c r="AL187" s="287">
        <f t="shared" si="53"/>
        <v>50.018549700000001</v>
      </c>
      <c r="AM187" s="442">
        <f t="shared" si="54"/>
        <v>0.76625250760411079</v>
      </c>
      <c r="AN187" s="291">
        <f t="shared" si="55"/>
        <v>213.83080789825695</v>
      </c>
      <c r="AO187" s="479"/>
      <c r="AP187" s="291">
        <f t="shared" si="56"/>
        <v>-445.5</v>
      </c>
      <c r="AQ187" s="444"/>
      <c r="AR187" s="444">
        <f t="shared" si="57"/>
        <v>492.39108855494453</v>
      </c>
      <c r="AS187" s="445">
        <f t="shared" si="65"/>
        <v>-213.83080789825695</v>
      </c>
      <c r="AT187" s="445"/>
      <c r="AU187" s="445">
        <f t="shared" si="64"/>
        <v>213.83080789825695</v>
      </c>
      <c r="AV187" s="447">
        <f t="shared" si="58"/>
        <v>-252.03259749634262</v>
      </c>
      <c r="AW187" s="447">
        <f t="shared" si="59"/>
        <v>-193.46740250365741</v>
      </c>
      <c r="AX187" s="448">
        <f t="shared" si="60"/>
        <v>-46.025792358737775</v>
      </c>
      <c r="AY187" s="448">
        <f t="shared" si="61"/>
        <v>-51.688294103245404</v>
      </c>
      <c r="AZ187" s="451">
        <f t="shared" si="62"/>
        <v>46.025792358737775</v>
      </c>
      <c r="BA187" s="451">
        <f t="shared" si="62"/>
        <v>51.688294103245404</v>
      </c>
      <c r="BE187" s="298">
        <v>7</v>
      </c>
      <c r="BF187" s="299">
        <f t="shared" si="69"/>
        <v>-215</v>
      </c>
      <c r="BG187" s="42">
        <f t="shared" si="70"/>
        <v>-215</v>
      </c>
      <c r="BH187" s="301">
        <f t="shared" si="66"/>
        <v>-447.99506369889912</v>
      </c>
      <c r="BI187" s="302">
        <f t="shared" si="67"/>
        <v>447.99506369889912</v>
      </c>
      <c r="BJ187" s="302">
        <f t="shared" si="71"/>
        <v>17.995063698899088</v>
      </c>
      <c r="BK187" s="302" t="b">
        <f t="shared" si="68"/>
        <v>0</v>
      </c>
      <c r="BL187" s="304">
        <v>7</v>
      </c>
    </row>
    <row r="188" spans="1:133" ht="21" thickBot="1" x14ac:dyDescent="0.35">
      <c r="B188" s="277">
        <v>14</v>
      </c>
      <c r="C188" s="278"/>
      <c r="D188" s="25">
        <v>0</v>
      </c>
      <c r="E188" s="279" t="s">
        <v>130</v>
      </c>
      <c r="F188" s="258"/>
      <c r="G188" s="258">
        <f t="shared" si="45"/>
        <v>0</v>
      </c>
      <c r="H188" s="282">
        <v>279.06049999999999</v>
      </c>
      <c r="I188" s="283">
        <v>79.962900599999998</v>
      </c>
      <c r="J188" s="474">
        <f t="shared" si="46"/>
        <v>79.962900599999998</v>
      </c>
      <c r="K188" s="474">
        <f t="shared" si="47"/>
        <v>39.981450299999999</v>
      </c>
      <c r="L188" s="474">
        <f t="shared" si="37"/>
        <v>0.64253956655634092</v>
      </c>
      <c r="M188" s="474">
        <f t="shared" si="38"/>
        <v>179.30741271299578</v>
      </c>
      <c r="N188" s="474">
        <f t="shared" si="39"/>
        <v>358.61482542599157</v>
      </c>
      <c r="O188" s="474">
        <f>+C175+D176+D177+D178+D179+D180+D181+D182+D183+D184+D185+D186+D187+(D188/2)</f>
        <v>0</v>
      </c>
      <c r="P188" s="474">
        <f t="shared" si="40"/>
        <v>0</v>
      </c>
      <c r="Q188" s="474">
        <f t="shared" si="41"/>
        <v>0</v>
      </c>
      <c r="R188" s="474">
        <f t="shared" si="48"/>
        <v>213.83080000000001</v>
      </c>
      <c r="S188" s="474">
        <f t="shared" si="63"/>
        <v>213.83080000000001</v>
      </c>
      <c r="T188" s="476">
        <f t="shared" si="42"/>
        <v>213.83080000000001</v>
      </c>
      <c r="V188" s="437">
        <f t="shared" si="43"/>
        <v>0</v>
      </c>
      <c r="W188" s="437"/>
      <c r="X188" s="437"/>
      <c r="Y188" s="437"/>
      <c r="Z188" s="437"/>
      <c r="AA188" s="437"/>
      <c r="AB188" s="477" t="str">
        <f t="shared" si="49"/>
        <v>use the locking pin</v>
      </c>
      <c r="AC188" s="478"/>
      <c r="AD188" s="478"/>
      <c r="AE188" s="478"/>
      <c r="AF188" s="437">
        <f t="shared" si="50"/>
        <v>0</v>
      </c>
      <c r="AG188" s="450">
        <f>SUM(D176:D188)+$C$175</f>
        <v>0</v>
      </c>
      <c r="AH188" s="450"/>
      <c r="AI188" s="287">
        <f t="shared" si="51"/>
        <v>66.255548399999995</v>
      </c>
      <c r="AJ188" s="441">
        <f t="shared" si="44"/>
        <v>0.91535047595051022</v>
      </c>
      <c r="AK188" s="289">
        <f t="shared" si="52"/>
        <v>278.56028065668761</v>
      </c>
      <c r="AL188" s="287">
        <f t="shared" si="53"/>
        <v>50.018549700000001</v>
      </c>
      <c r="AM188" s="442">
        <f t="shared" si="54"/>
        <v>0.76625250760411079</v>
      </c>
      <c r="AN188" s="291">
        <f t="shared" si="55"/>
        <v>213.83080789825695</v>
      </c>
      <c r="AO188" s="479"/>
      <c r="AP188" s="291">
        <f t="shared" si="56"/>
        <v>-486</v>
      </c>
      <c r="AQ188" s="444"/>
      <c r="AR188" s="444">
        <f t="shared" si="57"/>
        <v>492.39108855494453</v>
      </c>
      <c r="AS188" s="445">
        <f t="shared" si="65"/>
        <v>-213.83080789825695</v>
      </c>
      <c r="AT188" s="445"/>
      <c r="AU188" s="445">
        <f t="shared" si="64"/>
        <v>213.83080789825695</v>
      </c>
      <c r="AV188" s="447">
        <f t="shared" si="58"/>
        <v>-274.94465181419196</v>
      </c>
      <c r="AW188" s="447">
        <f t="shared" si="59"/>
        <v>-211.0553481858081</v>
      </c>
      <c r="AX188" s="448">
        <f t="shared" si="60"/>
        <v>-42.190309662176297</v>
      </c>
      <c r="AY188" s="448">
        <f t="shared" si="61"/>
        <v>-47.380936261308278</v>
      </c>
      <c r="AZ188" s="451">
        <f t="shared" si="62"/>
        <v>42.190309662176297</v>
      </c>
      <c r="BA188" s="451">
        <f t="shared" si="62"/>
        <v>47.380936261308278</v>
      </c>
      <c r="BE188" s="298">
        <v>8</v>
      </c>
      <c r="BF188" s="299">
        <f t="shared" si="69"/>
        <v>-172</v>
      </c>
      <c r="BG188" s="42">
        <f t="shared" si="70"/>
        <v>-172</v>
      </c>
      <c r="BH188" s="301">
        <f t="shared" si="66"/>
        <v>-404.99506369889912</v>
      </c>
      <c r="BI188" s="302">
        <f t="shared" si="67"/>
        <v>404.99506369889912</v>
      </c>
      <c r="BJ188" s="302">
        <f t="shared" si="71"/>
        <v>17.995063698899088</v>
      </c>
      <c r="BK188" s="302" t="b">
        <f t="shared" si="68"/>
        <v>0</v>
      </c>
      <c r="BL188" s="304">
        <v>8</v>
      </c>
      <c r="BQ188" s="236"/>
      <c r="BR188" s="236"/>
      <c r="BS188" s="236"/>
      <c r="BT188" s="236"/>
      <c r="BU188" s="236"/>
      <c r="BV188" s="236"/>
      <c r="BW188" s="126"/>
      <c r="BX188" s="126"/>
      <c r="BY188" s="126"/>
      <c r="BZ188" s="126"/>
      <c r="CA188" s="126"/>
      <c r="CB188" s="236"/>
      <c r="CC188" s="236"/>
      <c r="CD188" s="236"/>
      <c r="CE188" s="126"/>
      <c r="CF188" s="126"/>
      <c r="CG188" s="126"/>
      <c r="CH188" s="126"/>
      <c r="CI188" s="126"/>
      <c r="CJ188" s="126"/>
      <c r="CK188" s="126"/>
      <c r="CL188" s="126"/>
      <c r="CM188" s="126"/>
      <c r="CN188" s="126"/>
      <c r="DE188" s="126"/>
      <c r="DG188" s="126"/>
      <c r="DI188" s="126"/>
    </row>
    <row r="189" spans="1:133" ht="21" thickBot="1" x14ac:dyDescent="0.35">
      <c r="B189" s="277">
        <v>15</v>
      </c>
      <c r="C189" s="278"/>
      <c r="D189" s="25">
        <v>0</v>
      </c>
      <c r="E189" s="279" t="s">
        <v>130</v>
      </c>
      <c r="F189" s="258"/>
      <c r="G189" s="258">
        <f t="shared" si="45"/>
        <v>0</v>
      </c>
      <c r="H189" s="282">
        <v>279.06049999999999</v>
      </c>
      <c r="I189" s="283">
        <v>79.962900599999998</v>
      </c>
      <c r="J189" s="474">
        <f t="shared" si="46"/>
        <v>79.962900599999998</v>
      </c>
      <c r="K189" s="474">
        <f t="shared" si="47"/>
        <v>39.981450299999999</v>
      </c>
      <c r="L189" s="474">
        <f t="shared" si="37"/>
        <v>0.64253956655634092</v>
      </c>
      <c r="M189" s="474">
        <f t="shared" si="38"/>
        <v>179.30741271299578</v>
      </c>
      <c r="N189" s="474">
        <f t="shared" si="39"/>
        <v>358.61482542599157</v>
      </c>
      <c r="O189" s="474">
        <f>+C175+D176+D177+D178+D179+D180+D181+D182+D183+D184+D185+D186+D187+D188+(D189/2)</f>
        <v>0</v>
      </c>
      <c r="P189" s="474">
        <f t="shared" si="40"/>
        <v>0</v>
      </c>
      <c r="Q189" s="474">
        <f t="shared" si="41"/>
        <v>0</v>
      </c>
      <c r="R189" s="474">
        <f t="shared" si="48"/>
        <v>213.83080000000001</v>
      </c>
      <c r="S189" s="474">
        <f t="shared" si="63"/>
        <v>213.83080000000001</v>
      </c>
      <c r="T189" s="476">
        <f t="shared" si="42"/>
        <v>213.83080000000001</v>
      </c>
      <c r="V189" s="437">
        <f t="shared" si="43"/>
        <v>0</v>
      </c>
      <c r="W189" s="437"/>
      <c r="X189" s="437"/>
      <c r="Y189" s="437"/>
      <c r="Z189" s="437"/>
      <c r="AA189" s="437"/>
      <c r="AB189" s="477" t="str">
        <f t="shared" si="49"/>
        <v>use the locking pin</v>
      </c>
      <c r="AC189" s="478"/>
      <c r="AD189" s="478"/>
      <c r="AE189" s="478"/>
      <c r="AF189" s="437">
        <f t="shared" si="50"/>
        <v>0</v>
      </c>
      <c r="AG189" s="450">
        <f>SUM(D176:D189)+$C$175</f>
        <v>0</v>
      </c>
      <c r="AH189" s="450"/>
      <c r="AI189" s="287">
        <f t="shared" si="51"/>
        <v>66.255548399999995</v>
      </c>
      <c r="AJ189" s="441">
        <f t="shared" si="44"/>
        <v>0.91535047595051022</v>
      </c>
      <c r="AK189" s="289">
        <f t="shared" si="52"/>
        <v>278.56028065668761</v>
      </c>
      <c r="AL189" s="287">
        <f t="shared" si="53"/>
        <v>50.018549700000001</v>
      </c>
      <c r="AM189" s="442">
        <f t="shared" si="54"/>
        <v>0.76625250760411079</v>
      </c>
      <c r="AN189" s="291">
        <f t="shared" si="55"/>
        <v>213.83080789825695</v>
      </c>
      <c r="AO189" s="479"/>
      <c r="AP189" s="291">
        <f t="shared" si="56"/>
        <v>-526.5</v>
      </c>
      <c r="AQ189" s="444"/>
      <c r="AR189" s="444">
        <f t="shared" si="57"/>
        <v>492.39108855494453</v>
      </c>
      <c r="AS189" s="445">
        <f t="shared" si="65"/>
        <v>-213.83080789825695</v>
      </c>
      <c r="AT189" s="445"/>
      <c r="AU189" s="445">
        <f t="shared" si="64"/>
        <v>213.83080789825695</v>
      </c>
      <c r="AV189" s="447">
        <f t="shared" si="58"/>
        <v>-297.85670613204127</v>
      </c>
      <c r="AW189" s="447">
        <f t="shared" si="59"/>
        <v>-228.64329386795876</v>
      </c>
      <c r="AX189" s="448">
        <f t="shared" si="60"/>
        <v>-38.944901226624275</v>
      </c>
      <c r="AY189" s="448">
        <f t="shared" si="61"/>
        <v>-43.736248856592262</v>
      </c>
      <c r="AZ189" s="451">
        <f t="shared" si="62"/>
        <v>38.944901226624275</v>
      </c>
      <c r="BA189" s="451">
        <f t="shared" si="62"/>
        <v>43.736248856592262</v>
      </c>
      <c r="BE189" s="298">
        <v>9</v>
      </c>
      <c r="BF189" s="299">
        <f t="shared" si="69"/>
        <v>-129</v>
      </c>
      <c r="BG189" s="42">
        <f t="shared" si="70"/>
        <v>-129</v>
      </c>
      <c r="BH189" s="301">
        <f t="shared" si="66"/>
        <v>-361.99506369889912</v>
      </c>
      <c r="BI189" s="302">
        <f t="shared" si="67"/>
        <v>361.99506369889912</v>
      </c>
      <c r="BJ189" s="302">
        <f t="shared" si="71"/>
        <v>17.995063698899088</v>
      </c>
      <c r="BK189" s="302" t="b">
        <f t="shared" si="68"/>
        <v>0</v>
      </c>
      <c r="BL189" s="304">
        <v>9</v>
      </c>
      <c r="BQ189" s="236"/>
      <c r="BR189" s="236"/>
      <c r="BS189" s="236"/>
      <c r="BT189" s="236"/>
      <c r="BU189" s="236"/>
      <c r="BV189" s="236"/>
      <c r="CA189" s="236"/>
      <c r="CB189" s="236"/>
      <c r="CC189" s="236"/>
      <c r="CD189" s="236"/>
      <c r="CI189" s="236"/>
      <c r="CJ189" s="236"/>
      <c r="CK189" s="236"/>
      <c r="CL189" s="236"/>
      <c r="CM189" s="236"/>
      <c r="CN189" s="236"/>
      <c r="DE189" s="126"/>
      <c r="DI189" s="126"/>
    </row>
    <row r="190" spans="1:133" ht="21" thickBot="1" x14ac:dyDescent="0.35">
      <c r="B190" s="277">
        <v>16</v>
      </c>
      <c r="C190" s="278"/>
      <c r="D190" s="25">
        <v>0</v>
      </c>
      <c r="E190" s="279" t="s">
        <v>130</v>
      </c>
      <c r="F190" s="258"/>
      <c r="G190" s="258">
        <f t="shared" si="45"/>
        <v>0</v>
      </c>
      <c r="H190" s="282">
        <v>279.06049999999999</v>
      </c>
      <c r="I190" s="283">
        <v>79.962900599999998</v>
      </c>
      <c r="J190" s="474">
        <f t="shared" si="46"/>
        <v>79.962900599999998</v>
      </c>
      <c r="K190" s="474">
        <f t="shared" si="47"/>
        <v>39.981450299999999</v>
      </c>
      <c r="L190" s="474">
        <f t="shared" si="37"/>
        <v>0.64253956655634092</v>
      </c>
      <c r="M190" s="474">
        <f t="shared" si="38"/>
        <v>179.30741271299578</v>
      </c>
      <c r="N190" s="474">
        <f t="shared" si="39"/>
        <v>358.61482542599157</v>
      </c>
      <c r="O190" s="474">
        <f>+C175+D176+D177+D178+D179+D180+D181+D182+D183+D184+D185+D186+D187+D188+D189+(D190/2)</f>
        <v>0</v>
      </c>
      <c r="P190" s="474">
        <f t="shared" si="40"/>
        <v>0</v>
      </c>
      <c r="Q190" s="474">
        <f t="shared" si="41"/>
        <v>0</v>
      </c>
      <c r="R190" s="474">
        <f t="shared" si="48"/>
        <v>213.83080000000001</v>
      </c>
      <c r="S190" s="474">
        <f t="shared" si="63"/>
        <v>213.83080000000001</v>
      </c>
      <c r="T190" s="476">
        <f t="shared" si="42"/>
        <v>213.83080000000001</v>
      </c>
      <c r="V190" s="437">
        <f t="shared" si="43"/>
        <v>0</v>
      </c>
      <c r="W190" s="437"/>
      <c r="X190" s="437"/>
      <c r="Y190" s="437"/>
      <c r="Z190" s="437"/>
      <c r="AA190" s="437"/>
      <c r="AB190" s="477" t="str">
        <f t="shared" si="49"/>
        <v>use the locking pin</v>
      </c>
      <c r="AC190" s="478"/>
      <c r="AD190" s="478"/>
      <c r="AE190" s="478"/>
      <c r="AF190" s="437">
        <f t="shared" si="50"/>
        <v>0</v>
      </c>
      <c r="AG190" s="450">
        <f>SUM(D176:D190)+$C$175</f>
        <v>0</v>
      </c>
      <c r="AH190" s="450"/>
      <c r="AI190" s="287">
        <f t="shared" si="51"/>
        <v>66.255548399999995</v>
      </c>
      <c r="AJ190" s="441">
        <f t="shared" si="44"/>
        <v>0.91535047595051022</v>
      </c>
      <c r="AK190" s="289">
        <f t="shared" si="52"/>
        <v>278.56028065668761</v>
      </c>
      <c r="AL190" s="287">
        <f t="shared" si="53"/>
        <v>50.018549700000001</v>
      </c>
      <c r="AM190" s="442">
        <f t="shared" si="54"/>
        <v>0.76625250760411079</v>
      </c>
      <c r="AN190" s="291">
        <f t="shared" si="55"/>
        <v>213.83080789825695</v>
      </c>
      <c r="AO190" s="479"/>
      <c r="AP190" s="291">
        <f t="shared" si="56"/>
        <v>-567</v>
      </c>
      <c r="AQ190" s="444"/>
      <c r="AR190" s="444">
        <f t="shared" si="57"/>
        <v>492.39108855494453</v>
      </c>
      <c r="AS190" s="445">
        <f t="shared" si="65"/>
        <v>-213.83080789825695</v>
      </c>
      <c r="AT190" s="445"/>
      <c r="AU190" s="445">
        <f t="shared" si="64"/>
        <v>213.83080789825695</v>
      </c>
      <c r="AV190" s="447">
        <f t="shared" si="58"/>
        <v>-320.76876044989064</v>
      </c>
      <c r="AW190" s="447">
        <f t="shared" si="59"/>
        <v>-246.23123955010945</v>
      </c>
      <c r="AX190" s="448">
        <f t="shared" si="60"/>
        <v>-36.163122567579677</v>
      </c>
      <c r="AY190" s="448">
        <f t="shared" si="61"/>
        <v>-40.612231081121386</v>
      </c>
      <c r="AZ190" s="451">
        <f t="shared" si="62"/>
        <v>36.163122567579677</v>
      </c>
      <c r="BA190" s="451">
        <f t="shared" si="62"/>
        <v>40.612231081121386</v>
      </c>
      <c r="BE190" s="298">
        <v>10</v>
      </c>
      <c r="BF190" s="299">
        <f t="shared" si="69"/>
        <v>-86</v>
      </c>
      <c r="BG190" s="42">
        <f t="shared" si="70"/>
        <v>-86</v>
      </c>
      <c r="BH190" s="301">
        <f t="shared" si="66"/>
        <v>-318.99506369889912</v>
      </c>
      <c r="BI190" s="302">
        <f t="shared" si="67"/>
        <v>318.99506369889912</v>
      </c>
      <c r="BJ190" s="302">
        <f t="shared" si="71"/>
        <v>17.995063698899088</v>
      </c>
      <c r="BK190" s="302" t="b">
        <f t="shared" si="68"/>
        <v>0</v>
      </c>
      <c r="BL190" s="304">
        <v>10</v>
      </c>
      <c r="DE190" s="126"/>
      <c r="DF190" s="311"/>
      <c r="DG190" s="311"/>
      <c r="DH190" s="311"/>
      <c r="DI190" s="311"/>
      <c r="DJ190" s="311"/>
      <c r="DK190" s="311"/>
      <c r="DL190" s="311"/>
      <c r="DM190" s="311"/>
      <c r="DN190" s="311"/>
      <c r="DO190" s="311"/>
      <c r="DP190" s="311"/>
      <c r="DQ190" s="311"/>
      <c r="DR190" s="311"/>
      <c r="DS190" s="311"/>
      <c r="DT190" s="311"/>
      <c r="DU190" s="311"/>
      <c r="DV190" s="311"/>
      <c r="DW190" s="311"/>
      <c r="DX190" s="311"/>
      <c r="DY190" s="311"/>
      <c r="DZ190" s="311"/>
      <c r="EA190" s="311"/>
      <c r="EB190" s="311"/>
      <c r="EC190" s="311"/>
    </row>
    <row r="191" spans="1:133" ht="21" thickBot="1" x14ac:dyDescent="0.35">
      <c r="B191" s="277">
        <v>17</v>
      </c>
      <c r="C191" s="278"/>
      <c r="D191" s="25">
        <v>0</v>
      </c>
      <c r="E191" s="279" t="s">
        <v>130</v>
      </c>
      <c r="F191" s="258"/>
      <c r="G191" s="258">
        <f t="shared" si="45"/>
        <v>0</v>
      </c>
      <c r="H191" s="282">
        <v>279.06049999999999</v>
      </c>
      <c r="I191" s="283">
        <v>79.962900599999998</v>
      </c>
      <c r="J191" s="474">
        <f t="shared" si="46"/>
        <v>79.962900599999998</v>
      </c>
      <c r="K191" s="474">
        <f t="shared" si="47"/>
        <v>39.981450299999999</v>
      </c>
      <c r="L191" s="474">
        <f t="shared" si="37"/>
        <v>0.64253956655634092</v>
      </c>
      <c r="M191" s="474">
        <f t="shared" si="38"/>
        <v>179.30741271299578</v>
      </c>
      <c r="N191" s="474">
        <f t="shared" si="39"/>
        <v>358.61482542599157</v>
      </c>
      <c r="O191" s="474">
        <f>+C175+D176+D177+D178+D179+D180+D181+D182+D183+D184+D185+D186+D187+D188+D189+D190+(D191/2)</f>
        <v>0</v>
      </c>
      <c r="P191" s="474">
        <f t="shared" si="40"/>
        <v>0</v>
      </c>
      <c r="Q191" s="474">
        <f t="shared" si="41"/>
        <v>0</v>
      </c>
      <c r="R191" s="474">
        <f t="shared" si="48"/>
        <v>213.83080000000001</v>
      </c>
      <c r="S191" s="474">
        <f t="shared" si="63"/>
        <v>213.83080000000001</v>
      </c>
      <c r="T191" s="476">
        <f t="shared" si="42"/>
        <v>213.83080000000001</v>
      </c>
      <c r="V191" s="437">
        <f t="shared" si="43"/>
        <v>0</v>
      </c>
      <c r="W191" s="437"/>
      <c r="X191" s="437"/>
      <c r="Y191" s="437"/>
      <c r="Z191" s="437"/>
      <c r="AA191" s="437"/>
      <c r="AB191" s="477" t="str">
        <f t="shared" si="49"/>
        <v>use the locking pin</v>
      </c>
      <c r="AC191" s="478"/>
      <c r="AD191" s="478"/>
      <c r="AE191" s="478"/>
      <c r="AF191" s="437">
        <f t="shared" si="50"/>
        <v>0</v>
      </c>
      <c r="AG191" s="450">
        <f>SUM(D176:D191)+$C$175</f>
        <v>0</v>
      </c>
      <c r="AH191" s="450"/>
      <c r="AI191" s="287">
        <f t="shared" si="51"/>
        <v>66.255548399999995</v>
      </c>
      <c r="AJ191" s="441">
        <f t="shared" si="44"/>
        <v>0.91535047595051022</v>
      </c>
      <c r="AK191" s="289">
        <f t="shared" si="52"/>
        <v>278.56028065668761</v>
      </c>
      <c r="AL191" s="287">
        <f t="shared" si="53"/>
        <v>50.018549700000001</v>
      </c>
      <c r="AM191" s="442">
        <f t="shared" si="54"/>
        <v>0.76625250760411079</v>
      </c>
      <c r="AN191" s="291">
        <f t="shared" si="55"/>
        <v>213.83080789825695</v>
      </c>
      <c r="AO191" s="479"/>
      <c r="AP191" s="291">
        <f t="shared" si="56"/>
        <v>-607.5</v>
      </c>
      <c r="AQ191" s="444"/>
      <c r="AR191" s="444">
        <f t="shared" si="57"/>
        <v>492.39108855494453</v>
      </c>
      <c r="AS191" s="445">
        <f t="shared" si="65"/>
        <v>-213.83080789825695</v>
      </c>
      <c r="AT191" s="445"/>
      <c r="AU191" s="445">
        <f t="shared" si="64"/>
        <v>213.83080789825695</v>
      </c>
      <c r="AV191" s="447">
        <f t="shared" si="58"/>
        <v>-343.68081476773995</v>
      </c>
      <c r="AW191" s="447">
        <f t="shared" si="59"/>
        <v>-263.81918523226011</v>
      </c>
      <c r="AX191" s="448">
        <f t="shared" si="60"/>
        <v>-33.752247729741036</v>
      </c>
      <c r="AY191" s="448">
        <f t="shared" si="61"/>
        <v>-37.904749009046625</v>
      </c>
      <c r="AZ191" s="451">
        <f t="shared" si="62"/>
        <v>33.752247729741036</v>
      </c>
      <c r="BA191" s="451">
        <f t="shared" si="62"/>
        <v>37.904749009046625</v>
      </c>
      <c r="BE191" s="298">
        <v>11</v>
      </c>
      <c r="BF191" s="299">
        <f t="shared" si="69"/>
        <v>-43</v>
      </c>
      <c r="BG191" s="42">
        <f t="shared" si="70"/>
        <v>-43</v>
      </c>
      <c r="BH191" s="301">
        <f t="shared" si="66"/>
        <v>-275.99506369889912</v>
      </c>
      <c r="BI191" s="302">
        <f t="shared" si="67"/>
        <v>275.99506369889912</v>
      </c>
      <c r="BJ191" s="302">
        <f t="shared" si="71"/>
        <v>17.995063698899088</v>
      </c>
      <c r="BK191" s="302" t="b">
        <f t="shared" si="68"/>
        <v>0</v>
      </c>
      <c r="BL191" s="304">
        <v>11</v>
      </c>
      <c r="DE191" s="126"/>
    </row>
    <row r="192" spans="1:133" ht="21" thickBot="1" x14ac:dyDescent="0.35">
      <c r="B192" s="277">
        <v>18</v>
      </c>
      <c r="C192" s="278"/>
      <c r="D192" s="25">
        <v>0</v>
      </c>
      <c r="E192" s="279" t="s">
        <v>130</v>
      </c>
      <c r="F192" s="258"/>
      <c r="G192" s="258">
        <f t="shared" si="45"/>
        <v>0</v>
      </c>
      <c r="H192" s="282">
        <v>279.06049999999999</v>
      </c>
      <c r="I192" s="283">
        <v>79.962900599999998</v>
      </c>
      <c r="J192" s="474">
        <f t="shared" si="46"/>
        <v>79.962900599999998</v>
      </c>
      <c r="K192" s="474">
        <f t="shared" si="47"/>
        <v>39.981450299999999</v>
      </c>
      <c r="L192" s="474">
        <f t="shared" si="37"/>
        <v>0.64253956655634092</v>
      </c>
      <c r="M192" s="474">
        <f t="shared" si="38"/>
        <v>179.30741271299578</v>
      </c>
      <c r="N192" s="474">
        <f t="shared" si="39"/>
        <v>358.61482542599157</v>
      </c>
      <c r="O192" s="474">
        <f>+C175+D176+D177+D178+D179+D180+D181+D182+D183+D184+D185+D186+D187+D188+D189+D190+D191+(D192/2)</f>
        <v>0</v>
      </c>
      <c r="P192" s="474">
        <f t="shared" si="40"/>
        <v>0</v>
      </c>
      <c r="Q192" s="474">
        <f t="shared" si="41"/>
        <v>0</v>
      </c>
      <c r="R192" s="474">
        <f t="shared" si="48"/>
        <v>213.83080000000001</v>
      </c>
      <c r="S192" s="474">
        <f t="shared" si="63"/>
        <v>213.83080000000001</v>
      </c>
      <c r="T192" s="476">
        <f t="shared" si="42"/>
        <v>213.83080000000001</v>
      </c>
      <c r="V192" s="437">
        <f t="shared" si="43"/>
        <v>0</v>
      </c>
      <c r="W192" s="437"/>
      <c r="X192" s="437"/>
      <c r="Y192" s="437"/>
      <c r="Z192" s="437"/>
      <c r="AA192" s="437"/>
      <c r="AB192" s="477" t="str">
        <f t="shared" si="49"/>
        <v>use the locking pin</v>
      </c>
      <c r="AC192" s="478"/>
      <c r="AD192" s="478"/>
      <c r="AE192" s="478"/>
      <c r="AF192" s="437">
        <f t="shared" si="50"/>
        <v>0</v>
      </c>
      <c r="AG192" s="450">
        <f>SUM(D176:D192)+$C$175</f>
        <v>0</v>
      </c>
      <c r="AH192" s="450"/>
      <c r="AI192" s="287">
        <f t="shared" si="51"/>
        <v>66.255548399999995</v>
      </c>
      <c r="AJ192" s="441">
        <f t="shared" si="44"/>
        <v>0.91535047595051022</v>
      </c>
      <c r="AK192" s="289">
        <f t="shared" si="52"/>
        <v>278.56028065668761</v>
      </c>
      <c r="AL192" s="287">
        <f t="shared" si="53"/>
        <v>50.018549700000001</v>
      </c>
      <c r="AM192" s="442">
        <f t="shared" si="54"/>
        <v>0.76625250760411079</v>
      </c>
      <c r="AN192" s="291">
        <f t="shared" si="55"/>
        <v>213.83080789825695</v>
      </c>
      <c r="AO192" s="479"/>
      <c r="AP192" s="291">
        <f t="shared" si="56"/>
        <v>-648</v>
      </c>
      <c r="AQ192" s="444"/>
      <c r="AR192" s="444">
        <f t="shared" si="57"/>
        <v>492.39108855494453</v>
      </c>
      <c r="AS192" s="445">
        <f t="shared" si="65"/>
        <v>-213.83080789825695</v>
      </c>
      <c r="AT192" s="445"/>
      <c r="AU192" s="445">
        <f t="shared" si="64"/>
        <v>213.83080789825695</v>
      </c>
      <c r="AV192" s="447">
        <f t="shared" si="58"/>
        <v>-366.59286908558926</v>
      </c>
      <c r="AW192" s="447">
        <f t="shared" si="59"/>
        <v>-281.4071309144108</v>
      </c>
      <c r="AX192" s="448">
        <f t="shared" si="60"/>
        <v>-31.642732246632221</v>
      </c>
      <c r="AY192" s="448">
        <f t="shared" si="61"/>
        <v>-35.535702195981209</v>
      </c>
      <c r="AZ192" s="451">
        <f t="shared" si="62"/>
        <v>31.642732246632221</v>
      </c>
      <c r="BA192" s="451">
        <f t="shared" si="62"/>
        <v>35.535702195981209</v>
      </c>
      <c r="BE192" s="298">
        <v>12</v>
      </c>
      <c r="BF192" s="299">
        <f t="shared" si="69"/>
        <v>0</v>
      </c>
      <c r="BG192" s="42">
        <f t="shared" si="70"/>
        <v>0</v>
      </c>
      <c r="BH192" s="301">
        <f t="shared" si="66"/>
        <v>-232.99506369889909</v>
      </c>
      <c r="BI192" s="302">
        <f t="shared" si="67"/>
        <v>232.99506369889909</v>
      </c>
      <c r="BJ192" s="302">
        <f t="shared" si="71"/>
        <v>17.995063698899088</v>
      </c>
      <c r="BK192" s="302" t="b">
        <f t="shared" si="68"/>
        <v>0</v>
      </c>
      <c r="BL192" s="304">
        <v>12</v>
      </c>
      <c r="DE192" s="235"/>
      <c r="DF192" s="312"/>
      <c r="DG192" s="312"/>
      <c r="DH192" s="312"/>
      <c r="DI192" s="312"/>
      <c r="DJ192" s="312"/>
      <c r="DK192" s="312"/>
      <c r="DL192" s="312"/>
      <c r="DM192" s="312"/>
      <c r="DN192" s="312"/>
      <c r="DO192" s="312"/>
      <c r="DP192" s="312"/>
      <c r="DQ192" s="312"/>
      <c r="DR192" s="312"/>
      <c r="DS192" s="312"/>
      <c r="DT192" s="312"/>
      <c r="DU192" s="312"/>
      <c r="DV192" s="312"/>
      <c r="DW192" s="312"/>
      <c r="DX192" s="312"/>
      <c r="DY192" s="312"/>
      <c r="DZ192" s="312"/>
      <c r="EA192" s="312"/>
      <c r="EB192" s="312"/>
      <c r="EC192" s="312"/>
    </row>
    <row r="193" spans="2:133" ht="21" thickBot="1" x14ac:dyDescent="0.35">
      <c r="B193" s="277">
        <v>19</v>
      </c>
      <c r="C193" s="278"/>
      <c r="D193" s="25">
        <v>0</v>
      </c>
      <c r="E193" s="279" t="s">
        <v>130</v>
      </c>
      <c r="F193" s="258"/>
      <c r="G193" s="258">
        <f t="shared" si="45"/>
        <v>0</v>
      </c>
      <c r="H193" s="282">
        <v>279.06049999999999</v>
      </c>
      <c r="I193" s="283">
        <v>79.962900599999998</v>
      </c>
      <c r="J193" s="474">
        <f t="shared" si="46"/>
        <v>79.962900599999998</v>
      </c>
      <c r="K193" s="474">
        <f t="shared" si="47"/>
        <v>39.981450299999999</v>
      </c>
      <c r="L193" s="474">
        <f t="shared" si="37"/>
        <v>0.64253956655634092</v>
      </c>
      <c r="M193" s="474">
        <f t="shared" si="38"/>
        <v>179.30741271299578</v>
      </c>
      <c r="N193" s="474">
        <f t="shared" si="39"/>
        <v>358.61482542599157</v>
      </c>
      <c r="O193" s="474">
        <f>+C175+D176+D177+D178+D179+D180+D181+D182+D183+D184+D185+D186+D187+D188+D189+D190+D191+D192+(D193/2)</f>
        <v>0</v>
      </c>
      <c r="P193" s="474">
        <f t="shared" si="40"/>
        <v>0</v>
      </c>
      <c r="Q193" s="474">
        <f t="shared" si="41"/>
        <v>0</v>
      </c>
      <c r="R193" s="474">
        <f t="shared" si="48"/>
        <v>213.83080000000001</v>
      </c>
      <c r="S193" s="474">
        <f t="shared" si="63"/>
        <v>213.83080000000001</v>
      </c>
      <c r="T193" s="476">
        <f t="shared" si="42"/>
        <v>213.83080000000001</v>
      </c>
      <c r="V193" s="437">
        <f t="shared" si="43"/>
        <v>0</v>
      </c>
      <c r="W193" s="437"/>
      <c r="X193" s="437"/>
      <c r="Y193" s="437"/>
      <c r="Z193" s="437"/>
      <c r="AA193" s="437"/>
      <c r="AB193" s="477" t="str">
        <f t="shared" si="49"/>
        <v>use the locking pin</v>
      </c>
      <c r="AC193" s="478"/>
      <c r="AD193" s="478"/>
      <c r="AE193" s="478"/>
      <c r="AF193" s="437">
        <f t="shared" si="50"/>
        <v>0</v>
      </c>
      <c r="AG193" s="450">
        <f>SUM(D175:D193)+$C$175</f>
        <v>0</v>
      </c>
      <c r="AH193" s="450"/>
      <c r="AI193" s="287">
        <f t="shared" si="51"/>
        <v>66.255548399999995</v>
      </c>
      <c r="AJ193" s="441">
        <f t="shared" si="44"/>
        <v>0.91535047595051022</v>
      </c>
      <c r="AK193" s="289">
        <f t="shared" si="52"/>
        <v>278.56028065668761</v>
      </c>
      <c r="AL193" s="287">
        <f t="shared" si="53"/>
        <v>50.018549700000001</v>
      </c>
      <c r="AM193" s="442">
        <f t="shared" si="54"/>
        <v>0.76625250760411079</v>
      </c>
      <c r="AN193" s="291">
        <f t="shared" si="55"/>
        <v>213.83080789825695</v>
      </c>
      <c r="AO193" s="479"/>
      <c r="AP193" s="291">
        <f t="shared" si="56"/>
        <v>-688.5</v>
      </c>
      <c r="AQ193" s="444"/>
      <c r="AR193" s="444">
        <f t="shared" si="57"/>
        <v>492.39108855494453</v>
      </c>
      <c r="AS193" s="445">
        <f t="shared" si="65"/>
        <v>-213.83080789825695</v>
      </c>
      <c r="AT193" s="445"/>
      <c r="AU193" s="445">
        <f t="shared" si="64"/>
        <v>213.83080789825695</v>
      </c>
      <c r="AV193" s="447">
        <f t="shared" si="58"/>
        <v>-389.50492340343862</v>
      </c>
      <c r="AW193" s="447">
        <f t="shared" si="59"/>
        <v>-298.99507659656149</v>
      </c>
      <c r="AX193" s="448">
        <f t="shared" si="60"/>
        <v>-29.781395055653853</v>
      </c>
      <c r="AY193" s="448">
        <f t="shared" si="61"/>
        <v>-33.445366772688196</v>
      </c>
      <c r="AZ193" s="451">
        <f t="shared" si="62"/>
        <v>29.781395055653853</v>
      </c>
      <c r="BA193" s="451">
        <f t="shared" si="62"/>
        <v>33.445366772688196</v>
      </c>
      <c r="BE193" s="298">
        <v>13</v>
      </c>
      <c r="BF193" s="299">
        <f t="shared" si="69"/>
        <v>43</v>
      </c>
      <c r="BG193" s="42">
        <f t="shared" si="70"/>
        <v>43</v>
      </c>
      <c r="BH193" s="301">
        <f t="shared" si="66"/>
        <v>-189.99506369889909</v>
      </c>
      <c r="BI193" s="302">
        <f t="shared" si="67"/>
        <v>189.99506369889909</v>
      </c>
      <c r="BJ193" s="302">
        <f t="shared" si="71"/>
        <v>17.995063698899088</v>
      </c>
      <c r="BK193" s="302" t="b">
        <f t="shared" si="68"/>
        <v>0</v>
      </c>
      <c r="BL193" s="304">
        <v>13</v>
      </c>
      <c r="DE193" s="126"/>
      <c r="DF193" s="203"/>
      <c r="DG193" s="203"/>
      <c r="DH193" s="203"/>
      <c r="DI193" s="203"/>
      <c r="DJ193" s="203"/>
      <c r="DK193" s="203"/>
      <c r="DL193" s="203"/>
      <c r="DM193" s="203"/>
      <c r="DN193" s="203"/>
      <c r="DO193" s="203"/>
      <c r="DP193" s="203"/>
      <c r="DQ193" s="203"/>
      <c r="DR193" s="203"/>
      <c r="DS193" s="203"/>
      <c r="DT193" s="203"/>
      <c r="DU193" s="203"/>
      <c r="DV193" s="203"/>
      <c r="DW193" s="203"/>
      <c r="DX193" s="203"/>
      <c r="DY193" s="203"/>
      <c r="DZ193" s="203"/>
      <c r="EA193" s="203"/>
      <c r="EB193" s="203"/>
      <c r="EC193" s="203"/>
    </row>
    <row r="194" spans="2:133" ht="21" thickBot="1" x14ac:dyDescent="0.35">
      <c r="B194" s="277">
        <v>20</v>
      </c>
      <c r="C194" s="278"/>
      <c r="D194" s="25">
        <v>0</v>
      </c>
      <c r="E194" s="279" t="s">
        <v>130</v>
      </c>
      <c r="F194" s="258"/>
      <c r="G194" s="258">
        <f t="shared" si="45"/>
        <v>0</v>
      </c>
      <c r="H194" s="282">
        <v>279.06049999999999</v>
      </c>
      <c r="I194" s="283">
        <v>79.962900599999998</v>
      </c>
      <c r="J194" s="474">
        <f t="shared" si="46"/>
        <v>79.962900599999998</v>
      </c>
      <c r="K194" s="474">
        <f t="shared" si="47"/>
        <v>39.981450299999999</v>
      </c>
      <c r="L194" s="474">
        <f t="shared" si="37"/>
        <v>0.64253956655634092</v>
      </c>
      <c r="M194" s="474">
        <f t="shared" si="38"/>
        <v>179.30741271299578</v>
      </c>
      <c r="N194" s="474">
        <f t="shared" si="39"/>
        <v>358.61482542599157</v>
      </c>
      <c r="O194" s="474">
        <f>+C175+D176+D177+D178+D179+D180+D181+D182+D183+D184+D185+D186+D187+D188+D189+D190+D191+D192+D193+(D194/2)</f>
        <v>0</v>
      </c>
      <c r="P194" s="474">
        <f t="shared" si="40"/>
        <v>0</v>
      </c>
      <c r="Q194" s="474">
        <f t="shared" si="41"/>
        <v>0</v>
      </c>
      <c r="R194" s="474">
        <f t="shared" si="48"/>
        <v>213.83080000000001</v>
      </c>
      <c r="S194" s="474">
        <f t="shared" si="63"/>
        <v>213.83080000000001</v>
      </c>
      <c r="T194" s="476">
        <f t="shared" si="42"/>
        <v>213.83080000000001</v>
      </c>
      <c r="V194" s="437">
        <f t="shared" si="43"/>
        <v>0</v>
      </c>
      <c r="W194" s="437"/>
      <c r="X194" s="437"/>
      <c r="Y194" s="437"/>
      <c r="Z194" s="437"/>
      <c r="AA194" s="437"/>
      <c r="AB194" s="477" t="str">
        <f t="shared" si="49"/>
        <v>use the locking pin</v>
      </c>
      <c r="AC194" s="478"/>
      <c r="AD194" s="478"/>
      <c r="AE194" s="478"/>
      <c r="AF194" s="437">
        <f t="shared" si="50"/>
        <v>0</v>
      </c>
      <c r="AG194" s="450">
        <f>SUM(D176:D194)+$C$175</f>
        <v>0</v>
      </c>
      <c r="AH194" s="450"/>
      <c r="AI194" s="287">
        <f t="shared" si="51"/>
        <v>66.255548399999995</v>
      </c>
      <c r="AJ194" s="441">
        <f t="shared" si="44"/>
        <v>0.91535047595051022</v>
      </c>
      <c r="AK194" s="289">
        <f t="shared" si="52"/>
        <v>278.56028065668761</v>
      </c>
      <c r="AL194" s="287">
        <f t="shared" si="53"/>
        <v>50.018549700000001</v>
      </c>
      <c r="AM194" s="442">
        <f t="shared" si="54"/>
        <v>0.76625250760411079</v>
      </c>
      <c r="AN194" s="291">
        <f t="shared" si="55"/>
        <v>213.83080789825695</v>
      </c>
      <c r="AO194" s="479"/>
      <c r="AP194" s="291">
        <f t="shared" si="56"/>
        <v>-729</v>
      </c>
      <c r="AQ194" s="444"/>
      <c r="AR194" s="444">
        <f t="shared" si="57"/>
        <v>492.39108855494453</v>
      </c>
      <c r="AS194" s="445">
        <f t="shared" si="65"/>
        <v>-213.83080789825695</v>
      </c>
      <c r="AT194" s="445"/>
      <c r="AU194" s="445">
        <f t="shared" si="64"/>
        <v>213.83080789825695</v>
      </c>
      <c r="AV194" s="447">
        <f t="shared" si="58"/>
        <v>-412.41697772128794</v>
      </c>
      <c r="AW194" s="447">
        <f t="shared" si="59"/>
        <v>-316.58302227871212</v>
      </c>
      <c r="AX194" s="448">
        <f t="shared" si="60"/>
        <v>-28.126873108117529</v>
      </c>
      <c r="AY194" s="448">
        <f t="shared" si="61"/>
        <v>-31.587290840872189</v>
      </c>
      <c r="AZ194" s="451">
        <f t="shared" si="62"/>
        <v>28.126873108117529</v>
      </c>
      <c r="BA194" s="451">
        <f t="shared" si="62"/>
        <v>31.587290840872189</v>
      </c>
      <c r="BE194" s="298">
        <v>14</v>
      </c>
      <c r="BF194" s="299">
        <f t="shared" si="69"/>
        <v>86</v>
      </c>
      <c r="BG194" s="42">
        <f t="shared" si="70"/>
        <v>86</v>
      </c>
      <c r="BH194" s="301">
        <f t="shared" si="66"/>
        <v>-146.99506369889909</v>
      </c>
      <c r="BI194" s="302">
        <f t="shared" si="67"/>
        <v>146.99506369889909</v>
      </c>
      <c r="BJ194" s="302">
        <f t="shared" si="71"/>
        <v>17.995063698899088</v>
      </c>
      <c r="BK194" s="302" t="b">
        <f t="shared" si="68"/>
        <v>0</v>
      </c>
      <c r="BL194" s="304">
        <v>14</v>
      </c>
    </row>
    <row r="195" spans="2:133" ht="20" x14ac:dyDescent="0.3">
      <c r="BE195" s="298">
        <v>15</v>
      </c>
      <c r="BF195" s="299">
        <f t="shared" si="69"/>
        <v>129</v>
      </c>
      <c r="BG195" s="42">
        <f t="shared" si="70"/>
        <v>129</v>
      </c>
      <c r="BH195" s="301">
        <f t="shared" si="66"/>
        <v>-103.99506369889909</v>
      </c>
      <c r="BI195" s="302">
        <f t="shared" si="67"/>
        <v>103.99506369889909</v>
      </c>
      <c r="BJ195" s="302">
        <f t="shared" si="71"/>
        <v>17.995063698899088</v>
      </c>
      <c r="BK195" s="302" t="b">
        <f t="shared" si="68"/>
        <v>0</v>
      </c>
      <c r="BL195" s="304">
        <v>15</v>
      </c>
      <c r="DF195" s="236"/>
      <c r="DG195" s="236"/>
      <c r="DH195" s="236"/>
      <c r="DI195" s="236"/>
      <c r="DJ195" s="236"/>
      <c r="DK195" s="236"/>
      <c r="DL195" s="126"/>
      <c r="DM195" s="126"/>
      <c r="DN195" s="126"/>
      <c r="DO195" s="126"/>
      <c r="DP195" s="126"/>
      <c r="DQ195" s="236"/>
      <c r="DR195" s="236"/>
      <c r="DS195" s="236"/>
      <c r="DT195" s="126"/>
      <c r="DU195" s="126"/>
      <c r="DV195" s="126"/>
      <c r="DW195" s="126"/>
      <c r="DX195" s="126"/>
      <c r="DY195" s="126"/>
      <c r="DZ195" s="126"/>
      <c r="EA195" s="126"/>
      <c r="EB195" s="126"/>
      <c r="EC195" s="126"/>
    </row>
    <row r="196" spans="2:133" ht="20" x14ac:dyDescent="0.3">
      <c r="BE196" s="298">
        <v>16</v>
      </c>
      <c r="BF196" s="299">
        <f t="shared" si="69"/>
        <v>172</v>
      </c>
      <c r="BG196" s="42">
        <f t="shared" si="70"/>
        <v>172</v>
      </c>
      <c r="BH196" s="301">
        <f t="shared" si="66"/>
        <v>-60.995063698899088</v>
      </c>
      <c r="BI196" s="302">
        <f t="shared" si="67"/>
        <v>60.995063698899088</v>
      </c>
      <c r="BJ196" s="302">
        <f t="shared" si="71"/>
        <v>17.995063698899088</v>
      </c>
      <c r="BK196" s="302" t="b">
        <f t="shared" si="68"/>
        <v>0</v>
      </c>
      <c r="BL196" s="304">
        <v>16</v>
      </c>
      <c r="DF196" s="236"/>
      <c r="DG196" s="236"/>
      <c r="DH196" s="236"/>
      <c r="DI196" s="236"/>
      <c r="DJ196" s="236"/>
      <c r="DK196" s="236"/>
      <c r="DP196" s="236"/>
      <c r="DQ196" s="236"/>
      <c r="DR196" s="236"/>
      <c r="DS196" s="236"/>
      <c r="DX196" s="236"/>
      <c r="DY196" s="236"/>
      <c r="DZ196" s="236"/>
      <c r="EA196" s="236"/>
      <c r="EB196" s="236"/>
      <c r="EC196" s="236"/>
    </row>
    <row r="197" spans="2:133" ht="20" x14ac:dyDescent="0.3">
      <c r="BE197" s="298">
        <v>17</v>
      </c>
      <c r="BF197" s="299">
        <f t="shared" si="69"/>
        <v>215</v>
      </c>
      <c r="BG197" s="42">
        <f t="shared" si="70"/>
        <v>215</v>
      </c>
      <c r="BH197" s="301">
        <f t="shared" si="66"/>
        <v>-17.995063698899088</v>
      </c>
      <c r="BI197" s="302">
        <f t="shared" si="67"/>
        <v>17.995063698899088</v>
      </c>
      <c r="BJ197" s="302">
        <f t="shared" si="71"/>
        <v>17.995063698899088</v>
      </c>
      <c r="BK197" s="302">
        <f t="shared" si="68"/>
        <v>17</v>
      </c>
      <c r="BL197" s="304">
        <v>17</v>
      </c>
    </row>
    <row r="198" spans="2:133" ht="20" x14ac:dyDescent="0.3">
      <c r="BE198" s="298">
        <v>18</v>
      </c>
      <c r="BF198" s="299">
        <f t="shared" si="69"/>
        <v>258</v>
      </c>
      <c r="BG198" s="42">
        <f t="shared" si="70"/>
        <v>258</v>
      </c>
      <c r="BH198" s="301">
        <f t="shared" si="66"/>
        <v>25.004936301100912</v>
      </c>
      <c r="BI198" s="302">
        <f t="shared" si="67"/>
        <v>25.004936301100912</v>
      </c>
      <c r="BJ198" s="302">
        <f t="shared" si="71"/>
        <v>17.995063698899088</v>
      </c>
      <c r="BK198" s="302" t="b">
        <f t="shared" si="68"/>
        <v>0</v>
      </c>
      <c r="BL198" s="304">
        <v>18</v>
      </c>
    </row>
    <row r="199" spans="2:133" ht="20" x14ac:dyDescent="0.3">
      <c r="BE199" s="298">
        <v>19</v>
      </c>
      <c r="BF199" s="299">
        <f t="shared" si="69"/>
        <v>301</v>
      </c>
      <c r="BG199" s="42">
        <f t="shared" si="70"/>
        <v>301</v>
      </c>
      <c r="BH199" s="301">
        <f t="shared" si="66"/>
        <v>68.004936301100912</v>
      </c>
      <c r="BI199" s="302">
        <f t="shared" si="67"/>
        <v>68.004936301100912</v>
      </c>
      <c r="BJ199" s="302">
        <f t="shared" si="71"/>
        <v>17.995063698899088</v>
      </c>
      <c r="BK199" s="302" t="b">
        <f t="shared" si="68"/>
        <v>0</v>
      </c>
      <c r="BL199" s="304">
        <v>19</v>
      </c>
    </row>
    <row r="200" spans="2:133" ht="20" x14ac:dyDescent="0.3">
      <c r="BE200" s="298">
        <v>20</v>
      </c>
      <c r="BF200" s="299">
        <f t="shared" si="69"/>
        <v>344</v>
      </c>
      <c r="BG200" s="42">
        <f t="shared" si="70"/>
        <v>344</v>
      </c>
      <c r="BH200" s="301">
        <f t="shared" si="66"/>
        <v>111.00493630110091</v>
      </c>
      <c r="BI200" s="302">
        <f t="shared" si="67"/>
        <v>111.00493630110091</v>
      </c>
      <c r="BJ200" s="302">
        <f t="shared" si="71"/>
        <v>17.995063698899088</v>
      </c>
      <c r="BK200" s="302" t="b">
        <f t="shared" si="68"/>
        <v>0</v>
      </c>
      <c r="BL200" s="304">
        <v>20</v>
      </c>
    </row>
    <row r="201" spans="2:133" ht="20" x14ac:dyDescent="0.3">
      <c r="BE201" s="298">
        <v>21</v>
      </c>
      <c r="BF201" s="299">
        <f t="shared" si="69"/>
        <v>387</v>
      </c>
      <c r="BG201" s="42">
        <f t="shared" si="70"/>
        <v>387</v>
      </c>
      <c r="BH201" s="301">
        <f t="shared" si="66"/>
        <v>154.00493630110091</v>
      </c>
      <c r="BI201" s="302">
        <f t="shared" si="67"/>
        <v>154.00493630110091</v>
      </c>
      <c r="BJ201" s="302">
        <f t="shared" si="71"/>
        <v>17.995063698899088</v>
      </c>
      <c r="BK201" s="302" t="b">
        <f t="shared" si="68"/>
        <v>0</v>
      </c>
      <c r="BL201" s="304">
        <v>21</v>
      </c>
    </row>
    <row r="202" spans="2:133" ht="20" x14ac:dyDescent="0.3">
      <c r="BE202" s="298">
        <v>22</v>
      </c>
      <c r="BF202" s="299">
        <f t="shared" si="69"/>
        <v>430</v>
      </c>
      <c r="BG202" s="42">
        <f t="shared" si="70"/>
        <v>430</v>
      </c>
      <c r="BH202" s="301">
        <f t="shared" si="66"/>
        <v>197.00493630110091</v>
      </c>
      <c r="BI202" s="302">
        <f t="shared" si="67"/>
        <v>197.00493630110091</v>
      </c>
      <c r="BJ202" s="302">
        <f t="shared" si="71"/>
        <v>17.995063698899088</v>
      </c>
      <c r="BK202" s="302" t="b">
        <f t="shared" si="68"/>
        <v>0</v>
      </c>
      <c r="BL202" s="304">
        <v>22</v>
      </c>
    </row>
    <row r="203" spans="2:133" ht="20" x14ac:dyDescent="0.3">
      <c r="BE203" s="298">
        <v>23</v>
      </c>
      <c r="BF203" s="299">
        <f t="shared" si="69"/>
        <v>473</v>
      </c>
      <c r="BG203" s="42">
        <f t="shared" si="70"/>
        <v>473</v>
      </c>
      <c r="BH203" s="301">
        <f t="shared" si="66"/>
        <v>240.00493630110091</v>
      </c>
      <c r="BI203" s="302">
        <f t="shared" si="67"/>
        <v>240.00493630110091</v>
      </c>
      <c r="BJ203" s="302">
        <f t="shared" si="71"/>
        <v>17.995063698899088</v>
      </c>
      <c r="BK203" s="302" t="b">
        <f t="shared" si="68"/>
        <v>0</v>
      </c>
      <c r="BL203" s="304">
        <v>23</v>
      </c>
    </row>
    <row r="204" spans="2:133" ht="20" x14ac:dyDescent="0.3">
      <c r="BE204" s="298">
        <v>24</v>
      </c>
      <c r="BF204" s="299">
        <f t="shared" si="69"/>
        <v>516</v>
      </c>
      <c r="BG204" s="42">
        <f t="shared" si="70"/>
        <v>516</v>
      </c>
      <c r="BH204" s="301">
        <f t="shared" si="66"/>
        <v>283.00493630110088</v>
      </c>
      <c r="BI204" s="302">
        <f t="shared" si="67"/>
        <v>283.00493630110088</v>
      </c>
      <c r="BJ204" s="302">
        <f t="shared" si="71"/>
        <v>17.995063698899088</v>
      </c>
      <c r="BK204" s="302" t="b">
        <f t="shared" si="68"/>
        <v>0</v>
      </c>
      <c r="BL204" s="304">
        <v>24</v>
      </c>
    </row>
    <row r="205" spans="2:133" ht="20" x14ac:dyDescent="0.3">
      <c r="BE205" s="298">
        <v>25</v>
      </c>
      <c r="BF205" s="299">
        <f t="shared" si="69"/>
        <v>559</v>
      </c>
      <c r="BG205" s="42">
        <f t="shared" si="70"/>
        <v>559</v>
      </c>
      <c r="BH205" s="301">
        <f t="shared" si="66"/>
        <v>326.00493630110088</v>
      </c>
      <c r="BI205" s="302">
        <f t="shared" si="67"/>
        <v>326.00493630110088</v>
      </c>
      <c r="BJ205" s="302">
        <f t="shared" si="71"/>
        <v>17.995063698899088</v>
      </c>
      <c r="BK205" s="302" t="b">
        <f t="shared" si="68"/>
        <v>0</v>
      </c>
      <c r="BL205" s="304">
        <v>25</v>
      </c>
    </row>
    <row r="206" spans="2:133" ht="20" x14ac:dyDescent="0.3">
      <c r="BE206" s="298">
        <v>26</v>
      </c>
      <c r="BF206" s="299">
        <f t="shared" si="69"/>
        <v>602</v>
      </c>
      <c r="BG206" s="42">
        <f t="shared" si="70"/>
        <v>602</v>
      </c>
      <c r="BH206" s="301">
        <f t="shared" si="66"/>
        <v>369.00493630110088</v>
      </c>
      <c r="BI206" s="302">
        <f t="shared" si="67"/>
        <v>369.00493630110088</v>
      </c>
      <c r="BJ206" s="302">
        <f t="shared" si="71"/>
        <v>17.995063698899088</v>
      </c>
      <c r="BK206" s="302" t="b">
        <f t="shared" si="68"/>
        <v>0</v>
      </c>
      <c r="BL206" s="304">
        <v>26</v>
      </c>
    </row>
    <row r="207" spans="2:133" ht="20" x14ac:dyDescent="0.3">
      <c r="BE207" s="298">
        <v>27</v>
      </c>
      <c r="BF207" s="299">
        <f t="shared" si="69"/>
        <v>645</v>
      </c>
      <c r="BG207" s="42">
        <f t="shared" si="70"/>
        <v>645</v>
      </c>
      <c r="BH207" s="301">
        <f t="shared" si="66"/>
        <v>412.00493630110088</v>
      </c>
      <c r="BI207" s="302">
        <f t="shared" si="67"/>
        <v>412.00493630110088</v>
      </c>
      <c r="BJ207" s="302">
        <f t="shared" si="71"/>
        <v>17.995063698899088</v>
      </c>
      <c r="BK207" s="302" t="b">
        <f t="shared" si="68"/>
        <v>0</v>
      </c>
      <c r="BL207" s="304">
        <v>27</v>
      </c>
    </row>
    <row r="208" spans="2:133" ht="20" x14ac:dyDescent="0.3">
      <c r="BE208" s="298">
        <v>28</v>
      </c>
      <c r="BF208" s="299">
        <f t="shared" si="69"/>
        <v>688</v>
      </c>
      <c r="BG208" s="42">
        <f t="shared" si="70"/>
        <v>688</v>
      </c>
      <c r="BH208" s="301">
        <f t="shared" si="66"/>
        <v>455.00493630110088</v>
      </c>
      <c r="BI208" s="302">
        <f t="shared" si="67"/>
        <v>455.00493630110088</v>
      </c>
      <c r="BJ208" s="302">
        <f t="shared" si="71"/>
        <v>17.995063698899088</v>
      </c>
      <c r="BK208" s="302" t="b">
        <f t="shared" si="68"/>
        <v>0</v>
      </c>
      <c r="BL208" s="304">
        <v>28</v>
      </c>
    </row>
    <row r="209" spans="57:64" ht="20" x14ac:dyDescent="0.3">
      <c r="BE209" s="298">
        <v>29</v>
      </c>
      <c r="BF209" s="299">
        <f t="shared" si="69"/>
        <v>731</v>
      </c>
      <c r="BG209" s="42">
        <f t="shared" si="70"/>
        <v>731</v>
      </c>
      <c r="BH209" s="301">
        <f t="shared" si="66"/>
        <v>498.00493630110088</v>
      </c>
      <c r="BI209" s="302">
        <f t="shared" si="67"/>
        <v>498.00493630110088</v>
      </c>
      <c r="BJ209" s="302">
        <f t="shared" si="71"/>
        <v>17.995063698899088</v>
      </c>
      <c r="BK209" s="302" t="b">
        <f t="shared" si="68"/>
        <v>0</v>
      </c>
      <c r="BL209" s="304">
        <v>29</v>
      </c>
    </row>
    <row r="210" spans="57:64" ht="20" x14ac:dyDescent="0.3">
      <c r="BE210" s="298">
        <v>30</v>
      </c>
      <c r="BF210" s="299">
        <f t="shared" si="69"/>
        <v>774</v>
      </c>
      <c r="BG210" s="42">
        <f t="shared" si="70"/>
        <v>774</v>
      </c>
      <c r="BH210" s="301">
        <f t="shared" si="66"/>
        <v>541.00493630110088</v>
      </c>
      <c r="BI210" s="302">
        <f t="shared" si="67"/>
        <v>541.00493630110088</v>
      </c>
      <c r="BJ210" s="302">
        <f t="shared" si="71"/>
        <v>17.995063698899088</v>
      </c>
      <c r="BK210" s="302" t="b">
        <f t="shared" si="68"/>
        <v>0</v>
      </c>
      <c r="BL210" s="304">
        <v>30</v>
      </c>
    </row>
    <row r="211" spans="57:64" ht="20" x14ac:dyDescent="0.3">
      <c r="BE211" s="298">
        <v>31</v>
      </c>
      <c r="BF211" s="299">
        <f t="shared" si="69"/>
        <v>817</v>
      </c>
      <c r="BG211" s="42">
        <f t="shared" si="70"/>
        <v>817</v>
      </c>
      <c r="BH211" s="301">
        <f t="shared" si="66"/>
        <v>584.00493630110088</v>
      </c>
      <c r="BI211" s="302">
        <f t="shared" si="67"/>
        <v>584.00493630110088</v>
      </c>
      <c r="BJ211" s="302">
        <f t="shared" si="71"/>
        <v>17.995063698899088</v>
      </c>
      <c r="BK211" s="302" t="b">
        <f t="shared" si="68"/>
        <v>0</v>
      </c>
      <c r="BL211" s="304">
        <v>31</v>
      </c>
    </row>
    <row r="212" spans="57:64" ht="20" x14ac:dyDescent="0.3">
      <c r="BE212" s="298">
        <v>32</v>
      </c>
      <c r="BF212" s="299">
        <f t="shared" si="69"/>
        <v>860</v>
      </c>
      <c r="BG212" s="42">
        <f t="shared" si="70"/>
        <v>860</v>
      </c>
      <c r="BH212" s="301">
        <f t="shared" si="66"/>
        <v>627.00493630110088</v>
      </c>
      <c r="BI212" s="302">
        <f t="shared" si="67"/>
        <v>627.00493630110088</v>
      </c>
      <c r="BJ212" s="302">
        <f t="shared" si="71"/>
        <v>17.995063698899088</v>
      </c>
      <c r="BK212" s="302" t="b">
        <f t="shared" si="68"/>
        <v>0</v>
      </c>
      <c r="BL212" s="304">
        <v>32</v>
      </c>
    </row>
    <row r="213" spans="57:64" ht="20" x14ac:dyDescent="0.3">
      <c r="BE213" s="298">
        <v>33</v>
      </c>
      <c r="BF213" s="299">
        <f t="shared" si="69"/>
        <v>903</v>
      </c>
      <c r="BG213" s="42">
        <f t="shared" si="70"/>
        <v>903</v>
      </c>
      <c r="BH213" s="301">
        <f t="shared" si="66"/>
        <v>670.00493630110088</v>
      </c>
      <c r="BI213" s="302">
        <f t="shared" si="67"/>
        <v>670.00493630110088</v>
      </c>
      <c r="BJ213" s="302">
        <f t="shared" si="71"/>
        <v>17.995063698899088</v>
      </c>
      <c r="BK213" s="302" t="b">
        <f t="shared" si="68"/>
        <v>0</v>
      </c>
      <c r="BL213" s="304">
        <v>33</v>
      </c>
    </row>
    <row r="214" spans="57:64" ht="20" x14ac:dyDescent="0.3">
      <c r="BE214" s="298">
        <v>34</v>
      </c>
      <c r="BF214" s="299">
        <f t="shared" si="69"/>
        <v>946</v>
      </c>
      <c r="BG214" s="42">
        <f t="shared" si="70"/>
        <v>946</v>
      </c>
      <c r="BH214" s="301">
        <f t="shared" si="66"/>
        <v>713.00493630110088</v>
      </c>
      <c r="BI214" s="302">
        <f t="shared" si="67"/>
        <v>713.00493630110088</v>
      </c>
      <c r="BJ214" s="302">
        <f t="shared" si="71"/>
        <v>17.995063698899088</v>
      </c>
      <c r="BK214" s="302" t="b">
        <f t="shared" si="68"/>
        <v>0</v>
      </c>
      <c r="BL214" s="304">
        <v>34</v>
      </c>
    </row>
    <row r="215" spans="57:64" ht="20" x14ac:dyDescent="0.3">
      <c r="BE215" s="298">
        <v>35</v>
      </c>
      <c r="BF215" s="299">
        <f t="shared" si="69"/>
        <v>989</v>
      </c>
      <c r="BG215" s="42">
        <f t="shared" si="70"/>
        <v>989</v>
      </c>
      <c r="BH215" s="301">
        <f t="shared" si="66"/>
        <v>756.00493630110088</v>
      </c>
      <c r="BI215" s="302">
        <f t="shared" si="67"/>
        <v>756.00493630110088</v>
      </c>
      <c r="BJ215" s="302">
        <f t="shared" si="71"/>
        <v>17.995063698899088</v>
      </c>
      <c r="BK215" s="302" t="b">
        <f t="shared" si="68"/>
        <v>0</v>
      </c>
      <c r="BL215" s="304">
        <v>35</v>
      </c>
    </row>
    <row r="216" spans="57:64" ht="20" x14ac:dyDescent="0.3">
      <c r="BE216" s="298">
        <v>36</v>
      </c>
      <c r="BF216" s="299">
        <f t="shared" si="69"/>
        <v>1032</v>
      </c>
      <c r="BG216" s="42">
        <f t="shared" si="70"/>
        <v>1032</v>
      </c>
      <c r="BH216" s="301">
        <f t="shared" si="66"/>
        <v>799.00493630110088</v>
      </c>
      <c r="BI216" s="302">
        <f t="shared" si="67"/>
        <v>799.00493630110088</v>
      </c>
      <c r="BJ216" s="302">
        <f t="shared" si="71"/>
        <v>17.995063698899088</v>
      </c>
      <c r="BK216" s="302" t="b">
        <f t="shared" si="68"/>
        <v>0</v>
      </c>
      <c r="BL216" s="304">
        <v>36</v>
      </c>
    </row>
    <row r="217" spans="57:64" ht="20" x14ac:dyDescent="0.3">
      <c r="BE217" s="308">
        <v>37</v>
      </c>
      <c r="BF217" s="309">
        <f t="shared" si="69"/>
        <v>1075</v>
      </c>
      <c r="BG217" s="42">
        <f t="shared" si="70"/>
        <v>1075</v>
      </c>
      <c r="BH217" s="301">
        <f t="shared" si="66"/>
        <v>842.00493630110088</v>
      </c>
      <c r="BI217" s="302">
        <f t="shared" si="67"/>
        <v>842.00493630110088</v>
      </c>
      <c r="BJ217" s="302">
        <f t="shared" si="71"/>
        <v>17.995063698899088</v>
      </c>
      <c r="BK217" s="302" t="b">
        <f t="shared" si="68"/>
        <v>0</v>
      </c>
      <c r="BL217" s="310">
        <v>37</v>
      </c>
    </row>
    <row r="218" spans="57:64" x14ac:dyDescent="0.2">
      <c r="BF218" s="388"/>
    </row>
    <row r="219" spans="57:64" x14ac:dyDescent="0.2">
      <c r="BF219" s="388"/>
    </row>
    <row r="220" spans="57:64" x14ac:dyDescent="0.2">
      <c r="BF220" s="388"/>
    </row>
    <row r="221" spans="57:64" x14ac:dyDescent="0.2">
      <c r="BF221" s="388"/>
    </row>
    <row r="222" spans="57:64" x14ac:dyDescent="0.2">
      <c r="BF222" s="388"/>
    </row>
    <row r="223" spans="57:64" x14ac:dyDescent="0.2">
      <c r="BF223" s="388"/>
    </row>
  </sheetData>
  <sheetProtection algorithmName="SHA-512" hashValue="c/fLwfDLrUepII2yxx2jBxqVx2bWPiMdCXu2AayroGnlD6NsbeNvNugDpgQeHPocf6EDqapn0EhUQRodiPj99w==" saltValue="GdkSzUW+hzy+1PvKQfUiDA==" spinCount="100000" sheet="1" objects="1" scenarios="1" selectLockedCells="1"/>
  <protectedRanges>
    <protectedRange sqref="B144 B147 D150:D161 B172 D175:D194" name="Range1"/>
  </protectedRanges>
  <mergeCells count="23">
    <mergeCell ref="DW171:DX171"/>
    <mergeCell ref="CB33:CC33"/>
    <mergeCell ref="CQ33:CR33"/>
    <mergeCell ref="BV160:BW160"/>
    <mergeCell ref="CH160:CI160"/>
    <mergeCell ref="BQ25:BR25"/>
    <mergeCell ref="CQ26:DA27"/>
    <mergeCell ref="BQ29:CA30"/>
    <mergeCell ref="DK169:DM169"/>
    <mergeCell ref="DK171:DL171"/>
    <mergeCell ref="DF81:DG81"/>
    <mergeCell ref="CZ30:DA30"/>
    <mergeCell ref="CB30:CC30"/>
    <mergeCell ref="CO27:CP27"/>
    <mergeCell ref="BQ27:BR27"/>
    <mergeCell ref="BQ32:CA33"/>
    <mergeCell ref="CS32:DA33"/>
    <mergeCell ref="BV158:BX158"/>
    <mergeCell ref="B142:B143"/>
    <mergeCell ref="AZ147:BA147"/>
    <mergeCell ref="AZ172:BA172"/>
    <mergeCell ref="W147:AA147"/>
    <mergeCell ref="B126:E126"/>
  </mergeCells>
  <phoneticPr fontId="2" type="noConversion"/>
  <conditionalFormatting sqref="B150:B161">
    <cfRule type="cellIs" dxfId="1507" priority="341" stopIfTrue="1" operator="greaterThan">
      <formula>$B$147</formula>
    </cfRule>
  </conditionalFormatting>
  <conditionalFormatting sqref="B175:B194">
    <cfRule type="cellIs" dxfId="1506" priority="278" stopIfTrue="1" operator="greaterThan">
      <formula>$B$172</formula>
    </cfRule>
  </conditionalFormatting>
  <conditionalFormatting sqref="C134">
    <cfRule type="cellIs" dxfId="1505" priority="36" stopIfTrue="1" operator="between">
      <formula>"OVERLOAD"</formula>
      <formula>"OVERLOAD"</formula>
    </cfRule>
  </conditionalFormatting>
  <conditionalFormatting sqref="D143">
    <cfRule type="cellIs" dxfId="1504" priority="35" stopIfTrue="1" operator="equal">
      <formula>"USE EXBAR AR AT THE FRONT"</formula>
    </cfRule>
  </conditionalFormatting>
  <conditionalFormatting sqref="D144">
    <cfRule type="cellIs" dxfId="1503" priority="34" stopIfTrue="1" operator="equal">
      <formula>"USE EXBAR AR AT THE BACK"</formula>
    </cfRule>
  </conditionalFormatting>
  <conditionalFormatting sqref="D150:D161">
    <cfRule type="cellIs" dxfId="1502" priority="342" stopIfTrue="1" operator="notEqual">
      <formula>0</formula>
    </cfRule>
  </conditionalFormatting>
  <conditionalFormatting sqref="D175:D194">
    <cfRule type="cellIs" dxfId="1501" priority="281" stopIfTrue="1" operator="notEqual">
      <formula>0</formula>
    </cfRule>
  </conditionalFormatting>
  <conditionalFormatting sqref="D141:G142">
    <cfRule type="cellIs" dxfId="1500" priority="343" stopIfTrue="1" operator="equal">
      <formula>"change the angle of frame or of cabinets"</formula>
    </cfRule>
  </conditionalFormatting>
  <conditionalFormatting sqref="D150:G150">
    <cfRule type="expression" dxfId="1499" priority="86" stopIfTrue="1">
      <formula>$B$147&lt;1</formula>
    </cfRule>
  </conditionalFormatting>
  <conditionalFormatting sqref="D176:G176 AB176:AE176 AX176:BA176">
    <cfRule type="expression" dxfId="1498" priority="275" stopIfTrue="1">
      <formula>$B$172&lt;2</formula>
    </cfRule>
  </conditionalFormatting>
  <conditionalFormatting sqref="D177:G177 AB177:AE177 AX177:BA177">
    <cfRule type="expression" dxfId="1497" priority="274" stopIfTrue="1">
      <formula>$B$172&lt;3</formula>
    </cfRule>
  </conditionalFormatting>
  <conditionalFormatting sqref="D178:G178 AB178:AE178 AX178:BA178">
    <cfRule type="expression" dxfId="1496" priority="273" stopIfTrue="1">
      <formula>$B$172&lt;4</formula>
    </cfRule>
  </conditionalFormatting>
  <conditionalFormatting sqref="D179:G179 AB179:AE179 AX179:BA179">
    <cfRule type="expression" dxfId="1495" priority="272" stopIfTrue="1">
      <formula>$B$172&lt;5</formula>
    </cfRule>
  </conditionalFormatting>
  <conditionalFormatting sqref="D180:G180 AB180:AE180 AX180:BA180">
    <cfRule type="expression" dxfId="1494" priority="271">
      <formula>$B$172&lt;6</formula>
    </cfRule>
  </conditionalFormatting>
  <conditionalFormatting sqref="D181:G181 AB181:AE181 AX181:BA181">
    <cfRule type="expression" dxfId="1493" priority="270">
      <formula>$B$172&lt;7</formula>
    </cfRule>
  </conditionalFormatting>
  <conditionalFormatting sqref="D182:G182 AB182:AE182 AX182:BA182">
    <cfRule type="expression" dxfId="1492" priority="269">
      <formula>$B$172&lt;8</formula>
    </cfRule>
  </conditionalFormatting>
  <conditionalFormatting sqref="D183:G183 AB183:AE183 AX183:BA183">
    <cfRule type="expression" dxfId="1491" priority="268">
      <formula>$B$172&lt;9</formula>
    </cfRule>
  </conditionalFormatting>
  <conditionalFormatting sqref="D184:G184 AB184:AE184 AX184:BA184">
    <cfRule type="expression" dxfId="1490" priority="267">
      <formula>$B$172&lt;10</formula>
    </cfRule>
  </conditionalFormatting>
  <conditionalFormatting sqref="D185:G185 AB185:AE185 AX185:BA185">
    <cfRule type="expression" dxfId="1489" priority="266">
      <formula>$B$172&lt;11</formula>
    </cfRule>
  </conditionalFormatting>
  <conditionalFormatting sqref="D186:G186 AB186:AE186 AX186:BA186">
    <cfRule type="expression" dxfId="1488" priority="265">
      <formula>$B$172&lt;12</formula>
    </cfRule>
  </conditionalFormatting>
  <conditionalFormatting sqref="D187:G187 AB187:AE187 AX187:BA187">
    <cfRule type="expression" dxfId="1487" priority="264">
      <formula>$B$172&lt;13</formula>
    </cfRule>
  </conditionalFormatting>
  <conditionalFormatting sqref="D188:G188 AB188:AE188 AX188:BA188">
    <cfRule type="expression" dxfId="1486" priority="263">
      <formula>$B$172&lt;14</formula>
    </cfRule>
  </conditionalFormatting>
  <conditionalFormatting sqref="D189:G189 AB189:AE189 AX189:BA189">
    <cfRule type="expression" dxfId="1485" priority="262">
      <formula>$B$172&lt;15</formula>
    </cfRule>
  </conditionalFormatting>
  <conditionalFormatting sqref="D190:G190 AB190:AE190 AX190:BA190">
    <cfRule type="expression" dxfId="1484" priority="261">
      <formula>$B$172&lt;16</formula>
    </cfRule>
  </conditionalFormatting>
  <conditionalFormatting sqref="D191:G191 AB191:AE191 AX191:BA191">
    <cfRule type="expression" dxfId="1483" priority="260">
      <formula>$B$172&lt;17</formula>
    </cfRule>
  </conditionalFormatting>
  <conditionalFormatting sqref="D192:G192 AB192:AE192 AX192:BA192">
    <cfRule type="expression" dxfId="1482" priority="259">
      <formula>$B$172&lt;18</formula>
    </cfRule>
  </conditionalFormatting>
  <conditionalFormatting sqref="D193:G193 AB193:AE193 AX193:BA193">
    <cfRule type="expression" dxfId="1481" priority="258">
      <formula>$B$172&lt;19</formula>
    </cfRule>
  </conditionalFormatting>
  <conditionalFormatting sqref="D194:G194 AB194:AE194 AX194:BA194">
    <cfRule type="expression" dxfId="1480" priority="257">
      <formula>$B$172&lt;20</formula>
    </cfRule>
  </conditionalFormatting>
  <conditionalFormatting sqref="D151:AB151">
    <cfRule type="expression" dxfId="1479" priority="85" stopIfTrue="1">
      <formula>$B$147&lt;2</formula>
    </cfRule>
  </conditionalFormatting>
  <conditionalFormatting sqref="D152:AB152">
    <cfRule type="expression" dxfId="1478" priority="84" stopIfTrue="1">
      <formula>$B$147&lt;3</formula>
    </cfRule>
  </conditionalFormatting>
  <conditionalFormatting sqref="D153:AB153">
    <cfRule type="expression" dxfId="1477" priority="83" stopIfTrue="1">
      <formula>$B$147&lt;4</formula>
    </cfRule>
  </conditionalFormatting>
  <conditionalFormatting sqref="D154:AB154">
    <cfRule type="expression" dxfId="1476" priority="82" stopIfTrue="1">
      <formula>$B$147&lt;5</formula>
    </cfRule>
  </conditionalFormatting>
  <conditionalFormatting sqref="D155:AB155">
    <cfRule type="expression" dxfId="1475" priority="81" stopIfTrue="1">
      <formula>$B$147&lt;6</formula>
    </cfRule>
  </conditionalFormatting>
  <conditionalFormatting sqref="D156:AB156">
    <cfRule type="expression" dxfId="1474" priority="80" stopIfTrue="1">
      <formula>$B$147&lt;7</formula>
    </cfRule>
  </conditionalFormatting>
  <conditionalFormatting sqref="D157:AB157">
    <cfRule type="expression" dxfId="1473" priority="79" stopIfTrue="1">
      <formula>$B$147&lt;8</formula>
    </cfRule>
  </conditionalFormatting>
  <conditionalFormatting sqref="D158:AB158">
    <cfRule type="expression" dxfId="1472" priority="78" stopIfTrue="1">
      <formula>$B$147&lt;9</formula>
    </cfRule>
  </conditionalFormatting>
  <conditionalFormatting sqref="D159:AB159">
    <cfRule type="expression" dxfId="1471" priority="77" stopIfTrue="1">
      <formula>$B$147&lt;10</formula>
    </cfRule>
  </conditionalFormatting>
  <conditionalFormatting sqref="D160:AB160">
    <cfRule type="expression" dxfId="1470" priority="76" stopIfTrue="1">
      <formula>$B$147&lt;11</formula>
    </cfRule>
  </conditionalFormatting>
  <conditionalFormatting sqref="D161:AB161 AX161:BA161">
    <cfRule type="expression" dxfId="1469" priority="74" stopIfTrue="1">
      <formula>$B$147&lt;12</formula>
    </cfRule>
  </conditionalFormatting>
  <conditionalFormatting sqref="E143:E144 E143:G143">
    <cfRule type="cellIs" dxfId="1468" priority="345" stopIfTrue="1" operator="equal">
      <formula>"USE EXBAR VR AT THE FRONT"</formula>
    </cfRule>
  </conditionalFormatting>
  <conditionalFormatting sqref="E175">
    <cfRule type="expression" dxfId="1467" priority="29" stopIfTrue="1">
      <formula>$B$183&lt;1</formula>
    </cfRule>
  </conditionalFormatting>
  <conditionalFormatting sqref="E144:G144">
    <cfRule type="cellIs" dxfId="1466" priority="344" stopIfTrue="1" operator="equal">
      <formula>"USE EXBAR VR AT THE BACK"</formula>
    </cfRule>
  </conditionalFormatting>
  <conditionalFormatting sqref="K150:O150 R150 T150:Y150 AB150">
    <cfRule type="expression" dxfId="1465" priority="339" stopIfTrue="1">
      <formula>$B$147&lt;1</formula>
    </cfRule>
  </conditionalFormatting>
  <conditionalFormatting sqref="U26 AB26:AE26 U29:U33 AB29:AE33 U60 AB60:AE60 U103:U134 AB103:AE134">
    <cfRule type="cellIs" dxfId="1464" priority="350" stopIfTrue="1" operator="between">
      <formula>"OVERLOAD"</formula>
      <formula>"OVERLOAD"</formula>
    </cfRule>
  </conditionalFormatting>
  <conditionalFormatting sqref="Z150:AA150">
    <cfRule type="expression" dxfId="1463" priority="69" stopIfTrue="1">
      <formula>$B$150&lt;1</formula>
    </cfRule>
  </conditionalFormatting>
  <conditionalFormatting sqref="AC151:AC161">
    <cfRule type="expression" dxfId="1462" priority="65" stopIfTrue="1">
      <formula>$B$150&lt;1</formula>
    </cfRule>
  </conditionalFormatting>
  <conditionalFormatting sqref="AC150:AD150">
    <cfRule type="expression" dxfId="1461" priority="68" stopIfTrue="1">
      <formula>$B$150&lt;1</formula>
    </cfRule>
  </conditionalFormatting>
  <conditionalFormatting sqref="AD150:AE161">
    <cfRule type="expression" dxfId="1460" priority="37" stopIfTrue="1">
      <formula>$B$150&lt;1</formula>
    </cfRule>
  </conditionalFormatting>
  <conditionalFormatting sqref="AX176:AY194 D175 F175:G175 AB175:AE175 AX175:BA175">
    <cfRule type="expression" dxfId="1459" priority="276" stopIfTrue="1">
      <formula>$B$172&lt;1</formula>
    </cfRule>
  </conditionalFormatting>
  <conditionalFormatting sqref="AX151:BA151">
    <cfRule type="expression" dxfId="1458" priority="337" stopIfTrue="1">
      <formula>$B$147&lt;2</formula>
    </cfRule>
  </conditionalFormatting>
  <conditionalFormatting sqref="AX152:BA152">
    <cfRule type="expression" dxfId="1457" priority="336" stopIfTrue="1">
      <formula>$B$147&lt;3</formula>
    </cfRule>
  </conditionalFormatting>
  <conditionalFormatting sqref="AX153:BA153">
    <cfRule type="expression" dxfId="1456" priority="335" stopIfTrue="1">
      <formula>$B$147&lt;4</formula>
    </cfRule>
  </conditionalFormatting>
  <conditionalFormatting sqref="AX154:BA154">
    <cfRule type="expression" dxfId="1455" priority="334" stopIfTrue="1">
      <formula>$B$147&lt;5</formula>
    </cfRule>
  </conditionalFormatting>
  <conditionalFormatting sqref="AX155:BA155">
    <cfRule type="expression" dxfId="1454" priority="333" stopIfTrue="1">
      <formula>$B$147&lt;6</formula>
    </cfRule>
  </conditionalFormatting>
  <conditionalFormatting sqref="AX156:BA156">
    <cfRule type="expression" dxfId="1453" priority="332" stopIfTrue="1">
      <formula>$B$147&lt;7</formula>
    </cfRule>
  </conditionalFormatting>
  <conditionalFormatting sqref="AX157:BA157">
    <cfRule type="expression" dxfId="1452" priority="331" stopIfTrue="1">
      <formula>$B$147&lt;8</formula>
    </cfRule>
  </conditionalFormatting>
  <conditionalFormatting sqref="AX158:BA158">
    <cfRule type="expression" dxfId="1451" priority="330" stopIfTrue="1">
      <formula>$B$147&lt;9</formula>
    </cfRule>
  </conditionalFormatting>
  <conditionalFormatting sqref="AX159:BA159">
    <cfRule type="expression" dxfId="1450" priority="133" stopIfTrue="1">
      <formula>$B$147&lt;10</formula>
    </cfRule>
  </conditionalFormatting>
  <conditionalFormatting sqref="AX160:BA160">
    <cfRule type="expression" dxfId="1449" priority="89" stopIfTrue="1">
      <formula>$B$147&lt;11</formula>
    </cfRule>
  </conditionalFormatting>
  <conditionalFormatting sqref="AZ150:BA161">
    <cfRule type="cellIs" dxfId="1448" priority="338" stopIfTrue="1" operator="lessThan">
      <formula>10</formula>
    </cfRule>
  </conditionalFormatting>
  <conditionalFormatting sqref="AZ175:BA194">
    <cfRule type="cellIs" dxfId="1447" priority="277" stopIfTrue="1" operator="lessThan">
      <formula>10</formula>
    </cfRule>
  </conditionalFormatting>
  <conditionalFormatting sqref="BK181:BK217">
    <cfRule type="cellIs" dxfId="1446" priority="22" stopIfTrue="1" operator="equal">
      <formula>FALSE</formula>
    </cfRule>
  </conditionalFormatting>
  <conditionalFormatting sqref="BN26">
    <cfRule type="cellIs" dxfId="1445" priority="14" stopIfTrue="1" operator="equal">
      <formula>"negative force at the motor"</formula>
    </cfRule>
  </conditionalFormatting>
  <conditionalFormatting sqref="BN26:BN27">
    <cfRule type="cellIs" dxfId="1444" priority="13" operator="equal">
      <formula>"""OK"""</formula>
    </cfRule>
  </conditionalFormatting>
  <conditionalFormatting sqref="BN27">
    <cfRule type="cellIs" dxfId="1443" priority="18" stopIfTrue="1" operator="equal">
      <formula>"overload"</formula>
    </cfRule>
  </conditionalFormatting>
  <conditionalFormatting sqref="BN29">
    <cfRule type="cellIs" dxfId="1442" priority="12" stopIfTrue="1" operator="equal">
      <formula>"negative force at the motor"</formula>
    </cfRule>
  </conditionalFormatting>
  <conditionalFormatting sqref="BN29:BN30">
    <cfRule type="cellIs" dxfId="1441" priority="11" operator="equal">
      <formula>"""OK"""</formula>
    </cfRule>
  </conditionalFormatting>
  <conditionalFormatting sqref="BN32">
    <cfRule type="cellIs" dxfId="1440" priority="10" stopIfTrue="1" operator="equal">
      <formula>"negative force at the motor"</formula>
    </cfRule>
  </conditionalFormatting>
  <conditionalFormatting sqref="BN32:BN33">
    <cfRule type="cellIs" dxfId="1439" priority="9" operator="equal">
      <formula>"""OK"""</formula>
    </cfRule>
  </conditionalFormatting>
  <conditionalFormatting sqref="BN56 BN59 BN102 BN30 BN33">
    <cfRule type="cellIs" dxfId="1438" priority="16" stopIfTrue="1" operator="equal">
      <formula>"overload"</formula>
    </cfRule>
  </conditionalFormatting>
  <conditionalFormatting sqref="BN56 BN102 BN59">
    <cfRule type="cellIs" dxfId="1437" priority="15" operator="equal">
      <formula>"""OK"""</formula>
    </cfRule>
  </conditionalFormatting>
  <conditionalFormatting sqref="BO55 BN56:BO56 BO101 BN102:BO102">
    <cfRule type="expression" dxfId="1436" priority="6">
      <formula>$B$144&lt;&gt;0</formula>
    </cfRule>
  </conditionalFormatting>
  <conditionalFormatting sqref="BQ57:CE57 CG57:DB57 BQ98:DB99 DK119:DX122 DF192:EC193">
    <cfRule type="cellIs" dxfId="1435" priority="346" stopIfTrue="1" operator="equal">
      <formula>FALSE</formula>
    </cfRule>
  </conditionalFormatting>
  <conditionalFormatting sqref="BQ101:CG101 CK101:DA101 CB55:CR55">
    <cfRule type="cellIs" dxfId="1434" priority="7" operator="equal">
      <formula>0</formula>
    </cfRule>
  </conditionalFormatting>
  <conditionalFormatting sqref="BQ101:CG101">
    <cfRule type="expression" dxfId="1433" priority="5">
      <formula>$B$144=0</formula>
    </cfRule>
  </conditionalFormatting>
  <conditionalFormatting sqref="BV104:CI111 BQ185:CN186">
    <cfRule type="cellIs" dxfId="1432" priority="25" stopIfTrue="1" operator="equal">
      <formula>FALSE</formula>
    </cfRule>
  </conditionalFormatting>
  <conditionalFormatting sqref="CB55:CR55">
    <cfRule type="expression" dxfId="1431" priority="8">
      <formula>$B$144=0</formula>
    </cfRule>
  </conditionalFormatting>
  <conditionalFormatting sqref="CF56:CF57">
    <cfRule type="cellIs" dxfId="1430" priority="2" stopIfTrue="1" operator="equal">
      <formula>FALSE</formula>
    </cfRule>
  </conditionalFormatting>
  <conditionalFormatting sqref="CK101:DA101">
    <cfRule type="expression" dxfId="1429" priority="4">
      <formula>$B$144=0</formula>
    </cfRule>
  </conditionalFormatting>
  <conditionalFormatting sqref="DF190:EC190">
    <cfRule type="cellIs" dxfId="1428" priority="33" stopIfTrue="1" operator="equal">
      <formula>0</formula>
    </cfRule>
  </conditionalFormatting>
  <dataValidations count="8">
    <dataValidation type="decimal" allowBlank="1" showInputMessage="1" showErrorMessage="1" sqref="F150:G150 F175:G175" xr:uid="{00000000-0002-0000-0400-000000000000}">
      <formula1>0</formula1>
      <formula2>4</formula2>
    </dataValidation>
    <dataValidation type="decimal" allowBlank="1" showInputMessage="1" showErrorMessage="1" sqref="G151:G161 G176:G194 F152:F161 F177:F194" xr:uid="{00000000-0002-0000-0400-000001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47" xr:uid="{00000000-0002-0000-0400-000002000000}">
      <formula1>1</formula1>
      <formula2>12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72" xr:uid="{00000000-0002-0000-0400-000003000000}">
      <formula1>1</formula1>
      <formula2>20</formula2>
    </dataValidation>
    <dataValidation type="whole" allowBlank="1" showInputMessage="1" showErrorMessage="1" sqref="D175" xr:uid="{00000000-0002-0000-0400-000004000000}">
      <formula1>-2</formula1>
      <formula2>4</formula2>
    </dataValidation>
    <dataValidation type="custom" allowBlank="1" showInputMessage="1" showErrorMessage="1" sqref="D150:D161" xr:uid="{00000000-0002-0000-0400-000005000000}">
      <formula1>OR(D150=0,D150=2.5,D150=5)</formula1>
    </dataValidation>
    <dataValidation type="decimal" allowBlank="1" showInputMessage="1" showErrorMessage="1" sqref="B144" xr:uid="{00000000-0002-0000-0400-000006000000}">
      <formula1>-89.9</formula1>
      <formula2>89.9</formula2>
    </dataValidation>
    <dataValidation type="custom" allowBlank="1" showInputMessage="1" showErrorMessage="1" sqref="D176:D194" xr:uid="{00000000-0002-0000-0400-000007000000}">
      <formula1>OR(D176=0,D176=0.5,D176=1,D176=2,D176=2.5,D176=3,D176=4,D176=5,D176=6,D176=7,D176=8)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ignoredErrors>
    <ignoredError sqref="BN26:BO26 BN35:BO56 BN57:BO58 BN28:BO29 BN27 BN31:BO34 BN30 BN59" unlockedFormula="1"/>
  </ignoredErrors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92D050"/>
  </sheetPr>
  <dimension ref="A1:EM225"/>
  <sheetViews>
    <sheetView topLeftCell="A25" zoomScale="50" zoomScaleNormal="50" workbookViewId="0">
      <selection activeCell="D153" sqref="D153"/>
    </sheetView>
  </sheetViews>
  <sheetFormatPr baseColWidth="10" defaultColWidth="9.1640625" defaultRowHeight="18" x14ac:dyDescent="0.2"/>
  <cols>
    <col min="1" max="1" width="1.5" customWidth="1"/>
    <col min="2" max="2" width="37.33203125" style="35" customWidth="1"/>
    <col min="3" max="3" width="19.83203125" style="35" hidden="1" customWidth="1"/>
    <col min="4" max="4" width="29.1640625" bestFit="1" customWidth="1"/>
    <col min="5" max="5" width="41.5" customWidth="1"/>
    <col min="6" max="6" width="39.1640625" hidden="1" customWidth="1"/>
    <col min="7" max="7" width="43.33203125" hidden="1" customWidth="1"/>
    <col min="8" max="8" width="23.5" style="64" hidden="1" customWidth="1"/>
    <col min="9" max="9" width="11.5" style="64" hidden="1" customWidth="1"/>
    <col min="10" max="12" width="14.83203125" style="64" hidden="1" customWidth="1"/>
    <col min="13" max="13" width="18.5" style="64" hidden="1" customWidth="1"/>
    <col min="14" max="27" width="11.5" style="64" hidden="1" customWidth="1"/>
    <col min="28" max="28" width="29.83203125" style="64" customWidth="1"/>
    <col min="29" max="51" width="11.5" style="64" hidden="1" customWidth="1"/>
    <col min="52" max="53" width="15" style="64" customWidth="1"/>
    <col min="54" max="58" width="7.1640625" hidden="1" customWidth="1"/>
    <col min="59" max="59" width="136" hidden="1" customWidth="1"/>
    <col min="60" max="60" width="17" hidden="1" customWidth="1"/>
    <col min="61" max="62" width="16.33203125" hidden="1" customWidth="1"/>
    <col min="63" max="63" width="9.5" hidden="1" customWidth="1"/>
    <col min="64" max="64" width="40.6640625" hidden="1" customWidth="1"/>
    <col min="65" max="65" width="19.5" style="81" hidden="1" customWidth="1"/>
    <col min="66" max="66" width="24.83203125" customWidth="1"/>
    <col min="67" max="67" width="34.6640625" style="59" bestFit="1" customWidth="1"/>
    <col min="68" max="68" width="56.6640625" bestFit="1" customWidth="1"/>
    <col min="69" max="105" width="7.1640625" customWidth="1"/>
    <col min="106" max="106" width="7.6640625" hidden="1" customWidth="1"/>
    <col min="107" max="107" width="16" hidden="1" customWidth="1"/>
    <col min="108" max="108" width="41" hidden="1" customWidth="1"/>
    <col min="109" max="109" width="41.5" hidden="1" customWidth="1"/>
    <col min="110" max="133" width="6.5" hidden="1" customWidth="1"/>
    <col min="134" max="139" width="6.5" customWidth="1"/>
    <col min="143" max="143" width="11.5" customWidth="1"/>
    <col min="144" max="144" width="9.33203125" customWidth="1"/>
  </cols>
  <sheetData>
    <row r="1" spans="2:15" ht="20" hidden="1" x14ac:dyDescent="0.2">
      <c r="D1" s="36" t="s">
        <v>104</v>
      </c>
      <c r="E1" s="36" t="s">
        <v>105</v>
      </c>
      <c r="F1" s="36" t="s">
        <v>106</v>
      </c>
      <c r="G1" s="990" t="s">
        <v>220</v>
      </c>
      <c r="H1" s="1044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+COS(($B$147*-1)*3.14159265358979/180)*C2</f>
        <v>688</v>
      </c>
      <c r="E2" s="41">
        <f>+COS(($B$147*-1)*3.14159265358979/180)*43</f>
        <v>43</v>
      </c>
      <c r="F2" s="42">
        <f>+COS((($B$147*-1)+72.969997)*3.14159265358979/180)*162.1867</f>
        <v>47.500013702602963</v>
      </c>
      <c r="G2" s="994" t="s">
        <v>212</v>
      </c>
      <c r="H2" s="1045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233.20197478439172</v>
      </c>
      <c r="D3" s="40">
        <f>+C9-F2</f>
        <v>233.20196108178877</v>
      </c>
      <c r="G3" s="994" t="s">
        <v>213</v>
      </c>
      <c r="H3" s="1046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+COS(($B$147*-1)*3.14159265358979/180)*C4</f>
        <v>1075</v>
      </c>
      <c r="G4" s="996" t="s">
        <v>233</v>
      </c>
      <c r="H4" s="1047">
        <v>860</v>
      </c>
      <c r="I4" s="984">
        <v>1</v>
      </c>
      <c r="J4" s="1721" t="s">
        <v>228</v>
      </c>
      <c r="K4" s="1727"/>
      <c r="L4" s="1727"/>
      <c r="M4" s="1727"/>
      <c r="N4"/>
      <c r="O4" s="995"/>
    </row>
    <row r="5" spans="2:15" ht="38" hidden="1" x14ac:dyDescent="0.2">
      <c r="B5" s="44" t="s">
        <v>115</v>
      </c>
      <c r="C5" s="45">
        <f>+C9+425.5</f>
        <v>706.20197478439172</v>
      </c>
      <c r="D5" s="40">
        <f>+(COS(($B$147*-1)*3.14159265358979/180)*473)+$D$3</f>
        <v>706.2019610817888</v>
      </c>
      <c r="G5" s="996" t="s">
        <v>214</v>
      </c>
      <c r="H5" s="1047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0" hidden="1" x14ac:dyDescent="0.2">
      <c r="B6" s="187"/>
      <c r="C6" s="187"/>
      <c r="G6" s="996" t="s">
        <v>259</v>
      </c>
      <c r="H6" s="1047">
        <v>602</v>
      </c>
      <c r="I6"/>
      <c r="J6" s="963">
        <f>+H9/H8*BQ27</f>
        <v>229.99274910769188</v>
      </c>
      <c r="K6" s="963">
        <f>((H8-H9)/H8)*BQ27</f>
        <v>-158.12001501153816</v>
      </c>
      <c r="L6" s="963">
        <f>+CO27</f>
        <v>137.62726590384628</v>
      </c>
      <c r="M6" s="961" t="s">
        <v>223</v>
      </c>
      <c r="N6"/>
      <c r="O6" s="995"/>
    </row>
    <row r="7" spans="2:15" ht="20" hidden="1" x14ac:dyDescent="0.2">
      <c r="B7" s="393" t="s">
        <v>18</v>
      </c>
      <c r="C7" s="394">
        <f>+C11+C14+4.5+0.5+30</f>
        <v>209.5</v>
      </c>
      <c r="G7" s="997" t="s">
        <v>230</v>
      </c>
      <c r="H7" s="1048">
        <f>(+SIN(($B$147*-1)*3.14159265358979/180)*H2)</f>
        <v>0</v>
      </c>
      <c r="I7"/>
      <c r="J7" s="965">
        <f>ABS($H$1/J6)</f>
        <v>78.263336865336015</v>
      </c>
      <c r="K7" s="965">
        <f>ABS($H$1/K6)</f>
        <v>113.83758089503422</v>
      </c>
      <c r="L7" s="965">
        <f>ABS($H$1/L6)</f>
        <v>130.78803739787838</v>
      </c>
      <c r="M7" s="967" t="s">
        <v>222</v>
      </c>
      <c r="N7"/>
      <c r="O7" s="995"/>
    </row>
    <row r="8" spans="2:15" ht="30" hidden="1" customHeight="1" x14ac:dyDescent="0.2">
      <c r="B8" s="393" t="s">
        <v>19</v>
      </c>
      <c r="C8" s="393">
        <f>+AR153</f>
        <v>746.99500648721551</v>
      </c>
      <c r="G8" s="997" t="s">
        <v>229</v>
      </c>
      <c r="H8" s="1048">
        <f>(+COS(($B$147*-1)*3.14159265358979/180)*H3)</f>
        <v>215</v>
      </c>
      <c r="I8"/>
      <c r="J8" s="1733">
        <f>ABS($E$20/BQ27)</f>
        <v>111.30785687514457</v>
      </c>
      <c r="K8" s="1733"/>
      <c r="L8" s="1733">
        <f>ABS($E$20/CO27)</f>
        <v>58.128016621279279</v>
      </c>
      <c r="M8" s="1734" t="s">
        <v>350</v>
      </c>
      <c r="N8"/>
      <c r="O8" s="995"/>
    </row>
    <row r="9" spans="2:15" ht="21" hidden="1" thickBot="1" x14ac:dyDescent="0.25">
      <c r="B9" s="393" t="s">
        <v>14</v>
      </c>
      <c r="C9" s="393">
        <f>+AO149</f>
        <v>280.70197478439172</v>
      </c>
      <c r="G9" s="994" t="s">
        <v>227</v>
      </c>
      <c r="H9" s="1048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398" t="s">
        <v>149</v>
      </c>
      <c r="C11" s="396">
        <f>+B150*72+31</f>
        <v>103</v>
      </c>
      <c r="G11" s="994" t="s">
        <v>226</v>
      </c>
      <c r="H11" s="1048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0" hidden="1" x14ac:dyDescent="0.2">
      <c r="B12" s="398" t="s">
        <v>150</v>
      </c>
      <c r="C12" s="396">
        <v>747</v>
      </c>
      <c r="D12" s="397"/>
      <c r="G12" s="998"/>
      <c r="H12" s="37"/>
      <c r="I12"/>
      <c r="J12" s="963">
        <f>(CB30)</f>
        <v>164.05273409615373</v>
      </c>
      <c r="K12" s="963">
        <f>((+H8-H11)/H8*CZ30)</f>
        <v>-99.983984988461813</v>
      </c>
      <c r="L12" s="963">
        <f>(H11/H8*CZ30)</f>
        <v>145.43125089230807</v>
      </c>
      <c r="M12" s="961" t="s">
        <v>223</v>
      </c>
      <c r="N12"/>
      <c r="O12" s="995"/>
    </row>
    <row r="13" spans="2:15" ht="20" hidden="1" x14ac:dyDescent="0.2">
      <c r="D13" s="397"/>
      <c r="G13" s="998"/>
      <c r="H13"/>
      <c r="I13"/>
      <c r="J13" s="965">
        <f>ABS($H$1/J12)</f>
        <v>109.72081690177706</v>
      </c>
      <c r="K13" s="965">
        <f>ABS($H$1/K12)</f>
        <v>180.02883163815892</v>
      </c>
      <c r="L13" s="965">
        <f>ABS($H$1/L12)</f>
        <v>123.76982175123428</v>
      </c>
      <c r="M13" s="967" t="s">
        <v>222</v>
      </c>
      <c r="N13"/>
      <c r="O13" s="995"/>
    </row>
    <row r="14" spans="2:15" ht="20" hidden="1" x14ac:dyDescent="0.2">
      <c r="B14" s="398" t="s">
        <v>132</v>
      </c>
      <c r="C14" s="396">
        <f>(+B174*40.5)+31</f>
        <v>71.5</v>
      </c>
      <c r="D14" s="397"/>
      <c r="G14" s="998"/>
      <c r="H14"/>
      <c r="I14"/>
      <c r="J14" s="1733">
        <f>ABS($E$20/CB30)</f>
        <v>48.764807511900912</v>
      </c>
      <c r="K14" s="1733"/>
      <c r="L14" s="1733">
        <f>ABS($E$20/CZ30)</f>
        <v>176.02819093508873</v>
      </c>
      <c r="M14" s="1734" t="s">
        <v>350</v>
      </c>
      <c r="N14"/>
      <c r="O14" s="995"/>
    </row>
    <row r="15" spans="2:15" ht="19" hidden="1" thickBot="1" x14ac:dyDescent="0.25">
      <c r="B15" s="398" t="s">
        <v>133</v>
      </c>
      <c r="C15" s="396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1" hidden="1" thickBot="1" x14ac:dyDescent="0.25">
      <c r="B16" s="399"/>
      <c r="C16" s="399"/>
      <c r="D16" s="397"/>
      <c r="G16" s="994" t="s">
        <v>231</v>
      </c>
      <c r="H16" s="1048">
        <f>+D2+H7-BL107</f>
        <v>-18.201961081788795</v>
      </c>
      <c r="I16" s="984" t="s">
        <v>251</v>
      </c>
      <c r="J16" s="1721" t="s">
        <v>232</v>
      </c>
      <c r="K16" s="1727"/>
      <c r="L16" s="1727"/>
      <c r="M16" s="1727"/>
      <c r="N16"/>
      <c r="O16" s="995"/>
    </row>
    <row r="17" spans="2:108" ht="20" hidden="1" x14ac:dyDescent="0.2">
      <c r="B17" s="399"/>
      <c r="C17" s="399"/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08" ht="20" hidden="1" x14ac:dyDescent="0.2">
      <c r="B18" s="48" t="s">
        <v>74</v>
      </c>
      <c r="C18" s="204">
        <v>5800</v>
      </c>
      <c r="D18" s="204">
        <v>10000</v>
      </c>
      <c r="G18" s="998"/>
      <c r="H18"/>
      <c r="I18"/>
      <c r="J18" s="963">
        <f>+H16/H8*BQ25</f>
        <v>-17.736329519231408</v>
      </c>
      <c r="K18" s="963">
        <f>((H8-H16)/H8)*BQ25</f>
        <v>227.23632951923142</v>
      </c>
      <c r="L18" s="963"/>
      <c r="M18" s="961" t="s">
        <v>223</v>
      </c>
      <c r="N18"/>
      <c r="O18" s="995"/>
    </row>
    <row r="19" spans="2:108" ht="20" hidden="1" x14ac:dyDescent="0.2">
      <c r="B19" s="48" t="s">
        <v>75</v>
      </c>
      <c r="C19" s="204">
        <v>5800</v>
      </c>
      <c r="D19" s="204">
        <v>5800</v>
      </c>
      <c r="G19" s="998"/>
      <c r="H19"/>
      <c r="I19"/>
      <c r="J19" s="965">
        <f>ABS($H$1/J18)</f>
        <v>1014.8661243851326</v>
      </c>
      <c r="K19" s="965">
        <f>ABS($H$1/K18)</f>
        <v>79.212685920789909</v>
      </c>
      <c r="L19" s="965"/>
      <c r="M19" s="967" t="s">
        <v>222</v>
      </c>
      <c r="N19"/>
      <c r="O19" s="995"/>
    </row>
    <row r="20" spans="2:108" ht="20" hidden="1" x14ac:dyDescent="0.2">
      <c r="B20" s="48" t="s">
        <v>86</v>
      </c>
      <c r="C20" s="204">
        <v>8000</v>
      </c>
      <c r="D20" s="204">
        <v>8000</v>
      </c>
      <c r="E20" s="49">
        <v>8000</v>
      </c>
      <c r="G20" s="998"/>
      <c r="H20"/>
      <c r="I20"/>
      <c r="J20" s="1733">
        <f>ABS($E$20/BQ25)</f>
        <v>38.186157517899758</v>
      </c>
      <c r="K20" s="1733"/>
      <c r="L20" s="1733"/>
      <c r="M20" s="1734" t="s">
        <v>350</v>
      </c>
      <c r="N20" s="1742"/>
      <c r="O20" s="995"/>
    </row>
    <row r="21" spans="2:108" ht="19" hidden="1" thickBot="1" x14ac:dyDescent="0.25">
      <c r="B21" s="204"/>
      <c r="C21" s="204" t="s">
        <v>20</v>
      </c>
      <c r="D21" s="204" t="s">
        <v>21</v>
      </c>
      <c r="G21" s="998"/>
      <c r="H21"/>
      <c r="I21"/>
      <c r="J21" s="59"/>
      <c r="K21" s="59"/>
      <c r="L21" s="59"/>
      <c r="M21" s="59"/>
      <c r="N21"/>
      <c r="O21" s="995"/>
    </row>
    <row r="22" spans="2:108" ht="21" hidden="1" thickBot="1" x14ac:dyDescent="0.25">
      <c r="B22" s="400" t="s">
        <v>64</v>
      </c>
      <c r="C22" s="204">
        <f>+((C8-C9)/C8)*C7</f>
        <v>130.77515819165447</v>
      </c>
      <c r="D22" s="204">
        <f>+(C9/C8)*C7</f>
        <v>78.724841808345502</v>
      </c>
      <c r="G22" s="994" t="s">
        <v>219</v>
      </c>
      <c r="H22" s="1048">
        <f>(+COS(($B$147*-1)*3.14159265358979/180)*(H4))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</row>
    <row r="23" spans="2:108" ht="20" hidden="1" x14ac:dyDescent="0.2">
      <c r="G23" s="994" t="s">
        <v>234</v>
      </c>
      <c r="H23" s="1094">
        <f>+BL107-H22+H7</f>
        <v>-153.7980389182112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08" ht="20" hidden="1" x14ac:dyDescent="0.2">
      <c r="E24" s="397"/>
      <c r="F24" s="397"/>
      <c r="G24" s="998"/>
      <c r="H24"/>
      <c r="I24"/>
      <c r="J24" s="963"/>
      <c r="K24" s="963">
        <f>((+H8-H23)/H8*BQ25)</f>
        <v>359.36367048076858</v>
      </c>
      <c r="L24" s="963">
        <f>(H23/H8*BQ25)</f>
        <v>-149.86367048076858</v>
      </c>
      <c r="M24" s="961" t="s">
        <v>223</v>
      </c>
      <c r="N24"/>
      <c r="O24" s="995"/>
    </row>
    <row r="25" spans="2:108" ht="29.25" customHeight="1" thickBot="1" x14ac:dyDescent="0.25">
      <c r="E25" s="397"/>
      <c r="F25" s="397"/>
      <c r="G25" s="998"/>
      <c r="H25"/>
      <c r="I25"/>
      <c r="J25" s="965"/>
      <c r="K25" s="965">
        <f>ABS($H$1/K24)</f>
        <v>50.088535593815052</v>
      </c>
      <c r="L25" s="965">
        <f>ABS($H$1/L24)</f>
        <v>120.10916282949222</v>
      </c>
      <c r="M25" s="967" t="s">
        <v>222</v>
      </c>
      <c r="N25"/>
      <c r="O25" s="995"/>
      <c r="BE25" s="74"/>
      <c r="BF25" s="74"/>
      <c r="BG25" s="74"/>
      <c r="BH25" s="74"/>
      <c r="BN25" s="86"/>
      <c r="BO25" s="64"/>
      <c r="BP25" s="75" t="s">
        <v>25</v>
      </c>
      <c r="BQ25" s="1814">
        <f>+C7</f>
        <v>209.5</v>
      </c>
      <c r="BR25" s="1814"/>
      <c r="BS25" s="76" t="s">
        <v>17</v>
      </c>
      <c r="BT25" s="76"/>
      <c r="BU25" s="77" t="s">
        <v>151</v>
      </c>
      <c r="BV25" s="78"/>
      <c r="BW25" s="78"/>
      <c r="BX25" s="78"/>
      <c r="BY25" s="78"/>
      <c r="BZ25" s="78"/>
      <c r="CA25" s="78"/>
      <c r="CB25" s="78"/>
      <c r="CC25" s="78"/>
      <c r="CD25" s="78"/>
      <c r="CE25" s="78"/>
      <c r="CF25" s="78"/>
      <c r="CG25" s="78"/>
      <c r="CH25" s="78"/>
      <c r="CI25" s="78"/>
      <c r="CJ25" s="78"/>
      <c r="CK25" s="78"/>
      <c r="CL25" s="78"/>
      <c r="CM25" s="78"/>
      <c r="CN25" s="78"/>
      <c r="CO25" s="78"/>
      <c r="CP25" s="78"/>
      <c r="CQ25" s="78"/>
      <c r="CR25" s="78"/>
      <c r="CS25" s="78"/>
      <c r="CT25" s="78"/>
      <c r="CU25" s="78"/>
      <c r="CV25" s="78"/>
      <c r="CW25" s="78"/>
      <c r="CX25" s="78"/>
      <c r="CY25" s="78"/>
      <c r="CZ25" s="78"/>
      <c r="DA25" s="78"/>
      <c r="DB25" s="78"/>
      <c r="DC25" s="78"/>
      <c r="DD25" s="78"/>
    </row>
    <row r="26" spans="2:108" ht="42" customHeight="1" thickBot="1" x14ac:dyDescent="0.3">
      <c r="E26" s="397"/>
      <c r="F26" s="397"/>
      <c r="G26" s="998"/>
      <c r="H26"/>
      <c r="I26"/>
      <c r="J26" s="1733"/>
      <c r="K26" s="1733"/>
      <c r="L26" s="1733">
        <f>ABS($E$20/BQ25)</f>
        <v>38.186157517899758</v>
      </c>
      <c r="M26" s="1734" t="s">
        <v>350</v>
      </c>
      <c r="N26"/>
      <c r="O26" s="995"/>
      <c r="U26" s="114"/>
      <c r="AB26" s="114"/>
      <c r="AC26" s="114"/>
      <c r="AD26" s="114"/>
      <c r="AE26" s="114"/>
      <c r="BE26" s="85"/>
      <c r="BF26" s="85"/>
      <c r="BG26" s="85"/>
      <c r="BH26" s="85"/>
      <c r="BM26" s="81" t="b">
        <f>AND(BQ27&gt;0,CO27&gt;0)</f>
        <v>1</v>
      </c>
      <c r="BN26" s="952" t="str">
        <f>IF(BM26=TRUE,"","negative force at the motor")</f>
        <v/>
      </c>
      <c r="BO26" s="1095" t="s">
        <v>128</v>
      </c>
      <c r="BP26" s="740" t="s">
        <v>27</v>
      </c>
      <c r="BQ26" s="776" t="s">
        <v>28</v>
      </c>
      <c r="BR26" s="777"/>
      <c r="BS26" s="777"/>
      <c r="BT26" s="777"/>
      <c r="BU26" s="777"/>
      <c r="BV26" s="777"/>
      <c r="BW26" s="777"/>
      <c r="BX26" s="777"/>
      <c r="BY26" s="777"/>
      <c r="BZ26" s="777"/>
      <c r="CA26" s="777"/>
      <c r="CB26" s="777"/>
      <c r="CC26" s="777"/>
      <c r="CD26" s="777"/>
      <c r="CE26" s="777"/>
      <c r="CF26" s="777"/>
      <c r="CG26" s="777"/>
      <c r="CH26" s="777"/>
      <c r="CI26" s="884"/>
      <c r="CJ26" s="777"/>
      <c r="CK26" s="885"/>
      <c r="CL26" s="885"/>
      <c r="CM26" s="885"/>
      <c r="CN26" s="885"/>
      <c r="CO26" s="777"/>
      <c r="CP26" s="782" t="s">
        <v>29</v>
      </c>
      <c r="CQ26" s="1801"/>
      <c r="CR26" s="1801"/>
      <c r="CS26" s="1801"/>
      <c r="CT26" s="1801"/>
      <c r="CU26" s="1801"/>
      <c r="CV26" s="1801"/>
      <c r="CW26" s="1801"/>
      <c r="CX26" s="1801"/>
      <c r="CY26" s="1801"/>
      <c r="CZ26" s="1801"/>
      <c r="DA26" s="1802"/>
      <c r="DB26" s="78"/>
      <c r="DC26" s="78"/>
      <c r="DD26" s="78"/>
    </row>
    <row r="27" spans="2:108" ht="42" customHeight="1" thickBot="1" x14ac:dyDescent="0.3">
      <c r="E27" s="397"/>
      <c r="F27" s="397"/>
      <c r="G27" s="998"/>
      <c r="H27"/>
      <c r="I27"/>
      <c r="J27" s="59"/>
      <c r="K27" s="59"/>
      <c r="L27" s="59"/>
      <c r="M27" s="59"/>
      <c r="N27"/>
      <c r="O27" s="995"/>
      <c r="BE27" s="85"/>
      <c r="BF27" s="85"/>
      <c r="BG27" s="85"/>
      <c r="BH27" s="85"/>
      <c r="BL27" s="968">
        <v>1</v>
      </c>
      <c r="BM27" s="1762" t="b">
        <f>AND(BO27&gt;=10,$BA$153&gt;=10,$AZ$153&gt;=10,$AZ$177&gt;=10,$BA$177&gt;=10)</f>
        <v>1</v>
      </c>
      <c r="BN27" s="84" t="str">
        <f>IF(BM27=TRUE,"O K","OVERLOAD")</f>
        <v>O K</v>
      </c>
      <c r="BO27" s="982">
        <f>+MIN(J7:L8)</f>
        <v>58.128016621279279</v>
      </c>
      <c r="BP27" s="741" t="s">
        <v>180</v>
      </c>
      <c r="BQ27" s="1809">
        <f>+((D4-D5)/D4)*C7</f>
        <v>71.872734096153707</v>
      </c>
      <c r="BR27" s="1810"/>
      <c r="BS27" s="783"/>
      <c r="BT27" s="783"/>
      <c r="BU27" s="783"/>
      <c r="BV27" s="784"/>
      <c r="BW27" s="784"/>
      <c r="BX27" s="784"/>
      <c r="BY27" s="886"/>
      <c r="BZ27" s="886"/>
      <c r="CA27" s="886"/>
      <c r="CB27" s="886"/>
      <c r="CC27" s="886"/>
      <c r="CD27" s="886"/>
      <c r="CE27" s="886"/>
      <c r="CF27" s="886"/>
      <c r="CG27" s="886"/>
      <c r="CH27" s="886"/>
      <c r="CI27" s="887"/>
      <c r="CJ27" s="783"/>
      <c r="CK27" s="783"/>
      <c r="CL27" s="783"/>
      <c r="CM27" s="784"/>
      <c r="CN27" s="784"/>
      <c r="CO27" s="1799">
        <f>+(D5/D4)*C7</f>
        <v>137.62726590384628</v>
      </c>
      <c r="CP27" s="1800"/>
      <c r="CQ27" s="1803"/>
      <c r="CR27" s="1803"/>
      <c r="CS27" s="1803"/>
      <c r="CT27" s="1803"/>
      <c r="CU27" s="1803"/>
      <c r="CV27" s="1803"/>
      <c r="CW27" s="1803"/>
      <c r="CX27" s="1803"/>
      <c r="CY27" s="1803"/>
      <c r="CZ27" s="1803"/>
      <c r="DA27" s="1804"/>
      <c r="DB27" s="78"/>
      <c r="DC27" s="78"/>
      <c r="DD27" s="78"/>
    </row>
    <row r="28" spans="2:108" ht="16" customHeight="1" thickBot="1" x14ac:dyDescent="0.3">
      <c r="E28" s="397"/>
      <c r="F28" s="397"/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  <c r="T28" s="401"/>
      <c r="BE28" s="85"/>
      <c r="BF28" s="85"/>
      <c r="BG28" s="85"/>
      <c r="BH28" s="85"/>
      <c r="BN28" s="86"/>
      <c r="BO28" s="85"/>
      <c r="BP28" s="87"/>
      <c r="BQ28" s="88"/>
      <c r="BR28" s="88"/>
      <c r="BS28" s="87"/>
      <c r="BT28" s="87"/>
      <c r="BU28" s="87"/>
      <c r="BV28" s="87"/>
      <c r="BW28" s="87"/>
      <c r="BX28" s="87"/>
      <c r="BY28" s="87"/>
      <c r="BZ28" s="87"/>
      <c r="CA28" s="87"/>
      <c r="CB28" s="87"/>
      <c r="CC28" s="87"/>
      <c r="CD28" s="87"/>
      <c r="CE28" s="87"/>
      <c r="CF28" s="87"/>
      <c r="CG28" s="87"/>
      <c r="CH28" s="87"/>
      <c r="CJ28" s="76"/>
      <c r="CK28" s="76"/>
      <c r="CL28" s="88"/>
      <c r="CM28" s="89"/>
      <c r="CN28" s="89"/>
      <c r="CO28" s="89"/>
      <c r="CP28" s="89"/>
      <c r="CQ28" s="89"/>
      <c r="CR28" s="89"/>
      <c r="CS28" s="89"/>
      <c r="CT28" s="89"/>
      <c r="CU28" s="89"/>
      <c r="CV28" s="89"/>
      <c r="CW28" s="89"/>
      <c r="CX28" s="89"/>
      <c r="CY28" s="89"/>
      <c r="CZ28" s="89"/>
      <c r="DA28" s="89"/>
      <c r="DB28" s="89"/>
      <c r="DC28" s="78"/>
      <c r="DD28" s="78"/>
    </row>
    <row r="29" spans="2:108" ht="42" customHeight="1" thickBot="1" x14ac:dyDescent="0.3">
      <c r="E29" s="397"/>
      <c r="F29" s="397"/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  <c r="U29" s="114"/>
      <c r="AB29" s="114"/>
      <c r="AC29" s="114"/>
      <c r="AD29" s="114"/>
      <c r="AE29" s="114"/>
      <c r="BE29" s="85"/>
      <c r="BF29" s="85"/>
      <c r="BG29" s="85"/>
      <c r="BH29" s="85"/>
      <c r="BM29" s="81" t="b">
        <f>AND(CB30&gt;0,CZ30&gt;0)</f>
        <v>1</v>
      </c>
      <c r="BN29" s="952" t="str">
        <f>IF(BM29=TRUE,"","negative force at the motor")</f>
        <v/>
      </c>
      <c r="BO29" s="1095" t="s">
        <v>128</v>
      </c>
      <c r="BP29" s="742" t="s">
        <v>27</v>
      </c>
      <c r="BQ29" s="1833"/>
      <c r="BR29" s="1834"/>
      <c r="BS29" s="1834"/>
      <c r="BT29" s="1834"/>
      <c r="BU29" s="1834"/>
      <c r="BV29" s="1834"/>
      <c r="BW29" s="1834"/>
      <c r="BX29" s="1834"/>
      <c r="BY29" s="1834"/>
      <c r="BZ29" s="1834"/>
      <c r="CA29" s="1834"/>
      <c r="CB29" s="772" t="s">
        <v>28</v>
      </c>
      <c r="CC29" s="774"/>
      <c r="CD29" s="774"/>
      <c r="CE29" s="774"/>
      <c r="CF29" s="774"/>
      <c r="CG29" s="774"/>
      <c r="CH29" s="774"/>
      <c r="CI29" s="774"/>
      <c r="CJ29" s="774"/>
      <c r="CK29" s="774"/>
      <c r="CL29" s="774"/>
      <c r="CM29" s="774"/>
      <c r="CN29" s="888"/>
      <c r="CO29" s="765"/>
      <c r="CP29" s="765"/>
      <c r="CQ29" s="765"/>
      <c r="CR29" s="765"/>
      <c r="CS29" s="889"/>
      <c r="CT29" s="889"/>
      <c r="CU29" s="888"/>
      <c r="CV29" s="888"/>
      <c r="CW29" s="888"/>
      <c r="CX29" s="888"/>
      <c r="CY29" s="888"/>
      <c r="CZ29" s="765"/>
      <c r="DA29" s="766" t="s">
        <v>29</v>
      </c>
      <c r="DB29" s="90"/>
      <c r="DC29" s="78"/>
      <c r="DD29" s="78"/>
    </row>
    <row r="30" spans="2:108" ht="42" customHeight="1" thickBot="1" x14ac:dyDescent="0.3">
      <c r="E30" s="397"/>
      <c r="F30" s="397"/>
      <c r="G30" s="1000"/>
      <c r="H30" s="63"/>
      <c r="I30"/>
      <c r="J30" s="963"/>
      <c r="K30" s="963">
        <f>((+H8-H23)/H8*BQ25)</f>
        <v>359.36367048076858</v>
      </c>
      <c r="L30" s="963">
        <f>(H23/H8*BQ25)</f>
        <v>-149.86367048076858</v>
      </c>
      <c r="M30" s="961" t="s">
        <v>223</v>
      </c>
      <c r="N30"/>
      <c r="O30" s="995"/>
      <c r="U30" s="114"/>
      <c r="AB30" s="114"/>
      <c r="AC30" s="114"/>
      <c r="AD30" s="114"/>
      <c r="AE30" s="114"/>
      <c r="BL30" s="968">
        <v>2</v>
      </c>
      <c r="BM30" s="1762" t="b">
        <f>AND(BO30&gt;=10,$BA$153&gt;=10,$AZ$153&gt;=10,$AZ$177&gt;=10,$BA$177&gt;=10)</f>
        <v>1</v>
      </c>
      <c r="BN30" s="84" t="str">
        <f>IF(BM30=TRUE,"O K","OVERLOAD")</f>
        <v>O K</v>
      </c>
      <c r="BO30" s="982">
        <f>+MIN(J13:L14)</f>
        <v>48.764807511900912</v>
      </c>
      <c r="BP30" s="743" t="s">
        <v>126</v>
      </c>
      <c r="BQ30" s="1835"/>
      <c r="BR30" s="1836"/>
      <c r="BS30" s="1836"/>
      <c r="BT30" s="1836"/>
      <c r="BU30" s="1836"/>
      <c r="BV30" s="1836"/>
      <c r="BW30" s="1836"/>
      <c r="BX30" s="1836"/>
      <c r="BY30" s="1836"/>
      <c r="BZ30" s="1836"/>
      <c r="CA30" s="1836"/>
      <c r="CB30" s="1840">
        <f>+((D4-D3)/D4)*C7</f>
        <v>164.05273409615373</v>
      </c>
      <c r="CC30" s="1841"/>
      <c r="CD30" s="890"/>
      <c r="CE30" s="890"/>
      <c r="CF30" s="890"/>
      <c r="CG30" s="890"/>
      <c r="CH30" s="890"/>
      <c r="CI30" s="890"/>
      <c r="CJ30" s="890"/>
      <c r="CK30" s="890"/>
      <c r="CL30" s="890"/>
      <c r="CM30" s="890"/>
      <c r="CN30" s="891"/>
      <c r="CO30" s="892"/>
      <c r="CP30" s="892"/>
      <c r="CQ30" s="892"/>
      <c r="CR30" s="892"/>
      <c r="CS30" s="893"/>
      <c r="CT30" s="893"/>
      <c r="CU30" s="883"/>
      <c r="CV30" s="883"/>
      <c r="CW30" s="883"/>
      <c r="CX30" s="883"/>
      <c r="CY30" s="883"/>
      <c r="CZ30" s="1797">
        <f>+(D3/D4)*C7</f>
        <v>45.447265903846272</v>
      </c>
      <c r="DA30" s="1798"/>
      <c r="DB30" s="92"/>
      <c r="DC30" s="78"/>
      <c r="DD30" s="78"/>
    </row>
    <row r="31" spans="2:108" ht="15" customHeight="1" thickBot="1" x14ac:dyDescent="0.3">
      <c r="E31" s="397"/>
      <c r="F31" s="397"/>
      <c r="G31" s="1000"/>
      <c r="H31" s="63"/>
      <c r="I31"/>
      <c r="J31" s="965"/>
      <c r="K31" s="965">
        <f>ABS($H$1/K30)</f>
        <v>50.088535593815052</v>
      </c>
      <c r="L31" s="965">
        <f>ABS($H$1/L30)</f>
        <v>120.10916282949222</v>
      </c>
      <c r="M31" s="967" t="s">
        <v>222</v>
      </c>
      <c r="N31"/>
      <c r="O31" s="995"/>
      <c r="U31" s="114"/>
      <c r="AB31" s="114"/>
      <c r="AC31" s="114"/>
      <c r="AD31" s="114"/>
      <c r="AE31" s="114"/>
      <c r="BN31" s="86"/>
      <c r="BO31" s="18"/>
      <c r="BP31" s="93"/>
      <c r="BQ31" s="93"/>
      <c r="BR31" s="93"/>
      <c r="BS31" s="93"/>
      <c r="BT31" s="93"/>
      <c r="BU31" s="93"/>
      <c r="BV31" s="93"/>
      <c r="BW31" s="93"/>
      <c r="BX31" s="93"/>
      <c r="BY31" s="94"/>
      <c r="BZ31" s="94"/>
      <c r="CA31" s="89"/>
      <c r="CB31" s="89"/>
      <c r="CC31" s="89"/>
      <c r="CD31" s="89"/>
      <c r="CE31" s="89"/>
      <c r="CF31" s="89"/>
      <c r="CG31" s="89"/>
      <c r="CH31" s="89"/>
      <c r="CI31" s="89"/>
      <c r="CJ31" s="89"/>
      <c r="CK31" s="89"/>
      <c r="CL31" s="89"/>
      <c r="CM31" s="89"/>
      <c r="CN31" s="37"/>
      <c r="CO31" s="95"/>
      <c r="CP31" s="95"/>
      <c r="CQ31" s="95"/>
      <c r="CR31" s="95"/>
      <c r="CS31" s="92"/>
      <c r="CT31" s="92"/>
      <c r="CU31" s="92"/>
      <c r="CV31" s="92"/>
      <c r="CW31" s="92"/>
      <c r="CX31" s="92"/>
      <c r="CY31" s="92"/>
      <c r="CZ31" s="92"/>
      <c r="DA31" s="92"/>
      <c r="DB31" s="92"/>
      <c r="DC31" s="78"/>
      <c r="DD31" s="78"/>
    </row>
    <row r="32" spans="2:108" ht="42" customHeight="1" thickBot="1" x14ac:dyDescent="0.25">
      <c r="G32" s="1000"/>
      <c r="H32" s="63"/>
      <c r="I32"/>
      <c r="J32" s="1733"/>
      <c r="K32" s="1733"/>
      <c r="L32" s="1733">
        <f>ABS($E$20/BQ25)*2</f>
        <v>76.372315035799517</v>
      </c>
      <c r="M32" s="1734" t="s">
        <v>350</v>
      </c>
      <c r="N32" s="1730" t="s">
        <v>352</v>
      </c>
      <c r="O32" s="995"/>
      <c r="BM32" s="81" t="b">
        <f>AND(CB33&gt;0,CQ33&gt;0)</f>
        <v>1</v>
      </c>
      <c r="BN32" s="952" t="str">
        <f>IF(BM32=TRUE,"","negative force at the motor")</f>
        <v/>
      </c>
      <c r="BO32" s="1095" t="s">
        <v>128</v>
      </c>
      <c r="BP32" s="744" t="s">
        <v>27</v>
      </c>
      <c r="BQ32" s="1822"/>
      <c r="BR32" s="1823"/>
      <c r="BS32" s="1823"/>
      <c r="BT32" s="1823"/>
      <c r="BU32" s="1823"/>
      <c r="BV32" s="1823"/>
      <c r="BW32" s="1823"/>
      <c r="BX32" s="1823"/>
      <c r="BY32" s="1823"/>
      <c r="BZ32" s="1823"/>
      <c r="CA32" s="1823"/>
      <c r="CB32" s="894" t="s">
        <v>28</v>
      </c>
      <c r="CC32" s="895"/>
      <c r="CD32" s="895"/>
      <c r="CE32" s="895"/>
      <c r="CF32" s="895"/>
      <c r="CG32" s="895"/>
      <c r="CH32" s="895"/>
      <c r="CI32" s="896"/>
      <c r="CJ32" s="895"/>
      <c r="CK32" s="897"/>
      <c r="CL32" s="897"/>
      <c r="CM32" s="895"/>
      <c r="CN32" s="895"/>
      <c r="CO32" s="895"/>
      <c r="CP32" s="895"/>
      <c r="CQ32" s="895"/>
      <c r="CR32" s="898" t="s">
        <v>29</v>
      </c>
      <c r="CS32" s="1801"/>
      <c r="CT32" s="1801"/>
      <c r="CU32" s="1801"/>
      <c r="CV32" s="1801"/>
      <c r="CW32" s="1801"/>
      <c r="CX32" s="1801"/>
      <c r="CY32" s="1801"/>
      <c r="CZ32" s="1801"/>
      <c r="DA32" s="1802"/>
      <c r="DB32" s="89"/>
      <c r="DC32" s="78"/>
      <c r="DD32" s="78"/>
    </row>
    <row r="33" spans="7:141" ht="42" customHeight="1" thickBot="1" x14ac:dyDescent="0.3">
      <c r="G33" s="1000"/>
      <c r="H33" s="63"/>
      <c r="I33"/>
      <c r="J33" s="59"/>
      <c r="K33" s="59"/>
      <c r="L33" s="59"/>
      <c r="M33" s="59"/>
      <c r="N33"/>
      <c r="O33" s="995"/>
      <c r="BL33" s="968">
        <v>3</v>
      </c>
      <c r="BM33" s="1762" t="b">
        <f>AND(BO33&gt;=10,$BA$153&gt;=10,$AZ$153&gt;=10,$AZ$177&gt;=10,$BA$177&gt;=10)</f>
        <v>1</v>
      </c>
      <c r="BN33" s="84" t="str">
        <f>IF(BM33=TRUE,"O K","OVERLOAD")</f>
        <v>O K</v>
      </c>
      <c r="BO33" s="983">
        <f>+$E$20/(MAX(CB33,CQ33))</f>
        <v>57.766468023490496</v>
      </c>
      <c r="BP33" s="745" t="s">
        <v>123</v>
      </c>
      <c r="BQ33" s="1824"/>
      <c r="BR33" s="1825"/>
      <c r="BS33" s="1825"/>
      <c r="BT33" s="1825"/>
      <c r="BU33" s="1825"/>
      <c r="BV33" s="1825"/>
      <c r="BW33" s="1825"/>
      <c r="BX33" s="1825"/>
      <c r="BY33" s="1825"/>
      <c r="BZ33" s="1825"/>
      <c r="CA33" s="1825"/>
      <c r="CB33" s="1807">
        <f>+((D2-D3)/D2)*C7</f>
        <v>138.4886470252402</v>
      </c>
      <c r="CC33" s="1808"/>
      <c r="CD33" s="899"/>
      <c r="CE33" s="899"/>
      <c r="CF33" s="899"/>
      <c r="CG33" s="899"/>
      <c r="CH33" s="899"/>
      <c r="CI33" s="900"/>
      <c r="CJ33" s="899"/>
      <c r="CK33" s="901"/>
      <c r="CL33" s="901"/>
      <c r="CM33" s="902"/>
      <c r="CN33" s="902"/>
      <c r="CO33" s="902"/>
      <c r="CP33" s="902"/>
      <c r="CQ33" s="1852">
        <f>+(D3/D2)*C7</f>
        <v>71.011352974759802</v>
      </c>
      <c r="CR33" s="1853"/>
      <c r="CS33" s="1803"/>
      <c r="CT33" s="1803"/>
      <c r="CU33" s="1803"/>
      <c r="CV33" s="1803"/>
      <c r="CW33" s="1803"/>
      <c r="CX33" s="1803"/>
      <c r="CY33" s="1803"/>
      <c r="CZ33" s="1803"/>
      <c r="DA33" s="1804"/>
      <c r="DB33" s="89"/>
      <c r="DC33" s="78"/>
      <c r="DD33" s="78"/>
    </row>
    <row r="34" spans="7:141" ht="14.25" customHeight="1" thickBot="1" x14ac:dyDescent="0.3"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  <c r="BN34" s="86"/>
      <c r="BO34" s="18"/>
      <c r="BP34" s="93"/>
      <c r="BQ34" s="93"/>
      <c r="BR34" s="93"/>
      <c r="BS34" s="93"/>
      <c r="BT34" s="93"/>
      <c r="BU34" s="93"/>
      <c r="BV34" s="93"/>
      <c r="BW34" s="93"/>
      <c r="BX34" s="93"/>
      <c r="BY34" s="94"/>
      <c r="BZ34" s="94"/>
      <c r="CA34" s="89"/>
      <c r="CB34" s="89"/>
      <c r="CC34" s="89"/>
      <c r="CD34" s="89"/>
      <c r="CE34" s="89"/>
      <c r="CF34" s="89"/>
      <c r="CG34" s="89"/>
      <c r="CH34" s="89"/>
      <c r="CI34" s="89"/>
      <c r="CJ34" s="89"/>
      <c r="CK34" s="93"/>
      <c r="CL34" s="89"/>
      <c r="CM34" s="89"/>
      <c r="CN34" s="37"/>
      <c r="CO34" s="95"/>
      <c r="CP34" s="95"/>
      <c r="CQ34" s="95"/>
      <c r="CR34" s="95"/>
      <c r="CS34" s="92"/>
      <c r="CT34" s="92"/>
      <c r="CU34" s="92"/>
      <c r="CV34" s="92"/>
      <c r="CW34" s="92"/>
      <c r="CX34" s="92"/>
      <c r="CY34" s="92"/>
      <c r="CZ34" s="92"/>
      <c r="DA34" s="92"/>
      <c r="DB34" s="92"/>
      <c r="DC34" s="78"/>
      <c r="DD34" s="78"/>
    </row>
    <row r="35" spans="7:141" ht="20" hidden="1" x14ac:dyDescent="0.2"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  <c r="BN35" s="86"/>
      <c r="EJ35" s="78"/>
      <c r="EK35" s="78"/>
    </row>
    <row r="36" spans="7:141" ht="20" hidden="1" x14ac:dyDescent="0.2">
      <c r="G36" s="1000"/>
      <c r="H36" s="63"/>
      <c r="I36"/>
      <c r="J36" s="963">
        <f>+H16/H8*BQ25</f>
        <v>-17.736329519231408</v>
      </c>
      <c r="K36" s="963">
        <f>((H8-H16)/H8)*BQ25</f>
        <v>227.23632951923142</v>
      </c>
      <c r="L36" s="963"/>
      <c r="M36" s="961" t="s">
        <v>223</v>
      </c>
      <c r="N36"/>
      <c r="O36" s="995"/>
      <c r="BN36" s="86"/>
      <c r="EJ36" s="78"/>
      <c r="EK36" s="78"/>
    </row>
    <row r="37" spans="7:141" ht="23" hidden="1" x14ac:dyDescent="0.25">
      <c r="G37" s="1000"/>
      <c r="H37" s="63"/>
      <c r="I37"/>
      <c r="J37" s="965">
        <f>ABS($H$1/J36)</f>
        <v>1014.8661243851326</v>
      </c>
      <c r="K37" s="965">
        <f>ABS($H$1/K36)</f>
        <v>79.212685920789909</v>
      </c>
      <c r="L37" s="965"/>
      <c r="M37" s="967" t="s">
        <v>222</v>
      </c>
      <c r="N37"/>
      <c r="O37" s="995"/>
      <c r="BN37" s="86"/>
      <c r="BO37" s="17"/>
      <c r="BP37" s="177"/>
      <c r="BQ37" s="178"/>
      <c r="BR37" s="178"/>
      <c r="BS37" s="178"/>
      <c r="BT37" s="178"/>
      <c r="BU37" s="178"/>
      <c r="BV37" s="178"/>
      <c r="BW37" s="178"/>
      <c r="BX37" s="178"/>
      <c r="BY37" s="179"/>
      <c r="BZ37" s="179"/>
      <c r="CA37" s="180"/>
      <c r="CB37" s="180"/>
      <c r="CC37" s="180"/>
      <c r="CD37" s="180"/>
      <c r="CE37" s="180"/>
      <c r="CF37" s="180"/>
      <c r="CG37" s="180"/>
      <c r="CH37" s="180"/>
      <c r="CI37" s="37"/>
      <c r="CJ37" s="89"/>
      <c r="CK37" s="181"/>
      <c r="CL37" s="181"/>
      <c r="CM37" s="89"/>
      <c r="CN37" s="89"/>
      <c r="CO37" s="89"/>
      <c r="CP37" s="89"/>
      <c r="CQ37" s="89"/>
      <c r="CR37" s="89"/>
      <c r="CS37" s="89"/>
      <c r="CT37" s="89"/>
      <c r="CU37" s="89"/>
      <c r="CV37" s="89"/>
      <c r="CW37" s="178"/>
      <c r="CX37" s="178"/>
      <c r="CY37" s="178"/>
      <c r="CZ37" s="178"/>
      <c r="DA37" s="178"/>
      <c r="DB37" s="178"/>
      <c r="DC37" s="178"/>
      <c r="DD37" s="178"/>
      <c r="EJ37" s="78"/>
      <c r="EK37" s="78"/>
    </row>
    <row r="38" spans="7:141" ht="24" hidden="1" thickBot="1" x14ac:dyDescent="0.3">
      <c r="G38" s="1000"/>
      <c r="H38" s="63"/>
      <c r="I38"/>
      <c r="J38" s="1733">
        <f>ABS($E$20/BQ25)*2</f>
        <v>76.372315035799517</v>
      </c>
      <c r="K38" s="1733"/>
      <c r="L38" s="1733"/>
      <c r="M38" s="1734" t="s">
        <v>350</v>
      </c>
      <c r="N38" s="1730" t="s">
        <v>352</v>
      </c>
      <c r="O38" s="995"/>
      <c r="BN38" s="86"/>
      <c r="BO38" s="17"/>
      <c r="BP38" s="177"/>
      <c r="BQ38" s="178"/>
      <c r="BR38" s="178"/>
      <c r="BS38" s="178"/>
      <c r="BT38" s="178"/>
      <c r="BU38" s="178"/>
      <c r="BV38" s="178"/>
      <c r="BW38" s="178"/>
      <c r="BX38" s="178"/>
      <c r="BY38" s="179"/>
      <c r="BZ38" s="179"/>
      <c r="CA38" s="180"/>
      <c r="CB38" s="180"/>
      <c r="CC38" s="180"/>
      <c r="CD38" s="180"/>
      <c r="CE38" s="180"/>
      <c r="CF38" s="180"/>
      <c r="CG38" s="180"/>
      <c r="CH38" s="180"/>
      <c r="CI38" s="37"/>
      <c r="CJ38" s="89"/>
      <c r="CK38" s="181"/>
      <c r="CL38" s="181"/>
      <c r="CM38" s="89"/>
      <c r="CN38" s="89"/>
      <c r="CO38" s="89"/>
      <c r="CP38" s="89"/>
      <c r="CQ38" s="89"/>
      <c r="CR38" s="89"/>
      <c r="CS38" s="89"/>
      <c r="CT38" s="89"/>
      <c r="CU38" s="89"/>
      <c r="CV38" s="89"/>
      <c r="CW38" s="178"/>
      <c r="CX38" s="178"/>
      <c r="CY38" s="178"/>
      <c r="CZ38" s="178"/>
      <c r="DA38" s="178"/>
      <c r="DB38" s="178"/>
      <c r="DC38" s="178"/>
      <c r="DD38" s="178"/>
      <c r="EJ38" s="78"/>
      <c r="EK38" s="78"/>
    </row>
    <row r="39" spans="7:141" ht="24" hidden="1" thickBot="1" x14ac:dyDescent="0.3">
      <c r="G39" s="998"/>
      <c r="H39"/>
      <c r="I39"/>
      <c r="J39" s="59"/>
      <c r="K39" s="59"/>
      <c r="L39" s="59"/>
      <c r="M39" s="59"/>
      <c r="N39"/>
      <c r="O39" s="995"/>
      <c r="BN39" s="86"/>
      <c r="BO39" s="17"/>
      <c r="BP39" s="177"/>
      <c r="BQ39" s="178"/>
      <c r="BR39" s="178"/>
      <c r="BS39" s="178"/>
      <c r="BT39" s="178"/>
      <c r="BU39" s="178"/>
      <c r="BV39" s="178"/>
      <c r="BW39" s="178"/>
      <c r="BX39" s="178"/>
      <c r="BY39" s="179"/>
      <c r="BZ39" s="179"/>
      <c r="CA39" s="182">
        <v>16</v>
      </c>
      <c r="CB39" s="180"/>
      <c r="CC39" s="180"/>
      <c r="CD39" s="180"/>
      <c r="CE39" s="180"/>
      <c r="CF39" s="180"/>
      <c r="CG39" s="180"/>
      <c r="CH39" s="180"/>
      <c r="CI39" s="37"/>
      <c r="CJ39" s="89"/>
      <c r="CK39" s="181"/>
      <c r="CL39" s="181"/>
      <c r="CM39" s="89"/>
      <c r="CN39" s="89"/>
      <c r="CO39" s="89"/>
      <c r="CP39" s="117" t="b">
        <f>IF(CQ57=27,15)</f>
        <v>0</v>
      </c>
      <c r="CQ39" s="183"/>
      <c r="CR39" s="103" t="b">
        <f>IF(CQ57=27,17)</f>
        <v>0</v>
      </c>
      <c r="CS39" s="89"/>
      <c r="CT39" s="89"/>
      <c r="CU39" s="89"/>
      <c r="CV39" s="89"/>
      <c r="CW39" s="178"/>
      <c r="CX39" s="178"/>
      <c r="CY39" s="178"/>
      <c r="CZ39" s="178"/>
      <c r="DA39" s="178"/>
      <c r="DB39" s="178"/>
      <c r="DC39" s="178"/>
      <c r="DD39" s="178"/>
      <c r="EJ39" s="78"/>
      <c r="EK39" s="78"/>
    </row>
    <row r="40" spans="7:141" ht="24" hidden="1" thickBot="1" x14ac:dyDescent="0.3">
      <c r="G40" s="998"/>
      <c r="H40"/>
      <c r="I40" s="984">
        <v>62</v>
      </c>
      <c r="J40" s="1721" t="s">
        <v>256</v>
      </c>
      <c r="K40" s="1727"/>
      <c r="L40" s="1727"/>
      <c r="M40" s="1727"/>
      <c r="N40"/>
      <c r="O40" s="995"/>
      <c r="BN40" s="86"/>
      <c r="BO40" s="17"/>
      <c r="BP40" s="177"/>
      <c r="BQ40" s="178"/>
      <c r="BR40" s="178"/>
      <c r="BS40" s="178"/>
      <c r="BT40" s="178"/>
      <c r="BU40" s="178"/>
      <c r="BV40" s="178"/>
      <c r="BW40" s="178"/>
      <c r="BX40" s="178"/>
      <c r="BY40" s="179"/>
      <c r="BZ40" s="179"/>
      <c r="CA40" s="182">
        <v>15</v>
      </c>
      <c r="CB40" s="180"/>
      <c r="CC40" s="180"/>
      <c r="CD40" s="180"/>
      <c r="CE40" s="180"/>
      <c r="CF40" s="180"/>
      <c r="CG40" s="180"/>
      <c r="CH40" s="180"/>
      <c r="CI40" s="37"/>
      <c r="CJ40" s="89"/>
      <c r="CK40" s="181"/>
      <c r="CL40" s="181"/>
      <c r="CM40" s="89"/>
      <c r="CN40" s="117" t="b">
        <f>IF(CP57=26,13)</f>
        <v>0</v>
      </c>
      <c r="CO40" s="183"/>
      <c r="CP40" s="183"/>
      <c r="CQ40" s="183"/>
      <c r="CR40" s="103" t="b">
        <f>IF(CP57=26,17)</f>
        <v>0</v>
      </c>
      <c r="CS40" s="89"/>
      <c r="CT40" s="89"/>
      <c r="CU40" s="89"/>
      <c r="CV40" s="89"/>
      <c r="CW40" s="178"/>
      <c r="CX40" s="178"/>
      <c r="CY40" s="178"/>
      <c r="CZ40" s="178"/>
      <c r="DA40" s="178"/>
      <c r="DB40" s="178"/>
      <c r="DC40" s="178"/>
      <c r="DD40" s="178"/>
      <c r="EJ40" s="78"/>
      <c r="EK40" s="78"/>
    </row>
    <row r="41" spans="7:141" ht="24" hidden="1" thickBot="1" x14ac:dyDescent="0.3"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  <c r="BN41" s="86"/>
      <c r="BO41" s="17"/>
      <c r="BP41" s="177"/>
      <c r="BQ41" s="178"/>
      <c r="BR41" s="178"/>
      <c r="BS41" s="178"/>
      <c r="BT41" s="178"/>
      <c r="BU41" s="178"/>
      <c r="BV41" s="178"/>
      <c r="BW41" s="178"/>
      <c r="BX41" s="178"/>
      <c r="BY41" s="179"/>
      <c r="BZ41" s="179"/>
      <c r="CA41" s="182">
        <v>14</v>
      </c>
      <c r="CB41" s="180"/>
      <c r="CC41" s="180"/>
      <c r="CD41" s="180"/>
      <c r="CE41" s="180"/>
      <c r="CF41" s="180"/>
      <c r="CG41" s="180"/>
      <c r="CH41" s="180"/>
      <c r="CI41" s="37"/>
      <c r="CJ41" s="89"/>
      <c r="CK41" s="181"/>
      <c r="CL41" s="117" t="b">
        <f>IF(CO57=25,11)</f>
        <v>0</v>
      </c>
      <c r="CM41" s="183"/>
      <c r="CN41" s="184"/>
      <c r="CO41" s="184"/>
      <c r="CP41" s="184"/>
      <c r="CQ41" s="184"/>
      <c r="CR41" s="124" t="b">
        <f>IF(CO57=25,17)</f>
        <v>0</v>
      </c>
      <c r="CS41" s="89"/>
      <c r="CT41" s="89"/>
      <c r="CU41" s="89"/>
      <c r="CV41" s="89"/>
      <c r="CW41" s="178"/>
      <c r="CX41" s="178"/>
      <c r="CY41" s="178"/>
      <c r="CZ41" s="178"/>
      <c r="DA41" s="178"/>
      <c r="DB41" s="178"/>
      <c r="DC41" s="178"/>
      <c r="DD41" s="178"/>
      <c r="EJ41" s="78"/>
      <c r="EK41" s="78"/>
    </row>
    <row r="42" spans="7:141" ht="24" hidden="1" thickBot="1" x14ac:dyDescent="0.3">
      <c r="G42" s="1002" t="s">
        <v>245</v>
      </c>
      <c r="H42" s="1049">
        <f>SUM(BQ98:CA98)</f>
        <v>8</v>
      </c>
      <c r="I42"/>
      <c r="J42" s="963">
        <f>+H43/H8*BQ25/2</f>
        <v>188.55</v>
      </c>
      <c r="K42" s="963">
        <f>((H8-H43)/H8)*BQ25/2</f>
        <v>-83.800000000000011</v>
      </c>
      <c r="L42" s="963">
        <f>+BQ25/2</f>
        <v>104.75</v>
      </c>
      <c r="M42" s="961" t="s">
        <v>223</v>
      </c>
      <c r="N42"/>
      <c r="O42" s="995"/>
      <c r="BN42" s="86"/>
      <c r="BO42" s="1091"/>
      <c r="BP42" s="177"/>
      <c r="BQ42" s="178"/>
      <c r="BR42" s="178"/>
      <c r="BS42" s="178"/>
      <c r="BT42" s="178"/>
      <c r="BU42" s="178"/>
      <c r="BV42" s="178"/>
      <c r="BW42" s="178"/>
      <c r="BX42" s="178"/>
      <c r="CA42" s="182">
        <v>13</v>
      </c>
      <c r="CB42" s="178"/>
      <c r="CC42" s="177"/>
      <c r="CD42" s="177"/>
      <c r="CE42" s="177"/>
      <c r="CF42" s="177"/>
      <c r="CG42" s="177"/>
      <c r="CH42" s="177"/>
      <c r="CI42" s="177"/>
      <c r="CJ42" s="117" t="b">
        <f>IF(CN57=24,9)</f>
        <v>0</v>
      </c>
      <c r="CK42" s="185"/>
      <c r="CL42" s="186"/>
      <c r="CM42" s="122"/>
      <c r="CN42" s="186"/>
      <c r="CO42" s="122"/>
      <c r="CP42" s="122"/>
      <c r="CQ42" s="121"/>
      <c r="CR42" s="124" t="b">
        <f>IF(CN57=24,17)</f>
        <v>0</v>
      </c>
      <c r="CS42" s="78"/>
      <c r="CT42" s="78"/>
      <c r="CU42" s="78"/>
      <c r="CV42" s="78"/>
      <c r="CW42" s="78"/>
      <c r="CX42" s="78"/>
      <c r="CY42" s="78"/>
      <c r="CZ42" s="78"/>
      <c r="DA42" s="78"/>
      <c r="DB42" s="78"/>
      <c r="DC42" s="78"/>
      <c r="DD42" s="78"/>
      <c r="EJ42" s="78"/>
      <c r="EK42" s="78"/>
    </row>
    <row r="43" spans="7:141" ht="21" hidden="1" thickBot="1" x14ac:dyDescent="0.25">
      <c r="G43" s="994" t="s">
        <v>243</v>
      </c>
      <c r="H43" s="1048">
        <f>$H$5-((H42-1)*$E$2)</f>
        <v>387</v>
      </c>
      <c r="I43"/>
      <c r="J43" s="965">
        <f>ABS($H$1/J42)</f>
        <v>95.465393794749403</v>
      </c>
      <c r="K43" s="965">
        <f>ABS($H$1/K42)</f>
        <v>214.79713603818612</v>
      </c>
      <c r="L43" s="965">
        <f>ABS($H$1/L42)</f>
        <v>171.83770883054893</v>
      </c>
      <c r="M43" s="967" t="s">
        <v>222</v>
      </c>
      <c r="N43"/>
      <c r="O43" s="995"/>
      <c r="BN43" s="86"/>
      <c r="BO43" s="1091"/>
      <c r="BP43" s="177"/>
      <c r="BQ43" s="177"/>
      <c r="BR43" s="178"/>
      <c r="BS43" s="177"/>
      <c r="BT43" s="177"/>
      <c r="BU43" s="177"/>
      <c r="CA43" s="182">
        <v>12</v>
      </c>
      <c r="CB43" s="178"/>
      <c r="CC43" s="177"/>
      <c r="CD43" s="177"/>
      <c r="CE43" s="177"/>
      <c r="CF43" s="177"/>
      <c r="CG43" s="177"/>
      <c r="CH43" s="117" t="b">
        <f>IF(CM57=23,7)</f>
        <v>0</v>
      </c>
      <c r="CI43" s="185"/>
      <c r="CJ43" s="185"/>
      <c r="CK43" s="118"/>
      <c r="CL43" s="185"/>
      <c r="CM43" s="185"/>
      <c r="CN43" s="185"/>
      <c r="CO43" s="118"/>
      <c r="CP43" s="118"/>
      <c r="CQ43" s="111"/>
      <c r="CR43" s="103" t="b">
        <f>IF(CM57=23,17)</f>
        <v>0</v>
      </c>
      <c r="CS43" s="78"/>
      <c r="CT43" s="78"/>
      <c r="CU43" s="78"/>
      <c r="CV43" s="78"/>
      <c r="CW43" s="78"/>
      <c r="CX43" s="78"/>
      <c r="CY43" s="78"/>
      <c r="CZ43" s="78"/>
      <c r="DA43" s="78"/>
      <c r="DB43" s="78"/>
      <c r="DC43" s="78"/>
      <c r="DD43" s="78"/>
      <c r="EJ43" s="78"/>
      <c r="EK43" s="78"/>
    </row>
    <row r="44" spans="7:141" ht="21" hidden="1" thickBot="1" x14ac:dyDescent="0.25">
      <c r="G44" s="1000"/>
      <c r="H44" s="63"/>
      <c r="I44"/>
      <c r="J44" s="1733"/>
      <c r="K44" s="1733"/>
      <c r="L44" s="1733">
        <f>ABS($E$20/BQ25)*2</f>
        <v>76.372315035799517</v>
      </c>
      <c r="M44" s="1734" t="s">
        <v>350</v>
      </c>
      <c r="N44" s="1730" t="s">
        <v>352</v>
      </c>
      <c r="O44" s="995"/>
      <c r="BN44" s="86"/>
      <c r="BO44" s="1091"/>
      <c r="BP44" s="177"/>
      <c r="BQ44" s="177"/>
      <c r="BR44" s="178"/>
      <c r="BS44" s="177"/>
      <c r="BT44" s="177"/>
      <c r="BU44" s="177"/>
      <c r="CA44" s="182">
        <v>11</v>
      </c>
      <c r="CB44" s="178"/>
      <c r="CC44" s="177"/>
      <c r="CD44" s="177"/>
      <c r="CE44" s="177"/>
      <c r="CF44" s="117" t="b">
        <f>IF(CL57=22,5)</f>
        <v>0</v>
      </c>
      <c r="CG44" s="185"/>
      <c r="CH44" s="185"/>
      <c r="CI44" s="118"/>
      <c r="CJ44" s="185"/>
      <c r="CK44" s="118"/>
      <c r="CL44" s="185"/>
      <c r="CM44" s="118"/>
      <c r="CN44" s="185"/>
      <c r="CO44" s="118"/>
      <c r="CP44" s="118"/>
      <c r="CQ44" s="111"/>
      <c r="CR44" s="103" t="b">
        <f>IF(CL57=22,17)</f>
        <v>0</v>
      </c>
      <c r="CS44" s="78"/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EJ44" s="78"/>
      <c r="EK44" s="78"/>
    </row>
    <row r="45" spans="7:141" ht="21" hidden="1" thickBot="1" x14ac:dyDescent="0.25">
      <c r="G45" s="998"/>
      <c r="H45"/>
      <c r="I45"/>
      <c r="J45" s="59"/>
      <c r="K45" s="59"/>
      <c r="L45" s="59"/>
      <c r="M45" s="59"/>
      <c r="N45"/>
      <c r="O45" s="995"/>
      <c r="BN45" s="86"/>
      <c r="BO45" s="1091"/>
      <c r="BP45" s="177"/>
      <c r="BQ45" s="177"/>
      <c r="BR45" s="178"/>
      <c r="BS45" s="177"/>
      <c r="BT45" s="177"/>
      <c r="BU45" s="177"/>
      <c r="CA45" s="182">
        <v>10</v>
      </c>
      <c r="CB45" s="178"/>
      <c r="CC45" s="177"/>
      <c r="CD45" s="117" t="b">
        <f>IF(CK57=21,3)</f>
        <v>0</v>
      </c>
      <c r="CE45" s="185"/>
      <c r="CF45" s="185"/>
      <c r="CG45" s="118"/>
      <c r="CH45" s="118"/>
      <c r="CI45" s="118"/>
      <c r="CJ45" s="185"/>
      <c r="CK45" s="185"/>
      <c r="CL45" s="185"/>
      <c r="CM45" s="118"/>
      <c r="CN45" s="185"/>
      <c r="CO45" s="118"/>
      <c r="CP45" s="118"/>
      <c r="CQ45" s="111"/>
      <c r="CR45" s="103" t="b">
        <f>IF(CK57=21,17)</f>
        <v>0</v>
      </c>
      <c r="CS45" s="78"/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EJ45" s="78"/>
      <c r="EK45" s="78"/>
    </row>
    <row r="46" spans="7:141" ht="21" hidden="1" thickBot="1" x14ac:dyDescent="0.25"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  <c r="BN46" s="86"/>
      <c r="BO46" s="1091"/>
      <c r="BP46" s="177"/>
      <c r="BQ46" s="177"/>
      <c r="BR46" s="178"/>
      <c r="BS46" s="177"/>
      <c r="BT46" s="177"/>
      <c r="BU46" s="177"/>
      <c r="CA46" s="182">
        <v>9</v>
      </c>
      <c r="CB46" s="117" t="b">
        <f>IF(CJ57=20,1)</f>
        <v>0</v>
      </c>
      <c r="CC46" s="185"/>
      <c r="CD46" s="185"/>
      <c r="CE46" s="118"/>
      <c r="CF46" s="185"/>
      <c r="CG46" s="185"/>
      <c r="CH46" s="185"/>
      <c r="CI46" s="185"/>
      <c r="CJ46" s="185"/>
      <c r="CK46" s="185"/>
      <c r="CL46" s="185"/>
      <c r="CM46" s="185"/>
      <c r="CN46" s="185"/>
      <c r="CO46" s="118"/>
      <c r="CP46" s="118"/>
      <c r="CQ46" s="111"/>
      <c r="CR46" s="103" t="b">
        <f>IF(CJ57=20,17)</f>
        <v>0</v>
      </c>
      <c r="CS46" s="78"/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EJ46" s="78"/>
      <c r="EK46" s="78"/>
    </row>
    <row r="47" spans="7:141" ht="24" hidden="1" thickBot="1" x14ac:dyDescent="0.3">
      <c r="G47" s="1002" t="s">
        <v>245</v>
      </c>
      <c r="H47" s="1050">
        <f>SUM(CQ98:DA98)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  <c r="BN47" s="86"/>
      <c r="BO47" s="1091"/>
      <c r="BP47" s="177"/>
      <c r="BQ47" s="177"/>
      <c r="BR47" s="178"/>
      <c r="BS47" s="177"/>
      <c r="BT47" s="177"/>
      <c r="BU47" s="177"/>
      <c r="CA47" s="182">
        <v>8</v>
      </c>
      <c r="CB47" s="120" t="b">
        <f>IF(CI57=19,1)</f>
        <v>0</v>
      </c>
      <c r="CC47" s="122"/>
      <c r="CD47" s="186"/>
      <c r="CE47" s="186"/>
      <c r="CF47" s="186"/>
      <c r="CG47" s="186"/>
      <c r="CH47" s="186"/>
      <c r="CI47" s="186"/>
      <c r="CJ47" s="186"/>
      <c r="CK47" s="186"/>
      <c r="CL47" s="186"/>
      <c r="CM47" s="186"/>
      <c r="CN47" s="186"/>
      <c r="CO47" s="122"/>
      <c r="CP47" s="124" t="b">
        <f>IF(CI57=19,15)</f>
        <v>0</v>
      </c>
      <c r="CQ47" s="78"/>
      <c r="CR47" s="78"/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EJ47" s="78"/>
      <c r="EK47" s="78"/>
    </row>
    <row r="48" spans="7:141" ht="21" hidden="1" thickBot="1" x14ac:dyDescent="0.25">
      <c r="G48" s="994" t="s">
        <v>243</v>
      </c>
      <c r="H48" s="1048">
        <f>($E$2*(H47-1))-$H$4</f>
        <v>-903</v>
      </c>
      <c r="I48"/>
      <c r="J48" s="963">
        <f>+BQ25/2</f>
        <v>104.75</v>
      </c>
      <c r="K48" s="963">
        <f>((H8-H48)/H8)*BQ25/2</f>
        <v>544.70000000000005</v>
      </c>
      <c r="L48" s="963">
        <f>+H48/H8*BQ25/2</f>
        <v>-439.95000000000005</v>
      </c>
      <c r="M48" s="961" t="s">
        <v>223</v>
      </c>
      <c r="N48"/>
      <c r="O48" s="995"/>
      <c r="BN48" s="86"/>
      <c r="BO48" s="1091"/>
      <c r="BP48" s="177"/>
      <c r="BQ48" s="177"/>
      <c r="BR48" s="178"/>
      <c r="BS48" s="177"/>
      <c r="BT48" s="177"/>
      <c r="BU48" s="177"/>
      <c r="CA48" s="182">
        <v>7</v>
      </c>
      <c r="CB48" s="120" t="b">
        <f>IF(CH57=18,1)</f>
        <v>0</v>
      </c>
      <c r="CC48" s="186"/>
      <c r="CD48" s="186"/>
      <c r="CE48" s="186"/>
      <c r="CF48" s="186"/>
      <c r="CG48" s="186"/>
      <c r="CH48" s="186"/>
      <c r="CI48" s="186"/>
      <c r="CJ48" s="186"/>
      <c r="CK48" s="186"/>
      <c r="CL48" s="186"/>
      <c r="CM48" s="186"/>
      <c r="CN48" s="124" t="b">
        <f>IF(CH57=18,13)</f>
        <v>0</v>
      </c>
      <c r="CO48" s="178"/>
      <c r="CQ48" s="78"/>
      <c r="CR48" s="78"/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EJ48" s="78"/>
      <c r="EK48" s="78"/>
    </row>
    <row r="49" spans="7:141" ht="21" hidden="1" thickBot="1" x14ac:dyDescent="0.25">
      <c r="G49" s="998"/>
      <c r="H49"/>
      <c r="I49"/>
      <c r="J49" s="965">
        <f>ABS($H$1/J48)</f>
        <v>171.83770883054893</v>
      </c>
      <c r="K49" s="965">
        <f>ABS($H$1/K48)</f>
        <v>33.045713236644019</v>
      </c>
      <c r="L49" s="965">
        <f>ABS($H$1/L48)</f>
        <v>40.913740197749739</v>
      </c>
      <c r="M49" s="967" t="s">
        <v>222</v>
      </c>
      <c r="N49" s="74"/>
      <c r="O49" s="1010"/>
      <c r="BN49" s="86"/>
      <c r="BO49" s="1091"/>
      <c r="BP49" s="177"/>
      <c r="BQ49" s="177"/>
      <c r="BR49" s="178"/>
      <c r="BS49" s="177"/>
      <c r="BT49" s="177"/>
      <c r="BU49" s="177"/>
      <c r="CA49" s="182">
        <v>6</v>
      </c>
      <c r="CB49" s="120">
        <f>IF(CG57=17,1)</f>
        <v>1</v>
      </c>
      <c r="CC49" s="186"/>
      <c r="CD49" s="186"/>
      <c r="CE49" s="186"/>
      <c r="CF49" s="186"/>
      <c r="CG49" s="186"/>
      <c r="CH49" s="186"/>
      <c r="CI49" s="186"/>
      <c r="CJ49" s="186"/>
      <c r="CK49" s="186"/>
      <c r="CL49" s="124">
        <f>IF(CG57=17,11)</f>
        <v>11</v>
      </c>
      <c r="CM49" s="177"/>
      <c r="CN49" s="177"/>
      <c r="CO49" s="178"/>
      <c r="CQ49" s="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EJ49" s="78"/>
      <c r="EK49" s="78"/>
    </row>
    <row r="50" spans="7:141" ht="30.75" hidden="1" customHeight="1" thickBot="1" x14ac:dyDescent="0.25">
      <c r="G50" s="998"/>
      <c r="H50"/>
      <c r="I50"/>
      <c r="J50" s="1733">
        <f>ABS($E$20/BQ25)*2</f>
        <v>76.372315035799517</v>
      </c>
      <c r="K50" s="1733"/>
      <c r="L50" s="1733"/>
      <c r="M50" s="1734" t="s">
        <v>350</v>
      </c>
      <c r="N50" s="1730" t="s">
        <v>352</v>
      </c>
      <c r="O50" s="995"/>
      <c r="BN50" s="86"/>
      <c r="BO50" s="1091"/>
      <c r="BP50" s="177"/>
      <c r="BQ50" s="177"/>
      <c r="BR50" s="178"/>
      <c r="BS50" s="177"/>
      <c r="BT50" s="177"/>
      <c r="BU50" s="177"/>
      <c r="CA50" s="182">
        <v>5</v>
      </c>
      <c r="CB50" s="117" t="b">
        <f>IF(CF57=16,1)</f>
        <v>0</v>
      </c>
      <c r="CC50" s="185"/>
      <c r="CD50" s="185"/>
      <c r="CE50" s="118"/>
      <c r="CF50" s="185"/>
      <c r="CG50" s="118"/>
      <c r="CH50" s="185"/>
      <c r="CI50" s="185"/>
      <c r="CJ50" s="103" t="b">
        <f>IF(CF57=16,9)</f>
        <v>0</v>
      </c>
      <c r="CK50" s="177"/>
      <c r="CL50" s="177"/>
      <c r="CM50" s="177"/>
      <c r="CN50" s="177"/>
      <c r="CO50" s="178"/>
      <c r="CQ50" s="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EJ50" s="78"/>
      <c r="EK50" s="78"/>
    </row>
    <row r="51" spans="7:141" ht="21" hidden="1" thickBot="1" x14ac:dyDescent="0.25">
      <c r="G51" s="998"/>
      <c r="H51"/>
      <c r="I51"/>
      <c r="J51" s="59"/>
      <c r="K51" s="59"/>
      <c r="L51" s="59"/>
      <c r="M51" s="59"/>
      <c r="N51"/>
      <c r="O51" s="995"/>
      <c r="BN51" s="86"/>
      <c r="BO51" s="1091"/>
      <c r="BP51" s="177"/>
      <c r="BQ51" s="177"/>
      <c r="BR51" s="178"/>
      <c r="BS51" s="177"/>
      <c r="BT51" s="177"/>
      <c r="BU51" s="177"/>
      <c r="CA51" s="182">
        <v>4</v>
      </c>
      <c r="CB51" s="117" t="b">
        <f>IF(CE57=15,1)</f>
        <v>0</v>
      </c>
      <c r="CC51" s="118"/>
      <c r="CD51" s="118"/>
      <c r="CE51" s="185"/>
      <c r="CF51" s="118"/>
      <c r="CG51" s="118"/>
      <c r="CH51" s="103" t="b">
        <f>IF(CE57=15,7)</f>
        <v>0</v>
      </c>
      <c r="CI51" s="177"/>
      <c r="CJ51" s="177"/>
      <c r="CK51" s="177"/>
      <c r="CL51" s="177"/>
      <c r="CM51" s="177"/>
      <c r="CN51" s="177"/>
      <c r="CO51" s="178"/>
      <c r="CQ51" s="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EJ51" s="78"/>
      <c r="EK51" s="78"/>
    </row>
    <row r="52" spans="7:141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  <c r="BN52" s="86"/>
      <c r="BO52" s="1091"/>
      <c r="BP52" s="177"/>
      <c r="BQ52" s="177"/>
      <c r="BR52" s="178"/>
      <c r="BS52" s="177"/>
      <c r="BT52" s="177"/>
      <c r="BU52" s="177"/>
      <c r="CA52" s="182">
        <v>3</v>
      </c>
      <c r="CB52" s="120" t="b">
        <f>IF(CD57=14,1)</f>
        <v>0</v>
      </c>
      <c r="CC52" s="186"/>
      <c r="CD52" s="186"/>
      <c r="CE52" s="186"/>
      <c r="CF52" s="124" t="b">
        <f>IF(CD57=14,5)</f>
        <v>0</v>
      </c>
      <c r="CG52" s="177"/>
      <c r="CH52" s="177"/>
      <c r="CI52" s="177"/>
      <c r="CJ52" s="177"/>
      <c r="CK52" s="177"/>
      <c r="CL52" s="177"/>
      <c r="CM52" s="177"/>
      <c r="CN52" s="177"/>
      <c r="CO52" s="178"/>
      <c r="CQ52" s="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EJ52" s="78"/>
      <c r="EK52" s="78"/>
    </row>
    <row r="53" spans="7:141" ht="24" hidden="1" thickBot="1" x14ac:dyDescent="0.3"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N53" s="86"/>
      <c r="BO53" s="1091"/>
      <c r="BP53" s="177"/>
      <c r="BQ53" s="177"/>
      <c r="BR53" s="178"/>
      <c r="BS53" s="177"/>
      <c r="BT53" s="177"/>
      <c r="BU53" s="177"/>
      <c r="CA53" s="182">
        <v>2</v>
      </c>
      <c r="CB53" s="120" t="b">
        <f>IF(CC57=13,1)</f>
        <v>0</v>
      </c>
      <c r="CC53" s="186"/>
      <c r="CD53" s="124" t="b">
        <f>IF(CC57=13,3)</f>
        <v>0</v>
      </c>
      <c r="CE53" s="177"/>
      <c r="CF53" s="177"/>
      <c r="CG53" s="177"/>
      <c r="CH53" s="177"/>
      <c r="CI53" s="177"/>
      <c r="CJ53" s="177"/>
      <c r="CK53" s="177"/>
      <c r="CL53" s="177"/>
      <c r="CM53" s="177"/>
      <c r="CN53" s="177"/>
      <c r="CO53" s="1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EJ53" s="78"/>
      <c r="EK53" s="78"/>
    </row>
    <row r="54" spans="7:141" ht="29.25" hidden="1" customHeight="1" thickBot="1" x14ac:dyDescent="0.25">
      <c r="G54" s="994" t="s">
        <v>243</v>
      </c>
      <c r="H54" s="956"/>
      <c r="I54"/>
      <c r="J54" s="963">
        <f>+((H6-D3)/H6)*BQ25</f>
        <v>128.34416802884593</v>
      </c>
      <c r="K54" s="963"/>
      <c r="L54" s="963">
        <f>+(D3/H6)*BQ25</f>
        <v>81.155831971154072</v>
      </c>
      <c r="M54" s="961" t="s">
        <v>223</v>
      </c>
      <c r="N54"/>
      <c r="O54" s="995"/>
      <c r="BN54" s="86"/>
      <c r="BO54" s="1091"/>
      <c r="BP54" s="177"/>
      <c r="BQ54" s="177"/>
      <c r="BR54" s="178"/>
      <c r="BS54" s="177"/>
      <c r="BT54" s="177"/>
      <c r="BU54" s="177"/>
      <c r="BV54" s="76"/>
      <c r="BW54" s="177"/>
      <c r="CA54" s="177"/>
      <c r="CB54" s="177"/>
      <c r="CC54" s="177"/>
      <c r="CD54" s="177"/>
      <c r="CE54" s="177"/>
      <c r="CF54" s="177"/>
      <c r="CG54" s="177"/>
      <c r="CH54" s="177"/>
      <c r="CI54" s="177"/>
      <c r="CJ54" s="177"/>
      <c r="CK54" s="177"/>
      <c r="CL54" s="178"/>
      <c r="CM54" s="107"/>
      <c r="CN54" s="107"/>
      <c r="CO54" s="107"/>
      <c r="CQ54" s="78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EJ54" s="78"/>
      <c r="EK54" s="78"/>
    </row>
    <row r="55" spans="7:141" ht="42" customHeight="1" thickBot="1" x14ac:dyDescent="0.3">
      <c r="G55" s="1000"/>
      <c r="H55" s="63"/>
      <c r="I55"/>
      <c r="J55" s="965">
        <f>ABS($H$1/J54)</f>
        <v>140.24789966268213</v>
      </c>
      <c r="K55" s="965"/>
      <c r="L55" s="965">
        <f>ABS($H$1/L54)</f>
        <v>221.79552057821178</v>
      </c>
      <c r="M55" s="967" t="s">
        <v>222</v>
      </c>
      <c r="N55"/>
      <c r="O55" s="995"/>
      <c r="BM55" s="402"/>
      <c r="BN55" s="188"/>
      <c r="BO55" s="1095" t="s">
        <v>128</v>
      </c>
      <c r="BP55" s="189" t="s">
        <v>125</v>
      </c>
      <c r="BQ55" s="190"/>
      <c r="BR55" s="191"/>
      <c r="BS55" s="191"/>
      <c r="BT55" s="191"/>
      <c r="BU55" s="191"/>
      <c r="BV55" s="191"/>
      <c r="BW55" s="191"/>
      <c r="BX55" s="191"/>
      <c r="BY55" s="191"/>
      <c r="BZ55" s="191"/>
      <c r="CA55" s="191"/>
      <c r="CB55" s="758">
        <f>SUM(CB39:CB54)</f>
        <v>1</v>
      </c>
      <c r="CC55" s="759">
        <f t="shared" ref="CC55:CR55" si="0">SUM(CC39:CC54)</f>
        <v>0</v>
      </c>
      <c r="CD55" s="759">
        <f t="shared" si="0"/>
        <v>0</v>
      </c>
      <c r="CE55" s="759">
        <f t="shared" si="0"/>
        <v>0</v>
      </c>
      <c r="CF55" s="759">
        <f t="shared" si="0"/>
        <v>0</v>
      </c>
      <c r="CG55" s="759">
        <f t="shared" si="0"/>
        <v>0</v>
      </c>
      <c r="CH55" s="759">
        <f t="shared" si="0"/>
        <v>0</v>
      </c>
      <c r="CI55" s="759">
        <f t="shared" si="0"/>
        <v>0</v>
      </c>
      <c r="CJ55" s="759">
        <f t="shared" si="0"/>
        <v>0</v>
      </c>
      <c r="CK55" s="759">
        <f t="shared" si="0"/>
        <v>0</v>
      </c>
      <c r="CL55" s="759">
        <f t="shared" si="0"/>
        <v>11</v>
      </c>
      <c r="CM55" s="759">
        <f t="shared" si="0"/>
        <v>0</v>
      </c>
      <c r="CN55" s="759">
        <f t="shared" si="0"/>
        <v>0</v>
      </c>
      <c r="CO55" s="759">
        <f t="shared" si="0"/>
        <v>0</v>
      </c>
      <c r="CP55" s="759">
        <f t="shared" si="0"/>
        <v>0</v>
      </c>
      <c r="CQ55" s="759">
        <f t="shared" si="0"/>
        <v>0</v>
      </c>
      <c r="CR55" s="760">
        <f t="shared" si="0"/>
        <v>0</v>
      </c>
      <c r="CS55" s="191"/>
      <c r="CT55" s="191"/>
      <c r="CU55" s="192"/>
      <c r="CV55" s="192"/>
      <c r="CW55" s="192"/>
      <c r="CX55" s="192"/>
      <c r="CY55" s="192"/>
      <c r="CZ55" s="192"/>
      <c r="DA55" s="193"/>
      <c r="DB55" s="89"/>
      <c r="DC55" s="78"/>
      <c r="DD55" s="78"/>
    </row>
    <row r="56" spans="7:141" ht="42" customHeight="1" thickBot="1" x14ac:dyDescent="0.3">
      <c r="G56" s="1000"/>
      <c r="H56" s="63"/>
      <c r="I56" s="74"/>
      <c r="J56" s="1733">
        <f>ABS($E$20/BQ25)*2</f>
        <v>76.372315035799517</v>
      </c>
      <c r="K56" s="1733"/>
      <c r="L56" s="1733"/>
      <c r="M56" s="1734" t="s">
        <v>350</v>
      </c>
      <c r="N56" s="1730" t="s">
        <v>352</v>
      </c>
      <c r="O56" s="995"/>
      <c r="BL56" s="968">
        <v>4</v>
      </c>
      <c r="BM56" s="1762" t="b">
        <f>AND(BO56&gt;=10,$BA$153&gt;=10,$AZ$153&gt;=10,$AZ$177&gt;=10,$BA$177&gt;=10)</f>
        <v>1</v>
      </c>
      <c r="BN56" s="84" t="str">
        <f>IF(BM56=TRUE,"O K","OVERLOAD")</f>
        <v>O K</v>
      </c>
      <c r="BO56" s="982">
        <f>+$E$20/(BQ25/2)</f>
        <v>76.372315035799517</v>
      </c>
      <c r="BP56" s="194"/>
      <c r="BQ56" s="107"/>
      <c r="BR56" s="108"/>
      <c r="BS56" s="107"/>
      <c r="BT56" s="107"/>
      <c r="BU56" s="107"/>
      <c r="BV56" s="108"/>
      <c r="BW56" s="107"/>
      <c r="BX56" s="107"/>
      <c r="BY56" s="107"/>
      <c r="BZ56" s="107"/>
      <c r="CA56" s="107"/>
      <c r="CB56" s="107"/>
      <c r="CC56" s="107"/>
      <c r="CD56" s="107"/>
      <c r="CE56" s="107"/>
      <c r="CF56" s="107"/>
      <c r="CG56" s="107"/>
      <c r="CH56" s="107"/>
      <c r="CI56" s="107"/>
      <c r="CJ56" s="107"/>
      <c r="CK56" s="107"/>
      <c r="CL56" s="107"/>
      <c r="CM56" s="107"/>
      <c r="CN56" s="107"/>
      <c r="CO56" s="107"/>
      <c r="CP56" s="107"/>
      <c r="CQ56" s="107"/>
      <c r="CR56" s="107"/>
      <c r="CS56" s="78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</row>
    <row r="57" spans="7:141" ht="20" hidden="1" x14ac:dyDescent="0.2">
      <c r="G57" s="998"/>
      <c r="H57"/>
      <c r="I57"/>
      <c r="J57"/>
      <c r="K57"/>
      <c r="L57"/>
      <c r="M57"/>
      <c r="N57"/>
      <c r="O57" s="995"/>
      <c r="BM57" s="402"/>
      <c r="BN57" s="188"/>
      <c r="BO57" s="1091"/>
      <c r="BP57" s="76"/>
      <c r="BQ57" s="195" t="b">
        <f>+BK183</f>
        <v>0</v>
      </c>
      <c r="BR57" s="195" t="b">
        <f>+BK184</f>
        <v>0</v>
      </c>
      <c r="BS57" s="195" t="b">
        <f>+BK185</f>
        <v>0</v>
      </c>
      <c r="BT57" s="195" t="b">
        <f>+BK186</f>
        <v>0</v>
      </c>
      <c r="BU57" s="195" t="b">
        <f>+BK187</f>
        <v>0</v>
      </c>
      <c r="BV57" s="195" t="b">
        <f>+BK188</f>
        <v>0</v>
      </c>
      <c r="BW57" s="195" t="b">
        <f>+BK189</f>
        <v>0</v>
      </c>
      <c r="BX57" s="195" t="b">
        <f>+BK190</f>
        <v>0</v>
      </c>
      <c r="BY57" s="195" t="b">
        <f>+BK191</f>
        <v>0</v>
      </c>
      <c r="BZ57" s="195" t="b">
        <f>+BK192</f>
        <v>0</v>
      </c>
      <c r="CA57" s="195" t="b">
        <f>+BK193</f>
        <v>0</v>
      </c>
      <c r="CB57" s="195" t="b">
        <f>+BK194</f>
        <v>0</v>
      </c>
      <c r="CC57" s="195" t="b">
        <f>+BK195</f>
        <v>0</v>
      </c>
      <c r="CD57" s="195" t="b">
        <f>+BK196</f>
        <v>0</v>
      </c>
      <c r="CE57" s="195" t="b">
        <f>+BK197</f>
        <v>0</v>
      </c>
      <c r="CF57" s="195" t="b">
        <f>+BK198</f>
        <v>0</v>
      </c>
      <c r="CG57" s="195">
        <f>+BK199</f>
        <v>17</v>
      </c>
      <c r="CH57" s="195" t="b">
        <f>+BK200</f>
        <v>0</v>
      </c>
      <c r="CI57" s="195" t="b">
        <f>+BK201</f>
        <v>0</v>
      </c>
      <c r="CJ57" s="195" t="b">
        <f>+BK202</f>
        <v>0</v>
      </c>
      <c r="CK57" s="195" t="b">
        <f>+BK203</f>
        <v>0</v>
      </c>
      <c r="CL57" s="195" t="b">
        <f>+BK204</f>
        <v>0</v>
      </c>
      <c r="CM57" s="195" t="b">
        <f>+BK205</f>
        <v>0</v>
      </c>
      <c r="CN57" s="195" t="b">
        <f>+BK206</f>
        <v>0</v>
      </c>
      <c r="CO57" s="195" t="b">
        <f>+BK207</f>
        <v>0</v>
      </c>
      <c r="CP57" s="195" t="b">
        <f>+BK208</f>
        <v>0</v>
      </c>
      <c r="CQ57" s="195" t="b">
        <f>+BK209</f>
        <v>0</v>
      </c>
      <c r="CR57" s="195" t="b">
        <f>+BK210</f>
        <v>0</v>
      </c>
      <c r="CS57" s="195" t="b">
        <f>+BK211</f>
        <v>0</v>
      </c>
      <c r="CT57" s="195" t="b">
        <f>+BK212</f>
        <v>0</v>
      </c>
      <c r="CU57" s="195" t="b">
        <f>+BK213</f>
        <v>0</v>
      </c>
      <c r="CV57" s="195" t="b">
        <f>+BK214</f>
        <v>0</v>
      </c>
      <c r="CW57" s="195" t="b">
        <f>+BK215</f>
        <v>0</v>
      </c>
      <c r="CX57" s="195" t="b">
        <f>+BK216</f>
        <v>0</v>
      </c>
      <c r="CY57" s="195" t="b">
        <f>+BK217</f>
        <v>0</v>
      </c>
      <c r="CZ57" s="195" t="b">
        <f>+BK218</f>
        <v>0</v>
      </c>
      <c r="DA57" s="195" t="b">
        <f>+BK219</f>
        <v>0</v>
      </c>
      <c r="DB57" s="196"/>
      <c r="DC57" s="78"/>
      <c r="DD57" s="78"/>
    </row>
    <row r="58" spans="7:141" ht="20" hidden="1" x14ac:dyDescent="0.2">
      <c r="G58" s="998"/>
      <c r="H58"/>
      <c r="I58"/>
      <c r="J58"/>
      <c r="K58"/>
      <c r="L58"/>
      <c r="M58"/>
      <c r="N58"/>
      <c r="O58" s="995"/>
      <c r="BM58" s="402"/>
      <c r="BN58" s="188"/>
      <c r="BO58" s="1091"/>
      <c r="BP58" s="78"/>
      <c r="BQ58" s="196" t="b">
        <f>+BQ57</f>
        <v>0</v>
      </c>
      <c r="BR58" s="196" t="b">
        <f t="shared" ref="BR58:CI58" si="1">+BR57</f>
        <v>0</v>
      </c>
      <c r="BS58" s="196" t="b">
        <f t="shared" si="1"/>
        <v>0</v>
      </c>
      <c r="BT58" s="196" t="b">
        <f t="shared" si="1"/>
        <v>0</v>
      </c>
      <c r="BU58" s="196" t="b">
        <f t="shared" si="1"/>
        <v>0</v>
      </c>
      <c r="BV58" s="196" t="b">
        <f t="shared" si="1"/>
        <v>0</v>
      </c>
      <c r="BW58" s="196" t="b">
        <f>+BW57</f>
        <v>0</v>
      </c>
      <c r="BX58" s="196" t="b">
        <f t="shared" si="1"/>
        <v>0</v>
      </c>
      <c r="BY58" s="196" t="b">
        <f t="shared" si="1"/>
        <v>0</v>
      </c>
      <c r="BZ58" s="196" t="b">
        <f t="shared" si="1"/>
        <v>0</v>
      </c>
      <c r="CA58" s="196" t="b">
        <f t="shared" si="1"/>
        <v>0</v>
      </c>
      <c r="CB58" s="196" t="b">
        <f>+CB57</f>
        <v>0</v>
      </c>
      <c r="CC58" s="196" t="b">
        <f>+CC57</f>
        <v>0</v>
      </c>
      <c r="CD58" s="196" t="b">
        <f>+CD57</f>
        <v>0</v>
      </c>
      <c r="CE58" s="196" t="b">
        <f>+CE57</f>
        <v>0</v>
      </c>
      <c r="CF58" s="196" t="b">
        <f>+CF57</f>
        <v>0</v>
      </c>
      <c r="CG58" s="196">
        <f t="shared" si="1"/>
        <v>17</v>
      </c>
      <c r="CH58" s="196" t="b">
        <f t="shared" si="1"/>
        <v>0</v>
      </c>
      <c r="CI58" s="196" t="b">
        <f t="shared" si="1"/>
        <v>0</v>
      </c>
      <c r="CJ58" s="196" t="b">
        <f>+CJ57</f>
        <v>0</v>
      </c>
      <c r="CK58" s="196" t="b">
        <f>+CK57</f>
        <v>0</v>
      </c>
      <c r="CL58" s="196" t="b">
        <f t="shared" ref="CL58:DA58" si="2">+CL57</f>
        <v>0</v>
      </c>
      <c r="CM58" s="196" t="b">
        <f t="shared" si="2"/>
        <v>0</v>
      </c>
      <c r="CN58" s="196" t="b">
        <f t="shared" si="2"/>
        <v>0</v>
      </c>
      <c r="CO58" s="196" t="b">
        <f t="shared" si="2"/>
        <v>0</v>
      </c>
      <c r="CP58" s="196" t="b">
        <f t="shared" si="2"/>
        <v>0</v>
      </c>
      <c r="CQ58" s="196" t="b">
        <f t="shared" si="2"/>
        <v>0</v>
      </c>
      <c r="CR58" s="196" t="b">
        <f t="shared" si="2"/>
        <v>0</v>
      </c>
      <c r="CS58" s="196" t="b">
        <f t="shared" si="2"/>
        <v>0</v>
      </c>
      <c r="CT58" s="196" t="b">
        <f t="shared" si="2"/>
        <v>0</v>
      </c>
      <c r="CU58" s="196" t="b">
        <f t="shared" si="2"/>
        <v>0</v>
      </c>
      <c r="CV58" s="196" t="b">
        <f t="shared" si="2"/>
        <v>0</v>
      </c>
      <c r="CW58" s="196" t="b">
        <f t="shared" si="2"/>
        <v>0</v>
      </c>
      <c r="CX58" s="196" t="b">
        <f t="shared" si="2"/>
        <v>0</v>
      </c>
      <c r="CY58" s="196" t="b">
        <f t="shared" si="2"/>
        <v>0</v>
      </c>
      <c r="CZ58" s="196" t="b">
        <f t="shared" si="2"/>
        <v>0</v>
      </c>
      <c r="DA58" s="196" t="b">
        <f t="shared" si="2"/>
        <v>0</v>
      </c>
      <c r="DB58" s="196"/>
      <c r="DC58" s="78"/>
      <c r="DD58" s="78"/>
    </row>
    <row r="59" spans="7:141" ht="21" thickBot="1" x14ac:dyDescent="0.25">
      <c r="G59" s="998"/>
      <c r="H59"/>
      <c r="I59"/>
      <c r="J59"/>
      <c r="K59"/>
      <c r="L59"/>
      <c r="M59"/>
      <c r="N59"/>
      <c r="O59" s="995"/>
      <c r="BM59" s="402"/>
      <c r="BN59" s="188"/>
      <c r="BO59" s="1091"/>
      <c r="BP59" s="78"/>
      <c r="BQ59" s="196"/>
      <c r="BR59" s="196"/>
      <c r="BS59" s="196"/>
      <c r="BT59" s="196"/>
      <c r="BU59" s="196"/>
      <c r="BV59" s="196"/>
      <c r="BW59" s="196"/>
      <c r="BX59" s="196"/>
      <c r="BY59" s="196"/>
      <c r="BZ59" s="196"/>
      <c r="CA59" s="196"/>
      <c r="CB59" s="196"/>
      <c r="CC59" s="196"/>
      <c r="CD59" s="196"/>
      <c r="CE59" s="196"/>
      <c r="CF59" s="196"/>
      <c r="CG59" s="196"/>
      <c r="CH59" s="196"/>
      <c r="CI59" s="196"/>
      <c r="CJ59" s="196"/>
      <c r="CK59" s="196"/>
      <c r="CL59" s="196"/>
      <c r="CM59" s="196"/>
      <c r="CN59" s="196"/>
      <c r="CO59" s="196"/>
      <c r="CP59" s="196"/>
      <c r="CQ59" s="196"/>
      <c r="CR59" s="196"/>
      <c r="CS59" s="196"/>
      <c r="CT59" s="196"/>
      <c r="CU59" s="196"/>
      <c r="CV59" s="196"/>
      <c r="CW59" s="196"/>
      <c r="CX59" s="196"/>
      <c r="CY59" s="196"/>
      <c r="CZ59" s="196"/>
      <c r="DA59" s="196"/>
      <c r="DB59" s="196"/>
      <c r="DC59" s="78"/>
      <c r="DD59" s="78"/>
    </row>
    <row r="60" spans="7:141" ht="42" customHeight="1" thickBot="1" x14ac:dyDescent="0.3">
      <c r="G60" s="998"/>
      <c r="H60"/>
      <c r="I60"/>
      <c r="J60"/>
      <c r="K60"/>
      <c r="L60"/>
      <c r="M60"/>
      <c r="N60"/>
      <c r="O60" s="995"/>
      <c r="BM60" s="402"/>
      <c r="BN60" s="188"/>
      <c r="BO60" s="1095" t="s">
        <v>128</v>
      </c>
      <c r="BP60" s="197" t="s">
        <v>129</v>
      </c>
      <c r="BQ60" s="748" t="str">
        <f>IF(BQ58=1,17,"")</f>
        <v/>
      </c>
      <c r="BR60" s="749" t="str">
        <f>IF(BR58=2,16,"")</f>
        <v/>
      </c>
      <c r="BS60" s="749" t="str">
        <f>IF(BS58=3,15,"")</f>
        <v/>
      </c>
      <c r="BT60" s="749" t="str">
        <f>IF(BT58=4,14,"")</f>
        <v/>
      </c>
      <c r="BU60" s="749" t="str">
        <f>IF(BU58=5,13,"")</f>
        <v/>
      </c>
      <c r="BV60" s="749" t="str">
        <f>IF(BV58=6,12,"")</f>
        <v/>
      </c>
      <c r="BW60" s="749" t="str">
        <f>IF(BW58=7,11,"")</f>
        <v/>
      </c>
      <c r="BX60" s="749" t="str">
        <f>IF(BX58=8,10,"")</f>
        <v/>
      </c>
      <c r="BY60" s="749" t="str">
        <f>IF(BY58=9,9,"")</f>
        <v/>
      </c>
      <c r="BZ60" s="749" t="str">
        <f>IF(BZ58=10,8,"")</f>
        <v/>
      </c>
      <c r="CA60" s="749" t="str">
        <f>IF(CA58=11,7,"")</f>
        <v/>
      </c>
      <c r="CB60" s="928" t="str">
        <f>IF(CB58=12,1,"")</f>
        <v/>
      </c>
      <c r="CC60" s="747" t="str">
        <f>IF(CC58=13,2,"")</f>
        <v/>
      </c>
      <c r="CD60" s="747" t="str">
        <f>IF(CD58=14,3,"")</f>
        <v/>
      </c>
      <c r="CE60" s="747" t="str">
        <f>IF(CE58=15,4,"")</f>
        <v/>
      </c>
      <c r="CF60" s="747" t="str">
        <f>IF(CF58=16,5,"")</f>
        <v/>
      </c>
      <c r="CG60" s="747">
        <f>IF(CG58=17,6,"")</f>
        <v>6</v>
      </c>
      <c r="CH60" s="747" t="str">
        <f>IF(CH58=18,7,"")</f>
        <v/>
      </c>
      <c r="CI60" s="747" t="str">
        <f>IF(CI58=19,8,"")</f>
        <v/>
      </c>
      <c r="CJ60" s="747" t="str">
        <f>IF(CJ58=20,9,"")</f>
        <v/>
      </c>
      <c r="CK60" s="747" t="str">
        <f>IF(CK58=21,10,"")</f>
        <v/>
      </c>
      <c r="CL60" s="747" t="str">
        <f>IF(CL58=22,11,"")</f>
        <v/>
      </c>
      <c r="CM60" s="747" t="str">
        <f>IF(CM58=23,12,"")</f>
        <v/>
      </c>
      <c r="CN60" s="747" t="str">
        <f>IF(CN58=24,13,"")</f>
        <v/>
      </c>
      <c r="CO60" s="747" t="str">
        <f>IF(CO58=25,14,"")</f>
        <v/>
      </c>
      <c r="CP60" s="747" t="str">
        <f>IF(CP58=26,15,"")</f>
        <v/>
      </c>
      <c r="CQ60" s="747" t="str">
        <f>IF(CQ58=27,16,"")</f>
        <v/>
      </c>
      <c r="CR60" s="929" t="str">
        <f>IF(CR58=28,17,"")</f>
        <v/>
      </c>
      <c r="CS60" s="756" t="str">
        <f>IF(CS58=29,9,"")</f>
        <v/>
      </c>
      <c r="CT60" s="756" t="str">
        <f>IF(CT58=30,10,"")</f>
        <v/>
      </c>
      <c r="CU60" s="756" t="str">
        <f>IF(CU58=31,11,"")</f>
        <v/>
      </c>
      <c r="CV60" s="756" t="str">
        <f>IF(CV58=32,12,"")</f>
        <v/>
      </c>
      <c r="CW60" s="756" t="str">
        <f>IF(CW58=33,13,"")</f>
        <v/>
      </c>
      <c r="CX60" s="756" t="str">
        <f>IF(CX58=34,14,"")</f>
        <v/>
      </c>
      <c r="CY60" s="756" t="str">
        <f>IF(CY58=35,15,"")</f>
        <v/>
      </c>
      <c r="CZ60" s="756" t="str">
        <f>IF(CZ58=36,16,"")</f>
        <v/>
      </c>
      <c r="DA60" s="757" t="str">
        <f>IF(DA58=37,17,"")</f>
        <v/>
      </c>
      <c r="DB60" s="198"/>
      <c r="DC60" s="78"/>
      <c r="DD60" s="78"/>
    </row>
    <row r="61" spans="7:141" ht="42" customHeight="1" thickBot="1" x14ac:dyDescent="0.3">
      <c r="G61" s="998"/>
      <c r="H61"/>
      <c r="I61"/>
      <c r="J61"/>
      <c r="K61"/>
      <c r="L61"/>
      <c r="M61"/>
      <c r="N61"/>
      <c r="O61" s="995"/>
      <c r="BL61" s="968">
        <v>5</v>
      </c>
      <c r="BM61" s="1762" t="b">
        <f>AND(BO61&gt;=10,$BA$153&gt;=10,$AZ$153&gt;=10,$AZ$177&gt;=10,$BA$177&gt;=10)</f>
        <v>1</v>
      </c>
      <c r="BN61" s="84" t="str">
        <f>IF(BM61=TRUE,"O K","OVERLOAD")</f>
        <v>O K</v>
      </c>
      <c r="BO61" s="982">
        <f>IF(SUM(BQ60:CA60)&gt;0,K85,0)+IF(SUM(CB60:CR60)&gt;0,L85,0)+IF(SUM(CS60:DA60)&gt;0,M85,0)</f>
        <v>38.186157517899758</v>
      </c>
      <c r="BP61" s="788" t="s">
        <v>185</v>
      </c>
      <c r="BQ61" s="789">
        <v>-10</v>
      </c>
      <c r="BR61" s="789">
        <v>-9</v>
      </c>
      <c r="BS61" s="789">
        <v>-8</v>
      </c>
      <c r="BT61" s="789">
        <v>-7</v>
      </c>
      <c r="BU61" s="789">
        <v>-6</v>
      </c>
      <c r="BV61" s="789">
        <v>-5</v>
      </c>
      <c r="BW61" s="789">
        <v>-4</v>
      </c>
      <c r="BX61" s="789">
        <v>-3</v>
      </c>
      <c r="BY61" s="789">
        <v>-2</v>
      </c>
      <c r="BZ61" s="789">
        <v>-1</v>
      </c>
      <c r="CA61" s="789">
        <v>0</v>
      </c>
      <c r="CB61" s="789">
        <v>1</v>
      </c>
      <c r="CC61" s="789">
        <v>2</v>
      </c>
      <c r="CD61" s="789">
        <v>3</v>
      </c>
      <c r="CE61" s="789">
        <v>4</v>
      </c>
      <c r="CF61" s="789">
        <v>5</v>
      </c>
      <c r="CG61" s="789">
        <v>6</v>
      </c>
      <c r="CH61" s="789">
        <v>7</v>
      </c>
      <c r="CI61" s="789">
        <v>8</v>
      </c>
      <c r="CJ61" s="789">
        <v>9</v>
      </c>
      <c r="CK61" s="789">
        <v>10</v>
      </c>
      <c r="CL61" s="789">
        <v>11</v>
      </c>
      <c r="CM61" s="789">
        <v>12</v>
      </c>
      <c r="CN61" s="789">
        <v>13</v>
      </c>
      <c r="CO61" s="789">
        <v>14</v>
      </c>
      <c r="CP61" s="789">
        <v>15</v>
      </c>
      <c r="CQ61" s="789">
        <v>16</v>
      </c>
      <c r="CR61" s="789">
        <v>17</v>
      </c>
      <c r="CS61" s="789">
        <v>18</v>
      </c>
      <c r="CT61" s="789">
        <v>19</v>
      </c>
      <c r="CU61" s="789">
        <v>20</v>
      </c>
      <c r="CV61" s="789">
        <v>21</v>
      </c>
      <c r="CW61" s="789">
        <v>22</v>
      </c>
      <c r="CX61" s="789">
        <v>23</v>
      </c>
      <c r="CY61" s="789">
        <v>24</v>
      </c>
      <c r="CZ61" s="789">
        <v>25</v>
      </c>
      <c r="DA61" s="791">
        <v>26</v>
      </c>
      <c r="DB61" s="198"/>
      <c r="DC61" s="78"/>
      <c r="DD61" s="78"/>
    </row>
    <row r="62" spans="7:141" ht="24" hidden="1" thickBot="1" x14ac:dyDescent="0.3">
      <c r="G62" s="998"/>
      <c r="H62"/>
      <c r="I62"/>
      <c r="J62"/>
      <c r="K62"/>
      <c r="L62"/>
      <c r="M62"/>
      <c r="N62"/>
      <c r="O62" s="995"/>
      <c r="BN62" s="86"/>
      <c r="BO62" s="18"/>
      <c r="BP62" s="96"/>
      <c r="BQ62" s="97"/>
      <c r="BR62" s="97"/>
      <c r="BS62" s="97"/>
      <c r="BT62" s="97"/>
      <c r="BU62" s="97"/>
      <c r="BV62" s="97"/>
      <c r="BW62" s="97"/>
      <c r="BX62" s="97"/>
      <c r="BY62" s="94"/>
      <c r="BZ62" s="94"/>
      <c r="CA62" s="89"/>
      <c r="CB62" s="89"/>
      <c r="CC62" s="89"/>
      <c r="CD62" s="89"/>
      <c r="CE62" s="89"/>
      <c r="CF62" s="89"/>
      <c r="CG62" s="89"/>
      <c r="CH62" s="89"/>
      <c r="CI62" s="89"/>
      <c r="CJ62" s="89"/>
      <c r="CK62" s="89"/>
      <c r="CL62" s="89"/>
      <c r="CM62" s="89"/>
      <c r="CN62" s="37"/>
      <c r="CO62" s="95"/>
      <c r="CP62" s="95"/>
      <c r="CQ62" s="95"/>
      <c r="CR62" s="95"/>
      <c r="CS62" s="92"/>
      <c r="CT62" s="92"/>
      <c r="CU62" s="92"/>
      <c r="CV62" s="92"/>
      <c r="CW62" s="92"/>
      <c r="CX62" s="92"/>
      <c r="CY62" s="92"/>
      <c r="CZ62" s="92"/>
      <c r="DA62" s="92"/>
      <c r="DB62" s="92"/>
      <c r="DC62" s="17"/>
      <c r="DD62" s="78"/>
    </row>
    <row r="63" spans="7:141" ht="24" hidden="1" thickBot="1" x14ac:dyDescent="0.3">
      <c r="G63" s="998"/>
      <c r="H63"/>
      <c r="I63"/>
      <c r="J63"/>
      <c r="K63"/>
      <c r="L63"/>
      <c r="M63"/>
      <c r="N63"/>
      <c r="O63" s="995"/>
      <c r="BN63" s="86"/>
      <c r="BO63" s="18"/>
      <c r="BP63" s="96">
        <v>36</v>
      </c>
      <c r="BQ63" s="97"/>
      <c r="BR63" s="97"/>
      <c r="BS63" s="97"/>
      <c r="BT63" s="97"/>
      <c r="BU63" s="97"/>
      <c r="BV63" s="97"/>
      <c r="BW63" s="97"/>
      <c r="BX63" s="97"/>
      <c r="BY63" s="94"/>
      <c r="BZ63" s="94"/>
      <c r="CA63" s="89"/>
      <c r="CB63" s="89"/>
      <c r="CC63" s="89"/>
      <c r="CD63" s="89"/>
      <c r="CE63" s="89"/>
      <c r="CF63" s="89"/>
      <c r="CG63" s="89"/>
      <c r="CH63" s="98"/>
      <c r="CI63" s="99"/>
      <c r="CJ63" s="100"/>
      <c r="CK63" s="89"/>
      <c r="CL63" s="89"/>
      <c r="CM63" s="89"/>
      <c r="CN63" s="37"/>
      <c r="CO63" s="95"/>
      <c r="CP63" s="95"/>
      <c r="CQ63" s="95"/>
      <c r="CR63" s="95"/>
      <c r="CS63" s="92"/>
      <c r="CT63" s="92"/>
      <c r="CU63" s="92"/>
      <c r="CV63" s="92"/>
      <c r="CW63" s="92"/>
      <c r="CX63" s="92"/>
      <c r="CY63" s="101" t="b">
        <f>IF(CZ57=36,35)</f>
        <v>0</v>
      </c>
      <c r="CZ63" s="102"/>
      <c r="DA63" s="103" t="b">
        <f>IF(CZ57=36,37)</f>
        <v>0</v>
      </c>
      <c r="DB63" s="92"/>
      <c r="DC63" s="17"/>
      <c r="DD63" s="78"/>
    </row>
    <row r="64" spans="7:141" ht="24" hidden="1" thickBot="1" x14ac:dyDescent="0.3">
      <c r="G64" s="998"/>
      <c r="H64"/>
      <c r="I64"/>
      <c r="J64"/>
      <c r="K64"/>
      <c r="L64"/>
      <c r="M64"/>
      <c r="N64"/>
      <c r="O64" s="995"/>
      <c r="BN64" s="86"/>
      <c r="BO64" s="18"/>
      <c r="BP64" s="96">
        <v>35</v>
      </c>
      <c r="BQ64" s="97"/>
      <c r="BR64" s="97"/>
      <c r="BS64" s="97"/>
      <c r="BT64" s="97"/>
      <c r="BU64" s="97"/>
      <c r="BV64" s="97"/>
      <c r="BW64" s="97"/>
      <c r="BX64" s="97"/>
      <c r="BY64" s="94"/>
      <c r="BZ64" s="94"/>
      <c r="CA64" s="89"/>
      <c r="CB64" s="89"/>
      <c r="CC64" s="89"/>
      <c r="CD64" s="89"/>
      <c r="CE64" s="89"/>
      <c r="CF64" s="89"/>
      <c r="CG64" s="89"/>
      <c r="CH64" s="104"/>
      <c r="CI64" s="89"/>
      <c r="CJ64" s="105"/>
      <c r="CK64" s="89"/>
      <c r="CL64" s="89"/>
      <c r="CM64" s="89"/>
      <c r="CN64" s="37"/>
      <c r="CO64" s="95"/>
      <c r="CP64" s="95"/>
      <c r="CQ64" s="95"/>
      <c r="CR64" s="95"/>
      <c r="CS64" s="92"/>
      <c r="CT64" s="92"/>
      <c r="CU64" s="92"/>
      <c r="CV64" s="92"/>
      <c r="CW64" s="101" t="b">
        <f>IF(CY57=35,33)</f>
        <v>0</v>
      </c>
      <c r="CX64" s="102"/>
      <c r="CY64" s="102"/>
      <c r="CZ64" s="102"/>
      <c r="DA64" s="103" t="b">
        <f>IF(CY57=35,37)</f>
        <v>0</v>
      </c>
      <c r="DB64" s="92"/>
      <c r="DC64" s="17"/>
      <c r="DD64" s="78"/>
    </row>
    <row r="65" spans="7:108" ht="24" hidden="1" thickBot="1" x14ac:dyDescent="0.3">
      <c r="G65" s="998"/>
      <c r="H65"/>
      <c r="I65"/>
      <c r="J65"/>
      <c r="K65"/>
      <c r="L65"/>
      <c r="M65"/>
      <c r="N65"/>
      <c r="O65" s="995"/>
      <c r="BN65" s="86"/>
      <c r="BO65" s="18"/>
      <c r="BP65" s="96">
        <v>34</v>
      </c>
      <c r="BQ65" s="97"/>
      <c r="BR65" s="97"/>
      <c r="BS65" s="97"/>
      <c r="BT65" s="97"/>
      <c r="BU65" s="97"/>
      <c r="BV65" s="97"/>
      <c r="BW65" s="97"/>
      <c r="BX65" s="97"/>
      <c r="BY65" s="94"/>
      <c r="BZ65" s="94"/>
      <c r="CA65" s="89"/>
      <c r="CB65" s="89"/>
      <c r="CC65" s="89"/>
      <c r="CD65" s="89"/>
      <c r="CE65" s="89"/>
      <c r="CF65" s="89"/>
      <c r="CG65" s="89"/>
      <c r="CH65" s="104"/>
      <c r="CI65" s="89"/>
      <c r="CJ65" s="105"/>
      <c r="CK65" s="89"/>
      <c r="CL65" s="89"/>
      <c r="CM65" s="89"/>
      <c r="CN65" s="37"/>
      <c r="CO65" s="95"/>
      <c r="CP65" s="95"/>
      <c r="CQ65" s="95"/>
      <c r="CR65" s="95"/>
      <c r="CS65" s="92"/>
      <c r="CT65" s="92"/>
      <c r="CU65" s="101" t="b">
        <f>IF(CX57=34,31)</f>
        <v>0</v>
      </c>
      <c r="CV65" s="102"/>
      <c r="CW65" s="102"/>
      <c r="CX65" s="102"/>
      <c r="CY65" s="102"/>
      <c r="CZ65" s="102"/>
      <c r="DA65" s="103" t="b">
        <f>IF(CX57=34,37)</f>
        <v>0</v>
      </c>
      <c r="DB65" s="92"/>
      <c r="DC65" s="17"/>
      <c r="DD65" s="78"/>
    </row>
    <row r="66" spans="7:108" ht="24" hidden="1" thickBot="1" x14ac:dyDescent="0.3">
      <c r="G66" s="998"/>
      <c r="H66"/>
      <c r="I66"/>
      <c r="J66"/>
      <c r="K66"/>
      <c r="L66"/>
      <c r="M66"/>
      <c r="N66"/>
      <c r="O66" s="995"/>
      <c r="BN66" s="86"/>
      <c r="BO66" s="18"/>
      <c r="BP66" s="96">
        <v>33</v>
      </c>
      <c r="BQ66" s="97"/>
      <c r="BR66" s="97"/>
      <c r="BS66" s="97"/>
      <c r="BT66" s="97"/>
      <c r="BU66" s="97"/>
      <c r="BV66" s="97"/>
      <c r="BW66" s="97"/>
      <c r="BX66" s="97"/>
      <c r="BY66" s="94"/>
      <c r="BZ66" s="94"/>
      <c r="CA66" s="89"/>
      <c r="CB66" s="89"/>
      <c r="CC66" s="89"/>
      <c r="CD66" s="89"/>
      <c r="CE66" s="89"/>
      <c r="CF66" s="89"/>
      <c r="CG66" s="89"/>
      <c r="CH66" s="104"/>
      <c r="CI66" s="89"/>
      <c r="CJ66" s="105"/>
      <c r="CK66" s="89"/>
      <c r="CL66" s="89"/>
      <c r="CM66" s="89"/>
      <c r="CN66" s="37"/>
      <c r="CO66" s="95"/>
      <c r="CP66" s="95"/>
      <c r="CQ66" s="95"/>
      <c r="CR66" s="95"/>
      <c r="CS66" s="101" t="b">
        <f>IF(CW57=33,29)</f>
        <v>0</v>
      </c>
      <c r="CT66" s="102"/>
      <c r="CU66" s="102"/>
      <c r="CV66" s="102"/>
      <c r="CW66" s="102"/>
      <c r="CX66" s="102"/>
      <c r="CY66" s="102"/>
      <c r="CZ66" s="102"/>
      <c r="DA66" s="103" t="b">
        <f>IF(CW57=33,37)</f>
        <v>0</v>
      </c>
      <c r="DB66" s="92"/>
      <c r="DC66" s="17"/>
      <c r="DD66" s="78"/>
    </row>
    <row r="67" spans="7:108" ht="21" hidden="1" thickBot="1" x14ac:dyDescent="0.25">
      <c r="G67" s="998"/>
      <c r="H67"/>
      <c r="I67"/>
      <c r="J67"/>
      <c r="K67"/>
      <c r="L67"/>
      <c r="M67"/>
      <c r="N67"/>
      <c r="O67" s="995"/>
      <c r="BN67" s="86"/>
      <c r="BP67" s="96">
        <v>32</v>
      </c>
      <c r="BQ67" s="107"/>
      <c r="BR67" s="107"/>
      <c r="BS67" s="107"/>
      <c r="BT67" s="107"/>
      <c r="BU67" s="107"/>
      <c r="BV67" s="108"/>
      <c r="BW67" s="107"/>
      <c r="BX67" s="107"/>
      <c r="BY67" s="107"/>
      <c r="BZ67" s="107"/>
      <c r="CA67" s="107"/>
      <c r="CB67" s="107"/>
      <c r="CC67" s="107"/>
      <c r="CD67" s="107"/>
      <c r="CE67" s="107"/>
      <c r="CF67" s="107"/>
      <c r="CG67" s="107"/>
      <c r="CH67" s="109"/>
      <c r="CI67" s="107"/>
      <c r="CJ67" s="110"/>
      <c r="CK67" s="107"/>
      <c r="CL67" s="107"/>
      <c r="CM67" s="107"/>
      <c r="CN67" s="108"/>
      <c r="CO67" s="78"/>
      <c r="CP67" s="78"/>
      <c r="CQ67" s="101" t="b">
        <f>IF(CV57=32,27)</f>
        <v>0</v>
      </c>
      <c r="CR67" s="111"/>
      <c r="CS67" s="111"/>
      <c r="CT67" s="111"/>
      <c r="CU67" s="111"/>
      <c r="CV67" s="111"/>
      <c r="CW67" s="111"/>
      <c r="CX67" s="111"/>
      <c r="CY67" s="111"/>
      <c r="CZ67" s="111"/>
      <c r="DA67" s="103" t="b">
        <f>IF(CV57=32,37)</f>
        <v>0</v>
      </c>
      <c r="DB67" s="78"/>
      <c r="DC67" s="78"/>
      <c r="DD67" s="78"/>
    </row>
    <row r="68" spans="7:108" ht="21" hidden="1" thickBot="1" x14ac:dyDescent="0.25">
      <c r="G68" s="998"/>
      <c r="H68"/>
      <c r="I68"/>
      <c r="J68"/>
      <c r="K68"/>
      <c r="L68"/>
      <c r="M68"/>
      <c r="N68"/>
      <c r="O68" s="995"/>
      <c r="BN68" s="86"/>
      <c r="BP68" s="96">
        <v>31</v>
      </c>
      <c r="BQ68" s="107"/>
      <c r="BR68" s="107"/>
      <c r="BS68" s="107"/>
      <c r="BT68" s="107"/>
      <c r="BU68" s="107"/>
      <c r="BV68" s="108"/>
      <c r="BW68" s="107"/>
      <c r="BX68" s="107"/>
      <c r="BY68" s="107"/>
      <c r="BZ68" s="107"/>
      <c r="CA68" s="107"/>
      <c r="CB68" s="107"/>
      <c r="CC68" s="107"/>
      <c r="CD68" s="107"/>
      <c r="CE68" s="107"/>
      <c r="CF68" s="107"/>
      <c r="CG68" s="107"/>
      <c r="CH68" s="109"/>
      <c r="CI68" s="107"/>
      <c r="CJ68" s="110"/>
      <c r="CK68" s="107"/>
      <c r="CL68" s="107"/>
      <c r="CM68" s="107"/>
      <c r="CN68" s="108"/>
      <c r="CO68" s="101" t="b">
        <f>IF(CU57=31,25)</f>
        <v>0</v>
      </c>
      <c r="CP68" s="111"/>
      <c r="CQ68" s="111"/>
      <c r="CR68" s="111"/>
      <c r="CS68" s="111"/>
      <c r="CT68" s="111"/>
      <c r="CU68" s="111"/>
      <c r="CV68" s="111"/>
      <c r="CW68" s="111"/>
      <c r="CX68" s="111"/>
      <c r="CY68" s="111"/>
      <c r="CZ68" s="111"/>
      <c r="DA68" s="103" t="b">
        <f>IF(CU57=31,37)</f>
        <v>0</v>
      </c>
      <c r="DB68" s="78"/>
      <c r="DC68" s="78"/>
      <c r="DD68" s="78"/>
    </row>
    <row r="69" spans="7:108" ht="21" hidden="1" thickBot="1" x14ac:dyDescent="0.25">
      <c r="G69" s="998"/>
      <c r="H69"/>
      <c r="I69"/>
      <c r="J69"/>
      <c r="K69"/>
      <c r="L69"/>
      <c r="M69"/>
      <c r="N69"/>
      <c r="O69" s="995"/>
      <c r="BN69" s="86"/>
      <c r="BP69" s="96">
        <v>30</v>
      </c>
      <c r="BQ69" s="107"/>
      <c r="BR69" s="107"/>
      <c r="BS69" s="107"/>
      <c r="BT69" s="107"/>
      <c r="BU69" s="107"/>
      <c r="BV69" s="108"/>
      <c r="BW69" s="107"/>
      <c r="BX69" s="107"/>
      <c r="BY69" s="107"/>
      <c r="BZ69" s="107"/>
      <c r="CA69" s="107"/>
      <c r="CB69" s="107"/>
      <c r="CC69" s="107"/>
      <c r="CD69" s="107"/>
      <c r="CE69" s="107"/>
      <c r="CF69" s="107"/>
      <c r="CG69" s="107"/>
      <c r="CH69" s="109"/>
      <c r="CI69" s="107"/>
      <c r="CJ69" s="110"/>
      <c r="CK69" s="107"/>
      <c r="CL69" s="107"/>
      <c r="CM69" s="101" t="b">
        <f>IF(CT57=30,23)</f>
        <v>0</v>
      </c>
      <c r="CN69" s="112"/>
      <c r="CO69" s="111"/>
      <c r="CP69" s="111"/>
      <c r="CQ69" s="111"/>
      <c r="CR69" s="111"/>
      <c r="CS69" s="111"/>
      <c r="CT69" s="111"/>
      <c r="CU69" s="111"/>
      <c r="CV69" s="111"/>
      <c r="CW69" s="111"/>
      <c r="CX69" s="111"/>
      <c r="CY69" s="111"/>
      <c r="CZ69" s="111"/>
      <c r="DA69" s="103" t="b">
        <f>IF(CT57=30,37)</f>
        <v>0</v>
      </c>
      <c r="DB69" s="78"/>
      <c r="DC69" s="78"/>
      <c r="DD69" s="78"/>
    </row>
    <row r="70" spans="7:108" ht="21" hidden="1" thickBot="1" x14ac:dyDescent="0.25">
      <c r="G70" s="998"/>
      <c r="H70"/>
      <c r="I70"/>
      <c r="J70"/>
      <c r="K70"/>
      <c r="L70"/>
      <c r="M70"/>
      <c r="N70"/>
      <c r="O70" s="995"/>
      <c r="BN70" s="86"/>
      <c r="BO70" s="114"/>
      <c r="BP70" s="96">
        <v>29</v>
      </c>
      <c r="BQ70" s="78"/>
      <c r="BR70" s="78"/>
      <c r="BS70" s="78"/>
      <c r="BT70" s="78"/>
      <c r="BU70" s="78"/>
      <c r="BV70" s="78"/>
      <c r="BW70" s="78"/>
      <c r="BX70" s="78"/>
      <c r="BY70" s="78"/>
      <c r="BZ70" s="78"/>
      <c r="CA70" s="78"/>
      <c r="CB70" s="78"/>
      <c r="CC70" s="78"/>
      <c r="CD70" s="78"/>
      <c r="CE70" s="78"/>
      <c r="CF70" s="78"/>
      <c r="CG70" s="78"/>
      <c r="CH70" s="115"/>
      <c r="CI70" s="78"/>
      <c r="CJ70" s="116"/>
      <c r="CK70" s="117" t="b">
        <f>IF(CS57=29,21)</f>
        <v>0</v>
      </c>
      <c r="CL70" s="111"/>
      <c r="CM70" s="111"/>
      <c r="CN70" s="111"/>
      <c r="CO70" s="111"/>
      <c r="CP70" s="111"/>
      <c r="CQ70" s="111"/>
      <c r="CR70" s="118"/>
      <c r="CS70" s="111"/>
      <c r="CT70" s="118"/>
      <c r="CU70" s="119"/>
      <c r="CV70" s="119"/>
      <c r="CW70" s="119"/>
      <c r="CX70" s="119"/>
      <c r="CY70" s="119"/>
      <c r="CZ70" s="119"/>
      <c r="DA70" s="103" t="b">
        <f>IF(CS57=29,37)</f>
        <v>0</v>
      </c>
      <c r="DB70" s="76"/>
      <c r="DC70" s="78"/>
      <c r="DD70" s="78"/>
    </row>
    <row r="71" spans="7:108" ht="21" hidden="1" thickBot="1" x14ac:dyDescent="0.25">
      <c r="G71" s="998"/>
      <c r="H71"/>
      <c r="I71"/>
      <c r="J71"/>
      <c r="K71"/>
      <c r="L71"/>
      <c r="M71"/>
      <c r="N71"/>
      <c r="O71" s="995"/>
      <c r="BN71" s="86"/>
      <c r="BO71" s="114"/>
      <c r="BP71" s="96">
        <v>28</v>
      </c>
      <c r="BQ71" s="78"/>
      <c r="BR71" s="78"/>
      <c r="BS71" s="78"/>
      <c r="BT71" s="78"/>
      <c r="BU71" s="78"/>
      <c r="BV71" s="78"/>
      <c r="BW71" s="78"/>
      <c r="BX71" s="78"/>
      <c r="BY71" s="78"/>
      <c r="BZ71" s="78"/>
      <c r="CA71" s="78"/>
      <c r="CB71" s="78"/>
      <c r="CC71" s="78"/>
      <c r="CD71" s="78"/>
      <c r="CE71" s="78"/>
      <c r="CF71" s="78"/>
      <c r="CG71" s="78"/>
      <c r="CH71" s="115"/>
      <c r="CI71" s="78"/>
      <c r="CJ71" s="116"/>
      <c r="CK71" s="120" t="b">
        <f>IF(CR57=28,21)</f>
        <v>0</v>
      </c>
      <c r="CL71" s="121"/>
      <c r="CM71" s="121"/>
      <c r="CN71" s="121"/>
      <c r="CO71" s="121"/>
      <c r="CP71" s="122"/>
      <c r="CQ71" s="121"/>
      <c r="CR71" s="121"/>
      <c r="CS71" s="121"/>
      <c r="CT71" s="122"/>
      <c r="CU71" s="123"/>
      <c r="CV71" s="123"/>
      <c r="CW71" s="123"/>
      <c r="CX71" s="123"/>
      <c r="CY71" s="124" t="b">
        <f>IF(CR57=28,35)</f>
        <v>0</v>
      </c>
      <c r="CZ71" s="76"/>
      <c r="DA71" s="76"/>
      <c r="DB71" s="76"/>
      <c r="DC71" s="78"/>
      <c r="DD71" s="78"/>
    </row>
    <row r="72" spans="7:108" ht="21" hidden="1" thickBot="1" x14ac:dyDescent="0.25">
      <c r="G72" s="998"/>
      <c r="H72"/>
      <c r="I72"/>
      <c r="J72"/>
      <c r="K72"/>
      <c r="L72"/>
      <c r="M72"/>
      <c r="N72"/>
      <c r="O72" s="995"/>
      <c r="BN72" s="86"/>
      <c r="BO72" s="114"/>
      <c r="BP72" s="96">
        <v>27</v>
      </c>
      <c r="BQ72" s="78"/>
      <c r="BR72" s="78"/>
      <c r="BS72" s="78"/>
      <c r="BT72" s="78"/>
      <c r="BU72" s="78"/>
      <c r="BV72" s="78"/>
      <c r="BW72" s="78"/>
      <c r="BX72" s="78"/>
      <c r="BY72" s="78"/>
      <c r="BZ72" s="78"/>
      <c r="CA72" s="78"/>
      <c r="CB72" s="78"/>
      <c r="CC72" s="78"/>
      <c r="CD72" s="78"/>
      <c r="CE72" s="78"/>
      <c r="CF72" s="78"/>
      <c r="CG72" s="78"/>
      <c r="CH72" s="115"/>
      <c r="CI72" s="78"/>
      <c r="CJ72" s="116"/>
      <c r="CK72" s="120" t="b">
        <f>IF(CQ57=27,21)</f>
        <v>0</v>
      </c>
      <c r="CL72" s="121"/>
      <c r="CM72" s="121"/>
      <c r="CN72" s="122"/>
      <c r="CO72" s="121"/>
      <c r="CP72" s="121"/>
      <c r="CQ72" s="121"/>
      <c r="CR72" s="121"/>
      <c r="CS72" s="121"/>
      <c r="CT72" s="122"/>
      <c r="CU72" s="123"/>
      <c r="CV72" s="123"/>
      <c r="CW72" s="124" t="b">
        <f>IF(CQ57=27,33)</f>
        <v>0</v>
      </c>
      <c r="CX72" s="76"/>
      <c r="CY72" s="76"/>
      <c r="CZ72" s="76"/>
      <c r="DA72" s="76"/>
      <c r="DB72" s="76"/>
      <c r="DC72" s="78"/>
      <c r="DD72" s="78"/>
    </row>
    <row r="73" spans="7:108" ht="21" hidden="1" thickBot="1" x14ac:dyDescent="0.25">
      <c r="G73" s="998"/>
      <c r="H73"/>
      <c r="I73"/>
      <c r="J73"/>
      <c r="K73"/>
      <c r="L73"/>
      <c r="M73"/>
      <c r="N73"/>
      <c r="O73" s="995"/>
      <c r="BN73" s="86"/>
      <c r="BP73" s="96">
        <v>26</v>
      </c>
      <c r="BQ73" s="78"/>
      <c r="BR73" s="78"/>
      <c r="BS73" s="78"/>
      <c r="BT73" s="78"/>
      <c r="BU73" s="78"/>
      <c r="BV73" s="78"/>
      <c r="BW73" s="78"/>
      <c r="BX73" s="78"/>
      <c r="BY73" s="78"/>
      <c r="BZ73" s="78"/>
      <c r="CA73" s="78"/>
      <c r="CB73" s="78"/>
      <c r="CC73" s="78"/>
      <c r="CD73" s="78"/>
      <c r="CE73" s="78"/>
      <c r="CF73" s="78"/>
      <c r="CG73" s="78"/>
      <c r="CH73" s="115"/>
      <c r="CI73" s="78"/>
      <c r="CJ73" s="116"/>
      <c r="CK73" s="120" t="b">
        <f>IF(CP57=26,21)</f>
        <v>0</v>
      </c>
      <c r="CL73" s="122"/>
      <c r="CM73" s="121"/>
      <c r="CN73" s="121"/>
      <c r="CO73" s="121"/>
      <c r="CP73" s="121"/>
      <c r="CQ73" s="121"/>
      <c r="CR73" s="121"/>
      <c r="CS73" s="121"/>
      <c r="CT73" s="122"/>
      <c r="CU73" s="124" t="b">
        <f>IF(CP57=26,31)</f>
        <v>0</v>
      </c>
      <c r="CV73" s="76"/>
      <c r="CW73" s="76"/>
      <c r="CX73" s="76"/>
      <c r="CY73" s="76"/>
      <c r="CZ73" s="76"/>
      <c r="DA73" s="76"/>
      <c r="DB73" s="76"/>
      <c r="DC73" s="78"/>
      <c r="DD73" s="78"/>
    </row>
    <row r="74" spans="7:108" ht="21" hidden="1" thickBot="1" x14ac:dyDescent="0.25">
      <c r="G74" s="998"/>
      <c r="H74"/>
      <c r="I74"/>
      <c r="J74"/>
      <c r="K74"/>
      <c r="L74"/>
      <c r="M74"/>
      <c r="N74"/>
      <c r="O74" s="995"/>
      <c r="BN74" s="86"/>
      <c r="BO74" s="126"/>
      <c r="BP74" s="96">
        <v>25</v>
      </c>
      <c r="BQ74" s="78"/>
      <c r="BR74" s="78"/>
      <c r="BS74" s="78"/>
      <c r="BT74" s="78"/>
      <c r="BU74" s="78"/>
      <c r="BV74" s="78"/>
      <c r="BW74" s="78"/>
      <c r="BX74" s="78"/>
      <c r="BY74" s="78"/>
      <c r="BZ74" s="78"/>
      <c r="CA74" s="78"/>
      <c r="CC74" s="78"/>
      <c r="CD74" s="78"/>
      <c r="CE74" s="78"/>
      <c r="CF74" s="78"/>
      <c r="CG74" s="78"/>
      <c r="CH74" s="115"/>
      <c r="CI74" s="78"/>
      <c r="CK74" s="128" t="b">
        <f>IF(CO57=25,21)</f>
        <v>0</v>
      </c>
      <c r="CL74" s="121"/>
      <c r="CM74" s="121"/>
      <c r="CN74" s="121"/>
      <c r="CO74" s="121"/>
      <c r="CP74" s="121"/>
      <c r="CQ74" s="121"/>
      <c r="CR74" s="121"/>
      <c r="CS74" s="124" t="b">
        <f>IF(CO57=25,29)</f>
        <v>0</v>
      </c>
      <c r="CU74" s="76"/>
      <c r="CV74" s="76"/>
      <c r="CW74" s="76"/>
      <c r="CX74" s="76"/>
      <c r="CY74" s="76"/>
      <c r="CZ74" s="76"/>
      <c r="DA74" s="76"/>
      <c r="DB74" s="76"/>
      <c r="DC74" s="78"/>
      <c r="DD74" s="78"/>
    </row>
    <row r="75" spans="7:108" ht="21" hidden="1" thickBot="1" x14ac:dyDescent="0.25">
      <c r="G75" s="998"/>
      <c r="H75"/>
      <c r="I75"/>
      <c r="J75"/>
      <c r="K75"/>
      <c r="L75"/>
      <c r="M75"/>
      <c r="N75"/>
      <c r="O75" s="995"/>
      <c r="BN75" s="86"/>
      <c r="BO75" s="126"/>
      <c r="BP75" s="96">
        <v>24</v>
      </c>
      <c r="BQ75" s="78"/>
      <c r="BR75" s="78"/>
      <c r="BS75" s="78"/>
      <c r="BT75" s="78"/>
      <c r="BU75" s="78"/>
      <c r="BV75" s="78"/>
      <c r="BW75" s="78"/>
      <c r="BX75" s="78"/>
      <c r="BY75" s="78"/>
      <c r="BZ75" s="78"/>
      <c r="CA75" s="78"/>
      <c r="CB75" s="117" t="b">
        <f>IF(CN57=24,12)</f>
        <v>0</v>
      </c>
      <c r="CC75" s="111"/>
      <c r="CD75" s="111"/>
      <c r="CE75" s="111"/>
      <c r="CF75" s="111"/>
      <c r="CG75" s="111"/>
      <c r="CH75" s="118"/>
      <c r="CI75" s="111"/>
      <c r="CJ75" s="129"/>
      <c r="CK75" s="111"/>
      <c r="CL75" s="111"/>
      <c r="CM75" s="111"/>
      <c r="CN75" s="111"/>
      <c r="CO75" s="111"/>
      <c r="CP75" s="111"/>
      <c r="CQ75" s="111"/>
      <c r="CR75" s="111"/>
      <c r="CS75" s="111"/>
      <c r="CT75" s="118"/>
      <c r="CU75" s="119"/>
      <c r="CV75" s="119"/>
      <c r="CW75" s="119"/>
      <c r="CX75" s="119"/>
      <c r="CY75" s="119"/>
      <c r="CZ75" s="103" t="b">
        <f>IF(CN57=24,36)</f>
        <v>0</v>
      </c>
      <c r="DA75" s="76"/>
      <c r="DB75" s="76"/>
      <c r="DC75" s="78"/>
      <c r="DD75" s="78"/>
    </row>
    <row r="76" spans="7:108" ht="21" hidden="1" thickBot="1" x14ac:dyDescent="0.25">
      <c r="G76" s="998"/>
      <c r="H76"/>
      <c r="I76"/>
      <c r="J76"/>
      <c r="K76"/>
      <c r="L76"/>
      <c r="M76"/>
      <c r="N76"/>
      <c r="O76" s="995"/>
      <c r="BN76" s="86"/>
      <c r="BO76" s="126"/>
      <c r="BP76" s="96">
        <v>23</v>
      </c>
      <c r="BQ76" s="78"/>
      <c r="BR76" s="78"/>
      <c r="BS76" s="78"/>
      <c r="BT76" s="78"/>
      <c r="BU76" s="78"/>
      <c r="BV76" s="78"/>
      <c r="BW76" s="78"/>
      <c r="BX76" s="78"/>
      <c r="BY76" s="78"/>
      <c r="BZ76" s="78"/>
      <c r="CA76" s="78"/>
      <c r="CB76" s="120" t="b">
        <f>IF(CM57=23,12)</f>
        <v>0</v>
      </c>
      <c r="CC76" s="121"/>
      <c r="CD76" s="121"/>
      <c r="CE76" s="121"/>
      <c r="CF76" s="122"/>
      <c r="CG76" s="121"/>
      <c r="CH76" s="132"/>
      <c r="CI76" s="121"/>
      <c r="CJ76" s="133"/>
      <c r="CK76" s="121"/>
      <c r="CL76" s="121"/>
      <c r="CM76" s="121"/>
      <c r="CN76" s="121"/>
      <c r="CO76" s="121"/>
      <c r="CP76" s="121"/>
      <c r="CQ76" s="121"/>
      <c r="CR76" s="121"/>
      <c r="CS76" s="121"/>
      <c r="CT76" s="122"/>
      <c r="CU76" s="123"/>
      <c r="CV76" s="123"/>
      <c r="CW76" s="123"/>
      <c r="CX76" s="124" t="b">
        <f>IF(CM57=23,34)</f>
        <v>0</v>
      </c>
      <c r="CY76" s="76"/>
      <c r="CZ76" s="76"/>
      <c r="DA76" s="76"/>
      <c r="DB76" s="76"/>
      <c r="DC76" s="78"/>
      <c r="DD76" s="78"/>
    </row>
    <row r="77" spans="7:108" ht="21" hidden="1" thickBot="1" x14ac:dyDescent="0.25">
      <c r="G77" s="998"/>
      <c r="H77"/>
      <c r="I77"/>
      <c r="J77"/>
      <c r="K77"/>
      <c r="L77"/>
      <c r="M77"/>
      <c r="N77"/>
      <c r="O77" s="995"/>
      <c r="BN77" s="86"/>
      <c r="BO77" s="126"/>
      <c r="BP77" s="96">
        <v>22</v>
      </c>
      <c r="BQ77" s="76"/>
      <c r="BR77" s="76"/>
      <c r="BS77" s="76"/>
      <c r="BT77" s="76"/>
      <c r="BU77" s="76"/>
      <c r="BV77" s="76"/>
      <c r="BW77" s="76"/>
      <c r="BX77" s="76"/>
      <c r="BY77" s="76"/>
      <c r="BZ77" s="76"/>
      <c r="CA77" s="76"/>
      <c r="CB77" s="120" t="b">
        <f>IF(CL57=22,12)</f>
        <v>0</v>
      </c>
      <c r="CC77" s="123"/>
      <c r="CD77" s="123"/>
      <c r="CE77" s="123"/>
      <c r="CF77" s="122"/>
      <c r="CG77" s="123"/>
      <c r="CH77" s="134"/>
      <c r="CI77" s="123"/>
      <c r="CJ77" s="135"/>
      <c r="CK77" s="123"/>
      <c r="CL77" s="123"/>
      <c r="CM77" s="123"/>
      <c r="CN77" s="123"/>
      <c r="CO77" s="121"/>
      <c r="CP77" s="121"/>
      <c r="CQ77" s="122"/>
      <c r="CR77" s="121"/>
      <c r="CS77" s="121"/>
      <c r="CT77" s="121"/>
      <c r="CU77" s="121"/>
      <c r="CV77" s="124" t="b">
        <f>IF(CL57=22,32)</f>
        <v>0</v>
      </c>
      <c r="CW77" s="78"/>
      <c r="CX77" s="78"/>
      <c r="CY77" s="78"/>
      <c r="CZ77" s="78"/>
      <c r="DA77" s="78"/>
      <c r="DB77" s="78"/>
      <c r="DC77" s="78"/>
      <c r="DD77" s="78"/>
    </row>
    <row r="78" spans="7:108" ht="21" hidden="1" thickBot="1" x14ac:dyDescent="0.25">
      <c r="G78" s="998"/>
      <c r="H78"/>
      <c r="I78"/>
      <c r="J78"/>
      <c r="K78"/>
      <c r="L78"/>
      <c r="M78"/>
      <c r="N78"/>
      <c r="O78" s="995"/>
      <c r="BN78" s="86"/>
      <c r="BO78" s="126"/>
      <c r="BP78" s="96">
        <v>21</v>
      </c>
      <c r="BQ78" s="78"/>
      <c r="BR78" s="78"/>
      <c r="BS78" s="78"/>
      <c r="BT78" s="78"/>
      <c r="BU78" s="78"/>
      <c r="BV78" s="78"/>
      <c r="BW78" s="78"/>
      <c r="BX78" s="78"/>
      <c r="BY78" s="78"/>
      <c r="BZ78" s="78"/>
      <c r="CA78" s="78"/>
      <c r="CB78" s="120" t="b">
        <f>IF(CK57=21,12)</f>
        <v>0</v>
      </c>
      <c r="CC78" s="121"/>
      <c r="CD78" s="121"/>
      <c r="CE78" s="121"/>
      <c r="CF78" s="121"/>
      <c r="CG78" s="121"/>
      <c r="CH78" s="132"/>
      <c r="CI78" s="121"/>
      <c r="CJ78" s="133"/>
      <c r="CK78" s="121"/>
      <c r="CL78" s="121"/>
      <c r="CM78" s="121"/>
      <c r="CN78" s="121"/>
      <c r="CO78" s="121"/>
      <c r="CP78" s="121"/>
      <c r="CQ78" s="121"/>
      <c r="CR78" s="121"/>
      <c r="CS78" s="121"/>
      <c r="CT78" s="124" t="b">
        <f>IF(CK57=21,30)</f>
        <v>0</v>
      </c>
      <c r="CU78" s="76"/>
      <c r="CV78" s="76"/>
      <c r="CW78" s="76"/>
      <c r="CX78" s="76"/>
      <c r="CY78" s="76"/>
      <c r="CZ78" s="76"/>
      <c r="DA78" s="76"/>
      <c r="DB78" s="76"/>
      <c r="DC78" s="78"/>
      <c r="DD78" s="78"/>
    </row>
    <row r="79" spans="7:108" ht="21" hidden="1" thickBot="1" x14ac:dyDescent="0.25">
      <c r="G79" s="1008"/>
      <c r="H79"/>
      <c r="I79"/>
      <c r="J79"/>
      <c r="K79"/>
      <c r="L79"/>
      <c r="M79"/>
      <c r="N79"/>
      <c r="O79" s="995"/>
      <c r="BN79" s="86"/>
      <c r="BO79" s="1091"/>
      <c r="BP79" s="96">
        <v>20</v>
      </c>
      <c r="BQ79" s="78"/>
      <c r="BR79" s="78"/>
      <c r="BS79" s="78"/>
      <c r="BT79" s="78"/>
      <c r="BU79" s="78"/>
      <c r="BV79" s="78"/>
      <c r="BW79" s="78"/>
      <c r="BX79" s="78"/>
      <c r="CA79" s="137"/>
      <c r="CB79" s="117" t="b">
        <f>IF(CJ57=20,12)</f>
        <v>0</v>
      </c>
      <c r="CC79" s="111"/>
      <c r="CD79" s="111"/>
      <c r="CE79" s="111"/>
      <c r="CF79" s="111"/>
      <c r="CG79" s="111"/>
      <c r="CH79" s="138"/>
      <c r="CI79" s="111"/>
      <c r="CJ79" s="129"/>
      <c r="CK79" s="111"/>
      <c r="CL79" s="111"/>
      <c r="CM79" s="111"/>
      <c r="CN79" s="111"/>
      <c r="CO79" s="111"/>
      <c r="CP79" s="111"/>
      <c r="CQ79" s="111"/>
      <c r="CR79" s="103" t="b">
        <f>IF(CJ57=20,28)</f>
        <v>0</v>
      </c>
      <c r="CS79" s="137"/>
      <c r="CU79" s="76"/>
      <c r="CV79" s="76"/>
      <c r="CW79" s="76"/>
      <c r="CX79" s="76"/>
      <c r="CY79" s="76"/>
      <c r="CZ79" s="76"/>
      <c r="DA79" s="76"/>
      <c r="DB79" s="76"/>
      <c r="DC79" s="78"/>
      <c r="DD79" s="78"/>
    </row>
    <row r="80" spans="7:108" ht="21" hidden="1" thickBot="1" x14ac:dyDescent="0.25">
      <c r="G80" s="998"/>
      <c r="H80"/>
      <c r="I80"/>
      <c r="J80"/>
      <c r="K80"/>
      <c r="L80"/>
      <c r="M80"/>
      <c r="N80"/>
      <c r="O80" s="995"/>
      <c r="BN80" s="86"/>
      <c r="BO80" s="1091"/>
      <c r="BP80" s="96">
        <v>19</v>
      </c>
      <c r="BQ80" s="78"/>
      <c r="BR80" s="78"/>
      <c r="BS80" s="78"/>
      <c r="BT80" s="78"/>
      <c r="BU80" s="78"/>
      <c r="BV80" s="78"/>
      <c r="BW80" s="78"/>
      <c r="BX80" s="78"/>
      <c r="BZ80" s="139"/>
      <c r="CA80" s="139"/>
      <c r="CB80" s="117" t="b">
        <f>IF(CI57=19,12)</f>
        <v>0</v>
      </c>
      <c r="CC80" s="119"/>
      <c r="CD80" s="119"/>
      <c r="CE80" s="118"/>
      <c r="CF80" s="119"/>
      <c r="CG80" s="119"/>
      <c r="CH80" s="140"/>
      <c r="CI80" s="119"/>
      <c r="CJ80" s="141"/>
      <c r="CK80" s="118"/>
      <c r="CL80" s="119"/>
      <c r="CM80" s="119"/>
      <c r="CN80" s="119"/>
      <c r="CO80" s="111"/>
      <c r="CP80" s="103" t="b">
        <f>IF(CI57=19,26)</f>
        <v>0</v>
      </c>
      <c r="CQ80" s="142"/>
      <c r="CR80" s="137"/>
      <c r="CT80" s="78"/>
      <c r="CU80" s="78"/>
      <c r="CV80" s="78"/>
      <c r="CW80" s="78"/>
      <c r="CX80" s="78"/>
      <c r="CY80" s="78"/>
      <c r="CZ80" s="78"/>
      <c r="DA80" s="78"/>
      <c r="DB80" s="78"/>
      <c r="DC80" s="78"/>
      <c r="DD80" s="78"/>
    </row>
    <row r="81" spans="7:143" ht="21" hidden="1" thickBot="1" x14ac:dyDescent="0.25">
      <c r="G81" s="998"/>
      <c r="H81"/>
      <c r="I81"/>
      <c r="J81"/>
      <c r="K81"/>
      <c r="L81"/>
      <c r="M81"/>
      <c r="N81"/>
      <c r="O81" s="995"/>
      <c r="BN81" s="86"/>
      <c r="BO81" s="1091"/>
      <c r="BP81" s="96">
        <v>18</v>
      </c>
      <c r="BQ81" s="76"/>
      <c r="BR81" s="76"/>
      <c r="BS81" s="76"/>
      <c r="BT81" s="76"/>
      <c r="BU81" s="76"/>
      <c r="BV81" s="76"/>
      <c r="BW81" s="76"/>
      <c r="BX81" s="76"/>
      <c r="BZ81" s="117" t="b">
        <f>IF(CH57=18,10)</f>
        <v>0</v>
      </c>
      <c r="CA81" s="119"/>
      <c r="CB81" s="119"/>
      <c r="CC81" s="119"/>
      <c r="CD81" s="119"/>
      <c r="CE81" s="118"/>
      <c r="CF81" s="119"/>
      <c r="CG81" s="119"/>
      <c r="CH81" s="140"/>
      <c r="CI81" s="119"/>
      <c r="CJ81" s="141"/>
      <c r="CK81" s="118"/>
      <c r="CL81" s="119"/>
      <c r="CM81" s="119"/>
      <c r="CN81" s="119"/>
      <c r="CO81" s="111"/>
      <c r="CP81" s="103" t="b">
        <f>IF(CH57=18,26)</f>
        <v>0</v>
      </c>
      <c r="CR81" s="78"/>
      <c r="CS81" s="78"/>
      <c r="CT81" s="78"/>
      <c r="CU81" s="78"/>
      <c r="CV81" s="78"/>
      <c r="CW81" s="78"/>
      <c r="CX81" s="78"/>
      <c r="CY81" s="78"/>
      <c r="CZ81" s="78"/>
      <c r="DA81" s="78"/>
      <c r="DB81" s="78"/>
      <c r="DC81" s="78"/>
      <c r="DD81" s="78"/>
    </row>
    <row r="82" spans="7:143" ht="21" hidden="1" thickBot="1" x14ac:dyDescent="0.25">
      <c r="G82" s="998"/>
      <c r="H82"/>
      <c r="I82"/>
      <c r="J82"/>
      <c r="K82"/>
      <c r="L82"/>
      <c r="M82"/>
      <c r="N82"/>
      <c r="O82" s="995"/>
      <c r="BN82" s="86"/>
      <c r="BO82" s="1091"/>
      <c r="BP82" s="96">
        <v>17</v>
      </c>
      <c r="BQ82" s="76"/>
      <c r="BR82" s="76"/>
      <c r="BS82" s="76"/>
      <c r="BT82" s="76"/>
      <c r="BU82" s="76"/>
      <c r="BV82" s="76"/>
      <c r="BW82" s="76"/>
      <c r="BX82" s="117">
        <f>IF(CG57=17,8)</f>
        <v>8</v>
      </c>
      <c r="BY82" s="118"/>
      <c r="BZ82" s="118"/>
      <c r="CA82" s="119"/>
      <c r="CB82" s="119"/>
      <c r="CC82" s="119"/>
      <c r="CD82" s="119"/>
      <c r="CE82" s="119"/>
      <c r="CF82" s="119"/>
      <c r="CG82" s="119"/>
      <c r="CH82" s="140"/>
      <c r="CI82" s="119"/>
      <c r="CJ82" s="141"/>
      <c r="CK82" s="119"/>
      <c r="CL82" s="119"/>
      <c r="CM82" s="119"/>
      <c r="CN82" s="118"/>
      <c r="CO82" s="118"/>
      <c r="CP82" s="103">
        <f>IF(CG57=17,26)</f>
        <v>26</v>
      </c>
      <c r="CQ82" s="78"/>
      <c r="CR82" s="78"/>
      <c r="CS82" s="78"/>
      <c r="CT82" s="78"/>
      <c r="CU82" s="78"/>
      <c r="CV82" s="78"/>
      <c r="CW82" s="78"/>
      <c r="CX82" s="78"/>
      <c r="CY82" s="78"/>
      <c r="CZ82" s="78"/>
      <c r="DA82" s="78"/>
      <c r="DB82" s="78"/>
      <c r="DC82" s="78"/>
      <c r="DD82" s="78"/>
      <c r="DF82" s="1814"/>
      <c r="DG82" s="1814"/>
      <c r="DH82" s="76"/>
      <c r="DI82" s="76"/>
      <c r="DJ82" s="77"/>
      <c r="DK82" s="78"/>
      <c r="DL82" s="78"/>
      <c r="DM82" s="78"/>
      <c r="DN82" s="78"/>
      <c r="DO82" s="78"/>
      <c r="DP82" s="78"/>
      <c r="DQ82" s="78"/>
      <c r="DR82" s="78"/>
      <c r="DS82" s="78"/>
      <c r="DT82" s="78"/>
      <c r="DU82" s="78"/>
      <c r="DV82" s="78"/>
      <c r="DW82" s="78"/>
      <c r="DX82" s="78"/>
      <c r="DY82" s="78"/>
      <c r="DZ82" s="78"/>
      <c r="EA82" s="78"/>
      <c r="EB82" s="78"/>
      <c r="EC82" s="78"/>
      <c r="ED82" s="78"/>
      <c r="EE82" s="78"/>
      <c r="EF82" s="78"/>
      <c r="EG82" s="78"/>
      <c r="EH82" s="78"/>
      <c r="EI82" s="78"/>
      <c r="EJ82" s="78"/>
      <c r="EK82" s="78"/>
      <c r="EL82" s="74"/>
      <c r="EM82" s="74"/>
    </row>
    <row r="83" spans="7:143" ht="21" hidden="1" thickBot="1" x14ac:dyDescent="0.25">
      <c r="G83" s="998"/>
      <c r="H83"/>
      <c r="I83"/>
      <c r="J83"/>
      <c r="K83" s="988">
        <v>5</v>
      </c>
      <c r="L83"/>
      <c r="M83" s="988">
        <v>51</v>
      </c>
      <c r="N83"/>
      <c r="O83" s="995"/>
      <c r="BN83" s="86"/>
      <c r="BO83" s="1091"/>
      <c r="BP83" s="96">
        <v>16</v>
      </c>
      <c r="BQ83" s="76"/>
      <c r="BR83" s="76"/>
      <c r="BS83" s="76"/>
      <c r="BT83" s="76"/>
      <c r="BU83" s="76"/>
      <c r="BV83" s="145" t="b">
        <f>IF(CF57=16,6)</f>
        <v>0</v>
      </c>
      <c r="BW83" s="146"/>
      <c r="BX83" s="147"/>
      <c r="BY83" s="147"/>
      <c r="BZ83" s="146"/>
      <c r="CA83" s="146"/>
      <c r="CB83" s="146"/>
      <c r="CC83" s="146"/>
      <c r="CD83" s="146"/>
      <c r="CE83" s="146"/>
      <c r="CF83" s="146"/>
      <c r="CG83" s="146"/>
      <c r="CH83" s="148"/>
      <c r="CI83" s="146"/>
      <c r="CJ83" s="149"/>
      <c r="CK83" s="146"/>
      <c r="CL83" s="146"/>
      <c r="CM83" s="147"/>
      <c r="CN83" s="147"/>
      <c r="CO83" s="150"/>
      <c r="CP83" s="151" t="b">
        <f>IF(CF57=16,26)</f>
        <v>0</v>
      </c>
      <c r="CQ83" s="78"/>
      <c r="CR83" s="78"/>
      <c r="CS83" s="78"/>
      <c r="CT83" s="78"/>
      <c r="CU83" s="78"/>
      <c r="CV83" s="78"/>
      <c r="CW83" s="78"/>
      <c r="CX83" s="78"/>
      <c r="CY83" s="78"/>
      <c r="CZ83" s="78"/>
      <c r="DA83" s="78"/>
      <c r="DB83" s="78"/>
      <c r="DC83" s="78"/>
      <c r="DD83" s="78"/>
      <c r="EJ83" s="78"/>
      <c r="EK83" s="78"/>
    </row>
    <row r="84" spans="7:143" ht="60" hidden="1" customHeight="1" thickBot="1" x14ac:dyDescent="0.25"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BN84" s="86"/>
      <c r="BO84" s="1091"/>
      <c r="BP84" s="96">
        <v>15</v>
      </c>
      <c r="BQ84" s="76"/>
      <c r="BR84" s="76"/>
      <c r="BS84" s="76"/>
      <c r="BT84" s="117" t="b">
        <f>IF(CE57=15,4)</f>
        <v>0</v>
      </c>
      <c r="BU84" s="119"/>
      <c r="BV84" s="119"/>
      <c r="BW84" s="119"/>
      <c r="BX84" s="118"/>
      <c r="BY84" s="119"/>
      <c r="BZ84" s="119"/>
      <c r="CA84" s="118"/>
      <c r="CB84" s="119"/>
      <c r="CC84" s="119"/>
      <c r="CD84" s="119"/>
      <c r="CE84" s="119"/>
      <c r="CF84" s="119"/>
      <c r="CG84" s="119"/>
      <c r="CH84" s="140"/>
      <c r="CI84" s="118"/>
      <c r="CJ84" s="141"/>
      <c r="CK84" s="119"/>
      <c r="CL84" s="118"/>
      <c r="CM84" s="119"/>
      <c r="CN84" s="119"/>
      <c r="CO84" s="111"/>
      <c r="CP84" s="103" t="b">
        <f>IF(CE57=15,26)</f>
        <v>0</v>
      </c>
      <c r="CQ84" s="78"/>
      <c r="CR84" s="78"/>
      <c r="CS84" s="78"/>
      <c r="CT84" s="78"/>
      <c r="CU84" s="78"/>
      <c r="CV84" s="78"/>
      <c r="CW84" s="78"/>
      <c r="CX84" s="78"/>
      <c r="CY84" s="78"/>
      <c r="CZ84" s="78"/>
      <c r="DA84" s="78"/>
      <c r="DB84" s="78"/>
      <c r="DC84" s="78"/>
      <c r="DD84" s="78"/>
      <c r="EJ84" s="78"/>
      <c r="EK84" s="78"/>
    </row>
    <row r="85" spans="7:143" ht="60" hidden="1" customHeight="1" thickBot="1" x14ac:dyDescent="0.3">
      <c r="G85" s="998"/>
      <c r="H85"/>
      <c r="I85"/>
      <c r="J85" s="1066" t="s">
        <v>260</v>
      </c>
      <c r="K85" s="1052">
        <f>+MIN(J19:K20)</f>
        <v>38.186157517899758</v>
      </c>
      <c r="L85" s="1051">
        <f>+$E$20/(BQ25)</f>
        <v>38.186157517899758</v>
      </c>
      <c r="M85" s="1051">
        <f>+MIN(K25:L26)</f>
        <v>38.186157517899758</v>
      </c>
      <c r="N85"/>
      <c r="O85" s="995"/>
      <c r="BN85" s="86"/>
      <c r="BO85" s="1091"/>
      <c r="BP85" s="96">
        <v>14</v>
      </c>
      <c r="BQ85" s="76"/>
      <c r="BR85" s="117" t="b">
        <f>IF(CD57=14,2)</f>
        <v>0</v>
      </c>
      <c r="BS85" s="119"/>
      <c r="BT85" s="119"/>
      <c r="BU85" s="119"/>
      <c r="BV85" s="118"/>
      <c r="BW85" s="119"/>
      <c r="BX85" s="119"/>
      <c r="BY85" s="118"/>
      <c r="BZ85" s="119"/>
      <c r="CA85" s="119"/>
      <c r="CB85" s="119"/>
      <c r="CC85" s="119"/>
      <c r="CD85" s="119"/>
      <c r="CE85" s="119"/>
      <c r="CF85" s="119"/>
      <c r="CG85" s="119"/>
      <c r="CH85" s="140"/>
      <c r="CI85" s="118"/>
      <c r="CJ85" s="141"/>
      <c r="CK85" s="119"/>
      <c r="CL85" s="118"/>
      <c r="CM85" s="119"/>
      <c r="CN85" s="119"/>
      <c r="CO85" s="111"/>
      <c r="CP85" s="103" t="b">
        <f>IF(CD57=14,26)</f>
        <v>0</v>
      </c>
      <c r="CQ85" s="78"/>
      <c r="CR85" s="78"/>
      <c r="CS85" s="78"/>
      <c r="CT85" s="78"/>
      <c r="CU85" s="78"/>
      <c r="CV85" s="78"/>
      <c r="CW85" s="78"/>
      <c r="CX85" s="78"/>
      <c r="CY85" s="78"/>
      <c r="CZ85" s="78"/>
      <c r="DA85" s="78"/>
      <c r="DB85" s="78"/>
      <c r="DC85" s="78"/>
      <c r="DD85" s="78"/>
      <c r="EJ85" s="78"/>
      <c r="EK85" s="78"/>
    </row>
    <row r="86" spans="7:143" ht="21" hidden="1" thickBot="1" x14ac:dyDescent="0.25"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BN86" s="86"/>
      <c r="BO86" s="1091"/>
      <c r="BP86" s="96">
        <v>13</v>
      </c>
      <c r="BQ86" s="76"/>
      <c r="BR86" s="76"/>
      <c r="BS86" s="76"/>
      <c r="BU86" s="152"/>
      <c r="BV86" s="152"/>
      <c r="BW86" s="91"/>
      <c r="BX86" s="152"/>
      <c r="BY86" s="120" t="b">
        <f>IF(CC57=13,9)</f>
        <v>0</v>
      </c>
      <c r="BZ86" s="123"/>
      <c r="CA86" s="123"/>
      <c r="CB86" s="123"/>
      <c r="CC86" s="123"/>
      <c r="CD86" s="123"/>
      <c r="CE86" s="123"/>
      <c r="CF86" s="123"/>
      <c r="CG86" s="124" t="b">
        <f>IF(CC57=13,17)</f>
        <v>0</v>
      </c>
      <c r="CH86" s="153"/>
      <c r="CI86" s="91"/>
      <c r="CJ86" s="154"/>
      <c r="CK86" s="152"/>
      <c r="CM86" s="76"/>
      <c r="CN86" s="76"/>
      <c r="CO86" s="78"/>
      <c r="CP86" s="78"/>
      <c r="CQ86" s="78"/>
      <c r="CR86" s="78"/>
      <c r="CS86" s="78"/>
      <c r="CT86" s="78"/>
      <c r="CU86" s="78"/>
      <c r="CV86" s="78"/>
      <c r="CW86" s="78"/>
      <c r="CX86" s="78"/>
      <c r="CY86" s="78"/>
      <c r="CZ86" s="78"/>
      <c r="DA86" s="78"/>
      <c r="DB86" s="78"/>
      <c r="DC86" s="78"/>
      <c r="DD86" s="78"/>
      <c r="EJ86" s="78"/>
      <c r="EK86" s="78"/>
    </row>
    <row r="87" spans="7:143" ht="21" hidden="1" thickBot="1" x14ac:dyDescent="0.25">
      <c r="G87" s="998"/>
      <c r="H87"/>
      <c r="I87"/>
      <c r="J87"/>
      <c r="K87"/>
      <c r="L87"/>
      <c r="M87"/>
      <c r="N87"/>
      <c r="O87" s="995"/>
      <c r="BN87" s="86"/>
      <c r="BO87" s="1091"/>
      <c r="BP87" s="96">
        <v>12</v>
      </c>
      <c r="BQ87" s="76"/>
      <c r="BS87" s="139"/>
      <c r="BT87" s="139"/>
      <c r="BU87" s="142"/>
      <c r="BV87" s="139"/>
      <c r="BW87" s="117" t="b">
        <f>IF(CB57=12,7)</f>
        <v>0</v>
      </c>
      <c r="BX87" s="119"/>
      <c r="BY87" s="119"/>
      <c r="BZ87" s="119"/>
      <c r="CA87" s="119"/>
      <c r="CB87" s="119"/>
      <c r="CC87" s="119"/>
      <c r="CD87" s="119"/>
      <c r="CE87" s="119"/>
      <c r="CF87" s="119"/>
      <c r="CG87" s="103" t="b">
        <f>IF(CB57=12,17)</f>
        <v>0</v>
      </c>
      <c r="CH87" s="155"/>
      <c r="CI87" s="142"/>
      <c r="CJ87" s="156"/>
      <c r="CK87" s="139"/>
      <c r="CM87" s="76"/>
      <c r="CN87" s="76"/>
      <c r="CO87" s="78"/>
      <c r="CP87" s="78"/>
      <c r="CQ87" s="78"/>
      <c r="CR87" s="78"/>
      <c r="CS87" s="78"/>
      <c r="CT87" s="78"/>
      <c r="CU87" s="78"/>
      <c r="CV87" s="78"/>
      <c r="CW87" s="78"/>
      <c r="CX87" s="78"/>
      <c r="CY87" s="78"/>
      <c r="CZ87" s="78"/>
      <c r="DA87" s="78"/>
      <c r="DB87" s="78"/>
      <c r="DC87" s="78"/>
      <c r="DD87" s="78"/>
      <c r="DF87" s="107"/>
      <c r="DG87" s="107"/>
      <c r="DH87" s="107"/>
      <c r="DI87" s="107"/>
      <c r="DJ87" s="107"/>
      <c r="DK87" s="108"/>
      <c r="DL87" s="107"/>
      <c r="DM87" s="107"/>
      <c r="DN87" s="107"/>
      <c r="DO87" s="107"/>
      <c r="DP87" s="107"/>
      <c r="DQ87" s="107"/>
      <c r="DR87" s="107"/>
      <c r="DS87" s="107"/>
      <c r="DT87" s="107"/>
      <c r="DU87" s="107"/>
      <c r="DV87" s="107"/>
      <c r="DW87" s="107"/>
      <c r="DX87" s="107"/>
      <c r="DY87" s="107"/>
      <c r="DZ87" s="107"/>
      <c r="EA87" s="107"/>
      <c r="EB87" s="107"/>
      <c r="EC87" s="108"/>
      <c r="ED87" s="78"/>
      <c r="EE87" s="78"/>
      <c r="EF87" s="78"/>
      <c r="EG87" s="78"/>
      <c r="EH87" s="78"/>
      <c r="EI87" s="78"/>
      <c r="EJ87" s="78"/>
      <c r="EK87" s="78"/>
    </row>
    <row r="88" spans="7:143" ht="21" hidden="1" thickBot="1" x14ac:dyDescent="0.25">
      <c r="G88" s="998"/>
      <c r="H88"/>
      <c r="I88"/>
      <c r="J88"/>
      <c r="K88"/>
      <c r="L88"/>
      <c r="M88"/>
      <c r="N88"/>
      <c r="O88" s="995"/>
      <c r="BN88" s="86"/>
      <c r="BO88" s="1091"/>
      <c r="BP88" s="96">
        <v>11</v>
      </c>
      <c r="BR88" s="152"/>
      <c r="BS88" s="91"/>
      <c r="BT88" s="152"/>
      <c r="BU88" s="117" t="b">
        <f>IF(CA57=11,5)</f>
        <v>0</v>
      </c>
      <c r="BV88" s="119"/>
      <c r="BW88" s="119"/>
      <c r="BX88" s="119"/>
      <c r="BY88" s="119"/>
      <c r="BZ88" s="119"/>
      <c r="CA88" s="119"/>
      <c r="CB88" s="119"/>
      <c r="CC88" s="119"/>
      <c r="CD88" s="119"/>
      <c r="CE88" s="119"/>
      <c r="CF88" s="119"/>
      <c r="CG88" s="103" t="b">
        <f>IF(CA57=11,17)</f>
        <v>0</v>
      </c>
      <c r="CH88" s="153"/>
      <c r="CI88" s="91"/>
      <c r="CJ88" s="154"/>
      <c r="CL88" s="76"/>
      <c r="CM88" s="76"/>
      <c r="CN88" s="76"/>
      <c r="CO88" s="78"/>
      <c r="CP88" s="78"/>
      <c r="CQ88" s="78"/>
      <c r="CR88" s="78"/>
      <c r="CS88" s="78"/>
      <c r="CT88" s="78"/>
      <c r="CU88" s="78"/>
      <c r="CV88" s="78"/>
      <c r="CW88" s="78"/>
      <c r="CX88" s="78"/>
      <c r="CY88" s="78"/>
      <c r="CZ88" s="78"/>
      <c r="DA88" s="78"/>
      <c r="DB88" s="78"/>
      <c r="DC88" s="78"/>
      <c r="DD88" s="78"/>
      <c r="DF88" s="107"/>
      <c r="DG88" s="107"/>
      <c r="DH88" s="107"/>
      <c r="DI88" s="107"/>
      <c r="DJ88" s="107"/>
      <c r="DK88" s="108"/>
      <c r="DL88" s="107"/>
      <c r="DM88" s="107"/>
      <c r="DN88" s="107"/>
      <c r="DO88" s="107"/>
      <c r="DP88" s="107"/>
      <c r="DQ88" s="107"/>
      <c r="DR88" s="107"/>
      <c r="DS88" s="107"/>
      <c r="DT88" s="107"/>
      <c r="DU88" s="107"/>
      <c r="DV88" s="107"/>
      <c r="DW88" s="107"/>
      <c r="DX88" s="107"/>
      <c r="DY88" s="107"/>
      <c r="DZ88" s="107"/>
      <c r="EA88" s="107"/>
      <c r="EB88" s="107"/>
      <c r="EC88" s="108"/>
      <c r="ED88" s="78"/>
      <c r="EE88" s="78"/>
      <c r="EF88" s="78"/>
      <c r="EG88" s="78"/>
      <c r="EH88" s="78"/>
      <c r="EI88" s="78"/>
      <c r="EJ88" s="78"/>
      <c r="EK88" s="78"/>
    </row>
    <row r="89" spans="7:143" ht="21" hidden="1" thickBot="1" x14ac:dyDescent="0.25">
      <c r="G89" s="998"/>
      <c r="H89"/>
      <c r="I89"/>
      <c r="J89"/>
      <c r="K89"/>
      <c r="L89"/>
      <c r="M89"/>
      <c r="N89"/>
      <c r="O89" s="995"/>
      <c r="BN89" s="86"/>
      <c r="BO89" s="1091"/>
      <c r="BP89" s="96">
        <v>10</v>
      </c>
      <c r="BR89" s="152"/>
      <c r="BS89" s="117" t="b">
        <f>IF(BZ57=10,3)</f>
        <v>0</v>
      </c>
      <c r="BT89" s="119"/>
      <c r="BU89" s="119"/>
      <c r="BV89" s="119"/>
      <c r="BW89" s="119"/>
      <c r="BX89" s="119"/>
      <c r="BY89" s="119"/>
      <c r="BZ89" s="119"/>
      <c r="CA89" s="119"/>
      <c r="CB89" s="119"/>
      <c r="CC89" s="119"/>
      <c r="CD89" s="119"/>
      <c r="CE89" s="119"/>
      <c r="CF89" s="119"/>
      <c r="CG89" s="103" t="b">
        <f>IF(BZ57=10,17)</f>
        <v>0</v>
      </c>
      <c r="CH89" s="153"/>
      <c r="CJ89" s="157"/>
      <c r="CK89" s="76"/>
      <c r="CL89" s="76"/>
      <c r="CM89" s="76"/>
      <c r="CN89" s="76"/>
      <c r="CO89" s="78"/>
      <c r="CP89" s="78"/>
      <c r="CQ89" s="78"/>
      <c r="CR89" s="78"/>
      <c r="CS89" s="78"/>
      <c r="CT89" s="78"/>
      <c r="CU89" s="78"/>
      <c r="CV89" s="78"/>
      <c r="CW89" s="78"/>
      <c r="CX89" s="78"/>
      <c r="CY89" s="78"/>
      <c r="CZ89" s="78"/>
      <c r="DA89" s="78"/>
      <c r="DB89" s="78"/>
      <c r="DC89" s="78"/>
      <c r="DD89" s="78"/>
      <c r="EJ89" s="78"/>
      <c r="EK89" s="78"/>
    </row>
    <row r="90" spans="7:143" ht="21" hidden="1" thickBot="1" x14ac:dyDescent="0.25">
      <c r="G90" s="998"/>
      <c r="H90"/>
      <c r="I90"/>
      <c r="J90"/>
      <c r="K90"/>
      <c r="L90"/>
      <c r="M90"/>
      <c r="N90"/>
      <c r="O90" s="995"/>
      <c r="BN90" s="86"/>
      <c r="BO90" s="1091"/>
      <c r="BP90" s="96">
        <v>9</v>
      </c>
      <c r="BQ90" s="117" t="b">
        <f>IF(BY57=9,1)</f>
        <v>0</v>
      </c>
      <c r="BR90" s="119"/>
      <c r="BS90" s="119"/>
      <c r="BT90" s="119"/>
      <c r="BU90" s="119"/>
      <c r="BV90" s="119"/>
      <c r="BW90" s="119"/>
      <c r="BX90" s="119"/>
      <c r="BY90" s="119"/>
      <c r="BZ90" s="119"/>
      <c r="CA90" s="119"/>
      <c r="CB90" s="119"/>
      <c r="CC90" s="119"/>
      <c r="CD90" s="119"/>
      <c r="CE90" s="119"/>
      <c r="CF90" s="119"/>
      <c r="CG90" s="103" t="b">
        <f>IF(BY57=9,17)</f>
        <v>0</v>
      </c>
      <c r="CH90" s="76"/>
      <c r="CI90" s="76"/>
      <c r="CJ90" s="157"/>
      <c r="CK90" s="76"/>
      <c r="CL90" s="76"/>
      <c r="CM90" s="76"/>
      <c r="CN90" s="76"/>
      <c r="CO90" s="78"/>
      <c r="CP90" s="78"/>
      <c r="CQ90" s="78"/>
      <c r="CR90" s="78"/>
      <c r="CS90" s="78"/>
      <c r="CT90" s="78"/>
      <c r="CU90" s="78"/>
      <c r="CV90" s="78"/>
      <c r="CW90" s="78"/>
      <c r="CX90" s="78"/>
      <c r="CY90" s="78"/>
      <c r="CZ90" s="78"/>
      <c r="DA90" s="78"/>
      <c r="DB90" s="78"/>
      <c r="DC90" s="78"/>
      <c r="DD90" s="78"/>
      <c r="EJ90" s="78"/>
      <c r="EK90" s="78"/>
    </row>
    <row r="91" spans="7:143" ht="21" hidden="1" thickBot="1" x14ac:dyDescent="0.25">
      <c r="G91" s="998"/>
      <c r="H91"/>
      <c r="I91"/>
      <c r="J91"/>
      <c r="K91"/>
      <c r="L91"/>
      <c r="M91"/>
      <c r="N91"/>
      <c r="O91" s="995"/>
      <c r="BN91" s="86"/>
      <c r="BO91" s="1091"/>
      <c r="BP91" s="96">
        <v>8</v>
      </c>
      <c r="BQ91" s="117" t="b">
        <f>IF(BX57=8,1)</f>
        <v>0</v>
      </c>
      <c r="BR91" s="119"/>
      <c r="BS91" s="118"/>
      <c r="BT91" s="119"/>
      <c r="BU91" s="119"/>
      <c r="BV91" s="119"/>
      <c r="BW91" s="119"/>
      <c r="BX91" s="119"/>
      <c r="BY91" s="119"/>
      <c r="BZ91" s="119"/>
      <c r="CA91" s="119"/>
      <c r="CB91" s="119"/>
      <c r="CC91" s="118"/>
      <c r="CD91" s="119"/>
      <c r="CE91" s="103" t="b">
        <f>IF(BX57=8,15)</f>
        <v>0</v>
      </c>
      <c r="CF91" s="76"/>
      <c r="CG91" s="76"/>
      <c r="CH91" s="158"/>
      <c r="CI91" s="76"/>
      <c r="CJ91" s="157"/>
      <c r="CK91" s="76"/>
      <c r="CL91" s="76"/>
      <c r="CM91" s="76"/>
      <c r="CN91" s="76"/>
      <c r="CO91" s="78"/>
      <c r="CP91" s="78"/>
      <c r="CQ91" s="78"/>
      <c r="CR91" s="78"/>
      <c r="CS91" s="78"/>
      <c r="CT91" s="78"/>
      <c r="CU91" s="78"/>
      <c r="CV91" s="78"/>
      <c r="CW91" s="78"/>
      <c r="CX91" s="78"/>
      <c r="CY91" s="78"/>
      <c r="CZ91" s="78"/>
      <c r="DA91" s="78"/>
      <c r="DB91" s="78"/>
      <c r="DC91" s="78"/>
      <c r="DD91" s="78"/>
      <c r="EJ91" s="78"/>
      <c r="EK91" s="78"/>
    </row>
    <row r="92" spans="7:143" ht="21" hidden="1" thickBot="1" x14ac:dyDescent="0.25">
      <c r="G92" s="998"/>
      <c r="H92"/>
      <c r="I92"/>
      <c r="J92"/>
      <c r="K92"/>
      <c r="L92"/>
      <c r="M92"/>
      <c r="N92"/>
      <c r="O92" s="995"/>
      <c r="BN92" s="86"/>
      <c r="BO92" s="1091"/>
      <c r="BP92" s="96">
        <v>7</v>
      </c>
      <c r="BQ92" s="117" t="b">
        <f>IF(BW57=7,1)</f>
        <v>0</v>
      </c>
      <c r="BR92" s="118"/>
      <c r="BS92" s="119"/>
      <c r="BT92" s="119"/>
      <c r="BU92" s="119"/>
      <c r="BV92" s="119"/>
      <c r="BW92" s="119"/>
      <c r="BX92" s="119"/>
      <c r="BY92" s="119"/>
      <c r="BZ92" s="119"/>
      <c r="CA92" s="118"/>
      <c r="CB92" s="118"/>
      <c r="CC92" s="103" t="b">
        <f>IF(BW57=7,13)</f>
        <v>0</v>
      </c>
      <c r="CD92" s="76"/>
      <c r="CE92" s="76"/>
      <c r="CF92" s="76"/>
      <c r="CG92" s="76"/>
      <c r="CH92" s="158"/>
      <c r="CI92" s="76"/>
      <c r="CJ92" s="157"/>
      <c r="CK92" s="76"/>
      <c r="CL92" s="76"/>
      <c r="CM92" s="76"/>
      <c r="CN92" s="76"/>
      <c r="CO92" s="78"/>
      <c r="CP92" s="78"/>
      <c r="CQ92" s="78"/>
      <c r="CR92" s="78"/>
      <c r="CS92" s="78"/>
      <c r="CT92" s="78"/>
      <c r="CU92" s="78"/>
      <c r="CV92" s="78"/>
      <c r="CW92" s="78"/>
      <c r="CX92" s="78"/>
      <c r="CY92" s="78"/>
      <c r="CZ92" s="78"/>
      <c r="DA92" s="78"/>
      <c r="DB92" s="78"/>
      <c r="DC92" s="78"/>
      <c r="DD92" s="78"/>
      <c r="EJ92" s="78"/>
      <c r="EK92" s="78"/>
    </row>
    <row r="93" spans="7:143" ht="21" hidden="1" thickBot="1" x14ac:dyDescent="0.25">
      <c r="G93" s="998"/>
      <c r="H93"/>
      <c r="I93"/>
      <c r="J93"/>
      <c r="K93"/>
      <c r="L93"/>
      <c r="M93"/>
      <c r="N93"/>
      <c r="O93" s="995"/>
      <c r="BN93" s="86"/>
      <c r="BO93" s="1091"/>
      <c r="BP93" s="96">
        <v>6</v>
      </c>
      <c r="BQ93" s="120" t="b">
        <f>IF(BV57=6,1)</f>
        <v>0</v>
      </c>
      <c r="BR93" s="123"/>
      <c r="BS93" s="123"/>
      <c r="BT93" s="123"/>
      <c r="BU93" s="123"/>
      <c r="BV93" s="123"/>
      <c r="BW93" s="123"/>
      <c r="BX93" s="123"/>
      <c r="BY93" s="123"/>
      <c r="BZ93" s="123"/>
      <c r="CA93" s="124" t="b">
        <f>IF(BV57=6,11)</f>
        <v>0</v>
      </c>
      <c r="CB93" s="76"/>
      <c r="CC93" s="76"/>
      <c r="CD93" s="76"/>
      <c r="CE93" s="76"/>
      <c r="CF93" s="76"/>
      <c r="CG93" s="76"/>
      <c r="CH93" s="158"/>
      <c r="CI93" s="76"/>
      <c r="CJ93" s="157"/>
      <c r="CK93" s="76"/>
      <c r="CL93" s="76"/>
      <c r="CM93" s="76"/>
      <c r="CN93" s="76"/>
      <c r="CO93" s="78"/>
      <c r="CP93" s="78"/>
      <c r="CQ93" s="78"/>
      <c r="CR93" s="78"/>
      <c r="CS93" s="78"/>
      <c r="CT93" s="78"/>
      <c r="CU93" s="78"/>
      <c r="CV93" s="78"/>
      <c r="CW93" s="78"/>
      <c r="CX93" s="78"/>
      <c r="CY93" s="78"/>
      <c r="CZ93" s="78"/>
      <c r="DA93" s="78"/>
      <c r="DB93" s="78"/>
      <c r="DC93" s="78"/>
      <c r="DD93" s="78"/>
      <c r="EJ93" s="78"/>
      <c r="EK93" s="78"/>
    </row>
    <row r="94" spans="7:143" ht="21" hidden="1" thickBot="1" x14ac:dyDescent="0.25">
      <c r="G94" s="998"/>
      <c r="H94"/>
      <c r="I94"/>
      <c r="J94"/>
      <c r="K94"/>
      <c r="L94"/>
      <c r="M94"/>
      <c r="N94"/>
      <c r="O94" s="995"/>
      <c r="BN94" s="86"/>
      <c r="BO94" s="1091"/>
      <c r="BP94" s="96">
        <v>5</v>
      </c>
      <c r="BQ94" s="120" t="b">
        <f>IF(BU57=5,1)</f>
        <v>0</v>
      </c>
      <c r="BR94" s="122"/>
      <c r="BS94" s="123"/>
      <c r="BT94" s="123"/>
      <c r="BU94" s="123"/>
      <c r="BV94" s="123"/>
      <c r="BW94" s="123"/>
      <c r="BX94" s="122"/>
      <c r="BY94" s="124" t="b">
        <f>IF(BU57=5,9)</f>
        <v>0</v>
      </c>
      <c r="BZ94" s="76"/>
      <c r="CA94" s="76"/>
      <c r="CB94" s="76"/>
      <c r="CC94" s="76"/>
      <c r="CD94" s="76"/>
      <c r="CE94" s="76"/>
      <c r="CF94" s="76"/>
      <c r="CG94" s="76"/>
      <c r="CH94" s="158"/>
      <c r="CI94" s="76"/>
      <c r="CJ94" s="157"/>
      <c r="CK94" s="76"/>
      <c r="CL94" s="76"/>
      <c r="CM94" s="76"/>
      <c r="CN94" s="76"/>
      <c r="CO94" s="78"/>
      <c r="CP94" s="78"/>
      <c r="CQ94" s="78"/>
      <c r="CR94" s="78"/>
      <c r="CS94" s="78"/>
      <c r="CT94" s="78"/>
      <c r="CU94" s="78"/>
      <c r="CV94" s="78"/>
      <c r="CW94" s="78"/>
      <c r="CX94" s="78"/>
      <c r="CY94" s="78"/>
      <c r="CZ94" s="78"/>
      <c r="DA94" s="78"/>
      <c r="DB94" s="78"/>
      <c r="DC94" s="78"/>
      <c r="DD94" s="78"/>
      <c r="EJ94" s="78"/>
      <c r="EK94" s="78"/>
    </row>
    <row r="95" spans="7:143" ht="21" hidden="1" thickBot="1" x14ac:dyDescent="0.25">
      <c r="G95" s="998"/>
      <c r="H95"/>
      <c r="I95"/>
      <c r="J95"/>
      <c r="K95"/>
      <c r="L95"/>
      <c r="M95"/>
      <c r="N95"/>
      <c r="O95" s="995"/>
      <c r="BN95" s="86"/>
      <c r="BO95" s="1091"/>
      <c r="BP95" s="96">
        <v>4</v>
      </c>
      <c r="BQ95" s="120" t="b">
        <f>IF(BT57=4,1)</f>
        <v>0</v>
      </c>
      <c r="BR95" s="123"/>
      <c r="BS95" s="123"/>
      <c r="BT95" s="123"/>
      <c r="BU95" s="123"/>
      <c r="BV95" s="123"/>
      <c r="BW95" s="124" t="b">
        <f>IF(BT57=4,7)</f>
        <v>0</v>
      </c>
      <c r="BX95" s="76"/>
      <c r="BY95" s="159"/>
      <c r="BZ95" s="159"/>
      <c r="CA95" s="76"/>
      <c r="CB95" s="159"/>
      <c r="CC95" s="76"/>
      <c r="CD95" s="76"/>
      <c r="CE95" s="76"/>
      <c r="CF95" s="76"/>
      <c r="CG95" s="76"/>
      <c r="CH95" s="158"/>
      <c r="CI95" s="76"/>
      <c r="CJ95" s="157"/>
      <c r="CK95" s="76"/>
      <c r="CL95" s="76"/>
      <c r="CM95" s="76"/>
      <c r="CN95" s="76"/>
      <c r="CO95" s="78"/>
      <c r="CP95" s="78"/>
      <c r="CQ95" s="78"/>
      <c r="CR95" s="78"/>
      <c r="CS95" s="78"/>
      <c r="CT95" s="78"/>
      <c r="CU95" s="78"/>
      <c r="CV95" s="78"/>
      <c r="CW95" s="78"/>
      <c r="CX95" s="78"/>
      <c r="CY95" s="78"/>
      <c r="CZ95" s="78"/>
      <c r="DA95" s="78"/>
      <c r="DB95" s="78"/>
      <c r="DC95" s="78"/>
      <c r="DD95" s="78"/>
      <c r="EJ95" s="78"/>
      <c r="EK95" s="78"/>
    </row>
    <row r="96" spans="7:143" ht="21" hidden="1" thickBot="1" x14ac:dyDescent="0.25">
      <c r="G96" s="998"/>
      <c r="H96"/>
      <c r="I96"/>
      <c r="J96"/>
      <c r="K96"/>
      <c r="L96"/>
      <c r="M96"/>
      <c r="N96"/>
      <c r="O96" s="995"/>
      <c r="BN96" s="86"/>
      <c r="BO96" s="1091"/>
      <c r="BP96" s="96">
        <v>3</v>
      </c>
      <c r="BQ96" s="120" t="b">
        <f>IF(BS57=3,1)</f>
        <v>0</v>
      </c>
      <c r="BR96" s="123"/>
      <c r="BS96" s="123"/>
      <c r="BT96" s="123"/>
      <c r="BU96" s="124" t="b">
        <f>IF(BS57=3,5)</f>
        <v>0</v>
      </c>
      <c r="BV96" s="76"/>
      <c r="BW96" s="76"/>
      <c r="BX96" s="76"/>
      <c r="BY96" s="76"/>
      <c r="BZ96" s="76"/>
      <c r="CA96" s="76"/>
      <c r="CB96" s="76"/>
      <c r="CC96" s="76"/>
      <c r="CD96" s="76"/>
      <c r="CE96" s="76"/>
      <c r="CF96" s="76"/>
      <c r="CG96" s="76"/>
      <c r="CH96" s="158"/>
      <c r="CI96" s="76"/>
      <c r="CJ96" s="157"/>
      <c r="CK96" s="76"/>
      <c r="CL96" s="76"/>
      <c r="CM96" s="76"/>
      <c r="CN96" s="76"/>
      <c r="CO96" s="78"/>
      <c r="CP96" s="78"/>
      <c r="CQ96" s="78"/>
      <c r="CR96" s="78"/>
      <c r="CS96" s="78"/>
      <c r="CT96" s="78"/>
      <c r="CU96" s="78"/>
      <c r="CV96" s="78"/>
      <c r="CW96" s="78"/>
      <c r="CX96" s="78"/>
      <c r="CY96" s="78"/>
      <c r="CZ96" s="78"/>
      <c r="DA96" s="78"/>
      <c r="DB96" s="78"/>
      <c r="DC96" s="78"/>
      <c r="DD96" s="78"/>
      <c r="EJ96" s="78"/>
      <c r="EK96" s="78"/>
    </row>
    <row r="97" spans="2:141" ht="20" hidden="1" x14ac:dyDescent="0.2">
      <c r="G97" s="998"/>
      <c r="H97"/>
      <c r="I97"/>
      <c r="J97"/>
      <c r="K97"/>
      <c r="L97"/>
      <c r="M97"/>
      <c r="N97"/>
      <c r="O97" s="995"/>
      <c r="BN97" s="86"/>
      <c r="BO97" s="1091"/>
      <c r="BP97" s="96">
        <v>2</v>
      </c>
      <c r="BQ97" s="160" t="b">
        <f>IF(BR57=2,1)</f>
        <v>0</v>
      </c>
      <c r="BR97" s="161"/>
      <c r="BS97" s="162" t="b">
        <f>IF(BR57=2,3)</f>
        <v>0</v>
      </c>
      <c r="BT97" s="76"/>
      <c r="BU97" s="76"/>
      <c r="BV97" s="76"/>
      <c r="BW97" s="76"/>
      <c r="BX97" s="76"/>
      <c r="BY97" s="76"/>
      <c r="BZ97" s="76"/>
      <c r="CA97" s="76"/>
      <c r="CB97" s="76"/>
      <c r="CC97" s="76"/>
      <c r="CD97" s="76"/>
      <c r="CE97" s="76"/>
      <c r="CF97" s="76"/>
      <c r="CG97" s="76"/>
      <c r="CH97" s="158"/>
      <c r="CI97" s="76"/>
      <c r="CJ97" s="157"/>
      <c r="CK97" s="76"/>
      <c r="CL97" s="76"/>
      <c r="CM97" s="76"/>
      <c r="CN97" s="76"/>
      <c r="CO97" s="78"/>
      <c r="CP97" s="78"/>
      <c r="CQ97" s="78"/>
      <c r="CR97" s="78"/>
      <c r="CS97" s="78"/>
      <c r="CT97" s="78"/>
      <c r="CU97" s="78"/>
      <c r="CV97" s="78"/>
      <c r="CW97" s="78"/>
      <c r="CX97" s="78"/>
      <c r="CY97" s="78"/>
      <c r="CZ97" s="78"/>
      <c r="DA97" s="78"/>
      <c r="DB97" s="78"/>
      <c r="DC97" s="78"/>
      <c r="DD97" s="78"/>
      <c r="EJ97" s="78"/>
      <c r="EK97" s="78"/>
    </row>
    <row r="98" spans="2:141" ht="21" hidden="1" thickBot="1" x14ac:dyDescent="0.25">
      <c r="G98" s="998"/>
      <c r="H98"/>
      <c r="I98"/>
      <c r="J98"/>
      <c r="K98"/>
      <c r="L98"/>
      <c r="M98"/>
      <c r="N98"/>
      <c r="O98" s="995"/>
      <c r="BN98" s="86"/>
      <c r="BO98" s="1091"/>
      <c r="BP98" s="163"/>
      <c r="BQ98" s="164">
        <f t="shared" ref="BQ98:CG98" si="3">SUM(BQ63:BQ97)</f>
        <v>0</v>
      </c>
      <c r="BR98" s="164">
        <f t="shared" si="3"/>
        <v>0</v>
      </c>
      <c r="BS98" s="164">
        <f t="shared" si="3"/>
        <v>0</v>
      </c>
      <c r="BT98" s="164">
        <f t="shared" si="3"/>
        <v>0</v>
      </c>
      <c r="BU98" s="164">
        <f t="shared" si="3"/>
        <v>0</v>
      </c>
      <c r="BV98" s="164">
        <f t="shared" si="3"/>
        <v>0</v>
      </c>
      <c r="BW98" s="164">
        <f t="shared" si="3"/>
        <v>0</v>
      </c>
      <c r="BX98" s="164">
        <f t="shared" si="3"/>
        <v>8</v>
      </c>
      <c r="BY98" s="164">
        <f t="shared" si="3"/>
        <v>0</v>
      </c>
      <c r="BZ98" s="164">
        <f t="shared" si="3"/>
        <v>0</v>
      </c>
      <c r="CA98" s="164">
        <f t="shared" si="3"/>
        <v>0</v>
      </c>
      <c r="CB98" s="164">
        <f t="shared" si="3"/>
        <v>0</v>
      </c>
      <c r="CC98" s="164">
        <f t="shared" si="3"/>
        <v>0</v>
      </c>
      <c r="CD98" s="164">
        <f t="shared" si="3"/>
        <v>0</v>
      </c>
      <c r="CE98" s="164">
        <f t="shared" si="3"/>
        <v>0</v>
      </c>
      <c r="CF98" s="164">
        <f t="shared" si="3"/>
        <v>0</v>
      </c>
      <c r="CG98" s="165">
        <f t="shared" si="3"/>
        <v>0</v>
      </c>
      <c r="CH98" s="166"/>
      <c r="CI98" s="167"/>
      <c r="CJ98" s="168"/>
      <c r="CK98" s="169">
        <f t="shared" ref="CK98:DA98" si="4">SUM(CK63:CK97)</f>
        <v>0</v>
      </c>
      <c r="CL98" s="164">
        <f t="shared" si="4"/>
        <v>0</v>
      </c>
      <c r="CM98" s="164">
        <f t="shared" si="4"/>
        <v>0</v>
      </c>
      <c r="CN98" s="164">
        <f t="shared" si="4"/>
        <v>0</v>
      </c>
      <c r="CO98" s="164">
        <f t="shared" si="4"/>
        <v>0</v>
      </c>
      <c r="CP98" s="164">
        <f t="shared" si="4"/>
        <v>26</v>
      </c>
      <c r="CQ98" s="164">
        <f t="shared" si="4"/>
        <v>0</v>
      </c>
      <c r="CR98" s="164">
        <f t="shared" si="4"/>
        <v>0</v>
      </c>
      <c r="CS98" s="164">
        <f t="shared" si="4"/>
        <v>0</v>
      </c>
      <c r="CT98" s="164">
        <f t="shared" si="4"/>
        <v>0</v>
      </c>
      <c r="CU98" s="164">
        <f t="shared" si="4"/>
        <v>0</v>
      </c>
      <c r="CV98" s="164">
        <f t="shared" si="4"/>
        <v>0</v>
      </c>
      <c r="CW98" s="164">
        <f t="shared" si="4"/>
        <v>0</v>
      </c>
      <c r="CX98" s="164">
        <f t="shared" si="4"/>
        <v>0</v>
      </c>
      <c r="CY98" s="164">
        <f t="shared" si="4"/>
        <v>0</v>
      </c>
      <c r="CZ98" s="164">
        <f t="shared" si="4"/>
        <v>0</v>
      </c>
      <c r="DA98" s="164">
        <f t="shared" si="4"/>
        <v>0</v>
      </c>
      <c r="DB98" s="78"/>
      <c r="DC98" s="78"/>
      <c r="DD98" s="78"/>
      <c r="EJ98" s="78"/>
      <c r="EK98" s="78"/>
    </row>
    <row r="99" spans="2:141" ht="159.75" customHeight="1" thickBot="1" x14ac:dyDescent="0.25">
      <c r="G99" s="998"/>
      <c r="H99"/>
      <c r="I99"/>
      <c r="J99"/>
      <c r="K99"/>
      <c r="L99"/>
      <c r="M99"/>
      <c r="N99"/>
      <c r="O99" s="995"/>
      <c r="BN99" s="86"/>
      <c r="BO99" s="1091"/>
      <c r="BP99" s="163"/>
      <c r="BQ99" s="170"/>
      <c r="BR99" s="170"/>
      <c r="BS99" s="170"/>
      <c r="BT99" s="170"/>
      <c r="BU99" s="170"/>
      <c r="BV99" s="170"/>
      <c r="BW99" s="170"/>
      <c r="BX99" s="170"/>
      <c r="BY99" s="170"/>
      <c r="BZ99" s="170"/>
      <c r="CA99" s="170"/>
      <c r="CB99" s="170"/>
      <c r="CC99" s="170"/>
      <c r="CD99" s="170"/>
      <c r="CE99" s="170"/>
      <c r="CF99" s="170"/>
      <c r="CG99" s="170"/>
      <c r="CH99" s="170"/>
      <c r="CI99" s="170"/>
      <c r="CJ99" s="170"/>
      <c r="CK99" s="171"/>
      <c r="CL99" s="170"/>
      <c r="CM99" s="170"/>
      <c r="CN99" s="170"/>
      <c r="CO99" s="170"/>
      <c r="CP99" s="170"/>
      <c r="CQ99" s="170"/>
      <c r="CR99" s="170"/>
      <c r="CS99" s="170"/>
      <c r="CT99" s="170"/>
      <c r="CU99" s="170"/>
      <c r="CV99" s="170"/>
      <c r="CW99" s="170"/>
      <c r="CX99" s="170"/>
      <c r="CY99" s="170"/>
      <c r="CZ99" s="170"/>
      <c r="DA99" s="170"/>
      <c r="DB99" s="78"/>
      <c r="DC99" s="78"/>
      <c r="DD99" s="78"/>
      <c r="EJ99" s="78"/>
      <c r="EK99" s="78"/>
    </row>
    <row r="100" spans="2:141" ht="56" customHeight="1" thickBot="1" x14ac:dyDescent="0.3">
      <c r="G100" s="998"/>
      <c r="H100"/>
      <c r="I100"/>
      <c r="J100"/>
      <c r="K100"/>
      <c r="L100"/>
      <c r="M100"/>
      <c r="N100"/>
      <c r="O100" s="995"/>
      <c r="BN100" s="86"/>
      <c r="BO100" s="1095" t="s">
        <v>128</v>
      </c>
      <c r="BP100" s="172" t="s">
        <v>124</v>
      </c>
      <c r="BQ100" s="750" t="str">
        <f>IF(BQ98=1,17,"")</f>
        <v/>
      </c>
      <c r="BR100" s="751" t="str">
        <f>IF(BR98=2,16,"")</f>
        <v/>
      </c>
      <c r="BS100" s="751" t="str">
        <f>IF(BS98=3,15,"")</f>
        <v/>
      </c>
      <c r="BT100" s="751" t="str">
        <f>IF(BT98=4,14,"")</f>
        <v/>
      </c>
      <c r="BU100" s="751" t="str">
        <f>IF(BU98=5,13,"")</f>
        <v/>
      </c>
      <c r="BV100" s="751" t="str">
        <f>IF(BV98=6,12,"")</f>
        <v/>
      </c>
      <c r="BW100" s="751" t="str">
        <f>IF(BW98=7,11,"")</f>
        <v/>
      </c>
      <c r="BX100" s="751">
        <f>IF(BX98=8,10,"")</f>
        <v>10</v>
      </c>
      <c r="BY100" s="751" t="str">
        <f>IF(BY98=9,9,"")</f>
        <v/>
      </c>
      <c r="BZ100" s="751" t="str">
        <f>IF(BZ98=10,8,"")</f>
        <v/>
      </c>
      <c r="CA100" s="751" t="str">
        <f>IF(CA98=11,7,"")</f>
        <v/>
      </c>
      <c r="CB100" s="752" t="str">
        <f>IF(CB98=12,"6  ADS ","")</f>
        <v/>
      </c>
      <c r="CC100" s="751" t="str">
        <f>IF(CC98=13,5,"")</f>
        <v/>
      </c>
      <c r="CD100" s="751" t="str">
        <f>IF(CD98=14,4,"")</f>
        <v/>
      </c>
      <c r="CE100" s="751" t="str">
        <f>IF(CE98=15,3,"")</f>
        <v/>
      </c>
      <c r="CF100" s="751" t="str">
        <f>IF(CF98=16,2,"")</f>
        <v/>
      </c>
      <c r="CG100" s="751" t="str">
        <f>IF(CG98=17,1,"")</f>
        <v/>
      </c>
      <c r="CH100" s="173"/>
      <c r="CI100" s="174"/>
      <c r="CJ100" s="175"/>
      <c r="CK100" s="753" t="str">
        <f>IF(CK98=21,1,"")</f>
        <v/>
      </c>
      <c r="CL100" s="753" t="str">
        <f>IF(CL98=22,2,"")</f>
        <v/>
      </c>
      <c r="CM100" s="753" t="str">
        <f>IF(CM98=23,3,"")</f>
        <v/>
      </c>
      <c r="CN100" s="753" t="str">
        <f>IF(CN98=24,4,"")</f>
        <v/>
      </c>
      <c r="CO100" s="753" t="str">
        <f>IF(CO98=25,5,"")</f>
        <v/>
      </c>
      <c r="CP100" s="754" t="str">
        <f>IF(CP98=26,"6  ADS ","")</f>
        <v xml:space="preserve">6  ADS </v>
      </c>
      <c r="CQ100" s="753" t="str">
        <f>IF(CQ98=27,7,"")</f>
        <v/>
      </c>
      <c r="CR100" s="753" t="str">
        <f>IF(CR98=28,8,"")</f>
        <v/>
      </c>
      <c r="CS100" s="753" t="str">
        <f>IF(CS98=29,9,"")</f>
        <v/>
      </c>
      <c r="CT100" s="753" t="str">
        <f>IF(CT98=30,10,"")</f>
        <v/>
      </c>
      <c r="CU100" s="753" t="str">
        <f>IF(CU98=31,11,"")</f>
        <v/>
      </c>
      <c r="CV100" s="753" t="str">
        <f>IF(CV98=32,12,"")</f>
        <v/>
      </c>
      <c r="CW100" s="753" t="str">
        <f>IF(CW98=33,13,"")</f>
        <v/>
      </c>
      <c r="CX100" s="753" t="str">
        <f>IF(CX98=34,14,"")</f>
        <v/>
      </c>
      <c r="CY100" s="753" t="str">
        <f>IF(CY98=35,15,"")</f>
        <v/>
      </c>
      <c r="CZ100" s="753" t="str">
        <f>IF(CZ98=36,16,"")</f>
        <v/>
      </c>
      <c r="DA100" s="755" t="str">
        <f>IF(DA98=37,17,"")</f>
        <v/>
      </c>
      <c r="DB100" s="340"/>
      <c r="DC100" s="78"/>
      <c r="DD100" s="78"/>
      <c r="EJ100" s="78"/>
      <c r="EK100" s="78"/>
    </row>
    <row r="101" spans="2:141" ht="45" customHeight="1" thickBot="1" x14ac:dyDescent="0.3">
      <c r="G101" s="998"/>
      <c r="H101"/>
      <c r="I101"/>
      <c r="J101"/>
      <c r="K101"/>
      <c r="L101"/>
      <c r="M101"/>
      <c r="N101"/>
      <c r="O101" s="995"/>
      <c r="BM101" s="1762" t="b">
        <f>AND(BO101&gt;=10,$BA$153&gt;=10,$AZ$153&gt;=10,$AZ$177&gt;=10,$BA$177&gt;=10)</f>
        <v>1</v>
      </c>
      <c r="BN101" s="84" t="str">
        <f>IF(BM101=TRUE,"O K","OVERLOAD")</f>
        <v>O K</v>
      </c>
      <c r="BO101" s="982">
        <f>SUM(I132:M132)</f>
        <v>76.372315035799517</v>
      </c>
      <c r="BP101" s="788" t="s">
        <v>185</v>
      </c>
      <c r="BQ101" s="789">
        <v>-10</v>
      </c>
      <c r="BR101" s="789">
        <v>-9</v>
      </c>
      <c r="BS101" s="789">
        <v>-8</v>
      </c>
      <c r="BT101" s="789">
        <v>-7</v>
      </c>
      <c r="BU101" s="789">
        <v>-6</v>
      </c>
      <c r="BV101" s="789">
        <v>-5</v>
      </c>
      <c r="BW101" s="789">
        <v>-4</v>
      </c>
      <c r="BX101" s="789">
        <v>-3</v>
      </c>
      <c r="BY101" s="789">
        <v>-2</v>
      </c>
      <c r="BZ101" s="789">
        <v>-1</v>
      </c>
      <c r="CA101" s="789">
        <v>0</v>
      </c>
      <c r="CB101" s="789">
        <v>1</v>
      </c>
      <c r="CC101" s="789">
        <v>2</v>
      </c>
      <c r="CD101" s="789">
        <v>3</v>
      </c>
      <c r="CE101" s="789">
        <v>4</v>
      </c>
      <c r="CF101" s="789">
        <v>5</v>
      </c>
      <c r="CG101" s="789">
        <v>6</v>
      </c>
      <c r="CH101" s="789">
        <v>7</v>
      </c>
      <c r="CI101" s="789">
        <v>8</v>
      </c>
      <c r="CJ101" s="789">
        <v>9</v>
      </c>
      <c r="CK101" s="789">
        <v>10</v>
      </c>
      <c r="CL101" s="789">
        <v>11</v>
      </c>
      <c r="CM101" s="789">
        <v>12</v>
      </c>
      <c r="CN101" s="789">
        <v>13</v>
      </c>
      <c r="CO101" s="789">
        <v>14</v>
      </c>
      <c r="CP101" s="789">
        <v>15</v>
      </c>
      <c r="CQ101" s="789">
        <v>16</v>
      </c>
      <c r="CR101" s="789">
        <v>17</v>
      </c>
      <c r="CS101" s="789">
        <v>18</v>
      </c>
      <c r="CT101" s="789">
        <v>19</v>
      </c>
      <c r="CU101" s="789">
        <v>20</v>
      </c>
      <c r="CV101" s="789">
        <v>21</v>
      </c>
      <c r="CW101" s="789">
        <v>22</v>
      </c>
      <c r="CX101" s="789">
        <v>23</v>
      </c>
      <c r="CY101" s="789">
        <v>24</v>
      </c>
      <c r="CZ101" s="789">
        <v>25</v>
      </c>
      <c r="DA101" s="791">
        <v>26</v>
      </c>
      <c r="DB101" s="78"/>
      <c r="DC101" s="78"/>
      <c r="DD101" s="78"/>
      <c r="EJ101" s="78"/>
      <c r="EK101" s="78"/>
    </row>
    <row r="102" spans="2:141" ht="64.5" hidden="1" customHeight="1" x14ac:dyDescent="0.2">
      <c r="G102" s="998"/>
      <c r="H102"/>
      <c r="I102"/>
      <c r="J102"/>
      <c r="K102"/>
      <c r="L102"/>
      <c r="M102"/>
      <c r="N102"/>
      <c r="O102" s="995"/>
      <c r="BM102" s="402"/>
      <c r="BN102" s="136"/>
      <c r="BP102" s="78"/>
      <c r="BQ102" s="199"/>
      <c r="BR102" s="199"/>
      <c r="BS102" s="199"/>
      <c r="BT102" s="199"/>
      <c r="BU102" s="199"/>
      <c r="BV102" s="199"/>
      <c r="BW102" s="199"/>
      <c r="BX102" s="199"/>
      <c r="BY102" s="199"/>
      <c r="BZ102" s="199"/>
      <c r="CA102" s="199"/>
      <c r="CB102" s="199"/>
      <c r="CC102" s="199"/>
      <c r="CD102" s="199"/>
      <c r="CE102" s="199"/>
      <c r="CF102" s="199"/>
      <c r="CG102" s="199"/>
      <c r="CH102" s="199"/>
      <c r="CI102" s="199"/>
      <c r="CJ102" s="199"/>
      <c r="CK102" s="199"/>
      <c r="CL102" s="199"/>
      <c r="CM102" s="199"/>
      <c r="CN102" s="199"/>
      <c r="CO102" s="199"/>
      <c r="CP102" s="199"/>
      <c r="CQ102" s="199"/>
      <c r="CR102" s="199"/>
      <c r="CS102" s="199"/>
      <c r="CT102" s="199"/>
      <c r="CU102" s="199"/>
      <c r="CV102" s="199"/>
      <c r="CW102" s="199"/>
      <c r="CX102" s="199"/>
      <c r="CY102" s="199"/>
      <c r="CZ102" s="199"/>
      <c r="DA102" s="199"/>
      <c r="DB102" s="199"/>
      <c r="DC102" s="78"/>
      <c r="DD102" s="78"/>
    </row>
    <row r="103" spans="2:141" ht="21" hidden="1" customHeight="1" x14ac:dyDescent="0.2">
      <c r="E103" s="397"/>
      <c r="F103" s="397"/>
      <c r="G103" s="998"/>
      <c r="H103"/>
      <c r="I103"/>
      <c r="J103"/>
      <c r="K103"/>
      <c r="L103"/>
      <c r="M103"/>
      <c r="N103"/>
      <c r="O103" s="995"/>
      <c r="U103" s="114"/>
      <c r="AB103" s="114"/>
      <c r="AC103" s="114"/>
      <c r="AD103" s="114"/>
      <c r="AE103" s="114"/>
      <c r="BM103" s="402"/>
      <c r="BN103" s="136"/>
      <c r="BO103" s="1091"/>
      <c r="BP103" s="78"/>
      <c r="BQ103" s="199"/>
      <c r="BR103" s="199"/>
      <c r="BS103" s="199"/>
      <c r="BT103" s="199"/>
      <c r="BU103" s="199"/>
      <c r="BV103" s="199"/>
      <c r="BW103" s="199"/>
      <c r="BX103" s="199"/>
      <c r="BY103" s="199"/>
      <c r="BZ103" s="199"/>
      <c r="CA103" s="199"/>
      <c r="CB103" s="199"/>
      <c r="CC103" s="199"/>
      <c r="CD103" s="199"/>
      <c r="CE103" s="199"/>
      <c r="CF103" s="199"/>
      <c r="CG103" s="199"/>
      <c r="CH103" s="199"/>
      <c r="CI103" s="199"/>
      <c r="CJ103" s="199"/>
      <c r="CK103" s="199"/>
      <c r="CL103" s="199"/>
      <c r="CM103" s="199"/>
      <c r="CN103" s="199"/>
      <c r="CO103" s="199"/>
      <c r="CP103" s="199"/>
      <c r="CQ103" s="199"/>
      <c r="CR103" s="199"/>
      <c r="CS103" s="199"/>
      <c r="CT103" s="199"/>
      <c r="CU103" s="199"/>
      <c r="CV103" s="199"/>
      <c r="CW103" s="199"/>
      <c r="CX103" s="199"/>
      <c r="CY103" s="199"/>
      <c r="CZ103" s="199"/>
      <c r="DA103" s="199"/>
      <c r="DB103" s="199"/>
    </row>
    <row r="104" spans="2:141" ht="21" hidden="1" customHeight="1" x14ac:dyDescent="0.2">
      <c r="E104" s="397"/>
      <c r="F104" s="397"/>
      <c r="G104" s="998"/>
      <c r="H104"/>
      <c r="I104"/>
      <c r="J104"/>
      <c r="K104"/>
      <c r="L104"/>
      <c r="M104"/>
      <c r="N104"/>
      <c r="O104" s="995"/>
      <c r="U104" s="114"/>
      <c r="AB104" s="114"/>
      <c r="AC104" s="114"/>
      <c r="AD104" s="114"/>
      <c r="AE104" s="114"/>
      <c r="BM104" s="402"/>
      <c r="BN104" s="136"/>
      <c r="BO104" s="1091"/>
      <c r="BP104" s="76"/>
      <c r="BQ104" s="76"/>
      <c r="BR104" s="76"/>
      <c r="BS104" s="76"/>
      <c r="BT104" s="76"/>
      <c r="BU104" s="76"/>
      <c r="BV104" s="202"/>
      <c r="BW104" s="202"/>
      <c r="BX104" s="202"/>
      <c r="BY104" s="202"/>
      <c r="BZ104" s="202"/>
      <c r="CA104" s="202"/>
      <c r="CB104" s="202"/>
      <c r="CC104" s="202"/>
      <c r="CD104" s="202"/>
      <c r="CE104" s="202"/>
      <c r="CF104" s="202"/>
      <c r="CG104" s="202"/>
      <c r="CH104" s="202"/>
      <c r="CI104" s="202"/>
      <c r="CJ104" s="78"/>
      <c r="CK104" s="78"/>
      <c r="CL104" s="78"/>
      <c r="CM104" s="78"/>
      <c r="CN104" s="78"/>
      <c r="CO104" s="78"/>
      <c r="CP104" s="78"/>
      <c r="CQ104" s="78"/>
      <c r="CR104" s="78"/>
      <c r="CS104" s="78"/>
      <c r="CT104" s="78"/>
      <c r="CU104" s="78"/>
      <c r="CV104" s="78"/>
      <c r="CW104" s="78"/>
      <c r="CX104" s="78"/>
      <c r="CY104" s="78"/>
      <c r="CZ104" s="78"/>
      <c r="DA104" s="78"/>
      <c r="DB104" s="78"/>
      <c r="DC104" s="78"/>
      <c r="DD104" s="78"/>
    </row>
    <row r="105" spans="2:141" ht="21" hidden="1" customHeight="1" x14ac:dyDescent="0.2">
      <c r="E105" s="397"/>
      <c r="F105" s="397"/>
      <c r="G105" s="998"/>
      <c r="H105"/>
      <c r="I105"/>
      <c r="J105"/>
      <c r="K105"/>
      <c r="L105"/>
      <c r="M105"/>
      <c r="N105"/>
      <c r="O105" s="995"/>
      <c r="U105" s="114"/>
      <c r="AB105" s="114"/>
      <c r="AC105" s="114"/>
      <c r="AD105" s="114"/>
      <c r="AE105" s="114"/>
      <c r="BM105" s="402"/>
      <c r="BN105" s="136"/>
      <c r="BO105" s="1091"/>
      <c r="BP105" s="126"/>
      <c r="BQ105" s="126"/>
      <c r="BR105" s="126"/>
      <c r="BS105" s="126"/>
      <c r="BT105" s="126"/>
      <c r="BU105" s="126"/>
      <c r="BV105" s="203"/>
      <c r="BW105" s="203"/>
      <c r="BX105" s="203"/>
      <c r="BY105" s="203"/>
      <c r="BZ105" s="203"/>
      <c r="CA105" s="203"/>
      <c r="CB105" s="203"/>
      <c r="CC105" s="203"/>
      <c r="CD105" s="203"/>
      <c r="CE105" s="203"/>
      <c r="CF105" s="203"/>
      <c r="CG105" s="203"/>
      <c r="CH105" s="203"/>
      <c r="CI105" s="203"/>
    </row>
    <row r="106" spans="2:141" ht="21" hidden="1" customHeight="1" x14ac:dyDescent="0.2">
      <c r="E106" s="397"/>
      <c r="F106" s="397"/>
      <c r="G106" s="998"/>
      <c r="H106"/>
      <c r="I106"/>
      <c r="J106"/>
      <c r="K106"/>
      <c r="L106"/>
      <c r="M106"/>
      <c r="N106"/>
      <c r="O106" s="995"/>
      <c r="U106" s="114"/>
      <c r="AB106" s="114"/>
      <c r="AC106" s="114"/>
      <c r="AD106" s="114"/>
      <c r="AE106" s="114"/>
      <c r="BL106" s="204" t="s">
        <v>59</v>
      </c>
      <c r="BM106" s="402"/>
      <c r="BN106" s="187"/>
      <c r="BO106" s="1091"/>
      <c r="BP106" s="64"/>
      <c r="BS106" s="126"/>
      <c r="BT106" s="126"/>
      <c r="BU106" s="126"/>
      <c r="BV106" s="203"/>
      <c r="BW106" s="203"/>
      <c r="BX106" s="203"/>
      <c r="BY106" s="203"/>
      <c r="BZ106" s="203"/>
      <c r="CA106" s="203"/>
      <c r="CB106" s="203"/>
      <c r="CC106" s="203"/>
      <c r="CD106" s="203"/>
      <c r="CE106" s="203"/>
      <c r="CF106" s="203"/>
      <c r="CG106" s="203"/>
      <c r="CH106" s="203"/>
      <c r="CI106" s="203"/>
      <c r="CR106" s="64"/>
      <c r="DD106" s="204" t="s">
        <v>58</v>
      </c>
    </row>
    <row r="107" spans="2:141" ht="21" hidden="1" customHeight="1" x14ac:dyDescent="0.2">
      <c r="D107" s="397"/>
      <c r="E107" s="397"/>
      <c r="F107" s="397"/>
      <c r="G107" s="998"/>
      <c r="H107"/>
      <c r="I107"/>
      <c r="J107"/>
      <c r="K107"/>
      <c r="L107"/>
      <c r="M107"/>
      <c r="N107"/>
      <c r="O107" s="995"/>
      <c r="U107" s="114"/>
      <c r="AB107" s="114"/>
      <c r="AC107" s="114"/>
      <c r="AD107" s="114"/>
      <c r="AE107" s="114"/>
      <c r="BL107" s="204">
        <f>-+BH183</f>
        <v>706.2019610817888</v>
      </c>
      <c r="BM107" s="402"/>
      <c r="BN107" s="187"/>
      <c r="BO107" s="1091"/>
      <c r="BP107" s="64"/>
      <c r="BS107" s="126"/>
      <c r="BT107" s="126"/>
      <c r="BU107" s="126"/>
      <c r="BV107" s="203"/>
      <c r="BW107" s="203"/>
      <c r="BX107" s="203"/>
      <c r="BY107" s="203"/>
      <c r="BZ107" s="203"/>
      <c r="CA107" s="203"/>
      <c r="CB107" s="203"/>
      <c r="CC107" s="203"/>
      <c r="CD107" s="203"/>
      <c r="CE107" s="203"/>
      <c r="CF107" s="203"/>
      <c r="CG107" s="203"/>
      <c r="CH107" s="203"/>
      <c r="CI107" s="203"/>
      <c r="CP107" s="212"/>
      <c r="CR107" s="64"/>
      <c r="DD107" s="204">
        <f>+-BH219</f>
        <v>-841.7980389182112</v>
      </c>
    </row>
    <row r="108" spans="2:141" ht="21" hidden="1" customHeight="1" x14ac:dyDescent="0.2">
      <c r="D108" s="397"/>
      <c r="E108" s="397"/>
      <c r="F108" s="397"/>
      <c r="G108" s="998"/>
      <c r="H108"/>
      <c r="I108"/>
      <c r="J108"/>
      <c r="K108"/>
      <c r="L108"/>
      <c r="M108"/>
      <c r="N108"/>
      <c r="O108" s="995"/>
      <c r="U108" s="114"/>
      <c r="AB108" s="114"/>
      <c r="AC108" s="114"/>
      <c r="AD108" s="114"/>
      <c r="AE108" s="114"/>
      <c r="BM108" s="402"/>
      <c r="BN108" s="136"/>
      <c r="BO108" s="1091"/>
      <c r="BP108" s="126"/>
      <c r="BQ108" s="126"/>
      <c r="BR108" s="126"/>
      <c r="BS108" s="126"/>
      <c r="BT108" s="126"/>
      <c r="BU108" s="126"/>
      <c r="BV108" s="203"/>
      <c r="BW108" s="203"/>
      <c r="BX108" s="203"/>
      <c r="BY108" s="203"/>
      <c r="BZ108" s="203"/>
      <c r="CA108" s="203"/>
      <c r="CB108" s="203"/>
      <c r="CC108" s="203"/>
      <c r="CD108" s="203"/>
      <c r="CE108" s="203"/>
      <c r="CF108" s="203"/>
      <c r="CG108" s="203"/>
      <c r="CH108" s="203"/>
      <c r="CI108" s="203"/>
    </row>
    <row r="109" spans="2:141" ht="21" hidden="1" customHeight="1" x14ac:dyDescent="0.3">
      <c r="B109" s="399"/>
      <c r="C109" s="399"/>
      <c r="D109" s="397"/>
      <c r="E109" s="397"/>
      <c r="F109" s="397"/>
      <c r="G109" s="998"/>
      <c r="H109"/>
      <c r="I109"/>
      <c r="J109"/>
      <c r="K109"/>
      <c r="L109"/>
      <c r="M109"/>
      <c r="N109"/>
      <c r="O109" s="995"/>
      <c r="U109" s="114"/>
      <c r="AB109" s="114"/>
      <c r="AC109" s="114"/>
      <c r="AD109" s="114"/>
      <c r="AE109" s="114"/>
      <c r="BM109" s="214"/>
      <c r="BN109" s="214"/>
      <c r="BO109" s="214"/>
      <c r="BP109" s="126"/>
      <c r="BQ109" s="126"/>
      <c r="BR109" s="126"/>
      <c r="BS109" s="126"/>
      <c r="BT109" s="126"/>
      <c r="BU109" s="126"/>
      <c r="BV109" s="203"/>
      <c r="BW109" s="203"/>
      <c r="BX109" s="203"/>
      <c r="BY109" s="203"/>
      <c r="BZ109" s="203"/>
      <c r="CA109" s="203"/>
      <c r="CB109" s="203"/>
      <c r="CC109" s="203"/>
      <c r="CD109" s="203"/>
      <c r="CE109" s="203"/>
      <c r="CF109" s="203"/>
      <c r="CG109" s="203"/>
      <c r="CH109" s="203"/>
      <c r="CI109" s="203"/>
    </row>
    <row r="110" spans="2:141" ht="21" hidden="1" customHeight="1" x14ac:dyDescent="0.3">
      <c r="B110" s="399"/>
      <c r="C110" s="399"/>
      <c r="D110" s="397"/>
      <c r="E110" s="397"/>
      <c r="F110" s="397"/>
      <c r="G110" s="998"/>
      <c r="H110"/>
      <c r="I110"/>
      <c r="J110"/>
      <c r="K110"/>
      <c r="L110"/>
      <c r="M110"/>
      <c r="N110"/>
      <c r="O110" s="995"/>
      <c r="U110" s="114"/>
      <c r="AB110" s="114"/>
      <c r="AC110" s="114"/>
      <c r="AD110" s="114"/>
      <c r="AE110" s="114"/>
      <c r="BM110" s="214"/>
      <c r="BN110" s="214"/>
      <c r="BO110" s="214"/>
      <c r="BP110" s="126"/>
      <c r="BQ110" s="126"/>
      <c r="BR110" s="126"/>
      <c r="BS110" s="126"/>
      <c r="BT110" s="126"/>
      <c r="BU110" s="126"/>
      <c r="BV110" s="203"/>
      <c r="BW110" s="203"/>
      <c r="BX110" s="203"/>
      <c r="BY110" s="203"/>
      <c r="BZ110" s="203"/>
      <c r="CA110" s="203"/>
      <c r="CB110" s="203"/>
      <c r="CC110" s="203"/>
      <c r="CD110" s="203"/>
      <c r="CE110" s="203"/>
      <c r="CF110" s="203"/>
      <c r="CG110" s="203"/>
      <c r="CH110" s="203"/>
      <c r="CI110" s="203"/>
    </row>
    <row r="111" spans="2:141" ht="21" hidden="1" customHeight="1" x14ac:dyDescent="0.3">
      <c r="B111" s="401"/>
      <c r="E111" s="397"/>
      <c r="F111" s="397"/>
      <c r="G111" s="998"/>
      <c r="H111"/>
      <c r="I111"/>
      <c r="J111"/>
      <c r="K111"/>
      <c r="L111"/>
      <c r="M111"/>
      <c r="N111"/>
      <c r="O111" s="995"/>
      <c r="U111" s="114"/>
      <c r="AB111" s="114"/>
      <c r="AC111" s="114"/>
      <c r="AD111" s="114"/>
      <c r="AE111" s="114"/>
      <c r="BM111" s="214"/>
      <c r="BN111" s="214"/>
      <c r="BO111" s="214"/>
      <c r="BP111" s="126"/>
      <c r="BQ111" s="126"/>
      <c r="BR111" s="126"/>
      <c r="BS111" s="126"/>
      <c r="BT111" s="126"/>
      <c r="BU111" s="126"/>
      <c r="BV111" s="203"/>
      <c r="BW111" s="203"/>
      <c r="BX111" s="203"/>
      <c r="BY111" s="203"/>
      <c r="BZ111" s="203"/>
      <c r="CA111" s="203"/>
      <c r="CB111" s="203"/>
      <c r="CC111" s="203"/>
      <c r="CD111" s="203"/>
      <c r="CE111" s="203"/>
      <c r="CF111" s="203"/>
      <c r="CG111" s="203"/>
      <c r="CH111" s="203"/>
      <c r="CI111" s="203"/>
    </row>
    <row r="112" spans="2:141" ht="21" hidden="1" customHeight="1" x14ac:dyDescent="0.3">
      <c r="B112" s="64"/>
      <c r="C112" s="399"/>
      <c r="D112" s="397"/>
      <c r="E112" s="64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M112" s="214"/>
      <c r="BN112" s="214"/>
      <c r="BO112" s="214"/>
      <c r="CI112" s="236"/>
      <c r="CJ112" s="236"/>
      <c r="CK112" s="236"/>
      <c r="CL112" s="236"/>
      <c r="CM112" s="236"/>
      <c r="CN112" s="236"/>
    </row>
    <row r="113" spans="2:128" ht="21" hidden="1" customHeight="1" x14ac:dyDescent="0.3">
      <c r="B113" s="399"/>
      <c r="C113" s="399"/>
      <c r="D113" s="397"/>
      <c r="E113" s="397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M113" s="214"/>
      <c r="BN113" s="214"/>
      <c r="BO113" s="214"/>
    </row>
    <row r="114" spans="2:128" ht="21" hidden="1" customHeight="1" x14ac:dyDescent="0.3">
      <c r="B114" s="19"/>
      <c r="C114" s="399"/>
      <c r="E114" s="19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E114" s="114"/>
      <c r="BF114" s="114"/>
      <c r="BG114" s="114"/>
      <c r="BH114" s="114"/>
      <c r="BM114" s="214"/>
      <c r="BN114" s="214"/>
      <c r="BO114" s="214"/>
    </row>
    <row r="115" spans="2:128" ht="21" hidden="1" customHeight="1" x14ac:dyDescent="0.3">
      <c r="B115" s="67"/>
      <c r="C115" s="399"/>
      <c r="E115" s="68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14"/>
      <c r="BF115" s="114"/>
      <c r="BG115" s="114"/>
      <c r="BH115" s="114"/>
      <c r="BM115" s="214"/>
      <c r="BN115" s="214"/>
      <c r="BO115" s="214"/>
    </row>
    <row r="116" spans="2:128" ht="21" hidden="1" customHeight="1" x14ac:dyDescent="0.3">
      <c r="B116" s="399"/>
      <c r="C116" s="399"/>
      <c r="D116" s="397"/>
      <c r="E116" s="397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E116" s="114"/>
      <c r="BF116" s="114"/>
      <c r="BG116" s="114"/>
      <c r="BH116" s="114"/>
      <c r="BM116" s="214"/>
      <c r="BN116" s="214"/>
      <c r="BO116" s="214"/>
    </row>
    <row r="117" spans="2:128" ht="21" hidden="1" customHeight="1" x14ac:dyDescent="0.3">
      <c r="B117" s="399"/>
      <c r="C117" s="399"/>
      <c r="D117" s="397"/>
      <c r="E117" s="397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M117" s="214"/>
      <c r="BN117" s="214"/>
      <c r="BO117" s="214"/>
    </row>
    <row r="118" spans="2:128" ht="21" hidden="1" customHeight="1" x14ac:dyDescent="0.3">
      <c r="B118" s="399"/>
      <c r="C118" s="399"/>
      <c r="D118" s="397"/>
      <c r="E118" s="397"/>
      <c r="F118" s="397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E118" s="126"/>
      <c r="BF118" s="126"/>
      <c r="BG118" s="126"/>
      <c r="BH118" s="126"/>
      <c r="BM118" s="214"/>
      <c r="BN118" s="214"/>
      <c r="BO118" s="214"/>
    </row>
    <row r="119" spans="2:128" ht="21" hidden="1" customHeight="1" x14ac:dyDescent="0.3">
      <c r="B119" s="399"/>
      <c r="C119" s="399"/>
      <c r="D119" s="397"/>
      <c r="E119" s="397"/>
      <c r="F119" s="397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E119" s="126"/>
      <c r="BF119" s="126"/>
      <c r="BG119" s="126"/>
      <c r="BH119" s="126"/>
      <c r="BM119" s="214"/>
      <c r="BN119" s="214"/>
      <c r="BO119" s="214"/>
      <c r="DE119" s="126"/>
      <c r="DF119" s="126"/>
      <c r="DG119" s="126"/>
      <c r="DH119" s="126"/>
      <c r="DI119" s="126"/>
      <c r="DJ119" s="126"/>
      <c r="DK119" s="203"/>
      <c r="DL119" s="203"/>
      <c r="DM119" s="203"/>
      <c r="DN119" s="203"/>
      <c r="DO119" s="203"/>
      <c r="DP119" s="203"/>
      <c r="DQ119" s="203"/>
      <c r="DR119" s="203"/>
      <c r="DS119" s="203"/>
      <c r="DT119" s="203"/>
      <c r="DU119" s="203"/>
      <c r="DV119" s="203"/>
      <c r="DW119" s="203"/>
      <c r="DX119" s="203"/>
    </row>
    <row r="120" spans="2:128" ht="21" hidden="1" customHeight="1" x14ac:dyDescent="0.3">
      <c r="B120" s="399"/>
      <c r="C120" s="399"/>
      <c r="D120" s="397"/>
      <c r="E120" s="397"/>
      <c r="F120" s="397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E120" s="126"/>
      <c r="BF120" s="126"/>
      <c r="BG120" s="126"/>
      <c r="BH120" s="126"/>
      <c r="BM120" s="214"/>
      <c r="BN120" s="214"/>
      <c r="BO120" s="214"/>
      <c r="DE120" s="126"/>
      <c r="DF120" s="126"/>
      <c r="DG120" s="126"/>
      <c r="DH120" s="126"/>
      <c r="DI120" s="126"/>
      <c r="DJ120" s="126"/>
      <c r="DK120" s="203"/>
      <c r="DL120" s="203"/>
      <c r="DM120" s="203"/>
      <c r="DN120" s="203"/>
      <c r="DO120" s="203"/>
      <c r="DP120" s="203"/>
      <c r="DQ120" s="203"/>
      <c r="DR120" s="203"/>
      <c r="DS120" s="203"/>
      <c r="DT120" s="203"/>
      <c r="DU120" s="203"/>
      <c r="DV120" s="203"/>
      <c r="DW120" s="203"/>
      <c r="DX120" s="203"/>
    </row>
    <row r="121" spans="2:128" ht="21" hidden="1" customHeight="1" x14ac:dyDescent="0.3">
      <c r="B121" s="399"/>
      <c r="C121" s="399"/>
      <c r="D121" s="397"/>
      <c r="E121" s="397"/>
      <c r="F121" s="397"/>
      <c r="G121" s="998"/>
      <c r="H121"/>
      <c r="I121"/>
      <c r="J121"/>
      <c r="K121"/>
      <c r="L121"/>
      <c r="M121"/>
      <c r="N121"/>
      <c r="O121" s="995"/>
      <c r="U121" s="114"/>
      <c r="AB121" s="114"/>
      <c r="AC121" s="114"/>
      <c r="AD121" s="114"/>
      <c r="AE121" s="114"/>
      <c r="BE121" s="126"/>
      <c r="BF121" s="126"/>
      <c r="BG121" s="126"/>
      <c r="BH121" s="126"/>
      <c r="BM121" s="214"/>
      <c r="BN121" s="214"/>
      <c r="BO121" s="214"/>
      <c r="DE121" s="126"/>
      <c r="DF121" s="126"/>
      <c r="DG121" s="126"/>
      <c r="DH121" s="126"/>
      <c r="DI121" s="126"/>
      <c r="DJ121" s="126"/>
      <c r="DK121" s="203"/>
      <c r="DL121" s="203"/>
      <c r="DM121" s="203"/>
      <c r="DN121" s="203"/>
      <c r="DO121" s="203"/>
      <c r="DP121" s="203"/>
      <c r="DQ121" s="203"/>
      <c r="DR121" s="203"/>
      <c r="DS121" s="203"/>
      <c r="DT121" s="203"/>
      <c r="DU121" s="203"/>
      <c r="DV121" s="203"/>
      <c r="DW121" s="203"/>
      <c r="DX121" s="203"/>
    </row>
    <row r="122" spans="2:128" ht="21" hidden="1" customHeight="1" x14ac:dyDescent="0.3">
      <c r="B122" s="399"/>
      <c r="C122" s="399"/>
      <c r="D122" s="397"/>
      <c r="E122" s="397"/>
      <c r="F122" s="397"/>
      <c r="G122" s="998"/>
      <c r="H122"/>
      <c r="I122"/>
      <c r="J122"/>
      <c r="K122"/>
      <c r="L122"/>
      <c r="M122"/>
      <c r="N122"/>
      <c r="O122" s="995"/>
      <c r="U122" s="114"/>
      <c r="AB122" s="114"/>
      <c r="AC122" s="114"/>
      <c r="AD122" s="114"/>
      <c r="AE122" s="114"/>
      <c r="BE122" s="126"/>
      <c r="BF122" s="126"/>
      <c r="BG122" s="126"/>
      <c r="BH122" s="126"/>
      <c r="BM122" s="214"/>
      <c r="BN122" s="214"/>
      <c r="BO122" s="214"/>
      <c r="DE122" s="126"/>
      <c r="DF122" s="126"/>
      <c r="DG122" s="126"/>
      <c r="DH122" s="126"/>
      <c r="DI122" s="126"/>
      <c r="DJ122" s="126"/>
      <c r="DK122" s="203"/>
      <c r="DL122" s="203"/>
      <c r="DM122" s="203"/>
      <c r="DN122" s="203"/>
      <c r="DO122" s="203"/>
      <c r="DP122" s="203"/>
      <c r="DQ122" s="203"/>
      <c r="DR122" s="203"/>
      <c r="DS122" s="203"/>
      <c r="DT122" s="203"/>
      <c r="DU122" s="203"/>
      <c r="DV122" s="203"/>
      <c r="DW122" s="203"/>
      <c r="DX122" s="203"/>
    </row>
    <row r="123" spans="2:128" ht="21" hidden="1" customHeight="1" x14ac:dyDescent="0.3">
      <c r="B123" s="399"/>
      <c r="C123" s="399"/>
      <c r="D123" s="397"/>
      <c r="E123" s="397"/>
      <c r="F123" s="397"/>
      <c r="G123" s="998"/>
      <c r="H123"/>
      <c r="I123"/>
      <c r="J123"/>
      <c r="K123"/>
      <c r="L123"/>
      <c r="M123"/>
      <c r="N123"/>
      <c r="O123" s="995"/>
      <c r="U123" s="114"/>
      <c r="AB123" s="114"/>
      <c r="AC123" s="114"/>
      <c r="AD123" s="114"/>
      <c r="AE123" s="114"/>
      <c r="BE123" s="136"/>
      <c r="BF123" s="136"/>
      <c r="BG123" s="136"/>
      <c r="BH123" s="136"/>
      <c r="BM123" s="214"/>
      <c r="BN123" s="214"/>
      <c r="BO123" s="214"/>
    </row>
    <row r="124" spans="2:128" ht="50.25" hidden="1" customHeight="1" x14ac:dyDescent="0.3">
      <c r="B124" s="399"/>
      <c r="C124" s="399"/>
      <c r="D124" s="397"/>
      <c r="E124" s="397"/>
      <c r="F124" s="39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114"/>
      <c r="AB124" s="114"/>
      <c r="AC124" s="114"/>
      <c r="AD124" s="114"/>
      <c r="AE124" s="114"/>
      <c r="BE124" s="136"/>
      <c r="BF124" s="136"/>
      <c r="BG124" s="136"/>
      <c r="BH124" s="136"/>
      <c r="BM124" s="214"/>
      <c r="BN124" s="214"/>
      <c r="BO124" s="214"/>
    </row>
    <row r="125" spans="2:128" ht="50.25" hidden="1" customHeight="1" thickBot="1" x14ac:dyDescent="0.35">
      <c r="B125" s="399"/>
      <c r="C125" s="399"/>
      <c r="D125" s="397"/>
      <c r="E125" s="397"/>
      <c r="F125" s="39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114"/>
      <c r="AB125" s="114"/>
      <c r="AC125" s="114"/>
      <c r="AD125" s="114"/>
      <c r="AE125" s="114"/>
      <c r="BE125" s="136"/>
      <c r="BF125" s="136"/>
      <c r="BG125" s="136"/>
      <c r="BH125" s="136"/>
      <c r="BM125" s="214"/>
      <c r="BN125" s="214"/>
      <c r="BO125" s="214"/>
    </row>
    <row r="126" spans="2:128" ht="50.25" hidden="1" customHeight="1" thickBot="1" x14ac:dyDescent="0.35">
      <c r="B126" s="399"/>
      <c r="C126" s="399"/>
      <c r="D126" s="397"/>
      <c r="E126" s="397"/>
      <c r="F126" s="397"/>
      <c r="G126" s="998"/>
      <c r="H126" s="1067" t="s">
        <v>260</v>
      </c>
      <c r="I126" s="1052">
        <f>+MIN(K31:L32)</f>
        <v>50.088535593815052</v>
      </c>
      <c r="J126" s="1052">
        <f>+MIN(J37:K38)</f>
        <v>76.372315035799517</v>
      </c>
      <c r="K126" s="1053">
        <f>+MIN(J43:L44)</f>
        <v>76.372315035799517</v>
      </c>
      <c r="L126" s="1054">
        <f>+MIN(J49:L50)</f>
        <v>33.045713236644019</v>
      </c>
      <c r="M126" s="1055">
        <f>+MIN(J55:L56)</f>
        <v>76.372315035799517</v>
      </c>
      <c r="N126"/>
      <c r="O126" s="995"/>
      <c r="U126" s="114"/>
      <c r="AB126" s="114"/>
      <c r="AC126" s="114"/>
      <c r="AD126" s="114"/>
      <c r="AE126" s="114"/>
      <c r="BE126" s="136"/>
      <c r="BF126" s="136"/>
      <c r="BG126" s="136"/>
      <c r="BH126" s="136"/>
      <c r="BM126" s="214"/>
      <c r="BN126" s="214"/>
      <c r="BO126" s="214"/>
    </row>
    <row r="127" spans="2:128" ht="20" hidden="1" x14ac:dyDescent="0.3">
      <c r="B127" s="399"/>
      <c r="C127" s="399"/>
      <c r="D127" s="397"/>
      <c r="E127" s="397"/>
      <c r="F127" s="397"/>
      <c r="G127" s="1011"/>
      <c r="H127" s="131"/>
      <c r="I127" s="131"/>
      <c r="J127" s="131"/>
      <c r="K127" s="131"/>
      <c r="L127" s="131"/>
      <c r="M127" s="131"/>
      <c r="N127" s="131"/>
      <c r="O127" s="1012"/>
      <c r="U127" s="114"/>
      <c r="AB127" s="114"/>
      <c r="AC127" s="114"/>
      <c r="AD127" s="114"/>
      <c r="AE127" s="114"/>
      <c r="BE127" s="136"/>
      <c r="BF127" s="136"/>
      <c r="BG127" s="136"/>
      <c r="BH127" s="136"/>
      <c r="BM127" s="214"/>
      <c r="BN127" s="214"/>
      <c r="BO127" s="214"/>
    </row>
    <row r="128" spans="2:128" ht="30" hidden="1" x14ac:dyDescent="0.3">
      <c r="C128" s="399"/>
      <c r="G128" s="998"/>
      <c r="H128" s="201"/>
      <c r="I128" s="201"/>
      <c r="J128" s="201"/>
      <c r="K128" s="201"/>
      <c r="L128" s="201"/>
      <c r="M128" s="201"/>
      <c r="N128" s="201"/>
      <c r="O128" s="1013"/>
      <c r="U128" s="114"/>
      <c r="AB128" s="114"/>
      <c r="AC128" s="114"/>
      <c r="AD128" s="114"/>
      <c r="AE128" s="114"/>
      <c r="BE128" s="136"/>
      <c r="BF128" s="136"/>
      <c r="BG128" s="136"/>
      <c r="BH128" s="136"/>
      <c r="BM128" s="214"/>
      <c r="BN128" s="214"/>
      <c r="BO128" s="214"/>
    </row>
    <row r="129" spans="2:67" ht="20" hidden="1" x14ac:dyDescent="0.3">
      <c r="B129" s="1851"/>
      <c r="C129" s="1851"/>
      <c r="D129" s="1851"/>
      <c r="E129" s="1851"/>
      <c r="G129" s="998"/>
      <c r="H129"/>
      <c r="I129"/>
      <c r="J129"/>
      <c r="K129"/>
      <c r="L129"/>
      <c r="M129"/>
      <c r="N129"/>
      <c r="O129" s="995"/>
      <c r="U129" s="114"/>
      <c r="AB129" s="114"/>
      <c r="AC129" s="114"/>
      <c r="AD129" s="114"/>
      <c r="AE129" s="114"/>
      <c r="BE129" s="136"/>
      <c r="BF129" s="136"/>
      <c r="BG129" s="136"/>
      <c r="BH129" s="136"/>
      <c r="BM129" s="214"/>
      <c r="BN129" s="214"/>
      <c r="BO129" s="214"/>
    </row>
    <row r="130" spans="2:67" ht="20" hidden="1" x14ac:dyDescent="0.3">
      <c r="B130" s="334"/>
      <c r="C130" s="403"/>
      <c r="D130" s="334"/>
      <c r="E130" s="334"/>
      <c r="F130" s="397"/>
      <c r="G130" s="998"/>
      <c r="H130"/>
      <c r="I130"/>
      <c r="J130"/>
      <c r="K130"/>
      <c r="L130"/>
      <c r="M130"/>
      <c r="N130"/>
      <c r="O130" s="995"/>
      <c r="U130" s="114"/>
      <c r="AB130" s="114"/>
      <c r="AC130" s="114"/>
      <c r="AD130" s="114"/>
      <c r="AE130" s="114"/>
      <c r="BE130" s="136"/>
      <c r="BF130" s="136"/>
      <c r="BG130" s="136"/>
      <c r="BH130" s="136"/>
      <c r="BM130" s="214"/>
      <c r="BN130" s="214"/>
      <c r="BO130" s="214"/>
    </row>
    <row r="131" spans="2:67" ht="24" hidden="1" x14ac:dyDescent="0.3">
      <c r="B131" s="404"/>
      <c r="C131" s="403"/>
      <c r="D131" s="405"/>
      <c r="E131" s="339"/>
      <c r="F131" s="397"/>
      <c r="G131" s="1014"/>
      <c r="H131" s="209"/>
      <c r="I131" s="1062">
        <f>COUNTIF(CK98:DA98,"&gt;0")</f>
        <v>1</v>
      </c>
      <c r="J131" s="1062">
        <f>COUNTIF(BQ98:CG98,"&gt;0")</f>
        <v>1</v>
      </c>
      <c r="K131" s="1062" t="b">
        <f>AND(IF(SUM(BQ100:CA100)&gt;0,1,0),IF(CP100="6  ADS ",1,0))</f>
        <v>1</v>
      </c>
      <c r="L131" s="1062" t="b">
        <f>AND(IF(SUM(CQ100:DA100)&gt;0,1,0),IF(CB100="6  ADS ",1,0))</f>
        <v>0</v>
      </c>
      <c r="M131" s="1062" t="b">
        <f>AND(IF(CP100="6  ADS ",1,0),IF(CB100="6  ADS ",1,0))</f>
        <v>0</v>
      </c>
      <c r="N131" s="209"/>
      <c r="O131" s="1015"/>
      <c r="U131" s="114"/>
      <c r="AB131" s="114"/>
      <c r="AC131" s="114"/>
      <c r="AD131" s="114"/>
      <c r="AE131" s="114"/>
      <c r="BE131" s="136"/>
      <c r="BF131" s="136"/>
      <c r="BG131" s="136"/>
      <c r="BH131" s="136"/>
      <c r="BM131" s="214"/>
      <c r="BN131" s="214"/>
      <c r="BO131" s="214"/>
    </row>
    <row r="132" spans="2:67" ht="25" hidden="1" thickBot="1" x14ac:dyDescent="0.35">
      <c r="B132" s="403"/>
      <c r="C132" s="403"/>
      <c r="D132" s="86"/>
      <c r="E132" s="86"/>
      <c r="F132" s="397"/>
      <c r="G132" s="1016"/>
      <c r="H132" s="1017"/>
      <c r="I132" s="1063">
        <f>IF(I131=2,I126,0)</f>
        <v>0</v>
      </c>
      <c r="J132" s="1063">
        <f>IF(J131=2,J126,0)</f>
        <v>0</v>
      </c>
      <c r="K132" s="1063">
        <f t="shared" ref="K132:M132" si="5">IF(K131=TRUE,K126,0)</f>
        <v>76.372315035799517</v>
      </c>
      <c r="L132" s="1063">
        <f t="shared" si="5"/>
        <v>0</v>
      </c>
      <c r="M132" s="1063">
        <f t="shared" si="5"/>
        <v>0</v>
      </c>
      <c r="N132" s="1017"/>
      <c r="O132" s="1018"/>
      <c r="U132" s="114"/>
      <c r="AB132" s="114"/>
      <c r="AC132" s="114"/>
      <c r="AD132" s="114"/>
      <c r="AE132" s="114"/>
      <c r="BE132" s="136"/>
      <c r="BF132" s="136"/>
      <c r="BG132" s="136"/>
      <c r="BH132" s="136"/>
      <c r="BM132" s="214"/>
      <c r="BN132" s="214"/>
      <c r="BO132" s="214"/>
    </row>
    <row r="133" spans="2:67" ht="20" hidden="1" x14ac:dyDescent="0.3">
      <c r="B133" s="334"/>
      <c r="C133" s="403"/>
      <c r="D133" s="334"/>
      <c r="E133" s="20"/>
      <c r="F133" s="397"/>
      <c r="G133" s="397"/>
      <c r="U133" s="114"/>
      <c r="AB133" s="114"/>
      <c r="AC133" s="114"/>
      <c r="AD133" s="114"/>
      <c r="AE133" s="114"/>
      <c r="BE133" s="136"/>
      <c r="BF133" s="136"/>
      <c r="BG133" s="136"/>
      <c r="BH133" s="136"/>
      <c r="BM133" s="214"/>
      <c r="BN133" s="214"/>
      <c r="BO133" s="214"/>
    </row>
    <row r="134" spans="2:67" ht="20" hidden="1" x14ac:dyDescent="0.3">
      <c r="B134" s="399"/>
      <c r="C134" s="399"/>
      <c r="F134" s="397"/>
      <c r="G134" s="397"/>
      <c r="U134" s="114"/>
      <c r="AB134" s="114"/>
      <c r="AC134" s="114"/>
      <c r="AD134" s="114"/>
      <c r="AE134" s="114"/>
      <c r="BF134" s="136"/>
      <c r="BG134" s="136"/>
      <c r="BH134" s="136"/>
      <c r="BM134" s="214"/>
      <c r="BN134" s="214"/>
      <c r="BO134" s="214"/>
    </row>
    <row r="135" spans="2:67" ht="20" hidden="1" x14ac:dyDescent="0.3">
      <c r="B135" s="399"/>
      <c r="C135" s="399"/>
      <c r="G135" s="397"/>
      <c r="U135" s="114"/>
      <c r="AB135" s="114"/>
      <c r="AC135" s="114"/>
      <c r="AD135" s="114"/>
      <c r="AE135" s="114"/>
      <c r="BE135" s="136"/>
      <c r="BF135" s="136"/>
      <c r="BG135" s="136"/>
      <c r="BH135" s="136"/>
      <c r="BM135" s="214"/>
      <c r="BN135" s="214"/>
      <c r="BO135" s="214"/>
    </row>
    <row r="136" spans="2:67" ht="20" hidden="1" x14ac:dyDescent="0.3">
      <c r="B136" s="399"/>
      <c r="C136" s="399"/>
      <c r="G136" s="397"/>
      <c r="U136" s="114"/>
      <c r="AB136" s="114"/>
      <c r="AC136" s="114"/>
      <c r="AD136" s="114"/>
      <c r="AE136" s="114"/>
      <c r="BF136" s="136"/>
      <c r="BG136" s="136"/>
      <c r="BH136" s="136"/>
      <c r="BM136" s="214"/>
      <c r="BN136" s="214"/>
      <c r="BO136" s="214"/>
    </row>
    <row r="137" spans="2:67" ht="20" hidden="1" x14ac:dyDescent="0.3">
      <c r="C137" s="114"/>
      <c r="G137" s="397"/>
      <c r="U137" s="114"/>
      <c r="AB137" s="114"/>
      <c r="AC137" s="114"/>
      <c r="AD137" s="114"/>
      <c r="AE137" s="114"/>
      <c r="BF137" s="136"/>
      <c r="BG137" s="136"/>
      <c r="BH137" s="136"/>
      <c r="BM137" s="214"/>
      <c r="BN137" s="214"/>
      <c r="BO137" s="214"/>
    </row>
    <row r="138" spans="2:67" ht="20" hidden="1" x14ac:dyDescent="0.3">
      <c r="B138" s="406"/>
      <c r="C138" s="406"/>
      <c r="D138" s="407"/>
      <c r="E138" s="407"/>
      <c r="F138" s="407"/>
      <c r="G138" s="407"/>
      <c r="BE138" s="136"/>
      <c r="BF138" s="136"/>
      <c r="BG138" s="136"/>
      <c r="BH138" s="136"/>
      <c r="BM138" s="214"/>
      <c r="BN138" s="214"/>
      <c r="BO138" s="214"/>
    </row>
    <row r="139" spans="2:67" ht="20" hidden="1" x14ac:dyDescent="0.3">
      <c r="BF139" s="136"/>
      <c r="BG139" s="136"/>
      <c r="BH139" s="136"/>
      <c r="BM139" s="214"/>
      <c r="BN139" s="214"/>
      <c r="BO139" s="214"/>
    </row>
    <row r="140" spans="2:67" ht="20" hidden="1" x14ac:dyDescent="0.3">
      <c r="B140"/>
      <c r="BE140" s="136"/>
      <c r="BF140" s="136"/>
      <c r="BG140" s="136"/>
      <c r="BH140" s="136"/>
      <c r="BM140" s="214"/>
      <c r="BN140" s="214"/>
      <c r="BO140" s="214"/>
    </row>
    <row r="141" spans="2:67" ht="20" hidden="1" x14ac:dyDescent="0.3">
      <c r="B141" s="406"/>
      <c r="C141" s="406"/>
      <c r="D141" s="407"/>
      <c r="E141" s="407"/>
      <c r="F141" s="407"/>
      <c r="G141" s="407"/>
      <c r="BE141" s="136"/>
      <c r="BF141" s="136"/>
      <c r="BG141" s="136"/>
      <c r="BH141" s="136"/>
      <c r="BM141" s="214"/>
      <c r="BN141" s="214"/>
      <c r="BO141" s="214"/>
    </row>
    <row r="142" spans="2:67" ht="20" hidden="1" x14ac:dyDescent="0.3">
      <c r="B142" s="406"/>
      <c r="C142" s="406"/>
      <c r="D142" s="407"/>
      <c r="E142" s="407"/>
      <c r="F142" s="407"/>
      <c r="G142" s="407"/>
      <c r="BE142" s="136"/>
      <c r="BF142" s="136"/>
      <c r="BG142" s="136"/>
      <c r="BH142" s="136"/>
      <c r="BM142" s="214"/>
      <c r="BN142" s="214"/>
      <c r="BO142" s="214"/>
    </row>
    <row r="143" spans="2:67" ht="21" hidden="1" thickBot="1" x14ac:dyDescent="0.35">
      <c r="B143" s="406"/>
      <c r="C143" s="406"/>
      <c r="D143" s="407"/>
      <c r="E143" s="407"/>
      <c r="F143" s="407"/>
      <c r="G143" s="407"/>
      <c r="BE143" s="136"/>
      <c r="BF143" s="136"/>
      <c r="BG143" s="136"/>
      <c r="BH143" s="136"/>
      <c r="BM143" s="214"/>
      <c r="BN143" s="214"/>
      <c r="BO143" s="214"/>
    </row>
    <row r="144" spans="2:67" ht="46.5" customHeight="1" thickBot="1" x14ac:dyDescent="0.35">
      <c r="B144" s="408"/>
      <c r="D144" s="409" t="str">
        <f>IF(BL107&gt;0," ","change the angle of frame or of cabinets")</f>
        <v xml:space="preserve"> </v>
      </c>
      <c r="E144" s="208"/>
      <c r="F144" s="208"/>
      <c r="G144" s="208"/>
      <c r="BE144" s="136"/>
      <c r="BF144" s="136"/>
      <c r="BG144" s="136"/>
      <c r="BH144" s="136"/>
      <c r="BM144" s="214"/>
      <c r="BN144" s="214"/>
      <c r="BO144" s="214"/>
    </row>
    <row r="145" spans="2:87" ht="46.5" customHeight="1" thickBot="1" x14ac:dyDescent="0.35">
      <c r="B145" s="1846" t="s">
        <v>116</v>
      </c>
      <c r="D145" s="409" t="str">
        <f>IF(DD107&lt;0," ","change the angle of frame or of cabinets")</f>
        <v xml:space="preserve"> </v>
      </c>
      <c r="E145" s="208"/>
      <c r="F145" s="208"/>
      <c r="G145" s="208"/>
      <c r="V145" s="410"/>
      <c r="W145" s="410"/>
      <c r="X145" s="410"/>
      <c r="Y145" s="410"/>
      <c r="Z145" s="410"/>
      <c r="AA145" s="410"/>
      <c r="AF145" s="401"/>
      <c r="AG145" s="401"/>
      <c r="AH145" s="401"/>
      <c r="AI145" s="401"/>
      <c r="AJ145" s="401"/>
      <c r="AK145" s="401"/>
      <c r="AL145" s="401"/>
      <c r="AM145" s="401"/>
      <c r="AN145" s="401"/>
      <c r="AO145" s="401"/>
      <c r="AP145" s="401"/>
      <c r="AQ145" s="401"/>
      <c r="AR145" s="401"/>
      <c r="AS145" s="401"/>
      <c r="AT145" s="401"/>
      <c r="AU145" s="401"/>
      <c r="AV145" s="401"/>
      <c r="AW145" s="401"/>
      <c r="AX145" s="401"/>
      <c r="AY145" s="401"/>
      <c r="AZ145" s="401"/>
      <c r="BA145" s="401"/>
      <c r="BB145" s="143"/>
      <c r="BE145" s="136"/>
      <c r="BF145" s="136"/>
      <c r="BG145" s="136"/>
      <c r="BH145" s="136"/>
      <c r="BM145" s="214"/>
      <c r="BN145" s="214"/>
      <c r="BO145" s="214"/>
    </row>
    <row r="146" spans="2:87" ht="46.5" customHeight="1" thickBot="1" x14ac:dyDescent="0.25">
      <c r="B146" s="1847"/>
      <c r="C146" s="213"/>
      <c r="D146" s="409" t="str">
        <f>IF(BL107&gt;(+COS(($B$147*-1)*3.14159265358979/180)*451.5)," ","USE EXBAR AR AT THE FRONT")</f>
        <v xml:space="preserve"> </v>
      </c>
      <c r="E146" s="208"/>
      <c r="F146" s="208"/>
      <c r="G146" s="208"/>
      <c r="BE146" s="136"/>
      <c r="BF146" s="136"/>
      <c r="BG146" s="136"/>
      <c r="BH146" s="136"/>
    </row>
    <row r="147" spans="2:87" ht="46.5" customHeight="1" thickBot="1" x14ac:dyDescent="0.3">
      <c r="B147" s="4">
        <v>0</v>
      </c>
      <c r="C147" s="213"/>
      <c r="D147" s="341" t="str">
        <f>IF(DD107&lt;-(+COS(($B$147*-1)*3.14159265358979/180)*365.5)," ","USE EXBAR AR AT THE BACK")</f>
        <v xml:space="preserve"> </v>
      </c>
      <c r="E147" s="208"/>
      <c r="F147" s="208"/>
      <c r="G147" s="208"/>
      <c r="AK147" s="835" t="s">
        <v>174</v>
      </c>
      <c r="AL147" s="836"/>
      <c r="AM147" s="836"/>
      <c r="AN147" s="836"/>
      <c r="AO147" s="837" t="s">
        <v>178</v>
      </c>
      <c r="AP147" s="796"/>
      <c r="BE147" s="136"/>
      <c r="BF147" s="136"/>
      <c r="BG147" s="136"/>
      <c r="BH147" s="136"/>
    </row>
    <row r="148" spans="2:87" ht="20.25" customHeight="1" thickBot="1" x14ac:dyDescent="0.3">
      <c r="AK148" s="838" t="s">
        <v>175</v>
      </c>
      <c r="AL148" s="835" t="s">
        <v>176</v>
      </c>
      <c r="AM148" s="835" t="s">
        <v>177</v>
      </c>
      <c r="AN148" s="839" t="s">
        <v>181</v>
      </c>
      <c r="AO148" s="840" t="s">
        <v>179</v>
      </c>
      <c r="AP148" s="796"/>
      <c r="BE148" s="136"/>
      <c r="BF148" s="136"/>
      <c r="BG148" s="136"/>
      <c r="BH148" s="136"/>
    </row>
    <row r="149" spans="2:87" ht="63.75" customHeight="1" thickBot="1" x14ac:dyDescent="0.3">
      <c r="B149" s="411" t="s">
        <v>211</v>
      </c>
      <c r="C149" s="412"/>
      <c r="D149" s="37"/>
      <c r="E149" s="37"/>
      <c r="F149" s="37"/>
      <c r="G149" s="37"/>
      <c r="T149" s="187"/>
      <c r="AK149" s="838">
        <v>6.8623010000000004</v>
      </c>
      <c r="AL149" s="835">
        <f>+$B$147-AK149</f>
        <v>-6.8623010000000004</v>
      </c>
      <c r="AM149" s="841">
        <f>COS(AL149*3.14159265358979/180)</f>
        <v>0.99283617366519983</v>
      </c>
      <c r="AN149" s="842">
        <f>+AM149*378.71303</f>
        <v>375.99999562235405</v>
      </c>
      <c r="AO149" s="813">
        <f>+((AO153*(AQ153-31))+(AN149*31)+(AO171*31))/(AQ153+31)</f>
        <v>280.70197478439172</v>
      </c>
      <c r="AP149" s="1100" t="s">
        <v>266</v>
      </c>
      <c r="BE149" s="136"/>
      <c r="BF149" s="136"/>
      <c r="BG149" s="136"/>
      <c r="BH149" s="136"/>
    </row>
    <row r="150" spans="2:87" ht="30.75" customHeight="1" thickBot="1" x14ac:dyDescent="0.3">
      <c r="B150" s="28">
        <v>1</v>
      </c>
      <c r="C150" s="216"/>
      <c r="D150" s="413" t="s">
        <v>109</v>
      </c>
      <c r="E150" s="330"/>
      <c r="F150" s="330"/>
      <c r="G150" s="330"/>
      <c r="H150" s="342" t="s">
        <v>87</v>
      </c>
      <c r="I150" s="342" t="s">
        <v>88</v>
      </c>
      <c r="J150" s="342" t="s">
        <v>89</v>
      </c>
      <c r="K150"/>
      <c r="L150"/>
      <c r="M150"/>
      <c r="N150"/>
      <c r="O150"/>
      <c r="P150" s="342" t="s">
        <v>90</v>
      </c>
      <c r="Q150" s="342" t="s">
        <v>91</v>
      </c>
      <c r="R150" s="330"/>
      <c r="S150" s="342" t="s">
        <v>92</v>
      </c>
      <c r="T150" s="414"/>
      <c r="W150" s="1850" t="s">
        <v>93</v>
      </c>
      <c r="X150" s="1850"/>
      <c r="Y150" s="1850"/>
      <c r="Z150" s="1850"/>
      <c r="AA150" s="1850"/>
      <c r="AN150" s="64" t="s">
        <v>198</v>
      </c>
      <c r="AY150" s="415"/>
      <c r="AZ150" s="1848" t="s">
        <v>52</v>
      </c>
      <c r="BA150" s="1849"/>
      <c r="BE150" s="136"/>
      <c r="BF150" s="136"/>
      <c r="BG150" s="136"/>
      <c r="BH150" s="136"/>
    </row>
    <row r="151" spans="2:87" ht="56.25" hidden="1" customHeight="1" thickBot="1" x14ac:dyDescent="0.25">
      <c r="C151" s="416"/>
      <c r="D151" s="417" t="s">
        <v>13</v>
      </c>
      <c r="H151" s="356" t="s">
        <v>4</v>
      </c>
      <c r="I151" s="356" t="s">
        <v>1</v>
      </c>
      <c r="J151" s="377" t="s">
        <v>73</v>
      </c>
      <c r="K151" s="316" t="s">
        <v>2</v>
      </c>
      <c r="L151" s="316" t="s">
        <v>3</v>
      </c>
      <c r="M151" s="316" t="s">
        <v>8</v>
      </c>
      <c r="N151" s="316" t="s">
        <v>5</v>
      </c>
      <c r="O151" s="316" t="s">
        <v>6</v>
      </c>
      <c r="P151" s="316" t="s">
        <v>7</v>
      </c>
      <c r="Q151" s="316" t="s">
        <v>9</v>
      </c>
      <c r="R151" s="356" t="s">
        <v>10</v>
      </c>
      <c r="S151" s="316" t="s">
        <v>11</v>
      </c>
      <c r="T151" s="418" t="s">
        <v>12</v>
      </c>
      <c r="W151" s="356" t="s">
        <v>111</v>
      </c>
      <c r="X151" s="316" t="s">
        <v>94</v>
      </c>
      <c r="Y151" s="356" t="s">
        <v>110</v>
      </c>
      <c r="Z151" s="419" t="s">
        <v>95</v>
      </c>
      <c r="AA151" s="419" t="s">
        <v>96</v>
      </c>
      <c r="AC151" s="316" t="s">
        <v>99</v>
      </c>
      <c r="AD151" s="316"/>
      <c r="AE151" s="316"/>
      <c r="AF151" s="420"/>
      <c r="AG151" s="420"/>
      <c r="AH151" s="420"/>
      <c r="AI151" s="420"/>
      <c r="AJ151" s="420"/>
      <c r="AK151" s="420"/>
      <c r="AL151" s="420"/>
      <c r="AM151" s="420"/>
      <c r="AN151" s="420"/>
      <c r="AO151" s="420" t="s">
        <v>135</v>
      </c>
      <c r="AP151" s="420"/>
      <c r="AQ151" s="420" t="s">
        <v>135</v>
      </c>
      <c r="AR151" s="420"/>
      <c r="AS151" s="420"/>
      <c r="AT151" s="420" t="s">
        <v>135</v>
      </c>
      <c r="AU151" s="420"/>
      <c r="AV151" s="420"/>
      <c r="AW151" s="420"/>
      <c r="AX151" s="415"/>
      <c r="AY151" s="415"/>
      <c r="AZ151" s="420"/>
      <c r="BA151" s="420"/>
      <c r="BB151" s="231"/>
      <c r="BE151" s="136"/>
      <c r="BF151" s="136"/>
      <c r="BG151" s="136"/>
      <c r="BH151" s="136"/>
    </row>
    <row r="152" spans="2:87" ht="36" customHeight="1" thickBot="1" x14ac:dyDescent="0.25">
      <c r="B152" s="421"/>
      <c r="C152" s="422"/>
      <c r="D152" s="348" t="s">
        <v>22</v>
      </c>
      <c r="E152" s="330"/>
      <c r="F152" s="330"/>
      <c r="G152" s="240"/>
      <c r="H152" s="356"/>
      <c r="I152" s="356"/>
      <c r="J152" s="377"/>
      <c r="K152" s="316"/>
      <c r="L152" s="316"/>
      <c r="M152" s="316"/>
      <c r="N152" s="316"/>
      <c r="O152" s="316"/>
      <c r="P152" s="316"/>
      <c r="Q152" s="316"/>
      <c r="R152" s="356"/>
      <c r="S152" s="316"/>
      <c r="T152" s="418"/>
      <c r="V152" s="420"/>
      <c r="W152" s="420"/>
      <c r="X152" s="420"/>
      <c r="Y152" s="420"/>
      <c r="Z152" s="420"/>
      <c r="AA152" s="420"/>
      <c r="AB152" s="420"/>
      <c r="AC152" s="423">
        <f>SUM(AC153:AC164)</f>
        <v>334.49993130661176</v>
      </c>
      <c r="AD152" s="424"/>
      <c r="AE152" s="424"/>
      <c r="AF152" s="420" t="s">
        <v>38</v>
      </c>
      <c r="AG152" s="425" t="s">
        <v>31</v>
      </c>
      <c r="AH152" s="425"/>
      <c r="AI152" s="10" t="s">
        <v>108</v>
      </c>
      <c r="AJ152" s="426" t="s">
        <v>32</v>
      </c>
      <c r="AK152" s="9" t="s">
        <v>33</v>
      </c>
      <c r="AL152" s="8" t="s">
        <v>107</v>
      </c>
      <c r="AM152" s="427" t="s">
        <v>34</v>
      </c>
      <c r="AN152" s="9" t="s">
        <v>35</v>
      </c>
      <c r="AO152" s="428" t="s">
        <v>48</v>
      </c>
      <c r="AP152" s="367" t="s">
        <v>47</v>
      </c>
      <c r="AQ152" s="428" t="s">
        <v>136</v>
      </c>
      <c r="AR152" s="420" t="s">
        <v>46</v>
      </c>
      <c r="AS152" s="420" t="s">
        <v>39</v>
      </c>
      <c r="AT152" s="428" t="s">
        <v>50</v>
      </c>
      <c r="AU152" s="420" t="s">
        <v>49</v>
      </c>
      <c r="AV152" s="429" t="s">
        <v>41</v>
      </c>
      <c r="AW152" s="429" t="s">
        <v>42</v>
      </c>
      <c r="AX152" s="430" t="s">
        <v>23</v>
      </c>
      <c r="AY152" s="430" t="s">
        <v>24</v>
      </c>
      <c r="AZ152" s="431" t="s">
        <v>23</v>
      </c>
      <c r="BA152" s="431" t="s">
        <v>24</v>
      </c>
      <c r="BC152" s="276"/>
      <c r="BE152" s="136"/>
      <c r="BF152" s="136"/>
      <c r="BG152" s="136"/>
      <c r="BH152" s="136"/>
    </row>
    <row r="153" spans="2:87" ht="19" thickBot="1" x14ac:dyDescent="0.25">
      <c r="B153" s="255">
        <v>1</v>
      </c>
      <c r="C153" s="256">
        <f>+(B147*-1)+D153</f>
        <v>0</v>
      </c>
      <c r="D153" s="25">
        <v>0</v>
      </c>
      <c r="E153" s="432" t="s">
        <v>80</v>
      </c>
      <c r="F153" s="280"/>
      <c r="G153" s="280"/>
      <c r="H153" s="16">
        <v>414.62658399999998</v>
      </c>
      <c r="I153" s="16">
        <v>36.220413100000002</v>
      </c>
      <c r="J153" s="342">
        <f>+I153-C153</f>
        <v>36.220413100000002</v>
      </c>
      <c r="K153" s="280"/>
      <c r="L153" s="280"/>
      <c r="M153" s="280"/>
      <c r="N153" s="280"/>
      <c r="O153" s="280"/>
      <c r="P153" s="342">
        <f>COS(J153*3.14159265358979/180)</f>
        <v>0.80674984242354264</v>
      </c>
      <c r="Q153" s="342">
        <f>+P153*H153</f>
        <v>334.49993130661176</v>
      </c>
      <c r="R153" s="16">
        <v>334.5</v>
      </c>
      <c r="S153" s="342">
        <f>+Q153</f>
        <v>334.49993130661176</v>
      </c>
      <c r="T153" s="280">
        <f t="shared" ref="T153:T164" si="6">+S153</f>
        <v>334.49993130661176</v>
      </c>
      <c r="U153" s="280"/>
      <c r="V153" s="280">
        <f t="shared" ref="V153:V164" si="7">IF(B153&lt;($B$150+1),T153,0)</f>
        <v>334.49993130661176</v>
      </c>
      <c r="W153" s="13">
        <v>36.220415500000001</v>
      </c>
      <c r="X153" s="280">
        <f>+W153+AH165</f>
        <v>36.220415500000001</v>
      </c>
      <c r="Y153" s="13">
        <v>414.6266</v>
      </c>
      <c r="Z153" s="434">
        <f>+COS(X153*3.14159265358979/180)*Y153</f>
        <v>334.49993395207258</v>
      </c>
      <c r="AA153" s="435">
        <f>+AC152-Z153</f>
        <v>-2.6454608246240241E-6</v>
      </c>
      <c r="AB153" s="280"/>
      <c r="AC153" s="436">
        <f>IF(AD153=1,AF153)</f>
        <v>334.49993130661176</v>
      </c>
      <c r="AD153" s="436">
        <f t="shared" ref="AD153:AD164" si="8">MAX(AE$153:AE$164)</f>
        <v>1</v>
      </c>
      <c r="AE153" s="436">
        <f>IF(V153=0,0,1)</f>
        <v>1</v>
      </c>
      <c r="AF153" s="437">
        <f>SUM(V153:V164)/($B$150)</f>
        <v>334.49993130661176</v>
      </c>
      <c r="AG153" s="438">
        <f>+D153+C153</f>
        <v>0</v>
      </c>
      <c r="AH153" s="439">
        <f t="shared" ref="AH153:AH164" si="9">IF(B153&lt;($B$150+1),AG153)</f>
        <v>0</v>
      </c>
      <c r="AI153" s="11">
        <f>53.779595+AH153</f>
        <v>53.779595</v>
      </c>
      <c r="AJ153" s="441">
        <f>SIN(AI153*3.14159265358979/180)</f>
        <v>0.8067499259590819</v>
      </c>
      <c r="AK153" s="11">
        <f>+AJ153*414.6266</f>
        <v>334.49997885066585</v>
      </c>
      <c r="AL153" s="11">
        <f>59.2910885-AH153</f>
        <v>59.291088500000001</v>
      </c>
      <c r="AM153" s="442">
        <f>SIN(AL153*3.14159265358979/180)</f>
        <v>0.85977285389573432</v>
      </c>
      <c r="AN153" s="11">
        <f>+AM153*479.7721</f>
        <v>412.49502763654965</v>
      </c>
      <c r="AO153" s="443">
        <f t="shared" ref="AO153:AO164" si="10">+((AF153*AP153)+($AP$177*($AF$177+$AA$153)))/AQ153</f>
        <v>228.18217663369256</v>
      </c>
      <c r="AP153" s="382">
        <f>72*B150</f>
        <v>72</v>
      </c>
      <c r="AQ153" s="443">
        <f t="shared" ref="AQ153:AQ164" si="11">+AP153+$AP$177+31</f>
        <v>143.5</v>
      </c>
      <c r="AR153" s="444">
        <f>+AN153+AK153</f>
        <v>746.99500648721551</v>
      </c>
      <c r="AS153" s="445">
        <f>+V153-AN153</f>
        <v>-77.995096329937894</v>
      </c>
      <c r="AT153" s="446">
        <f>+AO153-AS153</f>
        <v>306.17727296363046</v>
      </c>
      <c r="AU153" s="445">
        <f>+AF153-AS153</f>
        <v>412.49502763654965</v>
      </c>
      <c r="AV153" s="447">
        <f>+((AR153-AT153)/AR153)*AQ153</f>
        <v>84.68241984388294</v>
      </c>
      <c r="AW153" s="447">
        <f>+(AT153/AR153)*AQ153</f>
        <v>58.817580156117046</v>
      </c>
      <c r="AX153" s="448">
        <f t="shared" ref="AX153:AX164" si="12">2*$C$19/AV153</f>
        <v>136.9823869155521</v>
      </c>
      <c r="AY153" s="448">
        <f t="shared" ref="AY153:AY164" si="13">2*$D$19/AW153</f>
        <v>197.21994630194925</v>
      </c>
      <c r="AZ153" s="449">
        <f>ABS(AX153)</f>
        <v>136.9823869155521</v>
      </c>
      <c r="BA153" s="449">
        <f>ABS(AY153)</f>
        <v>197.21994630194925</v>
      </c>
      <c r="BB153" s="91"/>
      <c r="BC153" s="276"/>
      <c r="BE153" s="136"/>
      <c r="BF153" s="136"/>
      <c r="BG153" s="136"/>
      <c r="BH153" s="136"/>
    </row>
    <row r="154" spans="2:87" ht="19" thickBot="1" x14ac:dyDescent="0.25">
      <c r="B154" s="277">
        <v>2</v>
      </c>
      <c r="C154" s="278"/>
      <c r="D154" s="25">
        <v>0</v>
      </c>
      <c r="E154" s="257" t="s">
        <v>80</v>
      </c>
      <c r="F154" s="258"/>
      <c r="G154" s="258"/>
      <c r="H154" s="12">
        <v>479.77208100000001</v>
      </c>
      <c r="I154" s="12">
        <v>61.416098300000002</v>
      </c>
      <c r="J154" s="258">
        <f>+I154+D154</f>
        <v>61.416098300000002</v>
      </c>
      <c r="K154" s="258">
        <f t="shared" ref="K154:K164" si="14">+J154/2</f>
        <v>30.708049150000001</v>
      </c>
      <c r="L154" s="258">
        <f t="shared" ref="L154:L164" si="15">SIN(K154*3.14159265358979/180)</f>
        <v>0.51066370850547771</v>
      </c>
      <c r="M154" s="258">
        <f t="shared" ref="M154:M164" si="16">+L154*H154</f>
        <v>245.00219012085046</v>
      </c>
      <c r="N154" s="258">
        <f t="shared" ref="N154:N164" si="17">+M154*2</f>
        <v>490.00438024170091</v>
      </c>
      <c r="O154" s="258">
        <f>+C153+(D154/2)</f>
        <v>0</v>
      </c>
      <c r="P154" s="258">
        <f t="shared" ref="P154:P164" si="18">SIN(O154*3.14159265358979/180)</f>
        <v>0</v>
      </c>
      <c r="Q154" s="258">
        <f t="shared" ref="Q154:Q164" si="19">+P154*N154</f>
        <v>0</v>
      </c>
      <c r="R154" s="258">
        <f t="shared" ref="R154:R164" si="20">+T153</f>
        <v>334.49993130661176</v>
      </c>
      <c r="S154" s="258">
        <f>+R154+Q154</f>
        <v>334.49993130661176</v>
      </c>
      <c r="T154" s="258">
        <f t="shared" si="6"/>
        <v>334.49993130661176</v>
      </c>
      <c r="U154" s="258"/>
      <c r="V154" s="258">
        <f t="shared" si="7"/>
        <v>0</v>
      </c>
      <c r="W154" s="258"/>
      <c r="X154" s="258"/>
      <c r="Y154" s="258"/>
      <c r="Z154" s="258"/>
      <c r="AA154" s="258"/>
      <c r="AB154" s="258"/>
      <c r="AC154" s="436" t="b">
        <f>IF(AD154=2,AF154)</f>
        <v>0</v>
      </c>
      <c r="AD154" s="436">
        <f t="shared" si="8"/>
        <v>1</v>
      </c>
      <c r="AE154" s="436">
        <f>IF(V154=0,0,2)</f>
        <v>0</v>
      </c>
      <c r="AF154" s="437" t="e">
        <f>SUM(V154:V164)/($B$150-B153)</f>
        <v>#DIV/0!</v>
      </c>
      <c r="AG154" s="450">
        <f>SUM(D154)+$C$153</f>
        <v>0</v>
      </c>
      <c r="AH154" s="439" t="b">
        <f t="shared" si="9"/>
        <v>0</v>
      </c>
      <c r="AI154" s="11">
        <f t="shared" ref="AI154:AI164" si="21">53.779595+AH154</f>
        <v>53.779595</v>
      </c>
      <c r="AJ154" s="441">
        <f>SIN(AI154*3.14159265358979/180)</f>
        <v>0.8067499259590819</v>
      </c>
      <c r="AK154" s="11">
        <f t="shared" ref="AK154:AK164" si="22">+AJ154*414.6266</f>
        <v>334.49997885066585</v>
      </c>
      <c r="AL154" s="11">
        <f t="shared" ref="AL154:AL164" si="23">59.2910885-AH154</f>
        <v>59.291088500000001</v>
      </c>
      <c r="AM154" s="442">
        <f t="shared" ref="AM154:AM164" si="24">SIN(AL154*3.14159265358979/180)</f>
        <v>0.85977285389573432</v>
      </c>
      <c r="AN154" s="11">
        <f t="shared" ref="AN154:AN164" si="25">+AM154*479.7721</f>
        <v>412.49502763654965</v>
      </c>
      <c r="AO154" s="443" t="e">
        <f t="shared" si="10"/>
        <v>#DIV/0!</v>
      </c>
      <c r="AP154" s="382">
        <f t="shared" ref="AP154:AP164" si="26">72*($B$150-B153)</f>
        <v>0</v>
      </c>
      <c r="AQ154" s="443">
        <f t="shared" si="11"/>
        <v>71.5</v>
      </c>
      <c r="AR154" s="444">
        <f t="shared" ref="AR154:AR164" si="27">+AN154+AK154</f>
        <v>746.99500648721551</v>
      </c>
      <c r="AS154" s="445">
        <f>+V154-AN154</f>
        <v>-412.49502763654965</v>
      </c>
      <c r="AT154" s="446" t="e">
        <f t="shared" ref="AT154:AT164" si="28">+AO154-AS154</f>
        <v>#DIV/0!</v>
      </c>
      <c r="AU154" s="445" t="e">
        <f>+AF154-AS154</f>
        <v>#DIV/0!</v>
      </c>
      <c r="AV154" s="447" t="e">
        <f t="shared" ref="AV154:AV164" si="29">+((AR154-AT154)/AR154)*AQ154</f>
        <v>#DIV/0!</v>
      </c>
      <c r="AW154" s="447" t="e">
        <f t="shared" ref="AW154:AW164" si="30">+(AT154/AR154)*AQ154</f>
        <v>#DIV/0!</v>
      </c>
      <c r="AX154" s="448" t="e">
        <f t="shared" si="12"/>
        <v>#DIV/0!</v>
      </c>
      <c r="AY154" s="448" t="e">
        <f t="shared" si="13"/>
        <v>#DIV/0!</v>
      </c>
      <c r="AZ154" s="451" t="e">
        <f t="shared" ref="AZ154:BA164" si="31">ABS(AX154)</f>
        <v>#DIV/0!</v>
      </c>
      <c r="BA154" s="451" t="e">
        <f t="shared" si="31"/>
        <v>#DIV/0!</v>
      </c>
      <c r="BC154" s="276"/>
      <c r="BE154" s="136"/>
      <c r="BF154" s="136"/>
      <c r="BG154" s="136"/>
      <c r="BH154" s="136"/>
    </row>
    <row r="155" spans="2:87" ht="19" thickBot="1" x14ac:dyDescent="0.25">
      <c r="B155" s="277">
        <v>3</v>
      </c>
      <c r="C155" s="278"/>
      <c r="D155" s="25">
        <v>0</v>
      </c>
      <c r="E155" s="257" t="s">
        <v>80</v>
      </c>
      <c r="F155" s="258"/>
      <c r="G155" s="258"/>
      <c r="H155" s="12">
        <v>479.77208100000001</v>
      </c>
      <c r="I155" s="12">
        <v>61.416098300000002</v>
      </c>
      <c r="J155" s="258">
        <f t="shared" ref="J155:J164" si="32">+I155+D155</f>
        <v>61.416098300000002</v>
      </c>
      <c r="K155" s="258">
        <f t="shared" si="14"/>
        <v>30.708049150000001</v>
      </c>
      <c r="L155" s="258">
        <f t="shared" si="15"/>
        <v>0.51066370850547771</v>
      </c>
      <c r="M155" s="258">
        <f t="shared" si="16"/>
        <v>245.00219012085046</v>
      </c>
      <c r="N155" s="258">
        <f t="shared" si="17"/>
        <v>490.00438024170091</v>
      </c>
      <c r="O155" s="258">
        <f>+C153+D154+(D155/2)</f>
        <v>0</v>
      </c>
      <c r="P155" s="258">
        <f t="shared" si="18"/>
        <v>0</v>
      </c>
      <c r="Q155" s="258">
        <f t="shared" si="19"/>
        <v>0</v>
      </c>
      <c r="R155" s="258">
        <f t="shared" si="20"/>
        <v>334.49993130661176</v>
      </c>
      <c r="S155" s="258">
        <f t="shared" ref="S155:S164" si="33">+S154+Q155</f>
        <v>334.49993130661176</v>
      </c>
      <c r="T155" s="258">
        <f t="shared" si="6"/>
        <v>334.49993130661176</v>
      </c>
      <c r="U155" s="258"/>
      <c r="V155" s="258">
        <f t="shared" si="7"/>
        <v>0</v>
      </c>
      <c r="W155" s="258"/>
      <c r="X155" s="258"/>
      <c r="Y155" s="258"/>
      <c r="Z155" s="258"/>
      <c r="AA155" s="258"/>
      <c r="AB155" s="258"/>
      <c r="AC155" s="436" t="b">
        <f>IF(AD155=3,AF155)</f>
        <v>0</v>
      </c>
      <c r="AD155" s="436">
        <f t="shared" si="8"/>
        <v>1</v>
      </c>
      <c r="AE155" s="436">
        <f>IF(V155=0,0,3)</f>
        <v>0</v>
      </c>
      <c r="AF155" s="437">
        <f>SUM(V155:V164)/($B$150-B154)</f>
        <v>0</v>
      </c>
      <c r="AG155" s="450">
        <f>SUM(D154:D155)+$C$153</f>
        <v>0</v>
      </c>
      <c r="AH155" s="439" t="b">
        <f t="shared" si="9"/>
        <v>0</v>
      </c>
      <c r="AI155" s="11">
        <f t="shared" si="21"/>
        <v>53.779595</v>
      </c>
      <c r="AJ155" s="441">
        <f t="shared" ref="AJ155:AJ164" si="34">SIN(AI155*3.14159265358979/180)</f>
        <v>0.8067499259590819</v>
      </c>
      <c r="AK155" s="11">
        <f t="shared" si="22"/>
        <v>334.49997885066585</v>
      </c>
      <c r="AL155" s="11">
        <f t="shared" si="23"/>
        <v>59.291088500000001</v>
      </c>
      <c r="AM155" s="442">
        <f t="shared" si="24"/>
        <v>0.85977285389573432</v>
      </c>
      <c r="AN155" s="11">
        <f t="shared" si="25"/>
        <v>412.49502763654965</v>
      </c>
      <c r="AO155" s="443">
        <f t="shared" si="10"/>
        <v>-17320.294585717675</v>
      </c>
      <c r="AP155" s="382">
        <f t="shared" si="26"/>
        <v>-72</v>
      </c>
      <c r="AQ155" s="443">
        <f t="shared" si="11"/>
        <v>-0.5</v>
      </c>
      <c r="AR155" s="444">
        <f t="shared" si="27"/>
        <v>746.99500648721551</v>
      </c>
      <c r="AS155" s="445">
        <f>+V155-AN155</f>
        <v>-412.49502763654965</v>
      </c>
      <c r="AT155" s="446">
        <f t="shared" si="28"/>
        <v>-16907.799558081126</v>
      </c>
      <c r="AU155" s="445">
        <f>+AF155-AS155</f>
        <v>412.49502763654965</v>
      </c>
      <c r="AV155" s="447">
        <f t="shared" si="29"/>
        <v>-11.817210564492909</v>
      </c>
      <c r="AW155" s="447">
        <f t="shared" si="30"/>
        <v>11.317210564492907</v>
      </c>
      <c r="AX155" s="448">
        <f t="shared" si="12"/>
        <v>-981.61913394811131</v>
      </c>
      <c r="AY155" s="448">
        <f t="shared" si="13"/>
        <v>1024.9875562441446</v>
      </c>
      <c r="AZ155" s="451">
        <f t="shared" si="31"/>
        <v>981.61913394811131</v>
      </c>
      <c r="BA155" s="451">
        <f t="shared" si="31"/>
        <v>1024.9875562441446</v>
      </c>
      <c r="BC155" s="276"/>
      <c r="BE155" s="136"/>
      <c r="BF155" s="136"/>
      <c r="BG155" s="136"/>
      <c r="BH155" s="136"/>
    </row>
    <row r="156" spans="2:87" ht="19" thickBot="1" x14ac:dyDescent="0.25">
      <c r="B156" s="277">
        <v>4</v>
      </c>
      <c r="C156" s="278"/>
      <c r="D156" s="25">
        <v>0</v>
      </c>
      <c r="E156" s="257" t="s">
        <v>80</v>
      </c>
      <c r="F156" s="258"/>
      <c r="G156" s="258"/>
      <c r="H156" s="12">
        <v>479.77208100000001</v>
      </c>
      <c r="I156" s="12">
        <v>61.416098300000002</v>
      </c>
      <c r="J156" s="258">
        <f t="shared" si="32"/>
        <v>61.416098300000002</v>
      </c>
      <c r="K156" s="258">
        <f t="shared" si="14"/>
        <v>30.708049150000001</v>
      </c>
      <c r="L156" s="258">
        <f t="shared" si="15"/>
        <v>0.51066370850547771</v>
      </c>
      <c r="M156" s="258">
        <f t="shared" si="16"/>
        <v>245.00219012085046</v>
      </c>
      <c r="N156" s="258">
        <f t="shared" si="17"/>
        <v>490.00438024170091</v>
      </c>
      <c r="O156" s="258">
        <f>+C153+D154+D155+(D156/2)</f>
        <v>0</v>
      </c>
      <c r="P156" s="258">
        <f t="shared" si="18"/>
        <v>0</v>
      </c>
      <c r="Q156" s="258">
        <f t="shared" si="19"/>
        <v>0</v>
      </c>
      <c r="R156" s="258">
        <f t="shared" si="20"/>
        <v>334.49993130661176</v>
      </c>
      <c r="S156" s="258">
        <f t="shared" si="33"/>
        <v>334.49993130661176</v>
      </c>
      <c r="T156" s="258">
        <f t="shared" si="6"/>
        <v>334.49993130661176</v>
      </c>
      <c r="U156" s="258"/>
      <c r="V156" s="258">
        <f t="shared" si="7"/>
        <v>0</v>
      </c>
      <c r="W156" s="258"/>
      <c r="X156" s="258"/>
      <c r="Y156" s="258"/>
      <c r="Z156" s="258"/>
      <c r="AA156" s="258"/>
      <c r="AB156" s="258"/>
      <c r="AC156" s="436" t="b">
        <f>IF(AD156=4,AF156)</f>
        <v>0</v>
      </c>
      <c r="AD156" s="436">
        <f t="shared" si="8"/>
        <v>1</v>
      </c>
      <c r="AE156" s="436">
        <f>IF(V156=0,0,4)</f>
        <v>0</v>
      </c>
      <c r="AF156" s="437">
        <f>SUM(V156:V164)/($B$150-B155)</f>
        <v>0</v>
      </c>
      <c r="AG156" s="450">
        <f>SUM(D154:D156)+$C$153</f>
        <v>0</v>
      </c>
      <c r="AH156" s="439" t="b">
        <f t="shared" si="9"/>
        <v>0</v>
      </c>
      <c r="AI156" s="11">
        <f t="shared" si="21"/>
        <v>53.779595</v>
      </c>
      <c r="AJ156" s="441">
        <f t="shared" si="34"/>
        <v>0.8067499259590819</v>
      </c>
      <c r="AK156" s="11">
        <f t="shared" si="22"/>
        <v>334.49997885066585</v>
      </c>
      <c r="AL156" s="11">
        <f t="shared" si="23"/>
        <v>59.291088500000001</v>
      </c>
      <c r="AM156" s="442">
        <f t="shared" si="24"/>
        <v>0.85977285389573432</v>
      </c>
      <c r="AN156" s="11">
        <f t="shared" si="25"/>
        <v>412.49502763654965</v>
      </c>
      <c r="AO156" s="443">
        <f t="shared" si="10"/>
        <v>-119.4503074877081</v>
      </c>
      <c r="AP156" s="382">
        <f t="shared" si="26"/>
        <v>-144</v>
      </c>
      <c r="AQ156" s="443">
        <f t="shared" si="11"/>
        <v>-72.5</v>
      </c>
      <c r="AR156" s="444">
        <f t="shared" si="27"/>
        <v>746.99500648721551</v>
      </c>
      <c r="AS156" s="445">
        <f>+V156-AN156</f>
        <v>-412.49502763654965</v>
      </c>
      <c r="AT156" s="446">
        <f t="shared" si="28"/>
        <v>293.04472014884152</v>
      </c>
      <c r="AU156" s="445">
        <f t="shared" ref="AU156:AU164" si="35">+AF156-AS156</f>
        <v>412.49502763654965</v>
      </c>
      <c r="AV156" s="447">
        <f t="shared" si="29"/>
        <v>-44.0583879058305</v>
      </c>
      <c r="AW156" s="447">
        <f t="shared" si="30"/>
        <v>-28.441612094169496</v>
      </c>
      <c r="AX156" s="448">
        <f t="shared" si="12"/>
        <v>-263.28698237424402</v>
      </c>
      <c r="AY156" s="448">
        <f t="shared" si="13"/>
        <v>-407.85311189790082</v>
      </c>
      <c r="AZ156" s="451">
        <f t="shared" si="31"/>
        <v>263.28698237424402</v>
      </c>
      <c r="BA156" s="451">
        <f t="shared" si="31"/>
        <v>407.85311189790082</v>
      </c>
      <c r="BC156" s="276"/>
      <c r="BE156" s="136"/>
      <c r="BF156" s="136"/>
      <c r="BG156" s="136"/>
      <c r="BH156" s="136"/>
    </row>
    <row r="157" spans="2:87" ht="19" thickBot="1" x14ac:dyDescent="0.25">
      <c r="B157" s="277">
        <v>5</v>
      </c>
      <c r="C157" s="278"/>
      <c r="D157" s="25">
        <v>0</v>
      </c>
      <c r="E157" s="257" t="s">
        <v>80</v>
      </c>
      <c r="F157" s="258"/>
      <c r="G157" s="258"/>
      <c r="H157" s="12">
        <v>479.77208100000001</v>
      </c>
      <c r="I157" s="12">
        <v>61.416098300000002</v>
      </c>
      <c r="J157" s="258">
        <f t="shared" si="32"/>
        <v>61.416098300000002</v>
      </c>
      <c r="K157" s="258">
        <f t="shared" si="14"/>
        <v>30.708049150000001</v>
      </c>
      <c r="L157" s="258">
        <f t="shared" si="15"/>
        <v>0.51066370850547771</v>
      </c>
      <c r="M157" s="258">
        <f t="shared" si="16"/>
        <v>245.00219012085046</v>
      </c>
      <c r="N157" s="258">
        <f t="shared" si="17"/>
        <v>490.00438024170091</v>
      </c>
      <c r="O157" s="258">
        <f>+C153+D154+D155+D156+(D157/2)</f>
        <v>0</v>
      </c>
      <c r="P157" s="258">
        <f t="shared" si="18"/>
        <v>0</v>
      </c>
      <c r="Q157" s="258">
        <f t="shared" si="19"/>
        <v>0</v>
      </c>
      <c r="R157" s="258">
        <f t="shared" si="20"/>
        <v>334.49993130661176</v>
      </c>
      <c r="S157" s="258">
        <f t="shared" si="33"/>
        <v>334.49993130661176</v>
      </c>
      <c r="T157" s="258">
        <f t="shared" si="6"/>
        <v>334.49993130661176</v>
      </c>
      <c r="U157" s="258"/>
      <c r="V157" s="258">
        <f t="shared" si="7"/>
        <v>0</v>
      </c>
      <c r="W157" s="258"/>
      <c r="X157" s="258"/>
      <c r="Y157" s="258"/>
      <c r="Z157" s="258"/>
      <c r="AA157" s="258"/>
      <c r="AB157" s="258"/>
      <c r="AC157" s="436" t="b">
        <f>IF(AD157=5,AF157)</f>
        <v>0</v>
      </c>
      <c r="AD157" s="436">
        <f t="shared" si="8"/>
        <v>1</v>
      </c>
      <c r="AE157" s="436">
        <f>IF(V157=0,0,5)</f>
        <v>0</v>
      </c>
      <c r="AF157" s="437">
        <f>SUM(V157:V164)/($B$150-B156)</f>
        <v>0</v>
      </c>
      <c r="AG157" s="450">
        <f>SUM(D154:D157)+$C$153</f>
        <v>0</v>
      </c>
      <c r="AH157" s="439" t="b">
        <f t="shared" si="9"/>
        <v>0</v>
      </c>
      <c r="AI157" s="11">
        <f t="shared" si="21"/>
        <v>53.779595</v>
      </c>
      <c r="AJ157" s="441">
        <f t="shared" si="34"/>
        <v>0.8067499259590819</v>
      </c>
      <c r="AK157" s="11">
        <f t="shared" si="22"/>
        <v>334.49997885066585</v>
      </c>
      <c r="AL157" s="11">
        <f t="shared" si="23"/>
        <v>59.291088500000001</v>
      </c>
      <c r="AM157" s="442">
        <f t="shared" si="24"/>
        <v>0.85977285389573432</v>
      </c>
      <c r="AN157" s="11">
        <f t="shared" si="25"/>
        <v>412.49502763654965</v>
      </c>
      <c r="AO157" s="443">
        <f t="shared" si="10"/>
        <v>-59.931815175493682</v>
      </c>
      <c r="AP157" s="382">
        <f t="shared" si="26"/>
        <v>-216</v>
      </c>
      <c r="AQ157" s="443">
        <f t="shared" si="11"/>
        <v>-144.5</v>
      </c>
      <c r="AR157" s="444">
        <f t="shared" si="27"/>
        <v>746.99500648721551</v>
      </c>
      <c r="AS157" s="445">
        <f t="shared" ref="AS157:AS164" si="36">+V157-AN157</f>
        <v>-412.49502763654965</v>
      </c>
      <c r="AT157" s="446">
        <f t="shared" si="28"/>
        <v>352.56321246105597</v>
      </c>
      <c r="AU157" s="445">
        <f t="shared" si="35"/>
        <v>412.49502763654965</v>
      </c>
      <c r="AV157" s="447">
        <f t="shared" si="29"/>
        <v>-76.299565247168104</v>
      </c>
      <c r="AW157" s="447">
        <f t="shared" si="30"/>
        <v>-68.20043475283191</v>
      </c>
      <c r="AX157" s="448">
        <f t="shared" si="12"/>
        <v>-152.03232105481152</v>
      </c>
      <c r="AY157" s="448">
        <f t="shared" si="13"/>
        <v>-170.08689229093704</v>
      </c>
      <c r="AZ157" s="451">
        <f t="shared" si="31"/>
        <v>152.03232105481152</v>
      </c>
      <c r="BA157" s="451">
        <f t="shared" si="31"/>
        <v>170.08689229093704</v>
      </c>
      <c r="BC157" s="276"/>
      <c r="BE157" s="136"/>
      <c r="BF157" s="136"/>
      <c r="BG157" s="136"/>
      <c r="BH157" s="136"/>
    </row>
    <row r="158" spans="2:87" ht="19" thickBot="1" x14ac:dyDescent="0.25">
      <c r="B158" s="277">
        <v>6</v>
      </c>
      <c r="C158" s="278"/>
      <c r="D158" s="25">
        <v>0</v>
      </c>
      <c r="E158" s="257" t="s">
        <v>80</v>
      </c>
      <c r="F158" s="258"/>
      <c r="G158" s="258"/>
      <c r="H158" s="12">
        <v>479.77208100000001</v>
      </c>
      <c r="I158" s="12">
        <v>61.416098300000002</v>
      </c>
      <c r="J158" s="258">
        <f t="shared" si="32"/>
        <v>61.416098300000002</v>
      </c>
      <c r="K158" s="258">
        <f t="shared" si="14"/>
        <v>30.708049150000001</v>
      </c>
      <c r="L158" s="258">
        <f t="shared" si="15"/>
        <v>0.51066370850547771</v>
      </c>
      <c r="M158" s="258">
        <f t="shared" si="16"/>
        <v>245.00219012085046</v>
      </c>
      <c r="N158" s="258">
        <f t="shared" si="17"/>
        <v>490.00438024170091</v>
      </c>
      <c r="O158" s="258">
        <f>+C153+D154+D155+D156+D157+(D158/2)</f>
        <v>0</v>
      </c>
      <c r="P158" s="258">
        <f t="shared" si="18"/>
        <v>0</v>
      </c>
      <c r="Q158" s="258">
        <f t="shared" si="19"/>
        <v>0</v>
      </c>
      <c r="R158" s="258">
        <f t="shared" si="20"/>
        <v>334.49993130661176</v>
      </c>
      <c r="S158" s="258">
        <f t="shared" si="33"/>
        <v>334.49993130661176</v>
      </c>
      <c r="T158" s="258">
        <f t="shared" si="6"/>
        <v>334.49993130661176</v>
      </c>
      <c r="U158" s="258"/>
      <c r="V158" s="258">
        <f t="shared" si="7"/>
        <v>0</v>
      </c>
      <c r="W158" s="258"/>
      <c r="X158" s="258"/>
      <c r="Y158" s="258"/>
      <c r="Z158" s="258"/>
      <c r="AA158" s="258"/>
      <c r="AB158" s="258"/>
      <c r="AC158" s="436" t="b">
        <f>IF(AD158=6,AF158)</f>
        <v>0</v>
      </c>
      <c r="AD158" s="436">
        <f t="shared" si="8"/>
        <v>1</v>
      </c>
      <c r="AE158" s="436">
        <f>IF(V158=0,0,6)</f>
        <v>0</v>
      </c>
      <c r="AF158" s="437">
        <f>SUM(V158:V164)/($B$150-B157)</f>
        <v>0</v>
      </c>
      <c r="AG158" s="450">
        <f>SUM(D154:D158)+$C$153</f>
        <v>0</v>
      </c>
      <c r="AH158" s="439" t="b">
        <f t="shared" si="9"/>
        <v>0</v>
      </c>
      <c r="AI158" s="11">
        <f t="shared" si="21"/>
        <v>53.779595</v>
      </c>
      <c r="AJ158" s="441">
        <f t="shared" si="34"/>
        <v>0.8067499259590819</v>
      </c>
      <c r="AK158" s="11">
        <f t="shared" si="22"/>
        <v>334.49997885066585</v>
      </c>
      <c r="AL158" s="11">
        <f t="shared" si="23"/>
        <v>59.291088500000001</v>
      </c>
      <c r="AM158" s="442">
        <f t="shared" si="24"/>
        <v>0.85977285389573432</v>
      </c>
      <c r="AN158" s="11">
        <f t="shared" si="25"/>
        <v>412.49502763654965</v>
      </c>
      <c r="AO158" s="443">
        <f t="shared" si="10"/>
        <v>-40.000680336530429</v>
      </c>
      <c r="AP158" s="382">
        <f t="shared" si="26"/>
        <v>-288</v>
      </c>
      <c r="AQ158" s="443">
        <f t="shared" si="11"/>
        <v>-216.5</v>
      </c>
      <c r="AR158" s="444">
        <f t="shared" si="27"/>
        <v>746.99500648721551</v>
      </c>
      <c r="AS158" s="445">
        <f t="shared" si="36"/>
        <v>-412.49502763654965</v>
      </c>
      <c r="AT158" s="446">
        <f t="shared" si="28"/>
        <v>372.49434730001923</v>
      </c>
      <c r="AU158" s="445">
        <f t="shared" si="35"/>
        <v>412.49502763654965</v>
      </c>
      <c r="AV158" s="447">
        <f t="shared" si="29"/>
        <v>-108.54074258850568</v>
      </c>
      <c r="AW158" s="447">
        <f t="shared" si="30"/>
        <v>-107.95925741149431</v>
      </c>
      <c r="AX158" s="448">
        <f t="shared" si="12"/>
        <v>-106.87231101759963</v>
      </c>
      <c r="AY158" s="448">
        <f t="shared" si="13"/>
        <v>-107.44794173403568</v>
      </c>
      <c r="AZ158" s="451">
        <f t="shared" si="31"/>
        <v>106.87231101759963</v>
      </c>
      <c r="BA158" s="451">
        <f t="shared" si="31"/>
        <v>107.44794173403568</v>
      </c>
      <c r="BC158" s="276"/>
      <c r="BE158" s="136"/>
      <c r="BF158" s="136"/>
      <c r="BG158" s="136"/>
      <c r="BH158" s="136"/>
      <c r="BP158" s="305"/>
      <c r="BQ158" s="305"/>
      <c r="BR158" s="305"/>
      <c r="BS158" s="305"/>
      <c r="BT158" s="305"/>
      <c r="BU158" s="305"/>
      <c r="BV158" s="1818"/>
      <c r="BW158" s="1818"/>
      <c r="BX158" s="1818"/>
      <c r="BY158" s="126"/>
    </row>
    <row r="159" spans="2:87" ht="19" thickBot="1" x14ac:dyDescent="0.25">
      <c r="B159" s="277">
        <v>7</v>
      </c>
      <c r="C159" s="278"/>
      <c r="D159" s="25">
        <v>0</v>
      </c>
      <c r="E159" s="257" t="s">
        <v>80</v>
      </c>
      <c r="F159" s="258"/>
      <c r="G159" s="258"/>
      <c r="H159" s="12">
        <v>479.77208100000001</v>
      </c>
      <c r="I159" s="12">
        <v>61.416098300000002</v>
      </c>
      <c r="J159" s="258">
        <f t="shared" si="32"/>
        <v>61.416098300000002</v>
      </c>
      <c r="K159" s="258">
        <f t="shared" si="14"/>
        <v>30.708049150000001</v>
      </c>
      <c r="L159" s="258">
        <f t="shared" si="15"/>
        <v>0.51066370850547771</v>
      </c>
      <c r="M159" s="258">
        <f t="shared" si="16"/>
        <v>245.00219012085046</v>
      </c>
      <c r="N159" s="258">
        <f t="shared" si="17"/>
        <v>490.00438024170091</v>
      </c>
      <c r="O159" s="258">
        <f>+C153+D154+D155+D156+D157+D158+(D159/2)</f>
        <v>0</v>
      </c>
      <c r="P159" s="258">
        <f t="shared" si="18"/>
        <v>0</v>
      </c>
      <c r="Q159" s="258">
        <f t="shared" si="19"/>
        <v>0</v>
      </c>
      <c r="R159" s="258">
        <f t="shared" si="20"/>
        <v>334.49993130661176</v>
      </c>
      <c r="S159" s="258">
        <f t="shared" si="33"/>
        <v>334.49993130661176</v>
      </c>
      <c r="T159" s="258">
        <f t="shared" si="6"/>
        <v>334.49993130661176</v>
      </c>
      <c r="U159" s="258"/>
      <c r="V159" s="258">
        <f t="shared" si="7"/>
        <v>0</v>
      </c>
      <c r="W159" s="258"/>
      <c r="X159" s="258"/>
      <c r="Y159" s="258"/>
      <c r="Z159" s="258"/>
      <c r="AA159" s="258"/>
      <c r="AB159" s="258"/>
      <c r="AC159" s="436" t="b">
        <f>IF(AD159=7,AF159)</f>
        <v>0</v>
      </c>
      <c r="AD159" s="436">
        <f t="shared" si="8"/>
        <v>1</v>
      </c>
      <c r="AE159" s="436">
        <f>IF(V159=0,0,7)</f>
        <v>0</v>
      </c>
      <c r="AF159" s="437">
        <f>SUM(V159:V164)/($B$150-B158)</f>
        <v>0</v>
      </c>
      <c r="AG159" s="450">
        <f>SUM(D154:D159)+$C$153</f>
        <v>0</v>
      </c>
      <c r="AH159" s="439" t="b">
        <f t="shared" si="9"/>
        <v>0</v>
      </c>
      <c r="AI159" s="11">
        <f t="shared" si="21"/>
        <v>53.779595</v>
      </c>
      <c r="AJ159" s="441">
        <f t="shared" si="34"/>
        <v>0.8067499259590819</v>
      </c>
      <c r="AK159" s="11">
        <f t="shared" si="22"/>
        <v>334.49997885066585</v>
      </c>
      <c r="AL159" s="11">
        <f t="shared" si="23"/>
        <v>59.291088500000001</v>
      </c>
      <c r="AM159" s="442">
        <f t="shared" si="24"/>
        <v>0.85977285389573432</v>
      </c>
      <c r="AN159" s="11">
        <f t="shared" si="25"/>
        <v>412.49502763654965</v>
      </c>
      <c r="AO159" s="443">
        <f t="shared" si="10"/>
        <v>-30.017841569701343</v>
      </c>
      <c r="AP159" s="382">
        <f t="shared" si="26"/>
        <v>-360</v>
      </c>
      <c r="AQ159" s="443">
        <f t="shared" si="11"/>
        <v>-288.5</v>
      </c>
      <c r="AR159" s="444">
        <f t="shared" si="27"/>
        <v>746.99500648721551</v>
      </c>
      <c r="AS159" s="445">
        <f t="shared" si="36"/>
        <v>-412.49502763654965</v>
      </c>
      <c r="AT159" s="446">
        <f t="shared" si="28"/>
        <v>382.47718606684833</v>
      </c>
      <c r="AU159" s="445">
        <f t="shared" si="35"/>
        <v>412.49502763654965</v>
      </c>
      <c r="AV159" s="447">
        <f t="shared" si="29"/>
        <v>-140.78191992984327</v>
      </c>
      <c r="AW159" s="447">
        <f t="shared" si="30"/>
        <v>-147.71808007015673</v>
      </c>
      <c r="AX159" s="448">
        <f t="shared" si="12"/>
        <v>-82.396944194117395</v>
      </c>
      <c r="AY159" s="448">
        <f t="shared" si="13"/>
        <v>-78.527963499733644</v>
      </c>
      <c r="AZ159" s="451">
        <f t="shared" si="31"/>
        <v>82.396944194117395</v>
      </c>
      <c r="BA159" s="451">
        <f t="shared" si="31"/>
        <v>78.527963499733644</v>
      </c>
      <c r="BC159" s="276"/>
      <c r="BE159" s="136"/>
      <c r="BF159" s="136"/>
      <c r="BG159" s="136"/>
      <c r="BH159" s="136"/>
      <c r="BV159" s="306"/>
      <c r="CI159" s="306"/>
    </row>
    <row r="160" spans="2:87" ht="19" thickBot="1" x14ac:dyDescent="0.25">
      <c r="B160" s="277">
        <v>8</v>
      </c>
      <c r="C160" s="278"/>
      <c r="D160" s="25">
        <v>0</v>
      </c>
      <c r="E160" s="257" t="s">
        <v>80</v>
      </c>
      <c r="F160" s="258"/>
      <c r="G160" s="258"/>
      <c r="H160" s="12">
        <v>479.77208100000001</v>
      </c>
      <c r="I160" s="12">
        <v>61.416098300000002</v>
      </c>
      <c r="J160" s="258">
        <f t="shared" si="32"/>
        <v>61.416098300000002</v>
      </c>
      <c r="K160" s="258">
        <f t="shared" si="14"/>
        <v>30.708049150000001</v>
      </c>
      <c r="L160" s="258">
        <f t="shared" si="15"/>
        <v>0.51066370850547771</v>
      </c>
      <c r="M160" s="258">
        <f t="shared" si="16"/>
        <v>245.00219012085046</v>
      </c>
      <c r="N160" s="258">
        <f t="shared" si="17"/>
        <v>490.00438024170091</v>
      </c>
      <c r="O160" s="258">
        <f>+C153+D154+D155+D156+D157+D158+D159+(D160/2)</f>
        <v>0</v>
      </c>
      <c r="P160" s="258">
        <f t="shared" si="18"/>
        <v>0</v>
      </c>
      <c r="Q160" s="258">
        <f t="shared" si="19"/>
        <v>0</v>
      </c>
      <c r="R160" s="258">
        <f t="shared" si="20"/>
        <v>334.49993130661176</v>
      </c>
      <c r="S160" s="258">
        <f t="shared" si="33"/>
        <v>334.49993130661176</v>
      </c>
      <c r="T160" s="258">
        <f t="shared" si="6"/>
        <v>334.49993130661176</v>
      </c>
      <c r="U160" s="258"/>
      <c r="V160" s="258">
        <f t="shared" si="7"/>
        <v>0</v>
      </c>
      <c r="W160" s="258"/>
      <c r="X160" s="258"/>
      <c r="Y160" s="258"/>
      <c r="Z160" s="258"/>
      <c r="AA160" s="258"/>
      <c r="AB160" s="258"/>
      <c r="AC160" s="436" t="b">
        <f>IF(AD160=8,AF160)</f>
        <v>0</v>
      </c>
      <c r="AD160" s="436">
        <f t="shared" si="8"/>
        <v>1</v>
      </c>
      <c r="AE160" s="436">
        <f>IF(V160=0,0,8)</f>
        <v>0</v>
      </c>
      <c r="AF160" s="437">
        <f>SUM(V160:V164)/($B$150-B159)</f>
        <v>0</v>
      </c>
      <c r="AG160" s="450">
        <f>SUM(D154:D160)+$C$153</f>
        <v>0</v>
      </c>
      <c r="AH160" s="439" t="b">
        <f t="shared" si="9"/>
        <v>0</v>
      </c>
      <c r="AI160" s="11">
        <f t="shared" si="21"/>
        <v>53.779595</v>
      </c>
      <c r="AJ160" s="441">
        <f t="shared" si="34"/>
        <v>0.8067499259590819</v>
      </c>
      <c r="AK160" s="11">
        <f t="shared" si="22"/>
        <v>334.49997885066585</v>
      </c>
      <c r="AL160" s="11">
        <f t="shared" si="23"/>
        <v>59.291088500000001</v>
      </c>
      <c r="AM160" s="442">
        <f t="shared" si="24"/>
        <v>0.85977285389573432</v>
      </c>
      <c r="AN160" s="11">
        <f t="shared" si="25"/>
        <v>412.49502763654965</v>
      </c>
      <c r="AO160" s="443">
        <f t="shared" si="10"/>
        <v>-24.02259998019095</v>
      </c>
      <c r="AP160" s="382">
        <f t="shared" si="26"/>
        <v>-432</v>
      </c>
      <c r="AQ160" s="443">
        <f t="shared" si="11"/>
        <v>-360.5</v>
      </c>
      <c r="AR160" s="444">
        <f t="shared" si="27"/>
        <v>746.99500648721551</v>
      </c>
      <c r="AS160" s="445">
        <f t="shared" si="36"/>
        <v>-412.49502763654965</v>
      </c>
      <c r="AT160" s="446">
        <f t="shared" si="28"/>
        <v>388.47242765635872</v>
      </c>
      <c r="AU160" s="445">
        <f t="shared" si="35"/>
        <v>412.49502763654965</v>
      </c>
      <c r="AV160" s="447">
        <f t="shared" si="29"/>
        <v>-173.02309727118086</v>
      </c>
      <c r="AW160" s="447">
        <f t="shared" si="30"/>
        <v>-187.47690272881914</v>
      </c>
      <c r="AX160" s="448">
        <f t="shared" si="12"/>
        <v>-67.043072184860975</v>
      </c>
      <c r="AY160" s="448">
        <f t="shared" si="13"/>
        <v>-61.874288678531897</v>
      </c>
      <c r="AZ160" s="451">
        <f t="shared" si="31"/>
        <v>67.043072184860975</v>
      </c>
      <c r="BA160" s="451">
        <f t="shared" si="31"/>
        <v>61.874288678531897</v>
      </c>
      <c r="BC160" s="276"/>
      <c r="BE160" s="136"/>
      <c r="BF160" s="136"/>
      <c r="BG160" s="136"/>
      <c r="BH160" s="136"/>
      <c r="BP160" s="307"/>
      <c r="BQ160" s="307"/>
      <c r="BR160" s="307"/>
      <c r="BS160" s="307"/>
      <c r="BT160" s="307"/>
      <c r="BU160" s="307"/>
      <c r="BV160" s="1819"/>
      <c r="BW160" s="1819"/>
      <c r="CH160" s="1813"/>
      <c r="CI160" s="1813"/>
    </row>
    <row r="161" spans="2:128" ht="19" thickBot="1" x14ac:dyDescent="0.25">
      <c r="B161" s="277">
        <v>9</v>
      </c>
      <c r="C161" s="278"/>
      <c r="D161" s="25">
        <v>0</v>
      </c>
      <c r="E161" s="257" t="s">
        <v>80</v>
      </c>
      <c r="F161" s="258"/>
      <c r="G161" s="258"/>
      <c r="H161" s="12">
        <v>479.77208100000001</v>
      </c>
      <c r="I161" s="12">
        <v>61.416098300000002</v>
      </c>
      <c r="J161" s="258">
        <f t="shared" si="32"/>
        <v>61.416098300000002</v>
      </c>
      <c r="K161" s="258">
        <f t="shared" si="14"/>
        <v>30.708049150000001</v>
      </c>
      <c r="L161" s="258">
        <f t="shared" si="15"/>
        <v>0.51066370850547771</v>
      </c>
      <c r="M161" s="258">
        <f t="shared" si="16"/>
        <v>245.00219012085046</v>
      </c>
      <c r="N161" s="258">
        <f t="shared" si="17"/>
        <v>490.00438024170091</v>
      </c>
      <c r="O161" s="258">
        <f>+C153+D154+D155+D156+D157+D158+D159+D160+(D161/2)</f>
        <v>0</v>
      </c>
      <c r="P161" s="258">
        <f t="shared" si="18"/>
        <v>0</v>
      </c>
      <c r="Q161" s="258">
        <f t="shared" si="19"/>
        <v>0</v>
      </c>
      <c r="R161" s="258">
        <f t="shared" si="20"/>
        <v>334.49993130661176</v>
      </c>
      <c r="S161" s="258">
        <f t="shared" si="33"/>
        <v>334.49993130661176</v>
      </c>
      <c r="T161" s="258">
        <f t="shared" si="6"/>
        <v>334.49993130661176</v>
      </c>
      <c r="U161" s="258"/>
      <c r="V161" s="258">
        <f t="shared" si="7"/>
        <v>0</v>
      </c>
      <c r="W161" s="258"/>
      <c r="X161" s="258"/>
      <c r="Y161" s="258"/>
      <c r="Z161" s="258"/>
      <c r="AA161" s="258"/>
      <c r="AB161" s="258"/>
      <c r="AC161" s="436" t="b">
        <f>IF(AD161=9,AF161)</f>
        <v>0</v>
      </c>
      <c r="AD161" s="436">
        <f t="shared" si="8"/>
        <v>1</v>
      </c>
      <c r="AE161" s="436">
        <f>IF(V161=0,0,9)</f>
        <v>0</v>
      </c>
      <c r="AF161" s="437">
        <f>SUM(V161:V164)/($B$150-B160)</f>
        <v>0</v>
      </c>
      <c r="AG161" s="450">
        <f>SUM(D154:D161)+$C$153</f>
        <v>0</v>
      </c>
      <c r="AH161" s="439" t="b">
        <f t="shared" si="9"/>
        <v>0</v>
      </c>
      <c r="AI161" s="11">
        <f t="shared" si="21"/>
        <v>53.779595</v>
      </c>
      <c r="AJ161" s="441">
        <f t="shared" si="34"/>
        <v>0.8067499259590819</v>
      </c>
      <c r="AK161" s="11">
        <f t="shared" si="22"/>
        <v>334.49997885066585</v>
      </c>
      <c r="AL161" s="11">
        <f t="shared" si="23"/>
        <v>59.291088500000001</v>
      </c>
      <c r="AM161" s="442">
        <f t="shared" si="24"/>
        <v>0.85977285389573432</v>
      </c>
      <c r="AN161" s="11">
        <f t="shared" si="25"/>
        <v>412.49502763654965</v>
      </c>
      <c r="AO161" s="443">
        <f t="shared" si="10"/>
        <v>-20.02346194880656</v>
      </c>
      <c r="AP161" s="382">
        <f t="shared" si="26"/>
        <v>-504</v>
      </c>
      <c r="AQ161" s="443">
        <f t="shared" si="11"/>
        <v>-432.5</v>
      </c>
      <c r="AR161" s="444">
        <f t="shared" si="27"/>
        <v>746.99500648721551</v>
      </c>
      <c r="AS161" s="445">
        <f t="shared" si="36"/>
        <v>-412.49502763654965</v>
      </c>
      <c r="AT161" s="446">
        <f t="shared" si="28"/>
        <v>392.47156568774307</v>
      </c>
      <c r="AU161" s="445">
        <f t="shared" si="35"/>
        <v>412.49502763654965</v>
      </c>
      <c r="AV161" s="447">
        <f t="shared" si="29"/>
        <v>-205.26427461251848</v>
      </c>
      <c r="AW161" s="447">
        <f t="shared" si="30"/>
        <v>-227.23572538748152</v>
      </c>
      <c r="AX161" s="448">
        <f t="shared" si="12"/>
        <v>-56.512513061016364</v>
      </c>
      <c r="AY161" s="448">
        <f t="shared" si="13"/>
        <v>-51.048311088495097</v>
      </c>
      <c r="AZ161" s="451">
        <f t="shared" si="31"/>
        <v>56.512513061016364</v>
      </c>
      <c r="BA161" s="451">
        <f t="shared" si="31"/>
        <v>51.048311088495097</v>
      </c>
      <c r="BC161" s="276"/>
      <c r="BE161" s="136"/>
      <c r="BF161" s="136"/>
      <c r="BG161" s="136"/>
      <c r="BH161" s="136"/>
    </row>
    <row r="162" spans="2:128" ht="19" thickBot="1" x14ac:dyDescent="0.25">
      <c r="B162" s="277">
        <v>10</v>
      </c>
      <c r="C162" s="278"/>
      <c r="D162" s="25">
        <v>0</v>
      </c>
      <c r="E162" s="257" t="s">
        <v>80</v>
      </c>
      <c r="F162" s="258"/>
      <c r="G162" s="258"/>
      <c r="H162" s="12">
        <v>479.77208100000001</v>
      </c>
      <c r="I162" s="12">
        <v>61.416098300000002</v>
      </c>
      <c r="J162" s="258">
        <f t="shared" si="32"/>
        <v>61.416098300000002</v>
      </c>
      <c r="K162" s="258">
        <f t="shared" si="14"/>
        <v>30.708049150000001</v>
      </c>
      <c r="L162" s="258">
        <f t="shared" si="15"/>
        <v>0.51066370850547771</v>
      </c>
      <c r="M162" s="258">
        <f t="shared" si="16"/>
        <v>245.00219012085046</v>
      </c>
      <c r="N162" s="258">
        <f t="shared" si="17"/>
        <v>490.00438024170091</v>
      </c>
      <c r="O162" s="258">
        <f>+C153+D154+D155+D156+D157+D158+D159+D160+D161+(D162/2)</f>
        <v>0</v>
      </c>
      <c r="P162" s="258">
        <f t="shared" si="18"/>
        <v>0</v>
      </c>
      <c r="Q162" s="258">
        <f t="shared" si="19"/>
        <v>0</v>
      </c>
      <c r="R162" s="258">
        <f t="shared" si="20"/>
        <v>334.49993130661176</v>
      </c>
      <c r="S162" s="258">
        <f t="shared" si="33"/>
        <v>334.49993130661176</v>
      </c>
      <c r="T162" s="258">
        <f t="shared" si="6"/>
        <v>334.49993130661176</v>
      </c>
      <c r="U162" s="258"/>
      <c r="V162" s="258">
        <f t="shared" si="7"/>
        <v>0</v>
      </c>
      <c r="W162" s="258"/>
      <c r="X162" s="258"/>
      <c r="Y162" s="258"/>
      <c r="Z162" s="258"/>
      <c r="AA162" s="258"/>
      <c r="AB162" s="258"/>
      <c r="AC162" s="436" t="b">
        <f>IF(AD162=10,AF162)</f>
        <v>0</v>
      </c>
      <c r="AD162" s="436">
        <f t="shared" si="8"/>
        <v>1</v>
      </c>
      <c r="AE162" s="436">
        <f>IF(V162=0,0,10)</f>
        <v>0</v>
      </c>
      <c r="AF162" s="437">
        <f>SUM(V162:V164)/($B$150-B161)</f>
        <v>0</v>
      </c>
      <c r="AG162" s="450">
        <f>SUM(D154:D162)+$C$153</f>
        <v>0</v>
      </c>
      <c r="AH162" s="439" t="b">
        <f t="shared" si="9"/>
        <v>0</v>
      </c>
      <c r="AI162" s="11">
        <f t="shared" si="21"/>
        <v>53.779595</v>
      </c>
      <c r="AJ162" s="441">
        <f t="shared" si="34"/>
        <v>0.8067499259590819</v>
      </c>
      <c r="AK162" s="11">
        <f t="shared" si="22"/>
        <v>334.49997885066585</v>
      </c>
      <c r="AL162" s="11">
        <f t="shared" si="23"/>
        <v>59.291088500000001</v>
      </c>
      <c r="AM162" s="442">
        <f t="shared" si="24"/>
        <v>0.85977285389573432</v>
      </c>
      <c r="AN162" s="11">
        <f t="shared" si="25"/>
        <v>412.49502763654965</v>
      </c>
      <c r="AO162" s="443">
        <f t="shared" si="10"/>
        <v>-17.165802364437734</v>
      </c>
      <c r="AP162" s="382">
        <f t="shared" si="26"/>
        <v>-576</v>
      </c>
      <c r="AQ162" s="443">
        <f t="shared" si="11"/>
        <v>-504.5</v>
      </c>
      <c r="AR162" s="444">
        <f t="shared" si="27"/>
        <v>746.99500648721551</v>
      </c>
      <c r="AS162" s="445">
        <f t="shared" si="36"/>
        <v>-412.49502763654965</v>
      </c>
      <c r="AT162" s="446">
        <f t="shared" si="28"/>
        <v>395.3292252721119</v>
      </c>
      <c r="AU162" s="445">
        <f t="shared" si="35"/>
        <v>412.49502763654965</v>
      </c>
      <c r="AV162" s="447">
        <f t="shared" si="29"/>
        <v>-237.50545195385607</v>
      </c>
      <c r="AW162" s="447">
        <f t="shared" si="30"/>
        <v>-266.9945480461439</v>
      </c>
      <c r="AX162" s="448">
        <f t="shared" si="12"/>
        <v>-48.840984089298779</v>
      </c>
      <c r="AY162" s="448">
        <f t="shared" si="13"/>
        <v>-43.44658003276983</v>
      </c>
      <c r="AZ162" s="451">
        <f t="shared" si="31"/>
        <v>48.840984089298779</v>
      </c>
      <c r="BA162" s="451">
        <f t="shared" si="31"/>
        <v>43.44658003276983</v>
      </c>
      <c r="BC162" s="276"/>
      <c r="BE162" s="136"/>
      <c r="BF162" s="136"/>
      <c r="BG162" s="136"/>
      <c r="BH162" s="136"/>
    </row>
    <row r="163" spans="2:128" ht="19" hidden="1" thickBot="1" x14ac:dyDescent="0.25">
      <c r="B163" s="277">
        <v>11</v>
      </c>
      <c r="C163" s="278"/>
      <c r="D163" s="25">
        <v>0</v>
      </c>
      <c r="E163" s="257" t="s">
        <v>80</v>
      </c>
      <c r="F163" s="258"/>
      <c r="G163" s="258"/>
      <c r="H163" s="12">
        <v>479.77208100000001</v>
      </c>
      <c r="I163" s="12">
        <v>61.416098300000002</v>
      </c>
      <c r="J163" s="258">
        <f t="shared" si="32"/>
        <v>61.416098300000002</v>
      </c>
      <c r="K163" s="258">
        <f t="shared" si="14"/>
        <v>30.708049150000001</v>
      </c>
      <c r="L163" s="258">
        <f t="shared" si="15"/>
        <v>0.51066370850547771</v>
      </c>
      <c r="M163" s="258">
        <f t="shared" si="16"/>
        <v>245.00219012085046</v>
      </c>
      <c r="N163" s="258">
        <f t="shared" si="17"/>
        <v>490.00438024170091</v>
      </c>
      <c r="O163" s="258">
        <f>+C153+D154+D155+D156+D157+D158+D159+D160+D161+D162+(D163/2)</f>
        <v>0</v>
      </c>
      <c r="P163" s="258">
        <f t="shared" si="18"/>
        <v>0</v>
      </c>
      <c r="Q163" s="258">
        <f t="shared" si="19"/>
        <v>0</v>
      </c>
      <c r="R163" s="258">
        <f t="shared" si="20"/>
        <v>334.49993130661176</v>
      </c>
      <c r="S163" s="258">
        <f t="shared" si="33"/>
        <v>334.49993130661176</v>
      </c>
      <c r="T163" s="258">
        <f t="shared" si="6"/>
        <v>334.49993130661176</v>
      </c>
      <c r="U163" s="258"/>
      <c r="V163" s="258">
        <f t="shared" si="7"/>
        <v>0</v>
      </c>
      <c r="W163" s="258"/>
      <c r="X163" s="258"/>
      <c r="Y163" s="258"/>
      <c r="Z163" s="258"/>
      <c r="AA163" s="258"/>
      <c r="AB163" s="258"/>
      <c r="AC163" s="436" t="b">
        <f>IF(AD163=11,AF163)</f>
        <v>0</v>
      </c>
      <c r="AD163" s="436">
        <f t="shared" si="8"/>
        <v>1</v>
      </c>
      <c r="AE163" s="436">
        <f>IF(V163=0,0,11)</f>
        <v>0</v>
      </c>
      <c r="AF163" s="437">
        <f>SUM(V163:V164)/($B$150-B162)</f>
        <v>0</v>
      </c>
      <c r="AG163" s="450">
        <f>SUM(D154:D163)+$C$153</f>
        <v>0</v>
      </c>
      <c r="AH163" s="439" t="b">
        <f t="shared" si="9"/>
        <v>0</v>
      </c>
      <c r="AI163" s="11">
        <f t="shared" si="21"/>
        <v>53.779595</v>
      </c>
      <c r="AJ163" s="441">
        <f t="shared" si="34"/>
        <v>0.8067499259590819</v>
      </c>
      <c r="AK163" s="11">
        <f t="shared" si="22"/>
        <v>334.49997885066585</v>
      </c>
      <c r="AL163" s="11">
        <f t="shared" si="23"/>
        <v>59.291088500000001</v>
      </c>
      <c r="AM163" s="442">
        <f t="shared" si="24"/>
        <v>0.85977285389573432</v>
      </c>
      <c r="AN163" s="11">
        <f t="shared" si="25"/>
        <v>412.49502763654965</v>
      </c>
      <c r="AO163" s="443">
        <f t="shared" si="10"/>
        <v>-15.021938062200933</v>
      </c>
      <c r="AP163" s="382">
        <f t="shared" si="26"/>
        <v>-648</v>
      </c>
      <c r="AQ163" s="443">
        <f t="shared" si="11"/>
        <v>-576.5</v>
      </c>
      <c r="AR163" s="444">
        <f t="shared" si="27"/>
        <v>746.99500648721551</v>
      </c>
      <c r="AS163" s="445">
        <f t="shared" si="36"/>
        <v>-412.49502763654965</v>
      </c>
      <c r="AT163" s="446">
        <f t="shared" si="28"/>
        <v>397.47308957434871</v>
      </c>
      <c r="AU163" s="445">
        <f t="shared" si="35"/>
        <v>412.49502763654965</v>
      </c>
      <c r="AV163" s="447">
        <f t="shared" si="29"/>
        <v>-269.74662929519366</v>
      </c>
      <c r="AW163" s="447">
        <f t="shared" si="30"/>
        <v>-306.75337070480634</v>
      </c>
      <c r="AX163" s="448">
        <f t="shared" si="12"/>
        <v>-43.003317707097992</v>
      </c>
      <c r="AY163" s="448">
        <f t="shared" si="13"/>
        <v>-37.81539538863899</v>
      </c>
      <c r="AZ163" s="451">
        <f t="shared" si="31"/>
        <v>43.003317707097992</v>
      </c>
      <c r="BA163" s="451">
        <f t="shared" si="31"/>
        <v>37.81539538863899</v>
      </c>
      <c r="BC163" s="276"/>
      <c r="BE163" s="136"/>
      <c r="BF163" s="136"/>
      <c r="BG163" s="136"/>
      <c r="BH163" s="136"/>
    </row>
    <row r="164" spans="2:128" ht="19" hidden="1" thickBot="1" x14ac:dyDescent="0.25">
      <c r="B164" s="277">
        <v>12</v>
      </c>
      <c r="C164" s="278"/>
      <c r="D164" s="25">
        <v>0</v>
      </c>
      <c r="E164" s="257" t="s">
        <v>80</v>
      </c>
      <c r="F164" s="258"/>
      <c r="G164" s="258"/>
      <c r="H164" s="12">
        <v>479.77208100000001</v>
      </c>
      <c r="I164" s="12">
        <v>61.416098300000002</v>
      </c>
      <c r="J164" s="258">
        <f t="shared" si="32"/>
        <v>61.416098300000002</v>
      </c>
      <c r="K164" s="258">
        <f t="shared" si="14"/>
        <v>30.708049150000001</v>
      </c>
      <c r="L164" s="258">
        <f t="shared" si="15"/>
        <v>0.51066370850547771</v>
      </c>
      <c r="M164" s="258">
        <f t="shared" si="16"/>
        <v>245.00219012085046</v>
      </c>
      <c r="N164" s="258">
        <f t="shared" si="17"/>
        <v>490.00438024170091</v>
      </c>
      <c r="O164" s="258">
        <f>+C153+D154+D155+D156+D157+D158+D159+D160+D161+D162+D163+(D164/2)</f>
        <v>0</v>
      </c>
      <c r="P164" s="258">
        <f t="shared" si="18"/>
        <v>0</v>
      </c>
      <c r="Q164" s="258">
        <f t="shared" si="19"/>
        <v>0</v>
      </c>
      <c r="R164" s="258">
        <f t="shared" si="20"/>
        <v>334.49993130661176</v>
      </c>
      <c r="S164" s="258">
        <f t="shared" si="33"/>
        <v>334.49993130661176</v>
      </c>
      <c r="T164" s="258">
        <f t="shared" si="6"/>
        <v>334.49993130661176</v>
      </c>
      <c r="U164" s="258"/>
      <c r="V164" s="258">
        <f t="shared" si="7"/>
        <v>0</v>
      </c>
      <c r="W164" s="258"/>
      <c r="X164" s="258"/>
      <c r="Y164" s="258"/>
      <c r="Z164" s="258"/>
      <c r="AA164" s="258"/>
      <c r="AB164" s="258"/>
      <c r="AC164" s="436" t="b">
        <f>IF(AD164=12,AF164)</f>
        <v>0</v>
      </c>
      <c r="AD164" s="436">
        <f t="shared" si="8"/>
        <v>1</v>
      </c>
      <c r="AE164" s="436">
        <f>IF(V164=0,0,12)</f>
        <v>0</v>
      </c>
      <c r="AF164" s="437">
        <f>SUM(V164)/($B$150-B163)</f>
        <v>0</v>
      </c>
      <c r="AG164" s="450">
        <f>SUM(D154:D164)+$C$153</f>
        <v>0</v>
      </c>
      <c r="AH164" s="439" t="b">
        <f t="shared" si="9"/>
        <v>0</v>
      </c>
      <c r="AI164" s="11">
        <f t="shared" si="21"/>
        <v>53.779595</v>
      </c>
      <c r="AJ164" s="441">
        <f t="shared" si="34"/>
        <v>0.8067499259590819</v>
      </c>
      <c r="AK164" s="11">
        <f t="shared" si="22"/>
        <v>334.49997885066585</v>
      </c>
      <c r="AL164" s="11">
        <f t="shared" si="23"/>
        <v>59.291088500000001</v>
      </c>
      <c r="AM164" s="442">
        <f t="shared" si="24"/>
        <v>0.85977285389573432</v>
      </c>
      <c r="AN164" s="11">
        <f t="shared" si="25"/>
        <v>412.49502763654965</v>
      </c>
      <c r="AO164" s="443">
        <f t="shared" si="10"/>
        <v>-13.354120729157806</v>
      </c>
      <c r="AP164" s="382">
        <f t="shared" si="26"/>
        <v>-720</v>
      </c>
      <c r="AQ164" s="443">
        <f t="shared" si="11"/>
        <v>-648.5</v>
      </c>
      <c r="AR164" s="444">
        <f t="shared" si="27"/>
        <v>746.99500648721551</v>
      </c>
      <c r="AS164" s="445">
        <f t="shared" si="36"/>
        <v>-412.49502763654965</v>
      </c>
      <c r="AT164" s="446">
        <f t="shared" si="28"/>
        <v>399.14090690739187</v>
      </c>
      <c r="AU164" s="445">
        <f t="shared" si="35"/>
        <v>412.49502763654965</v>
      </c>
      <c r="AV164" s="447">
        <f t="shared" si="29"/>
        <v>-301.98780663653122</v>
      </c>
      <c r="AW164" s="447">
        <f t="shared" si="30"/>
        <v>-346.51219336346873</v>
      </c>
      <c r="AX164" s="448">
        <f t="shared" si="12"/>
        <v>-38.412146931354805</v>
      </c>
      <c r="AY164" s="448">
        <f t="shared" si="13"/>
        <v>-33.476455438416146</v>
      </c>
      <c r="AZ164" s="451">
        <f t="shared" si="31"/>
        <v>38.412146931354805</v>
      </c>
      <c r="BA164" s="451">
        <f t="shared" si="31"/>
        <v>33.476455438416146</v>
      </c>
      <c r="BC164" s="276"/>
      <c r="BE164" s="136"/>
      <c r="BF164" s="136"/>
      <c r="BG164" s="136"/>
      <c r="BH164" s="136"/>
    </row>
    <row r="165" spans="2:128" ht="19" thickBot="1" x14ac:dyDescent="0.25">
      <c r="U165" s="276"/>
      <c r="AG165" s="452" t="s">
        <v>79</v>
      </c>
      <c r="AH165" s="453">
        <f>MAX(AH153:AH164)</f>
        <v>0</v>
      </c>
      <c r="BC165" s="276"/>
      <c r="BE165" s="136"/>
      <c r="BF165" s="136"/>
      <c r="BG165" s="136"/>
      <c r="BH165" s="136"/>
      <c r="DE165" s="305"/>
      <c r="DF165" s="305"/>
      <c r="DG165" s="305"/>
      <c r="DH165" s="305"/>
      <c r="DI165" s="305"/>
      <c r="DJ165" s="305"/>
      <c r="DK165" s="1818"/>
      <c r="DL165" s="1818"/>
      <c r="DM165" s="1818"/>
      <c r="DN165" s="126"/>
    </row>
    <row r="166" spans="2:128" ht="26" hidden="1" thickBot="1" x14ac:dyDescent="0.3">
      <c r="U166" s="276"/>
      <c r="AG166" s="812"/>
      <c r="AH166" s="439"/>
      <c r="AK166" s="845" t="s">
        <v>190</v>
      </c>
      <c r="AL166" s="846"/>
      <c r="AM166" s="846"/>
      <c r="AN166" s="846"/>
      <c r="AO166" s="847"/>
      <c r="BC166" s="276"/>
      <c r="BE166" s="136"/>
      <c r="BF166" s="136"/>
      <c r="BG166" s="136"/>
      <c r="BH166" s="136"/>
      <c r="DE166" s="305"/>
      <c r="DF166" s="305"/>
      <c r="DG166" s="305"/>
      <c r="DH166" s="305"/>
      <c r="DI166" s="305"/>
      <c r="DJ166" s="305"/>
      <c r="DK166" s="321"/>
      <c r="DL166" s="321"/>
      <c r="DM166" s="321"/>
      <c r="DN166" s="126"/>
    </row>
    <row r="167" spans="2:128" ht="145" hidden="1" thickBot="1" x14ac:dyDescent="0.3">
      <c r="U167" s="276"/>
      <c r="AG167" s="812"/>
      <c r="AH167" s="439"/>
      <c r="AK167" s="814" t="s">
        <v>175</v>
      </c>
      <c r="AL167" s="815" t="s">
        <v>176</v>
      </c>
      <c r="AM167" s="815" t="s">
        <v>177</v>
      </c>
      <c r="AN167" s="816" t="s">
        <v>181</v>
      </c>
      <c r="AO167" s="817"/>
      <c r="BC167" s="276"/>
      <c r="BE167" s="136"/>
      <c r="BF167" s="136"/>
      <c r="BG167" s="136"/>
      <c r="BH167" s="136"/>
      <c r="DE167" s="305"/>
      <c r="DF167" s="305"/>
      <c r="DG167" s="305"/>
      <c r="DH167" s="305"/>
      <c r="DI167" s="305"/>
      <c r="DJ167" s="305"/>
      <c r="DK167" s="321"/>
      <c r="DL167" s="321"/>
      <c r="DM167" s="321"/>
      <c r="DN167" s="126"/>
    </row>
    <row r="168" spans="2:128" ht="24" hidden="1" thickBot="1" x14ac:dyDescent="0.3">
      <c r="U168" s="276"/>
      <c r="AG168" s="812"/>
      <c r="AH168" s="439"/>
      <c r="AK168" s="818">
        <v>6.8623010000000004</v>
      </c>
      <c r="AL168" s="819">
        <f>+(AH165*-1)-AK168</f>
        <v>-6.8623010000000004</v>
      </c>
      <c r="AM168" s="820">
        <f>COS(AL168*3.14159265358979/180)</f>
        <v>0.99283617366519983</v>
      </c>
      <c r="AN168" s="848">
        <f>+AM168*378.71303</f>
        <v>375.99999562235405</v>
      </c>
      <c r="AO168" s="821"/>
      <c r="BC168" s="276"/>
      <c r="BE168" s="136"/>
      <c r="BF168" s="136"/>
      <c r="BG168" s="136"/>
      <c r="BH168" s="136"/>
      <c r="DE168" s="305"/>
      <c r="DF168" s="305"/>
      <c r="DG168" s="305"/>
      <c r="DH168" s="305"/>
      <c r="DI168" s="305"/>
      <c r="DJ168" s="305"/>
      <c r="DK168" s="321"/>
      <c r="DL168" s="321"/>
      <c r="DM168" s="321"/>
      <c r="DN168" s="126"/>
    </row>
    <row r="169" spans="2:128" ht="26" hidden="1" thickBot="1" x14ac:dyDescent="0.3">
      <c r="B169" s="350"/>
      <c r="U169" s="276"/>
      <c r="AK169" s="844" t="s">
        <v>189</v>
      </c>
      <c r="AL169" s="849"/>
      <c r="AM169" s="849"/>
      <c r="AN169" s="849"/>
      <c r="AO169" s="850"/>
      <c r="BC169" s="276"/>
      <c r="BE169" s="136"/>
      <c r="BF169" s="136"/>
      <c r="BG169" s="136"/>
      <c r="BH169" s="136"/>
      <c r="BI169" s="136"/>
      <c r="BK169" s="136"/>
      <c r="BL169" s="136"/>
      <c r="DK169" s="306"/>
      <c r="DX169" s="306"/>
    </row>
    <row r="170" spans="2:128" ht="264" hidden="1" x14ac:dyDescent="0.25">
      <c r="B170" s="350"/>
      <c r="AB170" s="415"/>
      <c r="AC170" s="415"/>
      <c r="AD170" s="415"/>
      <c r="AE170" s="415"/>
      <c r="AK170" s="851"/>
      <c r="AL170" s="815" t="s">
        <v>194</v>
      </c>
      <c r="AM170" s="815" t="s">
        <v>193</v>
      </c>
      <c r="AN170" s="816" t="s">
        <v>192</v>
      </c>
      <c r="AO170" s="843" t="s">
        <v>191</v>
      </c>
      <c r="BE170" s="136"/>
      <c r="BF170" s="136"/>
      <c r="BG170" s="136"/>
      <c r="BH170" s="136"/>
      <c r="BI170" s="136"/>
      <c r="BJ170" s="136"/>
      <c r="BK170" s="136"/>
      <c r="BL170" s="136"/>
      <c r="DE170" s="307"/>
      <c r="DF170" s="307"/>
      <c r="DG170" s="307"/>
      <c r="DH170" s="307"/>
      <c r="DI170" s="307"/>
      <c r="DJ170" s="307"/>
      <c r="DK170" s="1819"/>
      <c r="DL170" s="1819"/>
      <c r="DW170" s="1813"/>
      <c r="DX170" s="1813"/>
    </row>
    <row r="171" spans="2:128" ht="24" hidden="1" thickBot="1" x14ac:dyDescent="0.3">
      <c r="V171" s="187"/>
      <c r="W171" s="187"/>
      <c r="X171" s="187"/>
      <c r="Y171" s="187"/>
      <c r="Z171" s="187"/>
      <c r="AA171" s="187"/>
      <c r="AB171" s="187"/>
      <c r="AC171" s="187"/>
      <c r="AD171" s="187"/>
      <c r="AE171" s="187"/>
      <c r="AF171" s="187"/>
      <c r="AG171" s="187"/>
      <c r="AH171" s="187"/>
      <c r="AI171" s="187"/>
      <c r="AJ171" s="187"/>
      <c r="AK171" s="852"/>
      <c r="AL171" s="822">
        <f>+AH165</f>
        <v>0</v>
      </c>
      <c r="AM171" s="823">
        <f>SIN(AL171*3.14159265358979/180)</f>
        <v>0</v>
      </c>
      <c r="AN171" s="824">
        <f>+AM171*((+B150*491.5)+119+119)</f>
        <v>0</v>
      </c>
      <c r="AO171" s="825">
        <f>+AN168+AN171</f>
        <v>375.99999562235405</v>
      </c>
      <c r="AP171" s="187"/>
      <c r="AQ171" s="187"/>
      <c r="AR171" s="187"/>
      <c r="AS171" s="187"/>
      <c r="AT171" s="187"/>
      <c r="AU171" s="187"/>
      <c r="AV171" s="187"/>
      <c r="AW171" s="187"/>
      <c r="AX171" s="187"/>
      <c r="AY171" s="187"/>
      <c r="AZ171" s="187"/>
      <c r="BA171" s="187"/>
      <c r="BB171" s="126"/>
      <c r="BE171" s="136"/>
      <c r="BF171" s="136"/>
      <c r="BG171" s="136"/>
      <c r="BH171" s="136"/>
      <c r="BI171" s="136"/>
      <c r="BJ171" s="136"/>
      <c r="BK171" s="136"/>
      <c r="BL171" s="136"/>
    </row>
    <row r="172" spans="2:128" ht="19" hidden="1" thickBot="1" x14ac:dyDescent="0.25">
      <c r="V172" s="187"/>
      <c r="W172" s="187"/>
      <c r="X172" s="187"/>
      <c r="Y172" s="187"/>
      <c r="Z172" s="187"/>
      <c r="AA172" s="187"/>
      <c r="AB172" s="187"/>
      <c r="AC172" s="187"/>
      <c r="AD172" s="187"/>
      <c r="AE172" s="187"/>
      <c r="AF172" s="187"/>
      <c r="AG172" s="187"/>
      <c r="AH172" s="187"/>
      <c r="AI172" s="187"/>
      <c r="AJ172" s="187"/>
      <c r="AK172" s="187"/>
      <c r="AL172" s="187"/>
      <c r="AM172" s="187"/>
      <c r="AN172" s="187"/>
      <c r="AO172" s="187"/>
      <c r="AP172" s="187"/>
      <c r="AQ172" s="187"/>
      <c r="AR172" s="187"/>
      <c r="AS172" s="187"/>
      <c r="AT172" s="187"/>
      <c r="AU172" s="187"/>
      <c r="AV172" s="187"/>
      <c r="AW172" s="187"/>
      <c r="AX172" s="187"/>
      <c r="AY172" s="187"/>
      <c r="AZ172" s="187"/>
      <c r="BA172" s="187"/>
      <c r="BB172" s="126"/>
      <c r="BE172" s="136"/>
      <c r="BF172" s="136"/>
      <c r="BG172" s="136"/>
      <c r="BH172" s="136"/>
      <c r="BI172" s="136"/>
      <c r="BJ172" s="136"/>
      <c r="BK172" s="136"/>
      <c r="BL172" s="136"/>
    </row>
    <row r="173" spans="2:128" ht="63.75" customHeight="1" thickBot="1" x14ac:dyDescent="0.25">
      <c r="B173" s="345" t="s">
        <v>118</v>
      </c>
      <c r="C173" s="454"/>
      <c r="D173" s="455"/>
      <c r="E173" s="37"/>
      <c r="F173" s="37"/>
      <c r="G173" s="37"/>
      <c r="H173" s="456"/>
      <c r="I173" s="456"/>
      <c r="J173" s="456"/>
      <c r="K173" s="456"/>
      <c r="L173" s="456"/>
      <c r="M173" s="456"/>
      <c r="N173" s="456"/>
      <c r="O173" s="456"/>
      <c r="P173" s="456"/>
      <c r="Q173" s="456"/>
      <c r="R173" s="456"/>
      <c r="S173" s="457" t="s">
        <v>134</v>
      </c>
      <c r="T173" s="457">
        <f>SUM(V177:V196)/B174</f>
        <v>213.83080000000001</v>
      </c>
      <c r="U173" s="212"/>
      <c r="V173" s="187"/>
      <c r="W173" s="187"/>
      <c r="X173" s="187"/>
      <c r="Y173" s="187"/>
      <c r="Z173" s="187"/>
      <c r="AA173" s="187"/>
      <c r="AB173" s="187"/>
      <c r="AC173" s="187"/>
      <c r="AD173" s="187"/>
      <c r="AE173" s="187"/>
      <c r="AF173" s="187"/>
      <c r="AG173" s="187"/>
      <c r="AH173" s="187"/>
      <c r="AI173" s="187"/>
      <c r="AJ173" s="187"/>
      <c r="AK173" s="187"/>
      <c r="AL173" s="187"/>
      <c r="AM173" s="187"/>
      <c r="AN173" s="187"/>
      <c r="AO173" s="187"/>
      <c r="AP173" s="187"/>
      <c r="AQ173" s="187"/>
      <c r="AR173" s="187"/>
      <c r="AS173" s="187"/>
      <c r="AT173" s="187"/>
      <c r="AU173" s="187"/>
      <c r="AV173" s="187"/>
      <c r="AW173" s="187"/>
      <c r="AX173" s="187"/>
      <c r="AY173" s="187"/>
      <c r="AZ173" s="187"/>
      <c r="BA173" s="187"/>
      <c r="BB173" s="126"/>
      <c r="BC173" s="458"/>
      <c r="BD173" s="458"/>
      <c r="BE173" s="136"/>
      <c r="BF173" s="136"/>
      <c r="BG173" s="136"/>
      <c r="BH173" s="136"/>
      <c r="BI173" s="136"/>
      <c r="BJ173" s="136"/>
      <c r="BK173" s="136"/>
      <c r="BL173" s="136"/>
    </row>
    <row r="174" spans="2:128" ht="30.75" customHeight="1" thickBot="1" x14ac:dyDescent="0.3">
      <c r="B174" s="27">
        <v>1</v>
      </c>
      <c r="C174" s="216"/>
      <c r="D174" s="459" t="s">
        <v>117</v>
      </c>
      <c r="E174" s="330"/>
      <c r="F174" s="330"/>
      <c r="G174" s="330"/>
      <c r="H174" s="460"/>
      <c r="I174" s="461"/>
      <c r="J174" s="461"/>
      <c r="K174" s="461"/>
      <c r="L174" s="461"/>
      <c r="M174" s="461"/>
      <c r="N174" s="461"/>
      <c r="O174" s="461"/>
      <c r="P174" s="461"/>
      <c r="Q174" s="461"/>
      <c r="R174" s="461"/>
      <c r="S174" s="462"/>
      <c r="T174" s="463"/>
      <c r="U174" s="401"/>
      <c r="V174" s="464"/>
      <c r="W174" s="464"/>
      <c r="X174" s="464"/>
      <c r="Y174" s="464"/>
      <c r="Z174" s="464"/>
      <c r="AA174" s="464"/>
      <c r="AB174" s="464"/>
      <c r="AC174" s="464"/>
      <c r="AD174" s="464"/>
      <c r="AE174" s="464"/>
      <c r="AF174" s="464"/>
      <c r="AG174" s="464"/>
      <c r="AH174" s="464"/>
      <c r="AI174" s="464"/>
      <c r="AJ174" s="464"/>
      <c r="AK174" s="464"/>
      <c r="AL174" s="464"/>
      <c r="AM174" s="464"/>
      <c r="AN174" s="464"/>
      <c r="AO174" s="464"/>
      <c r="AP174" s="464"/>
      <c r="AQ174" s="464"/>
      <c r="AR174" s="464"/>
      <c r="AS174" s="464"/>
      <c r="AT174" s="464"/>
      <c r="AU174" s="464"/>
      <c r="AV174" s="464"/>
      <c r="AW174" s="464"/>
      <c r="AX174" s="464"/>
      <c r="AY174" s="464"/>
      <c r="AZ174" s="1848" t="s">
        <v>52</v>
      </c>
      <c r="BA174" s="1849"/>
      <c r="BB174" s="218"/>
      <c r="BC174" s="144"/>
      <c r="BD174" s="144"/>
      <c r="BE174" s="136"/>
      <c r="BF174" s="136"/>
      <c r="BG174" s="136"/>
      <c r="BH174" s="136"/>
      <c r="BI174" s="136"/>
      <c r="BJ174" s="136"/>
      <c r="BK174" s="136"/>
      <c r="BL174" s="136"/>
    </row>
    <row r="175" spans="2:128" ht="39" hidden="1" thickBot="1" x14ac:dyDescent="0.25">
      <c r="C175" s="416"/>
      <c r="D175" s="354" t="s">
        <v>13</v>
      </c>
      <c r="H175" s="465" t="s">
        <v>4</v>
      </c>
      <c r="I175" s="465" t="s">
        <v>1</v>
      </c>
      <c r="J175" s="456" t="s">
        <v>0</v>
      </c>
      <c r="K175" s="456" t="s">
        <v>2</v>
      </c>
      <c r="L175" s="456" t="s">
        <v>3</v>
      </c>
      <c r="M175" s="456" t="s">
        <v>8</v>
      </c>
      <c r="N175" s="456" t="s">
        <v>5</v>
      </c>
      <c r="O175" s="456" t="s">
        <v>6</v>
      </c>
      <c r="P175" s="456" t="s">
        <v>7</v>
      </c>
      <c r="Q175" s="456" t="s">
        <v>9</v>
      </c>
      <c r="R175" s="466" t="s">
        <v>10</v>
      </c>
      <c r="S175" s="456" t="s">
        <v>11</v>
      </c>
      <c r="T175" s="467" t="s">
        <v>12</v>
      </c>
      <c r="V175" s="420"/>
      <c r="W175" s="420"/>
      <c r="X175" s="420"/>
      <c r="Y175" s="420"/>
      <c r="Z175" s="420"/>
      <c r="AA175" s="420"/>
      <c r="AB175" s="420"/>
      <c r="AC175" s="420"/>
      <c r="AD175" s="420"/>
      <c r="AE175" s="420"/>
      <c r="AF175" s="420"/>
      <c r="AG175" s="420"/>
      <c r="AH175" s="420"/>
      <c r="AI175" s="420"/>
      <c r="AJ175" s="420"/>
      <c r="AK175" s="420"/>
      <c r="AL175" s="420"/>
      <c r="AM175" s="420"/>
      <c r="AN175" s="420"/>
      <c r="AO175" s="420"/>
      <c r="AP175" s="420"/>
      <c r="AQ175" s="420"/>
      <c r="AR175" s="420"/>
      <c r="AS175" s="420"/>
      <c r="AT175" s="420"/>
      <c r="AU175" s="420"/>
      <c r="AV175" s="420"/>
      <c r="AW175" s="420"/>
      <c r="AX175" s="415"/>
      <c r="AY175" s="420"/>
      <c r="AZ175" s="420"/>
      <c r="BA175" s="420"/>
      <c r="BB175" s="231"/>
      <c r="BC175" s="228"/>
      <c r="BE175" s="136"/>
      <c r="BF175" s="136"/>
      <c r="BG175" s="136"/>
      <c r="BH175" s="136"/>
      <c r="BI175" s="136"/>
      <c r="BJ175" s="136"/>
      <c r="BK175" s="136"/>
      <c r="BL175" s="136"/>
    </row>
    <row r="176" spans="2:128" ht="36" customHeight="1" thickBot="1" x14ac:dyDescent="0.25">
      <c r="B176" s="421"/>
      <c r="C176" s="422"/>
      <c r="D176" s="348" t="s">
        <v>22</v>
      </c>
      <c r="E176" s="330"/>
      <c r="F176" s="468"/>
      <c r="G176" s="240"/>
      <c r="H176" s="469"/>
      <c r="I176" s="470"/>
      <c r="R176" s="466"/>
      <c r="T176" s="471"/>
      <c r="V176" s="420"/>
      <c r="W176" s="420"/>
      <c r="X176" s="420"/>
      <c r="Y176" s="420"/>
      <c r="Z176" s="420"/>
      <c r="AA176" s="420"/>
      <c r="AB176" s="420"/>
      <c r="AC176" s="420"/>
      <c r="AD176" s="420"/>
      <c r="AE176" s="420"/>
      <c r="AF176" s="420" t="s">
        <v>38</v>
      </c>
      <c r="AG176" s="425" t="s">
        <v>31</v>
      </c>
      <c r="AH176" s="425"/>
      <c r="AI176" s="368" t="s">
        <v>120</v>
      </c>
      <c r="AJ176" s="426" t="s">
        <v>32</v>
      </c>
      <c r="AK176" s="472" t="s">
        <v>142</v>
      </c>
      <c r="AL176" s="368" t="s">
        <v>121</v>
      </c>
      <c r="AM176" s="427" t="s">
        <v>34</v>
      </c>
      <c r="AN176" s="472" t="s">
        <v>143</v>
      </c>
      <c r="AO176" s="427"/>
      <c r="AP176" s="473" t="s">
        <v>36</v>
      </c>
      <c r="AQ176" s="420"/>
      <c r="AR176" s="420" t="s">
        <v>37</v>
      </c>
      <c r="AS176" s="420" t="s">
        <v>39</v>
      </c>
      <c r="AT176" s="420"/>
      <c r="AU176" s="420" t="s">
        <v>40</v>
      </c>
      <c r="AV176" s="429" t="s">
        <v>41</v>
      </c>
      <c r="AW176" s="429" t="s">
        <v>42</v>
      </c>
      <c r="AX176" s="430" t="s">
        <v>23</v>
      </c>
      <c r="AY176" s="430" t="s">
        <v>24</v>
      </c>
      <c r="AZ176" s="431" t="s">
        <v>23</v>
      </c>
      <c r="BA176" s="431" t="s">
        <v>24</v>
      </c>
      <c r="BC176" s="228"/>
      <c r="BE176" s="136"/>
      <c r="BF176" s="136"/>
      <c r="BG176" s="136"/>
      <c r="BH176" s="136"/>
      <c r="BI176" s="136"/>
      <c r="BJ176" s="136"/>
      <c r="BK176" s="136"/>
      <c r="BL176" s="136"/>
    </row>
    <row r="177" spans="1:133" ht="19" thickBot="1" x14ac:dyDescent="0.25">
      <c r="B177" s="255">
        <v>1</v>
      </c>
      <c r="C177" s="256">
        <f>+AH165+D177</f>
        <v>0</v>
      </c>
      <c r="D177" s="25">
        <v>0</v>
      </c>
      <c r="E177" s="257" t="s">
        <v>119</v>
      </c>
      <c r="F177" s="258"/>
      <c r="G177" s="258">
        <f>+D177</f>
        <v>0</v>
      </c>
      <c r="H177" s="282">
        <v>279.06049999999999</v>
      </c>
      <c r="I177" s="283">
        <v>79.962900599999998</v>
      </c>
      <c r="J177" s="474">
        <f>+I177-C177</f>
        <v>79.962900599999998</v>
      </c>
      <c r="K177" s="474">
        <f>+J177/2</f>
        <v>39.981450299999999</v>
      </c>
      <c r="L177" s="474">
        <f t="shared" ref="L177:L196" si="37">SIN(K177*3.14159265358979/180)</f>
        <v>0.64253956655634092</v>
      </c>
      <c r="M177" s="474">
        <f t="shared" ref="M177:M196" si="38">+L177*H177</f>
        <v>179.30741271299578</v>
      </c>
      <c r="N177" s="474">
        <f t="shared" ref="N177:N196" si="39">+M177*2</f>
        <v>358.61482542599157</v>
      </c>
      <c r="O177" s="474">
        <f>+C177/2</f>
        <v>0</v>
      </c>
      <c r="P177" s="474">
        <f t="shared" ref="P177:P196" si="40">SIN(O177*3.14159265358979/180)</f>
        <v>0</v>
      </c>
      <c r="Q177" s="474">
        <f t="shared" ref="Q177:Q196" si="41">+P177*N177</f>
        <v>0</v>
      </c>
      <c r="R177" s="475">
        <v>213.83080000000001</v>
      </c>
      <c r="S177" s="474">
        <f>+R177+Q177</f>
        <v>213.83080000000001</v>
      </c>
      <c r="T177" s="476">
        <f t="shared" ref="T177:T196" si="42">+S177</f>
        <v>213.83080000000001</v>
      </c>
      <c r="V177" s="437">
        <f t="shared" ref="V177:V196" si="43">IF(B177&lt;($B$174+1),T177,0)</f>
        <v>213.83080000000001</v>
      </c>
      <c r="W177" s="437"/>
      <c r="X177" s="437"/>
      <c r="Y177" s="437"/>
      <c r="Z177" s="437"/>
      <c r="AA177" s="437"/>
      <c r="AB177" s="477" t="str">
        <f>IF(AY177&lt;0,"use the locking pin"," ")</f>
        <v xml:space="preserve"> </v>
      </c>
      <c r="AC177" s="478"/>
      <c r="AD177" s="478"/>
      <c r="AE177" s="478"/>
      <c r="AF177" s="437">
        <f>SUM(V177:V196)/($B$174)</f>
        <v>213.83080000000001</v>
      </c>
      <c r="AG177" s="450">
        <f>C177</f>
        <v>0</v>
      </c>
      <c r="AH177" s="450"/>
      <c r="AI177" s="287">
        <f>66.2555484-AG177</f>
        <v>66.255548399999995</v>
      </c>
      <c r="AJ177" s="441">
        <f t="shared" ref="AJ177:AJ196" si="44">SIN(AI177*3.14159265358979/180)</f>
        <v>0.91535047595051022</v>
      </c>
      <c r="AK177" s="289">
        <f>+AJ177*304.3209</f>
        <v>278.56028065668761</v>
      </c>
      <c r="AL177" s="287">
        <f>50.0185497+AG177</f>
        <v>50.018549700000001</v>
      </c>
      <c r="AM177" s="442">
        <f>SIN(AL177*3.14159265358979/180)</f>
        <v>0.76625250760411079</v>
      </c>
      <c r="AN177" s="291">
        <f>+AM177*279.0605</f>
        <v>213.83080789825695</v>
      </c>
      <c r="AO177" s="479"/>
      <c r="AP177" s="480">
        <f>40.5*B174</f>
        <v>40.5</v>
      </c>
      <c r="AQ177" s="444"/>
      <c r="AR177" s="444">
        <f>+AN177+AK177</f>
        <v>492.39108855494453</v>
      </c>
      <c r="AS177" s="445">
        <f>+V177-AN177</f>
        <v>-7.8982569391428115E-6</v>
      </c>
      <c r="AT177" s="445"/>
      <c r="AU177" s="445">
        <f>+AF177-AS177</f>
        <v>213.83080789825695</v>
      </c>
      <c r="AV177" s="447">
        <f>+((AR177-AU177)/AR177)*AP177</f>
        <v>22.912054317849329</v>
      </c>
      <c r="AW177" s="447">
        <f>+(AU177/AR177)*AP177</f>
        <v>17.587945682150675</v>
      </c>
      <c r="AX177" s="448">
        <f>2*$C$18/AV177</f>
        <v>506.28371594611554</v>
      </c>
      <c r="AY177" s="448">
        <f>$D$18/AW177</f>
        <v>568.57123513569934</v>
      </c>
      <c r="AZ177" s="451">
        <f>ABS(AX177)</f>
        <v>506.28371594611554</v>
      </c>
      <c r="BA177" s="451">
        <f>ABS(AY177)</f>
        <v>568.57123513569934</v>
      </c>
      <c r="BB177" s="91"/>
      <c r="BC177" s="481"/>
      <c r="BE177" s="136"/>
      <c r="BF177" s="136"/>
      <c r="BG177" s="136"/>
      <c r="BH177" s="136"/>
      <c r="BI177" s="136"/>
      <c r="BJ177" s="136"/>
      <c r="BK177" s="136"/>
      <c r="BL177" s="136"/>
    </row>
    <row r="178" spans="1:133" ht="19" thickBot="1" x14ac:dyDescent="0.25">
      <c r="B178" s="277">
        <v>2</v>
      </c>
      <c r="C178" s="278"/>
      <c r="D178" s="25">
        <v>0</v>
      </c>
      <c r="E178" s="279" t="s">
        <v>130</v>
      </c>
      <c r="F178" s="258"/>
      <c r="G178" s="258">
        <f t="shared" ref="G178:G196" si="45">+D178+BB178</f>
        <v>0</v>
      </c>
      <c r="H178" s="282">
        <v>279.06049999999999</v>
      </c>
      <c r="I178" s="283">
        <v>79.962900599999998</v>
      </c>
      <c r="J178" s="474">
        <f t="shared" ref="J178:J196" si="46">+I178-D178</f>
        <v>79.962900599999998</v>
      </c>
      <c r="K178" s="474">
        <f t="shared" ref="K178:K196" si="47">+J178/2</f>
        <v>39.981450299999999</v>
      </c>
      <c r="L178" s="474">
        <f t="shared" si="37"/>
        <v>0.64253956655634092</v>
      </c>
      <c r="M178" s="474">
        <f t="shared" si="38"/>
        <v>179.30741271299578</v>
      </c>
      <c r="N178" s="474">
        <f t="shared" si="39"/>
        <v>358.61482542599157</v>
      </c>
      <c r="O178" s="474">
        <f>+C177+(D178/2)</f>
        <v>0</v>
      </c>
      <c r="P178" s="474">
        <f t="shared" si="40"/>
        <v>0</v>
      </c>
      <c r="Q178" s="474">
        <f t="shared" si="41"/>
        <v>0</v>
      </c>
      <c r="R178" s="474">
        <f t="shared" ref="R178:R196" si="48">+T177</f>
        <v>213.83080000000001</v>
      </c>
      <c r="S178" s="474">
        <f>+R178+Q178</f>
        <v>213.83080000000001</v>
      </c>
      <c r="T178" s="476">
        <f t="shared" si="42"/>
        <v>213.83080000000001</v>
      </c>
      <c r="V178" s="437">
        <f t="shared" si="43"/>
        <v>0</v>
      </c>
      <c r="W178" s="437"/>
      <c r="X178" s="437"/>
      <c r="Y178" s="437"/>
      <c r="Z178" s="437"/>
      <c r="AA178" s="437"/>
      <c r="AB178" s="477" t="e">
        <f t="shared" ref="AB178:AB196" si="49">IF(AY178&lt;0,"use the locking pin"," ")</f>
        <v>#DIV/0!</v>
      </c>
      <c r="AC178" s="478"/>
      <c r="AD178" s="478"/>
      <c r="AE178" s="478"/>
      <c r="AF178" s="437" t="e">
        <f t="shared" ref="AF178:AF196" si="50">SUM(V178:V197)/($B$174-B177)</f>
        <v>#DIV/0!</v>
      </c>
      <c r="AG178" s="450">
        <f>SUM(D178)+$C$177</f>
        <v>0</v>
      </c>
      <c r="AH178" s="450"/>
      <c r="AI178" s="287">
        <f t="shared" ref="AI178:AI196" si="51">66.2555484-AG178</f>
        <v>66.255548399999995</v>
      </c>
      <c r="AJ178" s="441">
        <f t="shared" si="44"/>
        <v>0.91535047595051022</v>
      </c>
      <c r="AK178" s="289">
        <f t="shared" ref="AK178:AK196" si="52">+AJ178*304.3209</f>
        <v>278.56028065668761</v>
      </c>
      <c r="AL178" s="287">
        <f t="shared" ref="AL178:AL196" si="53">50.0185497+AG178</f>
        <v>50.018549700000001</v>
      </c>
      <c r="AM178" s="442">
        <f t="shared" ref="AM178:AM196" si="54">SIN(AL178*3.14159265358979/180)</f>
        <v>0.76625250760411079</v>
      </c>
      <c r="AN178" s="291">
        <f t="shared" ref="AN178:AN196" si="55">+AM178*279.0605</f>
        <v>213.83080789825695</v>
      </c>
      <c r="AO178" s="479"/>
      <c r="AP178" s="291">
        <f t="shared" ref="AP178:AP196" si="56">40.5*($B$174-B177)</f>
        <v>0</v>
      </c>
      <c r="AQ178" s="444"/>
      <c r="AR178" s="444">
        <f t="shared" ref="AR178:AR196" si="57">+AN178+AK178</f>
        <v>492.39108855494453</v>
      </c>
      <c r="AS178" s="445">
        <f>+V178-AN178</f>
        <v>-213.83080789825695</v>
      </c>
      <c r="AT178" s="445"/>
      <c r="AU178" s="445" t="e">
        <f>+AF178-AS178</f>
        <v>#DIV/0!</v>
      </c>
      <c r="AV178" s="447" t="e">
        <f t="shared" ref="AV178:AV196" si="58">+((AR178-AU178)/AR178)*AP178</f>
        <v>#DIV/0!</v>
      </c>
      <c r="AW178" s="447" t="e">
        <f t="shared" ref="AW178:AW196" si="59">+(AU178/AR178)*AP178</f>
        <v>#DIV/0!</v>
      </c>
      <c r="AX178" s="448" t="e">
        <f t="shared" ref="AX178:AX196" si="60">2*$C$18/AV178</f>
        <v>#DIV/0!</v>
      </c>
      <c r="AY178" s="448" t="e">
        <f t="shared" ref="AY178:AY196" si="61">$D$18/AW178</f>
        <v>#DIV/0!</v>
      </c>
      <c r="AZ178" s="451" t="e">
        <f t="shared" ref="AZ178:BA196" si="62">ABS(AX178)</f>
        <v>#DIV/0!</v>
      </c>
      <c r="BA178" s="451" t="e">
        <f t="shared" si="62"/>
        <v>#DIV/0!</v>
      </c>
      <c r="BE178" s="136"/>
      <c r="BF178" s="136"/>
      <c r="BG178" s="136"/>
      <c r="BH178" s="136"/>
      <c r="BI178" s="136"/>
      <c r="BJ178" s="136"/>
      <c r="BK178" s="136"/>
      <c r="BL178" s="136"/>
    </row>
    <row r="179" spans="1:133" ht="19" thickBot="1" x14ac:dyDescent="0.25">
      <c r="B179" s="277">
        <v>3</v>
      </c>
      <c r="C179" s="278"/>
      <c r="D179" s="25">
        <v>0</v>
      </c>
      <c r="E179" s="279" t="s">
        <v>130</v>
      </c>
      <c r="F179" s="258"/>
      <c r="G179" s="258">
        <f t="shared" si="45"/>
        <v>0</v>
      </c>
      <c r="H179" s="282">
        <v>279.06049999999999</v>
      </c>
      <c r="I179" s="283">
        <v>79.962900599999998</v>
      </c>
      <c r="J179" s="474">
        <f t="shared" si="46"/>
        <v>79.962900599999998</v>
      </c>
      <c r="K179" s="474">
        <f t="shared" si="47"/>
        <v>39.981450299999999</v>
      </c>
      <c r="L179" s="474">
        <f t="shared" si="37"/>
        <v>0.64253956655634092</v>
      </c>
      <c r="M179" s="474">
        <f t="shared" si="38"/>
        <v>179.30741271299578</v>
      </c>
      <c r="N179" s="474">
        <f t="shared" si="39"/>
        <v>358.61482542599157</v>
      </c>
      <c r="O179" s="474">
        <f>+C177+D178+(D179/2)</f>
        <v>0</v>
      </c>
      <c r="P179" s="474">
        <f t="shared" si="40"/>
        <v>0</v>
      </c>
      <c r="Q179" s="474">
        <f t="shared" si="41"/>
        <v>0</v>
      </c>
      <c r="R179" s="474">
        <f t="shared" si="48"/>
        <v>213.83080000000001</v>
      </c>
      <c r="S179" s="474">
        <f t="shared" ref="S179:S196" si="63">+S178+Q179</f>
        <v>213.83080000000001</v>
      </c>
      <c r="T179" s="476">
        <f t="shared" si="42"/>
        <v>213.83080000000001</v>
      </c>
      <c r="V179" s="437">
        <f t="shared" si="43"/>
        <v>0</v>
      </c>
      <c r="W179" s="437"/>
      <c r="X179" s="437"/>
      <c r="Y179" s="437"/>
      <c r="Z179" s="437"/>
      <c r="AA179" s="437"/>
      <c r="AB179" s="477" t="str">
        <f t="shared" si="49"/>
        <v>use the locking pin</v>
      </c>
      <c r="AC179" s="478"/>
      <c r="AD179" s="478"/>
      <c r="AE179" s="478"/>
      <c r="AF179" s="437">
        <f t="shared" si="50"/>
        <v>0</v>
      </c>
      <c r="AG179" s="450">
        <f>SUM(D178:D179)+$C$177</f>
        <v>0</v>
      </c>
      <c r="AH179" s="450"/>
      <c r="AI179" s="287">
        <f t="shared" si="51"/>
        <v>66.255548399999995</v>
      </c>
      <c r="AJ179" s="441">
        <f t="shared" si="44"/>
        <v>0.91535047595051022</v>
      </c>
      <c r="AK179" s="289">
        <f t="shared" si="52"/>
        <v>278.56028065668761</v>
      </c>
      <c r="AL179" s="287">
        <f t="shared" si="53"/>
        <v>50.018549700000001</v>
      </c>
      <c r="AM179" s="442">
        <f t="shared" si="54"/>
        <v>0.76625250760411079</v>
      </c>
      <c r="AN179" s="291">
        <f t="shared" si="55"/>
        <v>213.83080789825695</v>
      </c>
      <c r="AO179" s="479"/>
      <c r="AP179" s="291">
        <f t="shared" si="56"/>
        <v>-40.5</v>
      </c>
      <c r="AQ179" s="444"/>
      <c r="AR179" s="444">
        <f t="shared" si="57"/>
        <v>492.39108855494453</v>
      </c>
      <c r="AS179" s="445">
        <f>+V179-AN179</f>
        <v>-213.83080789825695</v>
      </c>
      <c r="AT179" s="445"/>
      <c r="AU179" s="445">
        <f>+AF179-AS179</f>
        <v>213.83080789825695</v>
      </c>
      <c r="AV179" s="447">
        <f t="shared" si="58"/>
        <v>-22.912054317849329</v>
      </c>
      <c r="AW179" s="447">
        <f t="shared" si="59"/>
        <v>-17.587945682150675</v>
      </c>
      <c r="AX179" s="448">
        <f t="shared" si="60"/>
        <v>-506.28371594611554</v>
      </c>
      <c r="AY179" s="448">
        <f t="shared" si="61"/>
        <v>-568.57123513569934</v>
      </c>
      <c r="AZ179" s="451">
        <f t="shared" si="62"/>
        <v>506.28371594611554</v>
      </c>
      <c r="BA179" s="451">
        <f t="shared" si="62"/>
        <v>568.57123513569934</v>
      </c>
      <c r="BE179" s="136"/>
      <c r="BF179" s="136"/>
      <c r="BG179" s="136"/>
      <c r="BH179" s="136"/>
      <c r="BI179" s="136"/>
      <c r="BJ179" s="136"/>
      <c r="BK179" s="136"/>
      <c r="BL179" s="136"/>
    </row>
    <row r="180" spans="1:133" ht="19" thickBot="1" x14ac:dyDescent="0.25">
      <c r="B180" s="277">
        <v>4</v>
      </c>
      <c r="C180" s="278"/>
      <c r="D180" s="25">
        <v>0</v>
      </c>
      <c r="E180" s="279" t="s">
        <v>130</v>
      </c>
      <c r="F180" s="258"/>
      <c r="G180" s="258">
        <f t="shared" si="45"/>
        <v>0</v>
      </c>
      <c r="H180" s="282">
        <v>279.06049999999999</v>
      </c>
      <c r="I180" s="283">
        <v>79.962900599999998</v>
      </c>
      <c r="J180" s="474">
        <f t="shared" si="46"/>
        <v>79.962900599999998</v>
      </c>
      <c r="K180" s="474">
        <f t="shared" si="47"/>
        <v>39.981450299999999</v>
      </c>
      <c r="L180" s="474">
        <f t="shared" si="37"/>
        <v>0.64253956655634092</v>
      </c>
      <c r="M180" s="474">
        <f t="shared" si="38"/>
        <v>179.30741271299578</v>
      </c>
      <c r="N180" s="474">
        <f t="shared" si="39"/>
        <v>358.61482542599157</v>
      </c>
      <c r="O180" s="474">
        <f>+C177+D178+D179+(D180/2)</f>
        <v>0</v>
      </c>
      <c r="P180" s="474">
        <f t="shared" si="40"/>
        <v>0</v>
      </c>
      <c r="Q180" s="474">
        <f t="shared" si="41"/>
        <v>0</v>
      </c>
      <c r="R180" s="474">
        <f t="shared" si="48"/>
        <v>213.83080000000001</v>
      </c>
      <c r="S180" s="474">
        <f t="shared" si="63"/>
        <v>213.83080000000001</v>
      </c>
      <c r="T180" s="476">
        <f t="shared" si="42"/>
        <v>213.83080000000001</v>
      </c>
      <c r="V180" s="437">
        <f t="shared" si="43"/>
        <v>0</v>
      </c>
      <c r="W180" s="437"/>
      <c r="X180" s="437"/>
      <c r="Y180" s="437"/>
      <c r="Z180" s="437"/>
      <c r="AA180" s="437"/>
      <c r="AB180" s="477" t="str">
        <f t="shared" si="49"/>
        <v>use the locking pin</v>
      </c>
      <c r="AC180" s="478"/>
      <c r="AD180" s="478"/>
      <c r="AE180" s="478"/>
      <c r="AF180" s="437">
        <f t="shared" si="50"/>
        <v>0</v>
      </c>
      <c r="AG180" s="450">
        <f>SUM(D178:D180)+$C$177</f>
        <v>0</v>
      </c>
      <c r="AH180" s="450"/>
      <c r="AI180" s="287">
        <f t="shared" si="51"/>
        <v>66.255548399999995</v>
      </c>
      <c r="AJ180" s="441">
        <f t="shared" si="44"/>
        <v>0.91535047595051022</v>
      </c>
      <c r="AK180" s="289">
        <f t="shared" si="52"/>
        <v>278.56028065668761</v>
      </c>
      <c r="AL180" s="287">
        <f t="shared" si="53"/>
        <v>50.018549700000001</v>
      </c>
      <c r="AM180" s="442">
        <f t="shared" si="54"/>
        <v>0.76625250760411079</v>
      </c>
      <c r="AN180" s="291">
        <f t="shared" si="55"/>
        <v>213.83080789825695</v>
      </c>
      <c r="AO180" s="479"/>
      <c r="AP180" s="291">
        <f t="shared" si="56"/>
        <v>-81</v>
      </c>
      <c r="AQ180" s="444"/>
      <c r="AR180" s="444">
        <f t="shared" si="57"/>
        <v>492.39108855494453</v>
      </c>
      <c r="AS180" s="445">
        <f>+V180-AN180</f>
        <v>-213.83080789825695</v>
      </c>
      <c r="AT180" s="445"/>
      <c r="AU180" s="445">
        <f t="shared" ref="AU180:AU196" si="64">+AF180-AS180</f>
        <v>213.83080789825695</v>
      </c>
      <c r="AV180" s="447">
        <f t="shared" si="58"/>
        <v>-45.824108635698657</v>
      </c>
      <c r="AW180" s="447">
        <f t="shared" si="59"/>
        <v>-35.17589136430135</v>
      </c>
      <c r="AX180" s="448">
        <f t="shared" si="60"/>
        <v>-253.14185797305777</v>
      </c>
      <c r="AY180" s="448">
        <f t="shared" si="61"/>
        <v>-284.28561756784967</v>
      </c>
      <c r="AZ180" s="451">
        <f t="shared" si="62"/>
        <v>253.14185797305777</v>
      </c>
      <c r="BA180" s="451">
        <f t="shared" si="62"/>
        <v>284.28561756784967</v>
      </c>
      <c r="BE180" s="136"/>
      <c r="BF180" s="136"/>
      <c r="BG180" s="136"/>
      <c r="BH180" s="136"/>
      <c r="BI180" s="136"/>
      <c r="BJ180" s="136"/>
      <c r="BP180" s="126"/>
      <c r="BR180" s="126"/>
      <c r="BT180" s="126"/>
    </row>
    <row r="181" spans="1:133" ht="19" thickBot="1" x14ac:dyDescent="0.25">
      <c r="B181" s="277">
        <v>5</v>
      </c>
      <c r="C181" s="278"/>
      <c r="D181" s="25">
        <v>0</v>
      </c>
      <c r="E181" s="279" t="s">
        <v>130</v>
      </c>
      <c r="F181" s="258"/>
      <c r="G181" s="258">
        <f t="shared" si="45"/>
        <v>0</v>
      </c>
      <c r="H181" s="282">
        <v>279.06049999999999</v>
      </c>
      <c r="I181" s="283">
        <v>79.962900599999998</v>
      </c>
      <c r="J181" s="474">
        <f t="shared" si="46"/>
        <v>79.962900599999998</v>
      </c>
      <c r="K181" s="474">
        <f t="shared" si="47"/>
        <v>39.981450299999999</v>
      </c>
      <c r="L181" s="474">
        <f t="shared" si="37"/>
        <v>0.64253956655634092</v>
      </c>
      <c r="M181" s="474">
        <f t="shared" si="38"/>
        <v>179.30741271299578</v>
      </c>
      <c r="N181" s="474">
        <f t="shared" si="39"/>
        <v>358.61482542599157</v>
      </c>
      <c r="O181" s="474">
        <f>+C177+D178+D179+D180+(D181/2)</f>
        <v>0</v>
      </c>
      <c r="P181" s="474">
        <f t="shared" si="40"/>
        <v>0</v>
      </c>
      <c r="Q181" s="474">
        <f t="shared" si="41"/>
        <v>0</v>
      </c>
      <c r="R181" s="474">
        <f t="shared" si="48"/>
        <v>213.83080000000001</v>
      </c>
      <c r="S181" s="474">
        <f t="shared" si="63"/>
        <v>213.83080000000001</v>
      </c>
      <c r="T181" s="476">
        <f t="shared" si="42"/>
        <v>213.83080000000001</v>
      </c>
      <c r="V181" s="437">
        <f t="shared" si="43"/>
        <v>0</v>
      </c>
      <c r="W181" s="437"/>
      <c r="X181" s="437"/>
      <c r="Y181" s="437"/>
      <c r="Z181" s="437"/>
      <c r="AA181" s="437"/>
      <c r="AB181" s="477" t="str">
        <f>IF(AY181&lt;0,"use the locking pin"," ")</f>
        <v>use the locking pin</v>
      </c>
      <c r="AC181" s="478"/>
      <c r="AD181" s="478"/>
      <c r="AE181" s="478"/>
      <c r="AF181" s="437">
        <f t="shared" si="50"/>
        <v>0</v>
      </c>
      <c r="AG181" s="450">
        <f>SUM(D178:D181)+$C$177</f>
        <v>0</v>
      </c>
      <c r="AH181" s="450"/>
      <c r="AI181" s="287">
        <f t="shared" si="51"/>
        <v>66.255548399999995</v>
      </c>
      <c r="AJ181" s="441">
        <f t="shared" si="44"/>
        <v>0.91535047595051022</v>
      </c>
      <c r="AK181" s="289">
        <f t="shared" si="52"/>
        <v>278.56028065668761</v>
      </c>
      <c r="AL181" s="287">
        <f t="shared" si="53"/>
        <v>50.018549700000001</v>
      </c>
      <c r="AM181" s="442">
        <f t="shared" si="54"/>
        <v>0.76625250760411079</v>
      </c>
      <c r="AN181" s="291">
        <f t="shared" si="55"/>
        <v>213.83080789825695</v>
      </c>
      <c r="AO181" s="479"/>
      <c r="AP181" s="291">
        <f t="shared" si="56"/>
        <v>-121.5</v>
      </c>
      <c r="AQ181" s="444"/>
      <c r="AR181" s="444">
        <f t="shared" si="57"/>
        <v>492.39108855494453</v>
      </c>
      <c r="AS181" s="445">
        <f t="shared" ref="AS181:AS196" si="65">+V181-AN181</f>
        <v>-213.83080789825695</v>
      </c>
      <c r="AT181" s="445"/>
      <c r="AU181" s="445">
        <f t="shared" si="64"/>
        <v>213.83080789825695</v>
      </c>
      <c r="AV181" s="447">
        <f t="shared" si="58"/>
        <v>-68.736162953547989</v>
      </c>
      <c r="AW181" s="447">
        <f t="shared" si="59"/>
        <v>-52.763837046452025</v>
      </c>
      <c r="AX181" s="448">
        <f t="shared" si="60"/>
        <v>-168.76123864870519</v>
      </c>
      <c r="AY181" s="448">
        <f t="shared" si="61"/>
        <v>-189.52374504523311</v>
      </c>
      <c r="AZ181" s="451">
        <f t="shared" si="62"/>
        <v>168.76123864870519</v>
      </c>
      <c r="BA181" s="451">
        <f t="shared" si="62"/>
        <v>189.52374504523311</v>
      </c>
      <c r="BC181" s="126"/>
      <c r="BD181" s="126"/>
      <c r="BE181" s="136"/>
      <c r="BF181" s="136"/>
      <c r="BG181" s="136"/>
      <c r="BH181" s="136"/>
      <c r="BI181" s="136"/>
      <c r="BJ181" s="136"/>
      <c r="BK181" s="212"/>
      <c r="BP181" s="126"/>
      <c r="BT181" s="126"/>
    </row>
    <row r="182" spans="1:133" ht="19" thickBot="1" x14ac:dyDescent="0.25">
      <c r="B182" s="277">
        <v>6</v>
      </c>
      <c r="C182" s="278"/>
      <c r="D182" s="25">
        <v>0</v>
      </c>
      <c r="E182" s="279" t="s">
        <v>130</v>
      </c>
      <c r="F182" s="258"/>
      <c r="G182" s="258">
        <f t="shared" si="45"/>
        <v>0</v>
      </c>
      <c r="H182" s="282">
        <v>279.06049999999999</v>
      </c>
      <c r="I182" s="283">
        <v>79.962900599999998</v>
      </c>
      <c r="J182" s="474">
        <f t="shared" si="46"/>
        <v>79.962900599999998</v>
      </c>
      <c r="K182" s="474">
        <f t="shared" si="47"/>
        <v>39.981450299999999</v>
      </c>
      <c r="L182" s="474">
        <f t="shared" si="37"/>
        <v>0.64253956655634092</v>
      </c>
      <c r="M182" s="474">
        <f t="shared" si="38"/>
        <v>179.30741271299578</v>
      </c>
      <c r="N182" s="474">
        <f t="shared" si="39"/>
        <v>358.61482542599157</v>
      </c>
      <c r="O182" s="474">
        <f>+C177+D178+D179+D180+D181+(D182/2)</f>
        <v>0</v>
      </c>
      <c r="P182" s="474">
        <f t="shared" si="40"/>
        <v>0</v>
      </c>
      <c r="Q182" s="474">
        <f t="shared" si="41"/>
        <v>0</v>
      </c>
      <c r="R182" s="474">
        <f t="shared" si="48"/>
        <v>213.83080000000001</v>
      </c>
      <c r="S182" s="474">
        <f t="shared" si="63"/>
        <v>213.83080000000001</v>
      </c>
      <c r="T182" s="476">
        <f t="shared" si="42"/>
        <v>213.83080000000001</v>
      </c>
      <c r="V182" s="437">
        <f t="shared" si="43"/>
        <v>0</v>
      </c>
      <c r="W182" s="437"/>
      <c r="X182" s="437"/>
      <c r="Y182" s="437"/>
      <c r="Z182" s="437"/>
      <c r="AA182" s="437"/>
      <c r="AB182" s="477" t="str">
        <f t="shared" si="49"/>
        <v>use the locking pin</v>
      </c>
      <c r="AC182" s="478"/>
      <c r="AD182" s="478"/>
      <c r="AE182" s="478"/>
      <c r="AF182" s="437">
        <f t="shared" si="50"/>
        <v>0</v>
      </c>
      <c r="AG182" s="450">
        <f>SUM(D178:D182)+$C$177</f>
        <v>0</v>
      </c>
      <c r="AH182" s="450"/>
      <c r="AI182" s="287">
        <f t="shared" si="51"/>
        <v>66.255548399999995</v>
      </c>
      <c r="AJ182" s="441">
        <f t="shared" si="44"/>
        <v>0.91535047595051022</v>
      </c>
      <c r="AK182" s="289">
        <f t="shared" si="52"/>
        <v>278.56028065668761</v>
      </c>
      <c r="AL182" s="287">
        <f t="shared" si="53"/>
        <v>50.018549700000001</v>
      </c>
      <c r="AM182" s="442">
        <f t="shared" si="54"/>
        <v>0.76625250760411079</v>
      </c>
      <c r="AN182" s="291">
        <f t="shared" si="55"/>
        <v>213.83080789825695</v>
      </c>
      <c r="AO182" s="479"/>
      <c r="AP182" s="291">
        <f t="shared" si="56"/>
        <v>-162</v>
      </c>
      <c r="AQ182" s="444"/>
      <c r="AR182" s="444">
        <f t="shared" si="57"/>
        <v>492.39108855494453</v>
      </c>
      <c r="AS182" s="445">
        <f t="shared" si="65"/>
        <v>-213.83080789825695</v>
      </c>
      <c r="AT182" s="445"/>
      <c r="AU182" s="445">
        <f t="shared" si="64"/>
        <v>213.83080789825695</v>
      </c>
      <c r="AV182" s="447">
        <f t="shared" si="58"/>
        <v>-91.648217271397314</v>
      </c>
      <c r="AW182" s="447">
        <f t="shared" si="59"/>
        <v>-70.3517827286027</v>
      </c>
      <c r="AX182" s="448">
        <f t="shared" si="60"/>
        <v>-126.57092898652888</v>
      </c>
      <c r="AY182" s="448">
        <f t="shared" si="61"/>
        <v>-142.14280878392483</v>
      </c>
      <c r="AZ182" s="451">
        <f t="shared" si="62"/>
        <v>126.57092898652888</v>
      </c>
      <c r="BA182" s="451">
        <f t="shared" si="62"/>
        <v>142.14280878392483</v>
      </c>
      <c r="BC182" s="126"/>
      <c r="BD182" s="126"/>
      <c r="BE182" s="136"/>
      <c r="BF182" s="136"/>
      <c r="BG182" s="297" t="s">
        <v>122</v>
      </c>
      <c r="BH182" s="136"/>
      <c r="BI182" s="136"/>
      <c r="BJ182" s="136"/>
      <c r="BK182" s="136"/>
      <c r="BL182" s="136"/>
      <c r="BP182" s="126"/>
      <c r="BQ182" s="311"/>
      <c r="BR182" s="311"/>
      <c r="BS182" s="311"/>
      <c r="BT182" s="311"/>
      <c r="BU182" s="311"/>
      <c r="BV182" s="311"/>
      <c r="BW182" s="311"/>
      <c r="BX182" s="311"/>
      <c r="BY182" s="311"/>
      <c r="BZ182" s="311"/>
      <c r="CA182" s="311"/>
      <c r="CB182" s="311"/>
      <c r="CC182" s="311"/>
      <c r="CD182" s="311"/>
      <c r="CE182" s="311"/>
      <c r="CF182" s="311"/>
      <c r="CG182" s="311"/>
      <c r="CH182" s="311"/>
      <c r="CI182" s="311"/>
      <c r="CJ182" s="311"/>
      <c r="CK182" s="311"/>
      <c r="CL182" s="311"/>
      <c r="CM182" s="311"/>
      <c r="CN182" s="311"/>
    </row>
    <row r="183" spans="1:133" ht="21" thickBot="1" x14ac:dyDescent="0.35">
      <c r="B183" s="277">
        <v>7</v>
      </c>
      <c r="C183" s="278"/>
      <c r="D183" s="25">
        <v>0</v>
      </c>
      <c r="E183" s="279" t="s">
        <v>130</v>
      </c>
      <c r="F183" s="258"/>
      <c r="G183" s="258">
        <f t="shared" si="45"/>
        <v>0</v>
      </c>
      <c r="H183" s="282">
        <v>279.06049999999999</v>
      </c>
      <c r="I183" s="283">
        <v>79.962900599999998</v>
      </c>
      <c r="J183" s="474">
        <f t="shared" si="46"/>
        <v>79.962900599999998</v>
      </c>
      <c r="K183" s="474">
        <f t="shared" si="47"/>
        <v>39.981450299999999</v>
      </c>
      <c r="L183" s="474">
        <f t="shared" si="37"/>
        <v>0.64253956655634092</v>
      </c>
      <c r="M183" s="474">
        <f t="shared" si="38"/>
        <v>179.30741271299578</v>
      </c>
      <c r="N183" s="474">
        <f t="shared" si="39"/>
        <v>358.61482542599157</v>
      </c>
      <c r="O183" s="474">
        <f>+C177+D178+D179+D180+D181+D182+(D183/2)</f>
        <v>0</v>
      </c>
      <c r="P183" s="474">
        <f t="shared" si="40"/>
        <v>0</v>
      </c>
      <c r="Q183" s="474">
        <f t="shared" si="41"/>
        <v>0</v>
      </c>
      <c r="R183" s="474">
        <f t="shared" si="48"/>
        <v>213.83080000000001</v>
      </c>
      <c r="S183" s="474">
        <f t="shared" si="63"/>
        <v>213.83080000000001</v>
      </c>
      <c r="T183" s="476">
        <f t="shared" si="42"/>
        <v>213.83080000000001</v>
      </c>
      <c r="V183" s="437">
        <f t="shared" si="43"/>
        <v>0</v>
      </c>
      <c r="W183" s="437"/>
      <c r="X183" s="437"/>
      <c r="Y183" s="437"/>
      <c r="Z183" s="437"/>
      <c r="AA183" s="437"/>
      <c r="AB183" s="477" t="str">
        <f t="shared" si="49"/>
        <v>use the locking pin</v>
      </c>
      <c r="AC183" s="478"/>
      <c r="AD183" s="478"/>
      <c r="AE183" s="478"/>
      <c r="AF183" s="437">
        <f t="shared" si="50"/>
        <v>0</v>
      </c>
      <c r="AG183" s="450">
        <f>SUM(D178:D183)+$C$177</f>
        <v>0</v>
      </c>
      <c r="AH183" s="450"/>
      <c r="AI183" s="287">
        <f t="shared" si="51"/>
        <v>66.255548399999995</v>
      </c>
      <c r="AJ183" s="441">
        <f t="shared" si="44"/>
        <v>0.91535047595051022</v>
      </c>
      <c r="AK183" s="289">
        <f t="shared" si="52"/>
        <v>278.56028065668761</v>
      </c>
      <c r="AL183" s="287">
        <f t="shared" si="53"/>
        <v>50.018549700000001</v>
      </c>
      <c r="AM183" s="442">
        <f t="shared" si="54"/>
        <v>0.76625250760411079</v>
      </c>
      <c r="AN183" s="291">
        <f t="shared" si="55"/>
        <v>213.83080789825695</v>
      </c>
      <c r="AO183" s="479"/>
      <c r="AP183" s="291">
        <f t="shared" si="56"/>
        <v>-202.5</v>
      </c>
      <c r="AQ183" s="444"/>
      <c r="AR183" s="444">
        <f t="shared" si="57"/>
        <v>492.39108855494453</v>
      </c>
      <c r="AS183" s="445">
        <f t="shared" si="65"/>
        <v>-213.83080789825695</v>
      </c>
      <c r="AT183" s="445"/>
      <c r="AU183" s="445">
        <f t="shared" si="64"/>
        <v>213.83080789825695</v>
      </c>
      <c r="AV183" s="447">
        <f t="shared" si="58"/>
        <v>-114.56027158924665</v>
      </c>
      <c r="AW183" s="447">
        <f t="shared" si="59"/>
        <v>-87.939728410753375</v>
      </c>
      <c r="AX183" s="448">
        <f t="shared" si="60"/>
        <v>-101.2567431892231</v>
      </c>
      <c r="AY183" s="448">
        <f t="shared" si="61"/>
        <v>-113.71424702713988</v>
      </c>
      <c r="AZ183" s="451">
        <f t="shared" si="62"/>
        <v>101.2567431892231</v>
      </c>
      <c r="BA183" s="451">
        <f t="shared" si="62"/>
        <v>113.71424702713988</v>
      </c>
      <c r="BE183" s="298">
        <v>1</v>
      </c>
      <c r="BF183" s="299">
        <v>-473</v>
      </c>
      <c r="BG183" s="300">
        <f>+COS(($B$147*-1)*3.14159265358979/180)*BF183</f>
        <v>-473</v>
      </c>
      <c r="BH183" s="301">
        <f t="shared" ref="BH183:BH219" si="66">+BG183-D$3</f>
        <v>-706.2019610817888</v>
      </c>
      <c r="BI183" s="302">
        <f t="shared" ref="BI183:BI219" si="67">ABS(BH183)</f>
        <v>706.2019610817888</v>
      </c>
      <c r="BJ183" s="303">
        <f>MIN(BI183:BI219)</f>
        <v>18.201961081788767</v>
      </c>
      <c r="BK183" s="302" t="b">
        <f>IF(BJ183=BI183,BE183)</f>
        <v>0</v>
      </c>
      <c r="BL183" s="304">
        <v>1</v>
      </c>
      <c r="BP183" s="126"/>
    </row>
    <row r="184" spans="1:133" ht="21" thickBot="1" x14ac:dyDescent="0.35">
      <c r="B184" s="277">
        <v>8</v>
      </c>
      <c r="C184" s="278"/>
      <c r="D184" s="25">
        <v>0</v>
      </c>
      <c r="E184" s="279" t="s">
        <v>130</v>
      </c>
      <c r="F184" s="258"/>
      <c r="G184" s="258">
        <f t="shared" si="45"/>
        <v>0</v>
      </c>
      <c r="H184" s="282">
        <v>279.06049999999999</v>
      </c>
      <c r="I184" s="283">
        <v>79.962900599999998</v>
      </c>
      <c r="J184" s="474">
        <f t="shared" si="46"/>
        <v>79.962900599999998</v>
      </c>
      <c r="K184" s="474">
        <f t="shared" si="47"/>
        <v>39.981450299999999</v>
      </c>
      <c r="L184" s="474">
        <f t="shared" si="37"/>
        <v>0.64253956655634092</v>
      </c>
      <c r="M184" s="474">
        <f t="shared" si="38"/>
        <v>179.30741271299578</v>
      </c>
      <c r="N184" s="474">
        <f t="shared" si="39"/>
        <v>358.61482542599157</v>
      </c>
      <c r="O184" s="474">
        <f>+C177+D178+D179+D180+D181+D182+D183+(D184/2)</f>
        <v>0</v>
      </c>
      <c r="P184" s="474">
        <f t="shared" si="40"/>
        <v>0</v>
      </c>
      <c r="Q184" s="474">
        <f t="shared" si="41"/>
        <v>0</v>
      </c>
      <c r="R184" s="474">
        <f t="shared" si="48"/>
        <v>213.83080000000001</v>
      </c>
      <c r="S184" s="474">
        <f t="shared" si="63"/>
        <v>213.83080000000001</v>
      </c>
      <c r="T184" s="476">
        <f t="shared" si="42"/>
        <v>213.83080000000001</v>
      </c>
      <c r="V184" s="437">
        <f t="shared" si="43"/>
        <v>0</v>
      </c>
      <c r="W184" s="437"/>
      <c r="X184" s="437"/>
      <c r="Y184" s="437"/>
      <c r="Z184" s="437"/>
      <c r="AA184" s="437"/>
      <c r="AB184" s="477" t="str">
        <f t="shared" si="49"/>
        <v>use the locking pin</v>
      </c>
      <c r="AC184" s="478"/>
      <c r="AD184" s="478"/>
      <c r="AE184" s="478"/>
      <c r="AF184" s="437">
        <f t="shared" si="50"/>
        <v>0</v>
      </c>
      <c r="AG184" s="450">
        <f>SUM(D178:D184)+$C$177</f>
        <v>0</v>
      </c>
      <c r="AH184" s="450"/>
      <c r="AI184" s="287">
        <f t="shared" si="51"/>
        <v>66.255548399999995</v>
      </c>
      <c r="AJ184" s="441">
        <f t="shared" si="44"/>
        <v>0.91535047595051022</v>
      </c>
      <c r="AK184" s="289">
        <f t="shared" si="52"/>
        <v>278.56028065668761</v>
      </c>
      <c r="AL184" s="287">
        <f t="shared" si="53"/>
        <v>50.018549700000001</v>
      </c>
      <c r="AM184" s="442">
        <f t="shared" si="54"/>
        <v>0.76625250760411079</v>
      </c>
      <c r="AN184" s="291">
        <f t="shared" si="55"/>
        <v>213.83080789825695</v>
      </c>
      <c r="AO184" s="479"/>
      <c r="AP184" s="291">
        <f t="shared" si="56"/>
        <v>-243</v>
      </c>
      <c r="AQ184" s="444"/>
      <c r="AR184" s="444">
        <f t="shared" si="57"/>
        <v>492.39108855494453</v>
      </c>
      <c r="AS184" s="445">
        <f t="shared" si="65"/>
        <v>-213.83080789825695</v>
      </c>
      <c r="AT184" s="445"/>
      <c r="AU184" s="445">
        <f t="shared" si="64"/>
        <v>213.83080789825695</v>
      </c>
      <c r="AV184" s="447">
        <f t="shared" si="58"/>
        <v>-137.47232590709598</v>
      </c>
      <c r="AW184" s="447">
        <f t="shared" si="59"/>
        <v>-105.52767409290405</v>
      </c>
      <c r="AX184" s="448">
        <f t="shared" si="60"/>
        <v>-84.380619324352594</v>
      </c>
      <c r="AY184" s="448">
        <f t="shared" si="61"/>
        <v>-94.761872522616557</v>
      </c>
      <c r="AZ184" s="451">
        <f t="shared" si="62"/>
        <v>84.380619324352594</v>
      </c>
      <c r="BA184" s="451">
        <f t="shared" si="62"/>
        <v>94.761872522616557</v>
      </c>
      <c r="BE184" s="298">
        <v>2</v>
      </c>
      <c r="BF184" s="299">
        <f>+BF183+43</f>
        <v>-430</v>
      </c>
      <c r="BG184" s="42">
        <f>+BG183+$E$2</f>
        <v>-430</v>
      </c>
      <c r="BH184" s="301">
        <f t="shared" si="66"/>
        <v>-663.2019610817888</v>
      </c>
      <c r="BI184" s="302">
        <f t="shared" si="67"/>
        <v>663.2019610817888</v>
      </c>
      <c r="BJ184" s="302">
        <f>+BJ183</f>
        <v>18.201961081788767</v>
      </c>
      <c r="BK184" s="302" t="b">
        <f t="shared" ref="BK184:BK219" si="68">IF(BJ184=BI184,BE184)</f>
        <v>0</v>
      </c>
      <c r="BL184" s="304">
        <v>2</v>
      </c>
      <c r="BP184" s="235"/>
      <c r="BQ184" s="312"/>
      <c r="BR184" s="312"/>
      <c r="BS184" s="312"/>
      <c r="BT184" s="312"/>
      <c r="BU184" s="312"/>
      <c r="BV184" s="312"/>
      <c r="BW184" s="312"/>
      <c r="BX184" s="312"/>
      <c r="BY184" s="312"/>
      <c r="BZ184" s="312"/>
      <c r="CA184" s="312"/>
      <c r="CB184" s="312"/>
      <c r="CC184" s="312"/>
      <c r="CD184" s="312"/>
      <c r="CE184" s="312"/>
      <c r="CF184" s="312"/>
      <c r="CG184" s="312"/>
      <c r="CH184" s="312"/>
      <c r="CI184" s="312"/>
      <c r="CJ184" s="312"/>
      <c r="CK184" s="312"/>
      <c r="CL184" s="312"/>
      <c r="CM184" s="312"/>
      <c r="CN184" s="312"/>
    </row>
    <row r="185" spans="1:133" ht="21" thickBot="1" x14ac:dyDescent="0.35">
      <c r="B185" s="277">
        <v>9</v>
      </c>
      <c r="C185" s="278"/>
      <c r="D185" s="25">
        <v>0</v>
      </c>
      <c r="E185" s="279" t="s">
        <v>130</v>
      </c>
      <c r="F185" s="258"/>
      <c r="G185" s="258">
        <f t="shared" si="45"/>
        <v>0</v>
      </c>
      <c r="H185" s="282">
        <v>279.06049999999999</v>
      </c>
      <c r="I185" s="283">
        <v>79.962900599999998</v>
      </c>
      <c r="J185" s="474">
        <f t="shared" si="46"/>
        <v>79.962900599999998</v>
      </c>
      <c r="K185" s="474">
        <f t="shared" si="47"/>
        <v>39.981450299999999</v>
      </c>
      <c r="L185" s="474">
        <f t="shared" si="37"/>
        <v>0.64253956655634092</v>
      </c>
      <c r="M185" s="474">
        <f t="shared" si="38"/>
        <v>179.30741271299578</v>
      </c>
      <c r="N185" s="474">
        <f t="shared" si="39"/>
        <v>358.61482542599157</v>
      </c>
      <c r="O185" s="474">
        <f>+C177+D178+D179+D180+D181+D182+D183+D184+(D185/2)</f>
        <v>0</v>
      </c>
      <c r="P185" s="474">
        <f t="shared" si="40"/>
        <v>0</v>
      </c>
      <c r="Q185" s="474">
        <f t="shared" si="41"/>
        <v>0</v>
      </c>
      <c r="R185" s="474">
        <f t="shared" si="48"/>
        <v>213.83080000000001</v>
      </c>
      <c r="S185" s="474">
        <f t="shared" si="63"/>
        <v>213.83080000000001</v>
      </c>
      <c r="T185" s="476">
        <f t="shared" si="42"/>
        <v>213.83080000000001</v>
      </c>
      <c r="V185" s="437">
        <f t="shared" si="43"/>
        <v>0</v>
      </c>
      <c r="W185" s="437"/>
      <c r="X185" s="437"/>
      <c r="Y185" s="437"/>
      <c r="Z185" s="437"/>
      <c r="AA185" s="437"/>
      <c r="AB185" s="477" t="str">
        <f t="shared" si="49"/>
        <v>use the locking pin</v>
      </c>
      <c r="AC185" s="478"/>
      <c r="AD185" s="478"/>
      <c r="AE185" s="478"/>
      <c r="AF185" s="437">
        <f t="shared" si="50"/>
        <v>0</v>
      </c>
      <c r="AG185" s="450">
        <f>SUM(D178:D185)+$C$177</f>
        <v>0</v>
      </c>
      <c r="AH185" s="450"/>
      <c r="AI185" s="287">
        <f t="shared" si="51"/>
        <v>66.255548399999995</v>
      </c>
      <c r="AJ185" s="441">
        <f t="shared" si="44"/>
        <v>0.91535047595051022</v>
      </c>
      <c r="AK185" s="289">
        <f t="shared" si="52"/>
        <v>278.56028065668761</v>
      </c>
      <c r="AL185" s="287">
        <f t="shared" si="53"/>
        <v>50.018549700000001</v>
      </c>
      <c r="AM185" s="442">
        <f t="shared" si="54"/>
        <v>0.76625250760411079</v>
      </c>
      <c r="AN185" s="291">
        <f t="shared" si="55"/>
        <v>213.83080789825695</v>
      </c>
      <c r="AO185" s="479"/>
      <c r="AP185" s="291">
        <f t="shared" si="56"/>
        <v>-283.5</v>
      </c>
      <c r="AQ185" s="444"/>
      <c r="AR185" s="444">
        <f t="shared" si="57"/>
        <v>492.39108855494453</v>
      </c>
      <c r="AS185" s="445">
        <f t="shared" si="65"/>
        <v>-213.83080789825695</v>
      </c>
      <c r="AT185" s="445"/>
      <c r="AU185" s="445">
        <f t="shared" si="64"/>
        <v>213.83080789825695</v>
      </c>
      <c r="AV185" s="447">
        <f t="shared" si="58"/>
        <v>-160.38438022494532</v>
      </c>
      <c r="AW185" s="447">
        <f t="shared" si="59"/>
        <v>-123.11561977505472</v>
      </c>
      <c r="AX185" s="448">
        <f t="shared" si="60"/>
        <v>-72.326245135159354</v>
      </c>
      <c r="AY185" s="448">
        <f t="shared" si="61"/>
        <v>-81.224462162242773</v>
      </c>
      <c r="AZ185" s="451">
        <f t="shared" si="62"/>
        <v>72.326245135159354</v>
      </c>
      <c r="BA185" s="451">
        <f t="shared" si="62"/>
        <v>81.224462162242773</v>
      </c>
      <c r="BE185" s="298">
        <v>3</v>
      </c>
      <c r="BF185" s="299">
        <f t="shared" ref="BF185:BF219" si="69">+BF184+43</f>
        <v>-387</v>
      </c>
      <c r="BG185" s="42">
        <f t="shared" ref="BG185:BG219" si="70">+BG184+$E$2</f>
        <v>-387</v>
      </c>
      <c r="BH185" s="301">
        <f t="shared" si="66"/>
        <v>-620.2019610817888</v>
      </c>
      <c r="BI185" s="302">
        <f t="shared" si="67"/>
        <v>620.2019610817888</v>
      </c>
      <c r="BJ185" s="302">
        <f t="shared" ref="BJ185:BJ219" si="71">+BJ184</f>
        <v>18.201961081788767</v>
      </c>
      <c r="BK185" s="302" t="b">
        <f t="shared" si="68"/>
        <v>0</v>
      </c>
      <c r="BL185" s="304">
        <v>3</v>
      </c>
      <c r="BP185" s="126"/>
      <c r="BQ185" s="203"/>
      <c r="BR185" s="203"/>
      <c r="BS185" s="203"/>
      <c r="BT185" s="203"/>
      <c r="BU185" s="203"/>
      <c r="BV185" s="203"/>
      <c r="BW185" s="203"/>
      <c r="BX185" s="203"/>
      <c r="BY185" s="203"/>
      <c r="BZ185" s="203"/>
      <c r="CA185" s="203"/>
      <c r="CB185" s="203"/>
      <c r="CC185" s="203"/>
      <c r="CD185" s="203"/>
      <c r="CE185" s="203"/>
      <c r="CF185" s="203"/>
      <c r="CG185" s="203"/>
      <c r="CH185" s="203"/>
      <c r="CI185" s="203"/>
      <c r="CJ185" s="203"/>
      <c r="CK185" s="203"/>
      <c r="CL185" s="203"/>
      <c r="CM185" s="203"/>
      <c r="CN185" s="203"/>
    </row>
    <row r="186" spans="1:133" ht="21" thickBot="1" x14ac:dyDescent="0.35">
      <c r="B186" s="277">
        <v>10</v>
      </c>
      <c r="C186" s="278"/>
      <c r="D186" s="25">
        <v>0</v>
      </c>
      <c r="E186" s="279" t="s">
        <v>130</v>
      </c>
      <c r="F186" s="258"/>
      <c r="G186" s="258">
        <f t="shared" si="45"/>
        <v>0</v>
      </c>
      <c r="H186" s="282">
        <v>279.06049999999999</v>
      </c>
      <c r="I186" s="283">
        <v>79.962900599999998</v>
      </c>
      <c r="J186" s="474">
        <f t="shared" si="46"/>
        <v>79.962900599999998</v>
      </c>
      <c r="K186" s="474">
        <f t="shared" si="47"/>
        <v>39.981450299999999</v>
      </c>
      <c r="L186" s="474">
        <f t="shared" si="37"/>
        <v>0.64253956655634092</v>
      </c>
      <c r="M186" s="474">
        <f t="shared" si="38"/>
        <v>179.30741271299578</v>
      </c>
      <c r="N186" s="474">
        <f t="shared" si="39"/>
        <v>358.61482542599157</v>
      </c>
      <c r="O186" s="474">
        <f>+C177+D178+D179+D180+D181+D182+D183+D184+D185+(D186/2)</f>
        <v>0</v>
      </c>
      <c r="P186" s="474">
        <f t="shared" si="40"/>
        <v>0</v>
      </c>
      <c r="Q186" s="474">
        <f t="shared" si="41"/>
        <v>0</v>
      </c>
      <c r="R186" s="474">
        <f t="shared" si="48"/>
        <v>213.83080000000001</v>
      </c>
      <c r="S186" s="474">
        <f t="shared" si="63"/>
        <v>213.83080000000001</v>
      </c>
      <c r="T186" s="476">
        <f t="shared" si="42"/>
        <v>213.83080000000001</v>
      </c>
      <c r="V186" s="437">
        <f t="shared" si="43"/>
        <v>0</v>
      </c>
      <c r="W186" s="437"/>
      <c r="X186" s="437"/>
      <c r="Y186" s="437"/>
      <c r="Z186" s="437"/>
      <c r="AA186" s="437"/>
      <c r="AB186" s="477" t="str">
        <f t="shared" si="49"/>
        <v>use the locking pin</v>
      </c>
      <c r="AC186" s="478"/>
      <c r="AD186" s="478"/>
      <c r="AE186" s="478"/>
      <c r="AF186" s="437">
        <f t="shared" si="50"/>
        <v>0</v>
      </c>
      <c r="AG186" s="450">
        <f>SUM(D178:D186)+$C$177</f>
        <v>0</v>
      </c>
      <c r="AH186" s="450"/>
      <c r="AI186" s="287">
        <f t="shared" si="51"/>
        <v>66.255548399999995</v>
      </c>
      <c r="AJ186" s="441">
        <f t="shared" si="44"/>
        <v>0.91535047595051022</v>
      </c>
      <c r="AK186" s="289">
        <f t="shared" si="52"/>
        <v>278.56028065668761</v>
      </c>
      <c r="AL186" s="287">
        <f t="shared" si="53"/>
        <v>50.018549700000001</v>
      </c>
      <c r="AM186" s="442">
        <f t="shared" si="54"/>
        <v>0.76625250760411079</v>
      </c>
      <c r="AN186" s="291">
        <f t="shared" si="55"/>
        <v>213.83080789825695</v>
      </c>
      <c r="AO186" s="479"/>
      <c r="AP186" s="291">
        <f t="shared" si="56"/>
        <v>-324</v>
      </c>
      <c r="AQ186" s="444"/>
      <c r="AR186" s="444">
        <f t="shared" si="57"/>
        <v>492.39108855494453</v>
      </c>
      <c r="AS186" s="445">
        <f t="shared" si="65"/>
        <v>-213.83080789825695</v>
      </c>
      <c r="AT186" s="445"/>
      <c r="AU186" s="445">
        <f t="shared" si="64"/>
        <v>213.83080789825695</v>
      </c>
      <c r="AV186" s="447">
        <f t="shared" si="58"/>
        <v>-183.29643454279463</v>
      </c>
      <c r="AW186" s="447">
        <f t="shared" si="59"/>
        <v>-140.7035654572054</v>
      </c>
      <c r="AX186" s="448">
        <f t="shared" si="60"/>
        <v>-63.285464493264442</v>
      </c>
      <c r="AY186" s="448">
        <f t="shared" si="61"/>
        <v>-71.071404391962417</v>
      </c>
      <c r="AZ186" s="451">
        <f t="shared" si="62"/>
        <v>63.285464493264442</v>
      </c>
      <c r="BA186" s="451">
        <f t="shared" si="62"/>
        <v>71.071404391962417</v>
      </c>
      <c r="BE186" s="298">
        <v>4</v>
      </c>
      <c r="BF186" s="299">
        <f t="shared" si="69"/>
        <v>-344</v>
      </c>
      <c r="BG186" s="42">
        <f t="shared" si="70"/>
        <v>-344</v>
      </c>
      <c r="BH186" s="301">
        <f t="shared" si="66"/>
        <v>-577.2019610817888</v>
      </c>
      <c r="BI186" s="302">
        <f t="shared" si="67"/>
        <v>577.2019610817888</v>
      </c>
      <c r="BJ186" s="302">
        <f t="shared" si="71"/>
        <v>18.201961081788767</v>
      </c>
      <c r="BK186" s="302" t="b">
        <f t="shared" si="68"/>
        <v>0</v>
      </c>
      <c r="BL186" s="304">
        <v>4</v>
      </c>
    </row>
    <row r="187" spans="1:133" ht="21" thickBot="1" x14ac:dyDescent="0.35">
      <c r="A187" s="296"/>
      <c r="B187" s="277">
        <v>11</v>
      </c>
      <c r="C187" s="278"/>
      <c r="D187" s="25">
        <v>0</v>
      </c>
      <c r="E187" s="279" t="s">
        <v>130</v>
      </c>
      <c r="F187" s="258"/>
      <c r="G187" s="258">
        <f t="shared" si="45"/>
        <v>0</v>
      </c>
      <c r="H187" s="282">
        <v>279.06049999999999</v>
      </c>
      <c r="I187" s="283">
        <v>79.962900599999998</v>
      </c>
      <c r="J187" s="474">
        <f t="shared" si="46"/>
        <v>79.962900599999998</v>
      </c>
      <c r="K187" s="474">
        <f t="shared" si="47"/>
        <v>39.981450299999999</v>
      </c>
      <c r="L187" s="474">
        <f t="shared" si="37"/>
        <v>0.64253956655634092</v>
      </c>
      <c r="M187" s="474">
        <f t="shared" si="38"/>
        <v>179.30741271299578</v>
      </c>
      <c r="N187" s="474">
        <f t="shared" si="39"/>
        <v>358.61482542599157</v>
      </c>
      <c r="O187" s="474">
        <f>+C177+D178+D179+D180+D181+D182+D183+D184+D185+D186+(D187/2)</f>
        <v>0</v>
      </c>
      <c r="P187" s="474">
        <f t="shared" si="40"/>
        <v>0</v>
      </c>
      <c r="Q187" s="474">
        <f t="shared" si="41"/>
        <v>0</v>
      </c>
      <c r="R187" s="474">
        <f t="shared" si="48"/>
        <v>213.83080000000001</v>
      </c>
      <c r="S187" s="474">
        <f t="shared" si="63"/>
        <v>213.83080000000001</v>
      </c>
      <c r="T187" s="476">
        <f t="shared" si="42"/>
        <v>213.83080000000001</v>
      </c>
      <c r="V187" s="437">
        <f t="shared" si="43"/>
        <v>0</v>
      </c>
      <c r="W187" s="437"/>
      <c r="X187" s="437"/>
      <c r="Y187" s="437"/>
      <c r="Z187" s="437"/>
      <c r="AA187" s="437"/>
      <c r="AB187" s="477" t="str">
        <f t="shared" si="49"/>
        <v>use the locking pin</v>
      </c>
      <c r="AC187" s="478"/>
      <c r="AD187" s="478"/>
      <c r="AE187" s="478"/>
      <c r="AF187" s="437">
        <f t="shared" si="50"/>
        <v>0</v>
      </c>
      <c r="AG187" s="450">
        <f>SUM(D178:D187)+$C$177</f>
        <v>0</v>
      </c>
      <c r="AH187" s="450"/>
      <c r="AI187" s="287">
        <f t="shared" si="51"/>
        <v>66.255548399999995</v>
      </c>
      <c r="AJ187" s="441">
        <f t="shared" si="44"/>
        <v>0.91535047595051022</v>
      </c>
      <c r="AK187" s="289">
        <f t="shared" si="52"/>
        <v>278.56028065668761</v>
      </c>
      <c r="AL187" s="287">
        <f t="shared" si="53"/>
        <v>50.018549700000001</v>
      </c>
      <c r="AM187" s="442">
        <f t="shared" si="54"/>
        <v>0.76625250760411079</v>
      </c>
      <c r="AN187" s="291">
        <f t="shared" si="55"/>
        <v>213.83080789825695</v>
      </c>
      <c r="AO187" s="479"/>
      <c r="AP187" s="291">
        <f t="shared" si="56"/>
        <v>-364.5</v>
      </c>
      <c r="AQ187" s="444"/>
      <c r="AR187" s="444">
        <f t="shared" si="57"/>
        <v>492.39108855494453</v>
      </c>
      <c r="AS187" s="445">
        <f t="shared" si="65"/>
        <v>-213.83080789825695</v>
      </c>
      <c r="AT187" s="445"/>
      <c r="AU187" s="445">
        <f t="shared" si="64"/>
        <v>213.83080789825695</v>
      </c>
      <c r="AV187" s="447">
        <f t="shared" si="58"/>
        <v>-206.20848886064397</v>
      </c>
      <c r="AW187" s="447">
        <f t="shared" si="59"/>
        <v>-158.29151113935606</v>
      </c>
      <c r="AX187" s="448">
        <f t="shared" si="60"/>
        <v>-56.253746216235058</v>
      </c>
      <c r="AY187" s="448">
        <f t="shared" si="61"/>
        <v>-63.174581681744378</v>
      </c>
      <c r="AZ187" s="451">
        <f t="shared" si="62"/>
        <v>56.253746216235058</v>
      </c>
      <c r="BA187" s="451">
        <f t="shared" si="62"/>
        <v>63.174581681744378</v>
      </c>
      <c r="BE187" s="298">
        <v>5</v>
      </c>
      <c r="BF187" s="299">
        <f t="shared" si="69"/>
        <v>-301</v>
      </c>
      <c r="BG187" s="42">
        <f t="shared" si="70"/>
        <v>-301</v>
      </c>
      <c r="BH187" s="301">
        <f t="shared" si="66"/>
        <v>-534.2019610817888</v>
      </c>
      <c r="BI187" s="302">
        <f t="shared" si="67"/>
        <v>534.2019610817888</v>
      </c>
      <c r="BJ187" s="302">
        <f t="shared" si="71"/>
        <v>18.201961081788767</v>
      </c>
      <c r="BK187" s="302" t="b">
        <f t="shared" si="68"/>
        <v>0</v>
      </c>
      <c r="BL187" s="304">
        <v>5</v>
      </c>
      <c r="BQ187" s="236"/>
      <c r="BR187" s="236"/>
      <c r="BS187" s="236"/>
      <c r="BT187" s="236"/>
      <c r="BU187" s="236"/>
      <c r="BV187" s="236"/>
      <c r="BW187" s="126"/>
      <c r="BX187" s="126"/>
      <c r="BY187" s="126"/>
      <c r="BZ187" s="126"/>
      <c r="CA187" s="126"/>
      <c r="CB187" s="236"/>
      <c r="CC187" s="236"/>
      <c r="CD187" s="236"/>
      <c r="CE187" s="126"/>
      <c r="CF187" s="126"/>
      <c r="CG187" s="126"/>
      <c r="CH187" s="126"/>
      <c r="CI187" s="126"/>
      <c r="CJ187" s="126"/>
      <c r="CK187" s="126"/>
      <c r="CL187" s="126"/>
      <c r="CM187" s="126"/>
      <c r="CN187" s="126"/>
      <c r="DE187" s="126"/>
      <c r="DG187" s="126"/>
      <c r="DI187" s="126"/>
    </row>
    <row r="188" spans="1:133" ht="21" thickBot="1" x14ac:dyDescent="0.35">
      <c r="A188" s="296"/>
      <c r="B188" s="277">
        <v>12</v>
      </c>
      <c r="C188" s="278"/>
      <c r="D188" s="25">
        <v>0</v>
      </c>
      <c r="E188" s="279" t="s">
        <v>130</v>
      </c>
      <c r="F188" s="258"/>
      <c r="G188" s="258">
        <f t="shared" si="45"/>
        <v>0</v>
      </c>
      <c r="H188" s="282">
        <v>279.06049999999999</v>
      </c>
      <c r="I188" s="283">
        <v>79.962900599999998</v>
      </c>
      <c r="J188" s="474">
        <f t="shared" si="46"/>
        <v>79.962900599999998</v>
      </c>
      <c r="K188" s="474">
        <f t="shared" si="47"/>
        <v>39.981450299999999</v>
      </c>
      <c r="L188" s="474">
        <f t="shared" si="37"/>
        <v>0.64253956655634092</v>
      </c>
      <c r="M188" s="474">
        <f t="shared" si="38"/>
        <v>179.30741271299578</v>
      </c>
      <c r="N188" s="474">
        <f t="shared" si="39"/>
        <v>358.61482542599157</v>
      </c>
      <c r="O188" s="474">
        <f>+C177+D178+D179+D180+D181+D182+D183+D184+D185+D186+D187+(D188/2)</f>
        <v>0</v>
      </c>
      <c r="P188" s="474">
        <f t="shared" si="40"/>
        <v>0</v>
      </c>
      <c r="Q188" s="474">
        <f t="shared" si="41"/>
        <v>0</v>
      </c>
      <c r="R188" s="474">
        <f t="shared" si="48"/>
        <v>213.83080000000001</v>
      </c>
      <c r="S188" s="474">
        <f t="shared" si="63"/>
        <v>213.83080000000001</v>
      </c>
      <c r="T188" s="476">
        <f t="shared" si="42"/>
        <v>213.83080000000001</v>
      </c>
      <c r="V188" s="437">
        <f t="shared" si="43"/>
        <v>0</v>
      </c>
      <c r="W188" s="437"/>
      <c r="X188" s="437"/>
      <c r="Y188" s="437"/>
      <c r="Z188" s="437"/>
      <c r="AA188" s="437"/>
      <c r="AB188" s="477" t="str">
        <f t="shared" si="49"/>
        <v>use the locking pin</v>
      </c>
      <c r="AC188" s="478"/>
      <c r="AD188" s="478"/>
      <c r="AE188" s="478"/>
      <c r="AF188" s="437">
        <f t="shared" si="50"/>
        <v>0</v>
      </c>
      <c r="AG188" s="450">
        <f>SUM(D178:D188)+$C$177</f>
        <v>0</v>
      </c>
      <c r="AH188" s="450"/>
      <c r="AI188" s="287">
        <f t="shared" si="51"/>
        <v>66.255548399999995</v>
      </c>
      <c r="AJ188" s="441">
        <f t="shared" si="44"/>
        <v>0.91535047595051022</v>
      </c>
      <c r="AK188" s="289">
        <f t="shared" si="52"/>
        <v>278.56028065668761</v>
      </c>
      <c r="AL188" s="287">
        <f t="shared" si="53"/>
        <v>50.018549700000001</v>
      </c>
      <c r="AM188" s="442">
        <f t="shared" si="54"/>
        <v>0.76625250760411079</v>
      </c>
      <c r="AN188" s="291">
        <f t="shared" si="55"/>
        <v>213.83080789825695</v>
      </c>
      <c r="AO188" s="479"/>
      <c r="AP188" s="291">
        <f t="shared" si="56"/>
        <v>-405</v>
      </c>
      <c r="AQ188" s="444"/>
      <c r="AR188" s="444">
        <f t="shared" si="57"/>
        <v>492.39108855494453</v>
      </c>
      <c r="AS188" s="445">
        <f t="shared" si="65"/>
        <v>-213.83080789825695</v>
      </c>
      <c r="AT188" s="445"/>
      <c r="AU188" s="445">
        <f t="shared" si="64"/>
        <v>213.83080789825695</v>
      </c>
      <c r="AV188" s="447">
        <f t="shared" si="58"/>
        <v>-229.12054317849331</v>
      </c>
      <c r="AW188" s="447">
        <f t="shared" si="59"/>
        <v>-175.87945682150675</v>
      </c>
      <c r="AX188" s="448">
        <f t="shared" si="60"/>
        <v>-50.628371594611551</v>
      </c>
      <c r="AY188" s="448">
        <f t="shared" si="61"/>
        <v>-56.857123513569938</v>
      </c>
      <c r="AZ188" s="451">
        <f t="shared" si="62"/>
        <v>50.628371594611551</v>
      </c>
      <c r="BA188" s="451">
        <f t="shared" si="62"/>
        <v>56.857123513569938</v>
      </c>
      <c r="BE188" s="298">
        <v>6</v>
      </c>
      <c r="BF188" s="299">
        <f t="shared" si="69"/>
        <v>-258</v>
      </c>
      <c r="BG188" s="42">
        <f t="shared" si="70"/>
        <v>-258</v>
      </c>
      <c r="BH188" s="301">
        <f t="shared" si="66"/>
        <v>-491.2019610817888</v>
      </c>
      <c r="BI188" s="302">
        <f t="shared" si="67"/>
        <v>491.2019610817888</v>
      </c>
      <c r="BJ188" s="302">
        <f t="shared" si="71"/>
        <v>18.201961081788767</v>
      </c>
      <c r="BK188" s="302" t="b">
        <f t="shared" si="68"/>
        <v>0</v>
      </c>
      <c r="BL188" s="304">
        <v>6</v>
      </c>
      <c r="BQ188" s="236"/>
      <c r="BR188" s="236"/>
      <c r="BS188" s="236"/>
      <c r="BT188" s="236"/>
      <c r="BU188" s="236"/>
      <c r="BV188" s="236"/>
      <c r="CA188" s="236"/>
      <c r="CB188" s="236"/>
      <c r="CC188" s="236"/>
      <c r="CD188" s="236"/>
      <c r="CI188" s="236"/>
      <c r="CJ188" s="236"/>
      <c r="CK188" s="236"/>
      <c r="CL188" s="236"/>
      <c r="CM188" s="236"/>
      <c r="CN188" s="236"/>
      <c r="DE188" s="126"/>
      <c r="DI188" s="126"/>
    </row>
    <row r="189" spans="1:133" ht="21" thickBot="1" x14ac:dyDescent="0.35">
      <c r="B189" s="277">
        <v>13</v>
      </c>
      <c r="C189" s="278"/>
      <c r="D189" s="25">
        <v>0</v>
      </c>
      <c r="E189" s="279" t="s">
        <v>130</v>
      </c>
      <c r="F189" s="258"/>
      <c r="G189" s="258">
        <f t="shared" si="45"/>
        <v>0</v>
      </c>
      <c r="H189" s="282">
        <v>279.06049999999999</v>
      </c>
      <c r="I189" s="283">
        <v>79.962900599999998</v>
      </c>
      <c r="J189" s="474">
        <f t="shared" si="46"/>
        <v>79.962900599999998</v>
      </c>
      <c r="K189" s="474">
        <f t="shared" si="47"/>
        <v>39.981450299999999</v>
      </c>
      <c r="L189" s="474">
        <f t="shared" si="37"/>
        <v>0.64253956655634092</v>
      </c>
      <c r="M189" s="474">
        <f t="shared" si="38"/>
        <v>179.30741271299578</v>
      </c>
      <c r="N189" s="474">
        <f t="shared" si="39"/>
        <v>358.61482542599157</v>
      </c>
      <c r="O189" s="474">
        <f>+C177+D178+D179+D180+D181+D182+D183+D184+D185+D186+D187+D188+(D189/2)</f>
        <v>0</v>
      </c>
      <c r="P189" s="474">
        <f t="shared" si="40"/>
        <v>0</v>
      </c>
      <c r="Q189" s="474">
        <f t="shared" si="41"/>
        <v>0</v>
      </c>
      <c r="R189" s="474">
        <f t="shared" si="48"/>
        <v>213.83080000000001</v>
      </c>
      <c r="S189" s="474">
        <f t="shared" si="63"/>
        <v>213.83080000000001</v>
      </c>
      <c r="T189" s="476">
        <f t="shared" si="42"/>
        <v>213.83080000000001</v>
      </c>
      <c r="V189" s="437">
        <f t="shared" si="43"/>
        <v>0</v>
      </c>
      <c r="W189" s="437"/>
      <c r="X189" s="437"/>
      <c r="Y189" s="437"/>
      <c r="Z189" s="437"/>
      <c r="AA189" s="437"/>
      <c r="AB189" s="477" t="str">
        <f t="shared" si="49"/>
        <v>use the locking pin</v>
      </c>
      <c r="AC189" s="478"/>
      <c r="AD189" s="478"/>
      <c r="AE189" s="478"/>
      <c r="AF189" s="437">
        <f t="shared" si="50"/>
        <v>0</v>
      </c>
      <c r="AG189" s="450">
        <f>SUM(D178:D189)+$C$177</f>
        <v>0</v>
      </c>
      <c r="AH189" s="450"/>
      <c r="AI189" s="287">
        <f t="shared" si="51"/>
        <v>66.255548399999995</v>
      </c>
      <c r="AJ189" s="441">
        <f t="shared" si="44"/>
        <v>0.91535047595051022</v>
      </c>
      <c r="AK189" s="289">
        <f t="shared" si="52"/>
        <v>278.56028065668761</v>
      </c>
      <c r="AL189" s="287">
        <f t="shared" si="53"/>
        <v>50.018549700000001</v>
      </c>
      <c r="AM189" s="442">
        <f t="shared" si="54"/>
        <v>0.76625250760411079</v>
      </c>
      <c r="AN189" s="291">
        <f t="shared" si="55"/>
        <v>213.83080789825695</v>
      </c>
      <c r="AO189" s="479"/>
      <c r="AP189" s="291">
        <f t="shared" si="56"/>
        <v>-445.5</v>
      </c>
      <c r="AQ189" s="444"/>
      <c r="AR189" s="444">
        <f t="shared" si="57"/>
        <v>492.39108855494453</v>
      </c>
      <c r="AS189" s="445">
        <f t="shared" si="65"/>
        <v>-213.83080789825695</v>
      </c>
      <c r="AT189" s="445"/>
      <c r="AU189" s="445">
        <f t="shared" si="64"/>
        <v>213.83080789825695</v>
      </c>
      <c r="AV189" s="447">
        <f t="shared" si="58"/>
        <v>-252.03259749634262</v>
      </c>
      <c r="AW189" s="447">
        <f t="shared" si="59"/>
        <v>-193.46740250365741</v>
      </c>
      <c r="AX189" s="448">
        <f t="shared" si="60"/>
        <v>-46.025792358737775</v>
      </c>
      <c r="AY189" s="448">
        <f t="shared" si="61"/>
        <v>-51.688294103245404</v>
      </c>
      <c r="AZ189" s="451">
        <f t="shared" si="62"/>
        <v>46.025792358737775</v>
      </c>
      <c r="BA189" s="451">
        <f t="shared" si="62"/>
        <v>51.688294103245404</v>
      </c>
      <c r="BE189" s="298">
        <v>7</v>
      </c>
      <c r="BF189" s="299">
        <f t="shared" si="69"/>
        <v>-215</v>
      </c>
      <c r="BG189" s="42">
        <f t="shared" si="70"/>
        <v>-215</v>
      </c>
      <c r="BH189" s="301">
        <f t="shared" si="66"/>
        <v>-448.2019610817888</v>
      </c>
      <c r="BI189" s="302">
        <f t="shared" si="67"/>
        <v>448.2019610817888</v>
      </c>
      <c r="BJ189" s="302">
        <f t="shared" si="71"/>
        <v>18.201961081788767</v>
      </c>
      <c r="BK189" s="302" t="b">
        <f t="shared" si="68"/>
        <v>0</v>
      </c>
      <c r="BL189" s="304">
        <v>7</v>
      </c>
      <c r="DE189" s="126"/>
      <c r="DF189" s="311"/>
      <c r="DG189" s="311"/>
      <c r="DH189" s="311"/>
      <c r="DI189" s="311"/>
      <c r="DJ189" s="311"/>
      <c r="DK189" s="311"/>
      <c r="DL189" s="311"/>
      <c r="DM189" s="311"/>
      <c r="DN189" s="311"/>
      <c r="DO189" s="311"/>
      <c r="DP189" s="311"/>
      <c r="DQ189" s="311"/>
      <c r="DR189" s="311"/>
      <c r="DS189" s="311"/>
      <c r="DT189" s="311"/>
      <c r="DU189" s="311"/>
      <c r="DV189" s="311"/>
      <c r="DW189" s="311"/>
      <c r="DX189" s="311"/>
      <c r="DY189" s="311"/>
      <c r="DZ189" s="311"/>
      <c r="EA189" s="311"/>
      <c r="EB189" s="311"/>
      <c r="EC189" s="311"/>
    </row>
    <row r="190" spans="1:133" ht="21" thickBot="1" x14ac:dyDescent="0.35">
      <c r="B190" s="277">
        <v>14</v>
      </c>
      <c r="C190" s="278"/>
      <c r="D190" s="25">
        <v>0</v>
      </c>
      <c r="E190" s="279" t="s">
        <v>130</v>
      </c>
      <c r="F190" s="258"/>
      <c r="G190" s="258">
        <f t="shared" si="45"/>
        <v>0</v>
      </c>
      <c r="H190" s="282">
        <v>279.06049999999999</v>
      </c>
      <c r="I190" s="283">
        <v>79.962900599999998</v>
      </c>
      <c r="J190" s="474">
        <f t="shared" si="46"/>
        <v>79.962900599999998</v>
      </c>
      <c r="K190" s="474">
        <f t="shared" si="47"/>
        <v>39.981450299999999</v>
      </c>
      <c r="L190" s="474">
        <f t="shared" si="37"/>
        <v>0.64253956655634092</v>
      </c>
      <c r="M190" s="474">
        <f t="shared" si="38"/>
        <v>179.30741271299578</v>
      </c>
      <c r="N190" s="474">
        <f t="shared" si="39"/>
        <v>358.61482542599157</v>
      </c>
      <c r="O190" s="474">
        <f>+C177+D178+D179+D180+D181+D182+D183+D184+D185+D186+D187+D188+D189+(D190/2)</f>
        <v>0</v>
      </c>
      <c r="P190" s="474">
        <f t="shared" si="40"/>
        <v>0</v>
      </c>
      <c r="Q190" s="474">
        <f t="shared" si="41"/>
        <v>0</v>
      </c>
      <c r="R190" s="474">
        <f t="shared" si="48"/>
        <v>213.83080000000001</v>
      </c>
      <c r="S190" s="474">
        <f t="shared" si="63"/>
        <v>213.83080000000001</v>
      </c>
      <c r="T190" s="476">
        <f t="shared" si="42"/>
        <v>213.83080000000001</v>
      </c>
      <c r="V190" s="437">
        <f t="shared" si="43"/>
        <v>0</v>
      </c>
      <c r="W190" s="437"/>
      <c r="X190" s="437"/>
      <c r="Y190" s="437"/>
      <c r="Z190" s="437"/>
      <c r="AA190" s="437"/>
      <c r="AB190" s="477" t="str">
        <f t="shared" si="49"/>
        <v>use the locking pin</v>
      </c>
      <c r="AC190" s="478"/>
      <c r="AD190" s="478"/>
      <c r="AE190" s="478"/>
      <c r="AF190" s="437">
        <f t="shared" si="50"/>
        <v>0</v>
      </c>
      <c r="AG190" s="450">
        <f>SUM(D178:D190)+$C$177</f>
        <v>0</v>
      </c>
      <c r="AH190" s="450"/>
      <c r="AI190" s="287">
        <f t="shared" si="51"/>
        <v>66.255548399999995</v>
      </c>
      <c r="AJ190" s="441">
        <f t="shared" si="44"/>
        <v>0.91535047595051022</v>
      </c>
      <c r="AK190" s="289">
        <f t="shared" si="52"/>
        <v>278.56028065668761</v>
      </c>
      <c r="AL190" s="287">
        <f t="shared" si="53"/>
        <v>50.018549700000001</v>
      </c>
      <c r="AM190" s="442">
        <f t="shared" si="54"/>
        <v>0.76625250760411079</v>
      </c>
      <c r="AN190" s="291">
        <f t="shared" si="55"/>
        <v>213.83080789825695</v>
      </c>
      <c r="AO190" s="479"/>
      <c r="AP190" s="291">
        <f t="shared" si="56"/>
        <v>-486</v>
      </c>
      <c r="AQ190" s="444"/>
      <c r="AR190" s="444">
        <f t="shared" si="57"/>
        <v>492.39108855494453</v>
      </c>
      <c r="AS190" s="445">
        <f t="shared" si="65"/>
        <v>-213.83080789825695</v>
      </c>
      <c r="AT190" s="445"/>
      <c r="AU190" s="445">
        <f t="shared" si="64"/>
        <v>213.83080789825695</v>
      </c>
      <c r="AV190" s="447">
        <f t="shared" si="58"/>
        <v>-274.94465181419196</v>
      </c>
      <c r="AW190" s="447">
        <f t="shared" si="59"/>
        <v>-211.0553481858081</v>
      </c>
      <c r="AX190" s="448">
        <f t="shared" si="60"/>
        <v>-42.190309662176297</v>
      </c>
      <c r="AY190" s="448">
        <f t="shared" si="61"/>
        <v>-47.380936261308278</v>
      </c>
      <c r="AZ190" s="451">
        <f t="shared" si="62"/>
        <v>42.190309662176297</v>
      </c>
      <c r="BA190" s="451">
        <f t="shared" si="62"/>
        <v>47.380936261308278</v>
      </c>
      <c r="BE190" s="298">
        <v>8</v>
      </c>
      <c r="BF190" s="299">
        <f t="shared" si="69"/>
        <v>-172</v>
      </c>
      <c r="BG190" s="42">
        <f t="shared" si="70"/>
        <v>-172</v>
      </c>
      <c r="BH190" s="301">
        <f t="shared" si="66"/>
        <v>-405.2019610817888</v>
      </c>
      <c r="BI190" s="302">
        <f t="shared" si="67"/>
        <v>405.2019610817888</v>
      </c>
      <c r="BJ190" s="302">
        <f t="shared" si="71"/>
        <v>18.201961081788767</v>
      </c>
      <c r="BK190" s="302" t="b">
        <f t="shared" si="68"/>
        <v>0</v>
      </c>
      <c r="BL190" s="304">
        <v>8</v>
      </c>
      <c r="DE190" s="126"/>
    </row>
    <row r="191" spans="1:133" ht="21" thickBot="1" x14ac:dyDescent="0.35">
      <c r="B191" s="277">
        <v>15</v>
      </c>
      <c r="C191" s="278"/>
      <c r="D191" s="25">
        <v>0</v>
      </c>
      <c r="E191" s="279" t="s">
        <v>130</v>
      </c>
      <c r="F191" s="258"/>
      <c r="G191" s="258">
        <f t="shared" si="45"/>
        <v>0</v>
      </c>
      <c r="H191" s="282">
        <v>279.06049999999999</v>
      </c>
      <c r="I191" s="283">
        <v>79.962900599999998</v>
      </c>
      <c r="J191" s="474">
        <f t="shared" si="46"/>
        <v>79.962900599999998</v>
      </c>
      <c r="K191" s="474">
        <f t="shared" si="47"/>
        <v>39.981450299999999</v>
      </c>
      <c r="L191" s="474">
        <f t="shared" si="37"/>
        <v>0.64253956655634092</v>
      </c>
      <c r="M191" s="474">
        <f t="shared" si="38"/>
        <v>179.30741271299578</v>
      </c>
      <c r="N191" s="474">
        <f t="shared" si="39"/>
        <v>358.61482542599157</v>
      </c>
      <c r="O191" s="474">
        <f>+C177+D178+D179+D180+D181+D182+D183+D184+D185+D186+D187+D188+D189+D190+(D191/2)</f>
        <v>0</v>
      </c>
      <c r="P191" s="474">
        <f t="shared" si="40"/>
        <v>0</v>
      </c>
      <c r="Q191" s="474">
        <f t="shared" si="41"/>
        <v>0</v>
      </c>
      <c r="R191" s="474">
        <f t="shared" si="48"/>
        <v>213.83080000000001</v>
      </c>
      <c r="S191" s="474">
        <f t="shared" si="63"/>
        <v>213.83080000000001</v>
      </c>
      <c r="T191" s="476">
        <f t="shared" si="42"/>
        <v>213.83080000000001</v>
      </c>
      <c r="V191" s="437">
        <f t="shared" si="43"/>
        <v>0</v>
      </c>
      <c r="W191" s="437"/>
      <c r="X191" s="437"/>
      <c r="Y191" s="437"/>
      <c r="Z191" s="437"/>
      <c r="AA191" s="437"/>
      <c r="AB191" s="477" t="str">
        <f t="shared" si="49"/>
        <v>use the locking pin</v>
      </c>
      <c r="AC191" s="478"/>
      <c r="AD191" s="478"/>
      <c r="AE191" s="478"/>
      <c r="AF191" s="437">
        <f t="shared" si="50"/>
        <v>0</v>
      </c>
      <c r="AG191" s="450">
        <f>SUM(D178:D191)+$C$177</f>
        <v>0</v>
      </c>
      <c r="AH191" s="450"/>
      <c r="AI191" s="287">
        <f t="shared" si="51"/>
        <v>66.255548399999995</v>
      </c>
      <c r="AJ191" s="441">
        <f t="shared" si="44"/>
        <v>0.91535047595051022</v>
      </c>
      <c r="AK191" s="289">
        <f t="shared" si="52"/>
        <v>278.56028065668761</v>
      </c>
      <c r="AL191" s="287">
        <f t="shared" si="53"/>
        <v>50.018549700000001</v>
      </c>
      <c r="AM191" s="442">
        <f t="shared" si="54"/>
        <v>0.76625250760411079</v>
      </c>
      <c r="AN191" s="291">
        <f t="shared" si="55"/>
        <v>213.83080789825695</v>
      </c>
      <c r="AO191" s="479"/>
      <c r="AP191" s="291">
        <f t="shared" si="56"/>
        <v>-526.5</v>
      </c>
      <c r="AQ191" s="444"/>
      <c r="AR191" s="444">
        <f t="shared" si="57"/>
        <v>492.39108855494453</v>
      </c>
      <c r="AS191" s="445">
        <f t="shared" si="65"/>
        <v>-213.83080789825695</v>
      </c>
      <c r="AT191" s="445"/>
      <c r="AU191" s="445">
        <f t="shared" si="64"/>
        <v>213.83080789825695</v>
      </c>
      <c r="AV191" s="447">
        <f t="shared" si="58"/>
        <v>-297.85670613204127</v>
      </c>
      <c r="AW191" s="447">
        <f t="shared" si="59"/>
        <v>-228.64329386795876</v>
      </c>
      <c r="AX191" s="448">
        <f t="shared" si="60"/>
        <v>-38.944901226624275</v>
      </c>
      <c r="AY191" s="448">
        <f t="shared" si="61"/>
        <v>-43.736248856592262</v>
      </c>
      <c r="AZ191" s="451">
        <f t="shared" si="62"/>
        <v>38.944901226624275</v>
      </c>
      <c r="BA191" s="451">
        <f t="shared" si="62"/>
        <v>43.736248856592262</v>
      </c>
      <c r="BE191" s="298">
        <v>9</v>
      </c>
      <c r="BF191" s="299">
        <f t="shared" si="69"/>
        <v>-129</v>
      </c>
      <c r="BG191" s="42">
        <f t="shared" si="70"/>
        <v>-129</v>
      </c>
      <c r="BH191" s="301">
        <f t="shared" si="66"/>
        <v>-362.2019610817888</v>
      </c>
      <c r="BI191" s="302">
        <f t="shared" si="67"/>
        <v>362.2019610817888</v>
      </c>
      <c r="BJ191" s="302">
        <f t="shared" si="71"/>
        <v>18.201961081788767</v>
      </c>
      <c r="BK191" s="302" t="b">
        <f t="shared" si="68"/>
        <v>0</v>
      </c>
      <c r="BL191" s="304">
        <v>9</v>
      </c>
      <c r="DE191" s="235"/>
      <c r="DF191" s="312"/>
      <c r="DG191" s="312"/>
      <c r="DH191" s="312"/>
      <c r="DI191" s="312"/>
      <c r="DJ191" s="312"/>
      <c r="DK191" s="312"/>
      <c r="DL191" s="312"/>
      <c r="DM191" s="312"/>
      <c r="DN191" s="312"/>
      <c r="DO191" s="312"/>
      <c r="DP191" s="312"/>
      <c r="DQ191" s="312"/>
      <c r="DR191" s="312"/>
      <c r="DS191" s="312"/>
      <c r="DT191" s="312"/>
      <c r="DU191" s="312"/>
      <c r="DV191" s="312"/>
      <c r="DW191" s="312"/>
      <c r="DX191" s="312"/>
      <c r="DY191" s="312"/>
      <c r="DZ191" s="312"/>
      <c r="EA191" s="312"/>
      <c r="EB191" s="312"/>
      <c r="EC191" s="312"/>
    </row>
    <row r="192" spans="1:133" ht="21" thickBot="1" x14ac:dyDescent="0.35">
      <c r="B192" s="277">
        <v>16</v>
      </c>
      <c r="C192" s="278"/>
      <c r="D192" s="25">
        <v>0</v>
      </c>
      <c r="E192" s="279" t="s">
        <v>130</v>
      </c>
      <c r="F192" s="258"/>
      <c r="G192" s="258">
        <f t="shared" si="45"/>
        <v>0</v>
      </c>
      <c r="H192" s="282">
        <v>279.06049999999999</v>
      </c>
      <c r="I192" s="283">
        <v>79.962900599999998</v>
      </c>
      <c r="J192" s="474">
        <f t="shared" si="46"/>
        <v>79.962900599999998</v>
      </c>
      <c r="K192" s="474">
        <f t="shared" si="47"/>
        <v>39.981450299999999</v>
      </c>
      <c r="L192" s="474">
        <f t="shared" si="37"/>
        <v>0.64253956655634092</v>
      </c>
      <c r="M192" s="474">
        <f t="shared" si="38"/>
        <v>179.30741271299578</v>
      </c>
      <c r="N192" s="474">
        <f t="shared" si="39"/>
        <v>358.61482542599157</v>
      </c>
      <c r="O192" s="474">
        <f>+C177+D178+D179+D180+D181+D182+D183+D184+D185+D186+D187+D188+D189+D190+D191+(D192/2)</f>
        <v>0</v>
      </c>
      <c r="P192" s="474">
        <f t="shared" si="40"/>
        <v>0</v>
      </c>
      <c r="Q192" s="474">
        <f t="shared" si="41"/>
        <v>0</v>
      </c>
      <c r="R192" s="474">
        <f t="shared" si="48"/>
        <v>213.83080000000001</v>
      </c>
      <c r="S192" s="474">
        <f t="shared" si="63"/>
        <v>213.83080000000001</v>
      </c>
      <c r="T192" s="476">
        <f t="shared" si="42"/>
        <v>213.83080000000001</v>
      </c>
      <c r="V192" s="437">
        <f t="shared" si="43"/>
        <v>0</v>
      </c>
      <c r="W192" s="437"/>
      <c r="X192" s="437"/>
      <c r="Y192" s="437"/>
      <c r="Z192" s="437"/>
      <c r="AA192" s="437"/>
      <c r="AB192" s="477" t="str">
        <f t="shared" si="49"/>
        <v>use the locking pin</v>
      </c>
      <c r="AC192" s="478"/>
      <c r="AD192" s="478"/>
      <c r="AE192" s="478"/>
      <c r="AF192" s="437">
        <f t="shared" si="50"/>
        <v>0</v>
      </c>
      <c r="AG192" s="450">
        <f>SUM(D178:D192)+$C$177</f>
        <v>0</v>
      </c>
      <c r="AH192" s="450"/>
      <c r="AI192" s="287">
        <f t="shared" si="51"/>
        <v>66.255548399999995</v>
      </c>
      <c r="AJ192" s="441">
        <f t="shared" si="44"/>
        <v>0.91535047595051022</v>
      </c>
      <c r="AK192" s="289">
        <f t="shared" si="52"/>
        <v>278.56028065668761</v>
      </c>
      <c r="AL192" s="287">
        <f t="shared" si="53"/>
        <v>50.018549700000001</v>
      </c>
      <c r="AM192" s="442">
        <f t="shared" si="54"/>
        <v>0.76625250760411079</v>
      </c>
      <c r="AN192" s="291">
        <f t="shared" si="55"/>
        <v>213.83080789825695</v>
      </c>
      <c r="AO192" s="479"/>
      <c r="AP192" s="291">
        <f t="shared" si="56"/>
        <v>-567</v>
      </c>
      <c r="AQ192" s="444"/>
      <c r="AR192" s="444">
        <f t="shared" si="57"/>
        <v>492.39108855494453</v>
      </c>
      <c r="AS192" s="445">
        <f t="shared" si="65"/>
        <v>-213.83080789825695</v>
      </c>
      <c r="AT192" s="445"/>
      <c r="AU192" s="445">
        <f t="shared" si="64"/>
        <v>213.83080789825695</v>
      </c>
      <c r="AV192" s="447">
        <f t="shared" si="58"/>
        <v>-320.76876044989064</v>
      </c>
      <c r="AW192" s="447">
        <f t="shared" si="59"/>
        <v>-246.23123955010945</v>
      </c>
      <c r="AX192" s="448">
        <f t="shared" si="60"/>
        <v>-36.163122567579677</v>
      </c>
      <c r="AY192" s="448">
        <f t="shared" si="61"/>
        <v>-40.612231081121386</v>
      </c>
      <c r="AZ192" s="451">
        <f t="shared" si="62"/>
        <v>36.163122567579677</v>
      </c>
      <c r="BA192" s="451">
        <f t="shared" si="62"/>
        <v>40.612231081121386</v>
      </c>
      <c r="BE192" s="298">
        <v>10</v>
      </c>
      <c r="BF192" s="299">
        <f t="shared" si="69"/>
        <v>-86</v>
      </c>
      <c r="BG192" s="42">
        <f t="shared" si="70"/>
        <v>-86</v>
      </c>
      <c r="BH192" s="301">
        <f t="shared" si="66"/>
        <v>-319.2019610817888</v>
      </c>
      <c r="BI192" s="302">
        <f t="shared" si="67"/>
        <v>319.2019610817888</v>
      </c>
      <c r="BJ192" s="302">
        <f t="shared" si="71"/>
        <v>18.201961081788767</v>
      </c>
      <c r="BK192" s="302" t="b">
        <f t="shared" si="68"/>
        <v>0</v>
      </c>
      <c r="BL192" s="304">
        <v>10</v>
      </c>
      <c r="DE192" s="126"/>
      <c r="DF192" s="203"/>
      <c r="DG192" s="203"/>
      <c r="DH192" s="203"/>
      <c r="DI192" s="203"/>
      <c r="DJ192" s="203"/>
      <c r="DK192" s="203"/>
      <c r="DL192" s="203"/>
      <c r="DM192" s="203"/>
      <c r="DN192" s="203"/>
      <c r="DO192" s="203"/>
      <c r="DP192" s="203"/>
      <c r="DQ192" s="203"/>
      <c r="DR192" s="203"/>
      <c r="DS192" s="203"/>
      <c r="DT192" s="203"/>
      <c r="DU192" s="203"/>
      <c r="DV192" s="203"/>
      <c r="DW192" s="203"/>
      <c r="DX192" s="203"/>
      <c r="DY192" s="203"/>
      <c r="DZ192" s="203"/>
      <c r="EA192" s="203"/>
      <c r="EB192" s="203"/>
      <c r="EC192" s="203"/>
    </row>
    <row r="193" spans="2:133" ht="21" thickBot="1" x14ac:dyDescent="0.35">
      <c r="B193" s="277">
        <v>17</v>
      </c>
      <c r="C193" s="278"/>
      <c r="D193" s="25">
        <v>0</v>
      </c>
      <c r="E193" s="279" t="s">
        <v>130</v>
      </c>
      <c r="F193" s="258"/>
      <c r="G193" s="258">
        <f t="shared" si="45"/>
        <v>0</v>
      </c>
      <c r="H193" s="282">
        <v>279.06049999999999</v>
      </c>
      <c r="I193" s="283">
        <v>79.962900599999998</v>
      </c>
      <c r="J193" s="474">
        <f t="shared" si="46"/>
        <v>79.962900599999998</v>
      </c>
      <c r="K193" s="474">
        <f t="shared" si="47"/>
        <v>39.981450299999999</v>
      </c>
      <c r="L193" s="474">
        <f t="shared" si="37"/>
        <v>0.64253956655634092</v>
      </c>
      <c r="M193" s="474">
        <f t="shared" si="38"/>
        <v>179.30741271299578</v>
      </c>
      <c r="N193" s="474">
        <f t="shared" si="39"/>
        <v>358.61482542599157</v>
      </c>
      <c r="O193" s="474">
        <f>+C177+D178+D179+D180+D181+D182+D183+D184+D185+D186+D187+D188+D189+D190+D191+D192+(D193/2)</f>
        <v>0</v>
      </c>
      <c r="P193" s="474">
        <f t="shared" si="40"/>
        <v>0</v>
      </c>
      <c r="Q193" s="474">
        <f t="shared" si="41"/>
        <v>0</v>
      </c>
      <c r="R193" s="474">
        <f t="shared" si="48"/>
        <v>213.83080000000001</v>
      </c>
      <c r="S193" s="474">
        <f t="shared" si="63"/>
        <v>213.83080000000001</v>
      </c>
      <c r="T193" s="476">
        <f t="shared" si="42"/>
        <v>213.83080000000001</v>
      </c>
      <c r="V193" s="437">
        <f t="shared" si="43"/>
        <v>0</v>
      </c>
      <c r="W193" s="437"/>
      <c r="X193" s="437"/>
      <c r="Y193" s="437"/>
      <c r="Z193" s="437"/>
      <c r="AA193" s="437"/>
      <c r="AB193" s="477" t="str">
        <f t="shared" si="49"/>
        <v>use the locking pin</v>
      </c>
      <c r="AC193" s="478"/>
      <c r="AD193" s="478"/>
      <c r="AE193" s="478"/>
      <c r="AF193" s="437">
        <f t="shared" si="50"/>
        <v>0</v>
      </c>
      <c r="AG193" s="450">
        <f>SUM(D178:D193)+$C$177</f>
        <v>0</v>
      </c>
      <c r="AH193" s="450"/>
      <c r="AI193" s="287">
        <f t="shared" si="51"/>
        <v>66.255548399999995</v>
      </c>
      <c r="AJ193" s="441">
        <f t="shared" si="44"/>
        <v>0.91535047595051022</v>
      </c>
      <c r="AK193" s="289">
        <f t="shared" si="52"/>
        <v>278.56028065668761</v>
      </c>
      <c r="AL193" s="287">
        <f t="shared" si="53"/>
        <v>50.018549700000001</v>
      </c>
      <c r="AM193" s="442">
        <f t="shared" si="54"/>
        <v>0.76625250760411079</v>
      </c>
      <c r="AN193" s="291">
        <f t="shared" si="55"/>
        <v>213.83080789825695</v>
      </c>
      <c r="AO193" s="479"/>
      <c r="AP193" s="291">
        <f t="shared" si="56"/>
        <v>-607.5</v>
      </c>
      <c r="AQ193" s="444"/>
      <c r="AR193" s="444">
        <f t="shared" si="57"/>
        <v>492.39108855494453</v>
      </c>
      <c r="AS193" s="445">
        <f t="shared" si="65"/>
        <v>-213.83080789825695</v>
      </c>
      <c r="AT193" s="445"/>
      <c r="AU193" s="445">
        <f t="shared" si="64"/>
        <v>213.83080789825695</v>
      </c>
      <c r="AV193" s="447">
        <f t="shared" si="58"/>
        <v>-343.68081476773995</v>
      </c>
      <c r="AW193" s="447">
        <f t="shared" si="59"/>
        <v>-263.81918523226011</v>
      </c>
      <c r="AX193" s="448">
        <f t="shared" si="60"/>
        <v>-33.752247729741036</v>
      </c>
      <c r="AY193" s="448">
        <f t="shared" si="61"/>
        <v>-37.904749009046625</v>
      </c>
      <c r="AZ193" s="451">
        <f t="shared" si="62"/>
        <v>33.752247729741036</v>
      </c>
      <c r="BA193" s="451">
        <f t="shared" si="62"/>
        <v>37.904749009046625</v>
      </c>
      <c r="BE193" s="298">
        <v>11</v>
      </c>
      <c r="BF193" s="299">
        <f t="shared" si="69"/>
        <v>-43</v>
      </c>
      <c r="BG193" s="42">
        <f t="shared" si="70"/>
        <v>-43</v>
      </c>
      <c r="BH193" s="301">
        <f t="shared" si="66"/>
        <v>-276.2019610817888</v>
      </c>
      <c r="BI193" s="302">
        <f t="shared" si="67"/>
        <v>276.2019610817888</v>
      </c>
      <c r="BJ193" s="302">
        <f t="shared" si="71"/>
        <v>18.201961081788767</v>
      </c>
      <c r="BK193" s="302" t="b">
        <f t="shared" si="68"/>
        <v>0</v>
      </c>
      <c r="BL193" s="304">
        <v>11</v>
      </c>
    </row>
    <row r="194" spans="2:133" ht="21" thickBot="1" x14ac:dyDescent="0.35">
      <c r="B194" s="277">
        <v>18</v>
      </c>
      <c r="C194" s="278"/>
      <c r="D194" s="25">
        <v>0</v>
      </c>
      <c r="E194" s="279" t="s">
        <v>130</v>
      </c>
      <c r="F194" s="258"/>
      <c r="G194" s="258">
        <f t="shared" si="45"/>
        <v>0</v>
      </c>
      <c r="H194" s="282">
        <v>279.06049999999999</v>
      </c>
      <c r="I194" s="283">
        <v>79.962900599999998</v>
      </c>
      <c r="J194" s="474">
        <f t="shared" si="46"/>
        <v>79.962900599999998</v>
      </c>
      <c r="K194" s="474">
        <f t="shared" si="47"/>
        <v>39.981450299999999</v>
      </c>
      <c r="L194" s="474">
        <f t="shared" si="37"/>
        <v>0.64253956655634092</v>
      </c>
      <c r="M194" s="474">
        <f t="shared" si="38"/>
        <v>179.30741271299578</v>
      </c>
      <c r="N194" s="474">
        <f t="shared" si="39"/>
        <v>358.61482542599157</v>
      </c>
      <c r="O194" s="474">
        <f>+C177+D178+D179+D180+D181+D182+D183+D184+D185+D186+D187+D188+D189+D190+D191+D192+D193+(D194/2)</f>
        <v>0</v>
      </c>
      <c r="P194" s="474">
        <f t="shared" si="40"/>
        <v>0</v>
      </c>
      <c r="Q194" s="474">
        <f t="shared" si="41"/>
        <v>0</v>
      </c>
      <c r="R194" s="474">
        <f t="shared" si="48"/>
        <v>213.83080000000001</v>
      </c>
      <c r="S194" s="474">
        <f t="shared" si="63"/>
        <v>213.83080000000001</v>
      </c>
      <c r="T194" s="476">
        <f t="shared" si="42"/>
        <v>213.83080000000001</v>
      </c>
      <c r="V194" s="437">
        <f t="shared" si="43"/>
        <v>0</v>
      </c>
      <c r="W194" s="437"/>
      <c r="X194" s="437"/>
      <c r="Y194" s="437"/>
      <c r="Z194" s="437"/>
      <c r="AA194" s="437"/>
      <c r="AB194" s="477" t="str">
        <f t="shared" si="49"/>
        <v>use the locking pin</v>
      </c>
      <c r="AC194" s="478"/>
      <c r="AD194" s="478"/>
      <c r="AE194" s="478"/>
      <c r="AF194" s="437">
        <f t="shared" si="50"/>
        <v>0</v>
      </c>
      <c r="AG194" s="450">
        <f>SUM(D178:D194)+$C$177</f>
        <v>0</v>
      </c>
      <c r="AH194" s="450"/>
      <c r="AI194" s="287">
        <f t="shared" si="51"/>
        <v>66.255548399999995</v>
      </c>
      <c r="AJ194" s="441">
        <f t="shared" si="44"/>
        <v>0.91535047595051022</v>
      </c>
      <c r="AK194" s="289">
        <f t="shared" si="52"/>
        <v>278.56028065668761</v>
      </c>
      <c r="AL194" s="287">
        <f t="shared" si="53"/>
        <v>50.018549700000001</v>
      </c>
      <c r="AM194" s="442">
        <f t="shared" si="54"/>
        <v>0.76625250760411079</v>
      </c>
      <c r="AN194" s="291">
        <f t="shared" si="55"/>
        <v>213.83080789825695</v>
      </c>
      <c r="AO194" s="479"/>
      <c r="AP194" s="291">
        <f t="shared" si="56"/>
        <v>-648</v>
      </c>
      <c r="AQ194" s="444"/>
      <c r="AR194" s="444">
        <f t="shared" si="57"/>
        <v>492.39108855494453</v>
      </c>
      <c r="AS194" s="445">
        <f t="shared" si="65"/>
        <v>-213.83080789825695</v>
      </c>
      <c r="AT194" s="445"/>
      <c r="AU194" s="445">
        <f t="shared" si="64"/>
        <v>213.83080789825695</v>
      </c>
      <c r="AV194" s="447">
        <f t="shared" si="58"/>
        <v>-366.59286908558926</v>
      </c>
      <c r="AW194" s="447">
        <f t="shared" si="59"/>
        <v>-281.4071309144108</v>
      </c>
      <c r="AX194" s="448">
        <f t="shared" si="60"/>
        <v>-31.642732246632221</v>
      </c>
      <c r="AY194" s="448">
        <f t="shared" si="61"/>
        <v>-35.535702195981209</v>
      </c>
      <c r="AZ194" s="451">
        <f t="shared" si="62"/>
        <v>31.642732246632221</v>
      </c>
      <c r="BA194" s="451">
        <f t="shared" si="62"/>
        <v>35.535702195981209</v>
      </c>
      <c r="BE194" s="298">
        <v>12</v>
      </c>
      <c r="BF194" s="299">
        <f t="shared" si="69"/>
        <v>0</v>
      </c>
      <c r="BG194" s="42">
        <f t="shared" si="70"/>
        <v>0</v>
      </c>
      <c r="BH194" s="301">
        <f t="shared" si="66"/>
        <v>-233.20196108178877</v>
      </c>
      <c r="BI194" s="302">
        <f t="shared" si="67"/>
        <v>233.20196108178877</v>
      </c>
      <c r="BJ194" s="302">
        <f t="shared" si="71"/>
        <v>18.201961081788767</v>
      </c>
      <c r="BK194" s="302" t="b">
        <f t="shared" si="68"/>
        <v>0</v>
      </c>
      <c r="BL194" s="304">
        <v>12</v>
      </c>
      <c r="DF194" s="236"/>
      <c r="DG194" s="236"/>
      <c r="DH194" s="236"/>
      <c r="DI194" s="236"/>
      <c r="DJ194" s="236"/>
      <c r="DK194" s="236"/>
      <c r="DL194" s="126"/>
      <c r="DM194" s="126"/>
      <c r="DN194" s="126"/>
      <c r="DO194" s="126"/>
      <c r="DP194" s="126"/>
      <c r="DQ194" s="236"/>
      <c r="DR194" s="236"/>
      <c r="DS194" s="236"/>
      <c r="DT194" s="126"/>
      <c r="DU194" s="126"/>
      <c r="DV194" s="126"/>
      <c r="DW194" s="126"/>
      <c r="DX194" s="126"/>
      <c r="DY194" s="126"/>
      <c r="DZ194" s="126"/>
      <c r="EA194" s="126"/>
      <c r="EB194" s="126"/>
      <c r="EC194" s="126"/>
    </row>
    <row r="195" spans="2:133" ht="21" thickBot="1" x14ac:dyDescent="0.35">
      <c r="B195" s="277">
        <v>19</v>
      </c>
      <c r="C195" s="278"/>
      <c r="D195" s="25">
        <v>0</v>
      </c>
      <c r="E195" s="279" t="s">
        <v>130</v>
      </c>
      <c r="F195" s="258"/>
      <c r="G195" s="258">
        <f t="shared" si="45"/>
        <v>0</v>
      </c>
      <c r="H195" s="282">
        <v>279.06049999999999</v>
      </c>
      <c r="I195" s="283">
        <v>79.962900599999998</v>
      </c>
      <c r="J195" s="474">
        <f t="shared" si="46"/>
        <v>79.962900599999998</v>
      </c>
      <c r="K195" s="474">
        <f t="shared" si="47"/>
        <v>39.981450299999999</v>
      </c>
      <c r="L195" s="474">
        <f t="shared" si="37"/>
        <v>0.64253956655634092</v>
      </c>
      <c r="M195" s="474">
        <f t="shared" si="38"/>
        <v>179.30741271299578</v>
      </c>
      <c r="N195" s="474">
        <f t="shared" si="39"/>
        <v>358.61482542599157</v>
      </c>
      <c r="O195" s="474">
        <f>+C177+D178+D179+D180+D181+D182+D183+D184+D185+D186+D187+D188+D189+D190+D191+D192+D193+D194+(D195/2)</f>
        <v>0</v>
      </c>
      <c r="P195" s="474">
        <f t="shared" si="40"/>
        <v>0</v>
      </c>
      <c r="Q195" s="474">
        <f t="shared" si="41"/>
        <v>0</v>
      </c>
      <c r="R195" s="474">
        <f t="shared" si="48"/>
        <v>213.83080000000001</v>
      </c>
      <c r="S195" s="474">
        <f t="shared" si="63"/>
        <v>213.83080000000001</v>
      </c>
      <c r="T195" s="476">
        <f t="shared" si="42"/>
        <v>213.83080000000001</v>
      </c>
      <c r="V195" s="437">
        <f t="shared" si="43"/>
        <v>0</v>
      </c>
      <c r="W195" s="437"/>
      <c r="X195" s="437"/>
      <c r="Y195" s="437"/>
      <c r="Z195" s="437"/>
      <c r="AA195" s="437"/>
      <c r="AB195" s="477" t="str">
        <f t="shared" si="49"/>
        <v>use the locking pin</v>
      </c>
      <c r="AC195" s="478"/>
      <c r="AD195" s="478"/>
      <c r="AE195" s="478"/>
      <c r="AF195" s="437">
        <f t="shared" si="50"/>
        <v>0</v>
      </c>
      <c r="AG195" s="450">
        <f>SUM(D177:D195)+$C$177</f>
        <v>0</v>
      </c>
      <c r="AH195" s="450"/>
      <c r="AI195" s="287">
        <f t="shared" si="51"/>
        <v>66.255548399999995</v>
      </c>
      <c r="AJ195" s="441">
        <f t="shared" si="44"/>
        <v>0.91535047595051022</v>
      </c>
      <c r="AK195" s="289">
        <f t="shared" si="52"/>
        <v>278.56028065668761</v>
      </c>
      <c r="AL195" s="287">
        <f t="shared" si="53"/>
        <v>50.018549700000001</v>
      </c>
      <c r="AM195" s="442">
        <f t="shared" si="54"/>
        <v>0.76625250760411079</v>
      </c>
      <c r="AN195" s="291">
        <f t="shared" si="55"/>
        <v>213.83080789825695</v>
      </c>
      <c r="AO195" s="479"/>
      <c r="AP195" s="291">
        <f t="shared" si="56"/>
        <v>-688.5</v>
      </c>
      <c r="AQ195" s="444"/>
      <c r="AR195" s="444">
        <f t="shared" si="57"/>
        <v>492.39108855494453</v>
      </c>
      <c r="AS195" s="445">
        <f t="shared" si="65"/>
        <v>-213.83080789825695</v>
      </c>
      <c r="AT195" s="445"/>
      <c r="AU195" s="445">
        <f t="shared" si="64"/>
        <v>213.83080789825695</v>
      </c>
      <c r="AV195" s="447">
        <f t="shared" si="58"/>
        <v>-389.50492340343862</v>
      </c>
      <c r="AW195" s="447">
        <f t="shared" si="59"/>
        <v>-298.99507659656149</v>
      </c>
      <c r="AX195" s="448">
        <f t="shared" si="60"/>
        <v>-29.781395055653853</v>
      </c>
      <c r="AY195" s="448">
        <f t="shared" si="61"/>
        <v>-33.445366772688196</v>
      </c>
      <c r="AZ195" s="451">
        <f t="shared" si="62"/>
        <v>29.781395055653853</v>
      </c>
      <c r="BA195" s="451">
        <f t="shared" si="62"/>
        <v>33.445366772688196</v>
      </c>
      <c r="BE195" s="298">
        <v>13</v>
      </c>
      <c r="BF195" s="299">
        <f t="shared" si="69"/>
        <v>43</v>
      </c>
      <c r="BG195" s="42">
        <f t="shared" si="70"/>
        <v>43</v>
      </c>
      <c r="BH195" s="301">
        <f t="shared" si="66"/>
        <v>-190.20196108178877</v>
      </c>
      <c r="BI195" s="302">
        <f t="shared" si="67"/>
        <v>190.20196108178877</v>
      </c>
      <c r="BJ195" s="302">
        <f t="shared" si="71"/>
        <v>18.201961081788767</v>
      </c>
      <c r="BK195" s="302" t="b">
        <f t="shared" si="68"/>
        <v>0</v>
      </c>
      <c r="BL195" s="304">
        <v>13</v>
      </c>
      <c r="DF195" s="236"/>
      <c r="DG195" s="236"/>
      <c r="DH195" s="236"/>
      <c r="DI195" s="236"/>
      <c r="DJ195" s="236"/>
      <c r="DK195" s="236"/>
      <c r="DP195" s="236"/>
      <c r="DQ195" s="236"/>
      <c r="DR195" s="236"/>
      <c r="DS195" s="236"/>
      <c r="DX195" s="236"/>
      <c r="DY195" s="236"/>
      <c r="DZ195" s="236"/>
      <c r="EA195" s="236"/>
      <c r="EB195" s="236"/>
      <c r="EC195" s="236"/>
    </row>
    <row r="196" spans="2:133" ht="21" thickBot="1" x14ac:dyDescent="0.35">
      <c r="B196" s="277">
        <v>20</v>
      </c>
      <c r="C196" s="278"/>
      <c r="D196" s="25">
        <v>0</v>
      </c>
      <c r="E196" s="279" t="s">
        <v>130</v>
      </c>
      <c r="F196" s="258"/>
      <c r="G196" s="258">
        <f t="shared" si="45"/>
        <v>0</v>
      </c>
      <c r="H196" s="282">
        <v>279.06049999999999</v>
      </c>
      <c r="I196" s="283">
        <v>79.962900599999998</v>
      </c>
      <c r="J196" s="474">
        <f t="shared" si="46"/>
        <v>79.962900599999998</v>
      </c>
      <c r="K196" s="474">
        <f t="shared" si="47"/>
        <v>39.981450299999999</v>
      </c>
      <c r="L196" s="474">
        <f t="shared" si="37"/>
        <v>0.64253956655634092</v>
      </c>
      <c r="M196" s="474">
        <f t="shared" si="38"/>
        <v>179.30741271299578</v>
      </c>
      <c r="N196" s="474">
        <f t="shared" si="39"/>
        <v>358.61482542599157</v>
      </c>
      <c r="O196" s="474">
        <f>+C177+D178+D179+D180+D181+D182+D183+D184+D185+D186+D187+D188+D189+D190+D191+D192+D193+D194+D195+(D196/2)</f>
        <v>0</v>
      </c>
      <c r="P196" s="474">
        <f t="shared" si="40"/>
        <v>0</v>
      </c>
      <c r="Q196" s="474">
        <f t="shared" si="41"/>
        <v>0</v>
      </c>
      <c r="R196" s="474">
        <f t="shared" si="48"/>
        <v>213.83080000000001</v>
      </c>
      <c r="S196" s="474">
        <f t="shared" si="63"/>
        <v>213.83080000000001</v>
      </c>
      <c r="T196" s="476">
        <f t="shared" si="42"/>
        <v>213.83080000000001</v>
      </c>
      <c r="V196" s="437">
        <f t="shared" si="43"/>
        <v>0</v>
      </c>
      <c r="W196" s="437"/>
      <c r="X196" s="437"/>
      <c r="Y196" s="437"/>
      <c r="Z196" s="437"/>
      <c r="AA196" s="437"/>
      <c r="AB196" s="477" t="str">
        <f t="shared" si="49"/>
        <v>use the locking pin</v>
      </c>
      <c r="AC196" s="478"/>
      <c r="AD196" s="478"/>
      <c r="AE196" s="478"/>
      <c r="AF196" s="437">
        <f t="shared" si="50"/>
        <v>0</v>
      </c>
      <c r="AG196" s="450">
        <f>SUM(D178:D196)+$C$177</f>
        <v>0</v>
      </c>
      <c r="AH196" s="450"/>
      <c r="AI196" s="287">
        <f t="shared" si="51"/>
        <v>66.255548399999995</v>
      </c>
      <c r="AJ196" s="441">
        <f t="shared" si="44"/>
        <v>0.91535047595051022</v>
      </c>
      <c r="AK196" s="289">
        <f t="shared" si="52"/>
        <v>278.56028065668761</v>
      </c>
      <c r="AL196" s="287">
        <f t="shared" si="53"/>
        <v>50.018549700000001</v>
      </c>
      <c r="AM196" s="442">
        <f t="shared" si="54"/>
        <v>0.76625250760411079</v>
      </c>
      <c r="AN196" s="291">
        <f t="shared" si="55"/>
        <v>213.83080789825695</v>
      </c>
      <c r="AO196" s="479"/>
      <c r="AP196" s="291">
        <f t="shared" si="56"/>
        <v>-729</v>
      </c>
      <c r="AQ196" s="444"/>
      <c r="AR196" s="444">
        <f t="shared" si="57"/>
        <v>492.39108855494453</v>
      </c>
      <c r="AS196" s="445">
        <f t="shared" si="65"/>
        <v>-213.83080789825695</v>
      </c>
      <c r="AT196" s="445"/>
      <c r="AU196" s="445">
        <f t="shared" si="64"/>
        <v>213.83080789825695</v>
      </c>
      <c r="AV196" s="447">
        <f t="shared" si="58"/>
        <v>-412.41697772128794</v>
      </c>
      <c r="AW196" s="447">
        <f t="shared" si="59"/>
        <v>-316.58302227871212</v>
      </c>
      <c r="AX196" s="448">
        <f t="shared" si="60"/>
        <v>-28.126873108117529</v>
      </c>
      <c r="AY196" s="448">
        <f t="shared" si="61"/>
        <v>-31.587290840872189</v>
      </c>
      <c r="AZ196" s="451">
        <f t="shared" si="62"/>
        <v>28.126873108117529</v>
      </c>
      <c r="BA196" s="451">
        <f t="shared" si="62"/>
        <v>31.587290840872189</v>
      </c>
      <c r="BE196" s="298">
        <v>14</v>
      </c>
      <c r="BF196" s="299">
        <f t="shared" si="69"/>
        <v>86</v>
      </c>
      <c r="BG196" s="42">
        <f t="shared" si="70"/>
        <v>86</v>
      </c>
      <c r="BH196" s="301">
        <f t="shared" si="66"/>
        <v>-147.20196108178877</v>
      </c>
      <c r="BI196" s="302">
        <f t="shared" si="67"/>
        <v>147.20196108178877</v>
      </c>
      <c r="BJ196" s="302">
        <f t="shared" si="71"/>
        <v>18.201961081788767</v>
      </c>
      <c r="BK196" s="302" t="b">
        <f t="shared" si="68"/>
        <v>0</v>
      </c>
      <c r="BL196" s="304">
        <v>14</v>
      </c>
    </row>
    <row r="197" spans="2:133" ht="20" x14ac:dyDescent="0.3">
      <c r="BE197" s="298">
        <v>15</v>
      </c>
      <c r="BF197" s="299">
        <f t="shared" si="69"/>
        <v>129</v>
      </c>
      <c r="BG197" s="42">
        <f t="shared" si="70"/>
        <v>129</v>
      </c>
      <c r="BH197" s="301">
        <f t="shared" si="66"/>
        <v>-104.20196108178877</v>
      </c>
      <c r="BI197" s="302">
        <f t="shared" si="67"/>
        <v>104.20196108178877</v>
      </c>
      <c r="BJ197" s="302">
        <f t="shared" si="71"/>
        <v>18.201961081788767</v>
      </c>
      <c r="BK197" s="302" t="b">
        <f t="shared" si="68"/>
        <v>0</v>
      </c>
      <c r="BL197" s="304">
        <v>15</v>
      </c>
    </row>
    <row r="198" spans="2:133" ht="20" x14ac:dyDescent="0.3">
      <c r="BE198" s="298">
        <v>16</v>
      </c>
      <c r="BF198" s="299">
        <f t="shared" si="69"/>
        <v>172</v>
      </c>
      <c r="BG198" s="42">
        <f t="shared" si="70"/>
        <v>172</v>
      </c>
      <c r="BH198" s="301">
        <f t="shared" si="66"/>
        <v>-61.201961081788767</v>
      </c>
      <c r="BI198" s="302">
        <f t="shared" si="67"/>
        <v>61.201961081788767</v>
      </c>
      <c r="BJ198" s="302">
        <f t="shared" si="71"/>
        <v>18.201961081788767</v>
      </c>
      <c r="BK198" s="302" t="b">
        <f t="shared" si="68"/>
        <v>0</v>
      </c>
      <c r="BL198" s="304">
        <v>16</v>
      </c>
    </row>
    <row r="199" spans="2:133" ht="20" x14ac:dyDescent="0.3">
      <c r="BE199" s="298">
        <v>17</v>
      </c>
      <c r="BF199" s="299">
        <f t="shared" si="69"/>
        <v>215</v>
      </c>
      <c r="BG199" s="42">
        <f t="shared" si="70"/>
        <v>215</v>
      </c>
      <c r="BH199" s="301">
        <f t="shared" si="66"/>
        <v>-18.201961081788767</v>
      </c>
      <c r="BI199" s="302">
        <f t="shared" si="67"/>
        <v>18.201961081788767</v>
      </c>
      <c r="BJ199" s="302">
        <f t="shared" si="71"/>
        <v>18.201961081788767</v>
      </c>
      <c r="BK199" s="302">
        <f t="shared" si="68"/>
        <v>17</v>
      </c>
      <c r="BL199" s="304">
        <v>17</v>
      </c>
    </row>
    <row r="200" spans="2:133" ht="20" x14ac:dyDescent="0.3">
      <c r="BE200" s="298">
        <v>18</v>
      </c>
      <c r="BF200" s="299">
        <f t="shared" si="69"/>
        <v>258</v>
      </c>
      <c r="BG200" s="42">
        <f t="shared" si="70"/>
        <v>258</v>
      </c>
      <c r="BH200" s="301">
        <f t="shared" si="66"/>
        <v>24.798038918211233</v>
      </c>
      <c r="BI200" s="302">
        <f t="shared" si="67"/>
        <v>24.798038918211233</v>
      </c>
      <c r="BJ200" s="302">
        <f t="shared" si="71"/>
        <v>18.201961081788767</v>
      </c>
      <c r="BK200" s="302" t="b">
        <f t="shared" si="68"/>
        <v>0</v>
      </c>
      <c r="BL200" s="304">
        <v>18</v>
      </c>
    </row>
    <row r="201" spans="2:133" ht="20" x14ac:dyDescent="0.3">
      <c r="BE201" s="298">
        <v>19</v>
      </c>
      <c r="BF201" s="299">
        <f t="shared" si="69"/>
        <v>301</v>
      </c>
      <c r="BG201" s="42">
        <f t="shared" si="70"/>
        <v>301</v>
      </c>
      <c r="BH201" s="301">
        <f t="shared" si="66"/>
        <v>67.798038918211233</v>
      </c>
      <c r="BI201" s="302">
        <f t="shared" si="67"/>
        <v>67.798038918211233</v>
      </c>
      <c r="BJ201" s="302">
        <f t="shared" si="71"/>
        <v>18.201961081788767</v>
      </c>
      <c r="BK201" s="302" t="b">
        <f t="shared" si="68"/>
        <v>0</v>
      </c>
      <c r="BL201" s="304">
        <v>19</v>
      </c>
    </row>
    <row r="202" spans="2:133" ht="20" x14ac:dyDescent="0.3">
      <c r="BE202" s="298">
        <v>20</v>
      </c>
      <c r="BF202" s="299">
        <f t="shared" si="69"/>
        <v>344</v>
      </c>
      <c r="BG202" s="42">
        <f t="shared" si="70"/>
        <v>344</v>
      </c>
      <c r="BH202" s="301">
        <f t="shared" si="66"/>
        <v>110.79803891821123</v>
      </c>
      <c r="BI202" s="302">
        <f t="shared" si="67"/>
        <v>110.79803891821123</v>
      </c>
      <c r="BJ202" s="302">
        <f t="shared" si="71"/>
        <v>18.201961081788767</v>
      </c>
      <c r="BK202" s="302" t="b">
        <f t="shared" si="68"/>
        <v>0</v>
      </c>
      <c r="BL202" s="304">
        <v>20</v>
      </c>
    </row>
    <row r="203" spans="2:133" ht="20" x14ac:dyDescent="0.3">
      <c r="BE203" s="298">
        <v>21</v>
      </c>
      <c r="BF203" s="299">
        <f t="shared" si="69"/>
        <v>387</v>
      </c>
      <c r="BG203" s="42">
        <f t="shared" si="70"/>
        <v>387</v>
      </c>
      <c r="BH203" s="301">
        <f t="shared" si="66"/>
        <v>153.79803891821123</v>
      </c>
      <c r="BI203" s="302">
        <f t="shared" si="67"/>
        <v>153.79803891821123</v>
      </c>
      <c r="BJ203" s="302">
        <f t="shared" si="71"/>
        <v>18.201961081788767</v>
      </c>
      <c r="BK203" s="302" t="b">
        <f t="shared" si="68"/>
        <v>0</v>
      </c>
      <c r="BL203" s="304">
        <v>21</v>
      </c>
    </row>
    <row r="204" spans="2:133" ht="20" x14ac:dyDescent="0.3">
      <c r="BE204" s="298">
        <v>22</v>
      </c>
      <c r="BF204" s="299">
        <f t="shared" si="69"/>
        <v>430</v>
      </c>
      <c r="BG204" s="42">
        <f t="shared" si="70"/>
        <v>430</v>
      </c>
      <c r="BH204" s="301">
        <f t="shared" si="66"/>
        <v>196.79803891821123</v>
      </c>
      <c r="BI204" s="302">
        <f t="shared" si="67"/>
        <v>196.79803891821123</v>
      </c>
      <c r="BJ204" s="302">
        <f t="shared" si="71"/>
        <v>18.201961081788767</v>
      </c>
      <c r="BK204" s="302" t="b">
        <f t="shared" si="68"/>
        <v>0</v>
      </c>
      <c r="BL204" s="304">
        <v>22</v>
      </c>
    </row>
    <row r="205" spans="2:133" ht="20" x14ac:dyDescent="0.3">
      <c r="BE205" s="298">
        <v>23</v>
      </c>
      <c r="BF205" s="299">
        <f t="shared" si="69"/>
        <v>473</v>
      </c>
      <c r="BG205" s="42">
        <f t="shared" si="70"/>
        <v>473</v>
      </c>
      <c r="BH205" s="301">
        <f t="shared" si="66"/>
        <v>239.79803891821123</v>
      </c>
      <c r="BI205" s="302">
        <f t="shared" si="67"/>
        <v>239.79803891821123</v>
      </c>
      <c r="BJ205" s="302">
        <f t="shared" si="71"/>
        <v>18.201961081788767</v>
      </c>
      <c r="BK205" s="302" t="b">
        <f t="shared" si="68"/>
        <v>0</v>
      </c>
      <c r="BL205" s="304">
        <v>23</v>
      </c>
    </row>
    <row r="206" spans="2:133" ht="20" x14ac:dyDescent="0.3">
      <c r="BE206" s="298">
        <v>24</v>
      </c>
      <c r="BF206" s="299">
        <f t="shared" si="69"/>
        <v>516</v>
      </c>
      <c r="BG206" s="42">
        <f t="shared" si="70"/>
        <v>516</v>
      </c>
      <c r="BH206" s="301">
        <f t="shared" si="66"/>
        <v>282.7980389182112</v>
      </c>
      <c r="BI206" s="302">
        <f t="shared" si="67"/>
        <v>282.7980389182112</v>
      </c>
      <c r="BJ206" s="302">
        <f t="shared" si="71"/>
        <v>18.201961081788767</v>
      </c>
      <c r="BK206" s="302" t="b">
        <f t="shared" si="68"/>
        <v>0</v>
      </c>
      <c r="BL206" s="304">
        <v>24</v>
      </c>
    </row>
    <row r="207" spans="2:133" ht="20" x14ac:dyDescent="0.3">
      <c r="BE207" s="298">
        <v>25</v>
      </c>
      <c r="BF207" s="299">
        <f t="shared" si="69"/>
        <v>559</v>
      </c>
      <c r="BG207" s="42">
        <f t="shared" si="70"/>
        <v>559</v>
      </c>
      <c r="BH207" s="301">
        <f t="shared" si="66"/>
        <v>325.7980389182112</v>
      </c>
      <c r="BI207" s="302">
        <f t="shared" si="67"/>
        <v>325.7980389182112</v>
      </c>
      <c r="BJ207" s="302">
        <f t="shared" si="71"/>
        <v>18.201961081788767</v>
      </c>
      <c r="BK207" s="302" t="b">
        <f t="shared" si="68"/>
        <v>0</v>
      </c>
      <c r="BL207" s="304">
        <v>25</v>
      </c>
    </row>
    <row r="208" spans="2:133" ht="20" x14ac:dyDescent="0.3">
      <c r="BE208" s="298">
        <v>26</v>
      </c>
      <c r="BF208" s="299">
        <f t="shared" si="69"/>
        <v>602</v>
      </c>
      <c r="BG208" s="42">
        <f t="shared" si="70"/>
        <v>602</v>
      </c>
      <c r="BH208" s="301">
        <f t="shared" si="66"/>
        <v>368.7980389182112</v>
      </c>
      <c r="BI208" s="302">
        <f t="shared" si="67"/>
        <v>368.7980389182112</v>
      </c>
      <c r="BJ208" s="302">
        <f t="shared" si="71"/>
        <v>18.201961081788767</v>
      </c>
      <c r="BK208" s="302" t="b">
        <f t="shared" si="68"/>
        <v>0</v>
      </c>
      <c r="BL208" s="304">
        <v>26</v>
      </c>
    </row>
    <row r="209" spans="57:64" ht="20" x14ac:dyDescent="0.3">
      <c r="BE209" s="298">
        <v>27</v>
      </c>
      <c r="BF209" s="299">
        <f t="shared" si="69"/>
        <v>645</v>
      </c>
      <c r="BG209" s="42">
        <f t="shared" si="70"/>
        <v>645</v>
      </c>
      <c r="BH209" s="301">
        <f t="shared" si="66"/>
        <v>411.7980389182112</v>
      </c>
      <c r="BI209" s="302">
        <f t="shared" si="67"/>
        <v>411.7980389182112</v>
      </c>
      <c r="BJ209" s="302">
        <f t="shared" si="71"/>
        <v>18.201961081788767</v>
      </c>
      <c r="BK209" s="302" t="b">
        <f t="shared" si="68"/>
        <v>0</v>
      </c>
      <c r="BL209" s="304">
        <v>27</v>
      </c>
    </row>
    <row r="210" spans="57:64" ht="20" x14ac:dyDescent="0.3">
      <c r="BE210" s="298">
        <v>28</v>
      </c>
      <c r="BF210" s="299">
        <f t="shared" si="69"/>
        <v>688</v>
      </c>
      <c r="BG210" s="42">
        <f t="shared" si="70"/>
        <v>688</v>
      </c>
      <c r="BH210" s="301">
        <f t="shared" si="66"/>
        <v>454.7980389182112</v>
      </c>
      <c r="BI210" s="302">
        <f t="shared" si="67"/>
        <v>454.7980389182112</v>
      </c>
      <c r="BJ210" s="302">
        <f t="shared" si="71"/>
        <v>18.201961081788767</v>
      </c>
      <c r="BK210" s="302" t="b">
        <f t="shared" si="68"/>
        <v>0</v>
      </c>
      <c r="BL210" s="304">
        <v>28</v>
      </c>
    </row>
    <row r="211" spans="57:64" ht="20" x14ac:dyDescent="0.3">
      <c r="BE211" s="298">
        <v>29</v>
      </c>
      <c r="BF211" s="299">
        <f t="shared" si="69"/>
        <v>731</v>
      </c>
      <c r="BG211" s="42">
        <f t="shared" si="70"/>
        <v>731</v>
      </c>
      <c r="BH211" s="301">
        <f t="shared" si="66"/>
        <v>497.7980389182112</v>
      </c>
      <c r="BI211" s="302">
        <f t="shared" si="67"/>
        <v>497.7980389182112</v>
      </c>
      <c r="BJ211" s="302">
        <f t="shared" si="71"/>
        <v>18.201961081788767</v>
      </c>
      <c r="BK211" s="302" t="b">
        <f t="shared" si="68"/>
        <v>0</v>
      </c>
      <c r="BL211" s="304">
        <v>29</v>
      </c>
    </row>
    <row r="212" spans="57:64" ht="20" x14ac:dyDescent="0.3">
      <c r="BE212" s="298">
        <v>30</v>
      </c>
      <c r="BF212" s="299">
        <f t="shared" si="69"/>
        <v>774</v>
      </c>
      <c r="BG212" s="42">
        <f t="shared" si="70"/>
        <v>774</v>
      </c>
      <c r="BH212" s="301">
        <f t="shared" si="66"/>
        <v>540.7980389182112</v>
      </c>
      <c r="BI212" s="302">
        <f t="shared" si="67"/>
        <v>540.7980389182112</v>
      </c>
      <c r="BJ212" s="302">
        <f t="shared" si="71"/>
        <v>18.201961081788767</v>
      </c>
      <c r="BK212" s="302" t="b">
        <f t="shared" si="68"/>
        <v>0</v>
      </c>
      <c r="BL212" s="304">
        <v>30</v>
      </c>
    </row>
    <row r="213" spans="57:64" ht="20" x14ac:dyDescent="0.3">
      <c r="BE213" s="298">
        <v>31</v>
      </c>
      <c r="BF213" s="299">
        <f t="shared" si="69"/>
        <v>817</v>
      </c>
      <c r="BG213" s="42">
        <f t="shared" si="70"/>
        <v>817</v>
      </c>
      <c r="BH213" s="301">
        <f t="shared" si="66"/>
        <v>583.7980389182112</v>
      </c>
      <c r="BI213" s="302">
        <f t="shared" si="67"/>
        <v>583.7980389182112</v>
      </c>
      <c r="BJ213" s="302">
        <f t="shared" si="71"/>
        <v>18.201961081788767</v>
      </c>
      <c r="BK213" s="302" t="b">
        <f t="shared" si="68"/>
        <v>0</v>
      </c>
      <c r="BL213" s="304">
        <v>31</v>
      </c>
    </row>
    <row r="214" spans="57:64" ht="20" x14ac:dyDescent="0.3">
      <c r="BE214" s="298">
        <v>32</v>
      </c>
      <c r="BF214" s="299">
        <f t="shared" si="69"/>
        <v>860</v>
      </c>
      <c r="BG214" s="42">
        <f t="shared" si="70"/>
        <v>860</v>
      </c>
      <c r="BH214" s="301">
        <f t="shared" si="66"/>
        <v>626.7980389182112</v>
      </c>
      <c r="BI214" s="302">
        <f t="shared" si="67"/>
        <v>626.7980389182112</v>
      </c>
      <c r="BJ214" s="302">
        <f t="shared" si="71"/>
        <v>18.201961081788767</v>
      </c>
      <c r="BK214" s="302" t="b">
        <f t="shared" si="68"/>
        <v>0</v>
      </c>
      <c r="BL214" s="304">
        <v>32</v>
      </c>
    </row>
    <row r="215" spans="57:64" ht="20" x14ac:dyDescent="0.3">
      <c r="BE215" s="298">
        <v>33</v>
      </c>
      <c r="BF215" s="299">
        <f t="shared" si="69"/>
        <v>903</v>
      </c>
      <c r="BG215" s="42">
        <f t="shared" si="70"/>
        <v>903</v>
      </c>
      <c r="BH215" s="301">
        <f t="shared" si="66"/>
        <v>669.7980389182112</v>
      </c>
      <c r="BI215" s="302">
        <f t="shared" si="67"/>
        <v>669.7980389182112</v>
      </c>
      <c r="BJ215" s="302">
        <f t="shared" si="71"/>
        <v>18.201961081788767</v>
      </c>
      <c r="BK215" s="302" t="b">
        <f t="shared" si="68"/>
        <v>0</v>
      </c>
      <c r="BL215" s="304">
        <v>33</v>
      </c>
    </row>
    <row r="216" spans="57:64" ht="20" x14ac:dyDescent="0.3">
      <c r="BE216" s="298">
        <v>34</v>
      </c>
      <c r="BF216" s="299">
        <f t="shared" si="69"/>
        <v>946</v>
      </c>
      <c r="BG216" s="42">
        <f t="shared" si="70"/>
        <v>946</v>
      </c>
      <c r="BH216" s="301">
        <f t="shared" si="66"/>
        <v>712.7980389182112</v>
      </c>
      <c r="BI216" s="302">
        <f t="shared" si="67"/>
        <v>712.7980389182112</v>
      </c>
      <c r="BJ216" s="302">
        <f t="shared" si="71"/>
        <v>18.201961081788767</v>
      </c>
      <c r="BK216" s="302" t="b">
        <f t="shared" si="68"/>
        <v>0</v>
      </c>
      <c r="BL216" s="304">
        <v>34</v>
      </c>
    </row>
    <row r="217" spans="57:64" ht="20" x14ac:dyDescent="0.3">
      <c r="BE217" s="298">
        <v>35</v>
      </c>
      <c r="BF217" s="299">
        <f t="shared" si="69"/>
        <v>989</v>
      </c>
      <c r="BG217" s="42">
        <f t="shared" si="70"/>
        <v>989</v>
      </c>
      <c r="BH217" s="301">
        <f t="shared" si="66"/>
        <v>755.7980389182112</v>
      </c>
      <c r="BI217" s="302">
        <f t="shared" si="67"/>
        <v>755.7980389182112</v>
      </c>
      <c r="BJ217" s="302">
        <f t="shared" si="71"/>
        <v>18.201961081788767</v>
      </c>
      <c r="BK217" s="302" t="b">
        <f t="shared" si="68"/>
        <v>0</v>
      </c>
      <c r="BL217" s="304">
        <v>35</v>
      </c>
    </row>
    <row r="218" spans="57:64" ht="20" x14ac:dyDescent="0.3">
      <c r="BE218" s="298">
        <v>36</v>
      </c>
      <c r="BF218" s="299">
        <f t="shared" si="69"/>
        <v>1032</v>
      </c>
      <c r="BG218" s="42">
        <f t="shared" si="70"/>
        <v>1032</v>
      </c>
      <c r="BH218" s="301">
        <f t="shared" si="66"/>
        <v>798.7980389182112</v>
      </c>
      <c r="BI218" s="302">
        <f t="shared" si="67"/>
        <v>798.7980389182112</v>
      </c>
      <c r="BJ218" s="302">
        <f t="shared" si="71"/>
        <v>18.201961081788767</v>
      </c>
      <c r="BK218" s="302" t="b">
        <f t="shared" si="68"/>
        <v>0</v>
      </c>
      <c r="BL218" s="304">
        <v>36</v>
      </c>
    </row>
    <row r="219" spans="57:64" ht="20" x14ac:dyDescent="0.3">
      <c r="BE219" s="308">
        <v>37</v>
      </c>
      <c r="BF219" s="309">
        <f t="shared" si="69"/>
        <v>1075</v>
      </c>
      <c r="BG219" s="42">
        <f t="shared" si="70"/>
        <v>1075</v>
      </c>
      <c r="BH219" s="301">
        <f t="shared" si="66"/>
        <v>841.7980389182112</v>
      </c>
      <c r="BI219" s="302">
        <f t="shared" si="67"/>
        <v>841.7980389182112</v>
      </c>
      <c r="BJ219" s="302">
        <f t="shared" si="71"/>
        <v>18.201961081788767</v>
      </c>
      <c r="BK219" s="302" t="b">
        <f t="shared" si="68"/>
        <v>0</v>
      </c>
      <c r="BL219" s="310">
        <v>37</v>
      </c>
    </row>
    <row r="220" spans="57:64" x14ac:dyDescent="0.2">
      <c r="BF220" s="388"/>
    </row>
    <row r="221" spans="57:64" x14ac:dyDescent="0.2">
      <c r="BF221" s="388"/>
    </row>
    <row r="222" spans="57:64" x14ac:dyDescent="0.2">
      <c r="BF222" s="388"/>
    </row>
    <row r="223" spans="57:64" x14ac:dyDescent="0.2">
      <c r="BF223" s="388"/>
    </row>
    <row r="224" spans="57:64" x14ac:dyDescent="0.2">
      <c r="BF224" s="388"/>
    </row>
    <row r="225" spans="58:58" x14ac:dyDescent="0.2">
      <c r="BF225" s="388"/>
    </row>
  </sheetData>
  <sheetProtection algorithmName="SHA-512" hashValue="DYG5hY4wYulVYmNhMc8lmhB95X4S4DrfviM6RvY58G53TQKv8PmD7clzxs6fpcBu3XBCBbTKNuqCLPIP1kN67w==" saltValue="X1pIHQYOVJr+XdjtrEet5Q==" spinCount="100000" sheet="1" objects="1" scenarios="1" selectLockedCells="1"/>
  <protectedRanges>
    <protectedRange sqref="B147 B150 D153:D164 B174 D177:D196" name="Range1"/>
  </protectedRanges>
  <mergeCells count="23">
    <mergeCell ref="BV160:BW160"/>
    <mergeCell ref="B145:B146"/>
    <mergeCell ref="W150:AA150"/>
    <mergeCell ref="AZ150:BA150"/>
    <mergeCell ref="AZ174:BA174"/>
    <mergeCell ref="BV158:BX158"/>
    <mergeCell ref="DF82:DG82"/>
    <mergeCell ref="CH160:CI160"/>
    <mergeCell ref="DK165:DM165"/>
    <mergeCell ref="DK170:DL170"/>
    <mergeCell ref="DW170:DX170"/>
    <mergeCell ref="B129:E129"/>
    <mergeCell ref="BQ25:BR25"/>
    <mergeCell ref="CQ26:DA27"/>
    <mergeCell ref="BQ27:BR27"/>
    <mergeCell ref="CO27:CP27"/>
    <mergeCell ref="BQ29:CA30"/>
    <mergeCell ref="CB30:CC30"/>
    <mergeCell ref="CZ30:DA30"/>
    <mergeCell ref="BQ32:CA33"/>
    <mergeCell ref="CS32:DA33"/>
    <mergeCell ref="CB33:CC33"/>
    <mergeCell ref="CQ33:CR33"/>
  </mergeCells>
  <conditionalFormatting sqref="B153:B164">
    <cfRule type="cellIs" dxfId="1427" priority="105" stopIfTrue="1" operator="greaterThan">
      <formula>$B$150</formula>
    </cfRule>
  </conditionalFormatting>
  <conditionalFormatting sqref="B177:B196">
    <cfRule type="cellIs" dxfId="1426" priority="93" stopIfTrue="1" operator="greaterThan">
      <formula>$B$174</formula>
    </cfRule>
  </conditionalFormatting>
  <conditionalFormatting sqref="C137">
    <cfRule type="cellIs" dxfId="1425" priority="35" stopIfTrue="1" operator="between">
      <formula>"OVERLOAD"</formula>
      <formula>"OVERLOAD"</formula>
    </cfRule>
  </conditionalFormatting>
  <conditionalFormatting sqref="D146">
    <cfRule type="cellIs" dxfId="1424" priority="34" stopIfTrue="1" operator="equal">
      <formula>"USE EXBAR AR AT THE FRONT"</formula>
    </cfRule>
  </conditionalFormatting>
  <conditionalFormatting sqref="D147">
    <cfRule type="cellIs" dxfId="1423" priority="33" stopIfTrue="1" operator="equal">
      <formula>"USE EXBAR AR AT THE BACK"</formula>
    </cfRule>
  </conditionalFormatting>
  <conditionalFormatting sqref="D153:D164">
    <cfRule type="cellIs" dxfId="1422" priority="106" stopIfTrue="1" operator="notEqual">
      <formula>0</formula>
    </cfRule>
  </conditionalFormatting>
  <conditionalFormatting sqref="D177:D196">
    <cfRule type="cellIs" dxfId="1421" priority="94" stopIfTrue="1" operator="notEqual">
      <formula>0</formula>
    </cfRule>
  </conditionalFormatting>
  <conditionalFormatting sqref="D144:G145">
    <cfRule type="cellIs" dxfId="1420" priority="107" stopIfTrue="1" operator="equal">
      <formula>"change the angle of frame or of cabinets"</formula>
    </cfRule>
  </conditionalFormatting>
  <conditionalFormatting sqref="D153:G153">
    <cfRule type="expression" dxfId="1419" priority="57" stopIfTrue="1">
      <formula>$B$150&lt;1</formula>
    </cfRule>
  </conditionalFormatting>
  <conditionalFormatting sqref="D154:G154">
    <cfRule type="expression" dxfId="1418" priority="56" stopIfTrue="1">
      <formula>$B$150&lt;2</formula>
    </cfRule>
  </conditionalFormatting>
  <conditionalFormatting sqref="D155:G155">
    <cfRule type="expression" dxfId="1417" priority="55" stopIfTrue="1">
      <formula>$B$150&lt;3</formula>
    </cfRule>
  </conditionalFormatting>
  <conditionalFormatting sqref="D156:G156">
    <cfRule type="expression" dxfId="1416" priority="54" stopIfTrue="1">
      <formula>$B$150&lt;4</formula>
    </cfRule>
  </conditionalFormatting>
  <conditionalFormatting sqref="D157:G157">
    <cfRule type="expression" dxfId="1415" priority="53" stopIfTrue="1">
      <formula>$B$150&lt;5</formula>
    </cfRule>
  </conditionalFormatting>
  <conditionalFormatting sqref="D158:G158">
    <cfRule type="expression" dxfId="1414" priority="52" stopIfTrue="1">
      <formula>$B$150&lt;6</formula>
    </cfRule>
  </conditionalFormatting>
  <conditionalFormatting sqref="D159:G159">
    <cfRule type="expression" dxfId="1413" priority="51" stopIfTrue="1">
      <formula>$B$150&lt;7</formula>
    </cfRule>
  </conditionalFormatting>
  <conditionalFormatting sqref="D160:G160">
    <cfRule type="expression" dxfId="1412" priority="50" stopIfTrue="1">
      <formula>$B$150&lt;8</formula>
    </cfRule>
  </conditionalFormatting>
  <conditionalFormatting sqref="D161:G161">
    <cfRule type="expression" dxfId="1411" priority="49" stopIfTrue="1">
      <formula>$B$150&lt;9</formula>
    </cfRule>
  </conditionalFormatting>
  <conditionalFormatting sqref="D162:G162">
    <cfRule type="expression" dxfId="1410" priority="48" stopIfTrue="1">
      <formula>$B$150&lt;10</formula>
    </cfRule>
  </conditionalFormatting>
  <conditionalFormatting sqref="D163:G163">
    <cfRule type="expression" dxfId="1409" priority="47" stopIfTrue="1">
      <formula>$B$150&lt;11</formula>
    </cfRule>
  </conditionalFormatting>
  <conditionalFormatting sqref="D164:G164 J164:AB164 AX164:BA164">
    <cfRule type="expression" dxfId="1408" priority="45" stopIfTrue="1">
      <formula>$B$150&lt;12</formula>
    </cfRule>
  </conditionalFormatting>
  <conditionalFormatting sqref="D178:G178 AB178:AE178 AX178:BA178">
    <cfRule type="expression" dxfId="1407" priority="90" stopIfTrue="1">
      <formula>$B$174&lt;2</formula>
    </cfRule>
  </conditionalFormatting>
  <conditionalFormatting sqref="D179:G179 AB179:AE179 AX179:BA179">
    <cfRule type="expression" dxfId="1406" priority="89" stopIfTrue="1">
      <formula>$B$174&lt;3</formula>
    </cfRule>
  </conditionalFormatting>
  <conditionalFormatting sqref="D180:G180 AB180:AE180 AX180:BA180">
    <cfRule type="expression" dxfId="1405" priority="88" stopIfTrue="1">
      <formula>$B$174&lt;4</formula>
    </cfRule>
  </conditionalFormatting>
  <conditionalFormatting sqref="D181:G181 AB181:AE181 AX181:BA181">
    <cfRule type="expression" dxfId="1404" priority="87" stopIfTrue="1">
      <formula>$B$174&lt;5</formula>
    </cfRule>
  </conditionalFormatting>
  <conditionalFormatting sqref="D182:G182 AB182:AE182 AX182:BA182">
    <cfRule type="expression" dxfId="1403" priority="86">
      <formula>$B$174&lt;6</formula>
    </cfRule>
  </conditionalFormatting>
  <conditionalFormatting sqref="D183:G183 AB183:AE183 AX183:BA183">
    <cfRule type="expression" dxfId="1402" priority="85">
      <formula>$B$174&lt;7</formula>
    </cfRule>
  </conditionalFormatting>
  <conditionalFormatting sqref="D184:G184 AB184:AE184 AX184:BA184">
    <cfRule type="expression" dxfId="1401" priority="84">
      <formula>$B$174&lt;8</formula>
    </cfRule>
  </conditionalFormatting>
  <conditionalFormatting sqref="D185:G185 AB185:AE185 AX185:BA185">
    <cfRule type="expression" dxfId="1400" priority="83">
      <formula>$B$174&lt;9</formula>
    </cfRule>
  </conditionalFormatting>
  <conditionalFormatting sqref="D186:G186 AB186:AE186 AX186:BA186">
    <cfRule type="expression" dxfId="1399" priority="82">
      <formula>$B$174&lt;10</formula>
    </cfRule>
  </conditionalFormatting>
  <conditionalFormatting sqref="D187:G187 AB187:AE187 AX187:BA187">
    <cfRule type="expression" dxfId="1398" priority="81">
      <formula>$B$174&lt;11</formula>
    </cfRule>
  </conditionalFormatting>
  <conditionalFormatting sqref="D188:G188 AB188:AE188 AX188:BA188">
    <cfRule type="expression" dxfId="1397" priority="80">
      <formula>$B$174&lt;12</formula>
    </cfRule>
  </conditionalFormatting>
  <conditionalFormatting sqref="D189:G189 AB189:AE189 AX189:BA189">
    <cfRule type="expression" dxfId="1396" priority="79">
      <formula>$B$174&lt;13</formula>
    </cfRule>
  </conditionalFormatting>
  <conditionalFormatting sqref="D190:G190 AB190:AE190 AX190:BA190">
    <cfRule type="expression" dxfId="1395" priority="78">
      <formula>$B$174&lt;14</formula>
    </cfRule>
  </conditionalFormatting>
  <conditionalFormatting sqref="D191:G191 AB191:AE191 AX191:BA191">
    <cfRule type="expression" dxfId="1394" priority="77">
      <formula>$B$174&lt;15</formula>
    </cfRule>
  </conditionalFormatting>
  <conditionalFormatting sqref="D192:G192 AB192:AE192 AX192:BA192">
    <cfRule type="expression" dxfId="1393" priority="76">
      <formula>$B$174&lt;16</formula>
    </cfRule>
  </conditionalFormatting>
  <conditionalFormatting sqref="D193:G193 AB193:AE193 AX193:BA193">
    <cfRule type="expression" dxfId="1392" priority="75">
      <formula>$B$174&lt;17</formula>
    </cfRule>
  </conditionalFormatting>
  <conditionalFormatting sqref="D194:G194 AB194:AE194 AX194:BA194">
    <cfRule type="expression" dxfId="1391" priority="74">
      <formula>$B$174&lt;18</formula>
    </cfRule>
  </conditionalFormatting>
  <conditionalFormatting sqref="D195:G195 AB195:AE195 AX195:BA195">
    <cfRule type="expression" dxfId="1390" priority="73">
      <formula>$B$174&lt;19</formula>
    </cfRule>
  </conditionalFormatting>
  <conditionalFormatting sqref="D196:G196 AB196:AE196 AX196:BA196">
    <cfRule type="expression" dxfId="1389" priority="72">
      <formula>$B$174&lt;20</formula>
    </cfRule>
  </conditionalFormatting>
  <conditionalFormatting sqref="E147 E146:G146">
    <cfRule type="cellIs" dxfId="1388" priority="109" stopIfTrue="1" operator="equal">
      <formula>"USE EXBAR VR AT THE FRONT"</formula>
    </cfRule>
  </conditionalFormatting>
  <conditionalFormatting sqref="E177">
    <cfRule type="expression" dxfId="1387" priority="31" stopIfTrue="1">
      <formula>$B$185&lt;1</formula>
    </cfRule>
  </conditionalFormatting>
  <conditionalFormatting sqref="E147:G147">
    <cfRule type="cellIs" dxfId="1386" priority="108" stopIfTrue="1" operator="equal">
      <formula>"USE EXBAR VR AT THE BACK"</formula>
    </cfRule>
  </conditionalFormatting>
  <conditionalFormatting sqref="J154:AB154 AX154:BA154">
    <cfRule type="expression" dxfId="1385" priority="102" stopIfTrue="1">
      <formula>$B$150&lt;2</formula>
    </cfRule>
  </conditionalFormatting>
  <conditionalFormatting sqref="J155:AB155 AX155:BA155">
    <cfRule type="expression" dxfId="1384" priority="101" stopIfTrue="1">
      <formula>$B$150&lt;3</formula>
    </cfRule>
  </conditionalFormatting>
  <conditionalFormatting sqref="J156:AB156 AX156:BA156">
    <cfRule type="expression" dxfId="1383" priority="100" stopIfTrue="1">
      <formula>$B$150&lt;4</formula>
    </cfRule>
  </conditionalFormatting>
  <conditionalFormatting sqref="J157:AB157 AX157:BA157">
    <cfRule type="expression" dxfId="1382" priority="99" stopIfTrue="1">
      <formula>$B$150&lt;5</formula>
    </cfRule>
  </conditionalFormatting>
  <conditionalFormatting sqref="J158:AB158 AX158:BA158">
    <cfRule type="expression" dxfId="1381" priority="98" stopIfTrue="1">
      <formula>$B$150&lt;6</formula>
    </cfRule>
  </conditionalFormatting>
  <conditionalFormatting sqref="J159:AB159 AX159:BA159">
    <cfRule type="expression" dxfId="1380" priority="97" stopIfTrue="1">
      <formula>$B$150&lt;7</formula>
    </cfRule>
  </conditionalFormatting>
  <conditionalFormatting sqref="J160:AB160 AX160:BA160">
    <cfRule type="expression" dxfId="1379" priority="96" stopIfTrue="1">
      <formula>$B$150&lt;8</formula>
    </cfRule>
  </conditionalFormatting>
  <conditionalFormatting sqref="J161:AB161 AX161:BA161">
    <cfRule type="expression" dxfId="1378" priority="95" stopIfTrue="1">
      <formula>$B$150&lt;9</formula>
    </cfRule>
  </conditionalFormatting>
  <conditionalFormatting sqref="J162:AB162 AX162:BA162">
    <cfRule type="expression" dxfId="1377" priority="71" stopIfTrue="1">
      <formula>$B$150&lt;10</formula>
    </cfRule>
  </conditionalFormatting>
  <conditionalFormatting sqref="J163:AB163 AX163:BA163">
    <cfRule type="expression" dxfId="1376" priority="58" stopIfTrue="1">
      <formula>$B$150&lt;11</formula>
    </cfRule>
  </conditionalFormatting>
  <conditionalFormatting sqref="K153:O153 T153:V153 X153 AB153">
    <cfRule type="expression" dxfId="1375" priority="104" stopIfTrue="1">
      <formula>$B$150&lt;1</formula>
    </cfRule>
  </conditionalFormatting>
  <conditionalFormatting sqref="U26 AB26:AE26 U29:U31 AB29:AE31 U103:U137 AB103:AE137">
    <cfRule type="cellIs" dxfId="1374" priority="111" stopIfTrue="1" operator="between">
      <formula>"OVERLOAD"</formula>
      <formula>"OVERLOAD"</formula>
    </cfRule>
  </conditionalFormatting>
  <conditionalFormatting sqref="W153">
    <cfRule type="expression" dxfId="1373" priority="16" stopIfTrue="1">
      <formula>$B$177&lt;1</formula>
    </cfRule>
  </conditionalFormatting>
  <conditionalFormatting sqref="Y153">
    <cfRule type="expression" dxfId="1372" priority="15" stopIfTrue="1">
      <formula>$B$177&lt;1</formula>
    </cfRule>
  </conditionalFormatting>
  <conditionalFormatting sqref="Z153:AA153">
    <cfRule type="expression" dxfId="1371" priority="44" stopIfTrue="1">
      <formula>$B$153&lt;1</formula>
    </cfRule>
  </conditionalFormatting>
  <conditionalFormatting sqref="AC154:AC164">
    <cfRule type="expression" dxfId="1370" priority="40" stopIfTrue="1">
      <formula>$B$153&lt;1</formula>
    </cfRule>
  </conditionalFormatting>
  <conditionalFormatting sqref="AC153:AD153">
    <cfRule type="expression" dxfId="1369" priority="43" stopIfTrue="1">
      <formula>$B$153&lt;1</formula>
    </cfRule>
  </conditionalFormatting>
  <conditionalFormatting sqref="AD153:AE164">
    <cfRule type="expression" dxfId="1368" priority="36" stopIfTrue="1">
      <formula>$B$153&lt;1</formula>
    </cfRule>
  </conditionalFormatting>
  <conditionalFormatting sqref="AX178:AY196 D177 F177:G177 AB177:AE177 AX177:BA177">
    <cfRule type="expression" dxfId="1367" priority="91" stopIfTrue="1">
      <formula>$B$174&lt;1</formula>
    </cfRule>
  </conditionalFormatting>
  <conditionalFormatting sqref="AZ153:BA164">
    <cfRule type="cellIs" dxfId="1366" priority="103" stopIfTrue="1" operator="lessThan">
      <formula>10</formula>
    </cfRule>
  </conditionalFormatting>
  <conditionalFormatting sqref="AZ177:BA196">
    <cfRule type="cellIs" dxfId="1365" priority="92" stopIfTrue="1" operator="lessThan">
      <formula>10</formula>
    </cfRule>
  </conditionalFormatting>
  <conditionalFormatting sqref="BK183:BK219">
    <cfRule type="cellIs" dxfId="1364" priority="24" stopIfTrue="1" operator="equal">
      <formula>FALSE</formula>
    </cfRule>
  </conditionalFormatting>
  <conditionalFormatting sqref="BN26">
    <cfRule type="cellIs" dxfId="1363" priority="12" stopIfTrue="1" operator="equal">
      <formula>"negative force at the motor"</formula>
    </cfRule>
  </conditionalFormatting>
  <conditionalFormatting sqref="BN26:BN27">
    <cfRule type="cellIs" dxfId="1362" priority="11" operator="equal">
      <formula>"""OK"""</formula>
    </cfRule>
  </conditionalFormatting>
  <conditionalFormatting sqref="BN27">
    <cfRule type="cellIs" dxfId="1361" priority="20" stopIfTrue="1" operator="equal">
      <formula>"overload"</formula>
    </cfRule>
  </conditionalFormatting>
  <conditionalFormatting sqref="BN29">
    <cfRule type="cellIs" dxfId="1360" priority="10" stopIfTrue="1" operator="equal">
      <formula>"negative force at the motor"</formula>
    </cfRule>
  </conditionalFormatting>
  <conditionalFormatting sqref="BN29:BN30">
    <cfRule type="cellIs" dxfId="1359" priority="9" operator="equal">
      <formula>"""OK"""</formula>
    </cfRule>
  </conditionalFormatting>
  <conditionalFormatting sqref="BN32">
    <cfRule type="cellIs" dxfId="1358" priority="8" stopIfTrue="1" operator="equal">
      <formula>"negative force at the motor"</formula>
    </cfRule>
  </conditionalFormatting>
  <conditionalFormatting sqref="BN32:BN33">
    <cfRule type="cellIs" dxfId="1357" priority="7" operator="equal">
      <formula>"""OK"""</formula>
    </cfRule>
  </conditionalFormatting>
  <conditionalFormatting sqref="BN56 BN61 BN101 BN30 BN33">
    <cfRule type="cellIs" dxfId="1356" priority="18" stopIfTrue="1" operator="equal">
      <formula>"overload"</formula>
    </cfRule>
  </conditionalFormatting>
  <conditionalFormatting sqref="BN56 BN101 BN61">
    <cfRule type="cellIs" dxfId="1355" priority="17" operator="equal">
      <formula>"""OK"""</formula>
    </cfRule>
  </conditionalFormatting>
  <conditionalFormatting sqref="BO55:BO56 BN56 BO100 BN101:BO101">
    <cfRule type="expression" dxfId="1354" priority="4">
      <formula>$B$147&lt;&gt;0</formula>
    </cfRule>
  </conditionalFormatting>
  <conditionalFormatting sqref="BQ100:CG100">
    <cfRule type="expression" dxfId="1353" priority="3">
      <formula>$B$147=0</formula>
    </cfRule>
  </conditionalFormatting>
  <conditionalFormatting sqref="BQ57:DB59 BV104:CI111 BQ184:CN185">
    <cfRule type="cellIs" dxfId="1352" priority="27" stopIfTrue="1" operator="equal">
      <formula>FALSE</formula>
    </cfRule>
  </conditionalFormatting>
  <conditionalFormatting sqref="CB55:CR55 BQ100:CG100 CK100:DA100">
    <cfRule type="expression" dxfId="1351" priority="5">
      <formula>$B$147=0</formula>
    </cfRule>
  </conditionalFormatting>
  <conditionalFormatting sqref="CB55:CR55">
    <cfRule type="cellIs" dxfId="1350" priority="6" operator="equal">
      <formula>0</formula>
    </cfRule>
    <cfRule type="expression" dxfId="1349" priority="28">
      <formula>$B$147=0</formula>
    </cfRule>
  </conditionalFormatting>
  <conditionalFormatting sqref="CK100:DA100">
    <cfRule type="expression" dxfId="1348" priority="2">
      <formula>$B$147=0</formula>
    </cfRule>
  </conditionalFormatting>
  <conditionalFormatting sqref="DF189:EC189">
    <cfRule type="cellIs" dxfId="1347" priority="32" stopIfTrue="1" operator="equal">
      <formula>0</formula>
    </cfRule>
  </conditionalFormatting>
  <conditionalFormatting sqref="DK119:DX122 DF191:EC192">
    <cfRule type="cellIs" dxfId="1346" priority="110" stopIfTrue="1" operator="equal">
      <formula>FALSE</formula>
    </cfRule>
  </conditionalFormatting>
  <dataValidations count="8">
    <dataValidation type="decimal" allowBlank="1" showInputMessage="1" showErrorMessage="1" sqref="B147" xr:uid="{00000000-0002-0000-0500-000000000000}">
      <formula1>-89.9</formula1>
      <formula2>89.9</formula2>
    </dataValidation>
    <dataValidation type="custom" allowBlank="1" showInputMessage="1" showErrorMessage="1" sqref="D153:D164" xr:uid="{00000000-0002-0000-0500-000001000000}">
      <formula1>OR(D153=0,D153=2.5,D153=5)</formula1>
    </dataValidation>
    <dataValidation type="whole" allowBlank="1" showInputMessage="1" showErrorMessage="1" sqref="D177" xr:uid="{00000000-0002-0000-0500-000002000000}">
      <formula1>-2</formula1>
      <formula2>4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74" xr:uid="{00000000-0002-0000-0500-000003000000}">
      <formula1>1</formula1>
      <formula2>20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50" xr:uid="{00000000-0002-0000-0500-000004000000}">
      <formula1>1</formula1>
      <formula2>10</formula2>
    </dataValidation>
    <dataValidation type="decimal" allowBlank="1" showInputMessage="1" showErrorMessage="1" sqref="G154:G164 G178:G196 F155:F164 F179:F196" xr:uid="{00000000-0002-0000-0500-000005000000}">
      <formula1>0</formula1>
      <formula2>8</formula2>
    </dataValidation>
    <dataValidation type="decimal" allowBlank="1" showInputMessage="1" showErrorMessage="1" sqref="F153:G153 F177:G177" xr:uid="{00000000-0002-0000-0500-000006000000}">
      <formula1>0</formula1>
      <formula2>4</formula2>
    </dataValidation>
    <dataValidation type="custom" allowBlank="1" showInputMessage="1" showErrorMessage="1" sqref="D178:D196" xr:uid="{00000000-0002-0000-0500-000007000000}">
      <formula1>OR(D178=0,D178=0.5,D178=1,D178=2,D178=2.5,D178=3,D178=4,D178=5,D178=6,D178=7,D178=8)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FFC000"/>
  </sheetPr>
  <dimension ref="A1:EN284"/>
  <sheetViews>
    <sheetView topLeftCell="A25" zoomScale="50" zoomScaleNormal="50" workbookViewId="0">
      <selection activeCell="D139" sqref="D139"/>
    </sheetView>
  </sheetViews>
  <sheetFormatPr baseColWidth="10" defaultColWidth="9.1640625" defaultRowHeight="18" x14ac:dyDescent="0.2"/>
  <cols>
    <col min="1" max="1" width="1.5" customWidth="1"/>
    <col min="2" max="2" width="35.5" style="35" customWidth="1"/>
    <col min="3" max="3" width="19.83203125" style="35" hidden="1" customWidth="1"/>
    <col min="4" max="4" width="37.33203125" customWidth="1"/>
    <col min="5" max="5" width="43.5" customWidth="1"/>
    <col min="6" max="6" width="35" hidden="1" customWidth="1"/>
    <col min="7" max="7" width="31.6640625" hidden="1" customWidth="1"/>
    <col min="8" max="8" width="14" style="64" hidden="1" customWidth="1"/>
    <col min="9" max="11" width="17.5" style="64" hidden="1" customWidth="1"/>
    <col min="12" max="13" width="19.5" style="64" hidden="1" customWidth="1"/>
    <col min="14" max="14" width="18.83203125" style="64" hidden="1" customWidth="1"/>
    <col min="15" max="15" width="8.1640625" style="64" hidden="1" customWidth="1"/>
    <col min="16" max="16" width="18.83203125" style="64" hidden="1" customWidth="1"/>
    <col min="17" max="17" width="20.83203125" style="64" hidden="1" customWidth="1"/>
    <col min="18" max="18" width="29.33203125" style="64" hidden="1" customWidth="1"/>
    <col min="19" max="19" width="18.83203125" style="64" hidden="1" customWidth="1"/>
    <col min="20" max="20" width="20.5" style="64" hidden="1" customWidth="1"/>
    <col min="21" max="21" width="13.83203125" style="64" hidden="1" customWidth="1"/>
    <col min="22" max="22" width="19.83203125" style="64" hidden="1" customWidth="1"/>
    <col min="23" max="24" width="18" style="64" hidden="1" customWidth="1"/>
    <col min="25" max="25" width="15" style="64" hidden="1" customWidth="1"/>
    <col min="26" max="26" width="18.83203125" style="64" hidden="1" customWidth="1"/>
    <col min="27" max="27" width="20.5" style="64" hidden="1" customWidth="1"/>
    <col min="28" max="28" width="28" style="64" bestFit="1" customWidth="1"/>
    <col min="29" max="29" width="26.33203125" style="64" hidden="1" customWidth="1"/>
    <col min="30" max="31" width="3" style="64" hidden="1" customWidth="1"/>
    <col min="32" max="32" width="89.1640625" style="64" hidden="1" customWidth="1"/>
    <col min="33" max="33" width="163" style="64" hidden="1" customWidth="1"/>
    <col min="34" max="34" width="19.5" style="64" hidden="1" customWidth="1"/>
    <col min="35" max="35" width="11.33203125" style="64" hidden="1" customWidth="1"/>
    <col min="36" max="36" width="19.83203125" style="64" hidden="1" customWidth="1"/>
    <col min="37" max="37" width="18.83203125" style="64" hidden="1" customWidth="1"/>
    <col min="38" max="38" width="139.83203125" style="64" hidden="1" customWidth="1"/>
    <col min="39" max="39" width="19.5" style="64" hidden="1" customWidth="1"/>
    <col min="40" max="40" width="22.5" style="64" hidden="1" customWidth="1"/>
    <col min="41" max="41" width="33.83203125" style="64" hidden="1" customWidth="1"/>
    <col min="42" max="42" width="54.1640625" style="64" hidden="1" customWidth="1"/>
    <col min="43" max="43" width="155.1640625" style="64" hidden="1" customWidth="1"/>
    <col min="44" max="44" width="32.83203125" style="64" hidden="1" customWidth="1"/>
    <col min="45" max="45" width="19.83203125" style="64" hidden="1" customWidth="1"/>
    <col min="46" max="46" width="20.83203125" style="64" hidden="1" customWidth="1"/>
    <col min="47" max="47" width="37.83203125" style="64" hidden="1" customWidth="1"/>
    <col min="48" max="48" width="19.83203125" style="64" hidden="1" customWidth="1"/>
    <col min="49" max="49" width="22.33203125" style="64" hidden="1" customWidth="1"/>
    <col min="50" max="50" width="20.83203125" style="64" hidden="1" customWidth="1"/>
    <col min="51" max="51" width="38" style="64" hidden="1" customWidth="1"/>
    <col min="52" max="52" width="12.1640625" style="64" hidden="1" customWidth="1"/>
    <col min="53" max="54" width="12.1640625" style="64" bestFit="1" customWidth="1"/>
    <col min="55" max="55" width="23.33203125" hidden="1" customWidth="1"/>
    <col min="56" max="56" width="13.83203125" hidden="1" customWidth="1"/>
    <col min="57" max="57" width="5.33203125" hidden="1" customWidth="1"/>
    <col min="58" max="58" width="8.5" hidden="1" customWidth="1"/>
    <col min="59" max="59" width="136" hidden="1" customWidth="1"/>
    <col min="60" max="60" width="17" hidden="1" customWidth="1"/>
    <col min="61" max="62" width="16.33203125" hidden="1" customWidth="1"/>
    <col min="63" max="63" width="9.5" hidden="1" customWidth="1"/>
    <col min="64" max="64" width="40.6640625" hidden="1" customWidth="1"/>
    <col min="65" max="65" width="23.5" style="81" hidden="1" customWidth="1"/>
    <col min="66" max="66" width="24.5" customWidth="1"/>
    <col min="67" max="67" width="34.33203125" style="59" customWidth="1"/>
    <col min="68" max="68" width="43.6640625" customWidth="1"/>
    <col min="69" max="104" width="6.5" customWidth="1"/>
    <col min="105" max="105" width="6.8320312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11" width="6.5" hidden="1" customWidth="1"/>
    <col min="112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482" t="s">
        <v>104</v>
      </c>
      <c r="E1" s="482" t="s">
        <v>105</v>
      </c>
      <c r="F1" s="482" t="s">
        <v>106</v>
      </c>
      <c r="G1" s="990" t="s">
        <v>220</v>
      </c>
      <c r="H1" s="1044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+COS(($B$133*-1)*3.14159265358979/180)*C2</f>
        <v>688</v>
      </c>
      <c r="E2" s="41">
        <f>+COS(($B$133*-1)*3.14159265358979/180)*43</f>
        <v>43</v>
      </c>
      <c r="F2" s="42">
        <f>+COS((($B$133*-1)+72.969997)*3.14159265358979/180)*162.1867</f>
        <v>47.500013702602963</v>
      </c>
      <c r="G2" s="994" t="s">
        <v>212</v>
      </c>
      <c r="H2" s="1045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214.42051600758691</v>
      </c>
      <c r="D3" s="40">
        <f>+C9-F2</f>
        <v>214.42050230498396</v>
      </c>
      <c r="G3" s="994" t="s">
        <v>213</v>
      </c>
      <c r="H3" s="1046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+COS(($B$133*-1)*3.14159265358979/180)*C4</f>
        <v>1075</v>
      </c>
      <c r="G4" s="996" t="s">
        <v>233</v>
      </c>
      <c r="H4" s="1047">
        <v>860</v>
      </c>
      <c r="I4" s="984">
        <v>1</v>
      </c>
      <c r="J4" s="1721" t="s">
        <v>228</v>
      </c>
      <c r="K4" s="1727"/>
      <c r="L4" s="1727"/>
      <c r="M4" s="1727"/>
      <c r="N4" s="1720"/>
      <c r="O4" s="995"/>
    </row>
    <row r="5" spans="2:15" ht="38" hidden="1" x14ac:dyDescent="0.2">
      <c r="B5" s="44" t="s">
        <v>115</v>
      </c>
      <c r="C5" s="45">
        <f>+C9+425.5</f>
        <v>687.42051600758691</v>
      </c>
      <c r="D5" s="40">
        <f>+(COS(($B$133*-1)*3.14159265358979/180)*473)+$D$3</f>
        <v>687.42050230498398</v>
      </c>
      <c r="G5" s="996" t="s">
        <v>214</v>
      </c>
      <c r="H5" s="1047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0" hidden="1" x14ac:dyDescent="0.2">
      <c r="B6" s="187"/>
      <c r="C6" s="187"/>
      <c r="G6" s="996" t="s">
        <v>259</v>
      </c>
      <c r="H6" s="1047">
        <v>602</v>
      </c>
      <c r="I6"/>
      <c r="J6" s="963">
        <f>+H9/H8*BQ27</f>
        <v>324.19672960684505</v>
      </c>
      <c r="K6" s="963">
        <f>((H8-H9)/H8)*BQ27</f>
        <v>-222.88525160470596</v>
      </c>
      <c r="L6" s="963">
        <f>+CO27</f>
        <v>179.68852199786093</v>
      </c>
      <c r="M6" s="961" t="s">
        <v>223</v>
      </c>
      <c r="N6"/>
      <c r="O6" s="995"/>
    </row>
    <row r="7" spans="2:15" ht="20" hidden="1" x14ac:dyDescent="0.2">
      <c r="B7" s="393" t="s">
        <v>18</v>
      </c>
      <c r="C7" s="394">
        <f>+C11+C14+30+4.5+0.5</f>
        <v>281</v>
      </c>
      <c r="G7" s="997" t="s">
        <v>230</v>
      </c>
      <c r="H7" s="1048">
        <f>(+SIN(($B$133*-1)*3.14159265358979/180)*H2)</f>
        <v>0</v>
      </c>
      <c r="I7"/>
      <c r="J7" s="965">
        <f>ABS($H$1/J6)</f>
        <v>55.5218432395314</v>
      </c>
      <c r="K7" s="965">
        <f>ABS($H$1/K6)</f>
        <v>80.759044712045679</v>
      </c>
      <c r="L7" s="965">
        <f>ABS($H$1/L6)</f>
        <v>100.17334329353702</v>
      </c>
      <c r="M7" s="967" t="s">
        <v>222</v>
      </c>
      <c r="N7"/>
      <c r="O7" s="995"/>
    </row>
    <row r="8" spans="2:15" ht="20" hidden="1" x14ac:dyDescent="0.2">
      <c r="B8" s="393" t="s">
        <v>19</v>
      </c>
      <c r="C8" s="393">
        <f>+AS139</f>
        <v>492.39108855494453</v>
      </c>
      <c r="G8" s="997" t="s">
        <v>229</v>
      </c>
      <c r="H8" s="1048">
        <f>(+COS(($B$133*-1)*3.14159265358979/180)*H3)</f>
        <v>215</v>
      </c>
      <c r="I8"/>
      <c r="J8" s="1733">
        <f>ABS($E$20/BQ27)</f>
        <v>78.964399274000229</v>
      </c>
      <c r="K8" s="1733"/>
      <c r="L8" s="1733">
        <f>ABS($E$20/CO27)</f>
        <v>44.521485908238674</v>
      </c>
      <c r="M8" s="1734" t="s">
        <v>350</v>
      </c>
      <c r="N8"/>
      <c r="O8" s="995"/>
    </row>
    <row r="9" spans="2:15" ht="21" hidden="1" thickBot="1" x14ac:dyDescent="0.25">
      <c r="B9" s="393" t="s">
        <v>14</v>
      </c>
      <c r="C9" s="393">
        <f>+AP135</f>
        <v>261.92051600758691</v>
      </c>
      <c r="G9" s="994" t="s">
        <v>227</v>
      </c>
      <c r="H9" s="1048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483" t="s">
        <v>112</v>
      </c>
      <c r="C11" s="394">
        <f>+B168*72+31</f>
        <v>103</v>
      </c>
      <c r="G11" s="994" t="s">
        <v>226</v>
      </c>
      <c r="H11" s="1048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0" hidden="1" x14ac:dyDescent="0.2">
      <c r="B12" s="483" t="s">
        <v>150</v>
      </c>
      <c r="C12" s="394">
        <v>747</v>
      </c>
      <c r="D12" s="397"/>
      <c r="G12" s="998"/>
      <c r="H12" s="37"/>
      <c r="I12"/>
      <c r="J12" s="963">
        <f>(CB30)</f>
        <v>224.95147800213908</v>
      </c>
      <c r="K12" s="963">
        <f>((+H8-H11)/H8*CZ30)</f>
        <v>-123.30674839529404</v>
      </c>
      <c r="L12" s="963">
        <f>(H11/H8*CZ30)</f>
        <v>179.35527039315497</v>
      </c>
      <c r="M12" s="961" t="s">
        <v>223</v>
      </c>
      <c r="N12"/>
      <c r="O12" s="995"/>
    </row>
    <row r="13" spans="2:15" ht="20" hidden="1" x14ac:dyDescent="0.2">
      <c r="D13" s="397"/>
      <c r="G13" s="998"/>
      <c r="H13"/>
      <c r="I13"/>
      <c r="J13" s="965">
        <f>ABS($H$1/J12)</f>
        <v>80.017255987217098</v>
      </c>
      <c r="K13" s="965">
        <f>ABS($H$1/K12)</f>
        <v>145.97741189554361</v>
      </c>
      <c r="L13" s="965">
        <f>ABS($H$1/L12)</f>
        <v>100.35947067818624</v>
      </c>
      <c r="M13" s="967" t="s">
        <v>222</v>
      </c>
      <c r="N13"/>
      <c r="O13" s="995"/>
    </row>
    <row r="14" spans="2:15" ht="20" hidden="1" x14ac:dyDescent="0.2">
      <c r="B14" s="483" t="s">
        <v>132</v>
      </c>
      <c r="C14" s="394">
        <f>(+B192*40.5)+31+(B136*40.5)+31</f>
        <v>143</v>
      </c>
      <c r="D14" s="397"/>
      <c r="G14" s="998"/>
      <c r="H14"/>
      <c r="I14"/>
      <c r="J14" s="1733">
        <f>ABS($E$20/CB30)</f>
        <v>35.563224883207603</v>
      </c>
      <c r="K14" s="1733"/>
      <c r="L14" s="1733">
        <f>ABS($E$20/CZ30)</f>
        <v>142.73346940897599</v>
      </c>
      <c r="M14" s="1734" t="s">
        <v>350</v>
      </c>
      <c r="N14"/>
      <c r="O14" s="995"/>
    </row>
    <row r="15" spans="2:15" ht="19" hidden="1" thickBot="1" x14ac:dyDescent="0.25">
      <c r="B15" s="483" t="s">
        <v>133</v>
      </c>
      <c r="C15" s="394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1" hidden="1" thickBot="1" x14ac:dyDescent="0.25">
      <c r="B16" s="399"/>
      <c r="C16" s="399"/>
      <c r="D16" s="397"/>
      <c r="G16" s="994" t="s">
        <v>231</v>
      </c>
      <c r="H16" s="1048">
        <f>+D2+H7-BL139</f>
        <v>0.57949769501601622</v>
      </c>
      <c r="I16" s="984" t="s">
        <v>251</v>
      </c>
      <c r="J16" s="1721" t="s">
        <v>232</v>
      </c>
      <c r="K16" s="1727"/>
      <c r="L16" s="1727"/>
      <c r="M16" s="1727"/>
      <c r="N16"/>
      <c r="O16" s="995"/>
    </row>
    <row r="17" spans="2:144" ht="20" hidden="1" x14ac:dyDescent="0.2">
      <c r="B17" s="399"/>
      <c r="C17" s="399"/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44" ht="20" hidden="1" x14ac:dyDescent="0.2">
      <c r="B18" s="485" t="s">
        <v>76</v>
      </c>
      <c r="C18" s="204">
        <v>5800</v>
      </c>
      <c r="D18" s="204">
        <v>10000</v>
      </c>
      <c r="G18" s="998"/>
      <c r="H18"/>
      <c r="I18"/>
      <c r="J18" s="963">
        <f>+H16/H8*BQ25</f>
        <v>0.75739001069535139</v>
      </c>
      <c r="K18" s="963">
        <f>((H8-H16)/H8)*BQ27</f>
        <v>101.03840931385578</v>
      </c>
      <c r="L18" s="963"/>
      <c r="M18" s="961" t="s">
        <v>223</v>
      </c>
      <c r="N18"/>
      <c r="O18" s="995"/>
    </row>
    <row r="19" spans="2:144" ht="20" hidden="1" x14ac:dyDescent="0.2">
      <c r="B19" s="485" t="s">
        <v>77</v>
      </c>
      <c r="C19" s="204">
        <v>5800</v>
      </c>
      <c r="D19" s="204">
        <v>5800</v>
      </c>
      <c r="G19" s="998"/>
      <c r="H19"/>
      <c r="I19"/>
      <c r="J19" s="965">
        <f>ABS($H$1/J18)</f>
        <v>23765.82704526879</v>
      </c>
      <c r="K19" s="965">
        <f>ABS($H$1/K18)</f>
        <v>178.15007304882016</v>
      </c>
      <c r="L19" s="965"/>
      <c r="M19" s="967" t="s">
        <v>222</v>
      </c>
      <c r="N19"/>
      <c r="O19" s="995"/>
    </row>
    <row r="20" spans="2:144" ht="20" hidden="1" x14ac:dyDescent="0.2">
      <c r="B20" s="485" t="s">
        <v>78</v>
      </c>
      <c r="C20" s="204">
        <v>8000</v>
      </c>
      <c r="D20" s="204">
        <v>8000</v>
      </c>
      <c r="E20" s="49">
        <v>8000</v>
      </c>
      <c r="G20" s="998"/>
      <c r="H20"/>
      <c r="I20"/>
      <c r="J20" s="1733">
        <f>ABS($E$20/BQ25)</f>
        <v>28.469750889679716</v>
      </c>
      <c r="K20" s="1733"/>
      <c r="L20" s="1733"/>
      <c r="M20" s="1734" t="s">
        <v>350</v>
      </c>
      <c r="N20"/>
      <c r="O20" s="995"/>
    </row>
    <row r="21" spans="2:144" ht="19" hidden="1" thickBot="1" x14ac:dyDescent="0.25">
      <c r="B21" s="204"/>
      <c r="C21" s="204" t="s">
        <v>20</v>
      </c>
      <c r="D21" s="204" t="s">
        <v>21</v>
      </c>
      <c r="G21" s="998"/>
      <c r="H21"/>
      <c r="I21"/>
      <c r="J21" s="59"/>
      <c r="K21" s="59"/>
      <c r="L21" s="59"/>
      <c r="M21" s="59"/>
      <c r="N21"/>
      <c r="O21" s="995"/>
    </row>
    <row r="22" spans="2:144" ht="21" hidden="1" thickBot="1" x14ac:dyDescent="0.25">
      <c r="B22" s="400" t="s">
        <v>64</v>
      </c>
      <c r="C22" s="204">
        <f>+((C8-C9)/C8)*C7</f>
        <v>131.52600116275431</v>
      </c>
      <c r="D22" s="204">
        <f>+(C9/C8)*C7</f>
        <v>149.47399883724569</v>
      </c>
      <c r="G22" s="994" t="s">
        <v>219</v>
      </c>
      <c r="H22" s="1048">
        <f>(+COS(($B$133*-1)*3.14159265358979/180)*(H4))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</row>
    <row r="23" spans="2:144" ht="20" hidden="1" x14ac:dyDescent="0.2">
      <c r="G23" s="994" t="s">
        <v>234</v>
      </c>
      <c r="H23" s="1094">
        <f>+BL139-H22+H7</f>
        <v>-172.57949769501602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44" ht="20" hidden="1" x14ac:dyDescent="0.2">
      <c r="G24" s="998"/>
      <c r="H24"/>
      <c r="I24"/>
      <c r="J24" s="963"/>
      <c r="K24" s="963">
        <f>((+H8-H23)/H8*BQ25)</f>
        <v>506.55739001069531</v>
      </c>
      <c r="L24" s="963">
        <f>(H23/H8*BQ25)</f>
        <v>-225.55739001069534</v>
      </c>
      <c r="M24" s="961" t="s">
        <v>223</v>
      </c>
      <c r="N24"/>
      <c r="O24" s="995"/>
    </row>
    <row r="25" spans="2:144" ht="27.75" customHeight="1" thickBot="1" x14ac:dyDescent="0.25">
      <c r="G25" s="998"/>
      <c r="H25"/>
      <c r="I25"/>
      <c r="J25" s="965"/>
      <c r="K25" s="965">
        <f>ABS($H$1/K24)</f>
        <v>35.533979673300102</v>
      </c>
      <c r="L25" s="965">
        <f>ABS($H$1/L24)</f>
        <v>79.80230662868766</v>
      </c>
      <c r="M25" s="967" t="s">
        <v>222</v>
      </c>
      <c r="N25"/>
      <c r="O25" s="995"/>
      <c r="BE25" s="74"/>
      <c r="BF25" s="74"/>
      <c r="BG25" s="74"/>
      <c r="BH25" s="74"/>
      <c r="BO25" s="64"/>
      <c r="BP25" s="75" t="s">
        <v>25</v>
      </c>
      <c r="BQ25" s="1814">
        <f>+C7</f>
        <v>281</v>
      </c>
      <c r="BR25" s="1814"/>
      <c r="BS25" s="76" t="s">
        <v>17</v>
      </c>
      <c r="BT25" s="76"/>
      <c r="BU25" s="77" t="s">
        <v>153</v>
      </c>
      <c r="BV25" s="78"/>
      <c r="BW25" s="78"/>
      <c r="BX25" s="78"/>
      <c r="BY25" s="78"/>
      <c r="BZ25" s="78"/>
      <c r="CA25" s="78"/>
      <c r="CB25" s="78"/>
      <c r="CC25" s="78"/>
      <c r="CD25" s="78"/>
      <c r="CE25" s="78"/>
      <c r="CF25" s="78"/>
      <c r="CG25" s="78"/>
      <c r="CH25" s="78"/>
      <c r="CI25" s="78"/>
      <c r="CJ25" s="78"/>
      <c r="CK25" s="78"/>
      <c r="CL25" s="78"/>
      <c r="CM25" s="78"/>
      <c r="CN25" s="78"/>
      <c r="CO25" s="78"/>
      <c r="CP25" s="78"/>
      <c r="CQ25" s="78"/>
      <c r="CR25" s="78"/>
      <c r="CS25" s="78"/>
      <c r="CT25" s="78"/>
      <c r="CU25" s="78"/>
      <c r="CV25" s="78"/>
      <c r="CW25" s="78"/>
      <c r="CX25" s="78"/>
      <c r="CY25" s="78"/>
      <c r="CZ25" s="78"/>
      <c r="DA25" s="78"/>
      <c r="DB25" s="78"/>
      <c r="DC25" s="78"/>
      <c r="DD25" s="78"/>
    </row>
    <row r="26" spans="2:144" s="74" customFormat="1" ht="37" customHeight="1" thickBot="1" x14ac:dyDescent="0.3">
      <c r="B26" s="187"/>
      <c r="C26" s="187"/>
      <c r="G26" s="998"/>
      <c r="H26"/>
      <c r="I26"/>
      <c r="J26" s="1733"/>
      <c r="K26" s="1733"/>
      <c r="L26" s="1733">
        <f>ABS($E$20/BQ25)</f>
        <v>28.469750889679716</v>
      </c>
      <c r="M26" s="1734" t="s">
        <v>350</v>
      </c>
      <c r="N26"/>
      <c r="O26" s="995"/>
      <c r="P26" s="64"/>
      <c r="Q26" s="64"/>
      <c r="R26" s="64"/>
      <c r="S26" s="64"/>
      <c r="T26" s="64"/>
      <c r="U26" s="64"/>
      <c r="V26" s="64"/>
      <c r="W26" s="64"/>
      <c r="X26" s="64"/>
      <c r="Y26" s="64"/>
      <c r="Z26" s="64"/>
      <c r="AA26" s="64"/>
      <c r="AB26" s="64"/>
      <c r="AC26" s="64"/>
      <c r="AD26" s="64"/>
      <c r="AE26" s="64"/>
      <c r="AF26" s="64"/>
      <c r="AG26" s="64"/>
      <c r="AH26" s="64"/>
      <c r="AI26" s="64"/>
      <c r="AJ26" s="64"/>
      <c r="AK26" s="64"/>
      <c r="AL26" s="64"/>
      <c r="AM26" s="64"/>
      <c r="AN26" s="64"/>
      <c r="AO26" s="64"/>
      <c r="AP26" s="64"/>
      <c r="AQ26" s="64"/>
      <c r="AR26" s="64"/>
      <c r="AS26" s="64"/>
      <c r="AT26" s="64"/>
      <c r="AU26" s="64"/>
      <c r="AV26" s="64"/>
      <c r="AW26" s="64"/>
      <c r="AX26" s="64"/>
      <c r="AY26" s="64"/>
      <c r="AZ26" s="64"/>
      <c r="BA26" s="64"/>
      <c r="BB26" s="64"/>
      <c r="BD26"/>
      <c r="BE26" s="85"/>
      <c r="BF26" s="85"/>
      <c r="BG26" s="85"/>
      <c r="BH26" s="85"/>
      <c r="BI26"/>
      <c r="BJ26"/>
      <c r="BK26"/>
      <c r="BL26"/>
      <c r="BM26" s="81" t="b">
        <f>AND(BQ27&gt;0,CO27&gt;0)</f>
        <v>1</v>
      </c>
      <c r="BN26" s="952" t="str">
        <f>IF(BM26=TRUE,"","negative force at the motor")</f>
        <v/>
      </c>
      <c r="BO26" s="1095" t="s">
        <v>128</v>
      </c>
      <c r="BP26" s="740" t="s">
        <v>27</v>
      </c>
      <c r="BQ26" s="776" t="s">
        <v>28</v>
      </c>
      <c r="BR26" s="777"/>
      <c r="BS26" s="777"/>
      <c r="BT26" s="777"/>
      <c r="BU26" s="777"/>
      <c r="BV26" s="777"/>
      <c r="BW26" s="777"/>
      <c r="BX26" s="777"/>
      <c r="BY26" s="777"/>
      <c r="BZ26" s="777"/>
      <c r="CA26" s="777"/>
      <c r="CB26" s="777"/>
      <c r="CC26" s="777"/>
      <c r="CD26" s="777"/>
      <c r="CE26" s="777"/>
      <c r="CF26" s="777"/>
      <c r="CG26" s="777"/>
      <c r="CH26" s="777"/>
      <c r="CI26" s="884"/>
      <c r="CJ26" s="777"/>
      <c r="CK26" s="885"/>
      <c r="CL26" s="885"/>
      <c r="CM26" s="885"/>
      <c r="CN26" s="885"/>
      <c r="CO26" s="777"/>
      <c r="CP26" s="782" t="s">
        <v>29</v>
      </c>
      <c r="CQ26" s="1801"/>
      <c r="CR26" s="1801"/>
      <c r="CS26" s="1801"/>
      <c r="CT26" s="1801"/>
      <c r="CU26" s="1801"/>
      <c r="CV26" s="1801"/>
      <c r="CW26" s="1801"/>
      <c r="CX26" s="1801"/>
      <c r="CY26" s="1801"/>
      <c r="CZ26" s="1801"/>
      <c r="DA26" s="1802"/>
      <c r="DB26" s="78"/>
      <c r="DC26" s="78"/>
      <c r="DD26" s="78"/>
      <c r="DE26"/>
      <c r="DF26"/>
      <c r="DG26"/>
      <c r="DH26"/>
      <c r="DI26"/>
      <c r="DJ26"/>
      <c r="DK26"/>
      <c r="DL26"/>
      <c r="DM26"/>
      <c r="DN26"/>
      <c r="DO26"/>
      <c r="DP26"/>
      <c r="DQ26"/>
      <c r="DR26"/>
      <c r="DS26"/>
      <c r="DT26"/>
      <c r="DU26"/>
      <c r="DV26"/>
      <c r="DW26"/>
      <c r="DX26"/>
      <c r="DY26"/>
      <c r="DZ26"/>
      <c r="EA26"/>
      <c r="EB26"/>
      <c r="EC26"/>
      <c r="ED26"/>
      <c r="EE26"/>
      <c r="EF26"/>
      <c r="EG26"/>
      <c r="EH26"/>
      <c r="EI26"/>
      <c r="EJ26"/>
      <c r="EK26"/>
      <c r="EL26"/>
      <c r="EM26"/>
      <c r="EN26"/>
    </row>
    <row r="27" spans="2:144" ht="44" thickBot="1" x14ac:dyDescent="0.3">
      <c r="G27" s="998"/>
      <c r="H27"/>
      <c r="I27"/>
      <c r="J27" s="59"/>
      <c r="K27" s="59"/>
      <c r="L27" s="59"/>
      <c r="M27" s="59"/>
      <c r="N27"/>
      <c r="O27" s="995"/>
      <c r="U27" s="114"/>
      <c r="BE27" s="85"/>
      <c r="BF27" s="85"/>
      <c r="BG27" s="85"/>
      <c r="BH27" s="85"/>
      <c r="BL27" s="968">
        <v>1</v>
      </c>
      <c r="BM27" s="1762" t="b">
        <f>AND(BO27&gt;=10,$BA$139&gt;=10,$BB$139&gt;=10,$BA$171&gt;=10,$BB$171&gt;=10,$BA$195&gt;=10,$BB$195&gt;=10)</f>
        <v>1</v>
      </c>
      <c r="BN27" s="84" t="str">
        <f>IF(BM27=TRUE,"O K","OVERLOAD")</f>
        <v>O K</v>
      </c>
      <c r="BO27" s="982">
        <f>+MIN(J7:L8)</f>
        <v>44.521485908238674</v>
      </c>
      <c r="BP27" s="741" t="s">
        <v>180</v>
      </c>
      <c r="BQ27" s="1809">
        <f>+((D4-D5)/D4)*C7</f>
        <v>101.31147800213907</v>
      </c>
      <c r="BR27" s="1810"/>
      <c r="BS27" s="783"/>
      <c r="BT27" s="783"/>
      <c r="BU27" s="783"/>
      <c r="BV27" s="784"/>
      <c r="BW27" s="784"/>
      <c r="BX27" s="784"/>
      <c r="BY27" s="886"/>
      <c r="BZ27" s="886"/>
      <c r="CA27" s="886"/>
      <c r="CB27" s="886"/>
      <c r="CC27" s="886"/>
      <c r="CD27" s="886"/>
      <c r="CE27" s="886"/>
      <c r="CF27" s="886"/>
      <c r="CG27" s="886"/>
      <c r="CH27" s="886"/>
      <c r="CI27" s="887"/>
      <c r="CJ27" s="783"/>
      <c r="CK27" s="783"/>
      <c r="CL27" s="783"/>
      <c r="CM27" s="784"/>
      <c r="CN27" s="784"/>
      <c r="CO27" s="1799">
        <f>+(D5/D4)*C7</f>
        <v>179.68852199786093</v>
      </c>
      <c r="CP27" s="1800"/>
      <c r="CQ27" s="1803"/>
      <c r="CR27" s="1803"/>
      <c r="CS27" s="1803"/>
      <c r="CT27" s="1803"/>
      <c r="CU27" s="1803"/>
      <c r="CV27" s="1803"/>
      <c r="CW27" s="1803"/>
      <c r="CX27" s="1803"/>
      <c r="CY27" s="1803"/>
      <c r="CZ27" s="1803"/>
      <c r="DA27" s="1804"/>
      <c r="DB27" s="78"/>
      <c r="DC27" s="78"/>
      <c r="DD27" s="78"/>
    </row>
    <row r="28" spans="2:144" ht="12.75" customHeight="1" thickBot="1" x14ac:dyDescent="0.3"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  <c r="BE28" s="85"/>
      <c r="BF28" s="85"/>
      <c r="BG28" s="85"/>
      <c r="BH28" s="85"/>
      <c r="BN28" s="86"/>
      <c r="BO28" s="85"/>
      <c r="BP28" s="87"/>
      <c r="BQ28" s="88"/>
      <c r="BR28" s="88"/>
      <c r="BS28" s="87"/>
      <c r="BT28" s="87"/>
      <c r="BU28" s="87"/>
      <c r="BV28" s="87"/>
      <c r="BW28" s="87"/>
      <c r="BX28" s="87"/>
      <c r="BY28" s="87"/>
      <c r="BZ28" s="87"/>
      <c r="CA28" s="87"/>
      <c r="CB28" s="87"/>
      <c r="CC28" s="87"/>
      <c r="CD28" s="87"/>
      <c r="CE28" s="87"/>
      <c r="CF28" s="87"/>
      <c r="CG28" s="87"/>
      <c r="CH28" s="87"/>
      <c r="CJ28" s="76"/>
      <c r="CK28" s="76"/>
      <c r="CL28" s="88"/>
      <c r="CM28" s="89"/>
      <c r="CN28" s="89"/>
      <c r="CO28" s="89"/>
      <c r="CP28" s="89"/>
      <c r="CQ28" s="89"/>
      <c r="CR28" s="89"/>
      <c r="CS28" s="89"/>
      <c r="CT28" s="89"/>
      <c r="CU28" s="89"/>
      <c r="CV28" s="89"/>
      <c r="CW28" s="89"/>
      <c r="CX28" s="89"/>
      <c r="CY28" s="89"/>
      <c r="CZ28" s="89"/>
      <c r="DA28" s="89"/>
      <c r="DB28" s="89"/>
      <c r="DC28" s="78"/>
      <c r="DD28" s="78"/>
    </row>
    <row r="29" spans="2:144" ht="37" customHeight="1" thickBot="1" x14ac:dyDescent="0.3">
      <c r="F29" s="486"/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  <c r="BE29" s="85"/>
      <c r="BF29" s="85"/>
      <c r="BG29" s="85"/>
      <c r="BH29" s="85"/>
      <c r="BM29" s="81" t="b">
        <f>AND(CB30&gt;0,CZ30&gt;0)</f>
        <v>1</v>
      </c>
      <c r="BN29" s="952" t="str">
        <f>IF(BM29=TRUE,"","negative force at the motor")</f>
        <v/>
      </c>
      <c r="BO29" s="1095" t="s">
        <v>128</v>
      </c>
      <c r="BP29" s="742" t="s">
        <v>27</v>
      </c>
      <c r="BQ29" s="1833"/>
      <c r="BR29" s="1834"/>
      <c r="BS29" s="1834"/>
      <c r="BT29" s="1834"/>
      <c r="BU29" s="1834"/>
      <c r="BV29" s="1834"/>
      <c r="BW29" s="1834"/>
      <c r="BX29" s="1834"/>
      <c r="BY29" s="1834"/>
      <c r="BZ29" s="1834"/>
      <c r="CA29" s="1834"/>
      <c r="CB29" s="772" t="s">
        <v>28</v>
      </c>
      <c r="CC29" s="774"/>
      <c r="CD29" s="774"/>
      <c r="CE29" s="774"/>
      <c r="CF29" s="774"/>
      <c r="CG29" s="774"/>
      <c r="CH29" s="774"/>
      <c r="CI29" s="774"/>
      <c r="CJ29" s="774"/>
      <c r="CK29" s="774"/>
      <c r="CL29" s="774"/>
      <c r="CM29" s="774"/>
      <c r="CN29" s="888"/>
      <c r="CO29" s="765"/>
      <c r="CP29" s="765"/>
      <c r="CQ29" s="765"/>
      <c r="CR29" s="765"/>
      <c r="CS29" s="889"/>
      <c r="CT29" s="889"/>
      <c r="CU29" s="888"/>
      <c r="CV29" s="888"/>
      <c r="CW29" s="888"/>
      <c r="CX29" s="888"/>
      <c r="CY29" s="888"/>
      <c r="CZ29" s="765"/>
      <c r="DA29" s="766" t="s">
        <v>29</v>
      </c>
      <c r="DB29" s="90"/>
      <c r="DC29" s="78"/>
      <c r="DD29" s="78"/>
    </row>
    <row r="30" spans="2:144" ht="44" thickBot="1" x14ac:dyDescent="0.3">
      <c r="G30" s="1000"/>
      <c r="H30" s="63"/>
      <c r="I30"/>
      <c r="J30" s="963"/>
      <c r="K30" s="963">
        <f>((+H8-H23)/H8*BQ25)</f>
        <v>506.55739001069531</v>
      </c>
      <c r="L30" s="963">
        <f>(H23/H8*BQ25)</f>
        <v>-225.55739001069534</v>
      </c>
      <c r="M30" s="961" t="s">
        <v>223</v>
      </c>
      <c r="N30"/>
      <c r="O30" s="995"/>
      <c r="BL30" s="968">
        <v>2</v>
      </c>
      <c r="BM30" s="1762" t="b">
        <f>AND(BO30&gt;=10,$BA$139&gt;=10,$BB$139&gt;=10,$BA$171&gt;=10,$BB$171&gt;=10,$BA$195&gt;=10,$BB$195&gt;=10)</f>
        <v>1</v>
      </c>
      <c r="BN30" s="84" t="str">
        <f>IF(BM30=TRUE,"O K","OVERLOAD")</f>
        <v>O K</v>
      </c>
      <c r="BO30" s="982">
        <f>+MIN(J13:L14)</f>
        <v>35.563224883207603</v>
      </c>
      <c r="BP30" s="743" t="s">
        <v>126</v>
      </c>
      <c r="BQ30" s="1835"/>
      <c r="BR30" s="1836"/>
      <c r="BS30" s="1836"/>
      <c r="BT30" s="1836"/>
      <c r="BU30" s="1836"/>
      <c r="BV30" s="1836"/>
      <c r="BW30" s="1836"/>
      <c r="BX30" s="1836"/>
      <c r="BY30" s="1836"/>
      <c r="BZ30" s="1836"/>
      <c r="CA30" s="1836"/>
      <c r="CB30" s="1840">
        <f>+((D4-D3)/D4)*C7</f>
        <v>224.95147800213908</v>
      </c>
      <c r="CC30" s="1841"/>
      <c r="CD30" s="890"/>
      <c r="CE30" s="890"/>
      <c r="CF30" s="890"/>
      <c r="CG30" s="890"/>
      <c r="CH30" s="890"/>
      <c r="CI30" s="890"/>
      <c r="CJ30" s="890"/>
      <c r="CK30" s="890"/>
      <c r="CL30" s="890"/>
      <c r="CM30" s="890"/>
      <c r="CN30" s="891"/>
      <c r="CO30" s="892"/>
      <c r="CP30" s="892"/>
      <c r="CQ30" s="892"/>
      <c r="CR30" s="892"/>
      <c r="CS30" s="893"/>
      <c r="CT30" s="893"/>
      <c r="CU30" s="883"/>
      <c r="CV30" s="883"/>
      <c r="CW30" s="883"/>
      <c r="CX30" s="883"/>
      <c r="CY30" s="883"/>
      <c r="CZ30" s="1797">
        <f>+(D3/D4)*C7</f>
        <v>56.048521997860924</v>
      </c>
      <c r="DA30" s="1798"/>
      <c r="DB30" s="92"/>
      <c r="DC30" s="78"/>
      <c r="DD30" s="78"/>
    </row>
    <row r="31" spans="2:144" ht="24" thickBot="1" x14ac:dyDescent="0.3">
      <c r="G31" s="1000"/>
      <c r="H31" s="63"/>
      <c r="I31"/>
      <c r="J31" s="965"/>
      <c r="K31" s="965">
        <f>ABS($H$1/K30)</f>
        <v>35.533979673300102</v>
      </c>
      <c r="L31" s="965">
        <f>ABS($H$1/L30)</f>
        <v>79.80230662868766</v>
      </c>
      <c r="M31" s="967" t="s">
        <v>222</v>
      </c>
      <c r="N31"/>
      <c r="O31" s="995"/>
      <c r="BN31" s="86"/>
      <c r="BO31" s="18"/>
      <c r="BP31" s="93"/>
      <c r="BQ31" s="93"/>
      <c r="BR31" s="93"/>
      <c r="BS31" s="93"/>
      <c r="BT31" s="93"/>
      <c r="BU31" s="93"/>
      <c r="BV31" s="93"/>
      <c r="BW31" s="93"/>
      <c r="BX31" s="93"/>
      <c r="BY31" s="94"/>
      <c r="BZ31" s="94"/>
      <c r="CA31" s="89"/>
      <c r="CB31" s="89"/>
      <c r="CC31" s="89"/>
      <c r="CD31" s="89"/>
      <c r="CE31" s="89"/>
      <c r="CF31" s="89"/>
      <c r="CG31" s="89"/>
      <c r="CH31" s="89"/>
      <c r="CI31" s="89"/>
      <c r="CJ31" s="89"/>
      <c r="CK31" s="89"/>
      <c r="CL31" s="89"/>
      <c r="CM31" s="89"/>
      <c r="CN31" s="37"/>
      <c r="CO31" s="95"/>
      <c r="CP31" s="95"/>
      <c r="CQ31" s="95"/>
      <c r="CR31" s="95"/>
      <c r="CS31" s="92"/>
      <c r="CT31" s="92"/>
      <c r="CU31" s="92"/>
      <c r="CV31" s="92"/>
      <c r="CW31" s="92"/>
      <c r="CX31" s="92"/>
      <c r="CY31" s="92"/>
      <c r="CZ31" s="92"/>
      <c r="DA31" s="92"/>
      <c r="DB31" s="92"/>
      <c r="DC31" s="78"/>
      <c r="DD31" s="78"/>
    </row>
    <row r="32" spans="2:144" ht="37" customHeight="1" thickBot="1" x14ac:dyDescent="0.25">
      <c r="E32" s="397"/>
      <c r="F32" s="397"/>
      <c r="G32" s="1000"/>
      <c r="H32" s="63"/>
      <c r="I32"/>
      <c r="J32" s="1733"/>
      <c r="K32" s="1733"/>
      <c r="L32" s="1733">
        <f>ABS($E$20/BQ25)*2</f>
        <v>56.939501779359432</v>
      </c>
      <c r="M32" s="1734" t="s">
        <v>350</v>
      </c>
      <c r="N32" s="1730" t="s">
        <v>352</v>
      </c>
      <c r="O32" s="995"/>
      <c r="BM32" s="81" t="b">
        <f>AND(CB33&gt;0,CQ33&gt;0)</f>
        <v>1</v>
      </c>
      <c r="BN32" s="952" t="str">
        <f>IF(BM32=TRUE,"","negative force at the motor")</f>
        <v/>
      </c>
      <c r="BO32" s="1095" t="s">
        <v>128</v>
      </c>
      <c r="BP32" s="744" t="s">
        <v>27</v>
      </c>
      <c r="BQ32" s="1822"/>
      <c r="BR32" s="1823"/>
      <c r="BS32" s="1823"/>
      <c r="BT32" s="1823"/>
      <c r="BU32" s="1823"/>
      <c r="BV32" s="1823"/>
      <c r="BW32" s="1823"/>
      <c r="BX32" s="1823"/>
      <c r="BY32" s="1823"/>
      <c r="BZ32" s="1823"/>
      <c r="CA32" s="1823"/>
      <c r="CB32" s="894" t="s">
        <v>28</v>
      </c>
      <c r="CC32" s="895"/>
      <c r="CD32" s="895"/>
      <c r="CE32" s="895"/>
      <c r="CF32" s="895"/>
      <c r="CG32" s="895"/>
      <c r="CH32" s="895"/>
      <c r="CI32" s="896"/>
      <c r="CJ32" s="895"/>
      <c r="CK32" s="897"/>
      <c r="CL32" s="897"/>
      <c r="CM32" s="895"/>
      <c r="CN32" s="895"/>
      <c r="CO32" s="895"/>
      <c r="CP32" s="895"/>
      <c r="CQ32" s="895"/>
      <c r="CR32" s="898" t="s">
        <v>29</v>
      </c>
      <c r="CS32" s="1801"/>
      <c r="CT32" s="1801"/>
      <c r="CU32" s="1801"/>
      <c r="CV32" s="1801"/>
      <c r="CW32" s="1801"/>
      <c r="CX32" s="1801"/>
      <c r="CY32" s="1801"/>
      <c r="CZ32" s="1801"/>
      <c r="DA32" s="1802"/>
      <c r="DB32" s="89"/>
      <c r="DC32" s="78"/>
      <c r="DD32" s="78"/>
    </row>
    <row r="33" spans="2:144" ht="31" thickBot="1" x14ac:dyDescent="0.3">
      <c r="E33" s="397"/>
      <c r="F33" s="397"/>
      <c r="G33" s="1000"/>
      <c r="H33" s="63"/>
      <c r="I33"/>
      <c r="J33" s="59"/>
      <c r="K33" s="59"/>
      <c r="L33" s="59"/>
      <c r="M33" s="59"/>
      <c r="N33"/>
      <c r="O33" s="995"/>
      <c r="BL33" s="968">
        <v>3</v>
      </c>
      <c r="BM33" s="1762" t="b">
        <f>AND(BO33&gt;=10,$BA$139&gt;=10,$BB$139&gt;=10,$BA$171&gt;=10,$BB$171&gt;=10,$BA$195&gt;=10,$BB$195&gt;=10)</f>
        <v>1</v>
      </c>
      <c r="BN33" s="84" t="str">
        <f>IF(BM33=TRUE,"O K","OVERLOAD")</f>
        <v>O K</v>
      </c>
      <c r="BO33" s="983">
        <f>+$E$20/(MAX(CB33,CQ33))</f>
        <v>41.359874545738343</v>
      </c>
      <c r="BP33" s="745" t="s">
        <v>123</v>
      </c>
      <c r="BQ33" s="1824"/>
      <c r="BR33" s="1825"/>
      <c r="BS33" s="1825"/>
      <c r="BT33" s="1825"/>
      <c r="BU33" s="1825"/>
      <c r="BV33" s="1825"/>
      <c r="BW33" s="1825"/>
      <c r="BX33" s="1825"/>
      <c r="BY33" s="1825"/>
      <c r="BZ33" s="1825"/>
      <c r="CA33" s="1825"/>
      <c r="CB33" s="1807">
        <f>+((D2-D3)/D2)*C7</f>
        <v>193.42418437834232</v>
      </c>
      <c r="CC33" s="1808"/>
      <c r="CD33" s="899"/>
      <c r="CE33" s="899"/>
      <c r="CF33" s="899"/>
      <c r="CG33" s="899"/>
      <c r="CH33" s="899"/>
      <c r="CI33" s="900"/>
      <c r="CJ33" s="899"/>
      <c r="CK33" s="901"/>
      <c r="CL33" s="901"/>
      <c r="CM33" s="902"/>
      <c r="CN33" s="902"/>
      <c r="CO33" s="902"/>
      <c r="CP33" s="902"/>
      <c r="CQ33" s="1795">
        <f>+(D3/D2)*C7</f>
        <v>87.575815621657696</v>
      </c>
      <c r="CR33" s="1796"/>
      <c r="CS33" s="1803"/>
      <c r="CT33" s="1803"/>
      <c r="CU33" s="1803"/>
      <c r="CV33" s="1803"/>
      <c r="CW33" s="1803"/>
      <c r="CX33" s="1803"/>
      <c r="CY33" s="1803"/>
      <c r="CZ33" s="1803"/>
      <c r="DA33" s="1804"/>
      <c r="DB33" s="89"/>
      <c r="DC33" s="78"/>
      <c r="DD33" s="78"/>
    </row>
    <row r="34" spans="2:144" ht="24" hidden="1" thickBot="1" x14ac:dyDescent="0.3">
      <c r="E34" s="397"/>
      <c r="F34" s="397"/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  <c r="BN34" s="86"/>
      <c r="BO34" s="18"/>
      <c r="BP34" s="93"/>
      <c r="BQ34" s="93"/>
      <c r="BR34" s="93"/>
      <c r="BS34" s="93"/>
      <c r="BT34" s="93"/>
      <c r="BU34" s="93"/>
      <c r="BV34" s="93"/>
      <c r="BW34" s="93"/>
      <c r="BX34" s="93"/>
      <c r="BY34" s="94"/>
      <c r="BZ34" s="94"/>
      <c r="CA34" s="89"/>
      <c r="CB34" s="89"/>
      <c r="CC34" s="89"/>
      <c r="CD34" s="89"/>
      <c r="CE34" s="89"/>
      <c r="CF34" s="89"/>
      <c r="CG34" s="89"/>
      <c r="CH34" s="89"/>
      <c r="CI34" s="89"/>
      <c r="CJ34" s="89"/>
      <c r="CK34" s="93"/>
      <c r="CL34" s="89"/>
      <c r="CM34" s="89"/>
      <c r="CN34" s="37"/>
      <c r="CO34" s="95"/>
      <c r="CP34" s="95"/>
      <c r="CQ34" s="95"/>
      <c r="CR34" s="95"/>
      <c r="CS34" s="92"/>
      <c r="CT34" s="92"/>
      <c r="CU34" s="92"/>
      <c r="CV34" s="92"/>
      <c r="CW34" s="92"/>
      <c r="CX34" s="92"/>
      <c r="CY34" s="92"/>
      <c r="CZ34" s="92"/>
      <c r="DA34" s="92"/>
      <c r="DB34" s="92"/>
      <c r="DC34" s="78"/>
      <c r="DD34" s="78"/>
    </row>
    <row r="35" spans="2:144" ht="20" hidden="1" x14ac:dyDescent="0.2">
      <c r="B35" s="399"/>
      <c r="C35" s="399"/>
      <c r="D35" s="397"/>
      <c r="E35" s="397"/>
      <c r="F35" s="397"/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  <c r="U35" s="114"/>
      <c r="AB35" s="114"/>
      <c r="AC35" s="114"/>
      <c r="AD35" s="114"/>
      <c r="AE35" s="114"/>
      <c r="BE35" s="136"/>
      <c r="BF35" s="136"/>
      <c r="BG35" s="136"/>
      <c r="BH35" s="136"/>
      <c r="BN35" s="86"/>
    </row>
    <row r="36" spans="2:144" ht="20" hidden="1" x14ac:dyDescent="0.2">
      <c r="B36" s="399"/>
      <c r="C36" s="399"/>
      <c r="D36" s="397"/>
      <c r="E36" s="397"/>
      <c r="F36" s="397"/>
      <c r="G36" s="1000"/>
      <c r="H36" s="63"/>
      <c r="I36"/>
      <c r="J36" s="963">
        <f>+H16/H8*BQ25</f>
        <v>0.75739001069535139</v>
      </c>
      <c r="K36" s="963">
        <f>((H8-H16)/H8)*BQ25</f>
        <v>280.24260998930464</v>
      </c>
      <c r="L36" s="963"/>
      <c r="M36" s="961" t="s">
        <v>223</v>
      </c>
      <c r="N36"/>
      <c r="O36" s="995"/>
      <c r="U36" s="114"/>
      <c r="AB36" s="114"/>
      <c r="AC36" s="114"/>
      <c r="AD36" s="114"/>
      <c r="AE36" s="114"/>
      <c r="BE36" s="136"/>
      <c r="BF36" s="136"/>
      <c r="BG36" s="136"/>
      <c r="BH36" s="136"/>
      <c r="BN36" s="86"/>
    </row>
    <row r="37" spans="2:144" ht="23" hidden="1" x14ac:dyDescent="0.25">
      <c r="B37" s="399"/>
      <c r="C37" s="399"/>
      <c r="D37" s="397"/>
      <c r="E37" s="397"/>
      <c r="F37" s="397"/>
      <c r="G37" s="1000"/>
      <c r="H37" s="63"/>
      <c r="I37"/>
      <c r="J37" s="965">
        <f>ABS($H$1/J36)</f>
        <v>23765.82704526879</v>
      </c>
      <c r="K37" s="965">
        <f>ABS($H$1/K36)</f>
        <v>64.230061234039184</v>
      </c>
      <c r="L37" s="965"/>
      <c r="M37" s="967" t="s">
        <v>222</v>
      </c>
      <c r="N37"/>
      <c r="O37" s="995"/>
      <c r="U37" s="114"/>
      <c r="AB37" s="114"/>
      <c r="AC37" s="114"/>
      <c r="AD37" s="114"/>
      <c r="AE37" s="114"/>
      <c r="BE37" s="136"/>
      <c r="BF37" s="136"/>
      <c r="BG37" s="136"/>
      <c r="BH37" s="136"/>
      <c r="BN37" s="86"/>
      <c r="BO37" s="17"/>
      <c r="BP37" s="177"/>
      <c r="BQ37" s="178"/>
      <c r="BR37" s="178"/>
      <c r="BS37" s="178"/>
      <c r="BT37" s="178"/>
      <c r="BU37" s="178"/>
      <c r="BV37" s="178"/>
      <c r="BW37" s="178"/>
      <c r="BX37" s="178"/>
      <c r="BY37" s="179"/>
      <c r="BZ37" s="179"/>
      <c r="CA37" s="180"/>
      <c r="CB37" s="180"/>
      <c r="CC37" s="180"/>
      <c r="CD37" s="180"/>
      <c r="CE37" s="180"/>
      <c r="CF37" s="180"/>
      <c r="CG37" s="180"/>
      <c r="CH37" s="180"/>
      <c r="CI37" s="37"/>
      <c r="CJ37" s="89"/>
      <c r="CK37" s="181"/>
      <c r="CL37" s="181"/>
      <c r="CM37" s="89"/>
      <c r="CN37" s="89"/>
      <c r="CO37" s="89"/>
      <c r="CP37" s="89"/>
      <c r="CQ37" s="89"/>
      <c r="CR37" s="89"/>
      <c r="CS37" s="89"/>
      <c r="CT37" s="89"/>
      <c r="CU37" s="89"/>
      <c r="CV37" s="89"/>
      <c r="CW37" s="178"/>
      <c r="CX37" s="178"/>
      <c r="CY37" s="178"/>
      <c r="CZ37" s="178"/>
      <c r="DA37" s="178"/>
      <c r="DB37" s="178"/>
      <c r="DC37" s="178"/>
      <c r="DD37" s="178"/>
    </row>
    <row r="38" spans="2:144" ht="24" hidden="1" thickBot="1" x14ac:dyDescent="0.3">
      <c r="B38" s="399"/>
      <c r="C38" s="399"/>
      <c r="D38" s="397"/>
      <c r="E38" s="397"/>
      <c r="F38" s="397"/>
      <c r="G38" s="1000"/>
      <c r="H38" s="63"/>
      <c r="I38"/>
      <c r="J38" s="1733">
        <f>ABS($E$20/BQ25)*2</f>
        <v>56.939501779359432</v>
      </c>
      <c r="K38" s="1733"/>
      <c r="L38" s="1733"/>
      <c r="M38" s="1734" t="s">
        <v>350</v>
      </c>
      <c r="N38" s="1730" t="s">
        <v>352</v>
      </c>
      <c r="O38" s="995"/>
      <c r="U38" s="114"/>
      <c r="AB38" s="114"/>
      <c r="AC38" s="114"/>
      <c r="AD38" s="114"/>
      <c r="AE38" s="114"/>
      <c r="BE38" s="136"/>
      <c r="BF38" s="136"/>
      <c r="BG38" s="136"/>
      <c r="BH38" s="136"/>
      <c r="BN38" s="86"/>
      <c r="BO38" s="17"/>
      <c r="BP38" s="177"/>
      <c r="BQ38" s="178"/>
      <c r="BR38" s="178"/>
      <c r="BS38" s="178"/>
      <c r="BT38" s="178"/>
      <c r="BU38" s="178"/>
      <c r="BV38" s="178"/>
      <c r="BW38" s="178"/>
      <c r="BX38" s="178"/>
      <c r="BY38" s="179"/>
      <c r="BZ38" s="179"/>
      <c r="CA38" s="180"/>
      <c r="CB38" s="180"/>
      <c r="CC38" s="180"/>
      <c r="CD38" s="180"/>
      <c r="CE38" s="180"/>
      <c r="CF38" s="180"/>
      <c r="CG38" s="180"/>
      <c r="CH38" s="180"/>
      <c r="CI38" s="37"/>
      <c r="CJ38" s="89"/>
      <c r="CK38" s="181"/>
      <c r="CL38" s="181"/>
      <c r="CM38" s="89"/>
      <c r="CN38" s="89"/>
      <c r="CO38" s="89"/>
      <c r="CP38" s="89"/>
      <c r="CQ38" s="89"/>
      <c r="CR38" s="89"/>
      <c r="CS38" s="89"/>
      <c r="CT38" s="89"/>
      <c r="CU38" s="89"/>
      <c r="CV38" s="89"/>
      <c r="CW38" s="178"/>
      <c r="CX38" s="178"/>
      <c r="CY38" s="178"/>
      <c r="CZ38" s="178"/>
      <c r="DA38" s="178"/>
      <c r="DB38" s="178"/>
      <c r="DC38" s="178"/>
      <c r="DD38" s="178"/>
    </row>
    <row r="39" spans="2:144" ht="24" hidden="1" thickBot="1" x14ac:dyDescent="0.3">
      <c r="B39" s="399"/>
      <c r="C39" s="399"/>
      <c r="D39" s="397"/>
      <c r="E39" s="397"/>
      <c r="F39" s="397"/>
      <c r="G39" s="998"/>
      <c r="H39"/>
      <c r="I39"/>
      <c r="J39" s="59"/>
      <c r="K39" s="59"/>
      <c r="L39" s="59"/>
      <c r="M39" s="59"/>
      <c r="N39"/>
      <c r="O39" s="995"/>
      <c r="U39" s="114"/>
      <c r="AB39" s="114"/>
      <c r="AC39" s="114"/>
      <c r="AD39" s="114"/>
      <c r="AE39" s="114"/>
      <c r="BE39" s="136"/>
      <c r="BF39" s="136"/>
      <c r="BG39" s="136"/>
      <c r="BH39" s="136"/>
      <c r="BN39" s="86"/>
      <c r="BO39" s="17"/>
      <c r="BP39" s="177"/>
      <c r="BQ39" s="178"/>
      <c r="BR39" s="178"/>
      <c r="BS39" s="178"/>
      <c r="BT39" s="178"/>
      <c r="BU39" s="178"/>
      <c r="BV39" s="178"/>
      <c r="BW39" s="178"/>
      <c r="BX39" s="178"/>
      <c r="BY39" s="179"/>
      <c r="BZ39" s="179"/>
      <c r="CA39" s="182">
        <v>16</v>
      </c>
      <c r="CB39" s="180"/>
      <c r="CC39" s="180"/>
      <c r="CD39" s="180"/>
      <c r="CE39" s="180"/>
      <c r="CF39" s="180"/>
      <c r="CG39" s="180"/>
      <c r="CH39" s="180"/>
      <c r="CI39" s="37"/>
      <c r="CJ39" s="89"/>
      <c r="CK39" s="181"/>
      <c r="CL39" s="181"/>
      <c r="CM39" s="89"/>
      <c r="CN39" s="89"/>
      <c r="CO39" s="89"/>
      <c r="CP39" s="117" t="b">
        <f>IF(CQ57=27,15)</f>
        <v>0</v>
      </c>
      <c r="CQ39" s="183"/>
      <c r="CR39" s="103" t="b">
        <f>IF(CQ57=27,17)</f>
        <v>0</v>
      </c>
      <c r="CS39" s="89"/>
      <c r="CT39" s="89"/>
      <c r="CU39" s="89"/>
      <c r="CV39" s="89"/>
      <c r="CW39" s="178"/>
      <c r="CX39" s="178"/>
      <c r="CY39" s="178"/>
      <c r="CZ39" s="178"/>
      <c r="DA39" s="178"/>
      <c r="DB39" s="178"/>
      <c r="DC39" s="178"/>
      <c r="DD39" s="178"/>
      <c r="DG39" s="1814"/>
      <c r="DH39" s="1814"/>
      <c r="DI39" s="76"/>
      <c r="DJ39" s="76"/>
      <c r="DK39" s="77"/>
      <c r="DL39" s="78"/>
      <c r="DM39" s="78"/>
      <c r="DN39" s="78"/>
      <c r="DO39" s="78"/>
      <c r="DP39" s="78"/>
      <c r="DQ39" s="78"/>
      <c r="DR39" s="78"/>
      <c r="DS39" s="78"/>
      <c r="DT39" s="78"/>
      <c r="DU39" s="78"/>
      <c r="DV39" s="78"/>
      <c r="DW39" s="78"/>
      <c r="DX39" s="78"/>
      <c r="DY39" s="78"/>
      <c r="DZ39" s="78"/>
      <c r="EA39" s="78"/>
      <c r="EB39" s="78"/>
      <c r="EC39" s="78"/>
      <c r="ED39" s="78"/>
      <c r="EE39" s="78"/>
      <c r="EF39" s="78"/>
      <c r="EG39" s="78"/>
      <c r="EH39" s="78"/>
      <c r="EI39" s="78"/>
      <c r="EJ39" s="78"/>
      <c r="EK39" s="78"/>
      <c r="EL39" s="78"/>
      <c r="EM39" s="74"/>
      <c r="EN39" s="74"/>
    </row>
    <row r="40" spans="2:144" ht="24" hidden="1" thickBot="1" x14ac:dyDescent="0.3">
      <c r="B40" s="64"/>
      <c r="C40" s="399"/>
      <c r="E40" s="64"/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/>
      <c r="O40" s="995"/>
      <c r="U40" s="114"/>
      <c r="AB40" s="114"/>
      <c r="AC40" s="114"/>
      <c r="AD40" s="114"/>
      <c r="AE40" s="114"/>
      <c r="BE40" s="136"/>
      <c r="BF40" s="136"/>
      <c r="BG40" s="136"/>
      <c r="BH40" s="136"/>
      <c r="BN40" s="86"/>
      <c r="BO40" s="17"/>
      <c r="BP40" s="177"/>
      <c r="BQ40" s="178"/>
      <c r="BR40" s="178"/>
      <c r="BS40" s="178"/>
      <c r="BT40" s="178"/>
      <c r="BU40" s="178"/>
      <c r="BV40" s="178"/>
      <c r="BW40" s="178"/>
      <c r="BX40" s="178"/>
      <c r="BY40" s="179"/>
      <c r="BZ40" s="179"/>
      <c r="CA40" s="182">
        <v>15</v>
      </c>
      <c r="CB40" s="180"/>
      <c r="CC40" s="180"/>
      <c r="CD40" s="180"/>
      <c r="CE40" s="180"/>
      <c r="CF40" s="180"/>
      <c r="CG40" s="180"/>
      <c r="CH40" s="180"/>
      <c r="CI40" s="37"/>
      <c r="CJ40" s="89"/>
      <c r="CK40" s="181"/>
      <c r="CL40" s="181"/>
      <c r="CM40" s="89"/>
      <c r="CN40" s="117" t="b">
        <f>IF(CP57=26,13)</f>
        <v>0</v>
      </c>
      <c r="CO40" s="183"/>
      <c r="CP40" s="183"/>
      <c r="CQ40" s="183"/>
      <c r="CR40" s="103" t="b">
        <f>IF(CP57=26,17)</f>
        <v>0</v>
      </c>
      <c r="CS40" s="89"/>
      <c r="CT40" s="89"/>
      <c r="CU40" s="89"/>
      <c r="CV40" s="89"/>
      <c r="CW40" s="178"/>
      <c r="CX40" s="178"/>
      <c r="CY40" s="178"/>
      <c r="CZ40" s="178"/>
      <c r="DA40" s="178"/>
      <c r="DB40" s="178"/>
      <c r="DC40" s="178"/>
      <c r="DD40" s="178"/>
      <c r="EK40" s="78"/>
      <c r="EL40" s="78"/>
    </row>
    <row r="41" spans="2:144" ht="31" hidden="1" thickBot="1" x14ac:dyDescent="0.35">
      <c r="B41" s="67"/>
      <c r="C41" s="399"/>
      <c r="E41" s="68"/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  <c r="U41" s="114"/>
      <c r="AB41" s="114"/>
      <c r="AC41" s="114"/>
      <c r="AD41" s="114"/>
      <c r="AE41" s="114"/>
      <c r="BE41" s="136"/>
      <c r="BF41" s="136"/>
      <c r="BG41" s="136"/>
      <c r="BH41" s="136"/>
      <c r="BN41" s="86"/>
      <c r="BO41" s="17"/>
      <c r="BP41" s="177"/>
      <c r="BQ41" s="178"/>
      <c r="BR41" s="178"/>
      <c r="BS41" s="178"/>
      <c r="BT41" s="178"/>
      <c r="BU41" s="178"/>
      <c r="BV41" s="178"/>
      <c r="BW41" s="178"/>
      <c r="BX41" s="178"/>
      <c r="BY41" s="179"/>
      <c r="BZ41" s="179"/>
      <c r="CA41" s="182">
        <v>14</v>
      </c>
      <c r="CB41" s="180"/>
      <c r="CC41" s="180"/>
      <c r="CD41" s="180"/>
      <c r="CE41" s="180"/>
      <c r="CF41" s="180"/>
      <c r="CG41" s="180"/>
      <c r="CH41" s="180"/>
      <c r="CI41" s="37"/>
      <c r="CJ41" s="89"/>
      <c r="CK41" s="181"/>
      <c r="CL41" s="117" t="b">
        <f>IF(CO57=25,11)</f>
        <v>0</v>
      </c>
      <c r="CM41" s="183"/>
      <c r="CN41" s="184"/>
      <c r="CO41" s="184"/>
      <c r="CP41" s="184"/>
      <c r="CQ41" s="184"/>
      <c r="CR41" s="124" t="b">
        <f>IF(CO57=25,17)</f>
        <v>0</v>
      </c>
      <c r="CS41" s="89"/>
      <c r="CT41" s="89"/>
      <c r="CU41" s="89"/>
      <c r="CV41" s="89"/>
      <c r="CW41" s="178"/>
      <c r="CX41" s="178"/>
      <c r="CY41" s="178"/>
      <c r="CZ41" s="178"/>
      <c r="DA41" s="178"/>
      <c r="DB41" s="178"/>
      <c r="DC41" s="178"/>
      <c r="DD41" s="178"/>
      <c r="EK41" s="78"/>
      <c r="EL41" s="78"/>
    </row>
    <row r="42" spans="2:144" ht="24" hidden="1" thickBot="1" x14ac:dyDescent="0.3">
      <c r="B42" s="487"/>
      <c r="C42" s="487"/>
      <c r="D42" s="487"/>
      <c r="E42" s="487"/>
      <c r="G42" s="1002" t="s">
        <v>245</v>
      </c>
      <c r="H42" s="1049">
        <f>SUM(BQ99:CA99)</f>
        <v>8</v>
      </c>
      <c r="I42"/>
      <c r="J42" s="963">
        <f>+H43/H8*BQ25/2</f>
        <v>252.9</v>
      </c>
      <c r="K42" s="963">
        <f>((H8-H43)/H8)*BQ25/2</f>
        <v>-112.4</v>
      </c>
      <c r="L42" s="963">
        <f>+BQ25/2</f>
        <v>140.5</v>
      </c>
      <c r="M42" s="961" t="s">
        <v>223</v>
      </c>
      <c r="N42"/>
      <c r="O42" s="995"/>
      <c r="U42" s="114"/>
      <c r="AB42" s="114"/>
      <c r="AC42" s="114"/>
      <c r="AD42" s="114"/>
      <c r="AE42" s="114"/>
      <c r="BE42" s="136"/>
      <c r="BF42" s="136"/>
      <c r="BG42" s="136"/>
      <c r="BH42" s="136"/>
      <c r="BN42" s="86"/>
      <c r="BO42" s="1091"/>
      <c r="BP42" s="177"/>
      <c r="BQ42" s="178"/>
      <c r="BR42" s="178"/>
      <c r="BS42" s="178"/>
      <c r="BT42" s="178"/>
      <c r="BU42" s="178"/>
      <c r="BV42" s="178"/>
      <c r="BW42" s="178"/>
      <c r="BX42" s="178"/>
      <c r="CA42" s="182">
        <v>13</v>
      </c>
      <c r="CB42" s="178"/>
      <c r="CC42" s="177"/>
      <c r="CD42" s="177"/>
      <c r="CE42" s="177"/>
      <c r="CF42" s="177"/>
      <c r="CG42" s="177"/>
      <c r="CH42" s="177"/>
      <c r="CI42" s="177"/>
      <c r="CJ42" s="117" t="b">
        <f>IF(CN57=24,9)</f>
        <v>0</v>
      </c>
      <c r="CK42" s="185"/>
      <c r="CL42" s="186"/>
      <c r="CM42" s="122"/>
      <c r="CN42" s="186"/>
      <c r="CO42" s="122"/>
      <c r="CP42" s="122"/>
      <c r="CQ42" s="121"/>
      <c r="CR42" s="124" t="b">
        <f>IF(CN57=24,17)</f>
        <v>0</v>
      </c>
      <c r="CS42" s="78"/>
      <c r="CT42" s="78"/>
      <c r="CU42" s="78"/>
      <c r="CV42" s="78"/>
      <c r="CW42" s="78"/>
      <c r="CX42" s="78"/>
      <c r="CY42" s="78"/>
      <c r="CZ42" s="78"/>
      <c r="DA42" s="78"/>
      <c r="DB42" s="78"/>
      <c r="DC42" s="78"/>
      <c r="DD42" s="78"/>
      <c r="EK42" s="78"/>
      <c r="EL42" s="78"/>
    </row>
    <row r="43" spans="2:144" ht="21" hidden="1" thickBot="1" x14ac:dyDescent="0.25">
      <c r="B43" s="488"/>
      <c r="C43" s="489"/>
      <c r="D43" s="488"/>
      <c r="E43" s="488"/>
      <c r="G43" s="994" t="s">
        <v>243</v>
      </c>
      <c r="H43" s="1048">
        <f>$H$5-((H42-1)*$E$2)</f>
        <v>387</v>
      </c>
      <c r="I43"/>
      <c r="J43" s="965">
        <f>ABS($H$1/J42)</f>
        <v>71.17437722419929</v>
      </c>
      <c r="K43" s="965">
        <f>ABS($H$1/K42)</f>
        <v>160.14234875444839</v>
      </c>
      <c r="L43" s="965">
        <f>ABS($H$1/L42)</f>
        <v>128.11387900355871</v>
      </c>
      <c r="M43" s="967" t="s">
        <v>222</v>
      </c>
      <c r="N43"/>
      <c r="O43" s="995"/>
      <c r="U43" s="114"/>
      <c r="AB43" s="114"/>
      <c r="AC43" s="114"/>
      <c r="AD43" s="114"/>
      <c r="AE43" s="114"/>
      <c r="BE43" s="136"/>
      <c r="BF43" s="136"/>
      <c r="BG43" s="136"/>
      <c r="BH43" s="136"/>
      <c r="BN43" s="86"/>
      <c r="BO43" s="1091"/>
      <c r="BP43" s="177"/>
      <c r="BQ43" s="177"/>
      <c r="BR43" s="178"/>
      <c r="BS43" s="177"/>
      <c r="BT43" s="177"/>
      <c r="BU43" s="177"/>
      <c r="CA43" s="182">
        <v>12</v>
      </c>
      <c r="CB43" s="178"/>
      <c r="CC43" s="177"/>
      <c r="CD43" s="177"/>
      <c r="CE43" s="177"/>
      <c r="CF43" s="177"/>
      <c r="CG43" s="177"/>
      <c r="CH43" s="117" t="b">
        <f>IF(CM57=23,7)</f>
        <v>0</v>
      </c>
      <c r="CI43" s="185"/>
      <c r="CJ43" s="185"/>
      <c r="CK43" s="118"/>
      <c r="CL43" s="185"/>
      <c r="CM43" s="185"/>
      <c r="CN43" s="185"/>
      <c r="CO43" s="118"/>
      <c r="CP43" s="118"/>
      <c r="CQ43" s="111"/>
      <c r="CR43" s="103" t="b">
        <f>IF(CM57=23,17)</f>
        <v>0</v>
      </c>
      <c r="CS43" s="78"/>
      <c r="CT43" s="78"/>
      <c r="CU43" s="78"/>
      <c r="CV43" s="78"/>
      <c r="CW43" s="78"/>
      <c r="CX43" s="78"/>
      <c r="CY43" s="78"/>
      <c r="CZ43" s="78"/>
      <c r="DA43" s="78"/>
      <c r="DB43" s="78"/>
      <c r="DC43" s="78"/>
      <c r="DD43" s="78"/>
      <c r="EK43" s="78"/>
      <c r="EL43" s="78"/>
    </row>
    <row r="44" spans="2:144" ht="21" hidden="1" thickBot="1" x14ac:dyDescent="0.25">
      <c r="B44" s="399"/>
      <c r="C44" s="399"/>
      <c r="G44" s="1000"/>
      <c r="H44" s="63"/>
      <c r="I44"/>
      <c r="J44" s="1733"/>
      <c r="K44" s="1733"/>
      <c r="L44" s="1733">
        <f>ABS($E$20/BQ25)*2</f>
        <v>56.939501779359432</v>
      </c>
      <c r="M44" s="1734" t="s">
        <v>350</v>
      </c>
      <c r="N44" s="1730" t="s">
        <v>352</v>
      </c>
      <c r="O44" s="995"/>
      <c r="U44" s="114"/>
      <c r="AB44" s="114"/>
      <c r="AC44" s="114"/>
      <c r="AD44" s="114"/>
      <c r="AE44" s="114"/>
      <c r="BE44" s="136"/>
      <c r="BF44" s="136"/>
      <c r="BG44" s="136"/>
      <c r="BH44" s="136"/>
      <c r="BN44" s="86"/>
      <c r="BO44" s="1091"/>
      <c r="BP44" s="177"/>
      <c r="BQ44" s="177"/>
      <c r="BR44" s="178"/>
      <c r="BS44" s="177"/>
      <c r="BT44" s="177"/>
      <c r="BU44" s="177"/>
      <c r="CA44" s="182">
        <v>11</v>
      </c>
      <c r="CB44" s="178"/>
      <c r="CC44" s="177"/>
      <c r="CD44" s="177"/>
      <c r="CE44" s="177"/>
      <c r="CF44" s="117" t="b">
        <f>IF(CL57=22,5)</f>
        <v>0</v>
      </c>
      <c r="CG44" s="185"/>
      <c r="CH44" s="185"/>
      <c r="CI44" s="118"/>
      <c r="CJ44" s="185"/>
      <c r="CK44" s="118"/>
      <c r="CL44" s="185"/>
      <c r="CM44" s="118"/>
      <c r="CN44" s="185"/>
      <c r="CO44" s="118"/>
      <c r="CP44" s="118"/>
      <c r="CQ44" s="111"/>
      <c r="CR44" s="103" t="b">
        <f>IF(CL57=22,17)</f>
        <v>0</v>
      </c>
      <c r="CS44" s="78"/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DG44" s="107"/>
      <c r="DH44" s="107"/>
      <c r="DI44" s="107"/>
      <c r="DJ44" s="107"/>
      <c r="DK44" s="107"/>
      <c r="DL44" s="108"/>
      <c r="DM44" s="107"/>
      <c r="DN44" s="107"/>
      <c r="DO44" s="107"/>
      <c r="DP44" s="107"/>
      <c r="DQ44" s="107"/>
      <c r="DR44" s="107"/>
      <c r="DS44" s="107"/>
      <c r="DT44" s="107"/>
      <c r="DU44" s="107"/>
      <c r="DV44" s="107"/>
      <c r="DW44" s="107"/>
      <c r="DX44" s="107"/>
      <c r="DY44" s="107"/>
      <c r="DZ44" s="107"/>
      <c r="EA44" s="107"/>
      <c r="EB44" s="107"/>
      <c r="EC44" s="107"/>
      <c r="ED44" s="108"/>
      <c r="EE44" s="78"/>
      <c r="EF44" s="78"/>
      <c r="EG44" s="78"/>
      <c r="EH44" s="78"/>
      <c r="EI44" s="78"/>
      <c r="EJ44" s="78"/>
      <c r="EK44" s="78"/>
      <c r="EL44" s="78"/>
    </row>
    <row r="45" spans="2:144" ht="21" hidden="1" thickBot="1" x14ac:dyDescent="0.25">
      <c r="B45" s="490"/>
      <c r="C45" s="399"/>
      <c r="D45" s="491"/>
      <c r="E45" s="492"/>
      <c r="F45" s="397"/>
      <c r="G45" s="998"/>
      <c r="H45" s="1069" t="s">
        <v>263</v>
      </c>
      <c r="I45"/>
      <c r="J45" s="59"/>
      <c r="K45" s="59"/>
      <c r="L45" s="59"/>
      <c r="M45" s="59"/>
      <c r="N45"/>
      <c r="O45" s="995"/>
      <c r="U45" s="114"/>
      <c r="AB45" s="114"/>
      <c r="AC45" s="114"/>
      <c r="AD45" s="114"/>
      <c r="AE45" s="114"/>
      <c r="BE45" s="136"/>
      <c r="BF45" s="136"/>
      <c r="BG45" s="136"/>
      <c r="BH45" s="136"/>
      <c r="BN45" s="86"/>
      <c r="BO45" s="1091"/>
      <c r="BP45" s="177"/>
      <c r="BQ45" s="177"/>
      <c r="BR45" s="178"/>
      <c r="BS45" s="177"/>
      <c r="BT45" s="177"/>
      <c r="BU45" s="177"/>
      <c r="CA45" s="182">
        <v>10</v>
      </c>
      <c r="CB45" s="178"/>
      <c r="CC45" s="177"/>
      <c r="CD45" s="117" t="b">
        <f>IF(CK57=21,3)</f>
        <v>0</v>
      </c>
      <c r="CE45" s="185"/>
      <c r="CF45" s="185"/>
      <c r="CG45" s="118"/>
      <c r="CH45" s="118"/>
      <c r="CI45" s="118"/>
      <c r="CJ45" s="185"/>
      <c r="CK45" s="185"/>
      <c r="CL45" s="185"/>
      <c r="CM45" s="118"/>
      <c r="CN45" s="185"/>
      <c r="CO45" s="118"/>
      <c r="CP45" s="118"/>
      <c r="CQ45" s="111"/>
      <c r="CR45" s="103" t="b">
        <f>IF(CK57=21,17)</f>
        <v>0</v>
      </c>
      <c r="CS45" s="78"/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DG45" s="107"/>
      <c r="DH45" s="107"/>
      <c r="DI45" s="107"/>
      <c r="DJ45" s="107"/>
      <c r="DK45" s="107"/>
      <c r="DL45" s="108"/>
      <c r="DM45" s="107"/>
      <c r="DN45" s="107"/>
      <c r="DO45" s="107"/>
      <c r="DP45" s="107"/>
      <c r="DQ45" s="107"/>
      <c r="DR45" s="107"/>
      <c r="DS45" s="107"/>
      <c r="DT45" s="107"/>
      <c r="DU45" s="107"/>
      <c r="DV45" s="107"/>
      <c r="DW45" s="107"/>
      <c r="DX45" s="107"/>
      <c r="DY45" s="107"/>
      <c r="DZ45" s="107"/>
      <c r="EA45" s="107"/>
      <c r="EB45" s="107"/>
      <c r="EC45" s="107"/>
      <c r="ED45" s="108"/>
      <c r="EE45" s="78"/>
      <c r="EF45" s="78"/>
      <c r="EG45" s="78"/>
      <c r="EH45" s="78"/>
      <c r="EI45" s="78"/>
      <c r="EJ45" s="78"/>
      <c r="EK45" s="78"/>
      <c r="EL45" s="78"/>
    </row>
    <row r="46" spans="2:144" ht="21" hidden="1" thickBot="1" x14ac:dyDescent="0.25">
      <c r="B46" s="488"/>
      <c r="C46" s="399"/>
      <c r="D46" s="488"/>
      <c r="E46" s="20"/>
      <c r="F46" s="397"/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  <c r="U46" s="114"/>
      <c r="AB46" s="114"/>
      <c r="AC46" s="114"/>
      <c r="AD46" s="114"/>
      <c r="AE46" s="114"/>
      <c r="BE46" s="136"/>
      <c r="BF46" s="136"/>
      <c r="BG46" s="136"/>
      <c r="BH46" s="136"/>
      <c r="BN46" s="86"/>
      <c r="BO46" s="1091"/>
      <c r="BP46" s="177"/>
      <c r="BQ46" s="177"/>
      <c r="BR46" s="178"/>
      <c r="BS46" s="177"/>
      <c r="BT46" s="177"/>
      <c r="BU46" s="177"/>
      <c r="CA46" s="182">
        <v>9</v>
      </c>
      <c r="CB46" s="117" t="b">
        <f>IF(CJ57=20,1)</f>
        <v>0</v>
      </c>
      <c r="CC46" s="185"/>
      <c r="CD46" s="185"/>
      <c r="CE46" s="118"/>
      <c r="CF46" s="185"/>
      <c r="CG46" s="185"/>
      <c r="CH46" s="185"/>
      <c r="CI46" s="185"/>
      <c r="CJ46" s="185"/>
      <c r="CK46" s="185"/>
      <c r="CL46" s="185"/>
      <c r="CM46" s="185"/>
      <c r="CN46" s="185"/>
      <c r="CO46" s="118"/>
      <c r="CP46" s="118"/>
      <c r="CQ46" s="111"/>
      <c r="CR46" s="103" t="b">
        <f>IF(CJ57=20,17)</f>
        <v>0</v>
      </c>
      <c r="CS46" s="78"/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EK46" s="78"/>
      <c r="EL46" s="78"/>
    </row>
    <row r="47" spans="2:144" ht="24" hidden="1" thickBot="1" x14ac:dyDescent="0.3">
      <c r="B47" s="399"/>
      <c r="C47" s="399"/>
      <c r="F47" s="397"/>
      <c r="G47" s="1002" t="s">
        <v>245</v>
      </c>
      <c r="H47" s="1050">
        <f>SUM(CQ99:DA99)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  <c r="U47" s="114"/>
      <c r="AB47" s="114"/>
      <c r="AC47" s="114"/>
      <c r="AD47" s="114"/>
      <c r="AE47" s="114"/>
      <c r="BE47" s="136"/>
      <c r="BF47" s="136"/>
      <c r="BG47" s="136"/>
      <c r="BH47" s="136"/>
      <c r="BN47" s="86"/>
      <c r="BO47" s="1091"/>
      <c r="BP47" s="177"/>
      <c r="BQ47" s="177"/>
      <c r="BR47" s="178"/>
      <c r="BS47" s="177"/>
      <c r="BT47" s="177"/>
      <c r="BU47" s="177"/>
      <c r="CA47" s="182">
        <v>8</v>
      </c>
      <c r="CB47" s="120" t="b">
        <f>IF(CI57=19,1)</f>
        <v>0</v>
      </c>
      <c r="CC47" s="122"/>
      <c r="CD47" s="186"/>
      <c r="CE47" s="186"/>
      <c r="CF47" s="186"/>
      <c r="CG47" s="186"/>
      <c r="CH47" s="186"/>
      <c r="CI47" s="186"/>
      <c r="CJ47" s="186"/>
      <c r="CK47" s="186"/>
      <c r="CL47" s="186"/>
      <c r="CM47" s="186"/>
      <c r="CN47" s="186"/>
      <c r="CO47" s="122"/>
      <c r="CP47" s="124" t="b">
        <f>IF(CI57=19,15)</f>
        <v>0</v>
      </c>
      <c r="CQ47" s="78"/>
      <c r="CR47" s="78"/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EK47" s="78"/>
      <c r="EL47" s="78"/>
    </row>
    <row r="48" spans="2:144" ht="21" hidden="1" thickBot="1" x14ac:dyDescent="0.25">
      <c r="B48" s="399"/>
      <c r="C48" s="399"/>
      <c r="G48" s="994" t="s">
        <v>243</v>
      </c>
      <c r="H48" s="1048">
        <f>($E$2*(H47-1))-$H$4</f>
        <v>-903</v>
      </c>
      <c r="I48"/>
      <c r="J48" s="963">
        <f>+BQ25/2</f>
        <v>140.5</v>
      </c>
      <c r="K48" s="963">
        <f>((H8-H48)/H8)*BQ25/2</f>
        <v>730.6</v>
      </c>
      <c r="L48" s="963">
        <f>+H48/H8*BQ25/2</f>
        <v>-590.1</v>
      </c>
      <c r="M48" s="961" t="s">
        <v>223</v>
      </c>
      <c r="N48"/>
      <c r="O48" s="995"/>
      <c r="U48" s="114"/>
      <c r="AB48" s="114"/>
      <c r="AC48" s="114"/>
      <c r="AD48" s="114"/>
      <c r="AE48" s="114"/>
      <c r="BE48" s="136"/>
      <c r="BF48" s="136"/>
      <c r="BG48" s="136"/>
      <c r="BH48" s="136"/>
      <c r="BN48" s="86"/>
      <c r="BO48" s="1091"/>
      <c r="BP48" s="177"/>
      <c r="BQ48" s="177"/>
      <c r="BR48" s="178"/>
      <c r="BS48" s="177"/>
      <c r="BT48" s="177"/>
      <c r="BU48" s="177"/>
      <c r="CA48" s="182">
        <v>7</v>
      </c>
      <c r="CB48" s="120" t="b">
        <f>IF(CH57=18,1)</f>
        <v>0</v>
      </c>
      <c r="CC48" s="186"/>
      <c r="CD48" s="186"/>
      <c r="CE48" s="186"/>
      <c r="CF48" s="186"/>
      <c r="CG48" s="186"/>
      <c r="CH48" s="186"/>
      <c r="CI48" s="186"/>
      <c r="CJ48" s="186"/>
      <c r="CK48" s="186"/>
      <c r="CL48" s="186"/>
      <c r="CM48" s="186"/>
      <c r="CN48" s="124" t="b">
        <f>IF(CH57=18,13)</f>
        <v>0</v>
      </c>
      <c r="CO48" s="178"/>
      <c r="CQ48" s="78"/>
      <c r="CR48" s="78"/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EK48" s="78"/>
      <c r="EL48" s="78"/>
    </row>
    <row r="49" spans="2:142" ht="21" hidden="1" thickBot="1" x14ac:dyDescent="0.25">
      <c r="G49" s="998"/>
      <c r="H49"/>
      <c r="I49"/>
      <c r="J49" s="965">
        <f>ABS($H$1/J48)</f>
        <v>128.11387900355871</v>
      </c>
      <c r="K49" s="965">
        <f>ABS($H$1/K48)</f>
        <v>24.63728442376129</v>
      </c>
      <c r="L49" s="965">
        <f>ABS($H$1/L48)</f>
        <v>30.503304524656837</v>
      </c>
      <c r="M49" s="967" t="s">
        <v>222</v>
      </c>
      <c r="N49" s="74"/>
      <c r="O49" s="1010"/>
      <c r="U49" s="114"/>
      <c r="AB49" s="114"/>
      <c r="AC49" s="114"/>
      <c r="AD49" s="114"/>
      <c r="AE49" s="114"/>
      <c r="BE49" s="136"/>
      <c r="BF49" s="136"/>
      <c r="BG49" s="136"/>
      <c r="BH49" s="136"/>
      <c r="BN49" s="86"/>
      <c r="BO49" s="1091"/>
      <c r="BP49" s="177"/>
      <c r="BQ49" s="177"/>
      <c r="BR49" s="178"/>
      <c r="BS49" s="177"/>
      <c r="BT49" s="177"/>
      <c r="BU49" s="177"/>
      <c r="CA49" s="182">
        <v>6</v>
      </c>
      <c r="CB49" s="120">
        <f>IF(CG57=17,1)</f>
        <v>1</v>
      </c>
      <c r="CC49" s="186"/>
      <c r="CD49" s="186"/>
      <c r="CE49" s="186"/>
      <c r="CF49" s="186"/>
      <c r="CG49" s="186"/>
      <c r="CH49" s="186"/>
      <c r="CI49" s="186"/>
      <c r="CJ49" s="186"/>
      <c r="CK49" s="186"/>
      <c r="CL49" s="124">
        <f>IF(CG57=17,11)</f>
        <v>11</v>
      </c>
      <c r="CM49" s="177"/>
      <c r="CN49" s="177"/>
      <c r="CO49" s="178"/>
      <c r="CQ49" s="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EK49" s="78"/>
      <c r="EL49" s="78"/>
    </row>
    <row r="50" spans="2:142" ht="21" hidden="1" thickBot="1" x14ac:dyDescent="0.25">
      <c r="G50" s="998"/>
      <c r="H50"/>
      <c r="I50"/>
      <c r="J50" s="1733">
        <f>ABS($E$20/BQ25)*2</f>
        <v>56.939501779359432</v>
      </c>
      <c r="K50" s="1733"/>
      <c r="L50" s="1733"/>
      <c r="M50" s="1734" t="s">
        <v>350</v>
      </c>
      <c r="N50" s="1730" t="s">
        <v>352</v>
      </c>
      <c r="O50" s="995"/>
      <c r="U50" s="114"/>
      <c r="AB50" s="114"/>
      <c r="AC50" s="114"/>
      <c r="AD50" s="114"/>
      <c r="AE50" s="114"/>
      <c r="BE50" s="136"/>
      <c r="BF50" s="136"/>
      <c r="BG50" s="136"/>
      <c r="BH50" s="136"/>
      <c r="BN50" s="86"/>
      <c r="BO50" s="1091"/>
      <c r="BP50" s="177"/>
      <c r="BQ50" s="177"/>
      <c r="BR50" s="178"/>
      <c r="BS50" s="177"/>
      <c r="BT50" s="177"/>
      <c r="BU50" s="177"/>
      <c r="CA50" s="182">
        <v>5</v>
      </c>
      <c r="CB50" s="117" t="b">
        <f>IF(CF57=16,1)</f>
        <v>0</v>
      </c>
      <c r="CC50" s="185"/>
      <c r="CD50" s="185"/>
      <c r="CE50" s="118"/>
      <c r="CF50" s="185"/>
      <c r="CG50" s="118"/>
      <c r="CH50" s="185"/>
      <c r="CI50" s="185"/>
      <c r="CJ50" s="103" t="b">
        <f>IF(CF57=16,9)</f>
        <v>0</v>
      </c>
      <c r="CK50" s="177"/>
      <c r="CL50" s="177"/>
      <c r="CM50" s="177"/>
      <c r="CN50" s="177"/>
      <c r="CO50" s="178"/>
      <c r="CQ50" s="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EK50" s="78"/>
      <c r="EL50" s="78"/>
    </row>
    <row r="51" spans="2:142" ht="21" hidden="1" thickBot="1" x14ac:dyDescent="0.25">
      <c r="B51" s="406"/>
      <c r="C51" s="406"/>
      <c r="D51" s="407"/>
      <c r="E51" s="407"/>
      <c r="F51" s="407"/>
      <c r="G51" s="998"/>
      <c r="H51"/>
      <c r="I51"/>
      <c r="J51" s="59"/>
      <c r="K51" s="59"/>
      <c r="L51" s="59"/>
      <c r="M51" s="59"/>
      <c r="N51"/>
      <c r="O51" s="995"/>
      <c r="BD51" s="126"/>
      <c r="BE51" s="136"/>
      <c r="BF51" s="136"/>
      <c r="BG51" s="136"/>
      <c r="BH51" s="136"/>
      <c r="BN51" s="86"/>
      <c r="BO51" s="1091"/>
      <c r="BP51" s="177"/>
      <c r="BQ51" s="177"/>
      <c r="BR51" s="178"/>
      <c r="BS51" s="177"/>
      <c r="BT51" s="177"/>
      <c r="BU51" s="177"/>
      <c r="CA51" s="182">
        <v>4</v>
      </c>
      <c r="CB51" s="117" t="b">
        <f>IF(CE57=15,1)</f>
        <v>0</v>
      </c>
      <c r="CC51" s="118"/>
      <c r="CD51" s="118"/>
      <c r="CE51" s="185"/>
      <c r="CF51" s="118"/>
      <c r="CG51" s="118"/>
      <c r="CH51" s="103" t="b">
        <f>IF(CE57=15,7)</f>
        <v>0</v>
      </c>
      <c r="CI51" s="177"/>
      <c r="CJ51" s="177"/>
      <c r="CK51" s="177"/>
      <c r="CL51" s="177"/>
      <c r="CM51" s="177"/>
      <c r="CN51" s="177"/>
      <c r="CO51" s="178"/>
      <c r="CQ51" s="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EK51" s="78"/>
      <c r="EL51" s="78"/>
    </row>
    <row r="52" spans="2:142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  <c r="BD52" s="126"/>
      <c r="BE52" s="136"/>
      <c r="BF52" s="136"/>
      <c r="BG52" s="136"/>
      <c r="BH52" s="136"/>
      <c r="BN52" s="86"/>
      <c r="BO52" s="1091"/>
      <c r="BP52" s="177"/>
      <c r="BQ52" s="177"/>
      <c r="BR52" s="178"/>
      <c r="BS52" s="177"/>
      <c r="BT52" s="177"/>
      <c r="BU52" s="177"/>
      <c r="CA52" s="182">
        <v>3</v>
      </c>
      <c r="CB52" s="120" t="b">
        <f>IF(CD57=14,1)</f>
        <v>0</v>
      </c>
      <c r="CC52" s="186"/>
      <c r="CD52" s="186"/>
      <c r="CE52" s="186"/>
      <c r="CF52" s="124" t="b">
        <f>IF(CD57=14,5)</f>
        <v>0</v>
      </c>
      <c r="CG52" s="177"/>
      <c r="CH52" s="177"/>
      <c r="CI52" s="177"/>
      <c r="CJ52" s="177"/>
      <c r="CK52" s="177"/>
      <c r="CL52" s="177"/>
      <c r="CM52" s="177"/>
      <c r="CN52" s="177"/>
      <c r="CO52" s="178"/>
      <c r="CQ52" s="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EK52" s="78"/>
      <c r="EL52" s="78"/>
    </row>
    <row r="53" spans="2:142" ht="24" hidden="1" thickBot="1" x14ac:dyDescent="0.3">
      <c r="B53"/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D53" s="126"/>
      <c r="BE53" s="136"/>
      <c r="BF53" s="136"/>
      <c r="BG53" s="136"/>
      <c r="BH53" s="136"/>
      <c r="BN53" s="86"/>
      <c r="BO53" s="1091"/>
      <c r="BP53" s="177"/>
      <c r="BQ53" s="177"/>
      <c r="BR53" s="178"/>
      <c r="BS53" s="177"/>
      <c r="BT53" s="177"/>
      <c r="BU53" s="177"/>
      <c r="CA53" s="182">
        <v>2</v>
      </c>
      <c r="CB53" s="120" t="b">
        <f>IF(CC57=13,1)</f>
        <v>0</v>
      </c>
      <c r="CC53" s="186"/>
      <c r="CD53" s="124" t="b">
        <f>IF(CC57=13,3)</f>
        <v>0</v>
      </c>
      <c r="CE53" s="177"/>
      <c r="CF53" s="177"/>
      <c r="CG53" s="177"/>
      <c r="CH53" s="177"/>
      <c r="CI53" s="177"/>
      <c r="CJ53" s="177"/>
      <c r="CK53" s="177"/>
      <c r="CL53" s="177"/>
      <c r="CM53" s="177"/>
      <c r="CN53" s="177"/>
      <c r="CO53" s="1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EK53" s="78"/>
      <c r="EL53" s="78"/>
    </row>
    <row r="54" spans="2:142" ht="21" thickBot="1" x14ac:dyDescent="0.25">
      <c r="B54" s="406"/>
      <c r="C54" s="406"/>
      <c r="D54" s="407"/>
      <c r="E54" s="407"/>
      <c r="F54" s="407"/>
      <c r="G54" s="994" t="s">
        <v>243</v>
      </c>
      <c r="H54" s="956"/>
      <c r="I54"/>
      <c r="J54" s="963">
        <f>+((H6-D3)/H6)*BQ25</f>
        <v>180.91335357524835</v>
      </c>
      <c r="K54" s="963"/>
      <c r="L54" s="963">
        <f>+(D3/H6)*BQ25</f>
        <v>100.08664642475163</v>
      </c>
      <c r="M54" s="961" t="s">
        <v>223</v>
      </c>
      <c r="N54"/>
      <c r="O54" s="995"/>
      <c r="BD54" s="126"/>
      <c r="BE54" s="136"/>
      <c r="BF54" s="136"/>
      <c r="BG54" s="136"/>
      <c r="BH54" s="136"/>
      <c r="BN54" s="86"/>
      <c r="BO54" s="1091"/>
      <c r="BP54" s="177"/>
      <c r="BQ54" s="177"/>
      <c r="BR54" s="178"/>
      <c r="BS54" s="177"/>
      <c r="BT54" s="177"/>
      <c r="BU54" s="177"/>
      <c r="BV54" s="76"/>
      <c r="BW54" s="177"/>
      <c r="CA54" s="177"/>
      <c r="CB54" s="177"/>
      <c r="CC54" s="177"/>
      <c r="CD54" s="177"/>
      <c r="CE54" s="177"/>
      <c r="CF54" s="177"/>
      <c r="CG54" s="177"/>
      <c r="CH54" s="177"/>
      <c r="CI54" s="177"/>
      <c r="CJ54" s="177"/>
      <c r="CK54" s="177"/>
      <c r="CL54" s="178"/>
      <c r="CM54" s="107"/>
      <c r="CN54" s="107"/>
      <c r="CO54" s="107"/>
      <c r="CQ54" s="78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EK54" s="78"/>
      <c r="EL54" s="78"/>
    </row>
    <row r="55" spans="2:142" ht="44" thickBot="1" x14ac:dyDescent="0.3">
      <c r="B55" s="406"/>
      <c r="C55" s="406"/>
      <c r="D55" s="407"/>
      <c r="E55" s="407"/>
      <c r="F55" s="407"/>
      <c r="G55" s="1000"/>
      <c r="H55" s="63"/>
      <c r="I55"/>
      <c r="J55" s="965">
        <f>ABS($H$1/J54)</f>
        <v>99.495143085240272</v>
      </c>
      <c r="K55" s="965"/>
      <c r="L55" s="965">
        <f>ABS($H$1/L54)</f>
        <v>179.84417145530978</v>
      </c>
      <c r="M55" s="967" t="s">
        <v>222</v>
      </c>
      <c r="N55"/>
      <c r="O55" s="995"/>
      <c r="BD55" s="126"/>
      <c r="BE55" s="136"/>
      <c r="BF55" s="136"/>
      <c r="BG55" s="136"/>
      <c r="BH55" s="136"/>
      <c r="BI55" s="136"/>
      <c r="BK55" s="136"/>
      <c r="BL55" s="136"/>
      <c r="BM55" s="402"/>
      <c r="BN55" s="188"/>
      <c r="BO55" s="1095" t="s">
        <v>128</v>
      </c>
      <c r="BP55" s="746" t="s">
        <v>125</v>
      </c>
      <c r="BQ55" s="190"/>
      <c r="BR55" s="191"/>
      <c r="BS55" s="191"/>
      <c r="BT55" s="191"/>
      <c r="BU55" s="191"/>
      <c r="BV55" s="191"/>
      <c r="BW55" s="191"/>
      <c r="BX55" s="191"/>
      <c r="BY55" s="191"/>
      <c r="BZ55" s="191"/>
      <c r="CA55" s="191"/>
      <c r="CB55" s="758">
        <f>SUM(CB39:CB54)</f>
        <v>1</v>
      </c>
      <c r="CC55" s="759">
        <f t="shared" ref="CC55:CR55" si="0">SUM(CC39:CC54)</f>
        <v>0</v>
      </c>
      <c r="CD55" s="759">
        <f t="shared" si="0"/>
        <v>0</v>
      </c>
      <c r="CE55" s="759">
        <f t="shared" si="0"/>
        <v>0</v>
      </c>
      <c r="CF55" s="759">
        <f t="shared" si="0"/>
        <v>0</v>
      </c>
      <c r="CG55" s="759">
        <f t="shared" si="0"/>
        <v>0</v>
      </c>
      <c r="CH55" s="759">
        <f t="shared" si="0"/>
        <v>0</v>
      </c>
      <c r="CI55" s="759">
        <f t="shared" si="0"/>
        <v>0</v>
      </c>
      <c r="CJ55" s="759">
        <f t="shared" si="0"/>
        <v>0</v>
      </c>
      <c r="CK55" s="759">
        <f t="shared" si="0"/>
        <v>0</v>
      </c>
      <c r="CL55" s="759">
        <f t="shared" si="0"/>
        <v>11</v>
      </c>
      <c r="CM55" s="759">
        <f t="shared" si="0"/>
        <v>0</v>
      </c>
      <c r="CN55" s="759">
        <f t="shared" si="0"/>
        <v>0</v>
      </c>
      <c r="CO55" s="759">
        <f t="shared" si="0"/>
        <v>0</v>
      </c>
      <c r="CP55" s="759">
        <f t="shared" si="0"/>
        <v>0</v>
      </c>
      <c r="CQ55" s="759">
        <f t="shared" si="0"/>
        <v>0</v>
      </c>
      <c r="CR55" s="760">
        <f t="shared" si="0"/>
        <v>0</v>
      </c>
      <c r="CS55" s="191"/>
      <c r="CT55" s="191"/>
      <c r="CU55" s="192"/>
      <c r="CV55" s="192"/>
      <c r="CW55" s="192"/>
      <c r="CX55" s="192"/>
      <c r="CY55" s="192"/>
      <c r="CZ55" s="192"/>
      <c r="DA55" s="193"/>
      <c r="DB55" s="89"/>
      <c r="DC55" s="78"/>
      <c r="DD55" s="78"/>
      <c r="EK55" s="78"/>
      <c r="EL55" s="78"/>
    </row>
    <row r="56" spans="2:142" ht="31" thickBot="1" x14ac:dyDescent="0.3">
      <c r="G56" s="1000"/>
      <c r="H56" s="63"/>
      <c r="I56" s="74"/>
      <c r="J56" s="1733">
        <f>ABS($E$20/BQ25)*2</f>
        <v>56.939501779359432</v>
      </c>
      <c r="K56" s="1733"/>
      <c r="L56" s="1733"/>
      <c r="M56" s="1734" t="s">
        <v>350</v>
      </c>
      <c r="N56" s="1730" t="s">
        <v>352</v>
      </c>
      <c r="O56" s="995"/>
      <c r="BD56" s="136"/>
      <c r="BE56" s="136"/>
      <c r="BF56" s="136"/>
      <c r="BG56" s="136"/>
      <c r="BH56" s="136"/>
      <c r="BI56" s="136"/>
      <c r="BJ56" s="136"/>
      <c r="BK56" s="136"/>
      <c r="BL56" s="968">
        <v>4</v>
      </c>
      <c r="BM56" s="1762" t="b">
        <f>AND(BO56&gt;=10,$BA$139&gt;=10,$BB$139&gt;=10,$BA$171&gt;=10,$BB$171&gt;=10,$BA$195&gt;=10,$BB$195&gt;=10)</f>
        <v>1</v>
      </c>
      <c r="BN56" s="84" t="str">
        <f>IF(BM56=TRUE,"O K","OVERLOAD")</f>
        <v>O K</v>
      </c>
      <c r="BO56" s="982">
        <f>+$E$20/(BQ25/2)</f>
        <v>56.939501779359432</v>
      </c>
      <c r="BP56" s="194"/>
      <c r="BQ56" s="107"/>
      <c r="BR56" s="108"/>
      <c r="BS56" s="107"/>
      <c r="BT56" s="107"/>
      <c r="BU56" s="107"/>
      <c r="BV56" s="108"/>
      <c r="BW56" s="107"/>
      <c r="BX56" s="107"/>
      <c r="BY56" s="107"/>
      <c r="BZ56" s="107"/>
      <c r="CA56" s="107"/>
      <c r="CB56" s="107"/>
      <c r="CC56" s="107"/>
      <c r="CD56" s="107"/>
      <c r="CE56" s="107"/>
      <c r="CF56" s="107"/>
      <c r="CG56" s="107"/>
      <c r="CH56" s="107"/>
      <c r="CI56" s="107"/>
      <c r="CJ56" s="107"/>
      <c r="CK56" s="107"/>
      <c r="CL56" s="107"/>
      <c r="CM56" s="107"/>
      <c r="CN56" s="107"/>
      <c r="CO56" s="107"/>
      <c r="CP56" s="107"/>
      <c r="CQ56" s="107"/>
      <c r="CR56" s="107"/>
      <c r="CS56" s="78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  <c r="EK56" s="78"/>
      <c r="EL56" s="78"/>
    </row>
    <row r="57" spans="2:142" ht="20" hidden="1" x14ac:dyDescent="0.2">
      <c r="B57" s="408"/>
      <c r="C57" s="408"/>
      <c r="G57" s="998"/>
      <c r="H57"/>
      <c r="I57"/>
      <c r="J57"/>
      <c r="K57"/>
      <c r="L57"/>
      <c r="M57"/>
      <c r="N57"/>
      <c r="O57" s="995"/>
      <c r="U57" s="187"/>
      <c r="V57" s="187"/>
      <c r="W57" s="187"/>
      <c r="X57" s="187"/>
      <c r="Y57" s="187"/>
      <c r="Z57" s="187"/>
      <c r="AA57" s="187"/>
      <c r="AF57" s="187"/>
      <c r="AG57" s="187"/>
      <c r="AH57" s="187"/>
      <c r="AI57" s="187"/>
      <c r="AJ57" s="187"/>
      <c r="AK57" s="187"/>
      <c r="AL57" s="187"/>
      <c r="AM57" s="187"/>
      <c r="AN57" s="187"/>
      <c r="AO57" s="187"/>
      <c r="AP57" s="187"/>
      <c r="AQ57" s="187"/>
      <c r="AR57" s="187"/>
      <c r="AS57" s="187"/>
      <c r="AT57" s="187"/>
      <c r="AU57" s="187"/>
      <c r="AV57" s="187"/>
      <c r="AW57" s="187"/>
      <c r="AX57" s="187"/>
      <c r="AY57" s="187"/>
      <c r="AZ57" s="187"/>
      <c r="BA57" s="187"/>
      <c r="BB57" s="187"/>
      <c r="BC57" s="126"/>
      <c r="BD57" s="136"/>
      <c r="BE57" s="136"/>
      <c r="BF57" s="136"/>
      <c r="BG57" s="136"/>
      <c r="BH57" s="136"/>
      <c r="BI57" s="136"/>
      <c r="BJ57" s="136"/>
      <c r="BK57" s="136"/>
      <c r="BL57" s="136"/>
      <c r="BM57" s="402"/>
      <c r="BN57" s="188"/>
      <c r="BO57" s="1091"/>
      <c r="BP57" s="76"/>
      <c r="BQ57" s="195" t="b">
        <f>+BK164</f>
        <v>0</v>
      </c>
      <c r="BR57" s="195" t="b">
        <f>+BK165</f>
        <v>0</v>
      </c>
      <c r="BS57" s="195" t="b">
        <f>+BK166</f>
        <v>0</v>
      </c>
      <c r="BT57" s="195" t="b">
        <f>+BK167</f>
        <v>0</v>
      </c>
      <c r="BU57" s="195" t="b">
        <f>+BK168</f>
        <v>0</v>
      </c>
      <c r="BV57" s="195" t="b">
        <f>+BK169</f>
        <v>0</v>
      </c>
      <c r="BW57" s="195" t="b">
        <f>+BK170</f>
        <v>0</v>
      </c>
      <c r="BX57" s="195" t="b">
        <f>+BK171</f>
        <v>0</v>
      </c>
      <c r="BY57" s="195" t="b">
        <f>+BK172</f>
        <v>0</v>
      </c>
      <c r="BZ57" s="195" t="b">
        <f>+BK173</f>
        <v>0</v>
      </c>
      <c r="CA57" s="195" t="b">
        <f>+BK174</f>
        <v>0</v>
      </c>
      <c r="CB57" s="195" t="b">
        <f>+BK175</f>
        <v>0</v>
      </c>
      <c r="CC57" s="195" t="b">
        <f>+BK176</f>
        <v>0</v>
      </c>
      <c r="CD57" s="195" t="b">
        <f>+BK177</f>
        <v>0</v>
      </c>
      <c r="CE57" s="195" t="b">
        <f>+BK178</f>
        <v>0</v>
      </c>
      <c r="CF57" s="195" t="b">
        <f>+BK179</f>
        <v>0</v>
      </c>
      <c r="CG57" s="195">
        <f>+BK180</f>
        <v>17</v>
      </c>
      <c r="CH57" s="195" t="b">
        <f>+BK181</f>
        <v>0</v>
      </c>
      <c r="CI57" s="195" t="b">
        <f>+BK182</f>
        <v>0</v>
      </c>
      <c r="CJ57" s="195" t="b">
        <f>+BK183</f>
        <v>0</v>
      </c>
      <c r="CK57" s="195" t="b">
        <f>+BK184</f>
        <v>0</v>
      </c>
      <c r="CL57" s="195" t="b">
        <f>+BK185</f>
        <v>0</v>
      </c>
      <c r="CM57" s="195" t="b">
        <f>+BK189</f>
        <v>0</v>
      </c>
      <c r="CN57" s="195" t="b">
        <f>+BK190</f>
        <v>0</v>
      </c>
      <c r="CO57" s="195" t="b">
        <f>+BK191</f>
        <v>0</v>
      </c>
      <c r="CP57" s="195" t="b">
        <f>+BK192</f>
        <v>0</v>
      </c>
      <c r="CQ57" s="195" t="b">
        <f>+BK193</f>
        <v>0</v>
      </c>
      <c r="CR57" s="195" t="b">
        <f>+BK194</f>
        <v>0</v>
      </c>
      <c r="CS57" s="195" t="b">
        <f>+BK195</f>
        <v>0</v>
      </c>
      <c r="CT57" s="195" t="b">
        <f>+BK196</f>
        <v>0</v>
      </c>
      <c r="CU57" s="195" t="b">
        <f>+BK197</f>
        <v>0</v>
      </c>
      <c r="CV57" s="195" t="b">
        <f>+BK198</f>
        <v>0</v>
      </c>
      <c r="CW57" s="195" t="b">
        <f>+BK199</f>
        <v>0</v>
      </c>
      <c r="CX57" s="195" t="b">
        <f>+BK200</f>
        <v>0</v>
      </c>
      <c r="CY57" s="195" t="b">
        <f>+BK201</f>
        <v>0</v>
      </c>
      <c r="CZ57" s="195" t="b">
        <f>+BK202</f>
        <v>0</v>
      </c>
      <c r="DA57" s="195" t="b">
        <f>+BK203</f>
        <v>0</v>
      </c>
      <c r="DB57" s="196"/>
      <c r="DC57" s="78"/>
      <c r="DD57" s="78"/>
      <c r="EK57" s="78"/>
      <c r="EL57" s="78"/>
    </row>
    <row r="58" spans="2:142" ht="20" hidden="1" x14ac:dyDescent="0.2">
      <c r="E58" s="208"/>
      <c r="F58" s="208"/>
      <c r="G58" s="998"/>
      <c r="H58"/>
      <c r="I58"/>
      <c r="J58"/>
      <c r="K58"/>
      <c r="L58"/>
      <c r="M58"/>
      <c r="N58"/>
      <c r="O58" s="995"/>
      <c r="BD58" s="136"/>
      <c r="BE58" s="136"/>
      <c r="BF58" s="136"/>
      <c r="BG58" s="136"/>
      <c r="BH58" s="136"/>
      <c r="BI58" s="136"/>
      <c r="BJ58" s="136"/>
      <c r="BK58" s="136"/>
      <c r="BL58" s="136"/>
      <c r="BM58" s="402"/>
      <c r="BN58" s="188"/>
      <c r="BO58" s="1091"/>
      <c r="BP58" s="78"/>
      <c r="BQ58" s="196" t="b">
        <f>+BQ57</f>
        <v>0</v>
      </c>
      <c r="BR58" s="196" t="b">
        <f t="shared" ref="BR58:CI58" si="1">+BR57</f>
        <v>0</v>
      </c>
      <c r="BS58" s="196" t="b">
        <f t="shared" si="1"/>
        <v>0</v>
      </c>
      <c r="BT58" s="196" t="b">
        <f t="shared" si="1"/>
        <v>0</v>
      </c>
      <c r="BU58" s="196" t="b">
        <f t="shared" si="1"/>
        <v>0</v>
      </c>
      <c r="BV58" s="196" t="b">
        <f t="shared" si="1"/>
        <v>0</v>
      </c>
      <c r="BW58" s="196" t="b">
        <f>+BW57</f>
        <v>0</v>
      </c>
      <c r="BX58" s="196" t="b">
        <f t="shared" si="1"/>
        <v>0</v>
      </c>
      <c r="BY58" s="196" t="b">
        <f t="shared" si="1"/>
        <v>0</v>
      </c>
      <c r="BZ58" s="196" t="b">
        <f t="shared" si="1"/>
        <v>0</v>
      </c>
      <c r="CA58" s="196" t="b">
        <f t="shared" si="1"/>
        <v>0</v>
      </c>
      <c r="CB58" s="196" t="b">
        <f>+CB57</f>
        <v>0</v>
      </c>
      <c r="CC58" s="196" t="b">
        <f>+CC57</f>
        <v>0</v>
      </c>
      <c r="CD58" s="196" t="b">
        <f>+CD57</f>
        <v>0</v>
      </c>
      <c r="CE58" s="196" t="b">
        <f>+CE57</f>
        <v>0</v>
      </c>
      <c r="CF58" s="196" t="b">
        <f>+CF57</f>
        <v>0</v>
      </c>
      <c r="CG58" s="196">
        <f t="shared" si="1"/>
        <v>17</v>
      </c>
      <c r="CH58" s="196" t="b">
        <f t="shared" si="1"/>
        <v>0</v>
      </c>
      <c r="CI58" s="196" t="b">
        <f t="shared" si="1"/>
        <v>0</v>
      </c>
      <c r="CJ58" s="196" t="b">
        <f>+CJ57</f>
        <v>0</v>
      </c>
      <c r="CK58" s="196" t="b">
        <f>+CK57</f>
        <v>0</v>
      </c>
      <c r="CL58" s="196" t="b">
        <f t="shared" ref="CL58:DA58" si="2">+CL57</f>
        <v>0</v>
      </c>
      <c r="CM58" s="196" t="b">
        <f t="shared" si="2"/>
        <v>0</v>
      </c>
      <c r="CN58" s="196" t="b">
        <f t="shared" si="2"/>
        <v>0</v>
      </c>
      <c r="CO58" s="196" t="b">
        <f t="shared" si="2"/>
        <v>0</v>
      </c>
      <c r="CP58" s="196" t="b">
        <f t="shared" si="2"/>
        <v>0</v>
      </c>
      <c r="CQ58" s="196" t="b">
        <f t="shared" si="2"/>
        <v>0</v>
      </c>
      <c r="CR58" s="196" t="b">
        <f t="shared" si="2"/>
        <v>0</v>
      </c>
      <c r="CS58" s="196" t="b">
        <f t="shared" si="2"/>
        <v>0</v>
      </c>
      <c r="CT58" s="196" t="b">
        <f t="shared" si="2"/>
        <v>0</v>
      </c>
      <c r="CU58" s="196" t="b">
        <f t="shared" si="2"/>
        <v>0</v>
      </c>
      <c r="CV58" s="196" t="b">
        <f t="shared" si="2"/>
        <v>0</v>
      </c>
      <c r="CW58" s="196" t="b">
        <f t="shared" si="2"/>
        <v>0</v>
      </c>
      <c r="CX58" s="196" t="b">
        <f t="shared" si="2"/>
        <v>0</v>
      </c>
      <c r="CY58" s="196" t="b">
        <f t="shared" si="2"/>
        <v>0</v>
      </c>
      <c r="CZ58" s="196" t="b">
        <f t="shared" si="2"/>
        <v>0</v>
      </c>
      <c r="DA58" s="196" t="b">
        <f t="shared" si="2"/>
        <v>0</v>
      </c>
      <c r="DB58" s="196"/>
      <c r="DC58" s="78"/>
      <c r="DD58" s="78"/>
      <c r="EK58" s="78"/>
      <c r="EL58" s="78"/>
    </row>
    <row r="59" spans="2:142" ht="21" thickBot="1" x14ac:dyDescent="0.25">
      <c r="E59" s="208"/>
      <c r="F59" s="208"/>
      <c r="G59" s="998"/>
      <c r="H59"/>
      <c r="I59"/>
      <c r="J59"/>
      <c r="K59"/>
      <c r="L59"/>
      <c r="M59"/>
      <c r="N59"/>
      <c r="O59" s="995"/>
      <c r="V59" s="410"/>
      <c r="W59" s="410"/>
      <c r="X59" s="410"/>
      <c r="Y59" s="410"/>
      <c r="Z59" s="410"/>
      <c r="AA59" s="410"/>
      <c r="AF59" s="401"/>
      <c r="AG59" s="401"/>
      <c r="AH59" s="401"/>
      <c r="AI59" s="401"/>
      <c r="AJ59" s="401"/>
      <c r="AK59" s="401"/>
      <c r="AL59" s="401"/>
      <c r="AM59" s="401"/>
      <c r="AN59" s="401"/>
      <c r="AO59" s="401"/>
      <c r="AP59" s="401"/>
      <c r="AQ59" s="401"/>
      <c r="AR59" s="401"/>
      <c r="AS59" s="401"/>
      <c r="AT59" s="401"/>
      <c r="AU59" s="401"/>
      <c r="AV59" s="401"/>
      <c r="AW59" s="401"/>
      <c r="AX59" s="401"/>
      <c r="AY59" s="401"/>
      <c r="AZ59" s="401"/>
      <c r="BA59" s="401"/>
      <c r="BB59" s="401"/>
      <c r="BC59" s="143"/>
      <c r="BD59" s="136"/>
      <c r="BE59" s="136"/>
      <c r="BF59" s="136"/>
      <c r="BG59" s="136"/>
      <c r="BH59" s="136"/>
      <c r="BI59" s="136"/>
      <c r="BJ59" s="136"/>
      <c r="BK59" s="136"/>
      <c r="BL59" s="136"/>
      <c r="BM59" s="402"/>
      <c r="BN59" s="188"/>
      <c r="BO59" s="1091"/>
      <c r="BP59" s="78"/>
      <c r="BQ59" s="196"/>
      <c r="BR59" s="196"/>
      <c r="BS59" s="196"/>
      <c r="BT59" s="196"/>
      <c r="BU59" s="196"/>
      <c r="BV59" s="196"/>
      <c r="BW59" s="196"/>
      <c r="BX59" s="196"/>
      <c r="BY59" s="196"/>
      <c r="BZ59" s="196"/>
      <c r="CA59" s="196"/>
      <c r="CB59" s="196"/>
      <c r="CC59" s="196"/>
      <c r="CD59" s="196"/>
      <c r="CE59" s="196"/>
      <c r="CF59" s="196"/>
      <c r="CG59" s="196"/>
      <c r="CH59" s="196"/>
      <c r="CI59" s="196"/>
      <c r="CJ59" s="196"/>
      <c r="CK59" s="196"/>
      <c r="CL59" s="196"/>
      <c r="CM59" s="196"/>
      <c r="CN59" s="196"/>
      <c r="CO59" s="196"/>
      <c r="CP59" s="196"/>
      <c r="CQ59" s="196"/>
      <c r="CR59" s="196"/>
      <c r="CS59" s="196"/>
      <c r="CT59" s="196"/>
      <c r="CU59" s="196"/>
      <c r="CV59" s="196"/>
      <c r="CW59" s="196"/>
      <c r="CX59" s="196"/>
      <c r="CY59" s="196"/>
      <c r="CZ59" s="196"/>
      <c r="DA59" s="196"/>
      <c r="DB59" s="196"/>
      <c r="DC59" s="78"/>
      <c r="DD59" s="78"/>
      <c r="EK59" s="78"/>
      <c r="EL59" s="78"/>
    </row>
    <row r="60" spans="2:142" ht="24" thickBot="1" x14ac:dyDescent="0.3">
      <c r="E60" s="208"/>
      <c r="F60" s="208"/>
      <c r="G60" s="998"/>
      <c r="H60"/>
      <c r="I60"/>
      <c r="J60"/>
      <c r="K60"/>
      <c r="L60"/>
      <c r="M60"/>
      <c r="N60"/>
      <c r="O60" s="995"/>
      <c r="BD60" s="136"/>
      <c r="BE60" s="136"/>
      <c r="BF60" s="136"/>
      <c r="BG60" s="136"/>
      <c r="BH60" s="136"/>
      <c r="BI60" s="136"/>
      <c r="BJ60" s="136"/>
      <c r="BK60" s="136"/>
      <c r="BL60" s="136"/>
      <c r="BM60" s="402"/>
      <c r="BN60" s="188"/>
      <c r="BO60" s="1095" t="s">
        <v>128</v>
      </c>
      <c r="BP60" s="197" t="s">
        <v>129</v>
      </c>
      <c r="BQ60" s="748" t="str">
        <f>IF(BQ58=1,17,"")</f>
        <v/>
      </c>
      <c r="BR60" s="749" t="str">
        <f>IF(BR58=2,16,"")</f>
        <v/>
      </c>
      <c r="BS60" s="749" t="str">
        <f>IF(BS58=3,15,"")</f>
        <v/>
      </c>
      <c r="BT60" s="749" t="str">
        <f>IF(BT58=4,14,"")</f>
        <v/>
      </c>
      <c r="BU60" s="749" t="str">
        <f>IF(BU58=5,13,"")</f>
        <v/>
      </c>
      <c r="BV60" s="749" t="str">
        <f>IF(BV58=6,12,"")</f>
        <v/>
      </c>
      <c r="BW60" s="749" t="str">
        <f>IF(BW58=7,11,"")</f>
        <v/>
      </c>
      <c r="BX60" s="749" t="str">
        <f>IF(BX58=8,10,"")</f>
        <v/>
      </c>
      <c r="BY60" s="749" t="str">
        <f>IF(BY58=9,9,"")</f>
        <v/>
      </c>
      <c r="BZ60" s="749" t="str">
        <f>IF(BZ58=10,8,"")</f>
        <v/>
      </c>
      <c r="CA60" s="749" t="str">
        <f>IF(CA58=11,7,"")</f>
        <v/>
      </c>
      <c r="CB60" s="928" t="str">
        <f>IF(CB58=12,1,"")</f>
        <v/>
      </c>
      <c r="CC60" s="747" t="str">
        <f>IF(CC58=13,2,"")</f>
        <v/>
      </c>
      <c r="CD60" s="747" t="str">
        <f>IF(CD58=14,3,"")</f>
        <v/>
      </c>
      <c r="CE60" s="747" t="str">
        <f>IF(CE58=15,4,"")</f>
        <v/>
      </c>
      <c r="CF60" s="747" t="str">
        <f>IF(CF58=16,5,"")</f>
        <v/>
      </c>
      <c r="CG60" s="747">
        <f>IF(CG58=17,6,"")</f>
        <v>6</v>
      </c>
      <c r="CH60" s="747" t="str">
        <f>IF(CH58=18,7,"")</f>
        <v/>
      </c>
      <c r="CI60" s="747" t="str">
        <f>IF(CI58=19,8,"")</f>
        <v/>
      </c>
      <c r="CJ60" s="747" t="str">
        <f>IF(CJ58=20,9,"")</f>
        <v/>
      </c>
      <c r="CK60" s="747" t="str">
        <f>IF(CK58=21,10,"")</f>
        <v/>
      </c>
      <c r="CL60" s="747" t="str">
        <f>IF(CL58=22,11,"")</f>
        <v/>
      </c>
      <c r="CM60" s="747" t="str">
        <f>IF(CM58=23,12,"")</f>
        <v/>
      </c>
      <c r="CN60" s="747" t="str">
        <f>IF(CN58=24,13,"")</f>
        <v/>
      </c>
      <c r="CO60" s="747" t="str">
        <f>IF(CO58=25,14,"")</f>
        <v/>
      </c>
      <c r="CP60" s="747" t="str">
        <f>IF(CP58=26,15,"")</f>
        <v/>
      </c>
      <c r="CQ60" s="747" t="str">
        <f>IF(CQ58=27,16,"")</f>
        <v/>
      </c>
      <c r="CR60" s="929" t="str">
        <f>IF(CR58=28,17,"")</f>
        <v/>
      </c>
      <c r="CS60" s="756" t="str">
        <f>IF(CS58=29,9,"")</f>
        <v/>
      </c>
      <c r="CT60" s="756" t="str">
        <f>IF(CT58=30,10,"")</f>
        <v/>
      </c>
      <c r="CU60" s="756" t="str">
        <f>IF(CU58=31,11,"")</f>
        <v/>
      </c>
      <c r="CV60" s="756" t="str">
        <f>IF(CV58=32,12,"")</f>
        <v/>
      </c>
      <c r="CW60" s="756" t="str">
        <f>IF(CW58=33,13,"")</f>
        <v/>
      </c>
      <c r="CX60" s="756" t="str">
        <f>IF(CX58=34,14,"")</f>
        <v/>
      </c>
      <c r="CY60" s="756" t="str">
        <f>IF(CY58=35,15,"")</f>
        <v/>
      </c>
      <c r="CZ60" s="756" t="str">
        <f>IF(CZ58=36,16,"")</f>
        <v/>
      </c>
      <c r="DA60" s="757" t="str">
        <f>IF(DA58=37,17,"")</f>
        <v/>
      </c>
      <c r="DB60" s="198"/>
      <c r="DC60" s="78"/>
      <c r="DD60" s="78"/>
      <c r="EK60" s="78"/>
      <c r="EL60" s="78"/>
    </row>
    <row r="61" spans="2:142" ht="31" thickBot="1" x14ac:dyDescent="0.3">
      <c r="E61" s="208"/>
      <c r="F61" s="208"/>
      <c r="G61" s="998"/>
      <c r="H61"/>
      <c r="I61"/>
      <c r="J61"/>
      <c r="K61"/>
      <c r="L61"/>
      <c r="M61"/>
      <c r="N61"/>
      <c r="O61" s="995"/>
      <c r="BD61" s="136"/>
      <c r="BE61" s="136"/>
      <c r="BF61" s="136"/>
      <c r="BG61" s="136"/>
      <c r="BH61" s="136"/>
      <c r="BI61" s="136"/>
      <c r="BJ61" s="136"/>
      <c r="BK61" s="136"/>
      <c r="BL61" s="968">
        <v>5</v>
      </c>
      <c r="BM61" s="1762" t="b">
        <f>AND(BO61&gt;=10,$BA$139&gt;=10,$BB$139&gt;=10,$BA$171&gt;=10,$BB$171&gt;=10,$BA$195&gt;=10,$BB$195&gt;=10)</f>
        <v>1</v>
      </c>
      <c r="BN61" s="84" t="str">
        <f>IF(BM61=TRUE,"O K","OVERLOAD")</f>
        <v>O K</v>
      </c>
      <c r="BO61" s="982">
        <f>IF(SUM(BQ60:CA60)&gt;0,K85,0)+IF(SUM(CB60:CR60)&gt;0,L85,0)+IF(SUM(CS60:DA60)&gt;0,M85,0)</f>
        <v>28.469750889679716</v>
      </c>
      <c r="BP61" s="788" t="s">
        <v>185</v>
      </c>
      <c r="BQ61" s="789">
        <v>-10</v>
      </c>
      <c r="BR61" s="789">
        <v>-9</v>
      </c>
      <c r="BS61" s="789">
        <v>-8</v>
      </c>
      <c r="BT61" s="789">
        <v>-7</v>
      </c>
      <c r="BU61" s="789">
        <v>-6</v>
      </c>
      <c r="BV61" s="789">
        <v>-5</v>
      </c>
      <c r="BW61" s="789">
        <v>-4</v>
      </c>
      <c r="BX61" s="789">
        <v>-3</v>
      </c>
      <c r="BY61" s="789">
        <v>-2</v>
      </c>
      <c r="BZ61" s="789">
        <v>-1</v>
      </c>
      <c r="CA61" s="789">
        <v>0</v>
      </c>
      <c r="CB61" s="789">
        <v>1</v>
      </c>
      <c r="CC61" s="789">
        <v>2</v>
      </c>
      <c r="CD61" s="789">
        <v>3</v>
      </c>
      <c r="CE61" s="789">
        <v>4</v>
      </c>
      <c r="CF61" s="789">
        <v>5</v>
      </c>
      <c r="CG61" s="789">
        <v>6</v>
      </c>
      <c r="CH61" s="789">
        <v>7</v>
      </c>
      <c r="CI61" s="789">
        <v>8</v>
      </c>
      <c r="CJ61" s="789">
        <v>9</v>
      </c>
      <c r="CK61" s="789">
        <v>10</v>
      </c>
      <c r="CL61" s="789">
        <v>11</v>
      </c>
      <c r="CM61" s="789">
        <v>12</v>
      </c>
      <c r="CN61" s="789">
        <v>13</v>
      </c>
      <c r="CO61" s="789">
        <v>14</v>
      </c>
      <c r="CP61" s="789">
        <v>15</v>
      </c>
      <c r="CQ61" s="789">
        <v>16</v>
      </c>
      <c r="CR61" s="789">
        <v>17</v>
      </c>
      <c r="CS61" s="789">
        <v>18</v>
      </c>
      <c r="CT61" s="789">
        <v>19</v>
      </c>
      <c r="CU61" s="789">
        <v>20</v>
      </c>
      <c r="CV61" s="789">
        <v>21</v>
      </c>
      <c r="CW61" s="789">
        <v>22</v>
      </c>
      <c r="CX61" s="789">
        <v>23</v>
      </c>
      <c r="CY61" s="789">
        <v>24</v>
      </c>
      <c r="CZ61" s="789">
        <v>25</v>
      </c>
      <c r="DA61" s="791">
        <v>26</v>
      </c>
      <c r="DB61" s="198"/>
      <c r="DC61" s="78"/>
      <c r="DD61" s="78"/>
      <c r="EK61" s="78"/>
      <c r="EL61" s="78"/>
    </row>
    <row r="62" spans="2:142" ht="20" hidden="1" x14ac:dyDescent="0.2">
      <c r="G62" s="998"/>
      <c r="H62"/>
      <c r="I62"/>
      <c r="J62"/>
      <c r="K62"/>
      <c r="L62"/>
      <c r="M62"/>
      <c r="N62"/>
      <c r="O62" s="995"/>
      <c r="BD62" s="136"/>
      <c r="BE62" s="136"/>
      <c r="BF62" s="136"/>
      <c r="BG62" s="136"/>
      <c r="BH62" s="136"/>
      <c r="BI62" s="136"/>
      <c r="BJ62" s="136"/>
      <c r="BK62" s="136"/>
      <c r="BL62" s="136"/>
      <c r="BM62" s="402"/>
      <c r="BN62" s="136"/>
      <c r="BP62" s="78"/>
      <c r="BQ62" s="199"/>
      <c r="BR62" s="199"/>
      <c r="BS62" s="199"/>
      <c r="BT62" s="199"/>
      <c r="BU62" s="199"/>
      <c r="BV62" s="199"/>
      <c r="BW62" s="199"/>
      <c r="BX62" s="199"/>
      <c r="BY62" s="199"/>
      <c r="BZ62" s="199"/>
      <c r="CA62" s="199"/>
      <c r="CB62" s="199"/>
      <c r="CC62" s="199"/>
      <c r="CD62" s="199"/>
      <c r="CE62" s="199"/>
      <c r="CF62" s="199"/>
      <c r="CG62" s="199"/>
      <c r="CH62" s="199"/>
      <c r="CI62" s="199"/>
      <c r="CJ62" s="199"/>
      <c r="CK62" s="199"/>
      <c r="CL62" s="199"/>
      <c r="CM62" s="199"/>
      <c r="CN62" s="199"/>
      <c r="CO62" s="199"/>
      <c r="CP62" s="199"/>
      <c r="CQ62" s="199"/>
      <c r="CR62" s="199"/>
      <c r="CS62" s="199"/>
      <c r="CT62" s="199"/>
      <c r="CU62" s="199"/>
      <c r="CV62" s="199"/>
      <c r="CW62" s="199"/>
      <c r="CX62" s="199"/>
      <c r="CY62" s="199"/>
      <c r="CZ62" s="199"/>
      <c r="DA62" s="199"/>
      <c r="DB62" s="199"/>
      <c r="DC62" s="78"/>
      <c r="DD62" s="78"/>
      <c r="EK62" s="78"/>
      <c r="EL62" s="78"/>
    </row>
    <row r="63" spans="2:142" ht="24" hidden="1" thickBot="1" x14ac:dyDescent="0.3">
      <c r="E63" s="397"/>
      <c r="F63" s="397"/>
      <c r="G63" s="998"/>
      <c r="H63"/>
      <c r="I63"/>
      <c r="J63"/>
      <c r="K63"/>
      <c r="L63"/>
      <c r="M63"/>
      <c r="N63"/>
      <c r="O63" s="995"/>
      <c r="BN63" s="86"/>
      <c r="BO63" s="18"/>
      <c r="BP63" s="96"/>
      <c r="BQ63" s="97"/>
      <c r="BR63" s="97"/>
      <c r="BS63" s="97"/>
      <c r="BT63" s="97"/>
      <c r="BU63" s="97"/>
      <c r="BV63" s="97"/>
      <c r="BW63" s="97"/>
      <c r="BX63" s="97"/>
      <c r="BY63" s="94"/>
      <c r="BZ63" s="94"/>
      <c r="CA63" s="89"/>
      <c r="CB63" s="89"/>
      <c r="CC63" s="89"/>
      <c r="CD63" s="89"/>
      <c r="CE63" s="89"/>
      <c r="CF63" s="89"/>
      <c r="CG63" s="89"/>
      <c r="CH63" s="89"/>
      <c r="CI63" s="89"/>
      <c r="CJ63" s="89"/>
      <c r="CK63" s="89"/>
      <c r="CL63" s="89"/>
      <c r="CM63" s="89"/>
      <c r="CN63" s="37"/>
      <c r="CO63" s="95"/>
      <c r="CP63" s="95"/>
      <c r="CQ63" s="95"/>
      <c r="CR63" s="95"/>
      <c r="CS63" s="92"/>
      <c r="CT63" s="92"/>
      <c r="CU63" s="92"/>
      <c r="CV63" s="92"/>
      <c r="CW63" s="92"/>
      <c r="CX63" s="92"/>
      <c r="CY63" s="92"/>
      <c r="CZ63" s="92"/>
      <c r="DA63" s="92"/>
      <c r="DB63" s="92"/>
      <c r="DC63" s="17"/>
      <c r="DD63" s="78"/>
    </row>
    <row r="64" spans="2:142" ht="24" hidden="1" thickBot="1" x14ac:dyDescent="0.3">
      <c r="E64" s="397"/>
      <c r="F64" s="397"/>
      <c r="G64" s="998"/>
      <c r="H64"/>
      <c r="I64"/>
      <c r="J64"/>
      <c r="K64"/>
      <c r="L64"/>
      <c r="M64"/>
      <c r="N64"/>
      <c r="O64" s="995"/>
      <c r="BN64" s="86"/>
      <c r="BO64" s="18"/>
      <c r="BP64" s="96">
        <v>36</v>
      </c>
      <c r="BQ64" s="97"/>
      <c r="BR64" s="97"/>
      <c r="BS64" s="97"/>
      <c r="BT64" s="97"/>
      <c r="BU64" s="97"/>
      <c r="BV64" s="97"/>
      <c r="BW64" s="97"/>
      <c r="BX64" s="97"/>
      <c r="BY64" s="94"/>
      <c r="BZ64" s="94"/>
      <c r="CA64" s="89"/>
      <c r="CB64" s="89"/>
      <c r="CC64" s="89"/>
      <c r="CD64" s="89"/>
      <c r="CE64" s="89"/>
      <c r="CF64" s="89"/>
      <c r="CG64" s="89"/>
      <c r="CH64" s="98"/>
      <c r="CI64" s="99"/>
      <c r="CJ64" s="100"/>
      <c r="CK64" s="89"/>
      <c r="CL64" s="89"/>
      <c r="CM64" s="89"/>
      <c r="CN64" s="37"/>
      <c r="CO64" s="95"/>
      <c r="CP64" s="95"/>
      <c r="CQ64" s="95"/>
      <c r="CR64" s="95"/>
      <c r="CS64" s="92"/>
      <c r="CT64" s="92"/>
      <c r="CU64" s="92"/>
      <c r="CV64" s="92"/>
      <c r="CW64" s="92"/>
      <c r="CX64" s="92"/>
      <c r="CY64" s="101" t="b">
        <f>IF(CZ57=36,35)</f>
        <v>0</v>
      </c>
      <c r="CZ64" s="102"/>
      <c r="DA64" s="103" t="b">
        <f>IF(CZ57=36,37)</f>
        <v>0</v>
      </c>
      <c r="DB64" s="92"/>
      <c r="DC64" s="17"/>
      <c r="DD64" s="78"/>
    </row>
    <row r="65" spans="5:108" ht="24" hidden="1" thickBot="1" x14ac:dyDescent="0.3">
      <c r="E65" s="397"/>
      <c r="F65" s="397"/>
      <c r="G65" s="998"/>
      <c r="H65"/>
      <c r="I65"/>
      <c r="J65"/>
      <c r="K65"/>
      <c r="L65"/>
      <c r="M65"/>
      <c r="N65"/>
      <c r="O65" s="995"/>
      <c r="BN65" s="86"/>
      <c r="BO65" s="18"/>
      <c r="BP65" s="96">
        <v>35</v>
      </c>
      <c r="BQ65" s="97"/>
      <c r="BR65" s="97"/>
      <c r="BS65" s="97"/>
      <c r="BT65" s="97"/>
      <c r="BU65" s="97"/>
      <c r="BV65" s="97"/>
      <c r="BW65" s="97"/>
      <c r="BX65" s="97"/>
      <c r="BY65" s="94"/>
      <c r="BZ65" s="94"/>
      <c r="CA65" s="89"/>
      <c r="CB65" s="89"/>
      <c r="CC65" s="89"/>
      <c r="CD65" s="89"/>
      <c r="CE65" s="89"/>
      <c r="CF65" s="89"/>
      <c r="CG65" s="89"/>
      <c r="CH65" s="104"/>
      <c r="CI65" s="89"/>
      <c r="CJ65" s="105"/>
      <c r="CK65" s="89"/>
      <c r="CL65" s="89"/>
      <c r="CM65" s="89"/>
      <c r="CN65" s="37"/>
      <c r="CO65" s="95"/>
      <c r="CP65" s="95"/>
      <c r="CQ65" s="95"/>
      <c r="CR65" s="95"/>
      <c r="CS65" s="92"/>
      <c r="CT65" s="92"/>
      <c r="CU65" s="92"/>
      <c r="CV65" s="92"/>
      <c r="CW65" s="101" t="b">
        <f>IF(CY57=35,33)</f>
        <v>0</v>
      </c>
      <c r="CX65" s="102"/>
      <c r="CY65" s="102"/>
      <c r="CZ65" s="102"/>
      <c r="DA65" s="103" t="b">
        <f>IF(CY57=35,37)</f>
        <v>0</v>
      </c>
      <c r="DB65" s="92"/>
      <c r="DC65" s="17"/>
      <c r="DD65" s="78"/>
    </row>
    <row r="66" spans="5:108" ht="24" hidden="1" thickBot="1" x14ac:dyDescent="0.3">
      <c r="E66" s="397"/>
      <c r="F66" s="397"/>
      <c r="G66" s="998"/>
      <c r="H66"/>
      <c r="I66"/>
      <c r="J66"/>
      <c r="K66"/>
      <c r="L66"/>
      <c r="M66"/>
      <c r="N66"/>
      <c r="O66" s="995"/>
      <c r="BN66" s="86"/>
      <c r="BO66" s="18"/>
      <c r="BP66" s="96">
        <v>34</v>
      </c>
      <c r="BQ66" s="97"/>
      <c r="BR66" s="97"/>
      <c r="BS66" s="97"/>
      <c r="BT66" s="97"/>
      <c r="BU66" s="97"/>
      <c r="BV66" s="97"/>
      <c r="BW66" s="97"/>
      <c r="BX66" s="97"/>
      <c r="BY66" s="94"/>
      <c r="BZ66" s="94"/>
      <c r="CA66" s="89"/>
      <c r="CB66" s="89"/>
      <c r="CC66" s="89"/>
      <c r="CD66" s="89"/>
      <c r="CE66" s="89"/>
      <c r="CF66" s="89"/>
      <c r="CG66" s="89"/>
      <c r="CH66" s="104"/>
      <c r="CI66" s="89"/>
      <c r="CJ66" s="105"/>
      <c r="CK66" s="89"/>
      <c r="CL66" s="89"/>
      <c r="CM66" s="89"/>
      <c r="CN66" s="37"/>
      <c r="CO66" s="95"/>
      <c r="CP66" s="95"/>
      <c r="CQ66" s="95"/>
      <c r="CR66" s="95"/>
      <c r="CS66" s="92"/>
      <c r="CT66" s="92"/>
      <c r="CU66" s="101" t="b">
        <f>IF(CX57=34,31)</f>
        <v>0</v>
      </c>
      <c r="CV66" s="102"/>
      <c r="CW66" s="102"/>
      <c r="CX66" s="102"/>
      <c r="CY66" s="102"/>
      <c r="CZ66" s="102"/>
      <c r="DA66" s="103" t="b">
        <f>IF(CX57=34,37)</f>
        <v>0</v>
      </c>
      <c r="DB66" s="92"/>
      <c r="DC66" s="17"/>
      <c r="DD66" s="78"/>
    </row>
    <row r="67" spans="5:108" ht="24" hidden="1" thickBot="1" x14ac:dyDescent="0.3">
      <c r="E67" s="397"/>
      <c r="F67" s="397"/>
      <c r="G67" s="998"/>
      <c r="H67"/>
      <c r="I67"/>
      <c r="J67"/>
      <c r="K67"/>
      <c r="L67"/>
      <c r="M67"/>
      <c r="N67"/>
      <c r="O67" s="995"/>
      <c r="BN67" s="86"/>
      <c r="BO67" s="18"/>
      <c r="BP67" s="96">
        <v>33</v>
      </c>
      <c r="BQ67" s="97"/>
      <c r="BR67" s="97"/>
      <c r="BS67" s="97"/>
      <c r="BT67" s="97"/>
      <c r="BU67" s="97"/>
      <c r="BV67" s="97"/>
      <c r="BW67" s="97"/>
      <c r="BX67" s="97"/>
      <c r="BY67" s="94"/>
      <c r="BZ67" s="94"/>
      <c r="CA67" s="89"/>
      <c r="CB67" s="89"/>
      <c r="CC67" s="89"/>
      <c r="CD67" s="89"/>
      <c r="CE67" s="89"/>
      <c r="CF67" s="89"/>
      <c r="CG67" s="89"/>
      <c r="CH67" s="104"/>
      <c r="CI67" s="89"/>
      <c r="CJ67" s="105"/>
      <c r="CK67" s="89"/>
      <c r="CL67" s="89"/>
      <c r="CM67" s="89"/>
      <c r="CN67" s="37"/>
      <c r="CO67" s="95"/>
      <c r="CP67" s="95"/>
      <c r="CQ67" s="95"/>
      <c r="CR67" s="95"/>
      <c r="CS67" s="101" t="b">
        <f>IF(CW57=33,29)</f>
        <v>0</v>
      </c>
      <c r="CT67" s="102"/>
      <c r="CU67" s="102"/>
      <c r="CV67" s="102"/>
      <c r="CW67" s="102"/>
      <c r="CX67" s="102"/>
      <c r="CY67" s="102"/>
      <c r="CZ67" s="102"/>
      <c r="DA67" s="103" t="b">
        <f>IF(CW57=33,37)</f>
        <v>0</v>
      </c>
      <c r="DB67" s="92"/>
      <c r="DC67" s="17"/>
      <c r="DD67" s="78"/>
    </row>
    <row r="68" spans="5:108" ht="21" hidden="1" thickBot="1" x14ac:dyDescent="0.25">
      <c r="E68" s="397"/>
      <c r="F68" s="397"/>
      <c r="G68" s="998"/>
      <c r="H68"/>
      <c r="I68"/>
      <c r="J68"/>
      <c r="K68"/>
      <c r="L68"/>
      <c r="M68"/>
      <c r="N68"/>
      <c r="O68" s="995"/>
      <c r="BN68" s="86"/>
      <c r="BP68" s="96">
        <v>32</v>
      </c>
      <c r="BQ68" s="107"/>
      <c r="BR68" s="107"/>
      <c r="BS68" s="107"/>
      <c r="BT68" s="107"/>
      <c r="BU68" s="107"/>
      <c r="BV68" s="108"/>
      <c r="BW68" s="107"/>
      <c r="BX68" s="107"/>
      <c r="BY68" s="107"/>
      <c r="BZ68" s="107"/>
      <c r="CA68" s="107"/>
      <c r="CB68" s="107"/>
      <c r="CC68" s="107"/>
      <c r="CD68" s="107"/>
      <c r="CE68" s="107"/>
      <c r="CF68" s="107"/>
      <c r="CG68" s="107"/>
      <c r="CH68" s="109"/>
      <c r="CI68" s="107"/>
      <c r="CJ68" s="110"/>
      <c r="CK68" s="107"/>
      <c r="CL68" s="107"/>
      <c r="CM68" s="107"/>
      <c r="CN68" s="108"/>
      <c r="CO68" s="78"/>
      <c r="CP68" s="78"/>
      <c r="CQ68" s="101" t="b">
        <f>IF(CV57=32,27)</f>
        <v>0</v>
      </c>
      <c r="CR68" s="111"/>
      <c r="CS68" s="111"/>
      <c r="CT68" s="111"/>
      <c r="CU68" s="111"/>
      <c r="CV68" s="111"/>
      <c r="CW68" s="111"/>
      <c r="CX68" s="111"/>
      <c r="CY68" s="111"/>
      <c r="CZ68" s="111"/>
      <c r="DA68" s="103" t="b">
        <f>IF(CV57=32,37)</f>
        <v>0</v>
      </c>
      <c r="DB68" s="78"/>
      <c r="DC68" s="78"/>
      <c r="DD68" s="78"/>
    </row>
    <row r="69" spans="5:108" ht="21" hidden="1" thickBot="1" x14ac:dyDescent="0.25">
      <c r="E69" s="397"/>
      <c r="F69" s="397"/>
      <c r="G69" s="998"/>
      <c r="H69"/>
      <c r="I69"/>
      <c r="J69"/>
      <c r="K69"/>
      <c r="L69"/>
      <c r="M69"/>
      <c r="N69"/>
      <c r="O69" s="995"/>
      <c r="BN69" s="86"/>
      <c r="BP69" s="96">
        <v>31</v>
      </c>
      <c r="BQ69" s="107"/>
      <c r="BR69" s="107"/>
      <c r="BS69" s="107"/>
      <c r="BT69" s="107"/>
      <c r="BU69" s="107"/>
      <c r="BV69" s="108"/>
      <c r="BW69" s="107"/>
      <c r="BX69" s="107"/>
      <c r="BY69" s="107"/>
      <c r="BZ69" s="107"/>
      <c r="CA69" s="107"/>
      <c r="CB69" s="107"/>
      <c r="CC69" s="107"/>
      <c r="CD69" s="107"/>
      <c r="CE69" s="107"/>
      <c r="CF69" s="107"/>
      <c r="CG69" s="107"/>
      <c r="CH69" s="109"/>
      <c r="CI69" s="107"/>
      <c r="CJ69" s="110"/>
      <c r="CK69" s="107"/>
      <c r="CL69" s="107"/>
      <c r="CM69" s="107"/>
      <c r="CN69" s="108"/>
      <c r="CO69" s="101" t="b">
        <f>IF(CU57=31,25)</f>
        <v>0</v>
      </c>
      <c r="CP69" s="111"/>
      <c r="CQ69" s="111"/>
      <c r="CR69" s="111"/>
      <c r="CS69" s="111"/>
      <c r="CT69" s="111"/>
      <c r="CU69" s="111"/>
      <c r="CV69" s="111"/>
      <c r="CW69" s="111"/>
      <c r="CX69" s="111"/>
      <c r="CY69" s="111"/>
      <c r="CZ69" s="111"/>
      <c r="DA69" s="103" t="b">
        <f>IF(CU57=31,37)</f>
        <v>0</v>
      </c>
      <c r="DB69" s="78"/>
      <c r="DC69" s="78"/>
      <c r="DD69" s="78"/>
    </row>
    <row r="70" spans="5:108" ht="21" hidden="1" thickBot="1" x14ac:dyDescent="0.25">
      <c r="E70" s="397"/>
      <c r="F70" s="397"/>
      <c r="G70" s="998"/>
      <c r="H70"/>
      <c r="I70"/>
      <c r="J70"/>
      <c r="K70"/>
      <c r="L70"/>
      <c r="M70"/>
      <c r="N70"/>
      <c r="O70" s="995"/>
      <c r="BN70" s="86"/>
      <c r="BP70" s="96">
        <v>30</v>
      </c>
      <c r="BQ70" s="107"/>
      <c r="BR70" s="107"/>
      <c r="BS70" s="107"/>
      <c r="BT70" s="107"/>
      <c r="BU70" s="107"/>
      <c r="BV70" s="108"/>
      <c r="BW70" s="107"/>
      <c r="BX70" s="107"/>
      <c r="BY70" s="107"/>
      <c r="BZ70" s="107"/>
      <c r="CA70" s="107"/>
      <c r="CB70" s="107"/>
      <c r="CC70" s="107"/>
      <c r="CD70" s="107"/>
      <c r="CE70" s="107"/>
      <c r="CF70" s="107"/>
      <c r="CG70" s="107"/>
      <c r="CH70" s="109"/>
      <c r="CI70" s="107"/>
      <c r="CJ70" s="110"/>
      <c r="CK70" s="107"/>
      <c r="CL70" s="107"/>
      <c r="CM70" s="101" t="b">
        <f>IF(CT57=30,23)</f>
        <v>0</v>
      </c>
      <c r="CN70" s="112"/>
      <c r="CO70" s="111"/>
      <c r="CP70" s="111"/>
      <c r="CQ70" s="111"/>
      <c r="CR70" s="111"/>
      <c r="CS70" s="111"/>
      <c r="CT70" s="111"/>
      <c r="CU70" s="111"/>
      <c r="CV70" s="111"/>
      <c r="CW70" s="111"/>
      <c r="CX70" s="111"/>
      <c r="CY70" s="111"/>
      <c r="CZ70" s="111"/>
      <c r="DA70" s="103" t="b">
        <f>IF(CT57=30,37)</f>
        <v>0</v>
      </c>
      <c r="DB70" s="78"/>
      <c r="DC70" s="78"/>
      <c r="DD70" s="78"/>
    </row>
    <row r="71" spans="5:108" ht="21" hidden="1" thickBot="1" x14ac:dyDescent="0.25">
      <c r="E71" s="397"/>
      <c r="F71" s="397"/>
      <c r="G71" s="998"/>
      <c r="H71"/>
      <c r="I71"/>
      <c r="J71"/>
      <c r="K71"/>
      <c r="L71"/>
      <c r="M71"/>
      <c r="N71"/>
      <c r="O71" s="995"/>
      <c r="BE71" s="114"/>
      <c r="BF71" s="114"/>
      <c r="BG71" s="114"/>
      <c r="BH71" s="114"/>
      <c r="BN71" s="86"/>
      <c r="BO71" s="114"/>
      <c r="BP71" s="96">
        <v>29</v>
      </c>
      <c r="BQ71" s="78"/>
      <c r="BR71" s="78"/>
      <c r="BS71" s="78"/>
      <c r="BT71" s="78"/>
      <c r="BU71" s="78"/>
      <c r="BV71" s="78"/>
      <c r="BW71" s="78"/>
      <c r="BX71" s="78"/>
      <c r="BY71" s="78"/>
      <c r="BZ71" s="78"/>
      <c r="CA71" s="78"/>
      <c r="CB71" s="78"/>
      <c r="CC71" s="78"/>
      <c r="CD71" s="78"/>
      <c r="CE71" s="78"/>
      <c r="CF71" s="78"/>
      <c r="CG71" s="78"/>
      <c r="CH71" s="115"/>
      <c r="CI71" s="78"/>
      <c r="CJ71" s="116"/>
      <c r="CK71" s="117" t="b">
        <f>IF(CS57=29,21)</f>
        <v>0</v>
      </c>
      <c r="CL71" s="111"/>
      <c r="CM71" s="111"/>
      <c r="CN71" s="111"/>
      <c r="CO71" s="111"/>
      <c r="CP71" s="111"/>
      <c r="CQ71" s="111"/>
      <c r="CR71" s="118"/>
      <c r="CS71" s="111"/>
      <c r="CT71" s="118"/>
      <c r="CU71" s="119"/>
      <c r="CV71" s="119"/>
      <c r="CW71" s="119"/>
      <c r="CX71" s="119"/>
      <c r="CY71" s="119"/>
      <c r="CZ71" s="119"/>
      <c r="DA71" s="103" t="b">
        <f>IF(CS57=29,37)</f>
        <v>0</v>
      </c>
      <c r="DB71" s="76"/>
      <c r="DC71" s="78"/>
      <c r="DD71" s="78"/>
    </row>
    <row r="72" spans="5:108" ht="21" hidden="1" thickBot="1" x14ac:dyDescent="0.25">
      <c r="E72" s="397"/>
      <c r="F72" s="397"/>
      <c r="G72" s="998"/>
      <c r="H72"/>
      <c r="I72"/>
      <c r="J72"/>
      <c r="K72"/>
      <c r="L72"/>
      <c r="M72"/>
      <c r="N72"/>
      <c r="O72" s="995"/>
      <c r="BE72" s="114"/>
      <c r="BF72" s="114"/>
      <c r="BG72" s="114"/>
      <c r="BH72" s="114"/>
      <c r="BN72" s="86"/>
      <c r="BO72" s="114"/>
      <c r="BP72" s="96">
        <v>28</v>
      </c>
      <c r="BQ72" s="78"/>
      <c r="BR72" s="78"/>
      <c r="BS72" s="78"/>
      <c r="BT72" s="78"/>
      <c r="BU72" s="78"/>
      <c r="BV72" s="78"/>
      <c r="BW72" s="78"/>
      <c r="BX72" s="78"/>
      <c r="BY72" s="78"/>
      <c r="BZ72" s="78"/>
      <c r="CA72" s="78"/>
      <c r="CB72" s="78"/>
      <c r="CC72" s="78"/>
      <c r="CD72" s="78"/>
      <c r="CE72" s="78"/>
      <c r="CF72" s="78"/>
      <c r="CG72" s="78"/>
      <c r="CH72" s="115"/>
      <c r="CI72" s="78"/>
      <c r="CJ72" s="116"/>
      <c r="CK72" s="120" t="b">
        <f>IF(CR57=28,21)</f>
        <v>0</v>
      </c>
      <c r="CL72" s="121"/>
      <c r="CM72" s="121"/>
      <c r="CN72" s="121"/>
      <c r="CO72" s="121"/>
      <c r="CP72" s="122"/>
      <c r="CQ72" s="121"/>
      <c r="CR72" s="121"/>
      <c r="CS72" s="121"/>
      <c r="CT72" s="122"/>
      <c r="CU72" s="123"/>
      <c r="CV72" s="123"/>
      <c r="CW72" s="123"/>
      <c r="CX72" s="123"/>
      <c r="CY72" s="124" t="b">
        <f>IF(CR57=28,35)</f>
        <v>0</v>
      </c>
      <c r="CZ72" s="76"/>
      <c r="DA72" s="76"/>
      <c r="DB72" s="76"/>
      <c r="DC72" s="78"/>
      <c r="DD72" s="78"/>
    </row>
    <row r="73" spans="5:108" ht="21" hidden="1" thickBot="1" x14ac:dyDescent="0.25">
      <c r="E73" s="397"/>
      <c r="F73" s="397"/>
      <c r="G73" s="998"/>
      <c r="H73"/>
      <c r="I73"/>
      <c r="J73"/>
      <c r="K73"/>
      <c r="L73"/>
      <c r="M73"/>
      <c r="N73"/>
      <c r="O73" s="995"/>
      <c r="BE73" s="114"/>
      <c r="BF73" s="114"/>
      <c r="BG73" s="114"/>
      <c r="BH73" s="114"/>
      <c r="BN73" s="86"/>
      <c r="BO73" s="114"/>
      <c r="BP73" s="96">
        <v>27</v>
      </c>
      <c r="BQ73" s="78"/>
      <c r="BR73" s="78"/>
      <c r="BS73" s="78"/>
      <c r="BT73" s="78"/>
      <c r="BU73" s="78"/>
      <c r="BV73" s="78"/>
      <c r="BW73" s="78"/>
      <c r="BX73" s="78"/>
      <c r="BY73" s="78"/>
      <c r="BZ73" s="78"/>
      <c r="CA73" s="78"/>
      <c r="CB73" s="78"/>
      <c r="CC73" s="78"/>
      <c r="CD73" s="78"/>
      <c r="CE73" s="78"/>
      <c r="CF73" s="78"/>
      <c r="CG73" s="78"/>
      <c r="CH73" s="115"/>
      <c r="CI73" s="78"/>
      <c r="CJ73" s="116"/>
      <c r="CK73" s="120" t="b">
        <f>IF(CQ57=27,21)</f>
        <v>0</v>
      </c>
      <c r="CL73" s="121"/>
      <c r="CM73" s="121"/>
      <c r="CN73" s="122"/>
      <c r="CO73" s="121"/>
      <c r="CP73" s="121"/>
      <c r="CQ73" s="121"/>
      <c r="CR73" s="121"/>
      <c r="CS73" s="121"/>
      <c r="CT73" s="122"/>
      <c r="CU73" s="123"/>
      <c r="CV73" s="123"/>
      <c r="CW73" s="124" t="b">
        <f>IF(CQ57=27,33)</f>
        <v>0</v>
      </c>
      <c r="CX73" s="76"/>
      <c r="CY73" s="76"/>
      <c r="CZ73" s="76"/>
      <c r="DA73" s="76"/>
      <c r="DB73" s="76"/>
      <c r="DC73" s="78"/>
      <c r="DD73" s="78"/>
    </row>
    <row r="74" spans="5:108" ht="21" hidden="1" thickBot="1" x14ac:dyDescent="0.25">
      <c r="E74" s="397"/>
      <c r="F74" s="397"/>
      <c r="G74" s="998"/>
      <c r="H74"/>
      <c r="I74"/>
      <c r="J74"/>
      <c r="K74"/>
      <c r="L74"/>
      <c r="M74"/>
      <c r="N74"/>
      <c r="O74" s="995"/>
      <c r="BN74" s="86"/>
      <c r="BP74" s="96">
        <v>26</v>
      </c>
      <c r="BQ74" s="78"/>
      <c r="BR74" s="78"/>
      <c r="BS74" s="78"/>
      <c r="BT74" s="78"/>
      <c r="BU74" s="78"/>
      <c r="BV74" s="78"/>
      <c r="BW74" s="78"/>
      <c r="BX74" s="78"/>
      <c r="BY74" s="78"/>
      <c r="BZ74" s="78"/>
      <c r="CA74" s="78"/>
      <c r="CB74" s="78"/>
      <c r="CC74" s="78"/>
      <c r="CD74" s="78"/>
      <c r="CE74" s="78"/>
      <c r="CF74" s="78"/>
      <c r="CG74" s="78"/>
      <c r="CH74" s="115"/>
      <c r="CI74" s="78"/>
      <c r="CJ74" s="116"/>
      <c r="CK74" s="120" t="b">
        <f>IF(CP57=26,21)</f>
        <v>0</v>
      </c>
      <c r="CL74" s="122"/>
      <c r="CM74" s="121"/>
      <c r="CN74" s="121"/>
      <c r="CO74" s="121"/>
      <c r="CP74" s="121"/>
      <c r="CQ74" s="121"/>
      <c r="CR74" s="121"/>
      <c r="CS74" s="121"/>
      <c r="CT74" s="122"/>
      <c r="CU74" s="124" t="b">
        <f>IF(CP57=26,31)</f>
        <v>0</v>
      </c>
      <c r="CV74" s="76"/>
      <c r="CW74" s="76"/>
      <c r="CX74" s="76"/>
      <c r="CY74" s="76"/>
      <c r="CZ74" s="76"/>
      <c r="DA74" s="76"/>
      <c r="DB74" s="76"/>
      <c r="DC74" s="78"/>
      <c r="DD74" s="78"/>
    </row>
    <row r="75" spans="5:108" ht="21" hidden="1" thickBot="1" x14ac:dyDescent="0.25">
      <c r="E75" s="397"/>
      <c r="F75" s="397"/>
      <c r="G75" s="998"/>
      <c r="H75"/>
      <c r="I75"/>
      <c r="J75"/>
      <c r="K75"/>
      <c r="L75"/>
      <c r="M75"/>
      <c r="N75"/>
      <c r="O75" s="995"/>
      <c r="BE75" s="126"/>
      <c r="BF75" s="126"/>
      <c r="BG75" s="126"/>
      <c r="BH75" s="126"/>
      <c r="BN75" s="86"/>
      <c r="BO75" s="126"/>
      <c r="BP75" s="96">
        <v>25</v>
      </c>
      <c r="BQ75" s="78"/>
      <c r="BR75" s="78"/>
      <c r="BS75" s="78"/>
      <c r="BT75" s="78"/>
      <c r="BU75" s="78"/>
      <c r="BV75" s="78"/>
      <c r="BW75" s="78"/>
      <c r="BX75" s="78"/>
      <c r="BY75" s="78"/>
      <c r="BZ75" s="78"/>
      <c r="CA75" s="78"/>
      <c r="CC75" s="78"/>
      <c r="CD75" s="78"/>
      <c r="CE75" s="78"/>
      <c r="CF75" s="78"/>
      <c r="CG75" s="78"/>
      <c r="CH75" s="115"/>
      <c r="CI75" s="78"/>
      <c r="CK75" s="128" t="b">
        <f>IF(CO57=25,21)</f>
        <v>0</v>
      </c>
      <c r="CL75" s="121"/>
      <c r="CM75" s="121"/>
      <c r="CN75" s="121"/>
      <c r="CO75" s="121"/>
      <c r="CP75" s="121"/>
      <c r="CQ75" s="121"/>
      <c r="CR75" s="121"/>
      <c r="CS75" s="124" t="b">
        <f>IF(CO57=25,29)</f>
        <v>0</v>
      </c>
      <c r="CU75" s="76"/>
      <c r="CV75" s="76"/>
      <c r="CW75" s="76"/>
      <c r="CX75" s="76"/>
      <c r="CY75" s="76"/>
      <c r="CZ75" s="76"/>
      <c r="DA75" s="76"/>
      <c r="DB75" s="76"/>
      <c r="DC75" s="78"/>
      <c r="DD75" s="78"/>
    </row>
    <row r="76" spans="5:108" ht="21" hidden="1" thickBot="1" x14ac:dyDescent="0.25">
      <c r="E76" s="397"/>
      <c r="F76" s="397"/>
      <c r="G76" s="998"/>
      <c r="H76"/>
      <c r="I76"/>
      <c r="J76"/>
      <c r="K76"/>
      <c r="L76"/>
      <c r="M76"/>
      <c r="N76"/>
      <c r="O76" s="995"/>
      <c r="BE76" s="126"/>
      <c r="BF76" s="126"/>
      <c r="BG76" s="126"/>
      <c r="BH76" s="126"/>
      <c r="BN76" s="86"/>
      <c r="BO76" s="126"/>
      <c r="BP76" s="96">
        <v>24</v>
      </c>
      <c r="BQ76" s="78"/>
      <c r="BR76" s="78"/>
      <c r="BS76" s="78"/>
      <c r="BT76" s="78"/>
      <c r="BU76" s="78"/>
      <c r="BV76" s="78"/>
      <c r="BW76" s="78"/>
      <c r="BX76" s="78"/>
      <c r="BY76" s="78"/>
      <c r="BZ76" s="78"/>
      <c r="CA76" s="78"/>
      <c r="CB76" s="117" t="b">
        <f>IF(CN57=24,12)</f>
        <v>0</v>
      </c>
      <c r="CC76" s="111"/>
      <c r="CD76" s="111"/>
      <c r="CE76" s="111"/>
      <c r="CF76" s="111"/>
      <c r="CG76" s="111"/>
      <c r="CH76" s="118"/>
      <c r="CI76" s="111"/>
      <c r="CJ76" s="129"/>
      <c r="CK76" s="111"/>
      <c r="CL76" s="111"/>
      <c r="CM76" s="111"/>
      <c r="CN76" s="111"/>
      <c r="CO76" s="111"/>
      <c r="CP76" s="111"/>
      <c r="CQ76" s="111"/>
      <c r="CR76" s="111"/>
      <c r="CS76" s="111"/>
      <c r="CT76" s="118"/>
      <c r="CU76" s="119"/>
      <c r="CV76" s="119"/>
      <c r="CW76" s="119"/>
      <c r="CX76" s="119"/>
      <c r="CY76" s="119"/>
      <c r="CZ76" s="103" t="b">
        <f>IF(CN57=24,36)</f>
        <v>0</v>
      </c>
      <c r="DA76" s="76"/>
      <c r="DB76" s="76"/>
      <c r="DC76" s="78"/>
      <c r="DD76" s="78"/>
    </row>
    <row r="77" spans="5:108" ht="21" hidden="1" thickBot="1" x14ac:dyDescent="0.25">
      <c r="E77" s="397"/>
      <c r="F77" s="397"/>
      <c r="G77" s="998"/>
      <c r="H77"/>
      <c r="I77"/>
      <c r="J77"/>
      <c r="K77"/>
      <c r="L77"/>
      <c r="M77"/>
      <c r="N77"/>
      <c r="O77" s="995"/>
      <c r="BE77" s="126"/>
      <c r="BF77" s="126"/>
      <c r="BG77" s="126"/>
      <c r="BH77" s="126"/>
      <c r="BN77" s="86"/>
      <c r="BO77" s="126"/>
      <c r="BP77" s="96">
        <v>23</v>
      </c>
      <c r="BQ77" s="78"/>
      <c r="BR77" s="78"/>
      <c r="BS77" s="78"/>
      <c r="BT77" s="78"/>
      <c r="BU77" s="78"/>
      <c r="BV77" s="78"/>
      <c r="BW77" s="78"/>
      <c r="BX77" s="78"/>
      <c r="BY77" s="78"/>
      <c r="BZ77" s="78"/>
      <c r="CA77" s="78"/>
      <c r="CB77" s="120" t="b">
        <f>IF(CM57=23,12)</f>
        <v>0</v>
      </c>
      <c r="CC77" s="121"/>
      <c r="CD77" s="121"/>
      <c r="CE77" s="121"/>
      <c r="CF77" s="122"/>
      <c r="CG77" s="121"/>
      <c r="CH77" s="132"/>
      <c r="CI77" s="121"/>
      <c r="CJ77" s="133"/>
      <c r="CK77" s="121"/>
      <c r="CL77" s="121"/>
      <c r="CM77" s="121"/>
      <c r="CN77" s="121"/>
      <c r="CO77" s="121"/>
      <c r="CP77" s="121"/>
      <c r="CQ77" s="121"/>
      <c r="CR77" s="121"/>
      <c r="CS77" s="121"/>
      <c r="CT77" s="122"/>
      <c r="CU77" s="123"/>
      <c r="CV77" s="123"/>
      <c r="CW77" s="123"/>
      <c r="CX77" s="124" t="b">
        <f>IF(CM57=23,34)</f>
        <v>0</v>
      </c>
      <c r="CY77" s="76"/>
      <c r="CZ77" s="76"/>
      <c r="DA77" s="76"/>
      <c r="DB77" s="76"/>
      <c r="DC77" s="78"/>
      <c r="DD77" s="78"/>
    </row>
    <row r="78" spans="5:108" ht="21" hidden="1" thickBot="1" x14ac:dyDescent="0.25">
      <c r="E78" s="397"/>
      <c r="F78" s="397"/>
      <c r="G78" s="998"/>
      <c r="H78"/>
      <c r="I78"/>
      <c r="J78"/>
      <c r="K78"/>
      <c r="L78"/>
      <c r="M78"/>
      <c r="N78"/>
      <c r="O78" s="995"/>
      <c r="U78" s="114"/>
      <c r="AB78" s="114"/>
      <c r="AC78" s="114"/>
      <c r="AD78" s="114"/>
      <c r="AE78" s="114"/>
      <c r="BE78" s="126"/>
      <c r="BF78" s="126"/>
      <c r="BG78" s="126"/>
      <c r="BH78" s="126"/>
      <c r="BN78" s="86"/>
      <c r="BO78" s="126"/>
      <c r="BP78" s="96">
        <v>22</v>
      </c>
      <c r="BQ78" s="76"/>
      <c r="BR78" s="76"/>
      <c r="BS78" s="76"/>
      <c r="BT78" s="76"/>
      <c r="BU78" s="76"/>
      <c r="BV78" s="76"/>
      <c r="BW78" s="76"/>
      <c r="BX78" s="76"/>
      <c r="BY78" s="76"/>
      <c r="BZ78" s="76"/>
      <c r="CA78" s="76"/>
      <c r="CB78" s="120" t="b">
        <f>IF(CL57=22,12)</f>
        <v>0</v>
      </c>
      <c r="CC78" s="123"/>
      <c r="CD78" s="123"/>
      <c r="CE78" s="123"/>
      <c r="CF78" s="122"/>
      <c r="CG78" s="123"/>
      <c r="CH78" s="134"/>
      <c r="CI78" s="123"/>
      <c r="CJ78" s="135"/>
      <c r="CK78" s="123"/>
      <c r="CL78" s="123"/>
      <c r="CM78" s="123"/>
      <c r="CN78" s="123"/>
      <c r="CO78" s="121"/>
      <c r="CP78" s="121"/>
      <c r="CQ78" s="122"/>
      <c r="CR78" s="121"/>
      <c r="CS78" s="121"/>
      <c r="CT78" s="121"/>
      <c r="CU78" s="121"/>
      <c r="CV78" s="124" t="b">
        <f>IF(CL57=22,32)</f>
        <v>0</v>
      </c>
      <c r="CW78" s="78"/>
      <c r="CX78" s="78"/>
      <c r="CY78" s="78"/>
      <c r="CZ78" s="78"/>
      <c r="DA78" s="78"/>
      <c r="DB78" s="78"/>
      <c r="DC78" s="78"/>
      <c r="DD78" s="78"/>
    </row>
    <row r="79" spans="5:108" ht="21" hidden="1" thickBot="1" x14ac:dyDescent="0.25">
      <c r="E79" s="397"/>
      <c r="F79" s="397"/>
      <c r="G79" s="1008"/>
      <c r="H79"/>
      <c r="I79"/>
      <c r="J79"/>
      <c r="K79"/>
      <c r="L79"/>
      <c r="M79"/>
      <c r="N79"/>
      <c r="O79" s="995"/>
      <c r="BE79" s="126"/>
      <c r="BF79" s="126"/>
      <c r="BG79" s="126"/>
      <c r="BH79" s="126"/>
      <c r="BN79" s="86"/>
      <c r="BO79" s="126"/>
      <c r="BP79" s="96">
        <v>21</v>
      </c>
      <c r="BQ79" s="78"/>
      <c r="BR79" s="78"/>
      <c r="BS79" s="78"/>
      <c r="BT79" s="78"/>
      <c r="BU79" s="78"/>
      <c r="BV79" s="78"/>
      <c r="BW79" s="78"/>
      <c r="BX79" s="78"/>
      <c r="BY79" s="78"/>
      <c r="BZ79" s="78"/>
      <c r="CA79" s="78"/>
      <c r="CB79" s="120" t="b">
        <f>IF(CK57=21,12)</f>
        <v>0</v>
      </c>
      <c r="CC79" s="121"/>
      <c r="CD79" s="121"/>
      <c r="CE79" s="121"/>
      <c r="CF79" s="121"/>
      <c r="CG79" s="121"/>
      <c r="CH79" s="132"/>
      <c r="CI79" s="121"/>
      <c r="CJ79" s="133"/>
      <c r="CK79" s="121"/>
      <c r="CL79" s="121"/>
      <c r="CM79" s="121"/>
      <c r="CN79" s="121"/>
      <c r="CO79" s="121"/>
      <c r="CP79" s="121"/>
      <c r="CQ79" s="121"/>
      <c r="CR79" s="121"/>
      <c r="CS79" s="121"/>
      <c r="CT79" s="124" t="b">
        <f>IF(CK57=21,30)</f>
        <v>0</v>
      </c>
      <c r="CU79" s="76"/>
      <c r="CV79" s="76"/>
      <c r="CW79" s="76"/>
      <c r="CX79" s="76"/>
      <c r="CY79" s="76"/>
      <c r="CZ79" s="76"/>
      <c r="DA79" s="76"/>
      <c r="DB79" s="76"/>
      <c r="DC79" s="78"/>
      <c r="DD79" s="78"/>
    </row>
    <row r="80" spans="5:108" ht="21" hidden="1" thickBot="1" x14ac:dyDescent="0.25">
      <c r="E80" s="397"/>
      <c r="F80" s="397"/>
      <c r="G80" s="998"/>
      <c r="H80"/>
      <c r="I80"/>
      <c r="J80"/>
      <c r="K80"/>
      <c r="L80"/>
      <c r="M80"/>
      <c r="N80"/>
      <c r="O80" s="995"/>
      <c r="T80" s="401"/>
      <c r="BE80" s="136"/>
      <c r="BF80" s="136"/>
      <c r="BG80" s="136"/>
      <c r="BH80" s="136"/>
      <c r="BN80" s="86"/>
      <c r="BO80" s="1091"/>
      <c r="BP80" s="96">
        <v>20</v>
      </c>
      <c r="BQ80" s="78"/>
      <c r="BR80" s="78"/>
      <c r="BS80" s="78"/>
      <c r="BT80" s="78"/>
      <c r="BU80" s="78"/>
      <c r="BV80" s="78"/>
      <c r="BW80" s="78"/>
      <c r="BX80" s="78"/>
      <c r="CA80" s="137"/>
      <c r="CB80" s="117" t="b">
        <f>IF(CJ57=20,12)</f>
        <v>0</v>
      </c>
      <c r="CC80" s="111"/>
      <c r="CD80" s="111"/>
      <c r="CE80" s="111"/>
      <c r="CF80" s="111"/>
      <c r="CG80" s="111"/>
      <c r="CH80" s="138"/>
      <c r="CI80" s="111"/>
      <c r="CJ80" s="129"/>
      <c r="CK80" s="111"/>
      <c r="CL80" s="111"/>
      <c r="CM80" s="111"/>
      <c r="CN80" s="111"/>
      <c r="CO80" s="111"/>
      <c r="CP80" s="111"/>
      <c r="CQ80" s="111"/>
      <c r="CR80" s="103" t="b">
        <f>IF(CJ57=20,28)</f>
        <v>0</v>
      </c>
      <c r="CS80" s="137"/>
      <c r="CU80" s="76"/>
      <c r="CV80" s="76"/>
      <c r="CW80" s="76"/>
      <c r="CX80" s="76"/>
      <c r="CY80" s="76"/>
      <c r="CZ80" s="76"/>
      <c r="DA80" s="76"/>
      <c r="DB80" s="76"/>
      <c r="DC80" s="78"/>
      <c r="DD80" s="78"/>
    </row>
    <row r="81" spans="2:108" ht="21" hidden="1" thickBot="1" x14ac:dyDescent="0.25">
      <c r="E81" s="397"/>
      <c r="F81" s="397"/>
      <c r="G81" s="998"/>
      <c r="H81"/>
      <c r="I81"/>
      <c r="J81"/>
      <c r="K81"/>
      <c r="L81"/>
      <c r="M81"/>
      <c r="N81"/>
      <c r="O81" s="995"/>
      <c r="U81" s="114"/>
      <c r="AB81" s="114"/>
      <c r="AC81" s="114"/>
      <c r="AD81" s="114"/>
      <c r="AE81" s="114"/>
      <c r="BE81" s="136"/>
      <c r="BF81" s="136"/>
      <c r="BG81" s="136"/>
      <c r="BH81" s="136"/>
      <c r="BN81" s="86"/>
      <c r="BO81" s="1091"/>
      <c r="BP81" s="96">
        <v>19</v>
      </c>
      <c r="BQ81" s="78"/>
      <c r="BR81" s="78"/>
      <c r="BS81" s="78"/>
      <c r="BT81" s="78"/>
      <c r="BU81" s="78"/>
      <c r="BV81" s="78"/>
      <c r="BW81" s="78"/>
      <c r="BX81" s="78"/>
      <c r="BZ81" s="139"/>
      <c r="CA81" s="139"/>
      <c r="CB81" s="117" t="b">
        <f>IF(CI57=19,12)</f>
        <v>0</v>
      </c>
      <c r="CC81" s="119"/>
      <c r="CD81" s="119"/>
      <c r="CE81" s="118"/>
      <c r="CF81" s="119"/>
      <c r="CG81" s="119"/>
      <c r="CH81" s="140"/>
      <c r="CI81" s="119"/>
      <c r="CJ81" s="141"/>
      <c r="CK81" s="118"/>
      <c r="CL81" s="119"/>
      <c r="CM81" s="119"/>
      <c r="CN81" s="119"/>
      <c r="CO81" s="111"/>
      <c r="CP81" s="103" t="b">
        <f>IF(CI57=19,26)</f>
        <v>0</v>
      </c>
      <c r="CQ81" s="142"/>
      <c r="CR81" s="137"/>
      <c r="CT81" s="78"/>
      <c r="CU81" s="78"/>
      <c r="CV81" s="78"/>
      <c r="CW81" s="78"/>
      <c r="CX81" s="78"/>
      <c r="CY81" s="78"/>
      <c r="CZ81" s="78"/>
      <c r="DA81" s="78"/>
      <c r="DB81" s="78"/>
      <c r="DC81" s="78"/>
      <c r="DD81" s="78"/>
    </row>
    <row r="82" spans="2:108" ht="21" hidden="1" thickBot="1" x14ac:dyDescent="0.25">
      <c r="E82" s="397"/>
      <c r="F82" s="397"/>
      <c r="G82" s="998"/>
      <c r="H82"/>
      <c r="I82"/>
      <c r="J82"/>
      <c r="K82"/>
      <c r="L82"/>
      <c r="M82"/>
      <c r="N82"/>
      <c r="O82" s="995"/>
      <c r="U82" s="114"/>
      <c r="AB82" s="114"/>
      <c r="AC82" s="114"/>
      <c r="AD82" s="114"/>
      <c r="AE82" s="114"/>
      <c r="BE82" s="136"/>
      <c r="BF82" s="136"/>
      <c r="BG82" s="136"/>
      <c r="BH82" s="136"/>
      <c r="BN82" s="86"/>
      <c r="BO82" s="1091"/>
      <c r="BP82" s="96">
        <v>18</v>
      </c>
      <c r="BQ82" s="76"/>
      <c r="BR82" s="76"/>
      <c r="BS82" s="76"/>
      <c r="BT82" s="76"/>
      <c r="BU82" s="76"/>
      <c r="BV82" s="76"/>
      <c r="BW82" s="76"/>
      <c r="BX82" s="76"/>
      <c r="BZ82" s="117" t="b">
        <f>IF(CH57=18,10)</f>
        <v>0</v>
      </c>
      <c r="CA82" s="119"/>
      <c r="CB82" s="119"/>
      <c r="CC82" s="119"/>
      <c r="CD82" s="119"/>
      <c r="CE82" s="118"/>
      <c r="CF82" s="119"/>
      <c r="CG82" s="119"/>
      <c r="CH82" s="140"/>
      <c r="CI82" s="119"/>
      <c r="CJ82" s="141"/>
      <c r="CK82" s="118"/>
      <c r="CL82" s="119"/>
      <c r="CM82" s="119"/>
      <c r="CN82" s="119"/>
      <c r="CO82" s="111"/>
      <c r="CP82" s="103" t="b">
        <f>IF(CH57=18,26)</f>
        <v>0</v>
      </c>
      <c r="CR82" s="78"/>
      <c r="CS82" s="78"/>
      <c r="CT82" s="78"/>
      <c r="CU82" s="78"/>
      <c r="CV82" s="78"/>
      <c r="CW82" s="78"/>
      <c r="CX82" s="78"/>
      <c r="CY82" s="78"/>
      <c r="CZ82" s="78"/>
      <c r="DA82" s="78"/>
      <c r="DB82" s="78"/>
      <c r="DC82" s="78"/>
      <c r="DD82" s="78"/>
    </row>
    <row r="83" spans="2:108" ht="21" hidden="1" thickBot="1" x14ac:dyDescent="0.25">
      <c r="E83" s="397"/>
      <c r="F83" s="397"/>
      <c r="G83" s="998"/>
      <c r="H83"/>
      <c r="I83"/>
      <c r="J83"/>
      <c r="K83" s="988">
        <v>5</v>
      </c>
      <c r="L83"/>
      <c r="M83" s="988">
        <v>51</v>
      </c>
      <c r="N83"/>
      <c r="O83" s="995"/>
      <c r="U83" s="114"/>
      <c r="AB83" s="114"/>
      <c r="AC83" s="114"/>
      <c r="AD83" s="114"/>
      <c r="AE83" s="114"/>
      <c r="BE83" s="136"/>
      <c r="BF83" s="136"/>
      <c r="BG83" s="136"/>
      <c r="BH83" s="136"/>
      <c r="BN83" s="86"/>
      <c r="BO83" s="1091"/>
      <c r="BP83" s="96">
        <v>17</v>
      </c>
      <c r="BQ83" s="76"/>
      <c r="BR83" s="76"/>
      <c r="BS83" s="76"/>
      <c r="BT83" s="76"/>
      <c r="BU83" s="76"/>
      <c r="BV83" s="76"/>
      <c r="BW83" s="76"/>
      <c r="BX83" s="117">
        <f>IF(CG57=17,8)</f>
        <v>8</v>
      </c>
      <c r="BY83" s="118"/>
      <c r="BZ83" s="118"/>
      <c r="CA83" s="119"/>
      <c r="CB83" s="119"/>
      <c r="CC83" s="119"/>
      <c r="CD83" s="119"/>
      <c r="CE83" s="119"/>
      <c r="CF83" s="119"/>
      <c r="CG83" s="119"/>
      <c r="CH83" s="140"/>
      <c r="CI83" s="119"/>
      <c r="CJ83" s="141"/>
      <c r="CK83" s="119"/>
      <c r="CL83" s="119"/>
      <c r="CM83" s="119"/>
      <c r="CN83" s="118"/>
      <c r="CO83" s="118"/>
      <c r="CP83" s="103">
        <f>IF(CG57=17,26)</f>
        <v>26</v>
      </c>
      <c r="CQ83" s="78"/>
      <c r="CR83" s="78"/>
      <c r="CS83" s="78"/>
      <c r="CT83" s="78"/>
      <c r="CU83" s="78"/>
      <c r="CV83" s="78"/>
      <c r="CW83" s="78"/>
      <c r="CX83" s="78"/>
      <c r="CY83" s="78"/>
      <c r="CZ83" s="78"/>
      <c r="DA83" s="78"/>
      <c r="DB83" s="78"/>
      <c r="DC83" s="78"/>
      <c r="DD83" s="78"/>
    </row>
    <row r="84" spans="2:108" ht="85" hidden="1" thickBot="1" x14ac:dyDescent="0.25">
      <c r="E84" s="397"/>
      <c r="F84" s="397"/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U84" s="114"/>
      <c r="AB84" s="114"/>
      <c r="AC84" s="114"/>
      <c r="AD84" s="114"/>
      <c r="AE84" s="114"/>
      <c r="BE84" s="136"/>
      <c r="BF84" s="136"/>
      <c r="BG84" s="136"/>
      <c r="BH84" s="136"/>
      <c r="BN84" s="86"/>
      <c r="BO84" s="1091"/>
      <c r="BP84" s="96">
        <v>16</v>
      </c>
      <c r="BQ84" s="76"/>
      <c r="BR84" s="76"/>
      <c r="BS84" s="76"/>
      <c r="BT84" s="76"/>
      <c r="BU84" s="76"/>
      <c r="BV84" s="145" t="b">
        <f>IF(CF57=16,6)</f>
        <v>0</v>
      </c>
      <c r="BW84" s="146"/>
      <c r="BX84" s="147"/>
      <c r="BY84" s="147"/>
      <c r="BZ84" s="146"/>
      <c r="CA84" s="146"/>
      <c r="CB84" s="146"/>
      <c r="CC84" s="146"/>
      <c r="CD84" s="146"/>
      <c r="CE84" s="146"/>
      <c r="CF84" s="146"/>
      <c r="CG84" s="146"/>
      <c r="CH84" s="148"/>
      <c r="CI84" s="146"/>
      <c r="CJ84" s="149"/>
      <c r="CK84" s="146"/>
      <c r="CL84" s="146"/>
      <c r="CM84" s="147"/>
      <c r="CN84" s="147"/>
      <c r="CO84" s="150"/>
      <c r="CP84" s="151" t="b">
        <f>IF(CF57=16,26)</f>
        <v>0</v>
      </c>
      <c r="CQ84" s="78"/>
      <c r="CR84" s="78"/>
      <c r="CS84" s="78"/>
      <c r="CT84" s="78"/>
      <c r="CU84" s="78"/>
      <c r="CV84" s="78"/>
      <c r="CW84" s="78"/>
      <c r="CX84" s="78"/>
      <c r="CY84" s="78"/>
      <c r="CZ84" s="78"/>
      <c r="DA84" s="78"/>
      <c r="DB84" s="78"/>
      <c r="DC84" s="78"/>
      <c r="DD84" s="78"/>
    </row>
    <row r="85" spans="2:108" ht="145" hidden="1" thickBot="1" x14ac:dyDescent="0.3">
      <c r="E85" s="397"/>
      <c r="F85" s="397"/>
      <c r="G85" s="998"/>
      <c r="H85"/>
      <c r="I85"/>
      <c r="J85" s="1067" t="s">
        <v>260</v>
      </c>
      <c r="K85" s="1052">
        <f>+MIN(J19:K20)</f>
        <v>28.469750889679716</v>
      </c>
      <c r="L85" s="1051">
        <f>+$E$20/(BQ25)</f>
        <v>28.469750889679716</v>
      </c>
      <c r="M85" s="1051">
        <f>+MIN(K25:L26)</f>
        <v>28.469750889679716</v>
      </c>
      <c r="N85"/>
      <c r="O85" s="995"/>
      <c r="U85" s="114"/>
      <c r="AB85" s="114"/>
      <c r="AC85" s="114"/>
      <c r="AD85" s="114"/>
      <c r="AE85" s="114"/>
      <c r="BE85" s="136"/>
      <c r="BF85" s="136"/>
      <c r="BG85" s="136"/>
      <c r="BH85" s="136"/>
      <c r="BN85" s="86"/>
      <c r="BO85" s="1091"/>
      <c r="BP85" s="96">
        <v>15</v>
      </c>
      <c r="BQ85" s="76"/>
      <c r="BR85" s="76"/>
      <c r="BS85" s="76"/>
      <c r="BT85" s="117" t="b">
        <f>IF(CE57=15,4)</f>
        <v>0</v>
      </c>
      <c r="BU85" s="119"/>
      <c r="BV85" s="119"/>
      <c r="BW85" s="119"/>
      <c r="BX85" s="118"/>
      <c r="BY85" s="119"/>
      <c r="BZ85" s="119"/>
      <c r="CA85" s="118"/>
      <c r="CB85" s="119"/>
      <c r="CC85" s="119"/>
      <c r="CD85" s="119"/>
      <c r="CE85" s="119"/>
      <c r="CF85" s="119"/>
      <c r="CG85" s="119"/>
      <c r="CH85" s="140"/>
      <c r="CI85" s="118"/>
      <c r="CJ85" s="141"/>
      <c r="CK85" s="119"/>
      <c r="CL85" s="118"/>
      <c r="CM85" s="119"/>
      <c r="CN85" s="119"/>
      <c r="CO85" s="111"/>
      <c r="CP85" s="103" t="b">
        <f>IF(CE57=15,26)</f>
        <v>0</v>
      </c>
      <c r="CQ85" s="78"/>
      <c r="CR85" s="78"/>
      <c r="CS85" s="78"/>
      <c r="CT85" s="78"/>
      <c r="CU85" s="78"/>
      <c r="CV85" s="78"/>
      <c r="CW85" s="78"/>
      <c r="CX85" s="78"/>
      <c r="CY85" s="78"/>
      <c r="CZ85" s="78"/>
      <c r="DA85" s="78"/>
      <c r="DB85" s="78"/>
      <c r="DC85" s="78"/>
      <c r="DD85" s="78"/>
    </row>
    <row r="86" spans="2:108" ht="21" hidden="1" thickBot="1" x14ac:dyDescent="0.25">
      <c r="E86" s="397"/>
      <c r="F86" s="397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U86" s="114"/>
      <c r="AB86" s="114"/>
      <c r="AC86" s="114"/>
      <c r="AD86" s="114"/>
      <c r="AE86" s="114"/>
      <c r="BE86" s="136"/>
      <c r="BF86" s="136"/>
      <c r="BG86" s="136"/>
      <c r="BH86" s="136"/>
      <c r="BN86" s="86"/>
      <c r="BO86" s="1091"/>
      <c r="BP86" s="96">
        <v>14</v>
      </c>
      <c r="BQ86" s="76"/>
      <c r="BR86" s="117" t="b">
        <f>IF(CD57=14,2)</f>
        <v>0</v>
      </c>
      <c r="BS86" s="119"/>
      <c r="BT86" s="119"/>
      <c r="BU86" s="119"/>
      <c r="BV86" s="118"/>
      <c r="BW86" s="119"/>
      <c r="BX86" s="119"/>
      <c r="BY86" s="118"/>
      <c r="BZ86" s="119"/>
      <c r="CA86" s="119"/>
      <c r="CB86" s="119"/>
      <c r="CC86" s="119"/>
      <c r="CD86" s="119"/>
      <c r="CE86" s="119"/>
      <c r="CF86" s="119"/>
      <c r="CG86" s="119"/>
      <c r="CH86" s="140"/>
      <c r="CI86" s="118"/>
      <c r="CJ86" s="141"/>
      <c r="CK86" s="119"/>
      <c r="CL86" s="118"/>
      <c r="CM86" s="119"/>
      <c r="CN86" s="119"/>
      <c r="CO86" s="111"/>
      <c r="CP86" s="103" t="b">
        <f>IF(CD57=14,26)</f>
        <v>0</v>
      </c>
      <c r="CQ86" s="78"/>
      <c r="CR86" s="78"/>
      <c r="CS86" s="78"/>
      <c r="CT86" s="78"/>
      <c r="CU86" s="78"/>
      <c r="CV86" s="78"/>
      <c r="CW86" s="78"/>
      <c r="CX86" s="78"/>
      <c r="CY86" s="78"/>
      <c r="CZ86" s="78"/>
      <c r="DA86" s="78"/>
      <c r="DB86" s="78"/>
      <c r="DC86" s="78"/>
      <c r="DD86" s="78"/>
    </row>
    <row r="87" spans="2:108" ht="21" hidden="1" thickBot="1" x14ac:dyDescent="0.25">
      <c r="E87" s="397"/>
      <c r="F87" s="397"/>
      <c r="G87" s="998"/>
      <c r="H87"/>
      <c r="I87"/>
      <c r="J87"/>
      <c r="K87"/>
      <c r="L87"/>
      <c r="M87"/>
      <c r="N87"/>
      <c r="O87" s="995"/>
      <c r="U87" s="114"/>
      <c r="AB87" s="114"/>
      <c r="AC87" s="114"/>
      <c r="AD87" s="114"/>
      <c r="AE87" s="114"/>
      <c r="BE87" s="136"/>
      <c r="BF87" s="136"/>
      <c r="BG87" s="136"/>
      <c r="BH87" s="136"/>
      <c r="BN87" s="86"/>
      <c r="BO87" s="1091"/>
      <c r="BP87" s="96">
        <v>13</v>
      </c>
      <c r="BQ87" s="76"/>
      <c r="BR87" s="76"/>
      <c r="BS87" s="76"/>
      <c r="BU87" s="152"/>
      <c r="BV87" s="152"/>
      <c r="BW87" s="91"/>
      <c r="BX87" s="152"/>
      <c r="BY87" s="120" t="b">
        <f>IF(CC57=13,9)</f>
        <v>0</v>
      </c>
      <c r="BZ87" s="123"/>
      <c r="CA87" s="123"/>
      <c r="CB87" s="123"/>
      <c r="CC87" s="123"/>
      <c r="CD87" s="123"/>
      <c r="CE87" s="123"/>
      <c r="CF87" s="123"/>
      <c r="CG87" s="124" t="b">
        <f>IF(CC57=13,17)</f>
        <v>0</v>
      </c>
      <c r="CH87" s="153"/>
      <c r="CI87" s="91"/>
      <c r="CJ87" s="154"/>
      <c r="CK87" s="152"/>
      <c r="CM87" s="76"/>
      <c r="CN87" s="76"/>
      <c r="CO87" s="78"/>
      <c r="CP87" s="78"/>
      <c r="CQ87" s="78"/>
      <c r="CR87" s="78"/>
      <c r="CS87" s="78"/>
      <c r="CT87" s="78"/>
      <c r="CU87" s="78"/>
      <c r="CV87" s="78"/>
      <c r="CW87" s="78"/>
      <c r="CX87" s="78"/>
      <c r="CY87" s="78"/>
      <c r="CZ87" s="78"/>
      <c r="DA87" s="78"/>
      <c r="DB87" s="78"/>
      <c r="DC87" s="78"/>
      <c r="DD87" s="78"/>
    </row>
    <row r="88" spans="2:108" ht="21" hidden="1" thickBot="1" x14ac:dyDescent="0.25">
      <c r="E88" s="397"/>
      <c r="F88" s="397"/>
      <c r="G88" s="998"/>
      <c r="H88"/>
      <c r="I88"/>
      <c r="J88"/>
      <c r="K88"/>
      <c r="L88"/>
      <c r="M88"/>
      <c r="N88"/>
      <c r="O88" s="995"/>
      <c r="U88" s="114"/>
      <c r="AB88" s="114"/>
      <c r="AC88" s="114"/>
      <c r="AD88" s="114"/>
      <c r="AE88" s="114"/>
      <c r="BE88" s="136"/>
      <c r="BF88" s="136"/>
      <c r="BG88" s="136"/>
      <c r="BH88" s="136"/>
      <c r="BN88" s="86"/>
      <c r="BO88" s="1091"/>
      <c r="BP88" s="96">
        <v>12</v>
      </c>
      <c r="BQ88" s="76"/>
      <c r="BS88" s="139"/>
      <c r="BT88" s="139"/>
      <c r="BU88" s="142"/>
      <c r="BV88" s="139"/>
      <c r="BW88" s="117" t="b">
        <f>IF(CB57=12,7)</f>
        <v>0</v>
      </c>
      <c r="BX88" s="119"/>
      <c r="BY88" s="119"/>
      <c r="BZ88" s="119"/>
      <c r="CA88" s="119"/>
      <c r="CB88" s="119"/>
      <c r="CC88" s="119"/>
      <c r="CD88" s="119"/>
      <c r="CE88" s="119"/>
      <c r="CF88" s="119"/>
      <c r="CG88" s="103" t="b">
        <f>IF(CB57=12,17)</f>
        <v>0</v>
      </c>
      <c r="CH88" s="155"/>
      <c r="CI88" s="142"/>
      <c r="CJ88" s="156"/>
      <c r="CK88" s="139"/>
      <c r="CM88" s="76"/>
      <c r="CN88" s="76"/>
      <c r="CO88" s="78"/>
      <c r="CP88" s="78"/>
      <c r="CQ88" s="78"/>
      <c r="CR88" s="78"/>
      <c r="CS88" s="78"/>
      <c r="CT88" s="78"/>
      <c r="CU88" s="78"/>
      <c r="CV88" s="78"/>
      <c r="CW88" s="78"/>
      <c r="CX88" s="78"/>
      <c r="CY88" s="78"/>
      <c r="CZ88" s="78"/>
      <c r="DA88" s="78"/>
      <c r="DB88" s="78"/>
      <c r="DC88" s="78"/>
      <c r="DD88" s="78"/>
    </row>
    <row r="89" spans="2:108" ht="21" hidden="1" thickBot="1" x14ac:dyDescent="0.25">
      <c r="D89" s="397"/>
      <c r="E89" s="397"/>
      <c r="F89" s="397"/>
      <c r="G89" s="998"/>
      <c r="H89"/>
      <c r="I89"/>
      <c r="J89"/>
      <c r="K89"/>
      <c r="L89"/>
      <c r="M89"/>
      <c r="N89"/>
      <c r="O89" s="995"/>
      <c r="U89" s="114"/>
      <c r="AB89" s="114"/>
      <c r="AC89" s="114"/>
      <c r="AD89" s="114"/>
      <c r="AE89" s="114"/>
      <c r="BE89" s="136"/>
      <c r="BF89" s="136"/>
      <c r="BG89" s="136"/>
      <c r="BH89" s="136"/>
      <c r="BN89" s="86"/>
      <c r="BO89" s="1091"/>
      <c r="BP89" s="96">
        <v>11</v>
      </c>
      <c r="BR89" s="152"/>
      <c r="BS89" s="91"/>
      <c r="BT89" s="152"/>
      <c r="BU89" s="117" t="b">
        <f>IF(CA57=11,5)</f>
        <v>0</v>
      </c>
      <c r="BV89" s="119"/>
      <c r="BW89" s="119"/>
      <c r="BX89" s="119"/>
      <c r="BY89" s="119"/>
      <c r="BZ89" s="119"/>
      <c r="CA89" s="119"/>
      <c r="CB89" s="119"/>
      <c r="CC89" s="119"/>
      <c r="CD89" s="119"/>
      <c r="CE89" s="119"/>
      <c r="CF89" s="119"/>
      <c r="CG89" s="103" t="b">
        <f>IF(CA57=11,17)</f>
        <v>0</v>
      </c>
      <c r="CH89" s="153"/>
      <c r="CI89" s="91"/>
      <c r="CJ89" s="154"/>
      <c r="CL89" s="76"/>
      <c r="CM89" s="76"/>
      <c r="CN89" s="76"/>
      <c r="CO89" s="78"/>
      <c r="CP89" s="78"/>
      <c r="CQ89" s="78"/>
      <c r="CR89" s="78"/>
      <c r="CS89" s="78"/>
      <c r="CT89" s="78"/>
      <c r="CU89" s="78"/>
      <c r="CV89" s="78"/>
      <c r="CW89" s="78"/>
      <c r="CX89" s="78"/>
      <c r="CY89" s="78"/>
      <c r="CZ89" s="78"/>
      <c r="DA89" s="78"/>
      <c r="DB89" s="78"/>
      <c r="DC89" s="78"/>
      <c r="DD89" s="78"/>
    </row>
    <row r="90" spans="2:108" ht="21" hidden="1" thickBot="1" x14ac:dyDescent="0.25">
      <c r="B90" s="399"/>
      <c r="C90" s="399"/>
      <c r="D90" s="397"/>
      <c r="E90" s="397"/>
      <c r="F90" s="397"/>
      <c r="G90" s="998"/>
      <c r="H90"/>
      <c r="I90"/>
      <c r="J90"/>
      <c r="K90"/>
      <c r="L90"/>
      <c r="M90"/>
      <c r="N90"/>
      <c r="O90" s="995"/>
      <c r="U90" s="114"/>
      <c r="AB90" s="114"/>
      <c r="AC90" s="114"/>
      <c r="AD90" s="114"/>
      <c r="AE90" s="114"/>
      <c r="BE90" s="136"/>
      <c r="BF90" s="136"/>
      <c r="BG90" s="136"/>
      <c r="BH90" s="136"/>
      <c r="BN90" s="86"/>
      <c r="BO90" s="1091"/>
      <c r="BP90" s="96">
        <v>10</v>
      </c>
      <c r="BR90" s="152"/>
      <c r="BS90" s="117" t="b">
        <f>IF(BZ57=10,3)</f>
        <v>0</v>
      </c>
      <c r="BT90" s="119"/>
      <c r="BU90" s="119"/>
      <c r="BV90" s="119"/>
      <c r="BW90" s="119"/>
      <c r="BX90" s="119"/>
      <c r="BY90" s="119"/>
      <c r="BZ90" s="119"/>
      <c r="CA90" s="119"/>
      <c r="CB90" s="119"/>
      <c r="CC90" s="119"/>
      <c r="CD90" s="119"/>
      <c r="CE90" s="119"/>
      <c r="CF90" s="119"/>
      <c r="CG90" s="103" t="b">
        <f>IF(BZ57=10,17)</f>
        <v>0</v>
      </c>
      <c r="CH90" s="153"/>
      <c r="CJ90" s="157"/>
      <c r="CK90" s="76"/>
      <c r="CL90" s="76"/>
      <c r="CM90" s="76"/>
      <c r="CN90" s="76"/>
      <c r="CO90" s="78"/>
      <c r="CP90" s="78"/>
      <c r="CQ90" s="78"/>
      <c r="CR90" s="78"/>
      <c r="CS90" s="78"/>
      <c r="CT90" s="78"/>
      <c r="CU90" s="78"/>
      <c r="CV90" s="78"/>
      <c r="CW90" s="78"/>
      <c r="CX90" s="78"/>
      <c r="CY90" s="78"/>
      <c r="CZ90" s="78"/>
      <c r="DA90" s="78"/>
      <c r="DB90" s="78"/>
      <c r="DC90" s="78"/>
      <c r="DD90" s="78"/>
    </row>
    <row r="91" spans="2:108" ht="21" hidden="1" thickBot="1" x14ac:dyDescent="0.25">
      <c r="B91" s="399"/>
      <c r="C91" s="399"/>
      <c r="D91" s="397"/>
      <c r="E91" s="397"/>
      <c r="F91" s="397"/>
      <c r="G91" s="998"/>
      <c r="H91"/>
      <c r="I91"/>
      <c r="J91"/>
      <c r="K91"/>
      <c r="L91"/>
      <c r="M91"/>
      <c r="N91"/>
      <c r="O91" s="995"/>
      <c r="U91" s="114"/>
      <c r="AB91" s="114"/>
      <c r="AC91" s="114"/>
      <c r="AD91" s="114"/>
      <c r="AE91" s="114"/>
      <c r="BF91" s="136"/>
      <c r="BG91" s="136"/>
      <c r="BH91" s="136"/>
      <c r="BN91" s="86"/>
      <c r="BO91" s="1091"/>
      <c r="BP91" s="96">
        <v>9</v>
      </c>
      <c r="BQ91" s="117" t="b">
        <f>IF(BY57=9,1)</f>
        <v>0</v>
      </c>
      <c r="BR91" s="119"/>
      <c r="BS91" s="119"/>
      <c r="BT91" s="119"/>
      <c r="BU91" s="119"/>
      <c r="BV91" s="119"/>
      <c r="BW91" s="119"/>
      <c r="BX91" s="119"/>
      <c r="BY91" s="119"/>
      <c r="BZ91" s="119"/>
      <c r="CA91" s="119"/>
      <c r="CB91" s="119"/>
      <c r="CC91" s="119"/>
      <c r="CD91" s="119"/>
      <c r="CE91" s="119"/>
      <c r="CF91" s="119"/>
      <c r="CG91" s="103" t="b">
        <f>IF(BY57=9,17)</f>
        <v>0</v>
      </c>
      <c r="CH91" s="76"/>
      <c r="CI91" s="76"/>
      <c r="CJ91" s="157"/>
      <c r="CK91" s="76"/>
      <c r="CL91" s="76"/>
      <c r="CM91" s="76"/>
      <c r="CN91" s="76"/>
      <c r="CO91" s="78"/>
      <c r="CP91" s="78"/>
      <c r="CQ91" s="78"/>
      <c r="CR91" s="78"/>
      <c r="CS91" s="78"/>
      <c r="CT91" s="78"/>
      <c r="CU91" s="78"/>
      <c r="CV91" s="78"/>
      <c r="CW91" s="78"/>
      <c r="CX91" s="78"/>
      <c r="CY91" s="78"/>
      <c r="CZ91" s="78"/>
      <c r="DA91" s="78"/>
      <c r="DB91" s="78"/>
      <c r="DC91" s="78"/>
      <c r="DD91" s="78"/>
    </row>
    <row r="92" spans="2:108" ht="21" hidden="1" thickBot="1" x14ac:dyDescent="0.25">
      <c r="B92" s="401"/>
      <c r="E92" s="397"/>
      <c r="F92" s="397"/>
      <c r="G92" s="998"/>
      <c r="H92"/>
      <c r="I92"/>
      <c r="J92"/>
      <c r="K92"/>
      <c r="L92"/>
      <c r="M92"/>
      <c r="N92"/>
      <c r="O92" s="995"/>
      <c r="U92" s="114"/>
      <c r="AB92" s="114"/>
      <c r="AC92" s="114"/>
      <c r="AD92" s="114"/>
      <c r="AE92" s="114"/>
      <c r="BE92" s="136"/>
      <c r="BF92" s="136"/>
      <c r="BG92" s="136"/>
      <c r="BH92" s="136"/>
      <c r="BN92" s="86"/>
      <c r="BO92" s="1091"/>
      <c r="BP92" s="96">
        <v>8</v>
      </c>
      <c r="BQ92" s="117" t="b">
        <f>IF(BX57=8,1)</f>
        <v>0</v>
      </c>
      <c r="BR92" s="119"/>
      <c r="BS92" s="118"/>
      <c r="BT92" s="119"/>
      <c r="BU92" s="119"/>
      <c r="BV92" s="119"/>
      <c r="BW92" s="119"/>
      <c r="BX92" s="119"/>
      <c r="BY92" s="119"/>
      <c r="BZ92" s="119"/>
      <c r="CA92" s="119"/>
      <c r="CB92" s="119"/>
      <c r="CC92" s="118"/>
      <c r="CD92" s="119"/>
      <c r="CE92" s="103" t="b">
        <f>IF(BX57=8,15)</f>
        <v>0</v>
      </c>
      <c r="CF92" s="76"/>
      <c r="CG92" s="76"/>
      <c r="CH92" s="158"/>
      <c r="CI92" s="76"/>
      <c r="CJ92" s="157"/>
      <c r="CK92" s="76"/>
      <c r="CL92" s="76"/>
      <c r="CM92" s="76"/>
      <c r="CN92" s="76"/>
      <c r="CO92" s="78"/>
      <c r="CP92" s="78"/>
      <c r="CQ92" s="78"/>
      <c r="CR92" s="78"/>
      <c r="CS92" s="78"/>
      <c r="CT92" s="78"/>
      <c r="CU92" s="78"/>
      <c r="CV92" s="78"/>
      <c r="CW92" s="78"/>
      <c r="CX92" s="78"/>
      <c r="CY92" s="78"/>
      <c r="CZ92" s="78"/>
      <c r="DA92" s="78"/>
      <c r="DB92" s="78"/>
      <c r="DC92" s="78"/>
      <c r="DD92" s="78"/>
    </row>
    <row r="93" spans="2:108" ht="21" hidden="1" thickBot="1" x14ac:dyDescent="0.25">
      <c r="B93" s="399"/>
      <c r="C93" s="399"/>
      <c r="D93" s="397"/>
      <c r="E93" s="397"/>
      <c r="F93" s="397"/>
      <c r="G93" s="998"/>
      <c r="H93"/>
      <c r="I93"/>
      <c r="J93"/>
      <c r="K93"/>
      <c r="L93"/>
      <c r="M93"/>
      <c r="N93"/>
      <c r="O93" s="995"/>
      <c r="U93" s="114"/>
      <c r="AB93" s="114"/>
      <c r="AC93" s="114"/>
      <c r="AD93" s="114"/>
      <c r="AE93" s="114"/>
      <c r="BF93" s="136"/>
      <c r="BG93" s="136"/>
      <c r="BH93" s="136"/>
      <c r="BN93" s="86"/>
      <c r="BO93" s="1091"/>
      <c r="BP93" s="96">
        <v>7</v>
      </c>
      <c r="BQ93" s="117" t="b">
        <f>IF(BW57=7,1)</f>
        <v>0</v>
      </c>
      <c r="BR93" s="118"/>
      <c r="BS93" s="119"/>
      <c r="BT93" s="119"/>
      <c r="BU93" s="119"/>
      <c r="BV93" s="119"/>
      <c r="BW93" s="119"/>
      <c r="BX93" s="119"/>
      <c r="BY93" s="119"/>
      <c r="BZ93" s="119"/>
      <c r="CA93" s="118"/>
      <c r="CB93" s="118"/>
      <c r="CC93" s="103" t="b">
        <f>IF(BW57=7,13)</f>
        <v>0</v>
      </c>
      <c r="CD93" s="76"/>
      <c r="CE93" s="76"/>
      <c r="CF93" s="76"/>
      <c r="CG93" s="76"/>
      <c r="CH93" s="158"/>
      <c r="CI93" s="76"/>
      <c r="CJ93" s="157"/>
      <c r="CK93" s="76"/>
      <c r="CL93" s="76"/>
      <c r="CM93" s="76"/>
      <c r="CN93" s="76"/>
      <c r="CO93" s="78"/>
      <c r="CP93" s="78"/>
      <c r="CQ93" s="78"/>
      <c r="CR93" s="78"/>
      <c r="CS93" s="78"/>
      <c r="CT93" s="78"/>
      <c r="CU93" s="78"/>
      <c r="CV93" s="78"/>
      <c r="CW93" s="78"/>
      <c r="CX93" s="78"/>
      <c r="CY93" s="78"/>
      <c r="CZ93" s="78"/>
      <c r="DA93" s="78"/>
      <c r="DB93" s="78"/>
      <c r="DC93" s="78"/>
      <c r="DD93" s="78"/>
    </row>
    <row r="94" spans="2:108" ht="21" hidden="1" thickBot="1" x14ac:dyDescent="0.25">
      <c r="B94" s="399"/>
      <c r="C94" s="399"/>
      <c r="D94" s="397"/>
      <c r="E94" s="397"/>
      <c r="F94" s="397"/>
      <c r="G94" s="998"/>
      <c r="H94"/>
      <c r="I94"/>
      <c r="J94"/>
      <c r="K94"/>
      <c r="L94"/>
      <c r="M94"/>
      <c r="N94"/>
      <c r="O94" s="995"/>
      <c r="U94" s="114"/>
      <c r="AB94" s="114"/>
      <c r="AC94" s="114"/>
      <c r="AD94" s="114"/>
      <c r="AE94" s="114"/>
      <c r="BF94" s="136"/>
      <c r="BG94" s="136"/>
      <c r="BH94" s="136"/>
      <c r="BN94" s="86"/>
      <c r="BO94" s="1091"/>
      <c r="BP94" s="96">
        <v>6</v>
      </c>
      <c r="BQ94" s="120" t="b">
        <f>IF(BV57=6,1)</f>
        <v>0</v>
      </c>
      <c r="BR94" s="123"/>
      <c r="BS94" s="123"/>
      <c r="BT94" s="123"/>
      <c r="BU94" s="123"/>
      <c r="BV94" s="123"/>
      <c r="BW94" s="123"/>
      <c r="BX94" s="123"/>
      <c r="BY94" s="123"/>
      <c r="BZ94" s="123"/>
      <c r="CA94" s="124" t="b">
        <f>IF(BV57=6,11)</f>
        <v>0</v>
      </c>
      <c r="CB94" s="76"/>
      <c r="CC94" s="76"/>
      <c r="CD94" s="76"/>
      <c r="CE94" s="76"/>
      <c r="CF94" s="76"/>
      <c r="CG94" s="76"/>
      <c r="CH94" s="158"/>
      <c r="CI94" s="76"/>
      <c r="CJ94" s="157"/>
      <c r="CK94" s="76"/>
      <c r="CL94" s="76"/>
      <c r="CM94" s="76"/>
      <c r="CN94" s="76"/>
      <c r="CO94" s="78"/>
      <c r="CP94" s="78"/>
      <c r="CQ94" s="78"/>
      <c r="CR94" s="78"/>
      <c r="CS94" s="78"/>
      <c r="CT94" s="78"/>
      <c r="CU94" s="78"/>
      <c r="CV94" s="78"/>
      <c r="CW94" s="78"/>
      <c r="CX94" s="78"/>
      <c r="CY94" s="78"/>
      <c r="CZ94" s="78"/>
      <c r="DA94" s="78"/>
      <c r="DB94" s="78"/>
      <c r="DC94" s="78"/>
      <c r="DD94" s="78"/>
    </row>
    <row r="95" spans="2:108" ht="21" hidden="1" thickBot="1" x14ac:dyDescent="0.25">
      <c r="B95" s="19"/>
      <c r="C95" s="399"/>
      <c r="D95" s="397"/>
      <c r="E95" s="19"/>
      <c r="F95" s="397"/>
      <c r="G95" s="998"/>
      <c r="H95"/>
      <c r="I95"/>
      <c r="J95"/>
      <c r="K95"/>
      <c r="L95"/>
      <c r="M95"/>
      <c r="N95"/>
      <c r="O95" s="995"/>
      <c r="U95" s="114"/>
      <c r="AB95" s="114"/>
      <c r="AC95" s="114"/>
      <c r="AD95" s="114"/>
      <c r="AE95" s="114"/>
      <c r="BE95" s="136"/>
      <c r="BF95" s="136"/>
      <c r="BG95" s="136"/>
      <c r="BH95" s="136"/>
      <c r="BN95" s="86"/>
      <c r="BO95" s="1091"/>
      <c r="BP95" s="96">
        <v>5</v>
      </c>
      <c r="BQ95" s="120" t="b">
        <f>IF(BU57=5,1)</f>
        <v>0</v>
      </c>
      <c r="BR95" s="122"/>
      <c r="BS95" s="123"/>
      <c r="BT95" s="123"/>
      <c r="BU95" s="123"/>
      <c r="BV95" s="123"/>
      <c r="BW95" s="123"/>
      <c r="BX95" s="122"/>
      <c r="BY95" s="124" t="b">
        <f>IF(BU57=5,9)</f>
        <v>0</v>
      </c>
      <c r="BZ95" s="76"/>
      <c r="CA95" s="76"/>
      <c r="CB95" s="76"/>
      <c r="CC95" s="76"/>
      <c r="CD95" s="76"/>
      <c r="CE95" s="76"/>
      <c r="CF95" s="76"/>
      <c r="CG95" s="76"/>
      <c r="CH95" s="158"/>
      <c r="CI95" s="76"/>
      <c r="CJ95" s="157"/>
      <c r="CK95" s="76"/>
      <c r="CL95" s="76"/>
      <c r="CM95" s="76"/>
      <c r="CN95" s="76"/>
      <c r="CO95" s="78"/>
      <c r="CP95" s="78"/>
      <c r="CQ95" s="78"/>
      <c r="CR95" s="78"/>
      <c r="CS95" s="78"/>
      <c r="CT95" s="78"/>
      <c r="CU95" s="78"/>
      <c r="CV95" s="78"/>
      <c r="CW95" s="78"/>
      <c r="CX95" s="78"/>
      <c r="CY95" s="78"/>
      <c r="CZ95" s="78"/>
      <c r="DA95" s="78"/>
      <c r="DB95" s="78"/>
      <c r="DC95" s="78"/>
      <c r="DD95" s="78"/>
    </row>
    <row r="96" spans="2:108" ht="21" hidden="1" thickBot="1" x14ac:dyDescent="0.25">
      <c r="B96" s="399"/>
      <c r="C96" s="399"/>
      <c r="D96" s="397"/>
      <c r="E96" s="397"/>
      <c r="F96" s="397"/>
      <c r="G96" s="998"/>
      <c r="H96"/>
      <c r="I96"/>
      <c r="J96"/>
      <c r="K96"/>
      <c r="L96"/>
      <c r="M96"/>
      <c r="N96"/>
      <c r="O96" s="995"/>
      <c r="U96" s="114"/>
      <c r="AB96" s="114"/>
      <c r="AC96" s="114"/>
      <c r="AD96" s="114"/>
      <c r="AE96" s="114"/>
      <c r="BF96" s="136"/>
      <c r="BG96" s="136"/>
      <c r="BH96" s="136"/>
      <c r="BN96" s="86"/>
      <c r="BO96" s="1091"/>
      <c r="BP96" s="96">
        <v>4</v>
      </c>
      <c r="BQ96" s="120" t="b">
        <f>IF(BT57=4,1)</f>
        <v>0</v>
      </c>
      <c r="BR96" s="123"/>
      <c r="BS96" s="123"/>
      <c r="BT96" s="123"/>
      <c r="BU96" s="123"/>
      <c r="BV96" s="123"/>
      <c r="BW96" s="124" t="b">
        <f>IF(BT57=4,7)</f>
        <v>0</v>
      </c>
      <c r="BX96" s="76"/>
      <c r="BY96" s="159"/>
      <c r="BZ96" s="159"/>
      <c r="CA96" s="76"/>
      <c r="CB96" s="159"/>
      <c r="CC96" s="76"/>
      <c r="CD96" s="76"/>
      <c r="CE96" s="76"/>
      <c r="CF96" s="76"/>
      <c r="CG96" s="76"/>
      <c r="CH96" s="158"/>
      <c r="CI96" s="76"/>
      <c r="CJ96" s="157"/>
      <c r="CK96" s="76"/>
      <c r="CL96" s="76"/>
      <c r="CM96" s="76"/>
      <c r="CN96" s="76"/>
      <c r="CO96" s="78"/>
      <c r="CP96" s="78"/>
      <c r="CQ96" s="78"/>
      <c r="CR96" s="78"/>
      <c r="CS96" s="78"/>
      <c r="CT96" s="78"/>
      <c r="CU96" s="78"/>
      <c r="CV96" s="78"/>
      <c r="CW96" s="78"/>
      <c r="CX96" s="78"/>
      <c r="CY96" s="78"/>
      <c r="CZ96" s="78"/>
      <c r="DA96" s="78"/>
      <c r="DB96" s="78"/>
      <c r="DC96" s="78"/>
      <c r="DD96" s="78"/>
    </row>
    <row r="97" spans="2:108" ht="21" hidden="1" thickBot="1" x14ac:dyDescent="0.25">
      <c r="B97" s="399"/>
      <c r="C97" s="399"/>
      <c r="D97" s="397"/>
      <c r="E97" s="397"/>
      <c r="F97" s="397"/>
      <c r="G97" s="998"/>
      <c r="H97"/>
      <c r="I97"/>
      <c r="J97"/>
      <c r="K97"/>
      <c r="L97"/>
      <c r="M97"/>
      <c r="N97"/>
      <c r="O97" s="995"/>
      <c r="U97" s="114"/>
      <c r="AB97" s="114"/>
      <c r="AC97" s="114"/>
      <c r="AD97" s="114"/>
      <c r="AE97" s="114"/>
      <c r="BE97" s="136"/>
      <c r="BF97" s="136"/>
      <c r="BG97" s="136"/>
      <c r="BH97" s="136"/>
      <c r="BN97" s="86"/>
      <c r="BO97" s="1091"/>
      <c r="BP97" s="96">
        <v>3</v>
      </c>
      <c r="BQ97" s="120" t="b">
        <f>IF(BS57=3,1)</f>
        <v>0</v>
      </c>
      <c r="BR97" s="123"/>
      <c r="BS97" s="123"/>
      <c r="BT97" s="123"/>
      <c r="BU97" s="124" t="b">
        <f>IF(BS57=3,5)</f>
        <v>0</v>
      </c>
      <c r="BV97" s="76"/>
      <c r="BW97" s="76"/>
      <c r="BX97" s="76"/>
      <c r="BY97" s="76"/>
      <c r="BZ97" s="76"/>
      <c r="CA97" s="76"/>
      <c r="CB97" s="76"/>
      <c r="CC97" s="76"/>
      <c r="CD97" s="76"/>
      <c r="CE97" s="76"/>
      <c r="CF97" s="76"/>
      <c r="CG97" s="76"/>
      <c r="CH97" s="158"/>
      <c r="CI97" s="76"/>
      <c r="CJ97" s="157"/>
      <c r="CK97" s="76"/>
      <c r="CL97" s="76"/>
      <c r="CM97" s="76"/>
      <c r="CN97" s="76"/>
      <c r="CO97" s="78"/>
      <c r="CP97" s="78"/>
      <c r="CQ97" s="78"/>
      <c r="CR97" s="78"/>
      <c r="CS97" s="78"/>
      <c r="CT97" s="78"/>
      <c r="CU97" s="78"/>
      <c r="CV97" s="78"/>
      <c r="CW97" s="78"/>
      <c r="CX97" s="78"/>
      <c r="CY97" s="78"/>
      <c r="CZ97" s="78"/>
      <c r="DA97" s="78"/>
      <c r="DB97" s="78"/>
      <c r="DC97" s="78"/>
      <c r="DD97" s="78"/>
    </row>
    <row r="98" spans="2:108" ht="20" hidden="1" x14ac:dyDescent="0.2">
      <c r="E98" s="397"/>
      <c r="F98" s="397"/>
      <c r="G98" s="998"/>
      <c r="H98"/>
      <c r="I98"/>
      <c r="J98"/>
      <c r="K98"/>
      <c r="L98"/>
      <c r="M98"/>
      <c r="N98"/>
      <c r="O98" s="995"/>
      <c r="U98" s="114"/>
      <c r="AB98" s="114"/>
      <c r="AC98" s="114"/>
      <c r="AD98" s="114"/>
      <c r="AE98" s="114"/>
      <c r="BE98" s="136"/>
      <c r="BF98" s="136"/>
      <c r="BG98" s="136"/>
      <c r="BH98" s="136"/>
      <c r="BN98" s="86"/>
      <c r="BO98" s="1091"/>
      <c r="BP98" s="96">
        <v>2</v>
      </c>
      <c r="BQ98" s="160" t="b">
        <f>IF(BR57=2,1)</f>
        <v>0</v>
      </c>
      <c r="BR98" s="161"/>
      <c r="BS98" s="162" t="b">
        <f>IF(BR57=2,3)</f>
        <v>0</v>
      </c>
      <c r="BT98" s="76"/>
      <c r="BU98" s="76"/>
      <c r="BV98" s="76"/>
      <c r="BW98" s="76"/>
      <c r="BX98" s="76"/>
      <c r="BY98" s="76"/>
      <c r="BZ98" s="76"/>
      <c r="CA98" s="76"/>
      <c r="CB98" s="76"/>
      <c r="CC98" s="76"/>
      <c r="CD98" s="76"/>
      <c r="CE98" s="76"/>
      <c r="CF98" s="76"/>
      <c r="CG98" s="76"/>
      <c r="CH98" s="158"/>
      <c r="CI98" s="76"/>
      <c r="CJ98" s="157"/>
      <c r="CK98" s="76"/>
      <c r="CL98" s="76"/>
      <c r="CM98" s="76"/>
      <c r="CN98" s="76"/>
      <c r="CO98" s="78"/>
      <c r="CP98" s="78"/>
      <c r="CQ98" s="78"/>
      <c r="CR98" s="78"/>
      <c r="CS98" s="78"/>
      <c r="CT98" s="78"/>
      <c r="CU98" s="78"/>
      <c r="CV98" s="78"/>
      <c r="CW98" s="78"/>
      <c r="CX98" s="78"/>
      <c r="CY98" s="78"/>
      <c r="CZ98" s="78"/>
      <c r="DA98" s="78"/>
      <c r="DB98" s="78"/>
      <c r="DC98" s="78"/>
      <c r="DD98" s="78"/>
    </row>
    <row r="99" spans="2:108" ht="21" hidden="1" thickBot="1" x14ac:dyDescent="0.25">
      <c r="E99" s="397"/>
      <c r="F99" s="397"/>
      <c r="G99" s="998"/>
      <c r="H99"/>
      <c r="I99"/>
      <c r="J99"/>
      <c r="K99"/>
      <c r="L99"/>
      <c r="M99"/>
      <c r="N99"/>
      <c r="O99" s="995"/>
      <c r="U99" s="114"/>
      <c r="AB99" s="114"/>
      <c r="AC99" s="114"/>
      <c r="AD99" s="114"/>
      <c r="AE99" s="114"/>
      <c r="BE99" s="136"/>
      <c r="BF99" s="136"/>
      <c r="BG99" s="136"/>
      <c r="BH99" s="136"/>
      <c r="BN99" s="86"/>
      <c r="BO99" s="1091"/>
      <c r="BP99" s="163"/>
      <c r="BQ99" s="164">
        <f>SUM(BQ64:BQ98)</f>
        <v>0</v>
      </c>
      <c r="BR99" s="164">
        <f t="shared" ref="BR99:DA99" si="3">SUM(BR64:BR98)</f>
        <v>0</v>
      </c>
      <c r="BS99" s="164">
        <f t="shared" si="3"/>
        <v>0</v>
      </c>
      <c r="BT99" s="164">
        <f t="shared" si="3"/>
        <v>0</v>
      </c>
      <c r="BU99" s="164">
        <f t="shared" si="3"/>
        <v>0</v>
      </c>
      <c r="BV99" s="164">
        <f t="shared" si="3"/>
        <v>0</v>
      </c>
      <c r="BW99" s="164">
        <f t="shared" si="3"/>
        <v>0</v>
      </c>
      <c r="BX99" s="164">
        <f t="shared" si="3"/>
        <v>8</v>
      </c>
      <c r="BY99" s="164">
        <f t="shared" si="3"/>
        <v>0</v>
      </c>
      <c r="BZ99" s="164">
        <f t="shared" si="3"/>
        <v>0</v>
      </c>
      <c r="CA99" s="164">
        <f t="shared" si="3"/>
        <v>0</v>
      </c>
      <c r="CB99" s="164">
        <f t="shared" si="3"/>
        <v>0</v>
      </c>
      <c r="CC99" s="164">
        <f t="shared" si="3"/>
        <v>0</v>
      </c>
      <c r="CD99" s="164">
        <f t="shared" si="3"/>
        <v>0</v>
      </c>
      <c r="CE99" s="164">
        <f t="shared" si="3"/>
        <v>0</v>
      </c>
      <c r="CF99" s="164">
        <f t="shared" si="3"/>
        <v>0</v>
      </c>
      <c r="CG99" s="165">
        <f t="shared" si="3"/>
        <v>0</v>
      </c>
      <c r="CH99" s="166"/>
      <c r="CI99" s="167"/>
      <c r="CJ99" s="168"/>
      <c r="CK99" s="169">
        <f t="shared" si="3"/>
        <v>0</v>
      </c>
      <c r="CL99" s="164">
        <f t="shared" si="3"/>
        <v>0</v>
      </c>
      <c r="CM99" s="164">
        <f t="shared" si="3"/>
        <v>0</v>
      </c>
      <c r="CN99" s="164">
        <f t="shared" si="3"/>
        <v>0</v>
      </c>
      <c r="CO99" s="164">
        <f t="shared" si="3"/>
        <v>0</v>
      </c>
      <c r="CP99" s="164">
        <f t="shared" si="3"/>
        <v>26</v>
      </c>
      <c r="CQ99" s="164">
        <f t="shared" si="3"/>
        <v>0</v>
      </c>
      <c r="CR99" s="164">
        <f t="shared" si="3"/>
        <v>0</v>
      </c>
      <c r="CS99" s="164">
        <f t="shared" si="3"/>
        <v>0</v>
      </c>
      <c r="CT99" s="164">
        <f t="shared" si="3"/>
        <v>0</v>
      </c>
      <c r="CU99" s="164">
        <f t="shared" si="3"/>
        <v>0</v>
      </c>
      <c r="CV99" s="164">
        <f t="shared" si="3"/>
        <v>0</v>
      </c>
      <c r="CW99" s="164">
        <f t="shared" si="3"/>
        <v>0</v>
      </c>
      <c r="CX99" s="164">
        <f t="shared" si="3"/>
        <v>0</v>
      </c>
      <c r="CY99" s="164">
        <f t="shared" si="3"/>
        <v>0</v>
      </c>
      <c r="CZ99" s="164">
        <f t="shared" si="3"/>
        <v>0</v>
      </c>
      <c r="DA99" s="164">
        <f t="shared" si="3"/>
        <v>0</v>
      </c>
      <c r="DB99" s="78"/>
      <c r="DC99" s="78"/>
      <c r="DD99" s="78"/>
    </row>
    <row r="100" spans="2:108" ht="20" hidden="1" x14ac:dyDescent="0.2">
      <c r="E100" s="397"/>
      <c r="F100" s="397"/>
      <c r="G100" s="998"/>
      <c r="H100"/>
      <c r="I100"/>
      <c r="J100"/>
      <c r="K100"/>
      <c r="L100"/>
      <c r="M100"/>
      <c r="N100"/>
      <c r="O100" s="995"/>
      <c r="U100" s="114"/>
      <c r="AB100" s="114"/>
      <c r="AC100" s="114"/>
      <c r="AD100" s="114"/>
      <c r="AE100" s="114"/>
      <c r="BE100" s="136"/>
      <c r="BF100" s="136"/>
      <c r="BG100" s="136"/>
      <c r="BH100" s="136"/>
      <c r="BN100" s="86"/>
      <c r="BO100" s="1091"/>
      <c r="BP100" s="163"/>
      <c r="BQ100" s="170"/>
      <c r="BR100" s="170"/>
      <c r="BS100" s="170"/>
      <c r="BT100" s="170"/>
      <c r="BU100" s="170"/>
      <c r="BV100" s="170"/>
      <c r="BW100" s="170"/>
      <c r="BX100" s="170"/>
      <c r="BY100" s="170"/>
      <c r="BZ100" s="170"/>
      <c r="CA100" s="170"/>
      <c r="CB100" s="170"/>
      <c r="CC100" s="170"/>
      <c r="CD100" s="170"/>
      <c r="CE100" s="170"/>
      <c r="CF100" s="170"/>
      <c r="CG100" s="170"/>
      <c r="CH100" s="170"/>
      <c r="CI100" s="170"/>
      <c r="CJ100" s="170"/>
      <c r="CK100" s="171"/>
      <c r="CL100" s="170"/>
      <c r="CM100" s="170"/>
      <c r="CN100" s="170"/>
      <c r="CO100" s="170"/>
      <c r="CP100" s="170"/>
      <c r="CQ100" s="170"/>
      <c r="CR100" s="170"/>
      <c r="CS100" s="170"/>
      <c r="CT100" s="170"/>
      <c r="CU100" s="170"/>
      <c r="CV100" s="170"/>
      <c r="CW100" s="170"/>
      <c r="CX100" s="170"/>
      <c r="CY100" s="170"/>
      <c r="CZ100" s="170"/>
      <c r="DA100" s="170"/>
      <c r="DB100" s="78"/>
      <c r="DC100" s="78"/>
      <c r="DD100" s="78"/>
    </row>
    <row r="101" spans="2:108" ht="20" hidden="1" x14ac:dyDescent="0.2">
      <c r="E101" s="397"/>
      <c r="F101" s="397"/>
      <c r="G101" s="998"/>
      <c r="H101"/>
      <c r="I101"/>
      <c r="J101"/>
      <c r="K101"/>
      <c r="L101"/>
      <c r="M101"/>
      <c r="N101"/>
      <c r="O101" s="995"/>
      <c r="U101" s="114"/>
      <c r="AB101" s="114"/>
      <c r="AC101" s="114"/>
      <c r="AD101" s="114"/>
      <c r="AE101" s="114"/>
      <c r="BE101" s="136"/>
      <c r="BF101" s="136"/>
      <c r="BG101" s="136"/>
      <c r="BH101" s="136"/>
      <c r="BN101" s="86"/>
      <c r="BO101" s="1091"/>
      <c r="BP101" s="163"/>
      <c r="BQ101" s="170"/>
      <c r="BR101" s="170"/>
      <c r="BS101" s="170"/>
      <c r="BT101" s="170"/>
      <c r="BU101" s="170"/>
      <c r="BV101" s="170"/>
      <c r="BW101" s="170"/>
      <c r="BX101" s="170"/>
      <c r="BY101" s="170"/>
      <c r="BZ101" s="170"/>
      <c r="CA101" s="170"/>
      <c r="CB101" s="170"/>
      <c r="CC101" s="170"/>
      <c r="CD101" s="170"/>
      <c r="CE101" s="170"/>
      <c r="CF101" s="170"/>
      <c r="CG101" s="170"/>
      <c r="CH101" s="170"/>
      <c r="CI101" s="170"/>
      <c r="CJ101" s="170"/>
      <c r="CK101" s="171"/>
      <c r="CL101" s="170"/>
      <c r="CM101" s="170"/>
      <c r="CN101" s="170"/>
      <c r="CO101" s="170"/>
      <c r="CP101" s="170"/>
      <c r="CQ101" s="170"/>
      <c r="CR101" s="170"/>
      <c r="CS101" s="170"/>
      <c r="CT101" s="170"/>
      <c r="CU101" s="170"/>
      <c r="CV101" s="170"/>
      <c r="CW101" s="170"/>
      <c r="CX101" s="170"/>
      <c r="CY101" s="170"/>
      <c r="CZ101" s="170"/>
      <c r="DA101" s="170"/>
      <c r="DB101" s="78"/>
      <c r="DC101" s="78"/>
      <c r="DD101" s="78"/>
    </row>
    <row r="102" spans="2:108" ht="20" hidden="1" x14ac:dyDescent="0.2">
      <c r="E102" s="397"/>
      <c r="F102" s="397"/>
      <c r="G102" s="998"/>
      <c r="H102"/>
      <c r="I102"/>
      <c r="J102"/>
      <c r="K102"/>
      <c r="L102"/>
      <c r="M102"/>
      <c r="N102"/>
      <c r="O102" s="995"/>
      <c r="U102" s="114"/>
      <c r="AB102" s="114"/>
      <c r="AC102" s="114"/>
      <c r="AD102" s="114"/>
      <c r="AE102" s="114"/>
      <c r="BE102" s="136"/>
      <c r="BF102" s="136"/>
      <c r="BG102" s="136"/>
      <c r="BH102" s="136"/>
      <c r="BN102" s="86"/>
      <c r="BO102" s="1091"/>
      <c r="BP102" s="163"/>
      <c r="BQ102" s="170"/>
      <c r="BR102" s="170"/>
      <c r="BS102" s="170"/>
      <c r="BT102" s="170"/>
      <c r="BU102" s="170"/>
      <c r="BV102" s="170"/>
      <c r="BW102" s="170"/>
      <c r="BX102" s="170"/>
      <c r="BY102" s="170"/>
      <c r="BZ102" s="170"/>
      <c r="CA102" s="170"/>
      <c r="CB102" s="170"/>
      <c r="CC102" s="170"/>
      <c r="CD102" s="170"/>
      <c r="CE102" s="170"/>
      <c r="CF102" s="170"/>
      <c r="CG102" s="170"/>
      <c r="CH102" s="170"/>
      <c r="CI102" s="170"/>
      <c r="CJ102" s="170"/>
      <c r="CK102" s="171"/>
      <c r="CL102" s="170"/>
      <c r="CM102" s="170"/>
      <c r="CN102" s="170"/>
      <c r="CO102" s="170"/>
      <c r="CP102" s="170"/>
      <c r="CQ102" s="170"/>
      <c r="CR102" s="170"/>
      <c r="CS102" s="170"/>
      <c r="CT102" s="170"/>
      <c r="CU102" s="170"/>
      <c r="CV102" s="170"/>
      <c r="CW102" s="170"/>
      <c r="CX102" s="170"/>
      <c r="CY102" s="170"/>
      <c r="CZ102" s="170"/>
      <c r="DA102" s="170"/>
      <c r="DB102" s="78"/>
      <c r="DC102" s="78"/>
      <c r="DD102" s="78"/>
    </row>
    <row r="103" spans="2:108" ht="20" hidden="1" x14ac:dyDescent="0.2">
      <c r="E103" s="397"/>
      <c r="F103" s="397"/>
      <c r="G103" s="998"/>
      <c r="H103"/>
      <c r="I103"/>
      <c r="J103"/>
      <c r="K103"/>
      <c r="L103"/>
      <c r="M103"/>
      <c r="N103"/>
      <c r="O103" s="995"/>
      <c r="U103" s="114"/>
      <c r="AB103" s="114"/>
      <c r="AC103" s="114"/>
      <c r="AD103" s="114"/>
      <c r="AE103" s="114"/>
      <c r="BE103" s="136"/>
      <c r="BF103" s="136"/>
      <c r="BG103" s="136"/>
      <c r="BH103" s="136"/>
      <c r="BN103" s="86"/>
      <c r="BO103" s="1091"/>
      <c r="BP103" s="163"/>
      <c r="BQ103" s="170"/>
      <c r="BR103" s="170"/>
      <c r="BS103" s="170"/>
      <c r="BT103" s="170"/>
      <c r="BU103" s="170"/>
      <c r="BV103" s="170"/>
      <c r="BW103" s="170"/>
      <c r="BX103" s="170"/>
      <c r="BY103" s="170"/>
      <c r="BZ103" s="170"/>
      <c r="CA103" s="170"/>
      <c r="CB103" s="170"/>
      <c r="CC103" s="170"/>
      <c r="CD103" s="170"/>
      <c r="CE103" s="170"/>
      <c r="CF103" s="170"/>
      <c r="CG103" s="170"/>
      <c r="CH103" s="170"/>
      <c r="CI103" s="170"/>
      <c r="CJ103" s="170"/>
      <c r="CK103" s="171"/>
      <c r="CL103" s="170"/>
      <c r="CM103" s="170"/>
      <c r="CN103" s="170"/>
      <c r="CO103" s="170"/>
      <c r="CP103" s="170"/>
      <c r="CQ103" s="170"/>
      <c r="CR103" s="170"/>
      <c r="CS103" s="170"/>
      <c r="CT103" s="170"/>
      <c r="CU103" s="170"/>
      <c r="CV103" s="170"/>
      <c r="CW103" s="170"/>
      <c r="CX103" s="170"/>
      <c r="CY103" s="170"/>
      <c r="CZ103" s="170"/>
      <c r="DA103" s="170"/>
      <c r="DB103" s="78"/>
      <c r="DC103" s="78"/>
      <c r="DD103" s="78"/>
    </row>
    <row r="104" spans="2:108" ht="20" hidden="1" x14ac:dyDescent="0.2">
      <c r="E104" s="397"/>
      <c r="F104" s="397"/>
      <c r="G104" s="998"/>
      <c r="H104"/>
      <c r="I104"/>
      <c r="J104"/>
      <c r="K104"/>
      <c r="L104"/>
      <c r="M104"/>
      <c r="N104"/>
      <c r="O104" s="995"/>
      <c r="U104" s="114"/>
      <c r="AB104" s="114"/>
      <c r="AC104" s="114"/>
      <c r="AD104" s="114"/>
      <c r="AE104" s="114"/>
      <c r="BE104" s="136"/>
      <c r="BF104" s="136"/>
      <c r="BG104" s="136"/>
      <c r="BH104" s="136"/>
      <c r="BN104" s="86"/>
      <c r="BO104" s="1091"/>
      <c r="BP104" s="163"/>
      <c r="BQ104" s="170"/>
      <c r="BR104" s="170"/>
      <c r="BS104" s="170"/>
      <c r="BT104" s="170"/>
      <c r="BU104" s="170"/>
      <c r="BV104" s="170"/>
      <c r="BW104" s="170"/>
      <c r="BX104" s="170"/>
      <c r="BY104" s="170"/>
      <c r="BZ104" s="170"/>
      <c r="CA104" s="170"/>
      <c r="CB104" s="170"/>
      <c r="CC104" s="170"/>
      <c r="CD104" s="170"/>
      <c r="CE104" s="170"/>
      <c r="CF104" s="170"/>
      <c r="CG104" s="170"/>
      <c r="CH104" s="170"/>
      <c r="CI104" s="170"/>
      <c r="CJ104" s="170"/>
      <c r="CK104" s="171"/>
      <c r="CL104" s="170"/>
      <c r="CM104" s="170"/>
      <c r="CN104" s="170"/>
      <c r="CO104" s="170"/>
      <c r="CP104" s="170"/>
      <c r="CQ104" s="170"/>
      <c r="CR104" s="170"/>
      <c r="CS104" s="170"/>
      <c r="CT104" s="170"/>
      <c r="CU104" s="170"/>
      <c r="CV104" s="170"/>
      <c r="CW104" s="170"/>
      <c r="CX104" s="170"/>
      <c r="CY104" s="170"/>
      <c r="CZ104" s="170"/>
      <c r="DA104" s="170"/>
      <c r="DB104" s="78"/>
      <c r="DC104" s="78"/>
      <c r="DD104" s="78"/>
    </row>
    <row r="105" spans="2:108" ht="20" hidden="1" x14ac:dyDescent="0.2">
      <c r="E105" s="397"/>
      <c r="F105" s="397"/>
      <c r="G105" s="998"/>
      <c r="H105"/>
      <c r="I105"/>
      <c r="J105"/>
      <c r="K105"/>
      <c r="L105"/>
      <c r="M105"/>
      <c r="N105"/>
      <c r="O105" s="995"/>
      <c r="U105" s="114"/>
      <c r="AB105" s="114"/>
      <c r="AC105" s="114"/>
      <c r="AD105" s="114"/>
      <c r="AE105" s="114"/>
      <c r="BE105" s="136"/>
      <c r="BF105" s="136"/>
      <c r="BG105" s="136"/>
      <c r="BH105" s="136"/>
      <c r="BN105" s="86"/>
      <c r="BO105" s="1091"/>
      <c r="BP105" s="163"/>
      <c r="BQ105" s="170"/>
      <c r="BR105" s="170"/>
      <c r="BS105" s="170"/>
      <c r="BT105" s="170"/>
      <c r="BU105" s="170"/>
      <c r="BV105" s="170"/>
      <c r="BW105" s="170"/>
      <c r="BX105" s="170"/>
      <c r="BY105" s="170"/>
      <c r="BZ105" s="170"/>
      <c r="CA105" s="170"/>
      <c r="CB105" s="170"/>
      <c r="CC105" s="170"/>
      <c r="CD105" s="170"/>
      <c r="CE105" s="170"/>
      <c r="CF105" s="170"/>
      <c r="CG105" s="170"/>
      <c r="CH105" s="170"/>
      <c r="CI105" s="170"/>
      <c r="CJ105" s="170"/>
      <c r="CK105" s="171"/>
      <c r="CL105" s="170"/>
      <c r="CM105" s="170"/>
      <c r="CN105" s="170"/>
      <c r="CO105" s="170"/>
      <c r="CP105" s="170"/>
      <c r="CQ105" s="170"/>
      <c r="CR105" s="170"/>
      <c r="CS105" s="170"/>
      <c r="CT105" s="170"/>
      <c r="CU105" s="170"/>
      <c r="CV105" s="170"/>
      <c r="CW105" s="170"/>
      <c r="CX105" s="170"/>
      <c r="CY105" s="170"/>
      <c r="CZ105" s="170"/>
      <c r="DA105" s="170"/>
      <c r="DB105" s="78"/>
      <c r="DC105" s="78"/>
      <c r="DD105" s="78"/>
    </row>
    <row r="106" spans="2:108" ht="20" hidden="1" x14ac:dyDescent="0.2">
      <c r="E106" s="397"/>
      <c r="F106" s="397"/>
      <c r="G106" s="998"/>
      <c r="H106"/>
      <c r="I106"/>
      <c r="J106"/>
      <c r="K106"/>
      <c r="L106"/>
      <c r="M106"/>
      <c r="N106"/>
      <c r="O106" s="995"/>
      <c r="U106" s="114"/>
      <c r="AB106" s="114"/>
      <c r="AC106" s="114"/>
      <c r="AD106" s="114"/>
      <c r="AE106" s="114"/>
      <c r="BE106" s="136"/>
      <c r="BF106" s="136"/>
      <c r="BG106" s="136"/>
      <c r="BH106" s="136"/>
      <c r="BN106" s="86"/>
      <c r="BO106" s="1091"/>
      <c r="BP106" s="163"/>
      <c r="BQ106" s="170"/>
      <c r="BR106" s="170"/>
      <c r="BS106" s="170"/>
      <c r="BT106" s="170"/>
      <c r="BU106" s="170"/>
      <c r="BV106" s="170"/>
      <c r="BW106" s="170"/>
      <c r="BX106" s="170"/>
      <c r="BY106" s="170"/>
      <c r="BZ106" s="170"/>
      <c r="CA106" s="170"/>
      <c r="CB106" s="170"/>
      <c r="CC106" s="170"/>
      <c r="CD106" s="170"/>
      <c r="CE106" s="170"/>
      <c r="CF106" s="170"/>
      <c r="CG106" s="170"/>
      <c r="CH106" s="170"/>
      <c r="CI106" s="170"/>
      <c r="CJ106" s="170"/>
      <c r="CK106" s="171"/>
      <c r="CL106" s="170"/>
      <c r="CM106" s="170"/>
      <c r="CN106" s="170"/>
      <c r="CO106" s="170"/>
      <c r="CP106" s="170"/>
      <c r="CQ106" s="170"/>
      <c r="CR106" s="170"/>
      <c r="CS106" s="170"/>
      <c r="CT106" s="170"/>
      <c r="CU106" s="170"/>
      <c r="CV106" s="170"/>
      <c r="CW106" s="170"/>
      <c r="CX106" s="170"/>
      <c r="CY106" s="170"/>
      <c r="CZ106" s="170"/>
      <c r="DA106" s="170"/>
      <c r="DB106" s="78"/>
      <c r="DC106" s="78"/>
      <c r="DD106" s="78"/>
    </row>
    <row r="107" spans="2:108" ht="20" hidden="1" x14ac:dyDescent="0.2">
      <c r="E107" s="397"/>
      <c r="F107" s="397"/>
      <c r="G107" s="998"/>
      <c r="H107"/>
      <c r="I107"/>
      <c r="J107"/>
      <c r="K107"/>
      <c r="L107"/>
      <c r="M107"/>
      <c r="N107"/>
      <c r="O107" s="995"/>
      <c r="U107" s="114"/>
      <c r="AB107" s="114"/>
      <c r="AC107" s="114"/>
      <c r="AD107" s="114"/>
      <c r="AE107" s="114"/>
      <c r="BE107" s="136"/>
      <c r="BF107" s="136"/>
      <c r="BG107" s="136"/>
      <c r="BH107" s="136"/>
      <c r="BN107" s="86"/>
      <c r="BO107" s="1091"/>
      <c r="BP107" s="163"/>
      <c r="BQ107" s="170"/>
      <c r="BR107" s="170"/>
      <c r="BS107" s="170"/>
      <c r="BT107" s="170"/>
      <c r="BU107" s="170"/>
      <c r="BV107" s="170"/>
      <c r="BW107" s="170"/>
      <c r="BX107" s="170"/>
      <c r="BY107" s="170"/>
      <c r="BZ107" s="170"/>
      <c r="CA107" s="170"/>
      <c r="CB107" s="170"/>
      <c r="CC107" s="170"/>
      <c r="CD107" s="170"/>
      <c r="CE107" s="170"/>
      <c r="CF107" s="170"/>
      <c r="CG107" s="170"/>
      <c r="CH107" s="170"/>
      <c r="CI107" s="170"/>
      <c r="CJ107" s="170"/>
      <c r="CK107" s="171"/>
      <c r="CL107" s="170"/>
      <c r="CM107" s="170"/>
      <c r="CN107" s="170"/>
      <c r="CO107" s="170"/>
      <c r="CP107" s="170"/>
      <c r="CQ107" s="170"/>
      <c r="CR107" s="170"/>
      <c r="CS107" s="170"/>
      <c r="CT107" s="170"/>
      <c r="CU107" s="170"/>
      <c r="CV107" s="170"/>
      <c r="CW107" s="170"/>
      <c r="CX107" s="170"/>
      <c r="CY107" s="170"/>
      <c r="CZ107" s="170"/>
      <c r="DA107" s="170"/>
      <c r="DB107" s="78"/>
      <c r="DC107" s="78"/>
      <c r="DD107" s="78"/>
    </row>
    <row r="108" spans="2:108" ht="20" hidden="1" x14ac:dyDescent="0.2">
      <c r="E108" s="397"/>
      <c r="F108" s="397"/>
      <c r="G108" s="998"/>
      <c r="H108"/>
      <c r="I108"/>
      <c r="J108"/>
      <c r="K108"/>
      <c r="L108"/>
      <c r="M108"/>
      <c r="N108"/>
      <c r="O108" s="995"/>
      <c r="U108" s="114"/>
      <c r="AB108" s="114"/>
      <c r="AC108" s="114"/>
      <c r="AD108" s="114"/>
      <c r="AE108" s="114"/>
      <c r="BE108" s="136"/>
      <c r="BF108" s="136"/>
      <c r="BG108" s="136"/>
      <c r="BH108" s="136"/>
      <c r="BN108" s="86"/>
      <c r="BO108" s="1091"/>
      <c r="BP108" s="163"/>
      <c r="BQ108" s="170"/>
      <c r="BR108" s="170"/>
      <c r="BS108" s="170"/>
      <c r="BT108" s="170"/>
      <c r="BU108" s="170"/>
      <c r="BV108" s="170"/>
      <c r="BW108" s="170"/>
      <c r="BX108" s="170"/>
      <c r="BY108" s="170"/>
      <c r="BZ108" s="170"/>
      <c r="CA108" s="170"/>
      <c r="CB108" s="170"/>
      <c r="CC108" s="170"/>
      <c r="CD108" s="170"/>
      <c r="CE108" s="170"/>
      <c r="CF108" s="170"/>
      <c r="CG108" s="170"/>
      <c r="CH108" s="170"/>
      <c r="CI108" s="170"/>
      <c r="CJ108" s="170"/>
      <c r="CK108" s="171"/>
      <c r="CL108" s="170"/>
      <c r="CM108" s="170"/>
      <c r="CN108" s="170"/>
      <c r="CO108" s="170"/>
      <c r="CP108" s="170"/>
      <c r="CQ108" s="170"/>
      <c r="CR108" s="170"/>
      <c r="CS108" s="170"/>
      <c r="CT108" s="170"/>
      <c r="CU108" s="170"/>
      <c r="CV108" s="170"/>
      <c r="CW108" s="170"/>
      <c r="CX108" s="170"/>
      <c r="CY108" s="170"/>
      <c r="CZ108" s="170"/>
      <c r="DA108" s="170"/>
      <c r="DB108" s="78"/>
      <c r="DC108" s="78"/>
      <c r="DD108" s="78"/>
    </row>
    <row r="109" spans="2:108" ht="20" hidden="1" x14ac:dyDescent="0.2">
      <c r="E109" s="397"/>
      <c r="F109" s="397"/>
      <c r="G109" s="998"/>
      <c r="H109"/>
      <c r="I109"/>
      <c r="J109"/>
      <c r="K109"/>
      <c r="L109"/>
      <c r="M109"/>
      <c r="N109"/>
      <c r="O109" s="995"/>
      <c r="U109" s="114"/>
      <c r="AB109" s="114"/>
      <c r="AC109" s="114"/>
      <c r="AD109" s="114"/>
      <c r="AE109" s="114"/>
      <c r="BE109" s="136"/>
      <c r="BF109" s="136"/>
      <c r="BG109" s="136"/>
      <c r="BH109" s="136"/>
      <c r="BN109" s="86"/>
      <c r="BO109" s="1091"/>
      <c r="BP109" s="163"/>
      <c r="BQ109" s="170"/>
      <c r="BR109" s="170"/>
      <c r="BS109" s="170"/>
      <c r="BT109" s="170"/>
      <c r="BU109" s="170"/>
      <c r="BV109" s="170"/>
      <c r="BW109" s="170"/>
      <c r="BX109" s="170"/>
      <c r="BY109" s="170"/>
      <c r="BZ109" s="170"/>
      <c r="CA109" s="170"/>
      <c r="CB109" s="170"/>
      <c r="CC109" s="170"/>
      <c r="CD109" s="170"/>
      <c r="CE109" s="170"/>
      <c r="CF109" s="170"/>
      <c r="CG109" s="170"/>
      <c r="CH109" s="170"/>
      <c r="CI109" s="170"/>
      <c r="CJ109" s="170"/>
      <c r="CK109" s="171"/>
      <c r="CL109" s="170"/>
      <c r="CM109" s="170"/>
      <c r="CN109" s="170"/>
      <c r="CO109" s="170"/>
      <c r="CP109" s="170"/>
      <c r="CQ109" s="170"/>
      <c r="CR109" s="170"/>
      <c r="CS109" s="170"/>
      <c r="CT109" s="170"/>
      <c r="CU109" s="170"/>
      <c r="CV109" s="170"/>
      <c r="CW109" s="170"/>
      <c r="CX109" s="170"/>
      <c r="CY109" s="170"/>
      <c r="CZ109" s="170"/>
      <c r="DA109" s="170"/>
      <c r="DB109" s="78"/>
      <c r="DC109" s="78"/>
      <c r="DD109" s="78"/>
    </row>
    <row r="110" spans="2:108" ht="20" hidden="1" x14ac:dyDescent="0.2">
      <c r="E110" s="397"/>
      <c r="F110" s="397"/>
      <c r="G110" s="998"/>
      <c r="H110"/>
      <c r="I110"/>
      <c r="J110"/>
      <c r="K110"/>
      <c r="L110"/>
      <c r="M110"/>
      <c r="N110"/>
      <c r="O110" s="995"/>
      <c r="U110" s="114"/>
      <c r="AB110" s="114"/>
      <c r="AC110" s="114"/>
      <c r="AD110" s="114"/>
      <c r="AE110" s="114"/>
      <c r="BE110" s="136"/>
      <c r="BF110" s="136"/>
      <c r="BG110" s="136"/>
      <c r="BH110" s="136"/>
      <c r="BN110" s="86"/>
      <c r="BO110" s="1091"/>
      <c r="BP110" s="163"/>
      <c r="BQ110" s="170"/>
      <c r="BR110" s="170"/>
      <c r="BS110" s="170"/>
      <c r="BT110" s="170"/>
      <c r="BU110" s="170"/>
      <c r="BV110" s="170"/>
      <c r="BW110" s="170"/>
      <c r="BX110" s="170"/>
      <c r="BY110" s="170"/>
      <c r="BZ110" s="170"/>
      <c r="CA110" s="170"/>
      <c r="CB110" s="170"/>
      <c r="CC110" s="170"/>
      <c r="CD110" s="170"/>
      <c r="CE110" s="170"/>
      <c r="CF110" s="170"/>
      <c r="CG110" s="170"/>
      <c r="CH110" s="170"/>
      <c r="CI110" s="170"/>
      <c r="CJ110" s="170"/>
      <c r="CK110" s="171"/>
      <c r="CL110" s="170"/>
      <c r="CM110" s="170"/>
      <c r="CN110" s="170"/>
      <c r="CO110" s="170"/>
      <c r="CP110" s="170"/>
      <c r="CQ110" s="170"/>
      <c r="CR110" s="170"/>
      <c r="CS110" s="170"/>
      <c r="CT110" s="170"/>
      <c r="CU110" s="170"/>
      <c r="CV110" s="170"/>
      <c r="CW110" s="170"/>
      <c r="CX110" s="170"/>
      <c r="CY110" s="170"/>
      <c r="CZ110" s="170"/>
      <c r="DA110" s="170"/>
      <c r="DB110" s="78"/>
      <c r="DC110" s="78"/>
      <c r="DD110" s="78"/>
    </row>
    <row r="111" spans="2:108" ht="20" hidden="1" x14ac:dyDescent="0.2">
      <c r="E111" s="397"/>
      <c r="F111" s="397"/>
      <c r="G111" s="998"/>
      <c r="H111"/>
      <c r="I111"/>
      <c r="J111"/>
      <c r="K111"/>
      <c r="L111"/>
      <c r="M111"/>
      <c r="N111"/>
      <c r="O111" s="995"/>
      <c r="U111" s="114"/>
      <c r="AB111" s="114"/>
      <c r="AC111" s="114"/>
      <c r="AD111" s="114"/>
      <c r="AE111" s="114"/>
      <c r="BE111" s="136"/>
      <c r="BF111" s="136"/>
      <c r="BG111" s="136"/>
      <c r="BH111" s="136"/>
      <c r="BN111" s="86"/>
      <c r="BO111" s="1091"/>
      <c r="BP111" s="163"/>
      <c r="BQ111" s="170"/>
      <c r="BR111" s="170"/>
      <c r="BS111" s="170"/>
      <c r="BT111" s="170"/>
      <c r="BU111" s="170"/>
      <c r="BV111" s="170"/>
      <c r="BW111" s="170"/>
      <c r="BX111" s="170"/>
      <c r="BY111" s="170"/>
      <c r="BZ111" s="170"/>
      <c r="CA111" s="170"/>
      <c r="CB111" s="170"/>
      <c r="CC111" s="170"/>
      <c r="CD111" s="170"/>
      <c r="CE111" s="170"/>
      <c r="CF111" s="170"/>
      <c r="CG111" s="170"/>
      <c r="CH111" s="170"/>
      <c r="CI111" s="170"/>
      <c r="CJ111" s="170"/>
      <c r="CK111" s="171"/>
      <c r="CL111" s="170"/>
      <c r="CM111" s="170"/>
      <c r="CN111" s="170"/>
      <c r="CO111" s="170"/>
      <c r="CP111" s="170"/>
      <c r="CQ111" s="170"/>
      <c r="CR111" s="170"/>
      <c r="CS111" s="170"/>
      <c r="CT111" s="170"/>
      <c r="CU111" s="170"/>
      <c r="CV111" s="170"/>
      <c r="CW111" s="170"/>
      <c r="CX111" s="170"/>
      <c r="CY111" s="170"/>
      <c r="CZ111" s="170"/>
      <c r="DA111" s="170"/>
      <c r="DB111" s="78"/>
      <c r="DC111" s="78"/>
      <c r="DD111" s="78"/>
    </row>
    <row r="112" spans="2:108" ht="20" hidden="1" x14ac:dyDescent="0.2">
      <c r="E112" s="397"/>
      <c r="F112" s="397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E112" s="136"/>
      <c r="BF112" s="136"/>
      <c r="BG112" s="136"/>
      <c r="BH112" s="136"/>
      <c r="BN112" s="86"/>
      <c r="BO112" s="1091"/>
      <c r="BP112" s="163"/>
      <c r="BQ112" s="170"/>
      <c r="BR112" s="170"/>
      <c r="BS112" s="170"/>
      <c r="BT112" s="170"/>
      <c r="BU112" s="170"/>
      <c r="BV112" s="170"/>
      <c r="BW112" s="170"/>
      <c r="BX112" s="170"/>
      <c r="BY112" s="170"/>
      <c r="BZ112" s="170"/>
      <c r="CA112" s="170"/>
      <c r="CB112" s="170"/>
      <c r="CC112" s="170"/>
      <c r="CD112" s="170"/>
      <c r="CE112" s="170"/>
      <c r="CF112" s="170"/>
      <c r="CG112" s="170"/>
      <c r="CH112" s="170"/>
      <c r="CI112" s="170"/>
      <c r="CJ112" s="170"/>
      <c r="CK112" s="171"/>
      <c r="CL112" s="170"/>
      <c r="CM112" s="170"/>
      <c r="CN112" s="170"/>
      <c r="CO112" s="170"/>
      <c r="CP112" s="170"/>
      <c r="CQ112" s="170"/>
      <c r="CR112" s="170"/>
      <c r="CS112" s="170"/>
      <c r="CT112" s="170"/>
      <c r="CU112" s="170"/>
      <c r="CV112" s="170"/>
      <c r="CW112" s="170"/>
      <c r="CX112" s="170"/>
      <c r="CY112" s="170"/>
      <c r="CZ112" s="170"/>
      <c r="DA112" s="170"/>
      <c r="DB112" s="78"/>
      <c r="DC112" s="78"/>
      <c r="DD112" s="78"/>
    </row>
    <row r="113" spans="5:108" ht="20" hidden="1" x14ac:dyDescent="0.2">
      <c r="E113" s="397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E113" s="136"/>
      <c r="BF113" s="136"/>
      <c r="BG113" s="136"/>
      <c r="BH113" s="136"/>
      <c r="BN113" s="86"/>
      <c r="BO113" s="1091"/>
      <c r="BP113" s="163"/>
      <c r="BQ113" s="170"/>
      <c r="BR113" s="170"/>
      <c r="BS113" s="170"/>
      <c r="BT113" s="170"/>
      <c r="BU113" s="170"/>
      <c r="BV113" s="170"/>
      <c r="BW113" s="170"/>
      <c r="BX113" s="170"/>
      <c r="BY113" s="170"/>
      <c r="BZ113" s="170"/>
      <c r="CA113" s="170"/>
      <c r="CB113" s="170"/>
      <c r="CC113" s="170"/>
      <c r="CD113" s="170"/>
      <c r="CE113" s="170"/>
      <c r="CF113" s="170"/>
      <c r="CG113" s="170"/>
      <c r="CH113" s="170"/>
      <c r="CI113" s="170"/>
      <c r="CJ113" s="170"/>
      <c r="CK113" s="171"/>
      <c r="CL113" s="170"/>
      <c r="CM113" s="170"/>
      <c r="CN113" s="170"/>
      <c r="CO113" s="170"/>
      <c r="CP113" s="170"/>
      <c r="CQ113" s="170"/>
      <c r="CR113" s="170"/>
      <c r="CS113" s="170"/>
      <c r="CT113" s="170"/>
      <c r="CU113" s="170"/>
      <c r="CV113" s="170"/>
      <c r="CW113" s="170"/>
      <c r="CX113" s="170"/>
      <c r="CY113" s="170"/>
      <c r="CZ113" s="170"/>
      <c r="DA113" s="170"/>
      <c r="DB113" s="78"/>
      <c r="DC113" s="78"/>
      <c r="DD113" s="78"/>
    </row>
    <row r="114" spans="5:108" ht="20" hidden="1" x14ac:dyDescent="0.2">
      <c r="E114" s="397"/>
      <c r="F114" s="397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E114" s="136"/>
      <c r="BF114" s="136"/>
      <c r="BG114" s="136"/>
      <c r="BH114" s="136"/>
      <c r="BN114" s="86"/>
      <c r="BO114" s="1091"/>
      <c r="BP114" s="163"/>
      <c r="BQ114" s="170"/>
      <c r="BR114" s="170"/>
      <c r="BS114" s="170"/>
      <c r="BT114" s="170"/>
      <c r="BU114" s="170"/>
      <c r="BV114" s="170"/>
      <c r="BW114" s="170"/>
      <c r="BX114" s="170"/>
      <c r="BY114" s="170"/>
      <c r="BZ114" s="170"/>
      <c r="CA114" s="170"/>
      <c r="CB114" s="170"/>
      <c r="CC114" s="170"/>
      <c r="CD114" s="170"/>
      <c r="CE114" s="170"/>
      <c r="CF114" s="170"/>
      <c r="CG114" s="170"/>
      <c r="CH114" s="170"/>
      <c r="CI114" s="170"/>
      <c r="CJ114" s="170"/>
      <c r="CK114" s="171"/>
      <c r="CL114" s="170"/>
      <c r="CM114" s="170"/>
      <c r="CN114" s="170"/>
      <c r="CO114" s="170"/>
      <c r="CP114" s="170"/>
      <c r="CQ114" s="170"/>
      <c r="CR114" s="170"/>
      <c r="CS114" s="170"/>
      <c r="CT114" s="170"/>
      <c r="CU114" s="170"/>
      <c r="CV114" s="170"/>
      <c r="CW114" s="170"/>
      <c r="CX114" s="170"/>
      <c r="CY114" s="170"/>
      <c r="CZ114" s="170"/>
      <c r="DA114" s="170"/>
      <c r="DB114" s="78"/>
      <c r="DC114" s="78"/>
      <c r="DD114" s="78"/>
    </row>
    <row r="115" spans="5:108" ht="20" hidden="1" x14ac:dyDescent="0.2">
      <c r="E115" s="397"/>
      <c r="F115" s="397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36"/>
      <c r="BF115" s="136"/>
      <c r="BG115" s="136"/>
      <c r="BH115" s="136"/>
      <c r="BN115" s="86"/>
      <c r="BO115" s="1091"/>
      <c r="BP115" s="163"/>
      <c r="BQ115" s="170"/>
      <c r="BR115" s="170"/>
      <c r="BS115" s="170"/>
      <c r="BT115" s="170"/>
      <c r="BU115" s="170"/>
      <c r="BV115" s="170"/>
      <c r="BW115" s="170"/>
      <c r="BX115" s="170"/>
      <c r="BY115" s="170"/>
      <c r="BZ115" s="170"/>
      <c r="CA115" s="170"/>
      <c r="CB115" s="170"/>
      <c r="CC115" s="170"/>
      <c r="CD115" s="170"/>
      <c r="CE115" s="170"/>
      <c r="CF115" s="170"/>
      <c r="CG115" s="170"/>
      <c r="CH115" s="170"/>
      <c r="CI115" s="170"/>
      <c r="CJ115" s="170"/>
      <c r="CK115" s="171"/>
      <c r="CL115" s="170"/>
      <c r="CM115" s="170"/>
      <c r="CN115" s="170"/>
      <c r="CO115" s="170"/>
      <c r="CP115" s="170"/>
      <c r="CQ115" s="170"/>
      <c r="CR115" s="170"/>
      <c r="CS115" s="170"/>
      <c r="CT115" s="170"/>
      <c r="CU115" s="170"/>
      <c r="CV115" s="170"/>
      <c r="CW115" s="170"/>
      <c r="CX115" s="170"/>
      <c r="CY115" s="170"/>
      <c r="CZ115" s="170"/>
      <c r="DA115" s="170"/>
      <c r="DB115" s="78"/>
      <c r="DC115" s="78"/>
      <c r="DD115" s="78"/>
    </row>
    <row r="116" spans="5:108" ht="20" hidden="1" x14ac:dyDescent="0.2">
      <c r="E116" s="397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E116" s="136"/>
      <c r="BF116" s="136"/>
      <c r="BG116" s="136"/>
      <c r="BH116" s="136"/>
      <c r="BN116" s="86"/>
      <c r="BO116" s="1091"/>
      <c r="BP116" s="163"/>
      <c r="BQ116" s="170"/>
      <c r="BR116" s="170"/>
      <c r="BS116" s="170"/>
      <c r="BT116" s="170"/>
      <c r="BU116" s="170"/>
      <c r="BV116" s="170"/>
      <c r="BW116" s="170"/>
      <c r="BX116" s="170"/>
      <c r="BY116" s="170"/>
      <c r="BZ116" s="170"/>
      <c r="CA116" s="170"/>
      <c r="CB116" s="170"/>
      <c r="CC116" s="170"/>
      <c r="CD116" s="170"/>
      <c r="CE116" s="170"/>
      <c r="CF116" s="170"/>
      <c r="CG116" s="170"/>
      <c r="CH116" s="170"/>
      <c r="CI116" s="170"/>
      <c r="CJ116" s="170"/>
      <c r="CK116" s="171"/>
      <c r="CL116" s="170"/>
      <c r="CM116" s="170"/>
      <c r="CN116" s="170"/>
      <c r="CO116" s="170"/>
      <c r="CP116" s="170"/>
      <c r="CQ116" s="170"/>
      <c r="CR116" s="170"/>
      <c r="CS116" s="170"/>
      <c r="CT116" s="170"/>
      <c r="CU116" s="170"/>
      <c r="CV116" s="170"/>
      <c r="CW116" s="170"/>
      <c r="CX116" s="170"/>
      <c r="CY116" s="170"/>
      <c r="CZ116" s="170"/>
      <c r="DA116" s="170"/>
      <c r="DB116" s="78"/>
      <c r="DC116" s="78"/>
      <c r="DD116" s="78"/>
    </row>
    <row r="117" spans="5:108" ht="20" hidden="1" x14ac:dyDescent="0.2">
      <c r="E117" s="397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E117" s="136"/>
      <c r="BF117" s="136"/>
      <c r="BG117" s="136"/>
      <c r="BH117" s="136"/>
      <c r="BN117" s="86"/>
      <c r="BO117" s="1091"/>
      <c r="BP117" s="163"/>
      <c r="BQ117" s="170"/>
      <c r="BR117" s="170"/>
      <c r="BS117" s="170"/>
      <c r="BT117" s="170"/>
      <c r="BU117" s="170"/>
      <c r="BV117" s="170"/>
      <c r="BW117" s="170"/>
      <c r="BX117" s="170"/>
      <c r="BY117" s="170"/>
      <c r="BZ117" s="170"/>
      <c r="CA117" s="170"/>
      <c r="CB117" s="170"/>
      <c r="CC117" s="170"/>
      <c r="CD117" s="170"/>
      <c r="CE117" s="170"/>
      <c r="CF117" s="170"/>
      <c r="CG117" s="170"/>
      <c r="CH117" s="170"/>
      <c r="CI117" s="170"/>
      <c r="CJ117" s="170"/>
      <c r="CK117" s="171"/>
      <c r="CL117" s="170"/>
      <c r="CM117" s="170"/>
      <c r="CN117" s="170"/>
      <c r="CO117" s="170"/>
      <c r="CP117" s="170"/>
      <c r="CQ117" s="170"/>
      <c r="CR117" s="170"/>
      <c r="CS117" s="170"/>
      <c r="CT117" s="170"/>
      <c r="CU117" s="170"/>
      <c r="CV117" s="170"/>
      <c r="CW117" s="170"/>
      <c r="CX117" s="170"/>
      <c r="CY117" s="170"/>
      <c r="CZ117" s="170"/>
      <c r="DA117" s="170"/>
      <c r="DB117" s="78"/>
      <c r="DC117" s="78"/>
      <c r="DD117" s="78"/>
    </row>
    <row r="118" spans="5:108" ht="20" hidden="1" x14ac:dyDescent="0.2">
      <c r="E118" s="397"/>
      <c r="F118" s="397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E118" s="136"/>
      <c r="BF118" s="136"/>
      <c r="BG118" s="136"/>
      <c r="BH118" s="136"/>
      <c r="BN118" s="86"/>
      <c r="BO118" s="1091"/>
      <c r="BP118" s="163"/>
      <c r="BQ118" s="170"/>
      <c r="BR118" s="170"/>
      <c r="BS118" s="170"/>
      <c r="BT118" s="170"/>
      <c r="BU118" s="170"/>
      <c r="BV118" s="170"/>
      <c r="BW118" s="170"/>
      <c r="BX118" s="170"/>
      <c r="BY118" s="170"/>
      <c r="BZ118" s="170"/>
      <c r="CA118" s="170"/>
      <c r="CB118" s="170"/>
      <c r="CC118" s="170"/>
      <c r="CD118" s="170"/>
      <c r="CE118" s="170"/>
      <c r="CF118" s="170"/>
      <c r="CG118" s="170"/>
      <c r="CH118" s="170"/>
      <c r="CI118" s="170"/>
      <c r="CJ118" s="170"/>
      <c r="CK118" s="171"/>
      <c r="CL118" s="170"/>
      <c r="CM118" s="170"/>
      <c r="CN118" s="170"/>
      <c r="CO118" s="170"/>
      <c r="CP118" s="170"/>
      <c r="CQ118" s="170"/>
      <c r="CR118" s="170"/>
      <c r="CS118" s="170"/>
      <c r="CT118" s="170"/>
      <c r="CU118" s="170"/>
      <c r="CV118" s="170"/>
      <c r="CW118" s="170"/>
      <c r="CX118" s="170"/>
      <c r="CY118" s="170"/>
      <c r="CZ118" s="170"/>
      <c r="DA118" s="170"/>
      <c r="DB118" s="78"/>
      <c r="DC118" s="78"/>
      <c r="DD118" s="78"/>
    </row>
    <row r="119" spans="5:108" ht="20" hidden="1" x14ac:dyDescent="0.2">
      <c r="E119" s="397"/>
      <c r="F119" s="397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E119" s="136"/>
      <c r="BF119" s="136"/>
      <c r="BG119" s="136"/>
      <c r="BH119" s="136"/>
      <c r="BN119" s="86"/>
      <c r="BO119" s="1091"/>
      <c r="BP119" s="163"/>
      <c r="BQ119" s="170"/>
      <c r="BR119" s="170"/>
      <c r="BS119" s="170"/>
      <c r="BT119" s="170"/>
      <c r="BU119" s="170"/>
      <c r="BV119" s="170"/>
      <c r="BW119" s="170"/>
      <c r="BX119" s="170"/>
      <c r="BY119" s="170"/>
      <c r="BZ119" s="170"/>
      <c r="CA119" s="170"/>
      <c r="CB119" s="170"/>
      <c r="CC119" s="170"/>
      <c r="CD119" s="170"/>
      <c r="CE119" s="170"/>
      <c r="CF119" s="170"/>
      <c r="CG119" s="170"/>
      <c r="CH119" s="170"/>
      <c r="CI119" s="170"/>
      <c r="CJ119" s="170"/>
      <c r="CK119" s="171"/>
      <c r="CL119" s="170"/>
      <c r="CM119" s="170"/>
      <c r="CN119" s="170"/>
      <c r="CO119" s="170"/>
      <c r="CP119" s="170"/>
      <c r="CQ119" s="170"/>
      <c r="CR119" s="170"/>
      <c r="CS119" s="170"/>
      <c r="CT119" s="170"/>
      <c r="CU119" s="170"/>
      <c r="CV119" s="170"/>
      <c r="CW119" s="170"/>
      <c r="CX119" s="170"/>
      <c r="CY119" s="170"/>
      <c r="CZ119" s="170"/>
      <c r="DA119" s="170"/>
      <c r="DB119" s="78"/>
      <c r="DC119" s="78"/>
      <c r="DD119" s="78"/>
    </row>
    <row r="120" spans="5:108" ht="20" hidden="1" x14ac:dyDescent="0.2">
      <c r="E120" s="397"/>
      <c r="F120" s="397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E120" s="136"/>
      <c r="BF120" s="136"/>
      <c r="BG120" s="136"/>
      <c r="BH120" s="136"/>
      <c r="BN120" s="86"/>
      <c r="BO120" s="1091"/>
      <c r="BP120" s="163"/>
      <c r="BQ120" s="170"/>
      <c r="BR120" s="170"/>
      <c r="BS120" s="170"/>
      <c r="BT120" s="170"/>
      <c r="BU120" s="170"/>
      <c r="BV120" s="170"/>
      <c r="BW120" s="170"/>
      <c r="BX120" s="170"/>
      <c r="BY120" s="170"/>
      <c r="BZ120" s="170"/>
      <c r="CA120" s="170"/>
      <c r="CB120" s="170"/>
      <c r="CC120" s="170"/>
      <c r="CD120" s="170"/>
      <c r="CE120" s="170"/>
      <c r="CF120" s="170"/>
      <c r="CG120" s="170"/>
      <c r="CH120" s="170"/>
      <c r="CI120" s="170"/>
      <c r="CJ120" s="170"/>
      <c r="CK120" s="171"/>
      <c r="CL120" s="170"/>
      <c r="CM120" s="170"/>
      <c r="CN120" s="170"/>
      <c r="CO120" s="170"/>
      <c r="CP120" s="170"/>
      <c r="CQ120" s="170"/>
      <c r="CR120" s="170"/>
      <c r="CS120" s="170"/>
      <c r="CT120" s="170"/>
      <c r="CU120" s="170"/>
      <c r="CV120" s="170"/>
      <c r="CW120" s="170"/>
      <c r="CX120" s="170"/>
      <c r="CY120" s="170"/>
      <c r="CZ120" s="170"/>
      <c r="DA120" s="170"/>
      <c r="DB120" s="78"/>
      <c r="DC120" s="78"/>
      <c r="DD120" s="78"/>
    </row>
    <row r="121" spans="5:108" ht="20" hidden="1" x14ac:dyDescent="0.2">
      <c r="E121" s="397"/>
      <c r="F121" s="397"/>
      <c r="G121" s="998"/>
      <c r="H121"/>
      <c r="I121"/>
      <c r="J121"/>
      <c r="K121"/>
      <c r="L121"/>
      <c r="M121"/>
      <c r="N121"/>
      <c r="O121" s="995"/>
      <c r="U121" s="114"/>
      <c r="AB121" s="114"/>
      <c r="AC121" s="114"/>
      <c r="AD121" s="114"/>
      <c r="AE121" s="114"/>
      <c r="BE121" s="136"/>
      <c r="BF121" s="136"/>
      <c r="BG121" s="136"/>
      <c r="BH121" s="136"/>
      <c r="BN121" s="86"/>
      <c r="BO121" s="1091"/>
      <c r="BP121" s="163"/>
      <c r="BQ121" s="170"/>
      <c r="BR121" s="170"/>
      <c r="BS121" s="170"/>
      <c r="BT121" s="170"/>
      <c r="BU121" s="170"/>
      <c r="BV121" s="170"/>
      <c r="BW121" s="170"/>
      <c r="BX121" s="170"/>
      <c r="BY121" s="170"/>
      <c r="BZ121" s="170"/>
      <c r="CA121" s="170"/>
      <c r="CB121" s="170"/>
      <c r="CC121" s="170"/>
      <c r="CD121" s="170"/>
      <c r="CE121" s="170"/>
      <c r="CF121" s="170"/>
      <c r="CG121" s="170"/>
      <c r="CH121" s="170"/>
      <c r="CI121" s="170"/>
      <c r="CJ121" s="170"/>
      <c r="CK121" s="171"/>
      <c r="CL121" s="170"/>
      <c r="CM121" s="170"/>
      <c r="CN121" s="170"/>
      <c r="CO121" s="170"/>
      <c r="CP121" s="170"/>
      <c r="CQ121" s="170"/>
      <c r="CR121" s="170"/>
      <c r="CS121" s="170"/>
      <c r="CT121" s="170"/>
      <c r="CU121" s="170"/>
      <c r="CV121" s="170"/>
      <c r="CW121" s="170"/>
      <c r="CX121" s="170"/>
      <c r="CY121" s="170"/>
      <c r="CZ121" s="170"/>
      <c r="DA121" s="170"/>
      <c r="DB121" s="78"/>
      <c r="DC121" s="78"/>
      <c r="DD121" s="78"/>
    </row>
    <row r="122" spans="5:108" ht="20" hidden="1" x14ac:dyDescent="0.2">
      <c r="E122" s="397"/>
      <c r="F122" s="397"/>
      <c r="G122" s="998"/>
      <c r="H122"/>
      <c r="I122"/>
      <c r="J122"/>
      <c r="K122"/>
      <c r="L122"/>
      <c r="M122"/>
      <c r="N122"/>
      <c r="O122" s="995"/>
      <c r="U122" s="114"/>
      <c r="AB122" s="114"/>
      <c r="AC122" s="114"/>
      <c r="AD122" s="114"/>
      <c r="AE122" s="114"/>
      <c r="BE122" s="136"/>
      <c r="BF122" s="136"/>
      <c r="BG122" s="136"/>
      <c r="BH122" s="136"/>
      <c r="BN122" s="86"/>
      <c r="BO122" s="1091"/>
      <c r="BP122" s="163"/>
      <c r="BQ122" s="170"/>
      <c r="BR122" s="170"/>
      <c r="BS122" s="170"/>
      <c r="BT122" s="170"/>
      <c r="BU122" s="170"/>
      <c r="BV122" s="170"/>
      <c r="BW122" s="170"/>
      <c r="BX122" s="170"/>
      <c r="BY122" s="170"/>
      <c r="BZ122" s="170"/>
      <c r="CA122" s="170"/>
      <c r="CB122" s="170"/>
      <c r="CC122" s="170"/>
      <c r="CD122" s="170"/>
      <c r="CE122" s="170"/>
      <c r="CF122" s="170"/>
      <c r="CG122" s="170"/>
      <c r="CH122" s="170"/>
      <c r="CI122" s="170"/>
      <c r="CJ122" s="170"/>
      <c r="CK122" s="171"/>
      <c r="CL122" s="170"/>
      <c r="CM122" s="170"/>
      <c r="CN122" s="170"/>
      <c r="CO122" s="170"/>
      <c r="CP122" s="170"/>
      <c r="CQ122" s="170"/>
      <c r="CR122" s="170"/>
      <c r="CS122" s="170"/>
      <c r="CT122" s="170"/>
      <c r="CU122" s="170"/>
      <c r="CV122" s="170"/>
      <c r="CW122" s="170"/>
      <c r="CX122" s="170"/>
      <c r="CY122" s="170"/>
      <c r="CZ122" s="170"/>
      <c r="DA122" s="170"/>
      <c r="DB122" s="78"/>
      <c r="DC122" s="78"/>
      <c r="DD122" s="78"/>
    </row>
    <row r="123" spans="5:108" ht="20" hidden="1" x14ac:dyDescent="0.2">
      <c r="E123" s="397"/>
      <c r="F123" s="397"/>
      <c r="G123" s="998"/>
      <c r="H123"/>
      <c r="I123"/>
      <c r="J123"/>
      <c r="K123"/>
      <c r="L123"/>
      <c r="M123"/>
      <c r="N123"/>
      <c r="O123" s="995"/>
      <c r="U123" s="114"/>
      <c r="AB123" s="114"/>
      <c r="AC123" s="114"/>
      <c r="AD123" s="114"/>
      <c r="AE123" s="114"/>
      <c r="BE123" s="136"/>
      <c r="BF123" s="136"/>
      <c r="BG123" s="136"/>
      <c r="BH123" s="136"/>
      <c r="BN123" s="86"/>
      <c r="BO123" s="1091"/>
      <c r="BP123" s="163"/>
      <c r="BQ123" s="170"/>
      <c r="BR123" s="170"/>
      <c r="BS123" s="170"/>
      <c r="BT123" s="170"/>
      <c r="BU123" s="170"/>
      <c r="BV123" s="170"/>
      <c r="BW123" s="170"/>
      <c r="BX123" s="170"/>
      <c r="BY123" s="170"/>
      <c r="BZ123" s="170"/>
      <c r="CA123" s="170"/>
      <c r="CB123" s="170"/>
      <c r="CC123" s="170"/>
      <c r="CD123" s="170"/>
      <c r="CE123" s="170"/>
      <c r="CF123" s="170"/>
      <c r="CG123" s="170"/>
      <c r="CH123" s="170"/>
      <c r="CI123" s="170"/>
      <c r="CJ123" s="170"/>
      <c r="CK123" s="171"/>
      <c r="CL123" s="170"/>
      <c r="CM123" s="170"/>
      <c r="CN123" s="170"/>
      <c r="CO123" s="170"/>
      <c r="CP123" s="170"/>
      <c r="CQ123" s="170"/>
      <c r="CR123" s="170"/>
      <c r="CS123" s="170"/>
      <c r="CT123" s="170"/>
      <c r="CU123" s="170"/>
      <c r="CV123" s="170"/>
      <c r="CW123" s="170"/>
      <c r="CX123" s="170"/>
      <c r="CY123" s="170"/>
      <c r="CZ123" s="170"/>
      <c r="DA123" s="170"/>
      <c r="DB123" s="78"/>
      <c r="DC123" s="78"/>
      <c r="DD123" s="78"/>
    </row>
    <row r="124" spans="5:108" ht="126" hidden="1" x14ac:dyDescent="0.2">
      <c r="E124" s="397"/>
      <c r="F124" s="39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114"/>
      <c r="AB124" s="114"/>
      <c r="AC124" s="114"/>
      <c r="AD124" s="114"/>
      <c r="AE124" s="114"/>
      <c r="BE124" s="136"/>
      <c r="BF124" s="136"/>
      <c r="BG124" s="136"/>
      <c r="BH124" s="136"/>
      <c r="BN124" s="86"/>
      <c r="BO124" s="1091"/>
      <c r="BP124" s="163"/>
      <c r="BQ124" s="170"/>
      <c r="BR124" s="170"/>
      <c r="BS124" s="170"/>
      <c r="BT124" s="170"/>
      <c r="BU124" s="170"/>
      <c r="BV124" s="170"/>
      <c r="BW124" s="170"/>
      <c r="BX124" s="170"/>
      <c r="BY124" s="170"/>
      <c r="BZ124" s="170"/>
      <c r="CA124" s="170"/>
      <c r="CB124" s="170"/>
      <c r="CC124" s="170"/>
      <c r="CD124" s="170"/>
      <c r="CE124" s="170"/>
      <c r="CF124" s="170"/>
      <c r="CG124" s="170"/>
      <c r="CH124" s="170"/>
      <c r="CI124" s="170"/>
      <c r="CJ124" s="170"/>
      <c r="CK124" s="171"/>
      <c r="CL124" s="170"/>
      <c r="CM124" s="170"/>
      <c r="CN124" s="170"/>
      <c r="CO124" s="170"/>
      <c r="CP124" s="170"/>
      <c r="CQ124" s="170"/>
      <c r="CR124" s="170"/>
      <c r="CS124" s="170"/>
      <c r="CT124" s="170"/>
      <c r="CU124" s="170"/>
      <c r="CV124" s="170"/>
      <c r="CW124" s="170"/>
      <c r="CX124" s="170"/>
      <c r="CY124" s="170"/>
      <c r="CZ124" s="170"/>
      <c r="DA124" s="170"/>
      <c r="DB124" s="78"/>
      <c r="DC124" s="78"/>
      <c r="DD124" s="78"/>
    </row>
    <row r="125" spans="5:108" ht="33.75" hidden="1" customHeight="1" thickBot="1" x14ac:dyDescent="0.25">
      <c r="E125" s="397"/>
      <c r="F125" s="39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114"/>
      <c r="AB125" s="114"/>
      <c r="AC125" s="114"/>
      <c r="AD125" s="114"/>
      <c r="AE125" s="114"/>
      <c r="BE125" s="136"/>
      <c r="BF125" s="136"/>
      <c r="BG125" s="136"/>
      <c r="BH125" s="136"/>
      <c r="BN125" s="86"/>
      <c r="BO125" s="1091"/>
      <c r="BP125" s="163"/>
      <c r="BQ125" s="170"/>
      <c r="BR125" s="170"/>
      <c r="BS125" s="170"/>
      <c r="BT125" s="170"/>
      <c r="BU125" s="170"/>
      <c r="BV125" s="170"/>
      <c r="BW125" s="170"/>
      <c r="BX125" s="170"/>
      <c r="BY125" s="170"/>
      <c r="BZ125" s="170"/>
      <c r="CA125" s="170"/>
      <c r="CB125" s="170"/>
      <c r="CC125" s="170"/>
      <c r="CD125" s="170"/>
      <c r="CE125" s="170"/>
      <c r="CF125" s="170"/>
      <c r="CG125" s="170"/>
      <c r="CH125" s="170"/>
      <c r="CI125" s="170"/>
      <c r="CJ125" s="170"/>
      <c r="CK125" s="171"/>
      <c r="CL125" s="170"/>
      <c r="CM125" s="170"/>
      <c r="CN125" s="170"/>
      <c r="CO125" s="170"/>
      <c r="CP125" s="170"/>
      <c r="CQ125" s="170"/>
      <c r="CR125" s="170"/>
      <c r="CS125" s="170"/>
      <c r="CT125" s="170"/>
      <c r="CU125" s="170"/>
      <c r="CV125" s="170"/>
      <c r="CW125" s="170"/>
      <c r="CX125" s="170"/>
      <c r="CY125" s="170"/>
      <c r="CZ125" s="170"/>
      <c r="DA125" s="170"/>
      <c r="DB125" s="78"/>
      <c r="DC125" s="78"/>
      <c r="DD125" s="78"/>
    </row>
    <row r="126" spans="5:108" ht="96.75" customHeight="1" thickBot="1" x14ac:dyDescent="0.3">
      <c r="E126" s="397"/>
      <c r="F126" s="397"/>
      <c r="G126" s="998"/>
      <c r="H126" s="1067" t="s">
        <v>260</v>
      </c>
      <c r="I126" s="1052">
        <f>+MIN(K31:L32)</f>
        <v>35.533979673300102</v>
      </c>
      <c r="J126" s="1052">
        <f>+MIN(J37:K38)</f>
        <v>56.939501779359432</v>
      </c>
      <c r="K126" s="1053">
        <f>+MIN(J43:L44)</f>
        <v>56.939501779359432</v>
      </c>
      <c r="L126" s="1054">
        <f>+MIN(J49:L50)</f>
        <v>24.63728442376129</v>
      </c>
      <c r="M126" s="1055">
        <f>+MIN(J55:L56)</f>
        <v>56.939501779359432</v>
      </c>
      <c r="N126"/>
      <c r="O126" s="995"/>
      <c r="U126" s="114"/>
      <c r="AB126" s="114"/>
      <c r="AC126" s="114"/>
      <c r="AD126" s="114"/>
      <c r="AE126" s="114"/>
      <c r="BE126" s="136"/>
      <c r="BF126" s="136"/>
      <c r="BG126" s="136"/>
      <c r="BH126" s="136"/>
      <c r="BN126" s="86"/>
      <c r="BO126" s="1091"/>
      <c r="BP126" s="163"/>
      <c r="BQ126" s="170"/>
      <c r="BR126" s="170"/>
      <c r="BS126" s="170"/>
      <c r="BT126" s="170"/>
      <c r="BU126" s="170"/>
      <c r="BV126" s="170"/>
      <c r="BW126" s="170"/>
      <c r="BX126" s="170"/>
      <c r="BY126" s="170"/>
      <c r="BZ126" s="170"/>
      <c r="CA126" s="170"/>
      <c r="CB126" s="170"/>
      <c r="CC126" s="170"/>
      <c r="CD126" s="170"/>
      <c r="CE126" s="170"/>
      <c r="CF126" s="170"/>
      <c r="CG126" s="170"/>
      <c r="CH126" s="170"/>
      <c r="CI126" s="170"/>
      <c r="CJ126" s="170"/>
      <c r="CK126" s="171"/>
      <c r="CL126" s="170"/>
      <c r="CM126" s="170"/>
      <c r="CN126" s="170"/>
      <c r="CO126" s="170"/>
      <c r="CP126" s="170"/>
      <c r="CQ126" s="170"/>
      <c r="CR126" s="170"/>
      <c r="CS126" s="170"/>
      <c r="CT126" s="170"/>
      <c r="CU126" s="170"/>
      <c r="CV126" s="170"/>
      <c r="CW126" s="170"/>
      <c r="CX126" s="170"/>
      <c r="CY126" s="170"/>
      <c r="CZ126" s="170"/>
      <c r="DA126" s="170"/>
      <c r="DB126" s="78"/>
      <c r="DC126" s="78"/>
      <c r="DD126" s="78"/>
    </row>
    <row r="127" spans="5:108" ht="20" hidden="1" x14ac:dyDescent="0.2">
      <c r="E127" s="397"/>
      <c r="F127" s="397"/>
      <c r="G127" s="1011"/>
      <c r="H127" s="131"/>
      <c r="I127" s="131"/>
      <c r="J127" s="131"/>
      <c r="K127" s="131"/>
      <c r="L127" s="131"/>
      <c r="M127" s="131"/>
      <c r="N127" s="131"/>
      <c r="O127" s="1012"/>
      <c r="U127" s="114"/>
      <c r="AB127" s="114"/>
      <c r="AC127" s="114"/>
      <c r="AD127" s="114"/>
      <c r="AE127" s="114"/>
      <c r="BE127" s="136"/>
      <c r="BF127" s="136"/>
      <c r="BG127" s="136"/>
      <c r="BH127" s="136"/>
      <c r="BN127" s="86"/>
      <c r="BO127" s="1091"/>
      <c r="BP127" s="163"/>
      <c r="BQ127" s="170"/>
      <c r="BR127" s="170"/>
      <c r="BS127" s="170"/>
      <c r="BT127" s="170"/>
      <c r="BU127" s="170"/>
      <c r="BV127" s="170"/>
      <c r="BW127" s="170"/>
      <c r="BX127" s="170"/>
      <c r="BY127" s="170"/>
      <c r="BZ127" s="170"/>
      <c r="CA127" s="170"/>
      <c r="CB127" s="170"/>
      <c r="CC127" s="170"/>
      <c r="CD127" s="170"/>
      <c r="CE127" s="170"/>
      <c r="CF127" s="170"/>
      <c r="CG127" s="170"/>
      <c r="CH127" s="170"/>
      <c r="CI127" s="170"/>
      <c r="CJ127" s="170"/>
      <c r="CK127" s="171"/>
      <c r="CL127" s="170"/>
      <c r="CM127" s="170"/>
      <c r="CN127" s="170"/>
      <c r="CO127" s="170"/>
      <c r="CP127" s="170"/>
      <c r="CQ127" s="170"/>
      <c r="CR127" s="170"/>
      <c r="CS127" s="170"/>
      <c r="CT127" s="170"/>
      <c r="CU127" s="170"/>
      <c r="CV127" s="170"/>
      <c r="CW127" s="170"/>
      <c r="CX127" s="170"/>
      <c r="CY127" s="170"/>
      <c r="CZ127" s="170"/>
      <c r="DA127" s="170"/>
      <c r="DB127" s="78"/>
      <c r="DC127" s="78"/>
      <c r="DD127" s="78"/>
    </row>
    <row r="128" spans="5:108" ht="30" hidden="1" x14ac:dyDescent="0.2">
      <c r="E128" s="397"/>
      <c r="F128" s="397"/>
      <c r="G128" s="998"/>
      <c r="H128" s="201"/>
      <c r="I128" s="201"/>
      <c r="J128" s="201"/>
      <c r="K128" s="201"/>
      <c r="L128" s="201"/>
      <c r="M128" s="201"/>
      <c r="N128" s="201"/>
      <c r="O128" s="1013"/>
      <c r="U128" s="114"/>
      <c r="AB128" s="114"/>
      <c r="AC128" s="114"/>
      <c r="AD128" s="114"/>
      <c r="AE128" s="114"/>
      <c r="BE128" s="136"/>
      <c r="BF128" s="136"/>
      <c r="BG128" s="136"/>
      <c r="BH128" s="136"/>
      <c r="BN128" s="86"/>
      <c r="BO128" s="1091"/>
      <c r="BP128" s="163"/>
      <c r="BQ128" s="170"/>
      <c r="BR128" s="170"/>
      <c r="BS128" s="170"/>
      <c r="BT128" s="170"/>
      <c r="BU128" s="170"/>
      <c r="BV128" s="170"/>
      <c r="BW128" s="170"/>
      <c r="BX128" s="170"/>
      <c r="BY128" s="170"/>
      <c r="BZ128" s="170"/>
      <c r="CA128" s="170"/>
      <c r="CB128" s="170"/>
      <c r="CC128" s="170"/>
      <c r="CD128" s="170"/>
      <c r="CE128" s="170"/>
      <c r="CF128" s="170"/>
      <c r="CG128" s="170"/>
      <c r="CH128" s="170"/>
      <c r="CI128" s="170"/>
      <c r="CJ128" s="170"/>
      <c r="CK128" s="171"/>
      <c r="CL128" s="170"/>
      <c r="CM128" s="170"/>
      <c r="CN128" s="170"/>
      <c r="CO128" s="170"/>
      <c r="CP128" s="170"/>
      <c r="CQ128" s="170"/>
      <c r="CR128" s="170"/>
      <c r="CS128" s="170"/>
      <c r="CT128" s="170"/>
      <c r="CU128" s="170"/>
      <c r="CV128" s="170"/>
      <c r="CW128" s="170"/>
      <c r="CX128" s="170"/>
      <c r="CY128" s="170"/>
      <c r="CZ128" s="170"/>
      <c r="DA128" s="170"/>
      <c r="DB128" s="78"/>
      <c r="DC128" s="78"/>
      <c r="DD128" s="78"/>
    </row>
    <row r="129" spans="2:108" ht="21" hidden="1" thickBot="1" x14ac:dyDescent="0.25">
      <c r="E129" s="397"/>
      <c r="F129" s="397"/>
      <c r="G129" s="998"/>
      <c r="H129"/>
      <c r="I129"/>
      <c r="J129"/>
      <c r="K129"/>
      <c r="L129"/>
      <c r="M129"/>
      <c r="N129"/>
      <c r="O129" s="995"/>
      <c r="U129" s="114"/>
      <c r="AB129" s="114"/>
      <c r="AC129" s="114"/>
      <c r="AD129" s="114"/>
      <c r="AE129" s="114"/>
      <c r="BE129" s="136"/>
      <c r="BF129" s="136"/>
      <c r="BG129" s="136"/>
      <c r="BH129" s="136"/>
      <c r="BN129" s="86"/>
      <c r="BO129" s="1091"/>
      <c r="BP129" s="163"/>
      <c r="BQ129" s="170"/>
      <c r="BR129" s="170"/>
      <c r="BS129" s="170"/>
      <c r="BT129" s="170"/>
      <c r="BU129" s="170"/>
      <c r="BV129" s="170"/>
      <c r="BW129" s="170"/>
      <c r="BX129" s="170"/>
      <c r="BY129" s="170"/>
      <c r="BZ129" s="170"/>
      <c r="CA129" s="170"/>
      <c r="CB129" s="170"/>
      <c r="CC129" s="170"/>
      <c r="CD129" s="170"/>
      <c r="CE129" s="170"/>
      <c r="CF129" s="170"/>
      <c r="CG129" s="170"/>
      <c r="CH129" s="170"/>
      <c r="CI129" s="170"/>
      <c r="CJ129" s="170"/>
      <c r="CK129" s="171"/>
      <c r="CL129" s="170"/>
      <c r="CM129" s="170"/>
      <c r="CN129" s="170"/>
      <c r="CO129" s="170"/>
      <c r="CP129" s="170"/>
      <c r="CQ129" s="170"/>
      <c r="CR129" s="170"/>
      <c r="CS129" s="170"/>
      <c r="CT129" s="170"/>
      <c r="CU129" s="170"/>
      <c r="CV129" s="170"/>
      <c r="CW129" s="170"/>
      <c r="CX129" s="170"/>
      <c r="CY129" s="170"/>
      <c r="CZ129" s="170"/>
      <c r="DA129" s="170"/>
      <c r="DB129" s="78"/>
      <c r="DC129" s="78"/>
      <c r="DD129" s="78"/>
    </row>
    <row r="130" spans="2:108" ht="47.25" customHeight="1" thickBot="1" x14ac:dyDescent="0.3">
      <c r="B130" s="408"/>
      <c r="D130" s="409" t="str">
        <f>IF(BL139&gt;0," ","change the angle of frame or of cabinets")</f>
        <v xml:space="preserve"> </v>
      </c>
      <c r="E130" s="397"/>
      <c r="F130" s="397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U130" s="114"/>
      <c r="AB130" s="114"/>
      <c r="AC130" s="114"/>
      <c r="AD130" s="114"/>
      <c r="AE130" s="114"/>
      <c r="BE130" s="136"/>
      <c r="BF130" s="136"/>
      <c r="BG130" s="136"/>
      <c r="BH130" s="136"/>
      <c r="BN130" s="86"/>
      <c r="BO130" s="1091"/>
      <c r="BP130" s="163"/>
      <c r="BQ130" s="170"/>
      <c r="BR130" s="170"/>
      <c r="BS130" s="170"/>
      <c r="BT130" s="170"/>
      <c r="BU130" s="170"/>
      <c r="BV130" s="170"/>
      <c r="BW130" s="170"/>
      <c r="BX130" s="170"/>
      <c r="BY130" s="170"/>
      <c r="BZ130" s="170"/>
      <c r="CA130" s="170"/>
      <c r="CB130" s="170"/>
      <c r="CC130" s="170"/>
      <c r="CD130" s="170"/>
      <c r="CE130" s="170"/>
      <c r="CF130" s="170"/>
      <c r="CG130" s="170"/>
      <c r="CH130" s="170"/>
      <c r="CI130" s="170"/>
      <c r="CJ130" s="170"/>
      <c r="CK130" s="171"/>
      <c r="CL130" s="170"/>
      <c r="CM130" s="170"/>
      <c r="CN130" s="170"/>
      <c r="CO130" s="170"/>
      <c r="CP130" s="170"/>
      <c r="CQ130" s="170"/>
      <c r="CR130" s="170"/>
      <c r="CS130" s="170"/>
      <c r="CT130" s="170"/>
      <c r="CU130" s="170"/>
      <c r="CV130" s="170"/>
      <c r="CW130" s="170"/>
      <c r="CX130" s="170"/>
      <c r="CY130" s="170"/>
      <c r="CZ130" s="170"/>
      <c r="DA130" s="170"/>
      <c r="DB130" s="78"/>
      <c r="DC130" s="78"/>
      <c r="DD130" s="78"/>
    </row>
    <row r="131" spans="2:108" ht="54" customHeight="1" thickBot="1" x14ac:dyDescent="0.3">
      <c r="B131" s="1846" t="s">
        <v>116</v>
      </c>
      <c r="D131" s="409" t="str">
        <f>IF(DD139&lt;0," ","change the angle of frame or of cabinets")</f>
        <v xml:space="preserve"> </v>
      </c>
      <c r="E131" s="397"/>
      <c r="F131" s="397"/>
      <c r="G131" s="1014"/>
      <c r="H131" s="209"/>
      <c r="I131" s="1062">
        <f>COUNTIF(CK99:DA99,"&gt;0")</f>
        <v>1</v>
      </c>
      <c r="J131" s="1062">
        <f>COUNTIF(BQ99:CG99,"&gt;0")</f>
        <v>1</v>
      </c>
      <c r="K131" s="1062" t="b">
        <f>AND(IF(SUM(BQ131:CA131)&gt;0,1,0),IF(CP131="6  ADS ",1,0))</f>
        <v>1</v>
      </c>
      <c r="L131" s="1062" t="b">
        <f>AND(IF(SUM(CQ131:DA131)&gt;0,1,0),IF(CB131="6  ADS ",1,0))</f>
        <v>0</v>
      </c>
      <c r="M131" s="1062" t="b">
        <f>AND(IF(CP131="6  ADS ",1,0),IF(CB131="6  ADS ",1,0))</f>
        <v>0</v>
      </c>
      <c r="N131" s="209"/>
      <c r="O131" s="1015"/>
      <c r="U131" s="114"/>
      <c r="AB131" s="114"/>
      <c r="AC131" s="114"/>
      <c r="AD131" s="114"/>
      <c r="AE131" s="114"/>
      <c r="BE131" s="136"/>
      <c r="BF131" s="136"/>
      <c r="BG131" s="136"/>
      <c r="BH131" s="136"/>
      <c r="BN131" s="86"/>
      <c r="BO131" s="1095" t="s">
        <v>128</v>
      </c>
      <c r="BP131" s="172" t="s">
        <v>124</v>
      </c>
      <c r="BQ131" s="750" t="str">
        <f>IF(BQ99=1,17,"")</f>
        <v/>
      </c>
      <c r="BR131" s="751" t="str">
        <f>IF(BR99=2,16,"")</f>
        <v/>
      </c>
      <c r="BS131" s="751" t="str">
        <f>IF(BS99=3,15,"")</f>
        <v/>
      </c>
      <c r="BT131" s="751" t="str">
        <f>IF(BT99=4,14,"")</f>
        <v/>
      </c>
      <c r="BU131" s="751" t="str">
        <f>IF(BU99=5,13,"")</f>
        <v/>
      </c>
      <c r="BV131" s="751" t="str">
        <f>IF(BV99=6,12,"")</f>
        <v/>
      </c>
      <c r="BW131" s="751" t="str">
        <f>IF(BW99=7,11,"")</f>
        <v/>
      </c>
      <c r="BX131" s="751">
        <f>IF(BX99=8,10,"")</f>
        <v>10</v>
      </c>
      <c r="BY131" s="751" t="str">
        <f>IF(BY99=9,9,"")</f>
        <v/>
      </c>
      <c r="BZ131" s="751" t="str">
        <f>IF(BZ99=10,8,"")</f>
        <v/>
      </c>
      <c r="CA131" s="751" t="str">
        <f>IF(CA99=11,7,"")</f>
        <v/>
      </c>
      <c r="CB131" s="752" t="str">
        <f>IF(CB99=12,"6  ADS ","")</f>
        <v/>
      </c>
      <c r="CC131" s="751" t="str">
        <f>IF(CC99=13,5,"")</f>
        <v/>
      </c>
      <c r="CD131" s="751" t="str">
        <f>IF(CD99=14,4,"")</f>
        <v/>
      </c>
      <c r="CE131" s="751" t="str">
        <f>IF(CE99=15,3,"")</f>
        <v/>
      </c>
      <c r="CF131" s="751" t="str">
        <f>IF(CF99=16,2,"")</f>
        <v/>
      </c>
      <c r="CG131" s="751" t="str">
        <f>IF(CG99=17,1,"")</f>
        <v/>
      </c>
      <c r="CH131" s="173"/>
      <c r="CI131" s="174"/>
      <c r="CJ131" s="175"/>
      <c r="CK131" s="753" t="str">
        <f>IF(CK99=21,1,"")</f>
        <v/>
      </c>
      <c r="CL131" s="753" t="str">
        <f>IF(CL99=22,2,"")</f>
        <v/>
      </c>
      <c r="CM131" s="753" t="str">
        <f>IF(CM99=23,3,"")</f>
        <v/>
      </c>
      <c r="CN131" s="753" t="str">
        <f>IF(CN99=24,4,"")</f>
        <v/>
      </c>
      <c r="CO131" s="753" t="str">
        <f>IF(CO99=25,5,"")</f>
        <v/>
      </c>
      <c r="CP131" s="754" t="str">
        <f>IF(CP99=26,"6  ADS ","")</f>
        <v xml:space="preserve">6  ADS </v>
      </c>
      <c r="CQ131" s="753" t="str">
        <f>IF(CQ99=27,7,"")</f>
        <v/>
      </c>
      <c r="CR131" s="753" t="str">
        <f>IF(CR99=28,8,"")</f>
        <v/>
      </c>
      <c r="CS131" s="753" t="str">
        <f>IF(CS99=29,9,"")</f>
        <v/>
      </c>
      <c r="CT131" s="753" t="str">
        <f>IF(CT99=30,10,"")</f>
        <v/>
      </c>
      <c r="CU131" s="753" t="str">
        <f>IF(CU99=31,11,"")</f>
        <v/>
      </c>
      <c r="CV131" s="753" t="str">
        <f>IF(CV99=32,12,"")</f>
        <v/>
      </c>
      <c r="CW131" s="753" t="str">
        <f>IF(CW99=33,13,"")</f>
        <v/>
      </c>
      <c r="CX131" s="753" t="str">
        <f>IF(CX99=34,14,"")</f>
        <v/>
      </c>
      <c r="CY131" s="753" t="str">
        <f>IF(CY99=35,15,"")</f>
        <v/>
      </c>
      <c r="CZ131" s="753" t="str">
        <f>IF(CZ99=36,16,"")</f>
        <v/>
      </c>
      <c r="DA131" s="755" t="str">
        <f>IF(DA99=37,17,"")</f>
        <v/>
      </c>
      <c r="DB131" s="340"/>
      <c r="DC131" s="78"/>
      <c r="DD131" s="78"/>
    </row>
    <row r="132" spans="2:108" ht="54" customHeight="1" thickBot="1" x14ac:dyDescent="0.3">
      <c r="B132" s="1847"/>
      <c r="C132" s="213"/>
      <c r="D132" s="409" t="str">
        <f>IF(BL139&gt;(+COS(($B$133*-1)*3.14159265358979/180)*451.5)," ","USE EXBAR AR AT THE FRONT")</f>
        <v xml:space="preserve"> </v>
      </c>
      <c r="E132" s="397"/>
      <c r="F132" s="397"/>
      <c r="G132" s="1016"/>
      <c r="H132" s="1017"/>
      <c r="I132" s="1063">
        <f>IF(I131=2,I126,0)</f>
        <v>0</v>
      </c>
      <c r="J132" s="1063">
        <f>IF(J131=2,J126,0)</f>
        <v>0</v>
      </c>
      <c r="K132" s="1063">
        <f t="shared" ref="K132:M132" si="4">IF(K131=TRUE,K126,0)</f>
        <v>56.939501779359432</v>
      </c>
      <c r="L132" s="1063">
        <f t="shared" si="4"/>
        <v>0</v>
      </c>
      <c r="M132" s="1063">
        <f t="shared" si="4"/>
        <v>0</v>
      </c>
      <c r="N132" s="1017"/>
      <c r="O132" s="1018"/>
      <c r="U132" s="114"/>
      <c r="AB132" s="114"/>
      <c r="AC132" s="114"/>
      <c r="AD132" s="114"/>
      <c r="AE132" s="114"/>
      <c r="AL132" s="835" t="s">
        <v>174</v>
      </c>
      <c r="AM132" s="836"/>
      <c r="AN132" s="836"/>
      <c r="AO132" s="836"/>
      <c r="AP132" s="837" t="s">
        <v>178</v>
      </c>
      <c r="BE132" s="136"/>
      <c r="BF132" s="136"/>
      <c r="BG132" s="136"/>
      <c r="BH132" s="136"/>
      <c r="BL132" s="968">
        <v>6</v>
      </c>
      <c r="BM132" s="1762" t="b">
        <f>AND(BO132&gt;=10,$BA$139&gt;=10,$BB$139&gt;=10,$BA$171&gt;=10,$BB$171&gt;=10,$BA$195&gt;=10,$BB$195&gt;=10)</f>
        <v>1</v>
      </c>
      <c r="BN132" s="84" t="str">
        <f>IF(BM132=TRUE,"O K","OVERLOAD")</f>
        <v>O K</v>
      </c>
      <c r="BO132" s="982">
        <f>SUM(I132:M132)</f>
        <v>56.939501779359432</v>
      </c>
      <c r="BP132" s="788" t="s">
        <v>185</v>
      </c>
      <c r="BQ132" s="789">
        <v>-10</v>
      </c>
      <c r="BR132" s="789">
        <v>-9</v>
      </c>
      <c r="BS132" s="789">
        <v>-8</v>
      </c>
      <c r="BT132" s="789">
        <v>-7</v>
      </c>
      <c r="BU132" s="789">
        <v>-6</v>
      </c>
      <c r="BV132" s="789">
        <v>-5</v>
      </c>
      <c r="BW132" s="789">
        <v>-4</v>
      </c>
      <c r="BX132" s="789">
        <v>-3</v>
      </c>
      <c r="BY132" s="789">
        <v>-2</v>
      </c>
      <c r="BZ132" s="789">
        <v>-1</v>
      </c>
      <c r="CA132" s="789">
        <v>0</v>
      </c>
      <c r="CB132" s="789">
        <v>1</v>
      </c>
      <c r="CC132" s="789">
        <v>2</v>
      </c>
      <c r="CD132" s="789">
        <v>3</v>
      </c>
      <c r="CE132" s="789">
        <v>4</v>
      </c>
      <c r="CF132" s="789">
        <v>5</v>
      </c>
      <c r="CG132" s="789">
        <v>6</v>
      </c>
      <c r="CH132" s="789">
        <v>7</v>
      </c>
      <c r="CI132" s="789">
        <v>8</v>
      </c>
      <c r="CJ132" s="789">
        <v>9</v>
      </c>
      <c r="CK132" s="789">
        <v>10</v>
      </c>
      <c r="CL132" s="789">
        <v>11</v>
      </c>
      <c r="CM132" s="789">
        <v>12</v>
      </c>
      <c r="CN132" s="789">
        <v>13</v>
      </c>
      <c r="CO132" s="789">
        <v>14</v>
      </c>
      <c r="CP132" s="789">
        <v>15</v>
      </c>
      <c r="CQ132" s="789">
        <v>16</v>
      </c>
      <c r="CR132" s="789">
        <v>17</v>
      </c>
      <c r="CS132" s="789">
        <v>18</v>
      </c>
      <c r="CT132" s="789">
        <v>19</v>
      </c>
      <c r="CU132" s="789">
        <v>20</v>
      </c>
      <c r="CV132" s="789">
        <v>21</v>
      </c>
      <c r="CW132" s="789">
        <v>22</v>
      </c>
      <c r="CX132" s="789">
        <v>23</v>
      </c>
      <c r="CY132" s="789">
        <v>24</v>
      </c>
      <c r="CZ132" s="789">
        <v>25</v>
      </c>
      <c r="DA132" s="791">
        <v>26</v>
      </c>
      <c r="DB132" s="340"/>
      <c r="DC132" s="78"/>
      <c r="DD132" s="78"/>
    </row>
    <row r="133" spans="2:108" ht="54" customHeight="1" thickBot="1" x14ac:dyDescent="0.3">
      <c r="B133" s="4">
        <v>0</v>
      </c>
      <c r="C133" s="213"/>
      <c r="D133" s="341" t="str">
        <f>IF(DD139&lt;-(+COS(($B$133*-1)*3.14159265358979/180)*365.5)," ","USE EXBAR AR AT THE BACK")</f>
        <v xml:space="preserve"> </v>
      </c>
      <c r="E133" s="397"/>
      <c r="F133" s="397"/>
      <c r="G133" s="397"/>
      <c r="U133" s="114"/>
      <c r="AB133" s="114"/>
      <c r="AC133" s="114"/>
      <c r="AD133" s="114"/>
      <c r="AE133" s="114"/>
      <c r="AL133" s="838" t="s">
        <v>175</v>
      </c>
      <c r="AM133" s="835" t="s">
        <v>176</v>
      </c>
      <c r="AN133" s="835" t="s">
        <v>177</v>
      </c>
      <c r="AO133" s="839" t="s">
        <v>181</v>
      </c>
      <c r="AP133" s="840" t="s">
        <v>179</v>
      </c>
      <c r="BE133" s="136"/>
      <c r="BF133" s="136"/>
      <c r="BG133" s="136"/>
      <c r="BH133" s="136"/>
      <c r="BN133" s="86"/>
      <c r="BO133" s="1091"/>
      <c r="BP133" s="136"/>
      <c r="BQ133" s="340"/>
      <c r="BR133" s="340"/>
      <c r="BS133" s="340"/>
      <c r="BT133" s="340"/>
      <c r="BU133" s="340"/>
      <c r="BV133" s="340"/>
      <c r="BW133" s="340"/>
      <c r="BX133" s="340"/>
      <c r="BY133" s="340"/>
      <c r="BZ133" s="340"/>
      <c r="CA133" s="340"/>
      <c r="CB133" s="950"/>
      <c r="CC133" s="340"/>
      <c r="CD133" s="340"/>
      <c r="CE133" s="340"/>
      <c r="CF133" s="340"/>
      <c r="CG133" s="340"/>
      <c r="CH133" s="340"/>
      <c r="CI133" s="340"/>
      <c r="CJ133" s="340"/>
      <c r="CK133" s="340"/>
      <c r="CL133" s="340"/>
      <c r="CM133" s="340"/>
      <c r="CN133" s="340"/>
      <c r="CO133" s="340"/>
      <c r="CP133" s="950"/>
      <c r="CQ133" s="340"/>
      <c r="CR133" s="340"/>
      <c r="CS133" s="340"/>
      <c r="CT133" s="340"/>
      <c r="CU133" s="340"/>
      <c r="CV133" s="340"/>
      <c r="CW133" s="340"/>
      <c r="CX133" s="340"/>
      <c r="CY133" s="340"/>
      <c r="CZ133" s="340"/>
      <c r="DA133" s="340"/>
      <c r="DB133" s="340"/>
      <c r="DC133" s="78"/>
      <c r="DD133" s="78"/>
    </row>
    <row r="134" spans="2:108" ht="12.75" customHeight="1" thickBot="1" x14ac:dyDescent="0.25">
      <c r="B134" s="399"/>
      <c r="C134" s="399"/>
      <c r="D134" s="397"/>
      <c r="E134" s="397"/>
      <c r="F134" s="397"/>
      <c r="G134" s="397"/>
      <c r="U134" s="114"/>
      <c r="AB134" s="114"/>
      <c r="AC134" s="114"/>
      <c r="AD134" s="114"/>
      <c r="AE134" s="114"/>
      <c r="BE134" s="136"/>
      <c r="BF134" s="136"/>
      <c r="BG134" s="136"/>
      <c r="BH134" s="136"/>
      <c r="BM134"/>
      <c r="BO134" s="1091"/>
      <c r="BP134" s="136"/>
      <c r="DB134" s="78"/>
      <c r="DC134" s="78"/>
      <c r="DD134" s="78"/>
    </row>
    <row r="135" spans="2:108" ht="63" customHeight="1" thickBot="1" x14ac:dyDescent="0.3">
      <c r="B135" s="345" t="s">
        <v>118</v>
      </c>
      <c r="C135" s="454"/>
      <c r="D135" s="455"/>
      <c r="E135" s="37"/>
      <c r="F135" s="37"/>
      <c r="G135" s="37"/>
      <c r="H135" s="456"/>
      <c r="I135" s="456"/>
      <c r="J135" s="456"/>
      <c r="K135" s="456"/>
      <c r="L135" s="456"/>
      <c r="M135" s="456"/>
      <c r="N135" s="456"/>
      <c r="O135" s="456"/>
      <c r="P135" s="456"/>
      <c r="Q135" s="456"/>
      <c r="R135" s="456"/>
      <c r="S135" s="457" t="s">
        <v>66</v>
      </c>
      <c r="T135" s="457">
        <f>SUM(V139:V158)/B136</f>
        <v>213.83080000000001</v>
      </c>
      <c r="U135" s="212"/>
      <c r="V135" s="187"/>
      <c r="AB135" s="187"/>
      <c r="AC135" s="187"/>
      <c r="AD135" s="187"/>
      <c r="AE135" s="187"/>
      <c r="AF135" s="187"/>
      <c r="AG135" s="187"/>
      <c r="AH135" s="187"/>
      <c r="AI135" s="187"/>
      <c r="AJ135" s="187"/>
      <c r="AK135" s="187"/>
      <c r="AL135" s="838">
        <v>6.8623010000000004</v>
      </c>
      <c r="AM135" s="835">
        <f>+$B$133-AL135</f>
        <v>-6.8623010000000004</v>
      </c>
      <c r="AN135" s="841">
        <f>COS(AM135*3.14159265358979/180)</f>
        <v>0.99283617366519983</v>
      </c>
      <c r="AO135" s="842">
        <f>+AN135*378.71303</f>
        <v>375.99999562235405</v>
      </c>
      <c r="AP135" s="813">
        <f>+((AP139*(AR139-31-31))+(AO135*31)+(AP165*31)+(AP189*31))/(AR139+31)</f>
        <v>261.92051600758691</v>
      </c>
      <c r="AQ135" s="1100" t="s">
        <v>267</v>
      </c>
      <c r="AR135" s="187"/>
      <c r="AS135" s="187"/>
      <c r="AT135" s="187"/>
      <c r="AU135" s="187"/>
      <c r="AV135" s="187"/>
      <c r="AW135" s="187"/>
      <c r="AX135" s="187"/>
      <c r="AY135" s="187"/>
      <c r="AZ135" s="187"/>
      <c r="BA135" s="187"/>
      <c r="BB135" s="187"/>
      <c r="BC135" s="126"/>
      <c r="BE135" s="136"/>
      <c r="BF135" s="136"/>
      <c r="BG135" s="136"/>
      <c r="BH135" s="136"/>
      <c r="BI135" s="136"/>
      <c r="BJ135" s="136"/>
      <c r="BK135" s="136"/>
      <c r="BL135" s="136"/>
      <c r="BM135" s="402"/>
      <c r="BN135" s="136"/>
      <c r="BO135" s="1091"/>
      <c r="BP135" s="78"/>
      <c r="BQ135" s="199"/>
      <c r="BR135" s="199"/>
      <c r="BS135" s="199"/>
      <c r="BT135" s="199"/>
      <c r="BU135" s="199"/>
      <c r="BV135" s="199"/>
      <c r="BW135" s="199"/>
      <c r="BX135" s="199"/>
      <c r="BY135" s="199"/>
      <c r="BZ135" s="199"/>
      <c r="CA135" s="199"/>
      <c r="CB135" s="199"/>
      <c r="CC135" s="199"/>
      <c r="CD135" s="199"/>
      <c r="CE135" s="199"/>
      <c r="CF135" s="199"/>
      <c r="CG135" s="199"/>
      <c r="CH135" s="199"/>
      <c r="CI135" s="199"/>
      <c r="CJ135" s="199"/>
      <c r="CK135" s="199"/>
      <c r="CL135" s="199"/>
      <c r="CM135" s="199"/>
      <c r="CN135" s="199"/>
      <c r="CO135" s="199"/>
      <c r="CP135" s="199"/>
      <c r="CQ135" s="199"/>
      <c r="CR135" s="199"/>
      <c r="CS135" s="199"/>
      <c r="CT135" s="199"/>
      <c r="CU135" s="199"/>
      <c r="CV135" s="199"/>
      <c r="CW135" s="199"/>
      <c r="CX135" s="199"/>
      <c r="CY135" s="199"/>
      <c r="CZ135" s="199"/>
      <c r="DA135" s="199"/>
      <c r="DB135" s="199"/>
    </row>
    <row r="136" spans="2:108" ht="28.5" customHeight="1" thickBot="1" x14ac:dyDescent="0.3">
      <c r="B136" s="27">
        <v>1</v>
      </c>
      <c r="C136" s="216"/>
      <c r="D136" s="556" t="s">
        <v>139</v>
      </c>
      <c r="E136" s="330"/>
      <c r="F136" s="330"/>
      <c r="G136" s="330"/>
      <c r="H136" s="460"/>
      <c r="I136" s="461"/>
      <c r="J136" s="461"/>
      <c r="K136" s="461"/>
      <c r="L136" s="461"/>
      <c r="M136" s="461"/>
      <c r="N136" s="461"/>
      <c r="O136" s="461"/>
      <c r="P136" s="461"/>
      <c r="Q136" s="461"/>
      <c r="R136" s="461"/>
      <c r="S136" s="462"/>
      <c r="T136" s="463"/>
      <c r="U136" s="401"/>
      <c r="V136" s="464"/>
      <c r="W136" s="1850" t="s">
        <v>93</v>
      </c>
      <c r="X136" s="1850"/>
      <c r="Y136" s="1850"/>
      <c r="Z136" s="1850"/>
      <c r="AA136" s="1850"/>
      <c r="AB136" s="464"/>
      <c r="AC136" s="464"/>
      <c r="AD136" s="464"/>
      <c r="AE136" s="464"/>
      <c r="AF136" s="464"/>
      <c r="AG136" s="464"/>
      <c r="AH136" s="464"/>
      <c r="AI136" s="464"/>
      <c r="AJ136" s="464"/>
      <c r="AK136" s="464"/>
      <c r="AL136" s="464"/>
      <c r="AM136" s="464"/>
      <c r="AN136" s="464"/>
      <c r="AO136" s="464"/>
      <c r="AP136" s="464"/>
      <c r="AQ136" s="464"/>
      <c r="AR136" s="464"/>
      <c r="AS136" s="464"/>
      <c r="AT136" s="464"/>
      <c r="AU136" s="464"/>
      <c r="AV136" s="464"/>
      <c r="AW136" s="464"/>
      <c r="AX136" s="464"/>
      <c r="AY136" s="464"/>
      <c r="AZ136" s="464"/>
      <c r="BA136" s="1848" t="s">
        <v>52</v>
      </c>
      <c r="BB136" s="1849"/>
      <c r="BC136" s="218"/>
      <c r="BE136" s="136"/>
      <c r="BF136" s="136"/>
      <c r="BG136" s="136"/>
      <c r="BH136" s="136"/>
      <c r="BI136" s="136"/>
      <c r="BJ136" s="136"/>
      <c r="BK136" s="136"/>
      <c r="BL136" s="136"/>
      <c r="BM136" s="402"/>
      <c r="BN136" s="136"/>
      <c r="BO136" s="1091"/>
      <c r="BP136" s="76"/>
      <c r="BQ136" s="76"/>
      <c r="BR136" s="76"/>
      <c r="BS136" s="76"/>
      <c r="BT136" s="76"/>
      <c r="BU136" s="76"/>
      <c r="BV136" s="202"/>
      <c r="BW136" s="202"/>
      <c r="BX136" s="202"/>
      <c r="BY136" s="202"/>
      <c r="BZ136" s="202"/>
      <c r="CA136" s="202"/>
      <c r="CB136" s="202"/>
      <c r="CC136" s="202"/>
      <c r="CD136" s="202"/>
      <c r="CE136" s="202"/>
      <c r="CF136" s="202"/>
      <c r="CG136" s="202"/>
      <c r="CH136" s="202"/>
      <c r="CI136" s="202"/>
      <c r="CJ136" s="78"/>
      <c r="CK136" s="78"/>
      <c r="CL136" s="78"/>
      <c r="CM136" s="78"/>
      <c r="CN136" s="78"/>
      <c r="CO136" s="78"/>
      <c r="CP136" s="78"/>
      <c r="CQ136" s="78"/>
      <c r="CR136" s="78"/>
      <c r="CS136" s="78"/>
      <c r="CT136" s="78"/>
      <c r="CU136" s="78"/>
      <c r="CV136" s="78"/>
      <c r="CW136" s="78"/>
      <c r="CX136" s="78"/>
      <c r="CY136" s="78"/>
      <c r="CZ136" s="78"/>
      <c r="DA136" s="78"/>
      <c r="DB136" s="78"/>
      <c r="DC136" s="78"/>
      <c r="DD136" s="78"/>
    </row>
    <row r="137" spans="2:108" ht="69" hidden="1" customHeight="1" thickBot="1" x14ac:dyDescent="0.25">
      <c r="C137" s="416"/>
      <c r="D137" s="354" t="s">
        <v>13</v>
      </c>
      <c r="H137" s="500" t="s">
        <v>4</v>
      </c>
      <c r="I137" s="500" t="s">
        <v>1</v>
      </c>
      <c r="J137" s="456" t="s">
        <v>0</v>
      </c>
      <c r="K137" s="456" t="s">
        <v>2</v>
      </c>
      <c r="L137" s="456" t="s">
        <v>3</v>
      </c>
      <c r="M137" s="456" t="s">
        <v>8</v>
      </c>
      <c r="N137" s="456" t="s">
        <v>5</v>
      </c>
      <c r="O137" s="456" t="s">
        <v>6</v>
      </c>
      <c r="P137" s="456" t="s">
        <v>7</v>
      </c>
      <c r="Q137" s="456" t="s">
        <v>9</v>
      </c>
      <c r="R137" s="466" t="s">
        <v>10</v>
      </c>
      <c r="S137" s="456" t="s">
        <v>11</v>
      </c>
      <c r="T137" s="467" t="s">
        <v>12</v>
      </c>
      <c r="V137" s="420"/>
      <c r="W137" s="356" t="s">
        <v>140</v>
      </c>
      <c r="X137" s="316" t="s">
        <v>94</v>
      </c>
      <c r="Y137" s="356" t="s">
        <v>141</v>
      </c>
      <c r="Z137" s="419" t="s">
        <v>100</v>
      </c>
      <c r="AA137" s="419" t="s">
        <v>96</v>
      </c>
      <c r="AB137" s="420"/>
      <c r="AC137" s="457" t="s">
        <v>99</v>
      </c>
      <c r="AD137" s="457"/>
      <c r="AE137" s="457"/>
      <c r="AF137" s="420"/>
      <c r="AG137" s="420"/>
      <c r="AH137" s="420"/>
      <c r="AI137" s="420"/>
      <c r="AJ137" s="420"/>
      <c r="AK137" s="420"/>
      <c r="AL137" s="420"/>
      <c r="AM137" s="420"/>
      <c r="AN137" s="420"/>
      <c r="AO137" s="420"/>
      <c r="AP137" s="420"/>
      <c r="AQ137" s="420"/>
      <c r="AR137" s="420"/>
      <c r="AS137" s="420"/>
      <c r="AT137" s="420"/>
      <c r="AU137" s="420" t="s">
        <v>135</v>
      </c>
      <c r="AV137" s="420"/>
      <c r="AW137" s="420"/>
      <c r="AX137" s="420"/>
      <c r="AY137" s="415"/>
      <c r="AZ137" s="420"/>
      <c r="BA137" s="420"/>
      <c r="BB137" s="420"/>
      <c r="BC137" s="231"/>
      <c r="BE137" s="136"/>
      <c r="BF137" s="136"/>
      <c r="BG137" s="136"/>
      <c r="BH137" s="136"/>
      <c r="BI137" s="136"/>
      <c r="BJ137" s="136"/>
      <c r="BK137" s="136"/>
      <c r="BL137" s="136"/>
      <c r="BM137" s="402"/>
      <c r="BN137" s="136"/>
      <c r="BO137" s="1091"/>
      <c r="BP137" s="126"/>
      <c r="BQ137" s="126"/>
      <c r="BR137" s="126"/>
      <c r="BS137" s="126"/>
      <c r="BT137" s="126"/>
      <c r="BU137" s="126"/>
      <c r="BV137" s="203"/>
      <c r="BW137" s="203"/>
      <c r="BX137" s="203"/>
      <c r="BY137" s="203"/>
      <c r="BZ137" s="203"/>
      <c r="CA137" s="203"/>
      <c r="CB137" s="203"/>
      <c r="CC137" s="203"/>
      <c r="CD137" s="203"/>
      <c r="CE137" s="203"/>
      <c r="CF137" s="203"/>
      <c r="CG137" s="203"/>
      <c r="CH137" s="203"/>
      <c r="CI137" s="203"/>
    </row>
    <row r="138" spans="2:108" ht="25.5" customHeight="1" thickBot="1" x14ac:dyDescent="0.25">
      <c r="B138" s="501"/>
      <c r="C138" s="237"/>
      <c r="D138" s="502" t="s">
        <v>22</v>
      </c>
      <c r="E138" s="330"/>
      <c r="F138" s="503"/>
      <c r="G138" s="240"/>
      <c r="H138" s="469"/>
      <c r="I138" s="470"/>
      <c r="R138" s="466"/>
      <c r="T138" s="471"/>
      <c r="V138" s="420"/>
      <c r="W138" s="420"/>
      <c r="X138" s="420"/>
      <c r="Y138" s="420"/>
      <c r="Z138" s="420"/>
      <c r="AA138" s="420"/>
      <c r="AB138" s="420"/>
      <c r="AC138" s="484">
        <f>SUM(AC139:AC158)</f>
        <v>213.83080000000001</v>
      </c>
      <c r="AD138" s="48"/>
      <c r="AE138" s="48"/>
      <c r="AF138" s="420" t="s">
        <v>38</v>
      </c>
      <c r="AG138" s="420"/>
      <c r="AH138" s="425" t="s">
        <v>31</v>
      </c>
      <c r="AI138" s="504"/>
      <c r="AJ138" s="368" t="s">
        <v>120</v>
      </c>
      <c r="AK138" s="426" t="s">
        <v>32</v>
      </c>
      <c r="AL138" s="472" t="s">
        <v>142</v>
      </c>
      <c r="AM138" s="368" t="s">
        <v>121</v>
      </c>
      <c r="AN138" s="427" t="s">
        <v>34</v>
      </c>
      <c r="AO138" s="472" t="s">
        <v>143</v>
      </c>
      <c r="AP138" s="428" t="s">
        <v>48</v>
      </c>
      <c r="AQ138" s="250" t="s">
        <v>36</v>
      </c>
      <c r="AR138" s="428" t="s">
        <v>144</v>
      </c>
      <c r="AS138" s="420" t="s">
        <v>37</v>
      </c>
      <c r="AT138" s="420" t="s">
        <v>39</v>
      </c>
      <c r="AU138" s="428" t="s">
        <v>145</v>
      </c>
      <c r="AV138" s="420"/>
      <c r="AW138" s="429" t="s">
        <v>41</v>
      </c>
      <c r="AX138" s="429" t="s">
        <v>42</v>
      </c>
      <c r="AY138" s="430" t="s">
        <v>23</v>
      </c>
      <c r="AZ138" s="430" t="s">
        <v>24</v>
      </c>
      <c r="BA138" s="557" t="s">
        <v>23</v>
      </c>
      <c r="BB138" s="557" t="s">
        <v>24</v>
      </c>
      <c r="BE138" s="136"/>
      <c r="BF138" s="136"/>
      <c r="BG138" s="136"/>
      <c r="BH138" s="136"/>
      <c r="BI138" s="136"/>
      <c r="BJ138" s="136"/>
      <c r="BL138" s="204" t="s">
        <v>59</v>
      </c>
      <c r="BM138" s="402"/>
      <c r="BN138" s="187"/>
      <c r="BO138" s="1091"/>
      <c r="BP138" s="64"/>
      <c r="BS138" s="126"/>
      <c r="BT138" s="126"/>
      <c r="BU138" s="126"/>
      <c r="BV138" s="203"/>
      <c r="BW138" s="203"/>
      <c r="BX138" s="203"/>
      <c r="BY138" s="203"/>
      <c r="BZ138" s="203"/>
      <c r="CA138" s="203"/>
      <c r="CB138" s="203"/>
      <c r="CC138" s="203"/>
      <c r="CD138" s="203"/>
      <c r="CE138" s="203"/>
      <c r="CF138" s="203"/>
      <c r="CG138" s="203"/>
      <c r="CH138" s="203"/>
      <c r="CI138" s="203"/>
      <c r="CR138" s="64"/>
      <c r="DD138" s="204" t="s">
        <v>58</v>
      </c>
    </row>
    <row r="139" spans="2:108" ht="21" customHeight="1" thickBot="1" x14ac:dyDescent="0.25">
      <c r="B139" s="255">
        <v>1</v>
      </c>
      <c r="C139" s="256">
        <f>+(B133*-1)+D139</f>
        <v>0</v>
      </c>
      <c r="D139" s="25">
        <v>0</v>
      </c>
      <c r="E139" s="257" t="s">
        <v>119</v>
      </c>
      <c r="F139" s="258"/>
      <c r="G139" s="258">
        <f>+D139</f>
        <v>0</v>
      </c>
      <c r="H139" s="506">
        <v>279.06049999999999</v>
      </c>
      <c r="I139" s="507">
        <v>79.962900599999998</v>
      </c>
      <c r="J139" s="508">
        <f>+I139-C139</f>
        <v>79.962900599999998</v>
      </c>
      <c r="K139" s="508">
        <f>+J139/2</f>
        <v>39.981450299999999</v>
      </c>
      <c r="L139" s="508">
        <f t="shared" ref="L139:L158" si="5">SIN(K139*3.14159265358979/180)</f>
        <v>0.64253956655634092</v>
      </c>
      <c r="M139" s="508">
        <f t="shared" ref="M139:M158" si="6">+L139*H139</f>
        <v>179.30741271299578</v>
      </c>
      <c r="N139" s="508">
        <f t="shared" ref="N139:N158" si="7">+M139*2</f>
        <v>358.61482542599157</v>
      </c>
      <c r="O139" s="508">
        <f>+C139/2</f>
        <v>0</v>
      </c>
      <c r="P139" s="508">
        <f t="shared" ref="P139:P158" si="8">SIN(O139*3.14159265358979/180)</f>
        <v>0</v>
      </c>
      <c r="Q139" s="508">
        <f t="shared" ref="Q139:Q158" si="9">+P139*N139</f>
        <v>0</v>
      </c>
      <c r="R139" s="509">
        <v>213.83080000000001</v>
      </c>
      <c r="S139" s="508">
        <f>+R139+Q139</f>
        <v>213.83080000000001</v>
      </c>
      <c r="T139" s="510">
        <f t="shared" ref="T139:T158" si="10">+S139</f>
        <v>213.83080000000001</v>
      </c>
      <c r="U139" s="456"/>
      <c r="V139" s="511">
        <f t="shared" ref="V139:V158" si="11">IF(B139&lt;($B$136+1),T139,0)</f>
        <v>213.83080000000001</v>
      </c>
      <c r="W139" s="512">
        <v>39.981450000000002</v>
      </c>
      <c r="X139" s="511">
        <f>+W139+AI160</f>
        <v>39.981450000000002</v>
      </c>
      <c r="Y139" s="512">
        <v>279.06049999999999</v>
      </c>
      <c r="Z139" s="419">
        <f>+COS(X139*3.14159265358979/180)*Y139</f>
        <v>213.83080883710866</v>
      </c>
      <c r="AA139" s="513">
        <f>+AC138-Z139</f>
        <v>-8.8371086519600794E-6</v>
      </c>
      <c r="AB139" s="477" t="str">
        <f>IF(AZ139&lt;0,"use the locking pin"," ")</f>
        <v xml:space="preserve"> </v>
      </c>
      <c r="AC139" s="514">
        <f>IF(AD139=1,AF139)</f>
        <v>213.83080000000001</v>
      </c>
      <c r="AD139" s="514">
        <f t="shared" ref="AD139:AD158" si="12">MAX(AE$139:AE$158)</f>
        <v>1</v>
      </c>
      <c r="AE139" s="514">
        <f>IF(V139=0,0,1)</f>
        <v>1</v>
      </c>
      <c r="AF139" s="511">
        <f>SUM(V139:V158)/($B$136)</f>
        <v>213.83080000000001</v>
      </c>
      <c r="AG139" s="511"/>
      <c r="AH139" s="515">
        <f>C139</f>
        <v>0</v>
      </c>
      <c r="AI139" s="516">
        <f>IF(B139&lt;($B$136+1),AH139)</f>
        <v>0</v>
      </c>
      <c r="AJ139" s="287">
        <f>66.2555484-AH139</f>
        <v>66.255548399999995</v>
      </c>
      <c r="AK139" s="517">
        <f t="shared" ref="AK139:AK158" si="13">SIN(AJ139*3.14159265358979/180)</f>
        <v>0.91535047595051022</v>
      </c>
      <c r="AL139" s="289">
        <f>+AK139*304.3209</f>
        <v>278.56028065668761</v>
      </c>
      <c r="AM139" s="287">
        <f>50.0185497+AH139</f>
        <v>50.018549700000001</v>
      </c>
      <c r="AN139" s="518">
        <f>SIN(AM139*3.14159265358979/180)</f>
        <v>0.76625250760411079</v>
      </c>
      <c r="AO139" s="291">
        <f>+AN139*279.0605</f>
        <v>213.83080789825695</v>
      </c>
      <c r="AP139" s="519">
        <f t="shared" ref="AP139:AP158" si="14">+((AF139*AQ139)+($AG$171*$AQ$171)+($AQ$195*$AG$195))/AR139</f>
        <v>192.57808722214025</v>
      </c>
      <c r="AQ139" s="269">
        <f>40.5*B136</f>
        <v>40.5</v>
      </c>
      <c r="AR139" s="519">
        <f t="shared" ref="AR139:AR158" si="15">+AQ139+$AQ$195+$AQ$171+31+31</f>
        <v>215</v>
      </c>
      <c r="AS139" s="520">
        <f>+AO139+AL139</f>
        <v>492.39108855494453</v>
      </c>
      <c r="AT139" s="521">
        <f>+V139-AO139</f>
        <v>-7.8982569391428115E-6</v>
      </c>
      <c r="AU139" s="522">
        <f>+AP139-AT139</f>
        <v>192.57809512039719</v>
      </c>
      <c r="AV139" s="521"/>
      <c r="AW139" s="523">
        <f>+((AS139-AU139)/AS139)*AR139</f>
        <v>130.9117794507664</v>
      </c>
      <c r="AX139" s="523">
        <f>+(AU139/AS139)*AR139</f>
        <v>84.088220549233611</v>
      </c>
      <c r="AY139" s="448">
        <f t="shared" ref="AY139:AY158" si="16">2*$C$18/AW139</f>
        <v>88.609291300348985</v>
      </c>
      <c r="AZ139" s="448">
        <f t="shared" ref="AZ139:AZ158" si="17">$D$18/AX139</f>
        <v>118.92272109795694</v>
      </c>
      <c r="BA139" s="451">
        <f>ABS(AY139)</f>
        <v>88.609291300348985</v>
      </c>
      <c r="BB139" s="451">
        <f>ABS(AZ139)</f>
        <v>118.92272109795694</v>
      </c>
      <c r="BC139" s="91"/>
      <c r="BE139" s="136"/>
      <c r="BF139" s="136"/>
      <c r="BG139" s="136"/>
      <c r="BH139" s="136"/>
      <c r="BI139" s="136"/>
      <c r="BJ139" s="136"/>
      <c r="BK139" s="212"/>
      <c r="BL139" s="204">
        <f>-+BH164</f>
        <v>687.42050230498398</v>
      </c>
      <c r="BM139" s="402"/>
      <c r="BN139" s="187"/>
      <c r="BO139" s="1091"/>
      <c r="BP139" s="64"/>
      <c r="BS139" s="126"/>
      <c r="BT139" s="126"/>
      <c r="BU139" s="126"/>
      <c r="BV139" s="203"/>
      <c r="BW139" s="203"/>
      <c r="BX139" s="203"/>
      <c r="BY139" s="203"/>
      <c r="BZ139" s="203"/>
      <c r="CA139" s="203"/>
      <c r="CB139" s="203"/>
      <c r="CC139" s="203"/>
      <c r="CD139" s="203"/>
      <c r="CE139" s="203"/>
      <c r="CF139" s="203"/>
      <c r="CG139" s="203"/>
      <c r="CH139" s="203"/>
      <c r="CI139" s="203"/>
      <c r="CP139" s="212"/>
      <c r="CR139" s="64"/>
      <c r="DD139" s="204">
        <f>+-BH203</f>
        <v>-860.57949769501602</v>
      </c>
    </row>
    <row r="140" spans="2:108" ht="21" customHeight="1" thickBot="1" x14ac:dyDescent="0.25">
      <c r="B140" s="277">
        <v>2</v>
      </c>
      <c r="C140" s="278"/>
      <c r="D140" s="25">
        <v>0</v>
      </c>
      <c r="E140" s="279" t="s">
        <v>130</v>
      </c>
      <c r="F140" s="258"/>
      <c r="G140" s="258" t="e">
        <f>+D140+BC140</f>
        <v>#DIV/0!</v>
      </c>
      <c r="H140" s="506">
        <v>279.06049999999999</v>
      </c>
      <c r="I140" s="507">
        <v>79.962900599999998</v>
      </c>
      <c r="J140" s="474">
        <f t="shared" ref="J140:J158" si="18">+I140-D140</f>
        <v>79.962900599999998</v>
      </c>
      <c r="K140" s="474">
        <f t="shared" ref="K140:K158" si="19">+J140/2</f>
        <v>39.981450299999999</v>
      </c>
      <c r="L140" s="474">
        <f t="shared" si="5"/>
        <v>0.64253956655634092</v>
      </c>
      <c r="M140" s="474">
        <f t="shared" si="6"/>
        <v>179.30741271299578</v>
      </c>
      <c r="N140" s="474">
        <f t="shared" si="7"/>
        <v>358.61482542599157</v>
      </c>
      <c r="O140" s="474">
        <f>+C139+(D140/2)</f>
        <v>0</v>
      </c>
      <c r="P140" s="474">
        <f t="shared" si="8"/>
        <v>0</v>
      </c>
      <c r="Q140" s="474">
        <f t="shared" si="9"/>
        <v>0</v>
      </c>
      <c r="R140" s="474">
        <f t="shared" ref="R140:R158" si="20">+T139</f>
        <v>213.83080000000001</v>
      </c>
      <c r="S140" s="474">
        <f>+R140+Q140</f>
        <v>213.83080000000001</v>
      </c>
      <c r="T140" s="476">
        <f t="shared" si="10"/>
        <v>213.83080000000001</v>
      </c>
      <c r="V140" s="437">
        <f t="shared" si="11"/>
        <v>0</v>
      </c>
      <c r="W140" s="437"/>
      <c r="X140" s="437"/>
      <c r="Y140" s="437"/>
      <c r="Z140" s="437"/>
      <c r="AA140" s="437"/>
      <c r="AB140" s="477" t="e">
        <f>IF(AZ140&lt;0,"use the locking pin"," ")</f>
        <v>#DIV/0!</v>
      </c>
      <c r="AC140" s="514" t="b">
        <f>IF(AD140=2,AF140)</f>
        <v>0</v>
      </c>
      <c r="AD140" s="514">
        <f t="shared" si="12"/>
        <v>1</v>
      </c>
      <c r="AE140" s="514">
        <f>IF(V140=0,0,2)</f>
        <v>0</v>
      </c>
      <c r="AF140" s="437" t="e">
        <f>SUM(V140:V158)/($B$136-B139)</f>
        <v>#DIV/0!</v>
      </c>
      <c r="AG140" s="437"/>
      <c r="AH140" s="450">
        <f>SUM(D140)+$C$139</f>
        <v>0</v>
      </c>
      <c r="AI140" s="516" t="b">
        <f t="shared" ref="AI140:AI158" si="21">IF(B140&lt;($B$136+1),AH140)</f>
        <v>0</v>
      </c>
      <c r="AJ140" s="287">
        <f t="shared" ref="AJ140:AJ158" si="22">66.2555484-AH140</f>
        <v>66.255548399999995</v>
      </c>
      <c r="AK140" s="441">
        <f t="shared" si="13"/>
        <v>0.91535047595051022</v>
      </c>
      <c r="AL140" s="289">
        <f t="shared" ref="AL140:AL158" si="23">+AK140*304.3209</f>
        <v>278.56028065668761</v>
      </c>
      <c r="AM140" s="287">
        <f t="shared" ref="AM140:AM158" si="24">50.0185497+AH140</f>
        <v>50.018549700000001</v>
      </c>
      <c r="AN140" s="442">
        <f t="shared" ref="AN140:AN158" si="25">SIN(AM140*3.14159265358979/180)</f>
        <v>0.76625250760411079</v>
      </c>
      <c r="AO140" s="291">
        <f t="shared" ref="AO140:AO158" si="26">+AN140*279.0605</f>
        <v>213.83080789825695</v>
      </c>
      <c r="AP140" s="519" t="e">
        <f t="shared" si="14"/>
        <v>#DIV/0!</v>
      </c>
      <c r="AQ140" s="291">
        <f>40.5*($B$136-B139)</f>
        <v>0</v>
      </c>
      <c r="AR140" s="443">
        <f t="shared" si="15"/>
        <v>174.5</v>
      </c>
      <c r="AS140" s="444">
        <f t="shared" ref="AS140:AS158" si="27">+AO140+AL140</f>
        <v>492.39108855494453</v>
      </c>
      <c r="AT140" s="445">
        <f>+V140-AO140</f>
        <v>-213.83080789825695</v>
      </c>
      <c r="AU140" s="446" t="e">
        <f t="shared" ref="AU140:AU158" si="28">+AP140-AT140</f>
        <v>#DIV/0!</v>
      </c>
      <c r="AV140" s="445"/>
      <c r="AW140" s="447" t="e">
        <f t="shared" ref="AW140:AW158" si="29">+((AS140-AU140)/AS140)*AR140</f>
        <v>#DIV/0!</v>
      </c>
      <c r="AX140" s="447" t="e">
        <f t="shared" ref="AX140:AX158" si="30">+(AU140/AS140)*AR140</f>
        <v>#DIV/0!</v>
      </c>
      <c r="AY140" s="448" t="e">
        <f t="shared" si="16"/>
        <v>#DIV/0!</v>
      </c>
      <c r="AZ140" s="448" t="e">
        <f t="shared" si="17"/>
        <v>#DIV/0!</v>
      </c>
      <c r="BA140" s="451" t="e">
        <f t="shared" ref="BA140:BB158" si="31">ABS(AY140)</f>
        <v>#DIV/0!</v>
      </c>
      <c r="BB140" s="451" t="e">
        <f t="shared" si="31"/>
        <v>#DIV/0!</v>
      </c>
      <c r="BC140" t="e">
        <f t="shared" ref="BC140:BC158" si="32">IF(AZ140&lt;0,0.3,0)</f>
        <v>#DIV/0!</v>
      </c>
      <c r="BM140" s="402"/>
      <c r="BN140" s="136"/>
      <c r="BO140" s="1091"/>
      <c r="BP140" s="126"/>
      <c r="BQ140" s="126"/>
      <c r="BR140" s="126"/>
      <c r="BS140" s="126"/>
      <c r="BT140" s="126"/>
      <c r="BU140" s="126"/>
      <c r="BV140" s="203"/>
      <c r="BW140" s="203"/>
      <c r="BX140" s="203"/>
      <c r="BY140" s="203"/>
      <c r="BZ140" s="203"/>
      <c r="CA140" s="203"/>
      <c r="CB140" s="203"/>
      <c r="CC140" s="203"/>
      <c r="CD140" s="203"/>
      <c r="CE140" s="203"/>
      <c r="CF140" s="203"/>
      <c r="CG140" s="203"/>
      <c r="CH140" s="203"/>
      <c r="CI140" s="203"/>
    </row>
    <row r="141" spans="2:108" ht="21" customHeight="1" thickBot="1" x14ac:dyDescent="0.35">
      <c r="B141" s="277">
        <v>3</v>
      </c>
      <c r="C141" s="278"/>
      <c r="D141" s="25">
        <v>0</v>
      </c>
      <c r="E141" s="279" t="s">
        <v>130</v>
      </c>
      <c r="F141" s="258"/>
      <c r="G141" s="258">
        <f>+D141+BC141</f>
        <v>0</v>
      </c>
      <c r="H141" s="506">
        <v>279.06049999999999</v>
      </c>
      <c r="I141" s="507">
        <v>79.962900599999998</v>
      </c>
      <c r="J141" s="474">
        <f t="shared" si="18"/>
        <v>79.962900599999998</v>
      </c>
      <c r="K141" s="474">
        <f t="shared" si="19"/>
        <v>39.981450299999999</v>
      </c>
      <c r="L141" s="474">
        <f t="shared" si="5"/>
        <v>0.64253956655634092</v>
      </c>
      <c r="M141" s="474">
        <f t="shared" si="6"/>
        <v>179.30741271299578</v>
      </c>
      <c r="N141" s="474">
        <f t="shared" si="7"/>
        <v>358.61482542599157</v>
      </c>
      <c r="O141" s="474">
        <f>+C139+D140+(D141/2)</f>
        <v>0</v>
      </c>
      <c r="P141" s="474">
        <f t="shared" si="8"/>
        <v>0</v>
      </c>
      <c r="Q141" s="474">
        <f t="shared" si="9"/>
        <v>0</v>
      </c>
      <c r="R141" s="474">
        <f t="shared" si="20"/>
        <v>213.83080000000001</v>
      </c>
      <c r="S141" s="474">
        <f t="shared" ref="S141:S158" si="33">+S140+Q141</f>
        <v>213.83080000000001</v>
      </c>
      <c r="T141" s="476">
        <f t="shared" si="10"/>
        <v>213.83080000000001</v>
      </c>
      <c r="V141" s="437">
        <f t="shared" si="11"/>
        <v>0</v>
      </c>
      <c r="W141" s="437"/>
      <c r="X141" s="437"/>
      <c r="Y141" s="437"/>
      <c r="Z141" s="437"/>
      <c r="AA141" s="437"/>
      <c r="AB141" s="477" t="str">
        <f t="shared" ref="AB141:AB158" si="34">IF(AZ141&lt;0,"use the locking pin"," ")</f>
        <v xml:space="preserve"> </v>
      </c>
      <c r="AC141" s="514" t="b">
        <f>IF(AD141=3,AF141)</f>
        <v>0</v>
      </c>
      <c r="AD141" s="514">
        <f t="shared" si="12"/>
        <v>1</v>
      </c>
      <c r="AE141" s="514">
        <f>IF(V141=0,0,3)</f>
        <v>0</v>
      </c>
      <c r="AF141" s="437">
        <f>SUM(V141:V158)/($B$136-B140)</f>
        <v>0</v>
      </c>
      <c r="AG141" s="437"/>
      <c r="AH141" s="450">
        <f>SUM(D140:D141)+$C$139</f>
        <v>0</v>
      </c>
      <c r="AI141" s="516" t="b">
        <f t="shared" si="21"/>
        <v>0</v>
      </c>
      <c r="AJ141" s="287">
        <f t="shared" si="22"/>
        <v>66.255548399999995</v>
      </c>
      <c r="AK141" s="441">
        <f t="shared" si="13"/>
        <v>0.91535047595051022</v>
      </c>
      <c r="AL141" s="289">
        <f t="shared" si="23"/>
        <v>278.56028065668761</v>
      </c>
      <c r="AM141" s="287">
        <f t="shared" si="24"/>
        <v>50.018549700000001</v>
      </c>
      <c r="AN141" s="442">
        <f t="shared" si="25"/>
        <v>0.76625250760411079</v>
      </c>
      <c r="AO141" s="291">
        <f t="shared" si="26"/>
        <v>213.83080789825695</v>
      </c>
      <c r="AP141" s="519">
        <f t="shared" si="14"/>
        <v>244.35926382656834</v>
      </c>
      <c r="AQ141" s="291">
        <f t="shared" ref="AQ141:AQ158" si="35">40.5*($B$136-B140)</f>
        <v>-40.5</v>
      </c>
      <c r="AR141" s="443">
        <f t="shared" si="15"/>
        <v>134</v>
      </c>
      <c r="AS141" s="444">
        <f t="shared" si="27"/>
        <v>492.39108855494453</v>
      </c>
      <c r="AT141" s="445">
        <f>+V141-AO141</f>
        <v>-213.83080789825695</v>
      </c>
      <c r="AU141" s="446">
        <f t="shared" si="28"/>
        <v>458.19007172482532</v>
      </c>
      <c r="AV141" s="445"/>
      <c r="AW141" s="447">
        <f t="shared" si="29"/>
        <v>9.3075125885926315</v>
      </c>
      <c r="AX141" s="447">
        <f t="shared" si="30"/>
        <v>124.69248741140737</v>
      </c>
      <c r="AY141" s="448">
        <f t="shared" si="16"/>
        <v>1246.3050562206126</v>
      </c>
      <c r="AZ141" s="448">
        <f t="shared" si="17"/>
        <v>80.197293418377669</v>
      </c>
      <c r="BA141" s="451">
        <f t="shared" si="31"/>
        <v>1246.3050562206126</v>
      </c>
      <c r="BB141" s="451">
        <f t="shared" si="31"/>
        <v>80.197293418377669</v>
      </c>
      <c r="BC141">
        <f t="shared" si="32"/>
        <v>0</v>
      </c>
      <c r="BM141" s="214"/>
      <c r="BN141" s="214"/>
      <c r="BO141" s="214"/>
      <c r="BP141" s="126"/>
      <c r="BQ141" s="126"/>
      <c r="BR141" s="126"/>
      <c r="BS141" s="126"/>
      <c r="BT141" s="126"/>
      <c r="BU141" s="126"/>
      <c r="BV141" s="203"/>
      <c r="BW141" s="203"/>
      <c r="BX141" s="203"/>
      <c r="BY141" s="203"/>
      <c r="BZ141" s="203"/>
      <c r="CA141" s="203"/>
      <c r="CB141" s="203"/>
      <c r="CC141" s="203"/>
      <c r="CD141" s="203"/>
      <c r="CE141" s="203"/>
      <c r="CF141" s="203"/>
      <c r="CG141" s="203"/>
      <c r="CH141" s="203"/>
      <c r="CI141" s="203"/>
    </row>
    <row r="142" spans="2:108" ht="21" customHeight="1" thickBot="1" x14ac:dyDescent="0.35">
      <c r="B142" s="277">
        <v>4</v>
      </c>
      <c r="C142" s="278"/>
      <c r="D142" s="25">
        <v>0</v>
      </c>
      <c r="E142" s="279" t="s">
        <v>130</v>
      </c>
      <c r="F142" s="258"/>
      <c r="G142" s="258">
        <f>+D142+BC142</f>
        <v>0</v>
      </c>
      <c r="H142" s="506">
        <v>279.06049999999999</v>
      </c>
      <c r="I142" s="507">
        <v>79.962900599999998</v>
      </c>
      <c r="J142" s="474">
        <f t="shared" si="18"/>
        <v>79.962900599999998</v>
      </c>
      <c r="K142" s="474">
        <f t="shared" si="19"/>
        <v>39.981450299999999</v>
      </c>
      <c r="L142" s="474">
        <f t="shared" si="5"/>
        <v>0.64253956655634092</v>
      </c>
      <c r="M142" s="474">
        <f t="shared" si="6"/>
        <v>179.30741271299578</v>
      </c>
      <c r="N142" s="474">
        <f t="shared" si="7"/>
        <v>358.61482542599157</v>
      </c>
      <c r="O142" s="474">
        <f>+C139+D140+D141+(D142/2)</f>
        <v>0</v>
      </c>
      <c r="P142" s="474">
        <f t="shared" si="8"/>
        <v>0</v>
      </c>
      <c r="Q142" s="474">
        <f t="shared" si="9"/>
        <v>0</v>
      </c>
      <c r="R142" s="474">
        <f t="shared" si="20"/>
        <v>213.83080000000001</v>
      </c>
      <c r="S142" s="474">
        <f t="shared" si="33"/>
        <v>213.83080000000001</v>
      </c>
      <c r="T142" s="476">
        <f t="shared" si="10"/>
        <v>213.83080000000001</v>
      </c>
      <c r="V142" s="437">
        <f t="shared" si="11"/>
        <v>0</v>
      </c>
      <c r="W142" s="437"/>
      <c r="X142" s="437"/>
      <c r="Y142" s="437"/>
      <c r="Z142" s="437"/>
      <c r="AA142" s="437"/>
      <c r="AB142" s="477" t="str">
        <f t="shared" si="34"/>
        <v xml:space="preserve"> </v>
      </c>
      <c r="AC142" s="514" t="b">
        <f>IF(AD142=4,AF142)</f>
        <v>0</v>
      </c>
      <c r="AD142" s="514">
        <f t="shared" si="12"/>
        <v>1</v>
      </c>
      <c r="AE142" s="514">
        <f>IF(V142=0,0,4)</f>
        <v>0</v>
      </c>
      <c r="AF142" s="437">
        <f>SUM(V142:V158)/($B$136-B141)</f>
        <v>0</v>
      </c>
      <c r="AG142" s="437"/>
      <c r="AH142" s="450">
        <f>SUM(D140:D142)+$C$139</f>
        <v>0</v>
      </c>
      <c r="AI142" s="516" t="b">
        <f t="shared" si="21"/>
        <v>0</v>
      </c>
      <c r="AJ142" s="287">
        <f t="shared" si="22"/>
        <v>66.255548399999995</v>
      </c>
      <c r="AK142" s="441">
        <f t="shared" si="13"/>
        <v>0.91535047595051022</v>
      </c>
      <c r="AL142" s="289">
        <f t="shared" si="23"/>
        <v>278.56028065668761</v>
      </c>
      <c r="AM142" s="287">
        <f t="shared" si="24"/>
        <v>50.018549700000001</v>
      </c>
      <c r="AN142" s="442">
        <f t="shared" si="25"/>
        <v>0.76625250760411079</v>
      </c>
      <c r="AO142" s="291">
        <f t="shared" si="26"/>
        <v>213.83080789825695</v>
      </c>
      <c r="AP142" s="519">
        <f t="shared" si="14"/>
        <v>350.20472035037602</v>
      </c>
      <c r="AQ142" s="291">
        <f t="shared" si="35"/>
        <v>-81</v>
      </c>
      <c r="AR142" s="443">
        <f t="shared" si="15"/>
        <v>93.5</v>
      </c>
      <c r="AS142" s="444">
        <f t="shared" si="27"/>
        <v>492.39108855494453</v>
      </c>
      <c r="AT142" s="445">
        <f>+V142-AO142</f>
        <v>-213.83080789825695</v>
      </c>
      <c r="AU142" s="446">
        <f t="shared" si="28"/>
        <v>564.035528248633</v>
      </c>
      <c r="AV142" s="445"/>
      <c r="AW142" s="447">
        <f t="shared" si="29"/>
        <v>-13.604541729256697</v>
      </c>
      <c r="AX142" s="447">
        <f t="shared" si="30"/>
        <v>107.1045417292567</v>
      </c>
      <c r="AY142" s="448">
        <f t="shared" si="16"/>
        <v>-852.65643127501232</v>
      </c>
      <c r="AZ142" s="448">
        <f t="shared" si="17"/>
        <v>93.366722256077765</v>
      </c>
      <c r="BA142" s="451">
        <f t="shared" si="31"/>
        <v>852.65643127501232</v>
      </c>
      <c r="BB142" s="451">
        <f t="shared" si="31"/>
        <v>93.366722256077765</v>
      </c>
      <c r="BC142">
        <f t="shared" si="32"/>
        <v>0</v>
      </c>
      <c r="BM142" s="214"/>
      <c r="BN142" s="214"/>
      <c r="BO142" s="214"/>
      <c r="BP142" s="126"/>
      <c r="BQ142" s="126"/>
      <c r="BR142" s="126"/>
      <c r="BS142" s="126"/>
      <c r="BT142" s="126"/>
      <c r="BU142" s="126"/>
      <c r="BV142" s="203"/>
      <c r="BW142" s="203"/>
      <c r="BX142" s="203"/>
      <c r="BY142" s="203"/>
      <c r="BZ142" s="203"/>
      <c r="CA142" s="203"/>
      <c r="CB142" s="203"/>
      <c r="CC142" s="203"/>
      <c r="CD142" s="203"/>
      <c r="CE142" s="203"/>
      <c r="CF142" s="203"/>
      <c r="CG142" s="203"/>
      <c r="CH142" s="203"/>
      <c r="CI142" s="203"/>
    </row>
    <row r="143" spans="2:108" ht="21" customHeight="1" thickBot="1" x14ac:dyDescent="0.35">
      <c r="B143" s="277">
        <v>5</v>
      </c>
      <c r="C143" s="278"/>
      <c r="D143" s="25">
        <v>0</v>
      </c>
      <c r="E143" s="279" t="s">
        <v>130</v>
      </c>
      <c r="F143" s="258"/>
      <c r="G143" s="258">
        <f>+D143+BC143</f>
        <v>0</v>
      </c>
      <c r="H143" s="506">
        <v>279.06049999999999</v>
      </c>
      <c r="I143" s="507">
        <v>79.962900599999998</v>
      </c>
      <c r="J143" s="474">
        <f t="shared" si="18"/>
        <v>79.962900599999998</v>
      </c>
      <c r="K143" s="474">
        <f t="shared" si="19"/>
        <v>39.981450299999999</v>
      </c>
      <c r="L143" s="474">
        <f t="shared" si="5"/>
        <v>0.64253956655634092</v>
      </c>
      <c r="M143" s="474">
        <f t="shared" si="6"/>
        <v>179.30741271299578</v>
      </c>
      <c r="N143" s="474">
        <f t="shared" si="7"/>
        <v>358.61482542599157</v>
      </c>
      <c r="O143" s="474">
        <f>+C139+D140+D141+D142+(D143/2)</f>
        <v>0</v>
      </c>
      <c r="P143" s="474">
        <f t="shared" si="8"/>
        <v>0</v>
      </c>
      <c r="Q143" s="474">
        <f t="shared" si="9"/>
        <v>0</v>
      </c>
      <c r="R143" s="474">
        <f t="shared" si="20"/>
        <v>213.83080000000001</v>
      </c>
      <c r="S143" s="474">
        <f t="shared" si="33"/>
        <v>213.83080000000001</v>
      </c>
      <c r="T143" s="476">
        <f t="shared" si="10"/>
        <v>213.83080000000001</v>
      </c>
      <c r="V143" s="437">
        <f t="shared" si="11"/>
        <v>0</v>
      </c>
      <c r="W143" s="437"/>
      <c r="X143" s="437"/>
      <c r="Y143" s="437"/>
      <c r="Z143" s="437"/>
      <c r="AA143" s="437"/>
      <c r="AB143" s="477" t="str">
        <f t="shared" si="34"/>
        <v xml:space="preserve"> </v>
      </c>
      <c r="AC143" s="514" t="b">
        <f>IF(AD143=5,AF143)</f>
        <v>0</v>
      </c>
      <c r="AD143" s="514">
        <f t="shared" si="12"/>
        <v>1</v>
      </c>
      <c r="AE143" s="514">
        <f>IF(V143=0,0,5)</f>
        <v>0</v>
      </c>
      <c r="AF143" s="437">
        <f>SUM(V143:V158)/($B$136-B142)</f>
        <v>0</v>
      </c>
      <c r="AG143" s="437"/>
      <c r="AH143" s="450">
        <f>SUM(D140:D143)+$C$139</f>
        <v>0</v>
      </c>
      <c r="AI143" s="516" t="b">
        <f t="shared" si="21"/>
        <v>0</v>
      </c>
      <c r="AJ143" s="287">
        <f t="shared" si="22"/>
        <v>66.255548399999995</v>
      </c>
      <c r="AK143" s="441">
        <f t="shared" si="13"/>
        <v>0.91535047595051022</v>
      </c>
      <c r="AL143" s="289">
        <f t="shared" si="23"/>
        <v>278.56028065668761</v>
      </c>
      <c r="AM143" s="287">
        <f t="shared" si="24"/>
        <v>50.018549700000001</v>
      </c>
      <c r="AN143" s="442">
        <f t="shared" si="25"/>
        <v>0.76625250760411079</v>
      </c>
      <c r="AO143" s="291">
        <f t="shared" si="26"/>
        <v>213.83080789825695</v>
      </c>
      <c r="AP143" s="519">
        <f t="shared" si="14"/>
        <v>617.81398778792754</v>
      </c>
      <c r="AQ143" s="291">
        <f t="shared" si="35"/>
        <v>-121.5</v>
      </c>
      <c r="AR143" s="443">
        <f t="shared" si="15"/>
        <v>53</v>
      </c>
      <c r="AS143" s="444">
        <f t="shared" si="27"/>
        <v>492.39108855494453</v>
      </c>
      <c r="AT143" s="445">
        <f t="shared" ref="AT143:AT158" si="36">+V143-AO143</f>
        <v>-213.83080789825695</v>
      </c>
      <c r="AU143" s="446">
        <f t="shared" si="28"/>
        <v>831.64479568618447</v>
      </c>
      <c r="AV143" s="445"/>
      <c r="AW143" s="447">
        <f t="shared" si="29"/>
        <v>-36.516596047106013</v>
      </c>
      <c r="AX143" s="447">
        <f t="shared" si="30"/>
        <v>89.51659604710602</v>
      </c>
      <c r="AY143" s="448">
        <f t="shared" si="16"/>
        <v>-317.66378183322797</v>
      </c>
      <c r="AZ143" s="448">
        <f t="shared" si="17"/>
        <v>111.71112890326765</v>
      </c>
      <c r="BA143" s="451">
        <f t="shared" si="31"/>
        <v>317.66378183322797</v>
      </c>
      <c r="BB143" s="451">
        <f t="shared" si="31"/>
        <v>111.71112890326765</v>
      </c>
      <c r="BC143">
        <f t="shared" si="32"/>
        <v>0</v>
      </c>
      <c r="BM143" s="214"/>
      <c r="BN143" s="214"/>
      <c r="BO143" s="214"/>
      <c r="BP143" s="126"/>
      <c r="BQ143" s="126"/>
      <c r="BR143" s="126"/>
      <c r="BS143" s="126"/>
      <c r="BT143" s="126"/>
      <c r="BU143" s="126"/>
      <c r="BV143" s="203"/>
      <c r="BW143" s="203"/>
      <c r="BX143" s="203"/>
      <c r="BY143" s="203"/>
      <c r="BZ143" s="203"/>
      <c r="CA143" s="203"/>
      <c r="CB143" s="203"/>
      <c r="CC143" s="203"/>
      <c r="CD143" s="203"/>
      <c r="CE143" s="203"/>
      <c r="CF143" s="203"/>
      <c r="CG143" s="203"/>
      <c r="CH143" s="203"/>
      <c r="CI143" s="203"/>
    </row>
    <row r="144" spans="2:108" ht="21" customHeight="1" thickBot="1" x14ac:dyDescent="0.35">
      <c r="B144" s="277">
        <v>6</v>
      </c>
      <c r="C144" s="278"/>
      <c r="D144" s="25">
        <v>0</v>
      </c>
      <c r="E144" s="279" t="s">
        <v>130</v>
      </c>
      <c r="F144" s="258"/>
      <c r="G144" s="258">
        <f t="shared" ref="G144:G158" si="37">+D144+BC144</f>
        <v>0</v>
      </c>
      <c r="H144" s="506">
        <v>279.06049999999999</v>
      </c>
      <c r="I144" s="507">
        <v>79.962900599999998</v>
      </c>
      <c r="J144" s="474">
        <f t="shared" si="18"/>
        <v>79.962900599999998</v>
      </c>
      <c r="K144" s="474">
        <f t="shared" si="19"/>
        <v>39.981450299999999</v>
      </c>
      <c r="L144" s="474">
        <f t="shared" si="5"/>
        <v>0.64253956655634092</v>
      </c>
      <c r="M144" s="474">
        <f t="shared" si="6"/>
        <v>179.30741271299578</v>
      </c>
      <c r="N144" s="474">
        <f t="shared" si="7"/>
        <v>358.61482542599157</v>
      </c>
      <c r="O144" s="474">
        <f>+C139+D140+D141+D142+D143+(D144/2)</f>
        <v>0</v>
      </c>
      <c r="P144" s="474">
        <f t="shared" si="8"/>
        <v>0</v>
      </c>
      <c r="Q144" s="474">
        <f t="shared" si="9"/>
        <v>0</v>
      </c>
      <c r="R144" s="474">
        <f t="shared" si="20"/>
        <v>213.83080000000001</v>
      </c>
      <c r="S144" s="474">
        <f t="shared" si="33"/>
        <v>213.83080000000001</v>
      </c>
      <c r="T144" s="476">
        <f t="shared" si="10"/>
        <v>213.83080000000001</v>
      </c>
      <c r="V144" s="437">
        <f t="shared" si="11"/>
        <v>0</v>
      </c>
      <c r="W144" s="437"/>
      <c r="X144" s="437"/>
      <c r="Y144" s="437"/>
      <c r="Z144" s="437"/>
      <c r="AA144" s="437"/>
      <c r="AB144" s="477" t="str">
        <f t="shared" si="34"/>
        <v xml:space="preserve"> </v>
      </c>
      <c r="AC144" s="514" t="b">
        <f>IF(AD144=6,AF144)</f>
        <v>0</v>
      </c>
      <c r="AD144" s="514">
        <f t="shared" si="12"/>
        <v>1</v>
      </c>
      <c r="AE144" s="514">
        <f>IF(V144=0,0,6)</f>
        <v>0</v>
      </c>
      <c r="AF144" s="437">
        <f>SUM(V144:V158)/($B$136-B143)</f>
        <v>0</v>
      </c>
      <c r="AG144" s="437"/>
      <c r="AH144" s="450">
        <f>SUM(D140:D144)+$C$139</f>
        <v>0</v>
      </c>
      <c r="AI144" s="516" t="b">
        <f t="shared" si="21"/>
        <v>0</v>
      </c>
      <c r="AJ144" s="287">
        <f t="shared" si="22"/>
        <v>66.255548399999995</v>
      </c>
      <c r="AK144" s="441">
        <f t="shared" si="13"/>
        <v>0.91535047595051022</v>
      </c>
      <c r="AL144" s="289">
        <f t="shared" si="23"/>
        <v>278.56028065668761</v>
      </c>
      <c r="AM144" s="287">
        <f t="shared" si="24"/>
        <v>50.018549700000001</v>
      </c>
      <c r="AN144" s="442">
        <f t="shared" si="25"/>
        <v>0.76625250760411079</v>
      </c>
      <c r="AO144" s="291">
        <f t="shared" si="26"/>
        <v>213.83080789825695</v>
      </c>
      <c r="AP144" s="519">
        <f t="shared" si="14"/>
        <v>2619.5313082208127</v>
      </c>
      <c r="AQ144" s="291">
        <f t="shared" si="35"/>
        <v>-162</v>
      </c>
      <c r="AR144" s="443">
        <f t="shared" si="15"/>
        <v>12.5</v>
      </c>
      <c r="AS144" s="444">
        <f t="shared" si="27"/>
        <v>492.39108855494453</v>
      </c>
      <c r="AT144" s="445">
        <f t="shared" si="36"/>
        <v>-213.83080789825695</v>
      </c>
      <c r="AU144" s="446">
        <f t="shared" si="28"/>
        <v>2833.3621161190695</v>
      </c>
      <c r="AV144" s="445"/>
      <c r="AW144" s="447">
        <f t="shared" si="29"/>
        <v>-59.428650364955345</v>
      </c>
      <c r="AX144" s="447">
        <f t="shared" si="30"/>
        <v>71.928650364955331</v>
      </c>
      <c r="AY144" s="448">
        <f t="shared" si="16"/>
        <v>-195.19204842720839</v>
      </c>
      <c r="AZ144" s="448">
        <f t="shared" si="17"/>
        <v>139.02665974214003</v>
      </c>
      <c r="BA144" s="451">
        <f t="shared" si="31"/>
        <v>195.19204842720839</v>
      </c>
      <c r="BB144" s="451">
        <f t="shared" si="31"/>
        <v>139.02665974214003</v>
      </c>
      <c r="BC144">
        <f t="shared" si="32"/>
        <v>0</v>
      </c>
      <c r="BM144" s="214"/>
      <c r="BN144" s="214"/>
      <c r="BO144" s="214"/>
      <c r="CI144" s="236"/>
      <c r="CJ144" s="236"/>
      <c r="CK144" s="236"/>
      <c r="CL144" s="236"/>
      <c r="CM144" s="236"/>
      <c r="CN144" s="236"/>
    </row>
    <row r="145" spans="1:129" ht="21" customHeight="1" thickBot="1" x14ac:dyDescent="0.35">
      <c r="B145" s="277">
        <v>7</v>
      </c>
      <c r="C145" s="278"/>
      <c r="D145" s="25">
        <v>0</v>
      </c>
      <c r="E145" s="279" t="s">
        <v>130</v>
      </c>
      <c r="F145" s="258"/>
      <c r="G145" s="258">
        <f t="shared" si="37"/>
        <v>0</v>
      </c>
      <c r="H145" s="506">
        <v>279.06049999999999</v>
      </c>
      <c r="I145" s="507">
        <v>79.962900599999998</v>
      </c>
      <c r="J145" s="474">
        <f t="shared" si="18"/>
        <v>79.962900599999998</v>
      </c>
      <c r="K145" s="474">
        <f t="shared" si="19"/>
        <v>39.981450299999999</v>
      </c>
      <c r="L145" s="474">
        <f t="shared" si="5"/>
        <v>0.64253956655634092</v>
      </c>
      <c r="M145" s="474">
        <f t="shared" si="6"/>
        <v>179.30741271299578</v>
      </c>
      <c r="N145" s="474">
        <f t="shared" si="7"/>
        <v>358.61482542599157</v>
      </c>
      <c r="O145" s="474">
        <f>+C139+D140+D141+D142+D143+D144+(D145/2)</f>
        <v>0</v>
      </c>
      <c r="P145" s="474">
        <f t="shared" si="8"/>
        <v>0</v>
      </c>
      <c r="Q145" s="474">
        <f t="shared" si="9"/>
        <v>0</v>
      </c>
      <c r="R145" s="474">
        <f t="shared" si="20"/>
        <v>213.83080000000001</v>
      </c>
      <c r="S145" s="474">
        <f t="shared" si="33"/>
        <v>213.83080000000001</v>
      </c>
      <c r="T145" s="476">
        <f t="shared" si="10"/>
        <v>213.83080000000001</v>
      </c>
      <c r="V145" s="437">
        <f t="shared" si="11"/>
        <v>0</v>
      </c>
      <c r="W145" s="437"/>
      <c r="X145" s="437"/>
      <c r="Y145" s="437"/>
      <c r="Z145" s="437"/>
      <c r="AA145" s="437"/>
      <c r="AB145" s="477" t="str">
        <f t="shared" si="34"/>
        <v xml:space="preserve"> </v>
      </c>
      <c r="AC145" s="514" t="b">
        <f>IF(AD145=7,AF145)</f>
        <v>0</v>
      </c>
      <c r="AD145" s="514">
        <f t="shared" si="12"/>
        <v>1</v>
      </c>
      <c r="AE145" s="514">
        <f>IF(V145=0,0,7)</f>
        <v>0</v>
      </c>
      <c r="AF145" s="437">
        <f>SUM(V145:V158)/($B$136-B144)</f>
        <v>0</v>
      </c>
      <c r="AG145" s="437"/>
      <c r="AH145" s="450">
        <f>SUM(D140:D145)+$C$139</f>
        <v>0</v>
      </c>
      <c r="AI145" s="516" t="b">
        <f t="shared" si="21"/>
        <v>0</v>
      </c>
      <c r="AJ145" s="287">
        <f t="shared" si="22"/>
        <v>66.255548399999995</v>
      </c>
      <c r="AK145" s="441">
        <f t="shared" si="13"/>
        <v>0.91535047595051022</v>
      </c>
      <c r="AL145" s="289">
        <f t="shared" si="23"/>
        <v>278.56028065668761</v>
      </c>
      <c r="AM145" s="287">
        <f t="shared" si="24"/>
        <v>50.018549700000001</v>
      </c>
      <c r="AN145" s="442">
        <f t="shared" si="25"/>
        <v>0.76625250760411079</v>
      </c>
      <c r="AO145" s="291">
        <f t="shared" si="26"/>
        <v>213.83080789825695</v>
      </c>
      <c r="AP145" s="519">
        <f t="shared" si="14"/>
        <v>-1169.4336197414343</v>
      </c>
      <c r="AQ145" s="291">
        <f t="shared" si="35"/>
        <v>-202.5</v>
      </c>
      <c r="AR145" s="443">
        <f t="shared" si="15"/>
        <v>-28</v>
      </c>
      <c r="AS145" s="444">
        <f t="shared" si="27"/>
        <v>492.39108855494453</v>
      </c>
      <c r="AT145" s="445">
        <f t="shared" si="36"/>
        <v>-213.83080789825695</v>
      </c>
      <c r="AU145" s="446">
        <f t="shared" si="28"/>
        <v>-955.60281184317739</v>
      </c>
      <c r="AV145" s="445"/>
      <c r="AW145" s="447">
        <f t="shared" si="29"/>
        <v>-82.340704682804684</v>
      </c>
      <c r="AX145" s="447">
        <f t="shared" si="30"/>
        <v>54.340704682804677</v>
      </c>
      <c r="AY145" s="448">
        <f t="shared" si="16"/>
        <v>-140.87807536607642</v>
      </c>
      <c r="AZ145" s="448">
        <f t="shared" si="17"/>
        <v>184.0241133855659</v>
      </c>
      <c r="BA145" s="451">
        <f t="shared" si="31"/>
        <v>140.87807536607642</v>
      </c>
      <c r="BB145" s="451">
        <f t="shared" si="31"/>
        <v>184.0241133855659</v>
      </c>
      <c r="BC145">
        <f t="shared" si="32"/>
        <v>0</v>
      </c>
      <c r="BM145" s="214"/>
      <c r="BN145" s="214"/>
      <c r="BO145" s="214"/>
    </row>
    <row r="146" spans="1:129" ht="21" customHeight="1" thickBot="1" x14ac:dyDescent="0.35">
      <c r="B146" s="277">
        <v>8</v>
      </c>
      <c r="C146" s="278"/>
      <c r="D146" s="25">
        <v>0</v>
      </c>
      <c r="E146" s="279" t="s">
        <v>130</v>
      </c>
      <c r="F146" s="258"/>
      <c r="G146" s="258">
        <f t="shared" si="37"/>
        <v>0</v>
      </c>
      <c r="H146" s="506">
        <v>279.06049999999999</v>
      </c>
      <c r="I146" s="507">
        <v>79.962900599999998</v>
      </c>
      <c r="J146" s="474">
        <f t="shared" si="18"/>
        <v>79.962900599999998</v>
      </c>
      <c r="K146" s="474">
        <f t="shared" si="19"/>
        <v>39.981450299999999</v>
      </c>
      <c r="L146" s="474">
        <f t="shared" si="5"/>
        <v>0.64253956655634092</v>
      </c>
      <c r="M146" s="474">
        <f t="shared" si="6"/>
        <v>179.30741271299578</v>
      </c>
      <c r="N146" s="474">
        <f t="shared" si="7"/>
        <v>358.61482542599157</v>
      </c>
      <c r="O146" s="474">
        <f>+C139+D140+D141+D142+D143+D144+D145+(D146/2)</f>
        <v>0</v>
      </c>
      <c r="P146" s="474">
        <f t="shared" si="8"/>
        <v>0</v>
      </c>
      <c r="Q146" s="474">
        <f t="shared" si="9"/>
        <v>0</v>
      </c>
      <c r="R146" s="474">
        <f t="shared" si="20"/>
        <v>213.83080000000001</v>
      </c>
      <c r="S146" s="474">
        <f t="shared" si="33"/>
        <v>213.83080000000001</v>
      </c>
      <c r="T146" s="476">
        <f t="shared" si="10"/>
        <v>213.83080000000001</v>
      </c>
      <c r="V146" s="437">
        <f t="shared" si="11"/>
        <v>0</v>
      </c>
      <c r="W146" s="437"/>
      <c r="X146" s="437"/>
      <c r="Y146" s="437"/>
      <c r="Z146" s="437"/>
      <c r="AA146" s="437"/>
      <c r="AB146" s="477" t="str">
        <f t="shared" si="34"/>
        <v xml:space="preserve"> </v>
      </c>
      <c r="AC146" s="514" t="b">
        <f>IF(AD146=8,AF146)</f>
        <v>0</v>
      </c>
      <c r="AD146" s="514">
        <f t="shared" si="12"/>
        <v>1</v>
      </c>
      <c r="AE146" s="514">
        <f>IF(V146=0,0,8)</f>
        <v>0</v>
      </c>
      <c r="AF146" s="437">
        <f>SUM(V146:V158)/($B$136-B145)</f>
        <v>0</v>
      </c>
      <c r="AG146" s="437"/>
      <c r="AH146" s="450">
        <f>SUM(D140:D146)+$C$139</f>
        <v>0</v>
      </c>
      <c r="AI146" s="516" t="b">
        <f t="shared" si="21"/>
        <v>0</v>
      </c>
      <c r="AJ146" s="287">
        <f t="shared" si="22"/>
        <v>66.255548399999995</v>
      </c>
      <c r="AK146" s="441">
        <f t="shared" si="13"/>
        <v>0.91535047595051022</v>
      </c>
      <c r="AL146" s="289">
        <f t="shared" si="23"/>
        <v>278.56028065668761</v>
      </c>
      <c r="AM146" s="287">
        <f t="shared" si="24"/>
        <v>50.018549700000001</v>
      </c>
      <c r="AN146" s="442">
        <f t="shared" si="25"/>
        <v>0.76625250760411079</v>
      </c>
      <c r="AO146" s="291">
        <f t="shared" si="26"/>
        <v>213.83080789825695</v>
      </c>
      <c r="AP146" s="519">
        <f t="shared" si="14"/>
        <v>-478.01666208408989</v>
      </c>
      <c r="AQ146" s="291">
        <f t="shared" si="35"/>
        <v>-243</v>
      </c>
      <c r="AR146" s="443">
        <f t="shared" si="15"/>
        <v>-68.5</v>
      </c>
      <c r="AS146" s="444">
        <f t="shared" si="27"/>
        <v>492.39108855494453</v>
      </c>
      <c r="AT146" s="445">
        <f t="shared" si="36"/>
        <v>-213.83080789825695</v>
      </c>
      <c r="AU146" s="446">
        <f t="shared" si="28"/>
        <v>-264.18585418583291</v>
      </c>
      <c r="AV146" s="445"/>
      <c r="AW146" s="447">
        <f t="shared" si="29"/>
        <v>-105.252759000654</v>
      </c>
      <c r="AX146" s="447">
        <f t="shared" si="30"/>
        <v>36.752759000653988</v>
      </c>
      <c r="AY146" s="448">
        <f t="shared" si="16"/>
        <v>-110.21088767780351</v>
      </c>
      <c r="AZ146" s="448">
        <f t="shared" si="17"/>
        <v>272.08841654097472</v>
      </c>
      <c r="BA146" s="451">
        <f t="shared" si="31"/>
        <v>110.21088767780351</v>
      </c>
      <c r="BB146" s="451">
        <f t="shared" si="31"/>
        <v>272.08841654097472</v>
      </c>
      <c r="BC146">
        <f t="shared" si="32"/>
        <v>0</v>
      </c>
      <c r="BM146" s="214"/>
      <c r="BN146" s="214"/>
      <c r="BO146" s="214"/>
    </row>
    <row r="147" spans="1:129" ht="21" customHeight="1" thickBot="1" x14ac:dyDescent="0.35">
      <c r="B147" s="277">
        <v>9</v>
      </c>
      <c r="C147" s="278"/>
      <c r="D147" s="25">
        <v>0</v>
      </c>
      <c r="E147" s="279" t="s">
        <v>130</v>
      </c>
      <c r="F147" s="258"/>
      <c r="G147" s="258">
        <f t="shared" si="37"/>
        <v>0</v>
      </c>
      <c r="H147" s="506">
        <v>279.06049999999999</v>
      </c>
      <c r="I147" s="507">
        <v>79.962900599999998</v>
      </c>
      <c r="J147" s="474">
        <f t="shared" si="18"/>
        <v>79.962900599999998</v>
      </c>
      <c r="K147" s="474">
        <f t="shared" si="19"/>
        <v>39.981450299999999</v>
      </c>
      <c r="L147" s="474">
        <f t="shared" si="5"/>
        <v>0.64253956655634092</v>
      </c>
      <c r="M147" s="474">
        <f t="shared" si="6"/>
        <v>179.30741271299578</v>
      </c>
      <c r="N147" s="474">
        <f t="shared" si="7"/>
        <v>358.61482542599157</v>
      </c>
      <c r="O147" s="474">
        <f>+C139+D140+D141+D142+D143+D144+D145+D146+(D147/2)</f>
        <v>0</v>
      </c>
      <c r="P147" s="474">
        <f t="shared" si="8"/>
        <v>0</v>
      </c>
      <c r="Q147" s="474">
        <f t="shared" si="9"/>
        <v>0</v>
      </c>
      <c r="R147" s="474">
        <f t="shared" si="20"/>
        <v>213.83080000000001</v>
      </c>
      <c r="S147" s="474">
        <f t="shared" si="33"/>
        <v>213.83080000000001</v>
      </c>
      <c r="T147" s="476">
        <f t="shared" si="10"/>
        <v>213.83080000000001</v>
      </c>
      <c r="V147" s="437">
        <f t="shared" si="11"/>
        <v>0</v>
      </c>
      <c r="W147" s="437"/>
      <c r="X147" s="437"/>
      <c r="Y147" s="437"/>
      <c r="Z147" s="437"/>
      <c r="AA147" s="437"/>
      <c r="AB147" s="477" t="str">
        <f t="shared" si="34"/>
        <v xml:space="preserve"> </v>
      </c>
      <c r="AC147" s="514" t="b">
        <f>IF(AD147=9,AF147)</f>
        <v>0</v>
      </c>
      <c r="AD147" s="514">
        <f t="shared" si="12"/>
        <v>1</v>
      </c>
      <c r="AE147" s="514">
        <f>IF(V147=0,0,9)</f>
        <v>0</v>
      </c>
      <c r="AF147" s="437">
        <f>SUM(V147:V158)/($B$136-B146)</f>
        <v>0</v>
      </c>
      <c r="AG147" s="437"/>
      <c r="AH147" s="450">
        <f>SUM(D140:D147)+$C$139</f>
        <v>0</v>
      </c>
      <c r="AI147" s="516" t="b">
        <f t="shared" si="21"/>
        <v>0</v>
      </c>
      <c r="AJ147" s="287">
        <f t="shared" si="22"/>
        <v>66.255548399999995</v>
      </c>
      <c r="AK147" s="441">
        <f t="shared" si="13"/>
        <v>0.91535047595051022</v>
      </c>
      <c r="AL147" s="289">
        <f t="shared" si="23"/>
        <v>278.56028065668761</v>
      </c>
      <c r="AM147" s="287">
        <f t="shared" si="24"/>
        <v>50.018549700000001</v>
      </c>
      <c r="AN147" s="442">
        <f t="shared" si="25"/>
        <v>0.76625250760411079</v>
      </c>
      <c r="AO147" s="291">
        <f t="shared" si="26"/>
        <v>213.83080789825695</v>
      </c>
      <c r="AP147" s="519">
        <f t="shared" si="14"/>
        <v>-300.404966539084</v>
      </c>
      <c r="AQ147" s="291">
        <f t="shared" si="35"/>
        <v>-283.5</v>
      </c>
      <c r="AR147" s="443">
        <f t="shared" si="15"/>
        <v>-109</v>
      </c>
      <c r="AS147" s="444">
        <f t="shared" si="27"/>
        <v>492.39108855494453</v>
      </c>
      <c r="AT147" s="445">
        <f t="shared" si="36"/>
        <v>-213.83080789825695</v>
      </c>
      <c r="AU147" s="446">
        <f t="shared" si="28"/>
        <v>-86.574158640827051</v>
      </c>
      <c r="AV147" s="445"/>
      <c r="AW147" s="447">
        <f t="shared" si="29"/>
        <v>-128.16481331850329</v>
      </c>
      <c r="AX147" s="447">
        <f t="shared" si="30"/>
        <v>19.16481331850332</v>
      </c>
      <c r="AY147" s="448">
        <f t="shared" si="16"/>
        <v>-90.508460939062559</v>
      </c>
      <c r="AZ147" s="448">
        <f t="shared" si="17"/>
        <v>521.78958562279138</v>
      </c>
      <c r="BA147" s="451">
        <f t="shared" si="31"/>
        <v>90.508460939062559</v>
      </c>
      <c r="BB147" s="451">
        <f t="shared" si="31"/>
        <v>521.78958562279138</v>
      </c>
      <c r="BC147">
        <f t="shared" si="32"/>
        <v>0</v>
      </c>
      <c r="BM147" s="214"/>
      <c r="BN147" s="214"/>
      <c r="BO147" s="214"/>
    </row>
    <row r="148" spans="1:129" ht="21" customHeight="1" thickBot="1" x14ac:dyDescent="0.35">
      <c r="B148" s="277">
        <v>10</v>
      </c>
      <c r="C148" s="278"/>
      <c r="D148" s="25">
        <v>0</v>
      </c>
      <c r="E148" s="279" t="s">
        <v>130</v>
      </c>
      <c r="F148" s="258"/>
      <c r="G148" s="258">
        <f t="shared" si="37"/>
        <v>0</v>
      </c>
      <c r="H148" s="506">
        <v>279.06049999999999</v>
      </c>
      <c r="I148" s="507">
        <v>79.962900599999998</v>
      </c>
      <c r="J148" s="474">
        <f t="shared" si="18"/>
        <v>79.962900599999998</v>
      </c>
      <c r="K148" s="474">
        <f t="shared" si="19"/>
        <v>39.981450299999999</v>
      </c>
      <c r="L148" s="474">
        <f t="shared" si="5"/>
        <v>0.64253956655634092</v>
      </c>
      <c r="M148" s="474">
        <f t="shared" si="6"/>
        <v>179.30741271299578</v>
      </c>
      <c r="N148" s="474">
        <f t="shared" si="7"/>
        <v>358.61482542599157</v>
      </c>
      <c r="O148" s="474">
        <f>+C139+D140+D141+D142+D143+D144+D145+D146+D147+(D148/2)</f>
        <v>0</v>
      </c>
      <c r="P148" s="474">
        <f t="shared" si="8"/>
        <v>0</v>
      </c>
      <c r="Q148" s="474">
        <f t="shared" si="9"/>
        <v>0</v>
      </c>
      <c r="R148" s="474">
        <f t="shared" si="20"/>
        <v>213.83080000000001</v>
      </c>
      <c r="S148" s="474">
        <f t="shared" si="33"/>
        <v>213.83080000000001</v>
      </c>
      <c r="T148" s="476">
        <f t="shared" si="10"/>
        <v>213.83080000000001</v>
      </c>
      <c r="V148" s="437">
        <f t="shared" si="11"/>
        <v>0</v>
      </c>
      <c r="W148" s="437"/>
      <c r="X148" s="437"/>
      <c r="Y148" s="437"/>
      <c r="Z148" s="437"/>
      <c r="AA148" s="437"/>
      <c r="AB148" s="477" t="str">
        <f t="shared" si="34"/>
        <v xml:space="preserve"> </v>
      </c>
      <c r="AC148" s="514" t="b">
        <f>IF(AD148=10,AF148)</f>
        <v>0</v>
      </c>
      <c r="AD148" s="514">
        <f t="shared" si="12"/>
        <v>1</v>
      </c>
      <c r="AE148" s="514">
        <f>IF(V148=0,0,10)</f>
        <v>0</v>
      </c>
      <c r="AF148" s="437">
        <f>SUM(V148:V158)/($B$136-B147)</f>
        <v>0</v>
      </c>
      <c r="AG148" s="437"/>
      <c r="AH148" s="450">
        <f>SUM(D140:D148)+$C$139</f>
        <v>0</v>
      </c>
      <c r="AI148" s="516" t="b">
        <f t="shared" si="21"/>
        <v>0</v>
      </c>
      <c r="AJ148" s="287">
        <f t="shared" si="22"/>
        <v>66.255548399999995</v>
      </c>
      <c r="AK148" s="441">
        <f t="shared" si="13"/>
        <v>0.91535047595051022</v>
      </c>
      <c r="AL148" s="289">
        <f t="shared" si="23"/>
        <v>278.56028065668761</v>
      </c>
      <c r="AM148" s="287">
        <f t="shared" si="24"/>
        <v>50.018549700000001</v>
      </c>
      <c r="AN148" s="442">
        <f t="shared" si="25"/>
        <v>0.76625250760411079</v>
      </c>
      <c r="AO148" s="291">
        <f t="shared" si="26"/>
        <v>213.83080789825695</v>
      </c>
      <c r="AP148" s="519">
        <f t="shared" si="14"/>
        <v>-219.0243568746499</v>
      </c>
      <c r="AQ148" s="291">
        <f t="shared" si="35"/>
        <v>-324</v>
      </c>
      <c r="AR148" s="443">
        <f t="shared" si="15"/>
        <v>-149.5</v>
      </c>
      <c r="AS148" s="444">
        <f t="shared" si="27"/>
        <v>492.39108855494453</v>
      </c>
      <c r="AT148" s="445">
        <f t="shared" si="36"/>
        <v>-213.83080789825695</v>
      </c>
      <c r="AU148" s="446">
        <f t="shared" si="28"/>
        <v>-5.1935489763929468</v>
      </c>
      <c r="AV148" s="445"/>
      <c r="AW148" s="447">
        <f t="shared" si="29"/>
        <v>-151.07686763635263</v>
      </c>
      <c r="AX148" s="447">
        <f t="shared" si="30"/>
        <v>1.5768676363526535</v>
      </c>
      <c r="AY148" s="448">
        <f t="shared" si="16"/>
        <v>-76.782105569739571</v>
      </c>
      <c r="AZ148" s="448">
        <f t="shared" si="17"/>
        <v>6341.6863720599449</v>
      </c>
      <c r="BA148" s="451">
        <f t="shared" si="31"/>
        <v>76.782105569739571</v>
      </c>
      <c r="BB148" s="451">
        <f t="shared" si="31"/>
        <v>6341.6863720599449</v>
      </c>
      <c r="BC148">
        <f t="shared" si="32"/>
        <v>0</v>
      </c>
      <c r="BM148" s="214"/>
      <c r="BN148" s="214"/>
      <c r="BO148" s="214"/>
    </row>
    <row r="149" spans="1:129" ht="21" customHeight="1" thickBot="1" x14ac:dyDescent="0.35">
      <c r="A149" s="296"/>
      <c r="B149" s="277">
        <v>11</v>
      </c>
      <c r="C149" s="278"/>
      <c r="D149" s="25">
        <v>3</v>
      </c>
      <c r="E149" s="279" t="s">
        <v>130</v>
      </c>
      <c r="F149" s="258"/>
      <c r="G149" s="258">
        <f t="shared" si="37"/>
        <v>3.3</v>
      </c>
      <c r="H149" s="506">
        <v>279.06049999999999</v>
      </c>
      <c r="I149" s="507">
        <v>79.962900599999998</v>
      </c>
      <c r="J149" s="474">
        <f t="shared" si="18"/>
        <v>76.962900599999998</v>
      </c>
      <c r="K149" s="474">
        <f t="shared" si="19"/>
        <v>38.481450299999999</v>
      </c>
      <c r="L149" s="474">
        <f t="shared" si="5"/>
        <v>0.62226123201233485</v>
      </c>
      <c r="M149" s="474">
        <f t="shared" si="6"/>
        <v>173.64853053597815</v>
      </c>
      <c r="N149" s="474">
        <f t="shared" si="7"/>
        <v>347.29706107195631</v>
      </c>
      <c r="O149" s="474">
        <f>+C139+D140+D141+D142+D143+D144+D145+D146+D147+D148+(D149/2)</f>
        <v>1.5</v>
      </c>
      <c r="P149" s="474">
        <f t="shared" si="8"/>
        <v>2.6176948307873125E-2</v>
      </c>
      <c r="Q149" s="474">
        <f t="shared" si="9"/>
        <v>9.091177215156856</v>
      </c>
      <c r="R149" s="474">
        <f t="shared" si="20"/>
        <v>213.83080000000001</v>
      </c>
      <c r="S149" s="474">
        <f t="shared" si="33"/>
        <v>222.92197721515686</v>
      </c>
      <c r="T149" s="476">
        <f t="shared" si="10"/>
        <v>222.92197721515686</v>
      </c>
      <c r="V149" s="437">
        <f t="shared" si="11"/>
        <v>0</v>
      </c>
      <c r="W149" s="437"/>
      <c r="X149" s="437"/>
      <c r="Y149" s="437"/>
      <c r="Z149" s="437"/>
      <c r="AA149" s="437"/>
      <c r="AB149" s="477" t="str">
        <f t="shared" si="34"/>
        <v>use the locking pin</v>
      </c>
      <c r="AC149" s="514" t="b">
        <f>IF(AD149=11,AF149)</f>
        <v>0</v>
      </c>
      <c r="AD149" s="514">
        <f t="shared" si="12"/>
        <v>1</v>
      </c>
      <c r="AE149" s="514">
        <f>IF(V149=0,0,11)</f>
        <v>0</v>
      </c>
      <c r="AF149" s="437">
        <f>SUM(V149:V158)/($B$136-B148)</f>
        <v>0</v>
      </c>
      <c r="AG149" s="437"/>
      <c r="AH149" s="450">
        <f>SUM(D140:D149)+$C$139</f>
        <v>3</v>
      </c>
      <c r="AI149" s="516" t="b">
        <f t="shared" si="21"/>
        <v>0</v>
      </c>
      <c r="AJ149" s="287">
        <f t="shared" si="22"/>
        <v>63.255548399999995</v>
      </c>
      <c r="AK149" s="441">
        <f t="shared" si="13"/>
        <v>0.89302252578859875</v>
      </c>
      <c r="AL149" s="289">
        <f t="shared" si="23"/>
        <v>271.76541876825956</v>
      </c>
      <c r="AM149" s="287">
        <f t="shared" si="24"/>
        <v>53.018549700000001</v>
      </c>
      <c r="AN149" s="442">
        <f t="shared" si="25"/>
        <v>0.79883030781287157</v>
      </c>
      <c r="AO149" s="291">
        <f t="shared" si="26"/>
        <v>222.92198511341383</v>
      </c>
      <c r="AP149" s="519">
        <f t="shared" si="14"/>
        <v>-172.33758606715872</v>
      </c>
      <c r="AQ149" s="291">
        <f t="shared" si="35"/>
        <v>-364.5</v>
      </c>
      <c r="AR149" s="443">
        <f t="shared" si="15"/>
        <v>-190</v>
      </c>
      <c r="AS149" s="444">
        <f t="shared" si="27"/>
        <v>494.68740388167339</v>
      </c>
      <c r="AT149" s="445">
        <f t="shared" si="36"/>
        <v>-222.92198511341383</v>
      </c>
      <c r="AU149" s="446">
        <f t="shared" si="28"/>
        <v>50.584399046255101</v>
      </c>
      <c r="AV149" s="445"/>
      <c r="AW149" s="447">
        <f t="shared" si="29"/>
        <v>-170.57149678084915</v>
      </c>
      <c r="AX149" s="447">
        <f t="shared" si="30"/>
        <v>-19.428503219150851</v>
      </c>
      <c r="AY149" s="448">
        <f t="shared" si="16"/>
        <v>-68.006672972470426</v>
      </c>
      <c r="AZ149" s="448">
        <f t="shared" si="17"/>
        <v>-514.7076893778883</v>
      </c>
      <c r="BA149" s="451">
        <f t="shared" si="31"/>
        <v>68.006672972470426</v>
      </c>
      <c r="BB149" s="451">
        <f t="shared" si="31"/>
        <v>514.7076893778883</v>
      </c>
      <c r="BC149">
        <f t="shared" si="32"/>
        <v>0.3</v>
      </c>
      <c r="BM149" s="214"/>
      <c r="BN149" s="214"/>
      <c r="BO149" s="214"/>
    </row>
    <row r="150" spans="1:129" ht="21" customHeight="1" thickBot="1" x14ac:dyDescent="0.35">
      <c r="A150" s="296"/>
      <c r="B150" s="277">
        <v>12</v>
      </c>
      <c r="C150" s="278"/>
      <c r="D150" s="25">
        <v>0</v>
      </c>
      <c r="E150" s="279" t="s">
        <v>130</v>
      </c>
      <c r="F150" s="258"/>
      <c r="G150" s="258">
        <f t="shared" si="37"/>
        <v>0.3</v>
      </c>
      <c r="H150" s="506">
        <v>279.06049999999999</v>
      </c>
      <c r="I150" s="507">
        <v>79.962900599999998</v>
      </c>
      <c r="J150" s="474">
        <f t="shared" si="18"/>
        <v>79.962900599999998</v>
      </c>
      <c r="K150" s="474">
        <f t="shared" si="19"/>
        <v>39.981450299999999</v>
      </c>
      <c r="L150" s="474">
        <f t="shared" si="5"/>
        <v>0.64253956655634092</v>
      </c>
      <c r="M150" s="474">
        <f t="shared" si="6"/>
        <v>179.30741271299578</v>
      </c>
      <c r="N150" s="474">
        <f t="shared" si="7"/>
        <v>358.61482542599157</v>
      </c>
      <c r="O150" s="474">
        <f>+C139+D140+D141+D142+D143+D144+D145+D146+D147+D148+D149+(D150/2)</f>
        <v>3</v>
      </c>
      <c r="P150" s="474">
        <f t="shared" si="8"/>
        <v>5.2335956242943779E-2</v>
      </c>
      <c r="Q150" s="474">
        <f t="shared" si="9"/>
        <v>18.768449811565617</v>
      </c>
      <c r="R150" s="474">
        <f t="shared" si="20"/>
        <v>222.92197721515686</v>
      </c>
      <c r="S150" s="474">
        <f t="shared" si="33"/>
        <v>241.69042702672249</v>
      </c>
      <c r="T150" s="476">
        <f t="shared" si="10"/>
        <v>241.69042702672249</v>
      </c>
      <c r="V150" s="437">
        <f t="shared" si="11"/>
        <v>0</v>
      </c>
      <c r="W150" s="437"/>
      <c r="X150" s="437"/>
      <c r="Y150" s="437"/>
      <c r="Z150" s="437"/>
      <c r="AA150" s="437"/>
      <c r="AB150" s="477" t="str">
        <f t="shared" si="34"/>
        <v>use the locking pin</v>
      </c>
      <c r="AC150" s="514" t="b">
        <f>IF(AD150=12,AF150)</f>
        <v>0</v>
      </c>
      <c r="AD150" s="514">
        <f t="shared" si="12"/>
        <v>1</v>
      </c>
      <c r="AE150" s="514">
        <f>IF(V150=0,0,12)</f>
        <v>0</v>
      </c>
      <c r="AF150" s="437">
        <f>SUM(V150:V158)/($B$136-B149)</f>
        <v>0</v>
      </c>
      <c r="AG150" s="437"/>
      <c r="AH150" s="450">
        <f>SUM(D140:D150)+$C$139</f>
        <v>3</v>
      </c>
      <c r="AI150" s="516" t="b">
        <f t="shared" si="21"/>
        <v>0</v>
      </c>
      <c r="AJ150" s="287">
        <f t="shared" si="22"/>
        <v>63.255548399999995</v>
      </c>
      <c r="AK150" s="441">
        <f t="shared" si="13"/>
        <v>0.89302252578859875</v>
      </c>
      <c r="AL150" s="289">
        <f t="shared" si="23"/>
        <v>271.76541876825956</v>
      </c>
      <c r="AM150" s="287">
        <f t="shared" si="24"/>
        <v>53.018549700000001</v>
      </c>
      <c r="AN150" s="442">
        <f t="shared" si="25"/>
        <v>0.79883030781287157</v>
      </c>
      <c r="AO150" s="291">
        <f t="shared" si="26"/>
        <v>222.92198511341383</v>
      </c>
      <c r="AP150" s="519">
        <f t="shared" si="14"/>
        <v>-142.05701237639983</v>
      </c>
      <c r="AQ150" s="291">
        <f t="shared" si="35"/>
        <v>-405</v>
      </c>
      <c r="AR150" s="443">
        <f t="shared" si="15"/>
        <v>-230.5</v>
      </c>
      <c r="AS150" s="444">
        <f t="shared" si="27"/>
        <v>494.68740388167339</v>
      </c>
      <c r="AT150" s="445">
        <f t="shared" si="36"/>
        <v>-222.92198511341383</v>
      </c>
      <c r="AU150" s="446">
        <f t="shared" si="28"/>
        <v>80.864972737014</v>
      </c>
      <c r="AV150" s="445"/>
      <c r="AW150" s="447">
        <f t="shared" si="29"/>
        <v>-192.82089988622357</v>
      </c>
      <c r="AX150" s="447">
        <f t="shared" si="30"/>
        <v>-37.679100113776428</v>
      </c>
      <c r="AY150" s="448">
        <f t="shared" si="16"/>
        <v>-60.159453704679976</v>
      </c>
      <c r="AZ150" s="448">
        <f t="shared" si="17"/>
        <v>-265.39911966591126</v>
      </c>
      <c r="BA150" s="451">
        <f t="shared" si="31"/>
        <v>60.159453704679976</v>
      </c>
      <c r="BB150" s="451">
        <f t="shared" si="31"/>
        <v>265.39911966591126</v>
      </c>
      <c r="BC150">
        <f t="shared" si="32"/>
        <v>0.3</v>
      </c>
      <c r="BM150" s="214"/>
      <c r="BN150" s="214"/>
      <c r="BO150" s="214"/>
    </row>
    <row r="151" spans="1:129" ht="21" customHeight="1" thickBot="1" x14ac:dyDescent="0.35">
      <c r="B151" s="277">
        <v>13</v>
      </c>
      <c r="C151" s="278"/>
      <c r="D151" s="25">
        <v>0</v>
      </c>
      <c r="E151" s="279" t="s">
        <v>130</v>
      </c>
      <c r="F151" s="258"/>
      <c r="G151" s="258">
        <f t="shared" si="37"/>
        <v>0.3</v>
      </c>
      <c r="H151" s="506">
        <v>279.06049999999999</v>
      </c>
      <c r="I151" s="507">
        <v>79.962900599999998</v>
      </c>
      <c r="J151" s="474">
        <f t="shared" si="18"/>
        <v>79.962900599999998</v>
      </c>
      <c r="K151" s="474">
        <f t="shared" si="19"/>
        <v>39.981450299999999</v>
      </c>
      <c r="L151" s="474">
        <f t="shared" si="5"/>
        <v>0.64253956655634092</v>
      </c>
      <c r="M151" s="474">
        <f t="shared" si="6"/>
        <v>179.30741271299578</v>
      </c>
      <c r="N151" s="474">
        <f t="shared" si="7"/>
        <v>358.61482542599157</v>
      </c>
      <c r="O151" s="474">
        <f>+C139+D140+D141+D142+D143+D144+D145+D146+D147+D148+D149+D150+(D151/2)</f>
        <v>3</v>
      </c>
      <c r="P151" s="474">
        <f t="shared" si="8"/>
        <v>5.2335956242943779E-2</v>
      </c>
      <c r="Q151" s="474">
        <f t="shared" si="9"/>
        <v>18.768449811565617</v>
      </c>
      <c r="R151" s="474">
        <f t="shared" si="20"/>
        <v>241.69042702672249</v>
      </c>
      <c r="S151" s="474">
        <f t="shared" si="33"/>
        <v>260.45887683828812</v>
      </c>
      <c r="T151" s="476">
        <f t="shared" si="10"/>
        <v>260.45887683828812</v>
      </c>
      <c r="V151" s="437">
        <f t="shared" si="11"/>
        <v>0</v>
      </c>
      <c r="W151" s="437"/>
      <c r="X151" s="437"/>
      <c r="Y151" s="437"/>
      <c r="Z151" s="437"/>
      <c r="AA151" s="437"/>
      <c r="AB151" s="477" t="str">
        <f t="shared" si="34"/>
        <v>use the locking pin</v>
      </c>
      <c r="AC151" s="514" t="b">
        <f>IF(AD151=13,AF151)</f>
        <v>0</v>
      </c>
      <c r="AD151" s="514">
        <f t="shared" si="12"/>
        <v>1</v>
      </c>
      <c r="AE151" s="514">
        <f>IF(V151=0,0,13)</f>
        <v>0</v>
      </c>
      <c r="AF151" s="437">
        <f>SUM(V151:V158)/($B$136-B150)</f>
        <v>0</v>
      </c>
      <c r="AG151" s="437"/>
      <c r="AH151" s="450">
        <f>SUM(D140:D151)+$C$139</f>
        <v>3</v>
      </c>
      <c r="AI151" s="516" t="b">
        <f t="shared" si="21"/>
        <v>0</v>
      </c>
      <c r="AJ151" s="287">
        <f t="shared" si="22"/>
        <v>63.255548399999995</v>
      </c>
      <c r="AK151" s="441">
        <f t="shared" si="13"/>
        <v>0.89302252578859875</v>
      </c>
      <c r="AL151" s="289">
        <f t="shared" si="23"/>
        <v>271.76541876825956</v>
      </c>
      <c r="AM151" s="287">
        <f t="shared" si="24"/>
        <v>53.018549700000001</v>
      </c>
      <c r="AN151" s="442">
        <f t="shared" si="25"/>
        <v>0.79883030781287157</v>
      </c>
      <c r="AO151" s="291">
        <f t="shared" si="26"/>
        <v>222.92198511341383</v>
      </c>
      <c r="AP151" s="519">
        <f t="shared" si="14"/>
        <v>-120.82708986258361</v>
      </c>
      <c r="AQ151" s="291">
        <f t="shared" si="35"/>
        <v>-445.5</v>
      </c>
      <c r="AR151" s="443">
        <f t="shared" si="15"/>
        <v>-271</v>
      </c>
      <c r="AS151" s="444">
        <f t="shared" si="27"/>
        <v>494.68740388167339</v>
      </c>
      <c r="AT151" s="445">
        <f t="shared" si="36"/>
        <v>-222.92198511341383</v>
      </c>
      <c r="AU151" s="446">
        <f t="shared" si="28"/>
        <v>102.09489525083022</v>
      </c>
      <c r="AV151" s="445"/>
      <c r="AW151" s="447">
        <f t="shared" si="29"/>
        <v>-215.07030299159797</v>
      </c>
      <c r="AX151" s="447">
        <f t="shared" si="30"/>
        <v>-55.929697008402016</v>
      </c>
      <c r="AY151" s="448">
        <f t="shared" si="16"/>
        <v>-53.935851852373922</v>
      </c>
      <c r="AZ151" s="448">
        <f t="shared" si="17"/>
        <v>-178.79589082161047</v>
      </c>
      <c r="BA151" s="451">
        <f t="shared" si="31"/>
        <v>53.935851852373922</v>
      </c>
      <c r="BB151" s="451">
        <f t="shared" si="31"/>
        <v>178.79589082161047</v>
      </c>
      <c r="BC151">
        <f t="shared" si="32"/>
        <v>0.3</v>
      </c>
      <c r="BM151" s="214"/>
      <c r="BN151" s="214"/>
      <c r="BO151" s="214"/>
      <c r="DE151" s="126"/>
    </row>
    <row r="152" spans="1:129" ht="21" customHeight="1" thickBot="1" x14ac:dyDescent="0.35">
      <c r="B152" s="277">
        <v>14</v>
      </c>
      <c r="C152" s="278"/>
      <c r="D152" s="25">
        <v>0</v>
      </c>
      <c r="E152" s="279" t="s">
        <v>130</v>
      </c>
      <c r="F152" s="258"/>
      <c r="G152" s="258">
        <f t="shared" si="37"/>
        <v>0.3</v>
      </c>
      <c r="H152" s="506">
        <v>279.06049999999999</v>
      </c>
      <c r="I152" s="507">
        <v>79.962900599999998</v>
      </c>
      <c r="J152" s="474">
        <f t="shared" si="18"/>
        <v>79.962900599999998</v>
      </c>
      <c r="K152" s="474">
        <f t="shared" si="19"/>
        <v>39.981450299999999</v>
      </c>
      <c r="L152" s="474">
        <f t="shared" si="5"/>
        <v>0.64253956655634092</v>
      </c>
      <c r="M152" s="474">
        <f t="shared" si="6"/>
        <v>179.30741271299578</v>
      </c>
      <c r="N152" s="474">
        <f t="shared" si="7"/>
        <v>358.61482542599157</v>
      </c>
      <c r="O152" s="474">
        <f>+C139+D140+D141+D142+D143+D144+D145+D146+D147+D148+D149+D150+D151+(D152/2)</f>
        <v>3</v>
      </c>
      <c r="P152" s="474">
        <f t="shared" si="8"/>
        <v>5.2335956242943779E-2</v>
      </c>
      <c r="Q152" s="474">
        <f t="shared" si="9"/>
        <v>18.768449811565617</v>
      </c>
      <c r="R152" s="474">
        <f t="shared" si="20"/>
        <v>260.45887683828812</v>
      </c>
      <c r="S152" s="474">
        <f t="shared" si="33"/>
        <v>279.22732664985375</v>
      </c>
      <c r="T152" s="476">
        <f t="shared" si="10"/>
        <v>279.22732664985375</v>
      </c>
      <c r="V152" s="437">
        <f t="shared" si="11"/>
        <v>0</v>
      </c>
      <c r="W152" s="437"/>
      <c r="X152" s="437"/>
      <c r="Y152" s="437"/>
      <c r="Z152" s="437"/>
      <c r="AA152" s="437"/>
      <c r="AB152" s="477" t="str">
        <f t="shared" si="34"/>
        <v>use the locking pin</v>
      </c>
      <c r="AC152" s="514" t="b">
        <f>IF(AD152=14,AF152)</f>
        <v>0</v>
      </c>
      <c r="AD152" s="514">
        <f t="shared" si="12"/>
        <v>1</v>
      </c>
      <c r="AE152" s="514">
        <f>IF(V152=0,0,14)</f>
        <v>0</v>
      </c>
      <c r="AF152" s="437">
        <f>SUM(V152:V158)/($B$136-B151)</f>
        <v>0</v>
      </c>
      <c r="AG152" s="437"/>
      <c r="AH152" s="450">
        <f>SUM(D140:D152)+$C$139</f>
        <v>3</v>
      </c>
      <c r="AI152" s="516" t="b">
        <f t="shared" si="21"/>
        <v>0</v>
      </c>
      <c r="AJ152" s="287">
        <f t="shared" si="22"/>
        <v>63.255548399999995</v>
      </c>
      <c r="AK152" s="441">
        <f t="shared" si="13"/>
        <v>0.89302252578859875</v>
      </c>
      <c r="AL152" s="289">
        <f t="shared" si="23"/>
        <v>271.76541876825956</v>
      </c>
      <c r="AM152" s="287">
        <f t="shared" si="24"/>
        <v>53.018549700000001</v>
      </c>
      <c r="AN152" s="442">
        <f t="shared" si="25"/>
        <v>0.79883030781287157</v>
      </c>
      <c r="AO152" s="291">
        <f t="shared" si="26"/>
        <v>222.92198511341383</v>
      </c>
      <c r="AP152" s="519">
        <f t="shared" si="14"/>
        <v>-105.11762874080307</v>
      </c>
      <c r="AQ152" s="291">
        <f t="shared" si="35"/>
        <v>-486</v>
      </c>
      <c r="AR152" s="443">
        <f t="shared" si="15"/>
        <v>-311.5</v>
      </c>
      <c r="AS152" s="444">
        <f t="shared" si="27"/>
        <v>494.68740388167339</v>
      </c>
      <c r="AT152" s="445">
        <f t="shared" si="36"/>
        <v>-222.92198511341383</v>
      </c>
      <c r="AU152" s="446">
        <f t="shared" si="28"/>
        <v>117.80435637261075</v>
      </c>
      <c r="AV152" s="445"/>
      <c r="AW152" s="447">
        <f t="shared" si="29"/>
        <v>-237.3197060969724</v>
      </c>
      <c r="AX152" s="447">
        <f t="shared" si="30"/>
        <v>-74.180293903027604</v>
      </c>
      <c r="AY152" s="448">
        <f t="shared" si="16"/>
        <v>-48.879211047312126</v>
      </c>
      <c r="AZ152" s="448">
        <f t="shared" si="17"/>
        <v>-134.80669155978984</v>
      </c>
      <c r="BA152" s="451">
        <f t="shared" si="31"/>
        <v>48.879211047312126</v>
      </c>
      <c r="BB152" s="451">
        <f t="shared" si="31"/>
        <v>134.80669155978984</v>
      </c>
      <c r="BC152">
        <f t="shared" si="32"/>
        <v>0.3</v>
      </c>
      <c r="BM152" s="214"/>
      <c r="BN152" s="214"/>
      <c r="BO152" s="214"/>
      <c r="DE152" s="126"/>
    </row>
    <row r="153" spans="1:129" ht="21" customHeight="1" thickBot="1" x14ac:dyDescent="0.35">
      <c r="B153" s="277">
        <v>15</v>
      </c>
      <c r="C153" s="278"/>
      <c r="D153" s="25">
        <v>0</v>
      </c>
      <c r="E153" s="279" t="s">
        <v>130</v>
      </c>
      <c r="F153" s="258"/>
      <c r="G153" s="258">
        <f t="shared" si="37"/>
        <v>0.3</v>
      </c>
      <c r="H153" s="506">
        <v>279.06049999999999</v>
      </c>
      <c r="I153" s="507">
        <v>79.962900599999998</v>
      </c>
      <c r="J153" s="474">
        <f t="shared" si="18"/>
        <v>79.962900599999998</v>
      </c>
      <c r="K153" s="474">
        <f t="shared" si="19"/>
        <v>39.981450299999999</v>
      </c>
      <c r="L153" s="474">
        <f t="shared" si="5"/>
        <v>0.64253956655634092</v>
      </c>
      <c r="M153" s="474">
        <f t="shared" si="6"/>
        <v>179.30741271299578</v>
      </c>
      <c r="N153" s="474">
        <f t="shared" si="7"/>
        <v>358.61482542599157</v>
      </c>
      <c r="O153" s="474">
        <f>+C139+D140+D141+D142+D143+D144+D145+D146+D147+D148+D149+D150+D151+D152+(D153/2)</f>
        <v>3</v>
      </c>
      <c r="P153" s="474">
        <f t="shared" si="8"/>
        <v>5.2335956242943779E-2</v>
      </c>
      <c r="Q153" s="474">
        <f t="shared" si="9"/>
        <v>18.768449811565617</v>
      </c>
      <c r="R153" s="474">
        <f t="shared" si="20"/>
        <v>279.22732664985375</v>
      </c>
      <c r="S153" s="474">
        <f t="shared" si="33"/>
        <v>297.99577646141938</v>
      </c>
      <c r="T153" s="476">
        <f t="shared" si="10"/>
        <v>297.99577646141938</v>
      </c>
      <c r="V153" s="437">
        <f t="shared" si="11"/>
        <v>0</v>
      </c>
      <c r="W153" s="437"/>
      <c r="X153" s="437"/>
      <c r="Y153" s="437"/>
      <c r="Z153" s="437"/>
      <c r="AA153" s="437"/>
      <c r="AB153" s="477" t="str">
        <f t="shared" si="34"/>
        <v>use the locking pin</v>
      </c>
      <c r="AC153" s="514" t="b">
        <f>IF(AD153=15,AF153)</f>
        <v>0</v>
      </c>
      <c r="AD153" s="514">
        <f t="shared" si="12"/>
        <v>1</v>
      </c>
      <c r="AE153" s="514">
        <f>IF(V153=0,0,15)</f>
        <v>0</v>
      </c>
      <c r="AF153" s="437">
        <f>SUM(V153:V158)/($B$136-B152)</f>
        <v>0</v>
      </c>
      <c r="AG153" s="437"/>
      <c r="AH153" s="450">
        <f>SUM(D140:D153)+$C$139</f>
        <v>3</v>
      </c>
      <c r="AI153" s="516" t="b">
        <f t="shared" si="21"/>
        <v>0</v>
      </c>
      <c r="AJ153" s="287">
        <f t="shared" si="22"/>
        <v>63.255548399999995</v>
      </c>
      <c r="AK153" s="441">
        <f t="shared" si="13"/>
        <v>0.89302252578859875</v>
      </c>
      <c r="AL153" s="289">
        <f t="shared" si="23"/>
        <v>271.76541876825956</v>
      </c>
      <c r="AM153" s="287">
        <f t="shared" si="24"/>
        <v>53.018549700000001</v>
      </c>
      <c r="AN153" s="442">
        <f t="shared" si="25"/>
        <v>0.79883030781287157</v>
      </c>
      <c r="AO153" s="291">
        <f t="shared" si="26"/>
        <v>222.92198511341383</v>
      </c>
      <c r="AP153" s="519">
        <f t="shared" si="14"/>
        <v>-93.023128843068633</v>
      </c>
      <c r="AQ153" s="291">
        <f t="shared" si="35"/>
        <v>-526.5</v>
      </c>
      <c r="AR153" s="443">
        <f t="shared" si="15"/>
        <v>-352</v>
      </c>
      <c r="AS153" s="444">
        <f t="shared" si="27"/>
        <v>494.68740388167339</v>
      </c>
      <c r="AT153" s="445">
        <f t="shared" si="36"/>
        <v>-222.92198511341383</v>
      </c>
      <c r="AU153" s="446">
        <f t="shared" si="28"/>
        <v>129.89885627034519</v>
      </c>
      <c r="AV153" s="445"/>
      <c r="AW153" s="447">
        <f t="shared" si="29"/>
        <v>-259.56910920234685</v>
      </c>
      <c r="AX153" s="447">
        <f t="shared" si="30"/>
        <v>-92.430890797653177</v>
      </c>
      <c r="AY153" s="448">
        <f t="shared" si="16"/>
        <v>-44.689447198269001</v>
      </c>
      <c r="AZ153" s="448">
        <f t="shared" si="17"/>
        <v>-108.18893893267445</v>
      </c>
      <c r="BA153" s="451">
        <f t="shared" si="31"/>
        <v>44.689447198269001</v>
      </c>
      <c r="BB153" s="451">
        <f t="shared" si="31"/>
        <v>108.18893893267445</v>
      </c>
      <c r="BC153">
        <f t="shared" si="32"/>
        <v>0.3</v>
      </c>
      <c r="BM153" s="214"/>
      <c r="BN153" s="214"/>
      <c r="BO153" s="214"/>
      <c r="DE153" s="126"/>
    </row>
    <row r="154" spans="1:129" ht="21" customHeight="1" thickBot="1" x14ac:dyDescent="0.35">
      <c r="B154" s="277">
        <v>16</v>
      </c>
      <c r="C154" s="278"/>
      <c r="D154" s="25">
        <v>0</v>
      </c>
      <c r="E154" s="279" t="s">
        <v>130</v>
      </c>
      <c r="F154" s="258"/>
      <c r="G154" s="258">
        <f t="shared" si="37"/>
        <v>0.3</v>
      </c>
      <c r="H154" s="506">
        <v>279.06049999999999</v>
      </c>
      <c r="I154" s="507">
        <v>79.962900599999998</v>
      </c>
      <c r="J154" s="474">
        <f t="shared" si="18"/>
        <v>79.962900599999998</v>
      </c>
      <c r="K154" s="474">
        <f t="shared" si="19"/>
        <v>39.981450299999999</v>
      </c>
      <c r="L154" s="474">
        <f t="shared" si="5"/>
        <v>0.64253956655634092</v>
      </c>
      <c r="M154" s="474">
        <f t="shared" si="6"/>
        <v>179.30741271299578</v>
      </c>
      <c r="N154" s="474">
        <f t="shared" si="7"/>
        <v>358.61482542599157</v>
      </c>
      <c r="O154" s="474">
        <f>+C139+D140+D141+D142+D143+D144+D145+D146+D147+D148+D149+D150+D151+D152+D153+(D154/2)</f>
        <v>3</v>
      </c>
      <c r="P154" s="474">
        <f t="shared" si="8"/>
        <v>5.2335956242943779E-2</v>
      </c>
      <c r="Q154" s="474">
        <f t="shared" si="9"/>
        <v>18.768449811565617</v>
      </c>
      <c r="R154" s="474">
        <f t="shared" si="20"/>
        <v>297.99577646141938</v>
      </c>
      <c r="S154" s="474">
        <f t="shared" si="33"/>
        <v>316.76422627298501</v>
      </c>
      <c r="T154" s="476">
        <f t="shared" si="10"/>
        <v>316.76422627298501</v>
      </c>
      <c r="V154" s="437">
        <f t="shared" si="11"/>
        <v>0</v>
      </c>
      <c r="W154" s="437"/>
      <c r="X154" s="437"/>
      <c r="Y154" s="437"/>
      <c r="Z154" s="437"/>
      <c r="AA154" s="437"/>
      <c r="AB154" s="477" t="str">
        <f t="shared" si="34"/>
        <v>use the locking pin</v>
      </c>
      <c r="AC154" s="514" t="b">
        <f>IF(AD154=16,AF154)</f>
        <v>0</v>
      </c>
      <c r="AD154" s="514">
        <f t="shared" si="12"/>
        <v>1</v>
      </c>
      <c r="AE154" s="514">
        <f>IF(V154=0,0,16)</f>
        <v>0</v>
      </c>
      <c r="AF154" s="437">
        <f>SUM(V154:V158)/($B$136-B153)</f>
        <v>0</v>
      </c>
      <c r="AG154" s="437"/>
      <c r="AH154" s="450">
        <f>SUM(D140:D154)+$C$139</f>
        <v>3</v>
      </c>
      <c r="AI154" s="516" t="b">
        <f t="shared" si="21"/>
        <v>0</v>
      </c>
      <c r="AJ154" s="287">
        <f t="shared" si="22"/>
        <v>63.255548399999995</v>
      </c>
      <c r="AK154" s="441">
        <f t="shared" si="13"/>
        <v>0.89302252578859875</v>
      </c>
      <c r="AL154" s="289">
        <f t="shared" si="23"/>
        <v>271.76541876825956</v>
      </c>
      <c r="AM154" s="287">
        <f t="shared" si="24"/>
        <v>53.018549700000001</v>
      </c>
      <c r="AN154" s="442">
        <f t="shared" si="25"/>
        <v>0.79883030781287157</v>
      </c>
      <c r="AO154" s="291">
        <f t="shared" si="26"/>
        <v>222.92198511341383</v>
      </c>
      <c r="AP154" s="519">
        <f t="shared" si="14"/>
        <v>-83.424563956076838</v>
      </c>
      <c r="AQ154" s="291">
        <f t="shared" si="35"/>
        <v>-567</v>
      </c>
      <c r="AR154" s="443">
        <f t="shared" si="15"/>
        <v>-392.5</v>
      </c>
      <c r="AS154" s="444">
        <f t="shared" si="27"/>
        <v>494.68740388167339</v>
      </c>
      <c r="AT154" s="445">
        <f t="shared" si="36"/>
        <v>-222.92198511341383</v>
      </c>
      <c r="AU154" s="446">
        <f t="shared" si="28"/>
        <v>139.49742115733699</v>
      </c>
      <c r="AV154" s="445"/>
      <c r="AW154" s="447">
        <f t="shared" si="29"/>
        <v>-281.81851230772122</v>
      </c>
      <c r="AX154" s="447">
        <f t="shared" si="30"/>
        <v>-110.68148769227878</v>
      </c>
      <c r="AY154" s="448">
        <f t="shared" si="16"/>
        <v>-41.161242052593806</v>
      </c>
      <c r="AZ154" s="448">
        <f t="shared" si="17"/>
        <v>-90.349345753306196</v>
      </c>
      <c r="BA154" s="451">
        <f t="shared" si="31"/>
        <v>41.161242052593806</v>
      </c>
      <c r="BB154" s="451">
        <f t="shared" si="31"/>
        <v>90.349345753306196</v>
      </c>
      <c r="BC154">
        <f t="shared" si="32"/>
        <v>0.3</v>
      </c>
      <c r="BM154" s="214"/>
      <c r="BN154" s="214"/>
      <c r="BO154" s="214"/>
      <c r="DE154" s="126"/>
    </row>
    <row r="155" spans="1:129" ht="21" customHeight="1" thickBot="1" x14ac:dyDescent="0.35">
      <c r="B155" s="277">
        <v>17</v>
      </c>
      <c r="C155" s="278"/>
      <c r="D155" s="25">
        <v>0</v>
      </c>
      <c r="E155" s="279" t="s">
        <v>130</v>
      </c>
      <c r="F155" s="258"/>
      <c r="G155" s="258">
        <f t="shared" si="37"/>
        <v>0.3</v>
      </c>
      <c r="H155" s="506">
        <v>279.06049999999999</v>
      </c>
      <c r="I155" s="507">
        <v>79.962900599999998</v>
      </c>
      <c r="J155" s="474">
        <f t="shared" si="18"/>
        <v>79.962900599999998</v>
      </c>
      <c r="K155" s="474">
        <f t="shared" si="19"/>
        <v>39.981450299999999</v>
      </c>
      <c r="L155" s="474">
        <f t="shared" si="5"/>
        <v>0.64253956655634092</v>
      </c>
      <c r="M155" s="474">
        <f t="shared" si="6"/>
        <v>179.30741271299578</v>
      </c>
      <c r="N155" s="474">
        <f t="shared" si="7"/>
        <v>358.61482542599157</v>
      </c>
      <c r="O155" s="474">
        <f>+C139+D140+D141+D142+D143+D144+D145+D146+D147+D148+D149+D150+D151+D152+D153+D154+(D155/2)</f>
        <v>3</v>
      </c>
      <c r="P155" s="474">
        <f t="shared" si="8"/>
        <v>5.2335956242943779E-2</v>
      </c>
      <c r="Q155" s="474">
        <f t="shared" si="9"/>
        <v>18.768449811565617</v>
      </c>
      <c r="R155" s="474">
        <f t="shared" si="20"/>
        <v>316.76422627298501</v>
      </c>
      <c r="S155" s="474">
        <f t="shared" si="33"/>
        <v>335.53267608455064</v>
      </c>
      <c r="T155" s="476">
        <f t="shared" si="10"/>
        <v>335.53267608455064</v>
      </c>
      <c r="V155" s="437">
        <f t="shared" si="11"/>
        <v>0</v>
      </c>
      <c r="W155" s="437"/>
      <c r="X155" s="437"/>
      <c r="Y155" s="437"/>
      <c r="Z155" s="437"/>
      <c r="AA155" s="437"/>
      <c r="AB155" s="477" t="str">
        <f t="shared" si="34"/>
        <v>use the locking pin</v>
      </c>
      <c r="AC155" s="514" t="b">
        <f>IF(AD155=17,AF155)</f>
        <v>0</v>
      </c>
      <c r="AD155" s="514">
        <f t="shared" si="12"/>
        <v>1</v>
      </c>
      <c r="AE155" s="514">
        <f>IF(V155=0,0,17)</f>
        <v>0</v>
      </c>
      <c r="AF155" s="437">
        <f>SUM(V155:V158)/($B$136-B154)</f>
        <v>0</v>
      </c>
      <c r="AG155" s="437"/>
      <c r="AH155" s="450">
        <f>SUM(D140:D155)+$C$139</f>
        <v>3</v>
      </c>
      <c r="AI155" s="516" t="b">
        <f t="shared" si="21"/>
        <v>0</v>
      </c>
      <c r="AJ155" s="287">
        <f t="shared" si="22"/>
        <v>63.255548399999995</v>
      </c>
      <c r="AK155" s="441">
        <f t="shared" si="13"/>
        <v>0.89302252578859875</v>
      </c>
      <c r="AL155" s="289">
        <f t="shared" si="23"/>
        <v>271.76541876825956</v>
      </c>
      <c r="AM155" s="287">
        <f t="shared" si="24"/>
        <v>53.018549700000001</v>
      </c>
      <c r="AN155" s="442">
        <f t="shared" si="25"/>
        <v>0.79883030781287157</v>
      </c>
      <c r="AO155" s="291">
        <f t="shared" si="26"/>
        <v>222.92198511341383</v>
      </c>
      <c r="AP155" s="519">
        <f t="shared" si="14"/>
        <v>-75.621573562956485</v>
      </c>
      <c r="AQ155" s="291">
        <f t="shared" si="35"/>
        <v>-607.5</v>
      </c>
      <c r="AR155" s="443">
        <f t="shared" si="15"/>
        <v>-433</v>
      </c>
      <c r="AS155" s="444">
        <f t="shared" si="27"/>
        <v>494.68740388167339</v>
      </c>
      <c r="AT155" s="445">
        <f t="shared" si="36"/>
        <v>-222.92198511341383</v>
      </c>
      <c r="AU155" s="446">
        <f t="shared" si="28"/>
        <v>147.30041155045734</v>
      </c>
      <c r="AV155" s="445"/>
      <c r="AW155" s="447">
        <f t="shared" si="29"/>
        <v>-304.06791541309565</v>
      </c>
      <c r="AX155" s="447">
        <f t="shared" si="30"/>
        <v>-128.93208458690435</v>
      </c>
      <c r="AY155" s="448">
        <f t="shared" si="16"/>
        <v>-38.149371939622966</v>
      </c>
      <c r="AZ155" s="448">
        <f t="shared" si="17"/>
        <v>-77.560213441361682</v>
      </c>
      <c r="BA155" s="451">
        <f t="shared" si="31"/>
        <v>38.149371939622966</v>
      </c>
      <c r="BB155" s="451">
        <f t="shared" si="31"/>
        <v>77.560213441361682</v>
      </c>
      <c r="BC155">
        <f t="shared" si="32"/>
        <v>0.3</v>
      </c>
      <c r="BD155" s="136"/>
      <c r="BM155" s="214"/>
      <c r="BN155" s="214"/>
      <c r="BO155" s="214"/>
      <c r="DF155" s="126"/>
      <c r="DG155" s="126"/>
      <c r="DH155" s="126"/>
      <c r="DI155" s="126"/>
      <c r="DJ155" s="126"/>
      <c r="DK155" s="126"/>
      <c r="DL155" s="203"/>
      <c r="DM155" s="203"/>
      <c r="DN155" s="203"/>
      <c r="DO155" s="203"/>
      <c r="DP155" s="203"/>
      <c r="DQ155" s="203"/>
      <c r="DR155" s="203"/>
      <c r="DS155" s="203"/>
      <c r="DT155" s="203"/>
      <c r="DU155" s="203"/>
      <c r="DV155" s="203"/>
      <c r="DW155" s="203"/>
      <c r="DX155" s="203"/>
      <c r="DY155" s="203"/>
    </row>
    <row r="156" spans="1:129" ht="21" customHeight="1" thickBot="1" x14ac:dyDescent="0.35">
      <c r="B156" s="277">
        <v>18</v>
      </c>
      <c r="C156" s="278"/>
      <c r="D156" s="25">
        <v>0</v>
      </c>
      <c r="E156" s="279" t="s">
        <v>130</v>
      </c>
      <c r="F156" s="258"/>
      <c r="G156" s="258">
        <f t="shared" si="37"/>
        <v>0.3</v>
      </c>
      <c r="H156" s="506">
        <v>279.06049999999999</v>
      </c>
      <c r="I156" s="507">
        <v>79.962900599999998</v>
      </c>
      <c r="J156" s="474">
        <f t="shared" si="18"/>
        <v>79.962900599999998</v>
      </c>
      <c r="K156" s="474">
        <f t="shared" si="19"/>
        <v>39.981450299999999</v>
      </c>
      <c r="L156" s="474">
        <f t="shared" si="5"/>
        <v>0.64253956655634092</v>
      </c>
      <c r="M156" s="474">
        <f t="shared" si="6"/>
        <v>179.30741271299578</v>
      </c>
      <c r="N156" s="474">
        <f t="shared" si="7"/>
        <v>358.61482542599157</v>
      </c>
      <c r="O156" s="474">
        <f>+C139+D140+D141+D142+D143+D144+D145+D146+D147+D148+D149+D150+D151+D152+D153+D154+D155+(D156/2)</f>
        <v>3</v>
      </c>
      <c r="P156" s="474">
        <f t="shared" si="8"/>
        <v>5.2335956242943779E-2</v>
      </c>
      <c r="Q156" s="474">
        <f t="shared" si="9"/>
        <v>18.768449811565617</v>
      </c>
      <c r="R156" s="474">
        <f t="shared" si="20"/>
        <v>335.53267608455064</v>
      </c>
      <c r="S156" s="474">
        <f t="shared" si="33"/>
        <v>354.30112589611628</v>
      </c>
      <c r="T156" s="476">
        <f t="shared" si="10"/>
        <v>354.30112589611628</v>
      </c>
      <c r="V156" s="437">
        <f t="shared" si="11"/>
        <v>0</v>
      </c>
      <c r="W156" s="437"/>
      <c r="X156" s="437"/>
      <c r="Y156" s="437"/>
      <c r="Z156" s="437"/>
      <c r="AA156" s="437"/>
      <c r="AB156" s="477" t="str">
        <f t="shared" si="34"/>
        <v>use the locking pin</v>
      </c>
      <c r="AC156" s="514" t="b">
        <f>IF(AD156=18,AF156)</f>
        <v>0</v>
      </c>
      <c r="AD156" s="514">
        <f t="shared" si="12"/>
        <v>1</v>
      </c>
      <c r="AE156" s="514">
        <f>IF(V156=0,0,18)</f>
        <v>0</v>
      </c>
      <c r="AF156" s="437">
        <f>SUM(V156:V158)/($B$136-B155)</f>
        <v>0</v>
      </c>
      <c r="AG156" s="437"/>
      <c r="AH156" s="450">
        <f>SUM(D140:D156)+$C$139</f>
        <v>3</v>
      </c>
      <c r="AI156" s="516" t="b">
        <f t="shared" si="21"/>
        <v>0</v>
      </c>
      <c r="AJ156" s="287">
        <f t="shared" si="22"/>
        <v>63.255548399999995</v>
      </c>
      <c r="AK156" s="441">
        <f t="shared" si="13"/>
        <v>0.89302252578859875</v>
      </c>
      <c r="AL156" s="289">
        <f t="shared" si="23"/>
        <v>271.76541876825956</v>
      </c>
      <c r="AM156" s="287">
        <f t="shared" si="24"/>
        <v>53.018549700000001</v>
      </c>
      <c r="AN156" s="442">
        <f t="shared" si="25"/>
        <v>0.79883030781287157</v>
      </c>
      <c r="AO156" s="291">
        <f t="shared" si="26"/>
        <v>222.92198511341383</v>
      </c>
      <c r="AP156" s="519">
        <f t="shared" si="14"/>
        <v>-69.15341362779337</v>
      </c>
      <c r="AQ156" s="291">
        <f t="shared" si="35"/>
        <v>-648</v>
      </c>
      <c r="AR156" s="443">
        <f t="shared" si="15"/>
        <v>-473.5</v>
      </c>
      <c r="AS156" s="444">
        <f t="shared" si="27"/>
        <v>494.68740388167339</v>
      </c>
      <c r="AT156" s="445">
        <f t="shared" si="36"/>
        <v>-222.92198511341383</v>
      </c>
      <c r="AU156" s="446">
        <f t="shared" si="28"/>
        <v>153.76857148562044</v>
      </c>
      <c r="AV156" s="445"/>
      <c r="AW156" s="447">
        <f t="shared" si="29"/>
        <v>-326.31731851847007</v>
      </c>
      <c r="AX156" s="447">
        <f t="shared" si="30"/>
        <v>-147.18268148152993</v>
      </c>
      <c r="AY156" s="448">
        <f t="shared" si="16"/>
        <v>-35.548220525547812</v>
      </c>
      <c r="AZ156" s="448">
        <f t="shared" si="17"/>
        <v>-67.942776278708493</v>
      </c>
      <c r="BA156" s="451">
        <f t="shared" si="31"/>
        <v>35.548220525547812</v>
      </c>
      <c r="BB156" s="451">
        <f t="shared" si="31"/>
        <v>67.942776278708493</v>
      </c>
      <c r="BC156">
        <f t="shared" si="32"/>
        <v>0.3</v>
      </c>
      <c r="BD156" s="458"/>
      <c r="BM156" s="214"/>
      <c r="BN156" s="214"/>
      <c r="BO156" s="214"/>
      <c r="DF156" s="126"/>
      <c r="DG156" s="126"/>
      <c r="DH156" s="126"/>
      <c r="DI156" s="126"/>
      <c r="DJ156" s="126"/>
      <c r="DK156" s="126"/>
      <c r="DL156" s="203"/>
      <c r="DM156" s="203"/>
      <c r="DN156" s="203"/>
      <c r="DO156" s="203"/>
      <c r="DP156" s="203"/>
      <c r="DQ156" s="203"/>
      <c r="DR156" s="203"/>
      <c r="DS156" s="203"/>
      <c r="DT156" s="203"/>
      <c r="DU156" s="203"/>
      <c r="DV156" s="203"/>
      <c r="DW156" s="203"/>
      <c r="DX156" s="203"/>
      <c r="DY156" s="203"/>
    </row>
    <row r="157" spans="1:129" ht="21" customHeight="1" thickBot="1" x14ac:dyDescent="0.35">
      <c r="B157" s="277">
        <v>19</v>
      </c>
      <c r="C157" s="524"/>
      <c r="D157" s="29">
        <v>0</v>
      </c>
      <c r="E157" s="279" t="s">
        <v>130</v>
      </c>
      <c r="F157" s="525"/>
      <c r="G157" s="525">
        <f t="shared" si="37"/>
        <v>0.3</v>
      </c>
      <c r="H157" s="506">
        <v>279.06049999999999</v>
      </c>
      <c r="I157" s="507">
        <v>79.962900599999998</v>
      </c>
      <c r="J157" s="526">
        <f t="shared" si="18"/>
        <v>79.962900599999998</v>
      </c>
      <c r="K157" s="526">
        <f t="shared" si="19"/>
        <v>39.981450299999999</v>
      </c>
      <c r="L157" s="526">
        <f t="shared" si="5"/>
        <v>0.64253956655634092</v>
      </c>
      <c r="M157" s="526">
        <f t="shared" si="6"/>
        <v>179.30741271299578</v>
      </c>
      <c r="N157" s="526">
        <f t="shared" si="7"/>
        <v>358.61482542599157</v>
      </c>
      <c r="O157" s="526">
        <f>+C139+D140+D141+D142+D143+D144+D145+D146+D147+D148+D149+D150+D151+D152+D153+D154+D155+D156+(D157/2)</f>
        <v>3</v>
      </c>
      <c r="P157" s="526">
        <f t="shared" si="8"/>
        <v>5.2335956242943779E-2</v>
      </c>
      <c r="Q157" s="526">
        <f t="shared" si="9"/>
        <v>18.768449811565617</v>
      </c>
      <c r="R157" s="526">
        <f t="shared" si="20"/>
        <v>354.30112589611628</v>
      </c>
      <c r="S157" s="526">
        <f t="shared" si="33"/>
        <v>373.06957570768191</v>
      </c>
      <c r="T157" s="527">
        <f t="shared" si="10"/>
        <v>373.06957570768191</v>
      </c>
      <c r="U157" s="528"/>
      <c r="V157" s="529">
        <f t="shared" si="11"/>
        <v>0</v>
      </c>
      <c r="W157" s="529"/>
      <c r="X157" s="529"/>
      <c r="Y157" s="529"/>
      <c r="Z157" s="529"/>
      <c r="AA157" s="529"/>
      <c r="AB157" s="530" t="str">
        <f t="shared" si="34"/>
        <v>use the locking pin</v>
      </c>
      <c r="AC157" s="531" t="b">
        <f>IF(AD157=19,AF157)</f>
        <v>0</v>
      </c>
      <c r="AD157" s="531">
        <f t="shared" si="12"/>
        <v>1</v>
      </c>
      <c r="AE157" s="531">
        <f>IF(V157=0,0,19)</f>
        <v>0</v>
      </c>
      <c r="AF157" s="529">
        <f>SUM(V157:V158)/($B$136-B156)</f>
        <v>0</v>
      </c>
      <c r="AG157" s="529"/>
      <c r="AH157" s="532">
        <f>SUM(D139:D157)+$C$139</f>
        <v>3</v>
      </c>
      <c r="AI157" s="533" t="b">
        <f t="shared" si="21"/>
        <v>0</v>
      </c>
      <c r="AJ157" s="287">
        <f t="shared" si="22"/>
        <v>63.255548399999995</v>
      </c>
      <c r="AK157" s="534">
        <f t="shared" si="13"/>
        <v>0.89302252578859875</v>
      </c>
      <c r="AL157" s="289">
        <f t="shared" si="23"/>
        <v>271.76541876825956</v>
      </c>
      <c r="AM157" s="287">
        <f t="shared" si="24"/>
        <v>53.018549700000001</v>
      </c>
      <c r="AN157" s="535">
        <f t="shared" si="25"/>
        <v>0.79883030781287157</v>
      </c>
      <c r="AO157" s="291">
        <f t="shared" si="26"/>
        <v>222.92198511341383</v>
      </c>
      <c r="AP157" s="536">
        <f t="shared" si="14"/>
        <v>-63.704555161011982</v>
      </c>
      <c r="AQ157" s="291">
        <f t="shared" si="35"/>
        <v>-688.5</v>
      </c>
      <c r="AR157" s="537">
        <f t="shared" si="15"/>
        <v>-514</v>
      </c>
      <c r="AS157" s="538">
        <f t="shared" si="27"/>
        <v>494.68740388167339</v>
      </c>
      <c r="AT157" s="529">
        <f t="shared" si="36"/>
        <v>-222.92198511341383</v>
      </c>
      <c r="AU157" s="539">
        <f t="shared" si="28"/>
        <v>159.21742995240186</v>
      </c>
      <c r="AV157" s="529"/>
      <c r="AW157" s="540">
        <f t="shared" si="29"/>
        <v>-348.5667216238445</v>
      </c>
      <c r="AX157" s="540">
        <f t="shared" si="30"/>
        <v>-165.43327837615553</v>
      </c>
      <c r="AY157" s="541">
        <f t="shared" si="16"/>
        <v>-33.279137910698573</v>
      </c>
      <c r="AZ157" s="541">
        <f t="shared" si="17"/>
        <v>-60.447330175385886</v>
      </c>
      <c r="BA157" s="542">
        <f t="shared" si="31"/>
        <v>33.279137910698573</v>
      </c>
      <c r="BB157" s="542">
        <f t="shared" si="31"/>
        <v>60.447330175385886</v>
      </c>
      <c r="BC157">
        <f t="shared" si="32"/>
        <v>0.3</v>
      </c>
      <c r="BD157" s="144"/>
      <c r="BM157" s="214"/>
      <c r="BN157" s="214"/>
      <c r="BO157" s="214"/>
      <c r="DF157" s="126"/>
      <c r="DG157" s="126"/>
      <c r="DH157" s="126"/>
      <c r="DI157" s="126"/>
      <c r="DJ157" s="126"/>
      <c r="DK157" s="126"/>
      <c r="DL157" s="203"/>
      <c r="DM157" s="203"/>
      <c r="DN157" s="203"/>
      <c r="DO157" s="203"/>
      <c r="DP157" s="203"/>
      <c r="DQ157" s="203"/>
      <c r="DR157" s="203"/>
      <c r="DS157" s="203"/>
      <c r="DT157" s="203"/>
      <c r="DU157" s="203"/>
      <c r="DV157" s="203"/>
      <c r="DW157" s="203"/>
      <c r="DX157" s="203"/>
      <c r="DY157" s="203"/>
    </row>
    <row r="158" spans="1:129" ht="21" customHeight="1" thickBot="1" x14ac:dyDescent="0.35">
      <c r="B158" s="277">
        <v>20</v>
      </c>
      <c r="C158" s="278"/>
      <c r="D158" s="25">
        <v>0</v>
      </c>
      <c r="E158" s="279" t="s">
        <v>130</v>
      </c>
      <c r="F158" s="258"/>
      <c r="G158" s="258">
        <f t="shared" si="37"/>
        <v>0.3</v>
      </c>
      <c r="H158" s="506">
        <v>279.06049999999999</v>
      </c>
      <c r="I158" s="507">
        <v>79.962900599999998</v>
      </c>
      <c r="J158" s="474">
        <f t="shared" si="18"/>
        <v>79.962900599999998</v>
      </c>
      <c r="K158" s="474">
        <f t="shared" si="19"/>
        <v>39.981450299999999</v>
      </c>
      <c r="L158" s="474">
        <f t="shared" si="5"/>
        <v>0.64253956655634092</v>
      </c>
      <c r="M158" s="474">
        <f t="shared" si="6"/>
        <v>179.30741271299578</v>
      </c>
      <c r="N158" s="474">
        <f t="shared" si="7"/>
        <v>358.61482542599157</v>
      </c>
      <c r="O158" s="474">
        <f>+C139+D140+D141+D142+D143+D144+D145+D146+D147+D148+D149+D150+D151+D152+D153+D154+D155+D156+D157+(D158/2)</f>
        <v>3</v>
      </c>
      <c r="P158" s="474">
        <f t="shared" si="8"/>
        <v>5.2335956242943779E-2</v>
      </c>
      <c r="Q158" s="474">
        <f t="shared" si="9"/>
        <v>18.768449811565617</v>
      </c>
      <c r="R158" s="474">
        <f t="shared" si="20"/>
        <v>373.06957570768191</v>
      </c>
      <c r="S158" s="474">
        <f t="shared" si="33"/>
        <v>391.83802551924754</v>
      </c>
      <c r="T158" s="476">
        <f t="shared" si="10"/>
        <v>391.83802551924754</v>
      </c>
      <c r="V158" s="437">
        <f t="shared" si="11"/>
        <v>0</v>
      </c>
      <c r="W158" s="437"/>
      <c r="X158" s="437"/>
      <c r="Y158" s="437"/>
      <c r="Z158" s="437"/>
      <c r="AA158" s="437"/>
      <c r="AB158" s="477" t="str">
        <f t="shared" si="34"/>
        <v>use the locking pin</v>
      </c>
      <c r="AC158" s="514" t="b">
        <f>IF(AD158=20,AF158)</f>
        <v>0</v>
      </c>
      <c r="AD158" s="514">
        <f t="shared" si="12"/>
        <v>1</v>
      </c>
      <c r="AE158" s="514">
        <f>IF(V158=0,0,20)</f>
        <v>0</v>
      </c>
      <c r="AF158" s="437">
        <f>SUM(V158:V158)/($B$136-B157)</f>
        <v>0</v>
      </c>
      <c r="AG158" s="437"/>
      <c r="AH158" s="450">
        <f>SUM(D140:D158)+$C$139</f>
        <v>3</v>
      </c>
      <c r="AI158" s="516" t="b">
        <f t="shared" si="21"/>
        <v>0</v>
      </c>
      <c r="AJ158" s="287">
        <f t="shared" si="22"/>
        <v>63.255548399999995</v>
      </c>
      <c r="AK158" s="441">
        <f t="shared" si="13"/>
        <v>0.89302252578859875</v>
      </c>
      <c r="AL158" s="289">
        <f t="shared" si="23"/>
        <v>271.76541876825956</v>
      </c>
      <c r="AM158" s="287">
        <f t="shared" si="24"/>
        <v>53.018549700000001</v>
      </c>
      <c r="AN158" s="442">
        <f t="shared" si="25"/>
        <v>0.79883030781287157</v>
      </c>
      <c r="AO158" s="291">
        <f t="shared" si="26"/>
        <v>222.92198511341383</v>
      </c>
      <c r="AP158" s="519">
        <f t="shared" si="14"/>
        <v>-59.051652574860519</v>
      </c>
      <c r="AQ158" s="291">
        <f t="shared" si="35"/>
        <v>-729</v>
      </c>
      <c r="AR158" s="443">
        <f t="shared" si="15"/>
        <v>-554.5</v>
      </c>
      <c r="AS158" s="444">
        <f t="shared" si="27"/>
        <v>494.68740388167339</v>
      </c>
      <c r="AT158" s="445">
        <f t="shared" si="36"/>
        <v>-222.92198511341383</v>
      </c>
      <c r="AU158" s="446">
        <f t="shared" si="28"/>
        <v>163.8703325385533</v>
      </c>
      <c r="AV158" s="445"/>
      <c r="AW158" s="447">
        <f t="shared" si="29"/>
        <v>-370.81612472921893</v>
      </c>
      <c r="AX158" s="447">
        <f t="shared" si="30"/>
        <v>-183.6838752707811</v>
      </c>
      <c r="AY158" s="448">
        <f t="shared" si="16"/>
        <v>-31.282350540906677</v>
      </c>
      <c r="AZ158" s="448">
        <f t="shared" si="17"/>
        <v>-54.441360109907897</v>
      </c>
      <c r="BA158" s="451">
        <f t="shared" si="31"/>
        <v>31.282350540906677</v>
      </c>
      <c r="BB158" s="451">
        <f t="shared" si="31"/>
        <v>54.441360109907897</v>
      </c>
      <c r="BC158">
        <f t="shared" si="32"/>
        <v>0.3</v>
      </c>
      <c r="BD158" s="144"/>
      <c r="BM158" s="214"/>
      <c r="BN158" s="214"/>
      <c r="BO158" s="214"/>
      <c r="DF158" s="126"/>
      <c r="DG158" s="126"/>
      <c r="DH158" s="126"/>
      <c r="DI158" s="126"/>
      <c r="DJ158" s="126"/>
      <c r="DK158" s="126"/>
      <c r="DL158" s="203"/>
      <c r="DM158" s="203"/>
      <c r="DN158" s="203"/>
      <c r="DO158" s="203"/>
      <c r="DP158" s="203"/>
      <c r="DQ158" s="203"/>
      <c r="DR158" s="203"/>
      <c r="DS158" s="203"/>
      <c r="DT158" s="203"/>
      <c r="DU158" s="203"/>
      <c r="DV158" s="203"/>
      <c r="DW158" s="203"/>
      <c r="DX158" s="203"/>
      <c r="DY158" s="203"/>
    </row>
    <row r="159" spans="1:129" ht="21" customHeight="1" thickBot="1" x14ac:dyDescent="0.35">
      <c r="D159" s="543"/>
      <c r="E159" s="543"/>
      <c r="F159" s="543"/>
      <c r="G159" s="543"/>
      <c r="V159" s="437"/>
      <c r="W159" s="437"/>
      <c r="X159" s="437"/>
      <c r="Y159" s="437"/>
      <c r="Z159" s="437"/>
      <c r="AA159" s="437"/>
      <c r="AB159" s="464"/>
      <c r="AC159" s="464"/>
      <c r="AD159" s="464"/>
      <c r="AE159" s="464"/>
      <c r="AF159" s="437"/>
      <c r="AG159" s="437"/>
      <c r="AH159" s="437"/>
      <c r="AI159" s="437"/>
      <c r="AJ159" s="543"/>
      <c r="AK159" s="415"/>
      <c r="AL159" s="292"/>
      <c r="AM159" s="543"/>
      <c r="AN159" s="415"/>
      <c r="AO159" s="292"/>
      <c r="AP159" s="445"/>
      <c r="AQ159" s="292"/>
      <c r="AR159" s="445"/>
      <c r="AS159" s="445"/>
      <c r="AT159" s="445"/>
      <c r="AU159" s="445"/>
      <c r="AV159" s="445"/>
      <c r="AW159" s="445"/>
      <c r="AX159" s="445"/>
      <c r="AY159" s="544"/>
      <c r="AZ159" s="544"/>
      <c r="BA159" s="544"/>
      <c r="BB159" s="544"/>
      <c r="BD159" s="545"/>
      <c r="BM159" s="214"/>
      <c r="BN159" s="214"/>
      <c r="BO159" s="214"/>
    </row>
    <row r="160" spans="1:129" ht="16.5" customHeight="1" thickBot="1" x14ac:dyDescent="0.35">
      <c r="B160" s="1854" t="s">
        <v>268</v>
      </c>
      <c r="D160" s="543"/>
      <c r="E160" s="543"/>
      <c r="F160" s="543"/>
      <c r="G160" s="543"/>
      <c r="V160" s="437"/>
      <c r="W160" s="437"/>
      <c r="X160" s="437"/>
      <c r="Y160" s="437"/>
      <c r="Z160" s="437"/>
      <c r="AA160" s="437"/>
      <c r="AB160" s="464"/>
      <c r="AC160" s="464"/>
      <c r="AD160" s="464"/>
      <c r="AE160" s="464"/>
      <c r="AF160" s="437"/>
      <c r="AG160" s="437"/>
      <c r="AH160" s="546" t="s">
        <v>79</v>
      </c>
      <c r="AI160" s="547">
        <f>MAX(AI139:AI158)</f>
        <v>0</v>
      </c>
      <c r="AJ160" s="543"/>
      <c r="AK160" s="415"/>
      <c r="AL160" s="845" t="s">
        <v>200</v>
      </c>
      <c r="AM160" s="846"/>
      <c r="AN160" s="846"/>
      <c r="AO160" s="846"/>
      <c r="AP160" s="847"/>
      <c r="AQ160" s="292"/>
      <c r="AR160" s="445"/>
      <c r="AS160" s="445"/>
      <c r="AT160" s="445"/>
      <c r="AU160" s="445"/>
      <c r="AV160" s="445"/>
      <c r="AW160" s="445"/>
      <c r="AX160" s="445"/>
      <c r="AY160" s="544"/>
      <c r="AZ160" s="544"/>
      <c r="BA160" s="544"/>
      <c r="BB160" s="544"/>
      <c r="BD160" s="545"/>
      <c r="BE160" s="136"/>
      <c r="BF160" s="136"/>
      <c r="BG160" s="297" t="s">
        <v>122</v>
      </c>
      <c r="BH160" s="136"/>
      <c r="BI160" s="136"/>
      <c r="BJ160" s="136"/>
      <c r="BK160" s="136"/>
      <c r="BL160" s="136"/>
      <c r="BM160" s="214"/>
      <c r="BN160" s="214"/>
      <c r="BO160" s="214"/>
    </row>
    <row r="161" spans="2:142" ht="16.5" customHeight="1" thickBot="1" x14ac:dyDescent="0.35">
      <c r="B161" s="1855"/>
      <c r="D161" s="543"/>
      <c r="E161" s="543"/>
      <c r="F161" s="543"/>
      <c r="G161" s="543"/>
      <c r="V161" s="437"/>
      <c r="W161" s="437"/>
      <c r="X161" s="437"/>
      <c r="Y161" s="437"/>
      <c r="Z161" s="437"/>
      <c r="AA161" s="437"/>
      <c r="AB161" s="464"/>
      <c r="AC161" s="464"/>
      <c r="AD161" s="464"/>
      <c r="AE161" s="464"/>
      <c r="AF161" s="437"/>
      <c r="AG161" s="437"/>
      <c r="AH161" s="853"/>
      <c r="AI161" s="854"/>
      <c r="AJ161" s="543"/>
      <c r="AK161" s="415"/>
      <c r="AL161" s="814" t="s">
        <v>175</v>
      </c>
      <c r="AM161" s="815" t="s">
        <v>176</v>
      </c>
      <c r="AN161" s="815" t="s">
        <v>177</v>
      </c>
      <c r="AO161" s="816" t="s">
        <v>181</v>
      </c>
      <c r="AP161" s="817"/>
      <c r="AQ161" s="292"/>
      <c r="AR161" s="445"/>
      <c r="AS161" s="445"/>
      <c r="AT161" s="445"/>
      <c r="AU161" s="445"/>
      <c r="AV161" s="445"/>
      <c r="AW161" s="445"/>
      <c r="AX161" s="445"/>
      <c r="AY161" s="544"/>
      <c r="AZ161" s="544"/>
      <c r="BA161" s="544"/>
      <c r="BB161" s="544"/>
      <c r="BD161" s="545"/>
      <c r="BE161" s="136"/>
      <c r="BF161" s="136"/>
      <c r="BG161" s="297"/>
      <c r="BH161" s="136"/>
      <c r="BI161" s="136"/>
      <c r="BJ161" s="136"/>
      <c r="BK161" s="136"/>
      <c r="BL161" s="136"/>
      <c r="BM161" s="214"/>
      <c r="BN161" s="214"/>
      <c r="BO161" s="214"/>
    </row>
    <row r="162" spans="2:142" ht="16.5" customHeight="1" thickBot="1" x14ac:dyDescent="0.35">
      <c r="B162" s="1855"/>
      <c r="D162" s="543"/>
      <c r="E162" s="543"/>
      <c r="F162" s="543"/>
      <c r="G162" s="543"/>
      <c r="V162" s="437"/>
      <c r="W162" s="437"/>
      <c r="X162" s="437"/>
      <c r="Y162" s="437"/>
      <c r="Z162" s="437"/>
      <c r="AA162" s="437"/>
      <c r="AB162" s="464"/>
      <c r="AC162" s="464"/>
      <c r="AD162" s="464"/>
      <c r="AE162" s="464"/>
      <c r="AF162" s="437"/>
      <c r="AG162" s="437"/>
      <c r="AH162" s="853"/>
      <c r="AI162" s="854"/>
      <c r="AJ162" s="543"/>
      <c r="AK162" s="415"/>
      <c r="AL162" s="818">
        <v>6.8623010000000004</v>
      </c>
      <c r="AM162" s="819">
        <f>+(AI160*-1)-AL162</f>
        <v>-6.8623010000000004</v>
      </c>
      <c r="AN162" s="820">
        <f>COS(AM162*3.14159265358979/180)</f>
        <v>0.99283617366519983</v>
      </c>
      <c r="AO162" s="848">
        <f>+AN162*378.71303</f>
        <v>375.99999562235405</v>
      </c>
      <c r="AP162" s="821"/>
      <c r="AQ162" s="292"/>
      <c r="AR162" s="445"/>
      <c r="AS162" s="445"/>
      <c r="AT162" s="445"/>
      <c r="AU162" s="445"/>
      <c r="AV162" s="445"/>
      <c r="AW162" s="445"/>
      <c r="AX162" s="445"/>
      <c r="AY162" s="544"/>
      <c r="AZ162" s="544"/>
      <c r="BA162" s="544"/>
      <c r="BB162" s="544"/>
      <c r="BD162" s="545"/>
      <c r="BE162" s="136"/>
      <c r="BF162" s="136"/>
      <c r="BG162" s="297"/>
      <c r="BH162" s="136"/>
      <c r="BI162" s="136"/>
      <c r="BJ162" s="136"/>
      <c r="BK162" s="136"/>
      <c r="BL162" s="136"/>
      <c r="BM162" s="214"/>
      <c r="BN162" s="214"/>
      <c r="BO162" s="214"/>
    </row>
    <row r="163" spans="2:142" ht="16.5" customHeight="1" thickBot="1" x14ac:dyDescent="0.35">
      <c r="B163" s="1855"/>
      <c r="D163" s="543"/>
      <c r="E163" s="543"/>
      <c r="F163" s="543"/>
      <c r="G163" s="543"/>
      <c r="V163" s="437"/>
      <c r="W163" s="437"/>
      <c r="X163" s="437"/>
      <c r="Y163" s="437"/>
      <c r="Z163" s="437"/>
      <c r="AA163" s="437"/>
      <c r="AB163" s="464"/>
      <c r="AC163" s="464"/>
      <c r="AD163" s="464"/>
      <c r="AE163" s="464"/>
      <c r="AF163" s="437"/>
      <c r="AG163" s="437"/>
      <c r="AH163" s="853"/>
      <c r="AI163" s="854"/>
      <c r="AJ163" s="543"/>
      <c r="AK163" s="415"/>
      <c r="AL163" s="844" t="s">
        <v>199</v>
      </c>
      <c r="AM163" s="849"/>
      <c r="AN163" s="849"/>
      <c r="AO163" s="849"/>
      <c r="AP163" s="850"/>
      <c r="AQ163" s="292"/>
      <c r="AR163" s="445"/>
      <c r="AS163" s="445"/>
      <c r="AT163" s="445"/>
      <c r="AU163" s="445"/>
      <c r="AV163" s="445"/>
      <c r="AW163" s="445"/>
      <c r="AX163" s="445"/>
      <c r="AY163" s="544"/>
      <c r="AZ163" s="544"/>
      <c r="BA163" s="544"/>
      <c r="BB163" s="544"/>
      <c r="BD163" s="545"/>
      <c r="BE163" s="136"/>
      <c r="BF163" s="136"/>
      <c r="BG163" s="297"/>
      <c r="BH163" s="136"/>
      <c r="BI163" s="136"/>
      <c r="BJ163" s="136"/>
      <c r="BK163" s="136"/>
      <c r="BL163" s="136"/>
      <c r="BM163" s="214"/>
      <c r="BN163" s="214"/>
      <c r="BO163" s="214"/>
    </row>
    <row r="164" spans="2:142" ht="16.5" customHeight="1" thickBot="1" x14ac:dyDescent="0.35">
      <c r="B164" s="1856"/>
      <c r="C164"/>
      <c r="D164" s="543"/>
      <c r="E164" s="464"/>
      <c r="F164" s="543"/>
      <c r="G164" s="543"/>
      <c r="V164" s="437"/>
      <c r="W164" s="437"/>
      <c r="X164" s="437"/>
      <c r="Y164" s="437"/>
      <c r="Z164" s="437"/>
      <c r="AA164" s="437"/>
      <c r="AB164" s="464"/>
      <c r="AC164" s="464"/>
      <c r="AD164" s="464"/>
      <c r="AE164" s="464"/>
      <c r="AF164" s="437"/>
      <c r="AG164" s="437"/>
      <c r="AH164" s="437"/>
      <c r="AI164" s="437"/>
      <c r="AJ164" s="543"/>
      <c r="AK164" s="415"/>
      <c r="AL164" s="851"/>
      <c r="AM164" s="815" t="s">
        <v>194</v>
      </c>
      <c r="AN164" s="815" t="s">
        <v>193</v>
      </c>
      <c r="AO164" s="816" t="s">
        <v>197</v>
      </c>
      <c r="AP164" s="843" t="s">
        <v>191</v>
      </c>
      <c r="AQ164" s="292"/>
      <c r="AR164" s="445"/>
      <c r="AS164" s="445"/>
      <c r="AT164" s="445"/>
      <c r="AU164" s="445"/>
      <c r="AV164" s="445"/>
      <c r="AW164" s="445"/>
      <c r="AX164" s="445"/>
      <c r="AY164" s="544"/>
      <c r="AZ164" s="544"/>
      <c r="BA164" s="544"/>
      <c r="BB164" s="544"/>
      <c r="BD164" s="545"/>
      <c r="BE164" s="298">
        <v>1</v>
      </c>
      <c r="BF164" s="299">
        <v>-473</v>
      </c>
      <c r="BG164" s="300">
        <f>+COS(($B$133*-1)*3.14159265358979/180)*BF164</f>
        <v>-473</v>
      </c>
      <c r="BH164" s="301">
        <f t="shared" ref="BH164:BH203" si="38">+BG164-D$3</f>
        <v>-687.42050230498398</v>
      </c>
      <c r="BI164" s="302">
        <f t="shared" ref="BI164:BI203" si="39">ABS(BH164)</f>
        <v>687.42050230498398</v>
      </c>
      <c r="BJ164" s="303">
        <f>MIN(BI164:BI203)</f>
        <v>0.57949769501604464</v>
      </c>
      <c r="BK164" s="302" t="b">
        <f>IF(BJ164=BI164,BE164)</f>
        <v>0</v>
      </c>
      <c r="BL164" s="304">
        <v>1</v>
      </c>
      <c r="BM164" s="214"/>
      <c r="BN164" s="214"/>
      <c r="BO164" s="214"/>
    </row>
    <row r="165" spans="2:142" ht="26" thickBot="1" x14ac:dyDescent="0.35">
      <c r="B165" s="34">
        <v>0</v>
      </c>
      <c r="D165" s="548" t="s">
        <v>269</v>
      </c>
      <c r="E165" s="1101"/>
      <c r="F165" s="1103" t="s">
        <v>270</v>
      </c>
      <c r="G165" s="543"/>
      <c r="V165" s="437"/>
      <c r="W165" s="437"/>
      <c r="X165" s="437"/>
      <c r="Y165" s="437"/>
      <c r="Z165" s="437"/>
      <c r="AA165" s="437"/>
      <c r="AB165" s="464"/>
      <c r="AC165" s="464"/>
      <c r="AD165" s="464"/>
      <c r="AE165" s="464"/>
      <c r="AF165" s="437"/>
      <c r="AG165" s="437"/>
      <c r="AH165" s="437"/>
      <c r="AI165" s="437"/>
      <c r="AJ165" s="543"/>
      <c r="AK165" s="415"/>
      <c r="AL165" s="852"/>
      <c r="AM165" s="822">
        <f>+AI160</f>
        <v>0</v>
      </c>
      <c r="AN165" s="823">
        <f>SIN(AM165*3.14159265358979/180)</f>
        <v>0</v>
      </c>
      <c r="AO165" s="824">
        <f>+AN165*((+B136*358.6)+119+119)</f>
        <v>0</v>
      </c>
      <c r="AP165" s="825">
        <f>+AO162+AO165</f>
        <v>375.99999562235405</v>
      </c>
      <c r="AQ165" s="292"/>
      <c r="AR165" s="445"/>
      <c r="AS165" s="445"/>
      <c r="AT165" s="445"/>
      <c r="AU165" s="445"/>
      <c r="AV165" s="445"/>
      <c r="AW165" s="445"/>
      <c r="AX165" s="445"/>
      <c r="AY165" s="544"/>
      <c r="AZ165" s="544"/>
      <c r="BA165" s="544"/>
      <c r="BB165" s="544"/>
      <c r="BD165" s="545"/>
      <c r="BE165" s="298">
        <v>2</v>
      </c>
      <c r="BF165" s="299">
        <f>+BF164+43</f>
        <v>-430</v>
      </c>
      <c r="BG165" s="42">
        <f>+BG164+$E$2</f>
        <v>-430</v>
      </c>
      <c r="BH165" s="301">
        <f t="shared" si="38"/>
        <v>-644.42050230498398</v>
      </c>
      <c r="BI165" s="302">
        <f t="shared" si="39"/>
        <v>644.42050230498398</v>
      </c>
      <c r="BJ165" s="302">
        <f>+BJ164</f>
        <v>0.57949769501604464</v>
      </c>
      <c r="BK165" s="302" t="b">
        <f t="shared" ref="BK165:BK203" si="40">IF(BJ165=BI165,BE165)</f>
        <v>0</v>
      </c>
      <c r="BL165" s="304">
        <v>2</v>
      </c>
      <c r="BM165" s="214"/>
      <c r="BN165" s="214"/>
      <c r="BO165" s="214"/>
    </row>
    <row r="166" spans="2:142" ht="21" thickBot="1" x14ac:dyDescent="0.35">
      <c r="D166" s="543"/>
      <c r="E166" s="543"/>
      <c r="F166" s="543"/>
      <c r="G166" s="543"/>
      <c r="V166" s="437"/>
      <c r="W166" s="437"/>
      <c r="X166" s="437"/>
      <c r="Y166" s="437"/>
      <c r="Z166" s="437"/>
      <c r="AA166" s="437"/>
      <c r="AB166" s="464"/>
      <c r="AC166" s="464"/>
      <c r="AD166" s="464"/>
      <c r="AE166" s="464"/>
      <c r="AF166" s="437"/>
      <c r="AG166" s="437"/>
      <c r="AH166" s="437"/>
      <c r="AI166" s="437"/>
      <c r="AJ166" s="543"/>
      <c r="AK166" s="415"/>
      <c r="AL166" s="292"/>
      <c r="AM166" s="543"/>
      <c r="AN166" s="415"/>
      <c r="AO166" s="292"/>
      <c r="AP166" s="445"/>
      <c r="AQ166" s="292"/>
      <c r="AR166" s="445"/>
      <c r="AS166" s="445"/>
      <c r="AT166" s="445"/>
      <c r="AU166" s="445"/>
      <c r="AV166" s="445"/>
      <c r="AW166" s="445"/>
      <c r="AX166" s="445"/>
      <c r="AY166" s="544"/>
      <c r="AZ166" s="544"/>
      <c r="BA166" s="544"/>
      <c r="BB166" s="544"/>
      <c r="BD166" s="545"/>
      <c r="BE166" s="298">
        <v>3</v>
      </c>
      <c r="BF166" s="299">
        <f t="shared" ref="BF166:BF203" si="41">+BF165+43</f>
        <v>-387</v>
      </c>
      <c r="BG166" s="42">
        <f t="shared" ref="BG166:BG203" si="42">+BG165+$E$2</f>
        <v>-387</v>
      </c>
      <c r="BH166" s="301">
        <f t="shared" si="38"/>
        <v>-601.42050230498398</v>
      </c>
      <c r="BI166" s="302">
        <f t="shared" si="39"/>
        <v>601.42050230498398</v>
      </c>
      <c r="BJ166" s="302">
        <f t="shared" ref="BJ166:BJ203" si="43">+BJ165</f>
        <v>0.57949769501604464</v>
      </c>
      <c r="BK166" s="302" t="b">
        <f t="shared" si="40"/>
        <v>0</v>
      </c>
      <c r="BL166" s="304">
        <v>3</v>
      </c>
      <c r="BM166" s="214"/>
      <c r="BN166" s="214"/>
      <c r="BO166" s="214"/>
    </row>
    <row r="167" spans="2:142" ht="78" customHeight="1" thickBot="1" x14ac:dyDescent="0.35">
      <c r="B167" s="345" t="s">
        <v>211</v>
      </c>
      <c r="C167" s="412"/>
      <c r="D167" s="37"/>
      <c r="E167" s="37"/>
      <c r="F167" s="37"/>
      <c r="G167" s="37"/>
      <c r="T167" s="187"/>
      <c r="BD167" s="136"/>
      <c r="BE167" s="298">
        <v>4</v>
      </c>
      <c r="BF167" s="299">
        <f t="shared" si="41"/>
        <v>-344</v>
      </c>
      <c r="BG167" s="42">
        <f t="shared" si="42"/>
        <v>-344</v>
      </c>
      <c r="BH167" s="301">
        <f t="shared" si="38"/>
        <v>-558.42050230498398</v>
      </c>
      <c r="BI167" s="302">
        <f t="shared" si="39"/>
        <v>558.42050230498398</v>
      </c>
      <c r="BJ167" s="302">
        <f t="shared" si="43"/>
        <v>0.57949769501604464</v>
      </c>
      <c r="BK167" s="302" t="b">
        <f t="shared" si="40"/>
        <v>0</v>
      </c>
      <c r="BL167" s="304">
        <v>4</v>
      </c>
      <c r="BM167" s="214"/>
      <c r="BN167" s="214"/>
      <c r="BO167" s="214"/>
      <c r="EK167" s="78"/>
      <c r="EL167" s="78"/>
    </row>
    <row r="168" spans="2:142" ht="28.5" customHeight="1" thickBot="1" x14ac:dyDescent="0.35">
      <c r="B168" s="27">
        <v>1</v>
      </c>
      <c r="C168" s="216"/>
      <c r="D168" s="556" t="s">
        <v>109</v>
      </c>
      <c r="E168" s="330"/>
      <c r="F168" s="330"/>
      <c r="G168" s="330"/>
      <c r="H168" s="342" t="s">
        <v>87</v>
      </c>
      <c r="I168" s="342" t="s">
        <v>88</v>
      </c>
      <c r="J168" s="342" t="s">
        <v>89</v>
      </c>
      <c r="K168"/>
      <c r="L168"/>
      <c r="M168"/>
      <c r="N168"/>
      <c r="O168"/>
      <c r="P168" s="342" t="s">
        <v>90</v>
      </c>
      <c r="Q168" s="342" t="s">
        <v>91</v>
      </c>
      <c r="R168" s="330"/>
      <c r="S168" s="342" t="s">
        <v>92</v>
      </c>
      <c r="T168" s="414"/>
      <c r="W168" s="1850" t="s">
        <v>93</v>
      </c>
      <c r="X168" s="1850"/>
      <c r="Y168" s="1850"/>
      <c r="Z168" s="1850"/>
      <c r="AA168" s="1850"/>
      <c r="AZ168" s="415"/>
      <c r="BA168" s="1848" t="s">
        <v>52</v>
      </c>
      <c r="BB168" s="1849"/>
      <c r="BD168" s="136"/>
      <c r="BE168" s="298">
        <v>5</v>
      </c>
      <c r="BF168" s="299">
        <f t="shared" si="41"/>
        <v>-301</v>
      </c>
      <c r="BG168" s="42">
        <f t="shared" si="42"/>
        <v>-301</v>
      </c>
      <c r="BH168" s="301">
        <f t="shared" si="38"/>
        <v>-515.42050230498398</v>
      </c>
      <c r="BI168" s="302">
        <f t="shared" si="39"/>
        <v>515.42050230498398</v>
      </c>
      <c r="BJ168" s="302">
        <f t="shared" si="43"/>
        <v>0.57949769501604464</v>
      </c>
      <c r="BK168" s="302" t="b">
        <f t="shared" si="40"/>
        <v>0</v>
      </c>
      <c r="BL168" s="304">
        <v>5</v>
      </c>
      <c r="BM168" s="214"/>
      <c r="BN168" s="214"/>
      <c r="BO168" s="214"/>
      <c r="EK168" s="78"/>
      <c r="EL168" s="78"/>
    </row>
    <row r="169" spans="2:142" ht="23" hidden="1" thickBot="1" x14ac:dyDescent="0.35">
      <c r="C169" s="416"/>
      <c r="D169" s="550" t="s">
        <v>13</v>
      </c>
      <c r="H169" s="356" t="s">
        <v>4</v>
      </c>
      <c r="I169" s="356" t="s">
        <v>1</v>
      </c>
      <c r="J169" s="377" t="s">
        <v>73</v>
      </c>
      <c r="K169" s="316" t="s">
        <v>2</v>
      </c>
      <c r="L169" s="316" t="s">
        <v>3</v>
      </c>
      <c r="M169" s="316" t="s">
        <v>8</v>
      </c>
      <c r="N169" s="316" t="s">
        <v>5</v>
      </c>
      <c r="O169" s="316" t="s">
        <v>6</v>
      </c>
      <c r="P169" s="316" t="s">
        <v>7</v>
      </c>
      <c r="Q169" s="316" t="s">
        <v>9</v>
      </c>
      <c r="R169" s="356" t="s">
        <v>10</v>
      </c>
      <c r="S169" s="316" t="s">
        <v>11</v>
      </c>
      <c r="T169" s="418" t="s">
        <v>12</v>
      </c>
      <c r="W169" s="356" t="s">
        <v>111</v>
      </c>
      <c r="X169" s="316" t="s">
        <v>94</v>
      </c>
      <c r="Y169" s="356" t="s">
        <v>110</v>
      </c>
      <c r="Z169" s="419" t="s">
        <v>95</v>
      </c>
      <c r="AA169" s="419" t="s">
        <v>96</v>
      </c>
      <c r="AC169" s="316" t="s">
        <v>99</v>
      </c>
      <c r="AD169" s="316"/>
      <c r="AE169" s="316"/>
      <c r="AF169" s="420"/>
      <c r="AG169" s="420"/>
      <c r="AH169" s="420"/>
      <c r="AI169" s="420"/>
      <c r="AJ169" s="420"/>
      <c r="AK169" s="420"/>
      <c r="AL169" s="420"/>
      <c r="AM169" s="420"/>
      <c r="AN169" s="420"/>
      <c r="AO169" s="420"/>
      <c r="AP169" s="420" t="s">
        <v>135</v>
      </c>
      <c r="AQ169" s="420"/>
      <c r="AR169" s="420" t="s">
        <v>135</v>
      </c>
      <c r="AS169" s="420"/>
      <c r="AT169" s="420"/>
      <c r="AU169" s="420" t="s">
        <v>135</v>
      </c>
      <c r="AV169" s="420"/>
      <c r="AW169" s="420"/>
      <c r="AX169" s="420"/>
      <c r="AY169" s="415" t="s">
        <v>51</v>
      </c>
      <c r="AZ169" s="415"/>
      <c r="BA169" s="420"/>
      <c r="BB169" s="420"/>
      <c r="BC169" s="231"/>
      <c r="BD169" s="136"/>
      <c r="BE169" s="298">
        <v>6</v>
      </c>
      <c r="BF169" s="299">
        <f t="shared" si="41"/>
        <v>-258</v>
      </c>
      <c r="BG169" s="42">
        <f t="shared" si="42"/>
        <v>-258</v>
      </c>
      <c r="BH169" s="301">
        <f t="shared" si="38"/>
        <v>-472.42050230498398</v>
      </c>
      <c r="BI169" s="302">
        <f t="shared" si="39"/>
        <v>472.42050230498398</v>
      </c>
      <c r="BJ169" s="302">
        <f t="shared" si="43"/>
        <v>0.57949769501604464</v>
      </c>
      <c r="BK169" s="302" t="b">
        <f t="shared" si="40"/>
        <v>0</v>
      </c>
      <c r="BL169" s="304">
        <v>6</v>
      </c>
      <c r="BM169" s="214"/>
      <c r="BN169" s="214"/>
      <c r="BO169" s="214"/>
      <c r="EK169" s="78"/>
      <c r="EL169" s="78"/>
    </row>
    <row r="170" spans="2:142" ht="27" customHeight="1" thickBot="1" x14ac:dyDescent="0.35">
      <c r="B170" s="421"/>
      <c r="C170" s="422"/>
      <c r="D170" s="551" t="s">
        <v>22</v>
      </c>
      <c r="E170" s="37"/>
      <c r="F170" s="330"/>
      <c r="G170" s="240"/>
      <c r="H170" s="356"/>
      <c r="I170" s="356"/>
      <c r="J170" s="377"/>
      <c r="K170" s="316"/>
      <c r="L170" s="316"/>
      <c r="M170" s="316"/>
      <c r="N170" s="316"/>
      <c r="O170" s="316"/>
      <c r="P170" s="316"/>
      <c r="Q170" s="316"/>
      <c r="R170" s="356"/>
      <c r="S170" s="316"/>
      <c r="T170" s="418"/>
      <c r="V170" s="420"/>
      <c r="W170" s="420"/>
      <c r="X170" s="420"/>
      <c r="Y170" s="420"/>
      <c r="Z170" s="420"/>
      <c r="AA170" s="420"/>
      <c r="AB170" s="420"/>
      <c r="AC170" s="423">
        <f>SUM(AC171:AC182)</f>
        <v>334.49993130661176</v>
      </c>
      <c r="AD170" s="424"/>
      <c r="AE170" s="424"/>
      <c r="AF170" s="420" t="s">
        <v>38</v>
      </c>
      <c r="AG170" s="552" t="s">
        <v>101</v>
      </c>
      <c r="AH170" s="425" t="s">
        <v>31</v>
      </c>
      <c r="AI170" s="425"/>
      <c r="AJ170" s="10" t="s">
        <v>108</v>
      </c>
      <c r="AK170" s="426" t="s">
        <v>32</v>
      </c>
      <c r="AL170" s="9" t="s">
        <v>33</v>
      </c>
      <c r="AM170" s="8" t="s">
        <v>107</v>
      </c>
      <c r="AN170" s="427" t="s">
        <v>34</v>
      </c>
      <c r="AO170" s="9" t="s">
        <v>35</v>
      </c>
      <c r="AP170" s="428" t="s">
        <v>48</v>
      </c>
      <c r="AQ170" s="367" t="s">
        <v>154</v>
      </c>
      <c r="AR170" s="428" t="s">
        <v>155</v>
      </c>
      <c r="AS170" s="420" t="s">
        <v>46</v>
      </c>
      <c r="AT170" s="420" t="s">
        <v>72</v>
      </c>
      <c r="AU170" s="428" t="s">
        <v>71</v>
      </c>
      <c r="AV170" s="553"/>
      <c r="AW170" s="429" t="s">
        <v>41</v>
      </c>
      <c r="AX170" s="429" t="s">
        <v>42</v>
      </c>
      <c r="AY170" s="430" t="s">
        <v>23</v>
      </c>
      <c r="AZ170" s="430" t="s">
        <v>24</v>
      </c>
      <c r="BA170" s="431" t="s">
        <v>23</v>
      </c>
      <c r="BB170" s="431" t="s">
        <v>24</v>
      </c>
      <c r="BD170" s="136"/>
      <c r="BE170" s="298">
        <v>7</v>
      </c>
      <c r="BF170" s="299">
        <f t="shared" si="41"/>
        <v>-215</v>
      </c>
      <c r="BG170" s="42">
        <f t="shared" si="42"/>
        <v>-215</v>
      </c>
      <c r="BH170" s="301">
        <f t="shared" si="38"/>
        <v>-429.42050230498398</v>
      </c>
      <c r="BI170" s="302">
        <f t="shared" si="39"/>
        <v>429.42050230498398</v>
      </c>
      <c r="BJ170" s="302">
        <f t="shared" si="43"/>
        <v>0.57949769501604464</v>
      </c>
      <c r="BK170" s="302" t="b">
        <f t="shared" si="40"/>
        <v>0</v>
      </c>
      <c r="BL170" s="304">
        <v>7</v>
      </c>
      <c r="BM170" s="214"/>
      <c r="BN170" s="214"/>
      <c r="BO170" s="214"/>
      <c r="EK170" s="78"/>
      <c r="EL170" s="78"/>
    </row>
    <row r="171" spans="2:142" ht="23" thickBot="1" x14ac:dyDescent="0.35">
      <c r="B171" s="255">
        <v>1</v>
      </c>
      <c r="C171" s="256">
        <f>+B165+AI160+D171</f>
        <v>0</v>
      </c>
      <c r="D171" s="25">
        <v>0</v>
      </c>
      <c r="E171" s="257" t="s">
        <v>80</v>
      </c>
      <c r="F171" s="258"/>
      <c r="G171" s="258"/>
      <c r="H171" s="506">
        <v>414.62658399999998</v>
      </c>
      <c r="I171" s="507">
        <v>36.220413100000002</v>
      </c>
      <c r="J171" s="508">
        <f>+I171-C171</f>
        <v>36.220413100000002</v>
      </c>
      <c r="K171" s="508"/>
      <c r="L171" s="508"/>
      <c r="M171" s="508"/>
      <c r="N171" s="508"/>
      <c r="O171" s="508"/>
      <c r="P171" s="508">
        <f>COS(J171*3.14159265358979/180)</f>
        <v>0.80674984242354264</v>
      </c>
      <c r="Q171" s="508">
        <f>+P171*H171</f>
        <v>334.49993130661176</v>
      </c>
      <c r="R171" s="509">
        <v>334.5</v>
      </c>
      <c r="S171" s="508">
        <f>+Q171</f>
        <v>334.49993130661176</v>
      </c>
      <c r="T171" s="510">
        <f t="shared" ref="T171:T182" si="44">+S171</f>
        <v>334.49993130661176</v>
      </c>
      <c r="U171" s="456"/>
      <c r="V171" s="511">
        <f>IF(B171&lt;($B$168+1),T171,0)</f>
        <v>334.49993130661176</v>
      </c>
      <c r="W171" s="512">
        <v>36.220415500000001</v>
      </c>
      <c r="X171" s="511">
        <f>+W171+AI183</f>
        <v>36.220415500000001</v>
      </c>
      <c r="Y171" s="512">
        <v>414.6266</v>
      </c>
      <c r="Z171" s="419">
        <f>+COS(X171*3.14159265358979/180)*Y171</f>
        <v>334.49993395207258</v>
      </c>
      <c r="AA171" s="513">
        <f>+AC170-Z171</f>
        <v>-2.6454608246240241E-6</v>
      </c>
      <c r="AB171" s="477"/>
      <c r="AC171" s="514">
        <f>IF(AD171=1,AF171)</f>
        <v>334.49993130661176</v>
      </c>
      <c r="AD171" s="514">
        <f>MAX(AE$171:AE$182)</f>
        <v>1</v>
      </c>
      <c r="AE171" s="514">
        <f>IF(V171=0,0,1)</f>
        <v>1</v>
      </c>
      <c r="AF171" s="511">
        <f>SUM(V171:V182)/($B$168)</f>
        <v>334.49993130661176</v>
      </c>
      <c r="AG171" s="511">
        <f>+AA139+$AF$171</f>
        <v>334.49992246950308</v>
      </c>
      <c r="AH171" s="515">
        <f>+D171+C171</f>
        <v>0</v>
      </c>
      <c r="AI171" s="516">
        <f>IF(B171&lt;($B$168+1),AH171)</f>
        <v>0</v>
      </c>
      <c r="AJ171" s="287">
        <f>53.779595+AI171</f>
        <v>53.779595</v>
      </c>
      <c r="AK171" s="517">
        <f>SIN(AJ171*3.14159265358979/180)</f>
        <v>0.8067499259590819</v>
      </c>
      <c r="AL171" s="289">
        <f>+AK171*414.6266</f>
        <v>334.49997885066585</v>
      </c>
      <c r="AM171" s="287">
        <f>59.2910885-AI171</f>
        <v>59.291088500000001</v>
      </c>
      <c r="AN171" s="518">
        <f>SIN(AM171*3.14159265358979/180)</f>
        <v>0.85977285389573432</v>
      </c>
      <c r="AO171" s="291">
        <f>+AN171*479.7721</f>
        <v>412.49502763654965</v>
      </c>
      <c r="AP171" s="519">
        <f t="shared" ref="AP171:AP182" si="45">+((AF171*AQ171)+($AQ$195*($AF$195+$AA$171)))/AR171</f>
        <v>228.18217663369256</v>
      </c>
      <c r="AQ171" s="269">
        <f>72*B168</f>
        <v>72</v>
      </c>
      <c r="AR171" s="519">
        <f t="shared" ref="AR171:AR182" si="46">+AQ171+$AQ$195+31</f>
        <v>143.5</v>
      </c>
      <c r="AS171" s="520">
        <f>+AO171+AL171</f>
        <v>746.99500648721551</v>
      </c>
      <c r="AT171" s="521">
        <f>+V171-AL171</f>
        <v>-4.7544054098125343E-5</v>
      </c>
      <c r="AU171" s="522">
        <f>+AP171-AT171</f>
        <v>228.18222417774666</v>
      </c>
      <c r="AV171" s="521"/>
      <c r="AW171" s="523">
        <f>+((AS171-AU171)/AS171)*AR171</f>
        <v>99.66550460827338</v>
      </c>
      <c r="AX171" s="523">
        <f>+(AU171/AS171)*AR171</f>
        <v>43.83449539172662</v>
      </c>
      <c r="AY171" s="448">
        <f t="shared" ref="AY171" si="47">2*$C$18/AW171</f>
        <v>116.38931690149761</v>
      </c>
      <c r="AZ171" s="448">
        <f>2*$D$19/AX171</f>
        <v>264.63176766007439</v>
      </c>
      <c r="BA171" s="451">
        <f>ABS(AY171)</f>
        <v>116.38931690149761</v>
      </c>
      <c r="BB171" s="451">
        <f>ABS(AZ171)</f>
        <v>264.63176766007439</v>
      </c>
      <c r="BC171" s="91"/>
      <c r="BD171" s="136"/>
      <c r="BE171" s="298">
        <v>8</v>
      </c>
      <c r="BF171" s="299">
        <f t="shared" si="41"/>
        <v>-172</v>
      </c>
      <c r="BG171" s="42">
        <f t="shared" si="42"/>
        <v>-172</v>
      </c>
      <c r="BH171" s="301">
        <f t="shared" si="38"/>
        <v>-386.42050230498398</v>
      </c>
      <c r="BI171" s="302">
        <f t="shared" si="39"/>
        <v>386.42050230498398</v>
      </c>
      <c r="BJ171" s="302">
        <f t="shared" si="43"/>
        <v>0.57949769501604464</v>
      </c>
      <c r="BK171" s="302" t="b">
        <f t="shared" si="40"/>
        <v>0</v>
      </c>
      <c r="BL171" s="304">
        <v>8</v>
      </c>
      <c r="BM171" s="214"/>
      <c r="BN171" s="214"/>
      <c r="BO171" s="214"/>
      <c r="EK171" s="78"/>
      <c r="EL171" s="78"/>
    </row>
    <row r="172" spans="2:142" ht="23" thickBot="1" x14ac:dyDescent="0.35">
      <c r="B172" s="277">
        <v>2</v>
      </c>
      <c r="C172" s="278"/>
      <c r="D172" s="25">
        <v>0</v>
      </c>
      <c r="E172" s="279" t="s">
        <v>80</v>
      </c>
      <c r="F172" s="258"/>
      <c r="G172" s="258"/>
      <c r="H172" s="506">
        <v>479.77208100000001</v>
      </c>
      <c r="I172" s="507">
        <v>61.416098300000002</v>
      </c>
      <c r="J172" s="474">
        <f>+I172+D172</f>
        <v>61.416098300000002</v>
      </c>
      <c r="K172" s="474">
        <f t="shared" ref="K172:K182" si="48">+J172/2</f>
        <v>30.708049150000001</v>
      </c>
      <c r="L172" s="474">
        <f t="shared" ref="L172:L182" si="49">SIN(K172*3.14159265358979/180)</f>
        <v>0.51066370850547771</v>
      </c>
      <c r="M172" s="474">
        <f t="shared" ref="M172:M182" si="50">+L172*H172</f>
        <v>245.00219012085046</v>
      </c>
      <c r="N172" s="474">
        <f t="shared" ref="N172:N182" si="51">+M172*2</f>
        <v>490.00438024170091</v>
      </c>
      <c r="O172" s="474">
        <f>+C171+(D172/2)</f>
        <v>0</v>
      </c>
      <c r="P172" s="474">
        <f t="shared" ref="P172:P182" si="52">SIN(O172*3.14159265358979/180)</f>
        <v>0</v>
      </c>
      <c r="Q172" s="474">
        <f t="shared" ref="Q172:Q182" si="53">+P172*N172</f>
        <v>0</v>
      </c>
      <c r="R172" s="474">
        <f t="shared" ref="R172:R182" si="54">+T171</f>
        <v>334.49993130661176</v>
      </c>
      <c r="S172" s="474">
        <f>+R172+Q172</f>
        <v>334.49993130661176</v>
      </c>
      <c r="T172" s="476">
        <f t="shared" si="44"/>
        <v>334.49993130661176</v>
      </c>
      <c r="V172" s="437">
        <f t="shared" ref="V172:V182" si="55">IF(B172&lt;($B$168+1),T172,0)</f>
        <v>0</v>
      </c>
      <c r="W172" s="437"/>
      <c r="X172" s="437"/>
      <c r="Y172" s="437"/>
      <c r="Z172" s="437"/>
      <c r="AA172" s="437"/>
      <c r="AB172" s="477"/>
      <c r="AC172" s="514" t="b">
        <f>IF(AD172=2,AF172)</f>
        <v>0</v>
      </c>
      <c r="AD172" s="514">
        <f t="shared" ref="AD172:AD182" si="56">MAX(AE$171:AE$182)</f>
        <v>1</v>
      </c>
      <c r="AE172" s="514">
        <f>IF(V172=0,0,2)</f>
        <v>0</v>
      </c>
      <c r="AF172" s="437" t="e">
        <f>SUM(V172:V182)/($B$168-B171)</f>
        <v>#DIV/0!</v>
      </c>
      <c r="AG172" s="437"/>
      <c r="AH172" s="450">
        <f>SUM(D172)+$C$171</f>
        <v>0</v>
      </c>
      <c r="AI172" s="516" t="b">
        <f t="shared" ref="AI172:AI182" si="57">IF(B172&lt;($B$168+1),AH172)</f>
        <v>0</v>
      </c>
      <c r="AJ172" s="287">
        <f t="shared" ref="AJ172:AJ182" si="58">53.779595+AI172</f>
        <v>53.779595</v>
      </c>
      <c r="AK172" s="441">
        <f>SIN(AJ172*3.14159265358979/180)</f>
        <v>0.8067499259590819</v>
      </c>
      <c r="AL172" s="289">
        <f t="shared" ref="AL172:AL182" si="59">+AK172*414.6266</f>
        <v>334.49997885066585</v>
      </c>
      <c r="AM172" s="287">
        <f t="shared" ref="AM172:AM182" si="60">59.2910885-AI172</f>
        <v>59.291088500000001</v>
      </c>
      <c r="AN172" s="442">
        <f t="shared" ref="AN172:AN182" si="61">SIN(AM172*3.14159265358979/180)</f>
        <v>0.85977285389573432</v>
      </c>
      <c r="AO172" s="291">
        <f t="shared" ref="AO172:AO182" si="62">+AN172*479.7721</f>
        <v>412.49502763654965</v>
      </c>
      <c r="AP172" s="519" t="e">
        <f t="shared" si="45"/>
        <v>#DIV/0!</v>
      </c>
      <c r="AQ172" s="291">
        <f>72*($B$168-B171)</f>
        <v>0</v>
      </c>
      <c r="AR172" s="443">
        <f t="shared" si="46"/>
        <v>71.5</v>
      </c>
      <c r="AS172" s="444">
        <f t="shared" ref="AS172:AS182" si="63">+AO172+AL172</f>
        <v>746.99500648721551</v>
      </c>
      <c r="AT172" s="445">
        <f t="shared" ref="AT172:AT182" si="64">+V172-AL172</f>
        <v>-334.49997885066585</v>
      </c>
      <c r="AU172" s="446" t="e">
        <f t="shared" ref="AU172:AU182" si="65">+AP172-AT172</f>
        <v>#DIV/0!</v>
      </c>
      <c r="AV172" s="445"/>
      <c r="AW172" s="447" t="e">
        <f t="shared" ref="AW172:AW182" si="66">+((AS172-AU172)/AS172)*AR172</f>
        <v>#DIV/0!</v>
      </c>
      <c r="AX172" s="447" t="e">
        <f t="shared" ref="AX172:AX182" si="67">+(AU172/AS172)*AR172</f>
        <v>#DIV/0!</v>
      </c>
      <c r="AY172" s="448" t="e">
        <f t="shared" ref="AY172:AY182" si="68">2*$C$18/AW172</f>
        <v>#DIV/0!</v>
      </c>
      <c r="AZ172" s="448" t="e">
        <f t="shared" ref="AZ172:AZ182" si="69">2*$D$19/AX172</f>
        <v>#DIV/0!</v>
      </c>
      <c r="BA172" s="451" t="e">
        <f t="shared" ref="BA172:BB182" si="70">ABS(AY172)</f>
        <v>#DIV/0!</v>
      </c>
      <c r="BB172" s="451" t="e">
        <f t="shared" si="70"/>
        <v>#DIV/0!</v>
      </c>
      <c r="BD172" s="136"/>
      <c r="BE172" s="298">
        <v>9</v>
      </c>
      <c r="BF172" s="299">
        <f t="shared" si="41"/>
        <v>-129</v>
      </c>
      <c r="BG172" s="42">
        <f t="shared" si="42"/>
        <v>-129</v>
      </c>
      <c r="BH172" s="301">
        <f t="shared" si="38"/>
        <v>-343.42050230498398</v>
      </c>
      <c r="BI172" s="302">
        <f t="shared" si="39"/>
        <v>343.42050230498398</v>
      </c>
      <c r="BJ172" s="302">
        <f t="shared" si="43"/>
        <v>0.57949769501604464</v>
      </c>
      <c r="BK172" s="302" t="b">
        <f t="shared" si="40"/>
        <v>0</v>
      </c>
      <c r="BL172" s="304">
        <v>9</v>
      </c>
      <c r="BM172" s="214"/>
      <c r="BN172" s="214"/>
      <c r="BO172" s="214"/>
      <c r="EK172" s="78"/>
      <c r="EL172" s="78"/>
    </row>
    <row r="173" spans="2:142" ht="23" thickBot="1" x14ac:dyDescent="0.35">
      <c r="B173" s="277">
        <v>3</v>
      </c>
      <c r="C173" s="278"/>
      <c r="D173" s="25">
        <v>0</v>
      </c>
      <c r="E173" s="279" t="s">
        <v>80</v>
      </c>
      <c r="F173" s="258"/>
      <c r="G173" s="258"/>
      <c r="H173" s="506">
        <v>479.77208100000001</v>
      </c>
      <c r="I173" s="507">
        <v>61.416098300000002</v>
      </c>
      <c r="J173" s="474">
        <f t="shared" ref="J173:J182" si="71">+I173+D173</f>
        <v>61.416098300000002</v>
      </c>
      <c r="K173" s="474">
        <f t="shared" si="48"/>
        <v>30.708049150000001</v>
      </c>
      <c r="L173" s="474">
        <f t="shared" si="49"/>
        <v>0.51066370850547771</v>
      </c>
      <c r="M173" s="474">
        <f t="shared" si="50"/>
        <v>245.00219012085046</v>
      </c>
      <c r="N173" s="474">
        <f t="shared" si="51"/>
        <v>490.00438024170091</v>
      </c>
      <c r="O173" s="474">
        <f>+C171+D172+(D173/2)</f>
        <v>0</v>
      </c>
      <c r="P173" s="474">
        <f t="shared" si="52"/>
        <v>0</v>
      </c>
      <c r="Q173" s="474">
        <f t="shared" si="53"/>
        <v>0</v>
      </c>
      <c r="R173" s="474">
        <f t="shared" si="54"/>
        <v>334.49993130661176</v>
      </c>
      <c r="S173" s="474">
        <f t="shared" ref="S173:S182" si="72">+S172+Q173</f>
        <v>334.49993130661176</v>
      </c>
      <c r="T173" s="476">
        <f t="shared" si="44"/>
        <v>334.49993130661176</v>
      </c>
      <c r="V173" s="437">
        <f t="shared" si="55"/>
        <v>0</v>
      </c>
      <c r="W173" s="437"/>
      <c r="X173" s="437"/>
      <c r="Y173" s="437"/>
      <c r="Z173" s="437"/>
      <c r="AA173" s="437"/>
      <c r="AB173" s="477"/>
      <c r="AC173" s="514" t="b">
        <f>IF(AD173=3,AF173)</f>
        <v>0</v>
      </c>
      <c r="AD173" s="514">
        <f t="shared" si="56"/>
        <v>1</v>
      </c>
      <c r="AE173" s="514">
        <f>IF(V173=0,0,3)</f>
        <v>0</v>
      </c>
      <c r="AF173" s="437">
        <f>SUM(V173:V182)/($B$168-B172)</f>
        <v>0</v>
      </c>
      <c r="AG173" s="437"/>
      <c r="AH173" s="450">
        <f>SUM(D172:D173)+$C$171</f>
        <v>0</v>
      </c>
      <c r="AI173" s="516" t="b">
        <f t="shared" si="57"/>
        <v>0</v>
      </c>
      <c r="AJ173" s="287">
        <f t="shared" si="58"/>
        <v>53.779595</v>
      </c>
      <c r="AK173" s="441">
        <f t="shared" ref="AK173:AK182" si="73">SIN(AJ173*3.14159265358979/180)</f>
        <v>0.8067499259590819</v>
      </c>
      <c r="AL173" s="289">
        <f t="shared" si="59"/>
        <v>334.49997885066585</v>
      </c>
      <c r="AM173" s="287">
        <f t="shared" si="60"/>
        <v>59.291088500000001</v>
      </c>
      <c r="AN173" s="442">
        <f t="shared" si="61"/>
        <v>0.85977285389573432</v>
      </c>
      <c r="AO173" s="291">
        <f t="shared" si="62"/>
        <v>412.49502763654965</v>
      </c>
      <c r="AP173" s="519">
        <f t="shared" si="45"/>
        <v>-17320.294585717675</v>
      </c>
      <c r="AQ173" s="291">
        <f t="shared" ref="AQ173:AQ182" si="74">72*($B$168-B172)</f>
        <v>-72</v>
      </c>
      <c r="AR173" s="443">
        <f t="shared" si="46"/>
        <v>-0.5</v>
      </c>
      <c r="AS173" s="444">
        <f t="shared" si="63"/>
        <v>746.99500648721551</v>
      </c>
      <c r="AT173" s="445">
        <f t="shared" si="64"/>
        <v>-334.49997885066585</v>
      </c>
      <c r="AU173" s="446">
        <f t="shared" si="65"/>
        <v>-16985.79460686701</v>
      </c>
      <c r="AV173" s="445"/>
      <c r="AW173" s="447">
        <f t="shared" si="66"/>
        <v>-11.869416434752106</v>
      </c>
      <c r="AX173" s="447">
        <f t="shared" si="67"/>
        <v>11.369416434752107</v>
      </c>
      <c r="AY173" s="448">
        <f t="shared" si="68"/>
        <v>-977.30162757089818</v>
      </c>
      <c r="AZ173" s="448">
        <f t="shared" si="69"/>
        <v>1020.2810378677909</v>
      </c>
      <c r="BA173" s="451">
        <f t="shared" si="70"/>
        <v>977.30162757089818</v>
      </c>
      <c r="BB173" s="451">
        <f t="shared" si="70"/>
        <v>1020.2810378677909</v>
      </c>
      <c r="BD173" s="136"/>
      <c r="BE173" s="298">
        <v>10</v>
      </c>
      <c r="BF173" s="299">
        <f t="shared" si="41"/>
        <v>-86</v>
      </c>
      <c r="BG173" s="42">
        <f t="shared" si="42"/>
        <v>-86</v>
      </c>
      <c r="BH173" s="301">
        <f t="shared" si="38"/>
        <v>-300.42050230498398</v>
      </c>
      <c r="BI173" s="302">
        <f t="shared" si="39"/>
        <v>300.42050230498398</v>
      </c>
      <c r="BJ173" s="302">
        <f t="shared" si="43"/>
        <v>0.57949769501604464</v>
      </c>
      <c r="BK173" s="302" t="b">
        <f t="shared" si="40"/>
        <v>0</v>
      </c>
      <c r="BL173" s="304">
        <v>10</v>
      </c>
      <c r="BM173" s="214"/>
      <c r="BN173" s="214"/>
      <c r="BO173" s="214"/>
      <c r="EK173" s="78"/>
      <c r="EL173" s="78"/>
    </row>
    <row r="174" spans="2:142" ht="23" thickBot="1" x14ac:dyDescent="0.35">
      <c r="B174" s="277">
        <v>4</v>
      </c>
      <c r="C174" s="278"/>
      <c r="D174" s="25">
        <v>0</v>
      </c>
      <c r="E174" s="279" t="s">
        <v>80</v>
      </c>
      <c r="F174" s="258"/>
      <c r="G174" s="258"/>
      <c r="H174" s="506">
        <v>479.77208100000001</v>
      </c>
      <c r="I174" s="507">
        <v>61.416098300000002</v>
      </c>
      <c r="J174" s="474">
        <f t="shared" si="71"/>
        <v>61.416098300000002</v>
      </c>
      <c r="K174" s="474">
        <f t="shared" si="48"/>
        <v>30.708049150000001</v>
      </c>
      <c r="L174" s="474">
        <f t="shared" si="49"/>
        <v>0.51066370850547771</v>
      </c>
      <c r="M174" s="474">
        <f t="shared" si="50"/>
        <v>245.00219012085046</v>
      </c>
      <c r="N174" s="474">
        <f t="shared" si="51"/>
        <v>490.00438024170091</v>
      </c>
      <c r="O174" s="474">
        <f>+C171+D172+D173+(D174/2)</f>
        <v>0</v>
      </c>
      <c r="P174" s="474">
        <f t="shared" si="52"/>
        <v>0</v>
      </c>
      <c r="Q174" s="474">
        <f t="shared" si="53"/>
        <v>0</v>
      </c>
      <c r="R174" s="474">
        <f t="shared" si="54"/>
        <v>334.49993130661176</v>
      </c>
      <c r="S174" s="474">
        <f t="shared" si="72"/>
        <v>334.49993130661176</v>
      </c>
      <c r="T174" s="476">
        <f t="shared" si="44"/>
        <v>334.49993130661176</v>
      </c>
      <c r="V174" s="437">
        <f t="shared" si="55"/>
        <v>0</v>
      </c>
      <c r="W174" s="437"/>
      <c r="X174" s="437"/>
      <c r="Y174" s="437"/>
      <c r="Z174" s="437"/>
      <c r="AA174" s="437"/>
      <c r="AB174" s="477"/>
      <c r="AC174" s="514" t="b">
        <f>IF(AD174=4,AF174)</f>
        <v>0</v>
      </c>
      <c r="AD174" s="514">
        <f t="shared" si="56"/>
        <v>1</v>
      </c>
      <c r="AE174" s="514">
        <f>IF(V174=0,0,4)</f>
        <v>0</v>
      </c>
      <c r="AF174" s="437">
        <f>SUM(V174:V182)/($B$168-B173)</f>
        <v>0</v>
      </c>
      <c r="AG174" s="437"/>
      <c r="AH174" s="450">
        <f>SUM(D172:D174)+$C$171</f>
        <v>0</v>
      </c>
      <c r="AI174" s="516" t="b">
        <f t="shared" si="57"/>
        <v>0</v>
      </c>
      <c r="AJ174" s="287">
        <f t="shared" si="58"/>
        <v>53.779595</v>
      </c>
      <c r="AK174" s="441">
        <f t="shared" si="73"/>
        <v>0.8067499259590819</v>
      </c>
      <c r="AL174" s="289">
        <f t="shared" si="59"/>
        <v>334.49997885066585</v>
      </c>
      <c r="AM174" s="287">
        <f t="shared" si="60"/>
        <v>59.291088500000001</v>
      </c>
      <c r="AN174" s="442">
        <f t="shared" si="61"/>
        <v>0.85977285389573432</v>
      </c>
      <c r="AO174" s="291">
        <f t="shared" si="62"/>
        <v>412.49502763654965</v>
      </c>
      <c r="AP174" s="519">
        <f t="shared" si="45"/>
        <v>-119.4503074877081</v>
      </c>
      <c r="AQ174" s="291">
        <f t="shared" si="74"/>
        <v>-144</v>
      </c>
      <c r="AR174" s="443">
        <f t="shared" si="46"/>
        <v>-72.5</v>
      </c>
      <c r="AS174" s="444">
        <f t="shared" si="63"/>
        <v>746.99500648721551</v>
      </c>
      <c r="AT174" s="445">
        <f t="shared" si="64"/>
        <v>-334.49997885066585</v>
      </c>
      <c r="AU174" s="446">
        <f t="shared" si="65"/>
        <v>215.04967136295775</v>
      </c>
      <c r="AV174" s="445"/>
      <c r="AW174" s="447">
        <f t="shared" si="66"/>
        <v>-51.628239093414514</v>
      </c>
      <c r="AX174" s="447">
        <f t="shared" si="67"/>
        <v>-20.871760906585489</v>
      </c>
      <c r="AY174" s="448">
        <f t="shared" si="68"/>
        <v>-224.68323932201764</v>
      </c>
      <c r="AZ174" s="448">
        <f t="shared" si="69"/>
        <v>-555.77486020070069</v>
      </c>
      <c r="BA174" s="451">
        <f t="shared" si="70"/>
        <v>224.68323932201764</v>
      </c>
      <c r="BB174" s="451">
        <f t="shared" si="70"/>
        <v>555.77486020070069</v>
      </c>
      <c r="BD174" s="136"/>
      <c r="BE174" s="298">
        <v>11</v>
      </c>
      <c r="BF174" s="299">
        <f t="shared" si="41"/>
        <v>-43</v>
      </c>
      <c r="BG174" s="42">
        <f t="shared" si="42"/>
        <v>-43</v>
      </c>
      <c r="BH174" s="301">
        <f t="shared" si="38"/>
        <v>-257.42050230498398</v>
      </c>
      <c r="BI174" s="302">
        <f t="shared" si="39"/>
        <v>257.42050230498398</v>
      </c>
      <c r="BJ174" s="302">
        <f t="shared" si="43"/>
        <v>0.57949769501604464</v>
      </c>
      <c r="BK174" s="302" t="b">
        <f t="shared" si="40"/>
        <v>0</v>
      </c>
      <c r="BL174" s="304">
        <v>11</v>
      </c>
      <c r="BM174" s="214"/>
      <c r="BN174" s="214"/>
      <c r="BO174" s="214"/>
      <c r="EK174" s="78"/>
      <c r="EL174" s="78"/>
    </row>
    <row r="175" spans="2:142" ht="23" thickBot="1" x14ac:dyDescent="0.35">
      <c r="B175" s="277">
        <v>5</v>
      </c>
      <c r="C175" s="278"/>
      <c r="D175" s="25">
        <v>0</v>
      </c>
      <c r="E175" s="279" t="s">
        <v>80</v>
      </c>
      <c r="F175" s="258"/>
      <c r="G175" s="258"/>
      <c r="H175" s="506">
        <v>479.77208100000001</v>
      </c>
      <c r="I175" s="507">
        <v>61.416098300000002</v>
      </c>
      <c r="J175" s="474">
        <f t="shared" si="71"/>
        <v>61.416098300000002</v>
      </c>
      <c r="K175" s="474">
        <f t="shared" si="48"/>
        <v>30.708049150000001</v>
      </c>
      <c r="L175" s="474">
        <f t="shared" si="49"/>
        <v>0.51066370850547771</v>
      </c>
      <c r="M175" s="474">
        <f t="shared" si="50"/>
        <v>245.00219012085046</v>
      </c>
      <c r="N175" s="474">
        <f t="shared" si="51"/>
        <v>490.00438024170091</v>
      </c>
      <c r="O175" s="474">
        <f>+C171+D172+D173+D174+(D175/2)</f>
        <v>0</v>
      </c>
      <c r="P175" s="474">
        <f t="shared" si="52"/>
        <v>0</v>
      </c>
      <c r="Q175" s="474">
        <f t="shared" si="53"/>
        <v>0</v>
      </c>
      <c r="R175" s="474">
        <f t="shared" si="54"/>
        <v>334.49993130661176</v>
      </c>
      <c r="S175" s="474">
        <f t="shared" si="72"/>
        <v>334.49993130661176</v>
      </c>
      <c r="T175" s="476">
        <f t="shared" si="44"/>
        <v>334.49993130661176</v>
      </c>
      <c r="V175" s="437">
        <f t="shared" si="55"/>
        <v>0</v>
      </c>
      <c r="W175" s="437"/>
      <c r="X175" s="437"/>
      <c r="Y175" s="437"/>
      <c r="Z175" s="437"/>
      <c r="AA175" s="437"/>
      <c r="AB175" s="477"/>
      <c r="AC175" s="514" t="b">
        <f>IF(AD175=5,AF175)</f>
        <v>0</v>
      </c>
      <c r="AD175" s="514">
        <f t="shared" si="56"/>
        <v>1</v>
      </c>
      <c r="AE175" s="514">
        <f>IF(V175=0,0,5)</f>
        <v>0</v>
      </c>
      <c r="AF175" s="437">
        <f>SUM(V175:V182)/($B$168-B174)</f>
        <v>0</v>
      </c>
      <c r="AG175" s="437"/>
      <c r="AH175" s="450">
        <f>SUM(D172:D175)+$C$171</f>
        <v>0</v>
      </c>
      <c r="AI175" s="516" t="b">
        <f t="shared" si="57"/>
        <v>0</v>
      </c>
      <c r="AJ175" s="287">
        <f t="shared" si="58"/>
        <v>53.779595</v>
      </c>
      <c r="AK175" s="441">
        <f t="shared" si="73"/>
        <v>0.8067499259590819</v>
      </c>
      <c r="AL175" s="289">
        <f t="shared" si="59"/>
        <v>334.49997885066585</v>
      </c>
      <c r="AM175" s="287">
        <f t="shared" si="60"/>
        <v>59.291088500000001</v>
      </c>
      <c r="AN175" s="442">
        <f t="shared" si="61"/>
        <v>0.85977285389573432</v>
      </c>
      <c r="AO175" s="291">
        <f t="shared" si="62"/>
        <v>412.49502763654965</v>
      </c>
      <c r="AP175" s="519">
        <f t="shared" si="45"/>
        <v>-59.931815175493682</v>
      </c>
      <c r="AQ175" s="291">
        <f t="shared" si="74"/>
        <v>-216</v>
      </c>
      <c r="AR175" s="443">
        <f t="shared" si="46"/>
        <v>-144.5</v>
      </c>
      <c r="AS175" s="444">
        <f t="shared" si="63"/>
        <v>746.99500648721551</v>
      </c>
      <c r="AT175" s="445">
        <f t="shared" si="64"/>
        <v>-334.49997885066585</v>
      </c>
      <c r="AU175" s="446">
        <f t="shared" si="65"/>
        <v>274.56816367517217</v>
      </c>
      <c r="AV175" s="445"/>
      <c r="AW175" s="447">
        <f t="shared" si="66"/>
        <v>-91.387061752076917</v>
      </c>
      <c r="AX175" s="447">
        <f t="shared" si="67"/>
        <v>-53.112938247923083</v>
      </c>
      <c r="AY175" s="448">
        <f t="shared" si="68"/>
        <v>-126.93262894773363</v>
      </c>
      <c r="AZ175" s="448">
        <f t="shared" si="69"/>
        <v>-218.40252832281604</v>
      </c>
      <c r="BA175" s="451">
        <f t="shared" si="70"/>
        <v>126.93262894773363</v>
      </c>
      <c r="BB175" s="451">
        <f t="shared" si="70"/>
        <v>218.40252832281604</v>
      </c>
      <c r="BD175" s="136"/>
      <c r="BE175" s="298">
        <v>12</v>
      </c>
      <c r="BF175" s="299">
        <f t="shared" si="41"/>
        <v>0</v>
      </c>
      <c r="BG175" s="42">
        <f t="shared" si="42"/>
        <v>0</v>
      </c>
      <c r="BH175" s="301">
        <f t="shared" si="38"/>
        <v>-214.42050230498396</v>
      </c>
      <c r="BI175" s="302">
        <f t="shared" si="39"/>
        <v>214.42050230498396</v>
      </c>
      <c r="BJ175" s="302">
        <f t="shared" si="43"/>
        <v>0.57949769501604464</v>
      </c>
      <c r="BK175" s="302" t="b">
        <f t="shared" si="40"/>
        <v>0</v>
      </c>
      <c r="BL175" s="304">
        <v>12</v>
      </c>
      <c r="BM175" s="214"/>
      <c r="BN175" s="214"/>
      <c r="BO175" s="214"/>
      <c r="EK175" s="78"/>
      <c r="EL175" s="78"/>
    </row>
    <row r="176" spans="2:142" ht="23" thickBot="1" x14ac:dyDescent="0.35">
      <c r="B176" s="277">
        <v>6</v>
      </c>
      <c r="C176" s="278"/>
      <c r="D176" s="25">
        <v>0</v>
      </c>
      <c r="E176" s="279" t="s">
        <v>80</v>
      </c>
      <c r="F176" s="258"/>
      <c r="G176" s="258"/>
      <c r="H176" s="506">
        <v>479.77208100000001</v>
      </c>
      <c r="I176" s="507">
        <v>61.416098300000002</v>
      </c>
      <c r="J176" s="474">
        <f t="shared" si="71"/>
        <v>61.416098300000002</v>
      </c>
      <c r="K176" s="474">
        <f t="shared" si="48"/>
        <v>30.708049150000001</v>
      </c>
      <c r="L176" s="474">
        <f t="shared" si="49"/>
        <v>0.51066370850547771</v>
      </c>
      <c r="M176" s="474">
        <f t="shared" si="50"/>
        <v>245.00219012085046</v>
      </c>
      <c r="N176" s="474">
        <f t="shared" si="51"/>
        <v>490.00438024170091</v>
      </c>
      <c r="O176" s="474">
        <f>+C171+D172+D173+D174+D175+(D176/2)</f>
        <v>0</v>
      </c>
      <c r="P176" s="474">
        <f t="shared" si="52"/>
        <v>0</v>
      </c>
      <c r="Q176" s="474">
        <f t="shared" si="53"/>
        <v>0</v>
      </c>
      <c r="R176" s="474">
        <f t="shared" si="54"/>
        <v>334.49993130661176</v>
      </c>
      <c r="S176" s="474">
        <f t="shared" si="72"/>
        <v>334.49993130661176</v>
      </c>
      <c r="T176" s="476">
        <f t="shared" si="44"/>
        <v>334.49993130661176</v>
      </c>
      <c r="V176" s="437">
        <f t="shared" si="55"/>
        <v>0</v>
      </c>
      <c r="W176" s="437"/>
      <c r="X176" s="437"/>
      <c r="Y176" s="437"/>
      <c r="Z176" s="437"/>
      <c r="AA176" s="437"/>
      <c r="AB176" s="477"/>
      <c r="AC176" s="514" t="b">
        <f>IF(AD176=6,AF176)</f>
        <v>0</v>
      </c>
      <c r="AD176" s="514">
        <f t="shared" si="56"/>
        <v>1</v>
      </c>
      <c r="AE176" s="514">
        <f>IF(V176=0,0,6)</f>
        <v>0</v>
      </c>
      <c r="AF176" s="437">
        <f>SUM(V176:V182)/($B$168-B175)</f>
        <v>0</v>
      </c>
      <c r="AG176" s="437"/>
      <c r="AH176" s="450">
        <f>SUM(D172:D176)+$C$171</f>
        <v>0</v>
      </c>
      <c r="AI176" s="516" t="b">
        <f t="shared" si="57"/>
        <v>0</v>
      </c>
      <c r="AJ176" s="287">
        <f t="shared" si="58"/>
        <v>53.779595</v>
      </c>
      <c r="AK176" s="441">
        <f t="shared" si="73"/>
        <v>0.8067499259590819</v>
      </c>
      <c r="AL176" s="289">
        <f t="shared" si="59"/>
        <v>334.49997885066585</v>
      </c>
      <c r="AM176" s="287">
        <f t="shared" si="60"/>
        <v>59.291088500000001</v>
      </c>
      <c r="AN176" s="442">
        <f t="shared" si="61"/>
        <v>0.85977285389573432</v>
      </c>
      <c r="AO176" s="291">
        <f t="shared" si="62"/>
        <v>412.49502763654965</v>
      </c>
      <c r="AP176" s="519">
        <f t="shared" si="45"/>
        <v>-40.000680336530429</v>
      </c>
      <c r="AQ176" s="291">
        <f t="shared" si="74"/>
        <v>-288</v>
      </c>
      <c r="AR176" s="443">
        <f t="shared" si="46"/>
        <v>-216.5</v>
      </c>
      <c r="AS176" s="444">
        <f t="shared" si="63"/>
        <v>746.99500648721551</v>
      </c>
      <c r="AT176" s="445">
        <f t="shared" si="64"/>
        <v>-334.49997885066585</v>
      </c>
      <c r="AU176" s="446">
        <f t="shared" si="65"/>
        <v>294.49929851413543</v>
      </c>
      <c r="AV176" s="445"/>
      <c r="AW176" s="447">
        <f t="shared" si="66"/>
        <v>-131.14588441073931</v>
      </c>
      <c r="AX176" s="447">
        <f t="shared" si="67"/>
        <v>-85.354115589260672</v>
      </c>
      <c r="AY176" s="448">
        <f t="shared" si="68"/>
        <v>-88.451117258622077</v>
      </c>
      <c r="AZ176" s="448">
        <f t="shared" si="69"/>
        <v>-135.90440156185653</v>
      </c>
      <c r="BA176" s="451">
        <f t="shared" si="70"/>
        <v>88.451117258622077</v>
      </c>
      <c r="BB176" s="451">
        <f t="shared" si="70"/>
        <v>135.90440156185653</v>
      </c>
      <c r="BD176" s="136"/>
      <c r="BE176" s="298">
        <v>13</v>
      </c>
      <c r="BF176" s="299">
        <f t="shared" si="41"/>
        <v>43</v>
      </c>
      <c r="BG176" s="42">
        <f t="shared" si="42"/>
        <v>43</v>
      </c>
      <c r="BH176" s="301">
        <f t="shared" si="38"/>
        <v>-171.42050230498396</v>
      </c>
      <c r="BI176" s="302">
        <f t="shared" si="39"/>
        <v>171.42050230498396</v>
      </c>
      <c r="BJ176" s="302">
        <f t="shared" si="43"/>
        <v>0.57949769501604464</v>
      </c>
      <c r="BK176" s="302" t="b">
        <f t="shared" si="40"/>
        <v>0</v>
      </c>
      <c r="BL176" s="304">
        <v>13</v>
      </c>
      <c r="BM176" s="214"/>
      <c r="BN176" s="214"/>
      <c r="BO176" s="214"/>
      <c r="EK176" s="78"/>
      <c r="EL176" s="78"/>
    </row>
    <row r="177" spans="2:142" ht="23" thickBot="1" x14ac:dyDescent="0.35">
      <c r="B177" s="277">
        <v>7</v>
      </c>
      <c r="C177" s="278"/>
      <c r="D177" s="25">
        <v>0</v>
      </c>
      <c r="E177" s="279" t="s">
        <v>80</v>
      </c>
      <c r="F177" s="258"/>
      <c r="G177" s="258"/>
      <c r="H177" s="506">
        <v>479.77208100000001</v>
      </c>
      <c r="I177" s="507">
        <v>61.416098300000002</v>
      </c>
      <c r="J177" s="474">
        <f t="shared" si="71"/>
        <v>61.416098300000002</v>
      </c>
      <c r="K177" s="474">
        <f t="shared" si="48"/>
        <v>30.708049150000001</v>
      </c>
      <c r="L177" s="474">
        <f t="shared" si="49"/>
        <v>0.51066370850547771</v>
      </c>
      <c r="M177" s="474">
        <f t="shared" si="50"/>
        <v>245.00219012085046</v>
      </c>
      <c r="N177" s="474">
        <f t="shared" si="51"/>
        <v>490.00438024170091</v>
      </c>
      <c r="O177" s="474">
        <f>+C171+D172+D173+D174+D175+D176+(D177/2)</f>
        <v>0</v>
      </c>
      <c r="P177" s="474">
        <f t="shared" si="52"/>
        <v>0</v>
      </c>
      <c r="Q177" s="474">
        <f t="shared" si="53"/>
        <v>0</v>
      </c>
      <c r="R177" s="474">
        <f t="shared" si="54"/>
        <v>334.49993130661176</v>
      </c>
      <c r="S177" s="474">
        <f t="shared" si="72"/>
        <v>334.49993130661176</v>
      </c>
      <c r="T177" s="476">
        <f t="shared" si="44"/>
        <v>334.49993130661176</v>
      </c>
      <c r="V177" s="437">
        <f t="shared" si="55"/>
        <v>0</v>
      </c>
      <c r="W177" s="437"/>
      <c r="X177" s="437"/>
      <c r="Y177" s="437"/>
      <c r="Z177" s="437"/>
      <c r="AA177" s="437"/>
      <c r="AB177" s="477"/>
      <c r="AC177" s="514" t="b">
        <f>IF(AD177=7,AF177)</f>
        <v>0</v>
      </c>
      <c r="AD177" s="514">
        <f t="shared" si="56"/>
        <v>1</v>
      </c>
      <c r="AE177" s="514">
        <f>IF(V177=0,0,7)</f>
        <v>0</v>
      </c>
      <c r="AF177" s="437">
        <f>SUM(V177:V182)/($B$168-B176)</f>
        <v>0</v>
      </c>
      <c r="AG177" s="437"/>
      <c r="AH177" s="450">
        <f>SUM(D172:D177)+$C$171</f>
        <v>0</v>
      </c>
      <c r="AI177" s="516" t="b">
        <f t="shared" si="57"/>
        <v>0</v>
      </c>
      <c r="AJ177" s="287">
        <f t="shared" si="58"/>
        <v>53.779595</v>
      </c>
      <c r="AK177" s="441">
        <f t="shared" si="73"/>
        <v>0.8067499259590819</v>
      </c>
      <c r="AL177" s="289">
        <f t="shared" si="59"/>
        <v>334.49997885066585</v>
      </c>
      <c r="AM177" s="287">
        <f t="shared" si="60"/>
        <v>59.291088500000001</v>
      </c>
      <c r="AN177" s="442">
        <f t="shared" si="61"/>
        <v>0.85977285389573432</v>
      </c>
      <c r="AO177" s="291">
        <f t="shared" si="62"/>
        <v>412.49502763654965</v>
      </c>
      <c r="AP177" s="519">
        <f t="shared" si="45"/>
        <v>-30.017841569701343</v>
      </c>
      <c r="AQ177" s="291">
        <f t="shared" si="74"/>
        <v>-360</v>
      </c>
      <c r="AR177" s="443">
        <f t="shared" si="46"/>
        <v>-288.5</v>
      </c>
      <c r="AS177" s="444">
        <f t="shared" si="63"/>
        <v>746.99500648721551</v>
      </c>
      <c r="AT177" s="445">
        <f t="shared" si="64"/>
        <v>-334.49997885066585</v>
      </c>
      <c r="AU177" s="446">
        <f t="shared" si="65"/>
        <v>304.48213728096454</v>
      </c>
      <c r="AV177" s="445"/>
      <c r="AW177" s="447">
        <f t="shared" si="66"/>
        <v>-170.90470706940172</v>
      </c>
      <c r="AX177" s="447">
        <f t="shared" si="67"/>
        <v>-117.59529293059828</v>
      </c>
      <c r="AY177" s="448">
        <f t="shared" si="68"/>
        <v>-67.874081404261275</v>
      </c>
      <c r="AZ177" s="448">
        <f t="shared" si="69"/>
        <v>-98.643404093104493</v>
      </c>
      <c r="BA177" s="451">
        <f t="shared" si="70"/>
        <v>67.874081404261275</v>
      </c>
      <c r="BB177" s="451">
        <f t="shared" si="70"/>
        <v>98.643404093104493</v>
      </c>
      <c r="BD177" s="136"/>
      <c r="BE177" s="298">
        <v>14</v>
      </c>
      <c r="BF177" s="299">
        <f t="shared" si="41"/>
        <v>86</v>
      </c>
      <c r="BG177" s="42">
        <f t="shared" si="42"/>
        <v>86</v>
      </c>
      <c r="BH177" s="301">
        <f t="shared" si="38"/>
        <v>-128.42050230498396</v>
      </c>
      <c r="BI177" s="302">
        <f t="shared" si="39"/>
        <v>128.42050230498396</v>
      </c>
      <c r="BJ177" s="302">
        <f t="shared" si="43"/>
        <v>0.57949769501604464</v>
      </c>
      <c r="BK177" s="302" t="b">
        <f t="shared" si="40"/>
        <v>0</v>
      </c>
      <c r="BL177" s="304">
        <v>14</v>
      </c>
      <c r="EK177" s="78"/>
      <c r="EL177" s="78"/>
    </row>
    <row r="178" spans="2:142" ht="23" thickBot="1" x14ac:dyDescent="0.35">
      <c r="B178" s="277">
        <v>8</v>
      </c>
      <c r="C178" s="278"/>
      <c r="D178" s="25">
        <v>0</v>
      </c>
      <c r="E178" s="279" t="s">
        <v>80</v>
      </c>
      <c r="F178" s="258"/>
      <c r="G178" s="258"/>
      <c r="H178" s="506">
        <v>479.77208100000001</v>
      </c>
      <c r="I178" s="507">
        <v>61.416098300000002</v>
      </c>
      <c r="J178" s="474">
        <f t="shared" si="71"/>
        <v>61.416098300000002</v>
      </c>
      <c r="K178" s="474">
        <f t="shared" si="48"/>
        <v>30.708049150000001</v>
      </c>
      <c r="L178" s="474">
        <f t="shared" si="49"/>
        <v>0.51066370850547771</v>
      </c>
      <c r="M178" s="474">
        <f t="shared" si="50"/>
        <v>245.00219012085046</v>
      </c>
      <c r="N178" s="474">
        <f t="shared" si="51"/>
        <v>490.00438024170091</v>
      </c>
      <c r="O178" s="474">
        <f>+C171+D172+D173+D174+D175+D176+D177+(D178/2)</f>
        <v>0</v>
      </c>
      <c r="P178" s="474">
        <f t="shared" si="52"/>
        <v>0</v>
      </c>
      <c r="Q178" s="474">
        <f t="shared" si="53"/>
        <v>0</v>
      </c>
      <c r="R178" s="474">
        <f t="shared" si="54"/>
        <v>334.49993130661176</v>
      </c>
      <c r="S178" s="474">
        <f t="shared" si="72"/>
        <v>334.49993130661176</v>
      </c>
      <c r="T178" s="476">
        <f t="shared" si="44"/>
        <v>334.49993130661176</v>
      </c>
      <c r="V178" s="437">
        <f t="shared" si="55"/>
        <v>0</v>
      </c>
      <c r="W178" s="437"/>
      <c r="X178" s="437"/>
      <c r="Y178" s="437"/>
      <c r="Z178" s="437"/>
      <c r="AA178" s="437"/>
      <c r="AB178" s="477"/>
      <c r="AC178" s="514" t="b">
        <f>IF(AD178=8,AF178)</f>
        <v>0</v>
      </c>
      <c r="AD178" s="514">
        <f t="shared" si="56"/>
        <v>1</v>
      </c>
      <c r="AE178" s="514">
        <f>IF(V178=0,0,8)</f>
        <v>0</v>
      </c>
      <c r="AF178" s="437">
        <f>SUM(V178:V182)/($B$168-B177)</f>
        <v>0</v>
      </c>
      <c r="AG178" s="437"/>
      <c r="AH178" s="450">
        <f>SUM(D172:D178)+$C$171</f>
        <v>0</v>
      </c>
      <c r="AI178" s="516" t="b">
        <f t="shared" si="57"/>
        <v>0</v>
      </c>
      <c r="AJ178" s="287">
        <f t="shared" si="58"/>
        <v>53.779595</v>
      </c>
      <c r="AK178" s="441">
        <f t="shared" si="73"/>
        <v>0.8067499259590819</v>
      </c>
      <c r="AL178" s="289">
        <f t="shared" si="59"/>
        <v>334.49997885066585</v>
      </c>
      <c r="AM178" s="287">
        <f t="shared" si="60"/>
        <v>59.291088500000001</v>
      </c>
      <c r="AN178" s="442">
        <f t="shared" si="61"/>
        <v>0.85977285389573432</v>
      </c>
      <c r="AO178" s="291">
        <f t="shared" si="62"/>
        <v>412.49502763654965</v>
      </c>
      <c r="AP178" s="519">
        <f t="shared" si="45"/>
        <v>-24.02259998019095</v>
      </c>
      <c r="AQ178" s="291">
        <f t="shared" si="74"/>
        <v>-432</v>
      </c>
      <c r="AR178" s="443">
        <f t="shared" si="46"/>
        <v>-360.5</v>
      </c>
      <c r="AS178" s="444">
        <f t="shared" si="63"/>
        <v>746.99500648721551</v>
      </c>
      <c r="AT178" s="445">
        <f t="shared" si="64"/>
        <v>-334.49997885066585</v>
      </c>
      <c r="AU178" s="446">
        <f t="shared" si="65"/>
        <v>310.47737887047492</v>
      </c>
      <c r="AV178" s="445"/>
      <c r="AW178" s="447">
        <f t="shared" si="66"/>
        <v>-210.66352972806413</v>
      </c>
      <c r="AX178" s="447">
        <f t="shared" si="67"/>
        <v>-149.83647027193587</v>
      </c>
      <c r="AY178" s="448">
        <f t="shared" si="68"/>
        <v>-55.064111073112215</v>
      </c>
      <c r="AZ178" s="448">
        <f t="shared" si="69"/>
        <v>-77.417734006596262</v>
      </c>
      <c r="BA178" s="451">
        <f t="shared" si="70"/>
        <v>55.064111073112215</v>
      </c>
      <c r="BB178" s="451">
        <f t="shared" si="70"/>
        <v>77.417734006596262</v>
      </c>
      <c r="BD178" s="136"/>
      <c r="BE178" s="298">
        <v>15</v>
      </c>
      <c r="BF178" s="299">
        <f t="shared" si="41"/>
        <v>129</v>
      </c>
      <c r="BG178" s="42">
        <f t="shared" si="42"/>
        <v>129</v>
      </c>
      <c r="BH178" s="301">
        <f t="shared" si="38"/>
        <v>-85.420502304983955</v>
      </c>
      <c r="BI178" s="302">
        <f t="shared" si="39"/>
        <v>85.420502304983955</v>
      </c>
      <c r="BJ178" s="302">
        <f t="shared" si="43"/>
        <v>0.57949769501604464</v>
      </c>
      <c r="BK178" s="302" t="b">
        <f t="shared" si="40"/>
        <v>0</v>
      </c>
      <c r="BL178" s="304">
        <v>15</v>
      </c>
      <c r="EK178" s="78"/>
      <c r="EL178" s="78"/>
    </row>
    <row r="179" spans="2:142" ht="23" thickBot="1" x14ac:dyDescent="0.35">
      <c r="B179" s="277">
        <v>9</v>
      </c>
      <c r="C179" s="278"/>
      <c r="D179" s="25">
        <v>0</v>
      </c>
      <c r="E179" s="279" t="s">
        <v>80</v>
      </c>
      <c r="F179" s="258"/>
      <c r="G179" s="258"/>
      <c r="H179" s="506">
        <v>479.77208100000001</v>
      </c>
      <c r="I179" s="507">
        <v>61.416098300000002</v>
      </c>
      <c r="J179" s="474">
        <f t="shared" si="71"/>
        <v>61.416098300000002</v>
      </c>
      <c r="K179" s="474">
        <f t="shared" si="48"/>
        <v>30.708049150000001</v>
      </c>
      <c r="L179" s="474">
        <f t="shared" si="49"/>
        <v>0.51066370850547771</v>
      </c>
      <c r="M179" s="474">
        <f t="shared" si="50"/>
        <v>245.00219012085046</v>
      </c>
      <c r="N179" s="474">
        <f t="shared" si="51"/>
        <v>490.00438024170091</v>
      </c>
      <c r="O179" s="474">
        <f>+C171+D172+D173+D174+D175+D176+D177+D178+(D179/2)</f>
        <v>0</v>
      </c>
      <c r="P179" s="474">
        <f t="shared" si="52"/>
        <v>0</v>
      </c>
      <c r="Q179" s="474">
        <f t="shared" si="53"/>
        <v>0</v>
      </c>
      <c r="R179" s="474">
        <f t="shared" si="54"/>
        <v>334.49993130661176</v>
      </c>
      <c r="S179" s="474">
        <f t="shared" si="72"/>
        <v>334.49993130661176</v>
      </c>
      <c r="T179" s="476">
        <f t="shared" si="44"/>
        <v>334.49993130661176</v>
      </c>
      <c r="V179" s="437">
        <f t="shared" si="55"/>
        <v>0</v>
      </c>
      <c r="W179" s="437"/>
      <c r="X179" s="437"/>
      <c r="Y179" s="437"/>
      <c r="Z179" s="437"/>
      <c r="AA179" s="437"/>
      <c r="AB179" s="477"/>
      <c r="AC179" s="514" t="b">
        <f>IF(AD179=9,AF179)</f>
        <v>0</v>
      </c>
      <c r="AD179" s="514">
        <f t="shared" si="56"/>
        <v>1</v>
      </c>
      <c r="AE179" s="514">
        <f>IF(V179=0,0,9)</f>
        <v>0</v>
      </c>
      <c r="AF179" s="437">
        <f>SUM(V179:V182)/($B$168-B178)</f>
        <v>0</v>
      </c>
      <c r="AG179" s="437"/>
      <c r="AH179" s="450">
        <f>SUM(D172:D179)+$C$171</f>
        <v>0</v>
      </c>
      <c r="AI179" s="516" t="b">
        <f t="shared" si="57"/>
        <v>0</v>
      </c>
      <c r="AJ179" s="287">
        <f t="shared" si="58"/>
        <v>53.779595</v>
      </c>
      <c r="AK179" s="441">
        <f t="shared" si="73"/>
        <v>0.8067499259590819</v>
      </c>
      <c r="AL179" s="289">
        <f t="shared" si="59"/>
        <v>334.49997885066585</v>
      </c>
      <c r="AM179" s="287">
        <f t="shared" si="60"/>
        <v>59.291088500000001</v>
      </c>
      <c r="AN179" s="442">
        <f t="shared" si="61"/>
        <v>0.85977285389573432</v>
      </c>
      <c r="AO179" s="291">
        <f t="shared" si="62"/>
        <v>412.49502763654965</v>
      </c>
      <c r="AP179" s="519">
        <f t="shared" si="45"/>
        <v>-20.02346194880656</v>
      </c>
      <c r="AQ179" s="291">
        <f t="shared" si="74"/>
        <v>-504</v>
      </c>
      <c r="AR179" s="443">
        <f t="shared" si="46"/>
        <v>-432.5</v>
      </c>
      <c r="AS179" s="444">
        <f t="shared" si="63"/>
        <v>746.99500648721551</v>
      </c>
      <c r="AT179" s="445">
        <f t="shared" si="64"/>
        <v>-334.49997885066585</v>
      </c>
      <c r="AU179" s="446">
        <f t="shared" si="65"/>
        <v>314.47651690185927</v>
      </c>
      <c r="AV179" s="445"/>
      <c r="AW179" s="447">
        <f t="shared" si="66"/>
        <v>-250.42235238672657</v>
      </c>
      <c r="AX179" s="447">
        <f t="shared" si="67"/>
        <v>-182.07764761327346</v>
      </c>
      <c r="AY179" s="448">
        <f t="shared" si="68"/>
        <v>-46.321743604125842</v>
      </c>
      <c r="AZ179" s="448">
        <f t="shared" si="69"/>
        <v>-63.709083196406368</v>
      </c>
      <c r="BA179" s="451">
        <f t="shared" si="70"/>
        <v>46.321743604125842</v>
      </c>
      <c r="BB179" s="451">
        <f t="shared" si="70"/>
        <v>63.709083196406368</v>
      </c>
      <c r="BD179" s="136"/>
      <c r="BE179" s="298">
        <v>16</v>
      </c>
      <c r="BF179" s="299">
        <f t="shared" si="41"/>
        <v>172</v>
      </c>
      <c r="BG179" s="42">
        <f t="shared" si="42"/>
        <v>172</v>
      </c>
      <c r="BH179" s="301">
        <f t="shared" si="38"/>
        <v>-42.420502304983955</v>
      </c>
      <c r="BI179" s="302">
        <f t="shared" si="39"/>
        <v>42.420502304983955</v>
      </c>
      <c r="BJ179" s="302">
        <f t="shared" si="43"/>
        <v>0.57949769501604464</v>
      </c>
      <c r="BK179" s="302" t="b">
        <f t="shared" si="40"/>
        <v>0</v>
      </c>
      <c r="BL179" s="304">
        <v>16</v>
      </c>
      <c r="EK179" s="78"/>
      <c r="EL179" s="78"/>
    </row>
    <row r="180" spans="2:142" ht="23" thickBot="1" x14ac:dyDescent="0.35">
      <c r="B180" s="277">
        <v>10</v>
      </c>
      <c r="C180" s="278"/>
      <c r="D180" s="25">
        <v>0</v>
      </c>
      <c r="E180" s="279" t="s">
        <v>80</v>
      </c>
      <c r="F180" s="258"/>
      <c r="G180" s="258"/>
      <c r="H180" s="506">
        <v>479.77208100000001</v>
      </c>
      <c r="I180" s="507">
        <v>61.416098300000002</v>
      </c>
      <c r="J180" s="474">
        <f t="shared" si="71"/>
        <v>61.416098300000002</v>
      </c>
      <c r="K180" s="474">
        <f t="shared" si="48"/>
        <v>30.708049150000001</v>
      </c>
      <c r="L180" s="474">
        <f t="shared" si="49"/>
        <v>0.51066370850547771</v>
      </c>
      <c r="M180" s="474">
        <f>+L180*H180</f>
        <v>245.00219012085046</v>
      </c>
      <c r="N180" s="474">
        <f t="shared" si="51"/>
        <v>490.00438024170091</v>
      </c>
      <c r="O180" s="474">
        <f>+C171+D172+D173+D174+D175+D176+D177+D178+D179+(D180/2)</f>
        <v>0</v>
      </c>
      <c r="P180" s="474">
        <f t="shared" si="52"/>
        <v>0</v>
      </c>
      <c r="Q180" s="474">
        <f t="shared" si="53"/>
        <v>0</v>
      </c>
      <c r="R180" s="474">
        <f t="shared" si="54"/>
        <v>334.49993130661176</v>
      </c>
      <c r="S180" s="474">
        <f t="shared" si="72"/>
        <v>334.49993130661176</v>
      </c>
      <c r="T180" s="476">
        <f t="shared" si="44"/>
        <v>334.49993130661176</v>
      </c>
      <c r="V180" s="437">
        <f t="shared" si="55"/>
        <v>0</v>
      </c>
      <c r="W180" s="437"/>
      <c r="X180" s="437"/>
      <c r="Y180" s="437"/>
      <c r="Z180" s="437"/>
      <c r="AA180" s="437"/>
      <c r="AB180" s="477"/>
      <c r="AC180" s="514" t="b">
        <f>IF(AD180=10,AF180)</f>
        <v>0</v>
      </c>
      <c r="AD180" s="514">
        <f t="shared" si="56"/>
        <v>1</v>
      </c>
      <c r="AE180" s="514">
        <f>IF(V180=0,0,10)</f>
        <v>0</v>
      </c>
      <c r="AF180" s="437">
        <f>SUM(V180:V182)/($B$168-B179)</f>
        <v>0</v>
      </c>
      <c r="AG180" s="437"/>
      <c r="AH180" s="450">
        <f>SUM(D172:D180)+$C$171</f>
        <v>0</v>
      </c>
      <c r="AI180" s="516" t="b">
        <f t="shared" si="57"/>
        <v>0</v>
      </c>
      <c r="AJ180" s="287">
        <f t="shared" si="58"/>
        <v>53.779595</v>
      </c>
      <c r="AK180" s="441">
        <f t="shared" si="73"/>
        <v>0.8067499259590819</v>
      </c>
      <c r="AL180" s="289">
        <f t="shared" si="59"/>
        <v>334.49997885066585</v>
      </c>
      <c r="AM180" s="287">
        <f t="shared" si="60"/>
        <v>59.291088500000001</v>
      </c>
      <c r="AN180" s="442">
        <f t="shared" si="61"/>
        <v>0.85977285389573432</v>
      </c>
      <c r="AO180" s="291">
        <f t="shared" si="62"/>
        <v>412.49502763654965</v>
      </c>
      <c r="AP180" s="519">
        <f t="shared" si="45"/>
        <v>-17.165802364437734</v>
      </c>
      <c r="AQ180" s="291">
        <f t="shared" si="74"/>
        <v>-576</v>
      </c>
      <c r="AR180" s="443">
        <f t="shared" si="46"/>
        <v>-504.5</v>
      </c>
      <c r="AS180" s="444">
        <f t="shared" si="63"/>
        <v>746.99500648721551</v>
      </c>
      <c r="AT180" s="445">
        <f t="shared" si="64"/>
        <v>-334.49997885066585</v>
      </c>
      <c r="AU180" s="446">
        <f t="shared" si="65"/>
        <v>317.3341764862281</v>
      </c>
      <c r="AV180" s="445"/>
      <c r="AW180" s="447">
        <f t="shared" si="66"/>
        <v>-290.18117504538895</v>
      </c>
      <c r="AX180" s="447">
        <f t="shared" si="67"/>
        <v>-214.31882495461102</v>
      </c>
      <c r="AY180" s="448">
        <f t="shared" si="68"/>
        <v>-39.97502594089908</v>
      </c>
      <c r="AZ180" s="448">
        <f t="shared" si="69"/>
        <v>-54.124970134829162</v>
      </c>
      <c r="BA180" s="451">
        <f t="shared" si="70"/>
        <v>39.97502594089908</v>
      </c>
      <c r="BB180" s="451">
        <f t="shared" si="70"/>
        <v>54.124970134829162</v>
      </c>
      <c r="BD180" s="136"/>
      <c r="BE180" s="298">
        <v>17</v>
      </c>
      <c r="BF180" s="299">
        <f t="shared" si="41"/>
        <v>215</v>
      </c>
      <c r="BG180" s="42">
        <f t="shared" si="42"/>
        <v>215</v>
      </c>
      <c r="BH180" s="301">
        <f t="shared" si="38"/>
        <v>0.57949769501604464</v>
      </c>
      <c r="BI180" s="302">
        <f t="shared" si="39"/>
        <v>0.57949769501604464</v>
      </c>
      <c r="BJ180" s="302">
        <f t="shared" si="43"/>
        <v>0.57949769501604464</v>
      </c>
      <c r="BK180" s="302">
        <f t="shared" si="40"/>
        <v>17</v>
      </c>
      <c r="BL180" s="304">
        <v>17</v>
      </c>
      <c r="EK180" s="78"/>
      <c r="EL180" s="78"/>
    </row>
    <row r="181" spans="2:142" ht="23" hidden="1" thickBot="1" x14ac:dyDescent="0.35">
      <c r="B181" s="277">
        <v>11</v>
      </c>
      <c r="C181" s="278"/>
      <c r="D181" s="25">
        <v>0</v>
      </c>
      <c r="E181" s="279" t="s">
        <v>80</v>
      </c>
      <c r="F181" s="258"/>
      <c r="G181" s="258"/>
      <c r="H181" s="506">
        <v>479.77208100000001</v>
      </c>
      <c r="I181" s="507">
        <v>61.416098300000002</v>
      </c>
      <c r="J181" s="474">
        <f t="shared" si="71"/>
        <v>61.416098300000002</v>
      </c>
      <c r="K181" s="474">
        <f t="shared" si="48"/>
        <v>30.708049150000001</v>
      </c>
      <c r="L181" s="474">
        <f t="shared" si="49"/>
        <v>0.51066370850547771</v>
      </c>
      <c r="M181" s="474">
        <f t="shared" si="50"/>
        <v>245.00219012085046</v>
      </c>
      <c r="N181" s="474">
        <f t="shared" si="51"/>
        <v>490.00438024170091</v>
      </c>
      <c r="O181" s="474">
        <f>+C171+D172+D173+D174+D175+D176+D177+D178+D179+D180+(D181/2)</f>
        <v>0</v>
      </c>
      <c r="P181" s="474">
        <f t="shared" si="52"/>
        <v>0</v>
      </c>
      <c r="Q181" s="474">
        <f t="shared" si="53"/>
        <v>0</v>
      </c>
      <c r="R181" s="474">
        <f t="shared" si="54"/>
        <v>334.49993130661176</v>
      </c>
      <c r="S181" s="474">
        <f t="shared" si="72"/>
        <v>334.49993130661176</v>
      </c>
      <c r="T181" s="476">
        <f t="shared" si="44"/>
        <v>334.49993130661176</v>
      </c>
      <c r="V181" s="437">
        <f t="shared" si="55"/>
        <v>0</v>
      </c>
      <c r="W181" s="437"/>
      <c r="X181" s="437"/>
      <c r="Y181" s="437"/>
      <c r="Z181" s="437"/>
      <c r="AA181" s="437"/>
      <c r="AB181" s="477"/>
      <c r="AC181" s="514" t="b">
        <f>IF(AD181=11,AF181)</f>
        <v>0</v>
      </c>
      <c r="AD181" s="514">
        <f t="shared" si="56"/>
        <v>1</v>
      </c>
      <c r="AE181" s="514">
        <f>IF(V181=0,0,11)</f>
        <v>0</v>
      </c>
      <c r="AF181" s="437">
        <f>SUM(V181:V182)/($B$168-B180)</f>
        <v>0</v>
      </c>
      <c r="AG181" s="437"/>
      <c r="AH181" s="450">
        <f>SUM(D172:D181)+$C$171</f>
        <v>0</v>
      </c>
      <c r="AI181" s="516" t="b">
        <f t="shared" si="57"/>
        <v>0</v>
      </c>
      <c r="AJ181" s="287">
        <f t="shared" si="58"/>
        <v>53.779595</v>
      </c>
      <c r="AK181" s="441">
        <f t="shared" si="73"/>
        <v>0.8067499259590819</v>
      </c>
      <c r="AL181" s="289">
        <f t="shared" si="59"/>
        <v>334.49997885066585</v>
      </c>
      <c r="AM181" s="287">
        <f t="shared" si="60"/>
        <v>59.291088500000001</v>
      </c>
      <c r="AN181" s="442">
        <f t="shared" si="61"/>
        <v>0.85977285389573432</v>
      </c>
      <c r="AO181" s="291">
        <f t="shared" si="62"/>
        <v>412.49502763654965</v>
      </c>
      <c r="AP181" s="519">
        <f t="shared" si="45"/>
        <v>-15.021938062200933</v>
      </c>
      <c r="AQ181" s="291">
        <f t="shared" si="74"/>
        <v>-648</v>
      </c>
      <c r="AR181" s="443">
        <f t="shared" si="46"/>
        <v>-576.5</v>
      </c>
      <c r="AS181" s="444">
        <f t="shared" si="63"/>
        <v>746.99500648721551</v>
      </c>
      <c r="AT181" s="445">
        <f t="shared" si="64"/>
        <v>-334.49997885066585</v>
      </c>
      <c r="AU181" s="446">
        <f t="shared" si="65"/>
        <v>319.47804078846491</v>
      </c>
      <c r="AV181" s="445"/>
      <c r="AW181" s="447">
        <f t="shared" si="66"/>
        <v>-329.93999770405139</v>
      </c>
      <c r="AX181" s="447">
        <f t="shared" si="67"/>
        <v>-246.56000229594864</v>
      </c>
      <c r="AY181" s="448">
        <f t="shared" si="68"/>
        <v>-35.157907742985842</v>
      </c>
      <c r="AZ181" s="448">
        <f t="shared" si="69"/>
        <v>-47.047371398368156</v>
      </c>
      <c r="BA181" s="451">
        <f t="shared" si="70"/>
        <v>35.157907742985842</v>
      </c>
      <c r="BB181" s="451">
        <f t="shared" si="70"/>
        <v>47.047371398368156</v>
      </c>
      <c r="BD181" s="136"/>
      <c r="BE181" s="298">
        <v>18</v>
      </c>
      <c r="BF181" s="299">
        <f t="shared" si="41"/>
        <v>258</v>
      </c>
      <c r="BG181" s="42">
        <f t="shared" si="42"/>
        <v>258</v>
      </c>
      <c r="BH181" s="301">
        <f t="shared" si="38"/>
        <v>43.579497695016045</v>
      </c>
      <c r="BI181" s="302">
        <f t="shared" si="39"/>
        <v>43.579497695016045</v>
      </c>
      <c r="BJ181" s="302">
        <f t="shared" si="43"/>
        <v>0.57949769501604464</v>
      </c>
      <c r="BK181" s="302" t="b">
        <f t="shared" si="40"/>
        <v>0</v>
      </c>
      <c r="BL181" s="304">
        <v>18</v>
      </c>
      <c r="EK181" s="78"/>
      <c r="EL181" s="78"/>
    </row>
    <row r="182" spans="2:142" ht="23" hidden="1" thickBot="1" x14ac:dyDescent="0.35">
      <c r="B182" s="277">
        <v>12</v>
      </c>
      <c r="C182" s="278"/>
      <c r="D182" s="25">
        <v>0</v>
      </c>
      <c r="E182" s="279" t="s">
        <v>80</v>
      </c>
      <c r="F182" s="258"/>
      <c r="G182" s="258"/>
      <c r="H182" s="506">
        <v>479.77208100000001</v>
      </c>
      <c r="I182" s="507">
        <v>61.416098300000002</v>
      </c>
      <c r="J182" s="474">
        <f t="shared" si="71"/>
        <v>61.416098300000002</v>
      </c>
      <c r="K182" s="474">
        <f t="shared" si="48"/>
        <v>30.708049150000001</v>
      </c>
      <c r="L182" s="474">
        <f t="shared" si="49"/>
        <v>0.51066370850547771</v>
      </c>
      <c r="M182" s="474">
        <f t="shared" si="50"/>
        <v>245.00219012085046</v>
      </c>
      <c r="N182" s="474">
        <f t="shared" si="51"/>
        <v>490.00438024170091</v>
      </c>
      <c r="O182" s="474">
        <f>+C171+D172+D173+D174+D175+D176+D177+D178+D179+D180+D181+(D182/2)</f>
        <v>0</v>
      </c>
      <c r="P182" s="474">
        <f t="shared" si="52"/>
        <v>0</v>
      </c>
      <c r="Q182" s="474">
        <f t="shared" si="53"/>
        <v>0</v>
      </c>
      <c r="R182" s="474">
        <f t="shared" si="54"/>
        <v>334.49993130661176</v>
      </c>
      <c r="S182" s="474">
        <f t="shared" si="72"/>
        <v>334.49993130661176</v>
      </c>
      <c r="T182" s="476">
        <f t="shared" si="44"/>
        <v>334.49993130661176</v>
      </c>
      <c r="V182" s="437">
        <f t="shared" si="55"/>
        <v>0</v>
      </c>
      <c r="W182" s="437"/>
      <c r="X182" s="437"/>
      <c r="Y182" s="437"/>
      <c r="Z182" s="437"/>
      <c r="AA182" s="437"/>
      <c r="AB182" s="477"/>
      <c r="AC182" s="514" t="b">
        <f>IF(AD182=12,AF182)</f>
        <v>0</v>
      </c>
      <c r="AD182" s="514">
        <f t="shared" si="56"/>
        <v>1</v>
      </c>
      <c r="AE182" s="514">
        <f>IF(V182=0,0,12)</f>
        <v>0</v>
      </c>
      <c r="AF182" s="437">
        <f>SUM(V182)/($B$168-B181)</f>
        <v>0</v>
      </c>
      <c r="AG182" s="437"/>
      <c r="AH182" s="450">
        <f>SUM(D172:D182)+$C$171</f>
        <v>0</v>
      </c>
      <c r="AI182" s="516" t="b">
        <f t="shared" si="57"/>
        <v>0</v>
      </c>
      <c r="AJ182" s="287">
        <f t="shared" si="58"/>
        <v>53.779595</v>
      </c>
      <c r="AK182" s="441">
        <f t="shared" si="73"/>
        <v>0.8067499259590819</v>
      </c>
      <c r="AL182" s="289">
        <f t="shared" si="59"/>
        <v>334.49997885066585</v>
      </c>
      <c r="AM182" s="287">
        <f t="shared" si="60"/>
        <v>59.291088500000001</v>
      </c>
      <c r="AN182" s="442">
        <f t="shared" si="61"/>
        <v>0.85977285389573432</v>
      </c>
      <c r="AO182" s="291">
        <f t="shared" si="62"/>
        <v>412.49502763654965</v>
      </c>
      <c r="AP182" s="519">
        <f t="shared" si="45"/>
        <v>-13.354120729157806</v>
      </c>
      <c r="AQ182" s="291">
        <f t="shared" si="74"/>
        <v>-720</v>
      </c>
      <c r="AR182" s="443">
        <f t="shared" si="46"/>
        <v>-648.5</v>
      </c>
      <c r="AS182" s="444">
        <f t="shared" si="63"/>
        <v>746.99500648721551</v>
      </c>
      <c r="AT182" s="445">
        <f t="shared" si="64"/>
        <v>-334.49997885066585</v>
      </c>
      <c r="AU182" s="446">
        <f t="shared" si="65"/>
        <v>321.14585812150807</v>
      </c>
      <c r="AV182" s="445"/>
      <c r="AW182" s="447">
        <f t="shared" si="66"/>
        <v>-369.69882036271372</v>
      </c>
      <c r="AX182" s="447">
        <f t="shared" si="67"/>
        <v>-278.80117963728622</v>
      </c>
      <c r="AY182" s="448">
        <f t="shared" si="68"/>
        <v>-31.37689211077052</v>
      </c>
      <c r="AZ182" s="448">
        <f t="shared" si="69"/>
        <v>-41.606710613962704</v>
      </c>
      <c r="BA182" s="451">
        <f t="shared" si="70"/>
        <v>31.37689211077052</v>
      </c>
      <c r="BB182" s="451">
        <f t="shared" si="70"/>
        <v>41.606710613962704</v>
      </c>
      <c r="BD182" s="136"/>
      <c r="BE182" s="298">
        <v>19</v>
      </c>
      <c r="BF182" s="299">
        <f t="shared" si="41"/>
        <v>301</v>
      </c>
      <c r="BG182" s="42">
        <f t="shared" si="42"/>
        <v>301</v>
      </c>
      <c r="BH182" s="301">
        <f t="shared" si="38"/>
        <v>86.579497695016045</v>
      </c>
      <c r="BI182" s="302">
        <f t="shared" si="39"/>
        <v>86.579497695016045</v>
      </c>
      <c r="BJ182" s="302">
        <f t="shared" si="43"/>
        <v>0.57949769501604464</v>
      </c>
      <c r="BK182" s="302" t="b">
        <f t="shared" si="40"/>
        <v>0</v>
      </c>
      <c r="BL182" s="304">
        <v>19</v>
      </c>
      <c r="EK182" s="78"/>
      <c r="EL182" s="78"/>
    </row>
    <row r="183" spans="2:142" ht="21.75" customHeight="1" thickBot="1" x14ac:dyDescent="0.35">
      <c r="U183" s="276"/>
      <c r="AH183" s="554" t="s">
        <v>79</v>
      </c>
      <c r="AI183" s="555">
        <f>MAX(AI171:AI182)</f>
        <v>0</v>
      </c>
      <c r="BD183" s="136"/>
      <c r="BE183" s="298">
        <v>20</v>
      </c>
      <c r="BF183" s="299">
        <f t="shared" si="41"/>
        <v>344</v>
      </c>
      <c r="BG183" s="42">
        <f t="shared" si="42"/>
        <v>344</v>
      </c>
      <c r="BH183" s="301">
        <f t="shared" si="38"/>
        <v>129.57949769501604</v>
      </c>
      <c r="BI183" s="302">
        <f t="shared" si="39"/>
        <v>129.57949769501604</v>
      </c>
      <c r="BJ183" s="302">
        <f t="shared" si="43"/>
        <v>0.57949769501604464</v>
      </c>
      <c r="BK183" s="302" t="b">
        <f t="shared" si="40"/>
        <v>0</v>
      </c>
      <c r="BL183" s="304">
        <v>20</v>
      </c>
      <c r="EK183" s="78"/>
      <c r="EL183" s="78"/>
    </row>
    <row r="184" spans="2:142" ht="27" hidden="1" thickBot="1" x14ac:dyDescent="0.35">
      <c r="B184" s="350"/>
      <c r="U184" s="276"/>
      <c r="AL184" s="845" t="s">
        <v>201</v>
      </c>
      <c r="AM184" s="846"/>
      <c r="AN184" s="846"/>
      <c r="AO184" s="846"/>
      <c r="AP184" s="847"/>
      <c r="BE184" s="298">
        <v>21</v>
      </c>
      <c r="BF184" s="299">
        <f t="shared" si="41"/>
        <v>387</v>
      </c>
      <c r="BG184" s="42">
        <f t="shared" si="42"/>
        <v>387</v>
      </c>
      <c r="BH184" s="301">
        <f t="shared" si="38"/>
        <v>172.57949769501604</v>
      </c>
      <c r="BI184" s="302">
        <f t="shared" si="39"/>
        <v>172.57949769501604</v>
      </c>
      <c r="BJ184" s="302">
        <f t="shared" si="43"/>
        <v>0.57949769501604464</v>
      </c>
      <c r="BK184" s="302" t="b">
        <f t="shared" si="40"/>
        <v>0</v>
      </c>
      <c r="BL184" s="304">
        <v>21</v>
      </c>
    </row>
    <row r="185" spans="2:142" ht="50" hidden="1" thickBot="1" x14ac:dyDescent="0.35">
      <c r="B185" s="350"/>
      <c r="AB185" s="415"/>
      <c r="AC185" s="415"/>
      <c r="AD185" s="415"/>
      <c r="AE185" s="415"/>
      <c r="AH185" s="546" t="s">
        <v>79</v>
      </c>
      <c r="AI185" s="547">
        <f>MAX(AI171:AI183)</f>
        <v>0</v>
      </c>
      <c r="AL185" s="814" t="s">
        <v>175</v>
      </c>
      <c r="AM185" s="815" t="s">
        <v>176</v>
      </c>
      <c r="AN185" s="815" t="s">
        <v>177</v>
      </c>
      <c r="AO185" s="816" t="s">
        <v>181</v>
      </c>
      <c r="AP185" s="817"/>
      <c r="BE185" s="298">
        <v>22</v>
      </c>
      <c r="BF185" s="299">
        <f t="shared" si="41"/>
        <v>430</v>
      </c>
      <c r="BG185" s="42">
        <f t="shared" si="42"/>
        <v>430</v>
      </c>
      <c r="BH185" s="301">
        <f t="shared" si="38"/>
        <v>215.57949769501604</v>
      </c>
      <c r="BI185" s="302">
        <f t="shared" si="39"/>
        <v>215.57949769501604</v>
      </c>
      <c r="BJ185" s="302">
        <f t="shared" si="43"/>
        <v>0.57949769501604464</v>
      </c>
      <c r="BK185" s="302" t="b">
        <f t="shared" si="40"/>
        <v>0</v>
      </c>
      <c r="BL185" s="304">
        <v>22</v>
      </c>
    </row>
    <row r="186" spans="2:142" ht="25" hidden="1" thickBot="1" x14ac:dyDescent="0.35">
      <c r="B186" s="350"/>
      <c r="AB186" s="415"/>
      <c r="AC186" s="415"/>
      <c r="AD186" s="415"/>
      <c r="AE186" s="415"/>
      <c r="AH186" s="853"/>
      <c r="AI186" s="854"/>
      <c r="AL186" s="818">
        <v>6.8623010000000004</v>
      </c>
      <c r="AM186" s="819">
        <f>+(AI185*-1)-AL186</f>
        <v>-6.8623010000000004</v>
      </c>
      <c r="AN186" s="820">
        <f>COS(AM186*3.14159265358979/180)</f>
        <v>0.99283617366519983</v>
      </c>
      <c r="AO186" s="848">
        <f>+AN186*378.71303</f>
        <v>375.99999562235405</v>
      </c>
      <c r="AP186" s="821"/>
      <c r="BE186" s="298"/>
      <c r="BF186" s="299"/>
      <c r="BG186" s="42"/>
      <c r="BH186" s="301"/>
      <c r="BI186" s="302"/>
      <c r="BJ186" s="302"/>
      <c r="BK186" s="302"/>
      <c r="BL186" s="304"/>
    </row>
    <row r="187" spans="2:142" ht="27" hidden="1" thickBot="1" x14ac:dyDescent="0.35">
      <c r="B187" s="350"/>
      <c r="AB187" s="415"/>
      <c r="AC187" s="415"/>
      <c r="AD187" s="415"/>
      <c r="AE187" s="415"/>
      <c r="AH187" s="853"/>
      <c r="AI187" s="854"/>
      <c r="AL187" s="844" t="s">
        <v>202</v>
      </c>
      <c r="AM187" s="849"/>
      <c r="AN187" s="849"/>
      <c r="AO187" s="849"/>
      <c r="AP187" s="850"/>
      <c r="BE187" s="298"/>
      <c r="BF187" s="299"/>
      <c r="BG187" s="42"/>
      <c r="BH187" s="301"/>
      <c r="BI187" s="302"/>
      <c r="BJ187" s="302"/>
      <c r="BK187" s="302"/>
      <c r="BL187" s="304"/>
    </row>
    <row r="188" spans="2:142" ht="145" hidden="1" x14ac:dyDescent="0.3">
      <c r="B188" s="350"/>
      <c r="AB188" s="415"/>
      <c r="AC188" s="415"/>
      <c r="AD188" s="415"/>
      <c r="AE188" s="415"/>
      <c r="AH188" s="853"/>
      <c r="AI188" s="854"/>
      <c r="AL188" s="851"/>
      <c r="AM188" s="815" t="s">
        <v>194</v>
      </c>
      <c r="AN188" s="815" t="s">
        <v>193</v>
      </c>
      <c r="AO188" s="816" t="s">
        <v>203</v>
      </c>
      <c r="AP188" s="843" t="s">
        <v>191</v>
      </c>
      <c r="BE188" s="298"/>
      <c r="BF188" s="299"/>
      <c r="BG188" s="42"/>
      <c r="BH188" s="301"/>
      <c r="BI188" s="302"/>
      <c r="BJ188" s="302"/>
      <c r="BK188" s="302"/>
      <c r="BL188" s="304"/>
    </row>
    <row r="189" spans="2:142" ht="25" hidden="1" thickBot="1" x14ac:dyDescent="0.35">
      <c r="V189" s="187"/>
      <c r="W189" s="187"/>
      <c r="X189" s="187"/>
      <c r="Y189" s="187"/>
      <c r="Z189" s="187"/>
      <c r="AA189" s="187"/>
      <c r="AB189" s="187"/>
      <c r="AC189" s="187"/>
      <c r="AD189" s="187"/>
      <c r="AE189" s="187"/>
      <c r="AF189" s="187"/>
      <c r="AG189" s="187"/>
      <c r="AH189" s="187"/>
      <c r="AI189" s="187"/>
      <c r="AJ189" s="187"/>
      <c r="AK189" s="187"/>
      <c r="AL189" s="852"/>
      <c r="AM189" s="822">
        <f>+AI185</f>
        <v>0</v>
      </c>
      <c r="AN189" s="823">
        <f>SIN(AM189*3.14159265358979/180)</f>
        <v>0</v>
      </c>
      <c r="AO189" s="824">
        <f>+AN189*((+B136*358.6)+(B168*491.5)+119+119+119)</f>
        <v>0</v>
      </c>
      <c r="AP189" s="825">
        <f>+AO186+AO189</f>
        <v>375.99999562235405</v>
      </c>
      <c r="AQ189" s="187"/>
      <c r="AR189" s="187"/>
      <c r="AS189" s="187"/>
      <c r="AT189" s="187">
        <f>+AS171-AP171</f>
        <v>518.812829853523</v>
      </c>
      <c r="AU189" s="187"/>
      <c r="AV189" s="187"/>
      <c r="AW189" s="187"/>
      <c r="AX189" s="187"/>
      <c r="AY189" s="187"/>
      <c r="AZ189" s="187"/>
      <c r="BA189" s="187"/>
      <c r="BB189" s="187"/>
      <c r="BC189" s="126"/>
      <c r="BE189" s="298">
        <v>23</v>
      </c>
      <c r="BF189" s="299">
        <f>+BF185+43</f>
        <v>473</v>
      </c>
      <c r="BG189" s="42">
        <f>+BG185+$E$2</f>
        <v>473</v>
      </c>
      <c r="BH189" s="301">
        <f t="shared" si="38"/>
        <v>258.57949769501602</v>
      </c>
      <c r="BI189" s="302">
        <f t="shared" si="39"/>
        <v>258.57949769501602</v>
      </c>
      <c r="BJ189" s="302">
        <f>+BJ185</f>
        <v>0.57949769501604464</v>
      </c>
      <c r="BK189" s="302" t="b">
        <f t="shared" si="40"/>
        <v>0</v>
      </c>
      <c r="BL189" s="304">
        <v>23</v>
      </c>
    </row>
    <row r="190" spans="2:142" ht="21" hidden="1" thickBot="1" x14ac:dyDescent="0.35">
      <c r="V190" s="187"/>
      <c r="W190" s="187"/>
      <c r="X190" s="187"/>
      <c r="Y190" s="187"/>
      <c r="Z190" s="187"/>
      <c r="AA190" s="187"/>
      <c r="AB190" s="187"/>
      <c r="AC190" s="187"/>
      <c r="AD190" s="187"/>
      <c r="AE190" s="187"/>
      <c r="AF190" s="187"/>
      <c r="AG190" s="187"/>
      <c r="AH190" s="187"/>
      <c r="AI190" s="187"/>
      <c r="AJ190" s="187"/>
      <c r="AK190" s="187"/>
      <c r="AL190" s="187"/>
      <c r="AM190" s="187"/>
      <c r="AN190" s="187"/>
      <c r="AO190" s="187"/>
      <c r="AP190" s="187"/>
      <c r="AQ190" s="187"/>
      <c r="AR190" s="187"/>
      <c r="AS190" s="187"/>
      <c r="AT190" s="187"/>
      <c r="AU190" s="187"/>
      <c r="AV190" s="187"/>
      <c r="AW190" s="187"/>
      <c r="AX190" s="187"/>
      <c r="AY190" s="187"/>
      <c r="AZ190" s="187"/>
      <c r="BA190" s="187"/>
      <c r="BB190" s="187"/>
      <c r="BC190" s="126"/>
      <c r="BE190" s="298">
        <v>24</v>
      </c>
      <c r="BF190" s="299">
        <f t="shared" si="41"/>
        <v>516</v>
      </c>
      <c r="BG190" s="42">
        <f t="shared" si="42"/>
        <v>516</v>
      </c>
      <c r="BH190" s="301">
        <f t="shared" si="38"/>
        <v>301.57949769501602</v>
      </c>
      <c r="BI190" s="302">
        <f t="shared" si="39"/>
        <v>301.57949769501602</v>
      </c>
      <c r="BJ190" s="302">
        <f t="shared" si="43"/>
        <v>0.57949769501604464</v>
      </c>
      <c r="BK190" s="302" t="b">
        <f t="shared" si="40"/>
        <v>0</v>
      </c>
      <c r="BL190" s="304">
        <v>24</v>
      </c>
    </row>
    <row r="191" spans="2:142" ht="67.5" customHeight="1" thickBot="1" x14ac:dyDescent="0.35">
      <c r="B191" s="345" t="s">
        <v>118</v>
      </c>
      <c r="C191" s="454"/>
      <c r="D191" s="455"/>
      <c r="E191" s="37"/>
      <c r="F191" s="37"/>
      <c r="G191" s="37"/>
      <c r="H191" s="456"/>
      <c r="I191" s="456"/>
      <c r="J191" s="456"/>
      <c r="K191" s="456"/>
      <c r="L191" s="456"/>
      <c r="M191" s="456"/>
      <c r="N191" s="456"/>
      <c r="O191" s="456"/>
      <c r="P191" s="456"/>
      <c r="Q191" s="456"/>
      <c r="R191" s="456"/>
      <c r="S191" s="457" t="s">
        <v>66</v>
      </c>
      <c r="T191" s="457">
        <f>SUM(V195:V214)/B192</f>
        <v>213.83080000000001</v>
      </c>
      <c r="U191" s="212"/>
      <c r="V191" s="187"/>
      <c r="W191" s="187"/>
      <c r="X191" s="187"/>
      <c r="Y191" s="187"/>
      <c r="Z191" s="187"/>
      <c r="AA191" s="187"/>
      <c r="AB191" s="187"/>
      <c r="AC191" s="187"/>
      <c r="AD191" s="187"/>
      <c r="AE191" s="187"/>
      <c r="AF191" s="187"/>
      <c r="AG191" s="187"/>
      <c r="AH191" s="187"/>
      <c r="AI191" s="187"/>
      <c r="AJ191" s="187"/>
      <c r="AK191" s="187"/>
      <c r="AL191" s="187"/>
      <c r="AM191" s="187"/>
      <c r="AN191" s="187"/>
      <c r="AO191" s="187"/>
      <c r="AP191" s="187"/>
      <c r="AQ191" s="187"/>
      <c r="AR191" s="187"/>
      <c r="AS191" s="187"/>
      <c r="AT191" s="187"/>
      <c r="AU191" s="187"/>
      <c r="AV191" s="187"/>
      <c r="AW191" s="187"/>
      <c r="AX191" s="187"/>
      <c r="AY191" s="187"/>
      <c r="AZ191" s="187"/>
      <c r="BA191" s="187"/>
      <c r="BB191" s="187"/>
      <c r="BC191" s="126"/>
      <c r="BE191" s="298">
        <v>25</v>
      </c>
      <c r="BF191" s="299">
        <f t="shared" si="41"/>
        <v>559</v>
      </c>
      <c r="BG191" s="42">
        <f t="shared" si="42"/>
        <v>559</v>
      </c>
      <c r="BH191" s="301">
        <f t="shared" si="38"/>
        <v>344.57949769501602</v>
      </c>
      <c r="BI191" s="302">
        <f t="shared" si="39"/>
        <v>344.57949769501602</v>
      </c>
      <c r="BJ191" s="302">
        <f t="shared" si="43"/>
        <v>0.57949769501604464</v>
      </c>
      <c r="BK191" s="302" t="b">
        <f t="shared" si="40"/>
        <v>0</v>
      </c>
      <c r="BL191" s="304">
        <v>25</v>
      </c>
    </row>
    <row r="192" spans="2:142" ht="28.5" customHeight="1" thickBot="1" x14ac:dyDescent="0.35">
      <c r="B192" s="27">
        <v>1</v>
      </c>
      <c r="C192" s="216"/>
      <c r="D192" s="556" t="s">
        <v>117</v>
      </c>
      <c r="E192" s="330"/>
      <c r="F192" s="330"/>
      <c r="G192" s="330"/>
      <c r="H192" s="460"/>
      <c r="I192" s="461"/>
      <c r="J192" s="461"/>
      <c r="K192" s="461"/>
      <c r="L192" s="461"/>
      <c r="M192" s="461"/>
      <c r="N192" s="461"/>
      <c r="O192" s="461"/>
      <c r="P192" s="461"/>
      <c r="Q192" s="461"/>
      <c r="R192" s="461"/>
      <c r="S192" s="462"/>
      <c r="T192" s="463"/>
      <c r="U192" s="401"/>
      <c r="V192" s="464"/>
      <c r="W192" s="464"/>
      <c r="X192" s="464"/>
      <c r="Y192" s="464"/>
      <c r="Z192" s="464"/>
      <c r="AA192" s="464"/>
      <c r="AB192" s="464"/>
      <c r="AC192" s="464"/>
      <c r="AD192" s="464"/>
      <c r="AE192" s="464"/>
      <c r="AF192" s="464"/>
      <c r="AG192" s="464"/>
      <c r="AH192" s="464"/>
      <c r="AI192" s="464"/>
      <c r="AJ192" s="464"/>
      <c r="AK192" s="464"/>
      <c r="AL192" s="464"/>
      <c r="AM192" s="464"/>
      <c r="AN192" s="464"/>
      <c r="AO192" s="464"/>
      <c r="AP192" s="464"/>
      <c r="AQ192" s="464"/>
      <c r="AR192" s="464"/>
      <c r="AS192" s="464"/>
      <c r="AT192" s="464"/>
      <c r="AU192" s="464"/>
      <c r="AV192" s="464"/>
      <c r="AW192" s="464"/>
      <c r="AX192" s="464"/>
      <c r="AY192" s="464"/>
      <c r="AZ192" s="464"/>
      <c r="BA192" s="1848" t="s">
        <v>52</v>
      </c>
      <c r="BB192" s="1849"/>
      <c r="BC192" s="218"/>
      <c r="BE192" s="298">
        <v>26</v>
      </c>
      <c r="BF192" s="299">
        <f t="shared" si="41"/>
        <v>602</v>
      </c>
      <c r="BG192" s="42">
        <f t="shared" si="42"/>
        <v>602</v>
      </c>
      <c r="BH192" s="301">
        <f t="shared" si="38"/>
        <v>387.57949769501602</v>
      </c>
      <c r="BI192" s="302">
        <f t="shared" si="39"/>
        <v>387.57949769501602</v>
      </c>
      <c r="BJ192" s="302">
        <f t="shared" si="43"/>
        <v>0.57949769501604464</v>
      </c>
      <c r="BK192" s="302" t="b">
        <f t="shared" si="40"/>
        <v>0</v>
      </c>
      <c r="BL192" s="304">
        <v>26</v>
      </c>
      <c r="BP192" s="305"/>
      <c r="BQ192" s="305"/>
      <c r="BR192" s="305"/>
      <c r="BS192" s="305"/>
      <c r="BT192" s="305"/>
      <c r="BU192" s="305"/>
      <c r="BV192" s="1818"/>
      <c r="BW192" s="1818"/>
      <c r="BX192" s="1818"/>
      <c r="BY192" s="126"/>
    </row>
    <row r="193" spans="1:109" ht="22" hidden="1" thickBot="1" x14ac:dyDescent="0.35">
      <c r="C193" s="416"/>
      <c r="D193" s="354" t="s">
        <v>13</v>
      </c>
      <c r="H193" s="465" t="s">
        <v>4</v>
      </c>
      <c r="I193" s="465" t="s">
        <v>1</v>
      </c>
      <c r="J193" s="456" t="s">
        <v>0</v>
      </c>
      <c r="K193" s="456" t="s">
        <v>2</v>
      </c>
      <c r="L193" s="456" t="s">
        <v>3</v>
      </c>
      <c r="M193" s="456" t="s">
        <v>8</v>
      </c>
      <c r="N193" s="456" t="s">
        <v>5</v>
      </c>
      <c r="O193" s="456" t="s">
        <v>6</v>
      </c>
      <c r="P193" s="456" t="s">
        <v>7</v>
      </c>
      <c r="Q193" s="456" t="s">
        <v>9</v>
      </c>
      <c r="R193" s="466" t="s">
        <v>10</v>
      </c>
      <c r="S193" s="456" t="s">
        <v>11</v>
      </c>
      <c r="T193" s="467" t="s">
        <v>12</v>
      </c>
      <c r="V193" s="420"/>
      <c r="W193" s="420"/>
      <c r="X193" s="420"/>
      <c r="Y193" s="420"/>
      <c r="Z193" s="420"/>
      <c r="AA193" s="420"/>
      <c r="AB193" s="420"/>
      <c r="AC193" s="420"/>
      <c r="AD193" s="420"/>
      <c r="AE193" s="420"/>
      <c r="AF193" s="420"/>
      <c r="AG193" s="420"/>
      <c r="AH193" s="420"/>
      <c r="AI193" s="420"/>
      <c r="AJ193" s="420"/>
      <c r="AK193" s="420"/>
      <c r="AL193" s="420"/>
      <c r="AM193" s="420"/>
      <c r="AN193" s="420"/>
      <c r="AO193" s="420"/>
      <c r="AP193" s="420"/>
      <c r="AQ193" s="420"/>
      <c r="AR193" s="420"/>
      <c r="AS193" s="420"/>
      <c r="AT193" s="420"/>
      <c r="AU193" s="420"/>
      <c r="AV193" s="420"/>
      <c r="AW193" s="420"/>
      <c r="AX193" s="420"/>
      <c r="AY193" s="415"/>
      <c r="AZ193" s="420"/>
      <c r="BA193" s="420"/>
      <c r="BB193" s="420"/>
      <c r="BC193" s="231"/>
      <c r="BE193" s="298">
        <v>27</v>
      </c>
      <c r="BF193" s="299">
        <f t="shared" si="41"/>
        <v>645</v>
      </c>
      <c r="BG193" s="42">
        <f t="shared" si="42"/>
        <v>645</v>
      </c>
      <c r="BH193" s="301">
        <f t="shared" si="38"/>
        <v>430.57949769501602</v>
      </c>
      <c r="BI193" s="302">
        <f t="shared" si="39"/>
        <v>430.57949769501602</v>
      </c>
      <c r="BJ193" s="302">
        <f t="shared" si="43"/>
        <v>0.57949769501604464</v>
      </c>
      <c r="BK193" s="302" t="b">
        <f t="shared" si="40"/>
        <v>0</v>
      </c>
      <c r="BL193" s="304">
        <v>27</v>
      </c>
      <c r="BV193" s="306"/>
      <c r="CI193" s="306"/>
    </row>
    <row r="194" spans="1:109" ht="30" customHeight="1" thickBot="1" x14ac:dyDescent="0.35">
      <c r="B194" s="421"/>
      <c r="C194" s="422"/>
      <c r="D194" s="551" t="s">
        <v>22</v>
      </c>
      <c r="E194" s="330"/>
      <c r="F194" s="468" t="s">
        <v>45</v>
      </c>
      <c r="G194" s="240"/>
      <c r="H194" s="469"/>
      <c r="I194" s="470"/>
      <c r="R194" s="466"/>
      <c r="T194" s="471"/>
      <c r="V194" s="420"/>
      <c r="W194" s="420"/>
      <c r="X194" s="420"/>
      <c r="Y194" s="420"/>
      <c r="Z194" s="420"/>
      <c r="AA194" s="420"/>
      <c r="AB194" s="420"/>
      <c r="AC194" s="420"/>
      <c r="AD194" s="420"/>
      <c r="AE194" s="420"/>
      <c r="AF194" s="420" t="s">
        <v>38</v>
      </c>
      <c r="AG194" s="552" t="s">
        <v>102</v>
      </c>
      <c r="AH194" s="425" t="s">
        <v>31</v>
      </c>
      <c r="AI194" s="425"/>
      <c r="AJ194" s="368" t="s">
        <v>120</v>
      </c>
      <c r="AK194" s="426" t="s">
        <v>32</v>
      </c>
      <c r="AL194" s="472" t="s">
        <v>142</v>
      </c>
      <c r="AM194" s="368" t="s">
        <v>121</v>
      </c>
      <c r="AN194" s="427" t="s">
        <v>34</v>
      </c>
      <c r="AO194" s="472" t="s">
        <v>143</v>
      </c>
      <c r="AP194" s="427"/>
      <c r="AQ194" s="473" t="s">
        <v>36</v>
      </c>
      <c r="AR194" s="420"/>
      <c r="AS194" s="420" t="s">
        <v>37</v>
      </c>
      <c r="AT194" s="420" t="s">
        <v>39</v>
      </c>
      <c r="AU194" s="420"/>
      <c r="AV194" s="420" t="s">
        <v>40</v>
      </c>
      <c r="AW194" s="429" t="s">
        <v>41</v>
      </c>
      <c r="AX194" s="429" t="s">
        <v>42</v>
      </c>
      <c r="AY194" s="430" t="s">
        <v>23</v>
      </c>
      <c r="AZ194" s="430" t="s">
        <v>24</v>
      </c>
      <c r="BA194" s="431" t="s">
        <v>23</v>
      </c>
      <c r="BB194" s="431" t="s">
        <v>24</v>
      </c>
      <c r="BE194" s="298">
        <v>28</v>
      </c>
      <c r="BF194" s="299">
        <f t="shared" si="41"/>
        <v>688</v>
      </c>
      <c r="BG194" s="42">
        <f t="shared" si="42"/>
        <v>688</v>
      </c>
      <c r="BH194" s="301">
        <f t="shared" si="38"/>
        <v>473.57949769501602</v>
      </c>
      <c r="BI194" s="302">
        <f t="shared" si="39"/>
        <v>473.57949769501602</v>
      </c>
      <c r="BJ194" s="302">
        <f t="shared" si="43"/>
        <v>0.57949769501604464</v>
      </c>
      <c r="BK194" s="302" t="b">
        <f t="shared" si="40"/>
        <v>0</v>
      </c>
      <c r="BL194" s="304">
        <v>28</v>
      </c>
      <c r="BP194" s="307"/>
      <c r="BQ194" s="307"/>
      <c r="BR194" s="307"/>
      <c r="BS194" s="307"/>
      <c r="BT194" s="307"/>
      <c r="BU194" s="307"/>
      <c r="BV194" s="1819"/>
      <c r="BW194" s="1819"/>
      <c r="CH194" s="1813"/>
      <c r="CI194" s="1813"/>
    </row>
    <row r="195" spans="1:109" ht="21" customHeight="1" thickBot="1" x14ac:dyDescent="0.35">
      <c r="B195" s="255">
        <v>1</v>
      </c>
      <c r="C195" s="256">
        <f>+AI185+D195</f>
        <v>0</v>
      </c>
      <c r="D195" s="25">
        <v>0</v>
      </c>
      <c r="E195" s="257" t="s">
        <v>119</v>
      </c>
      <c r="F195" s="258">
        <f>+G195</f>
        <v>0</v>
      </c>
      <c r="G195" s="258">
        <f>+D195</f>
        <v>0</v>
      </c>
      <c r="H195" s="506">
        <v>279.06049999999999</v>
      </c>
      <c r="I195" s="507">
        <v>79.962900599999998</v>
      </c>
      <c r="J195" s="508">
        <f>+I195-C195</f>
        <v>79.962900599999998</v>
      </c>
      <c r="K195" s="508">
        <f>+J195/2</f>
        <v>39.981450299999999</v>
      </c>
      <c r="L195" s="508">
        <f t="shared" ref="L195:L214" si="75">SIN(K195*3.14159265358979/180)</f>
        <v>0.64253956655634092</v>
      </c>
      <c r="M195" s="508">
        <f t="shared" ref="M195:M214" si="76">+L195*H195</f>
        <v>179.30741271299578</v>
      </c>
      <c r="N195" s="508">
        <f t="shared" ref="N195:N214" si="77">+M195*2</f>
        <v>358.61482542599157</v>
      </c>
      <c r="O195" s="508">
        <f>+C195/2</f>
        <v>0</v>
      </c>
      <c r="P195" s="508">
        <f t="shared" ref="P195:P214" si="78">SIN(O195*3.14159265358979/180)</f>
        <v>0</v>
      </c>
      <c r="Q195" s="508">
        <f t="shared" ref="Q195:Q214" si="79">+P195*N195</f>
        <v>0</v>
      </c>
      <c r="R195" s="509">
        <v>213.83080000000001</v>
      </c>
      <c r="S195" s="508">
        <f>+R195+Q195</f>
        <v>213.83080000000001</v>
      </c>
      <c r="T195" s="510">
        <f t="shared" ref="T195:T214" si="80">+S195</f>
        <v>213.83080000000001</v>
      </c>
      <c r="U195" s="456"/>
      <c r="V195" s="511">
        <f t="shared" ref="V195:V214" si="81">IF(B195&lt;($B$192+1),T195,0)</f>
        <v>213.83080000000001</v>
      </c>
      <c r="W195" s="512"/>
      <c r="X195" s="511"/>
      <c r="Y195" s="512"/>
      <c r="Z195" s="419"/>
      <c r="AA195" s="513"/>
      <c r="AB195" s="477" t="str">
        <f>IF(AZ195&lt;0,"use the locking pin"," ")</f>
        <v xml:space="preserve"> </v>
      </c>
      <c r="AC195" s="514"/>
      <c r="AD195" s="514"/>
      <c r="AE195" s="514"/>
      <c r="AF195" s="511">
        <f>SUM(V195:V214)/($B$192)</f>
        <v>213.83080000000001</v>
      </c>
      <c r="AG195" s="511">
        <f>+AF195+AA171+AA139</f>
        <v>213.83078851743053</v>
      </c>
      <c r="AH195" s="515">
        <f>C195</f>
        <v>0</v>
      </c>
      <c r="AI195" s="516"/>
      <c r="AJ195" s="287">
        <f>66.2555484-AH195</f>
        <v>66.255548399999995</v>
      </c>
      <c r="AK195" s="517">
        <f t="shared" ref="AK195:AK214" si="82">SIN(AJ195*3.14159265358979/180)</f>
        <v>0.91535047595051022</v>
      </c>
      <c r="AL195" s="289">
        <f>+AK195*304.3209</f>
        <v>278.56028065668761</v>
      </c>
      <c r="AM195" s="287">
        <f>50.0185497+AH195</f>
        <v>50.018549700000001</v>
      </c>
      <c r="AN195" s="518">
        <f>SIN(AM195*3.14159265358979/180)</f>
        <v>0.76625250760411079</v>
      </c>
      <c r="AO195" s="291">
        <f>+AN195*279.0605</f>
        <v>213.83080789825695</v>
      </c>
      <c r="AP195" s="519"/>
      <c r="AQ195" s="269">
        <f>40.5*B192</f>
        <v>40.5</v>
      </c>
      <c r="AR195" s="519"/>
      <c r="AS195" s="520">
        <f>+AO195+AL195</f>
        <v>492.39108855494453</v>
      </c>
      <c r="AT195" s="521">
        <f>+V195-AO195</f>
        <v>-7.8982569391428115E-6</v>
      </c>
      <c r="AU195" s="522"/>
      <c r="AV195" s="521">
        <f>+AF195-AT195</f>
        <v>213.83080789825695</v>
      </c>
      <c r="AW195" s="523">
        <f>+((AS195-AV195)/AS195)*AQ195</f>
        <v>22.912054317849329</v>
      </c>
      <c r="AX195" s="523">
        <f>+(AV195/AS195)*AQ195</f>
        <v>17.587945682150675</v>
      </c>
      <c r="AY195" s="448">
        <f t="shared" ref="AY195:AY214" si="83">2*$C$18/AW195</f>
        <v>506.28371594611554</v>
      </c>
      <c r="AZ195" s="448">
        <f t="shared" ref="AZ195:AZ214" si="84">$D$18/AX195</f>
        <v>568.57123513569934</v>
      </c>
      <c r="BA195" s="451">
        <f>ABS(AY195)</f>
        <v>506.28371594611554</v>
      </c>
      <c r="BB195" s="451">
        <f>ABS(AZ195)</f>
        <v>568.57123513569934</v>
      </c>
      <c r="BC195" s="91" t="s">
        <v>43</v>
      </c>
      <c r="BE195" s="298">
        <v>29</v>
      </c>
      <c r="BF195" s="299">
        <f t="shared" si="41"/>
        <v>731</v>
      </c>
      <c r="BG195" s="42">
        <f t="shared" si="42"/>
        <v>731</v>
      </c>
      <c r="BH195" s="301">
        <f t="shared" si="38"/>
        <v>516.57949769501602</v>
      </c>
      <c r="BI195" s="302">
        <f t="shared" si="39"/>
        <v>516.57949769501602</v>
      </c>
      <c r="BJ195" s="302">
        <f t="shared" si="43"/>
        <v>0.57949769501604464</v>
      </c>
      <c r="BK195" s="302" t="b">
        <f t="shared" si="40"/>
        <v>0</v>
      </c>
      <c r="BL195" s="304">
        <v>29</v>
      </c>
    </row>
    <row r="196" spans="1:109" ht="21" customHeight="1" thickBot="1" x14ac:dyDescent="0.35">
      <c r="B196" s="277">
        <v>2</v>
      </c>
      <c r="C196" s="278"/>
      <c r="D196" s="25">
        <v>0</v>
      </c>
      <c r="E196" s="279" t="s">
        <v>130</v>
      </c>
      <c r="F196" s="258" t="e">
        <f t="shared" ref="F196:F214" si="85">+G196</f>
        <v>#DIV/0!</v>
      </c>
      <c r="G196" s="258" t="e">
        <f>+D196+BC196</f>
        <v>#DIV/0!</v>
      </c>
      <c r="H196" s="506">
        <v>279.06049999999999</v>
      </c>
      <c r="I196" s="507">
        <v>79.962900599999998</v>
      </c>
      <c r="J196" s="474">
        <f t="shared" ref="J196:J214" si="86">+I196-D196</f>
        <v>79.962900599999998</v>
      </c>
      <c r="K196" s="474">
        <f t="shared" ref="K196:K214" si="87">+J196/2</f>
        <v>39.981450299999999</v>
      </c>
      <c r="L196" s="474">
        <f t="shared" si="75"/>
        <v>0.64253956655634092</v>
      </c>
      <c r="M196" s="474">
        <f t="shared" si="76"/>
        <v>179.30741271299578</v>
      </c>
      <c r="N196" s="474">
        <f t="shared" si="77"/>
        <v>358.61482542599157</v>
      </c>
      <c r="O196" s="474">
        <f>+C195+(D196/2)</f>
        <v>0</v>
      </c>
      <c r="P196" s="474">
        <f t="shared" si="78"/>
        <v>0</v>
      </c>
      <c r="Q196" s="474">
        <f t="shared" si="79"/>
        <v>0</v>
      </c>
      <c r="R196" s="474">
        <f t="shared" ref="R196:R214" si="88">+T195</f>
        <v>213.83080000000001</v>
      </c>
      <c r="S196" s="474">
        <f>+R196+Q196</f>
        <v>213.83080000000001</v>
      </c>
      <c r="T196" s="476">
        <f t="shared" si="80"/>
        <v>213.83080000000001</v>
      </c>
      <c r="V196" s="437">
        <f t="shared" si="81"/>
        <v>0</v>
      </c>
      <c r="W196" s="437"/>
      <c r="X196" s="437"/>
      <c r="Y196" s="437"/>
      <c r="Z196" s="437"/>
      <c r="AA196" s="437"/>
      <c r="AB196" s="477" t="e">
        <f t="shared" ref="AB196:AB214" si="89">IF(AZ196&lt;0,"use the locking pin"," ")</f>
        <v>#DIV/0!</v>
      </c>
      <c r="AC196" s="514"/>
      <c r="AD196" s="514"/>
      <c r="AE196" s="514"/>
      <c r="AF196" s="437" t="e">
        <f>SUM(V196:V215)/($B$192-B195)</f>
        <v>#DIV/0!</v>
      </c>
      <c r="AG196" s="437"/>
      <c r="AH196" s="450">
        <f>SUM(D196)+$C$195</f>
        <v>0</v>
      </c>
      <c r="AI196" s="516"/>
      <c r="AJ196" s="287">
        <f t="shared" ref="AJ196:AJ214" si="90">66.2555484-AH196</f>
        <v>66.255548399999995</v>
      </c>
      <c r="AK196" s="441">
        <f t="shared" si="82"/>
        <v>0.91535047595051022</v>
      </c>
      <c r="AL196" s="289">
        <f t="shared" ref="AL196:AL214" si="91">+AK196*304.3209</f>
        <v>278.56028065668761</v>
      </c>
      <c r="AM196" s="287">
        <f t="shared" ref="AM196:AM214" si="92">50.0185497+AH196</f>
        <v>50.018549700000001</v>
      </c>
      <c r="AN196" s="442">
        <f t="shared" ref="AN196:AN214" si="93">SIN(AM196*3.14159265358979/180)</f>
        <v>0.76625250760411079</v>
      </c>
      <c r="AO196" s="291">
        <f t="shared" ref="AO196:AO214" si="94">+AN196*279.0605</f>
        <v>213.83080789825695</v>
      </c>
      <c r="AP196" s="519"/>
      <c r="AQ196" s="291">
        <f>40.5*($B$192-B195)</f>
        <v>0</v>
      </c>
      <c r="AR196" s="443"/>
      <c r="AS196" s="444">
        <f t="shared" ref="AS196:AS214" si="95">+AO196+AL196</f>
        <v>492.39108855494453</v>
      </c>
      <c r="AT196" s="445">
        <f>+V196-AO196</f>
        <v>-213.83080789825695</v>
      </c>
      <c r="AU196" s="446"/>
      <c r="AV196" s="445" t="e">
        <f>+AF196-AT196</f>
        <v>#DIV/0!</v>
      </c>
      <c r="AW196" s="447" t="e">
        <f t="shared" ref="AW196:AW214" si="96">+((AS196-AV196)/AS196)*AQ196</f>
        <v>#DIV/0!</v>
      </c>
      <c r="AX196" s="447" t="e">
        <f t="shared" ref="AX196:AX214" si="97">+(AV196/AS196)*AQ196</f>
        <v>#DIV/0!</v>
      </c>
      <c r="AY196" s="448" t="e">
        <f t="shared" si="83"/>
        <v>#DIV/0!</v>
      </c>
      <c r="AZ196" s="448" t="e">
        <f t="shared" si="84"/>
        <v>#DIV/0!</v>
      </c>
      <c r="BA196" s="451" t="e">
        <f t="shared" ref="BA196:BB214" si="98">ABS(AY196)</f>
        <v>#DIV/0!</v>
      </c>
      <c r="BB196" s="451" t="e">
        <f t="shared" si="98"/>
        <v>#DIV/0!</v>
      </c>
      <c r="BC196" t="e">
        <f t="shared" ref="BC196:BC214" si="99">IF(AZ196&lt;0,0.3,0)</f>
        <v>#DIV/0!</v>
      </c>
      <c r="BE196" s="298">
        <v>30</v>
      </c>
      <c r="BF196" s="299">
        <f t="shared" si="41"/>
        <v>774</v>
      </c>
      <c r="BG196" s="42">
        <f t="shared" si="42"/>
        <v>774</v>
      </c>
      <c r="BH196" s="301">
        <f t="shared" si="38"/>
        <v>559.57949769501602</v>
      </c>
      <c r="BI196" s="302">
        <f t="shared" si="39"/>
        <v>559.57949769501602</v>
      </c>
      <c r="BJ196" s="302">
        <f t="shared" si="43"/>
        <v>0.57949769501604464</v>
      </c>
      <c r="BK196" s="302" t="b">
        <f t="shared" si="40"/>
        <v>0</v>
      </c>
      <c r="BL196" s="304">
        <v>30</v>
      </c>
    </row>
    <row r="197" spans="1:109" ht="21" customHeight="1" thickBot="1" x14ac:dyDescent="0.35">
      <c r="B197" s="277">
        <v>3</v>
      </c>
      <c r="C197" s="278"/>
      <c r="D197" s="25">
        <v>0</v>
      </c>
      <c r="E197" s="279" t="s">
        <v>130</v>
      </c>
      <c r="F197" s="258">
        <f t="shared" si="85"/>
        <v>0.3</v>
      </c>
      <c r="G197" s="258">
        <f t="shared" ref="G197:G214" si="100">+D197+BC197</f>
        <v>0.3</v>
      </c>
      <c r="H197" s="506">
        <v>279.06049999999999</v>
      </c>
      <c r="I197" s="507">
        <v>79.962900599999998</v>
      </c>
      <c r="J197" s="474">
        <f t="shared" si="86"/>
        <v>79.962900599999998</v>
      </c>
      <c r="K197" s="474">
        <f t="shared" si="87"/>
        <v>39.981450299999999</v>
      </c>
      <c r="L197" s="474">
        <f t="shared" si="75"/>
        <v>0.64253956655634092</v>
      </c>
      <c r="M197" s="474">
        <f t="shared" si="76"/>
        <v>179.30741271299578</v>
      </c>
      <c r="N197" s="474">
        <f t="shared" si="77"/>
        <v>358.61482542599157</v>
      </c>
      <c r="O197" s="474">
        <f>+C195+D196+(D197/2)</f>
        <v>0</v>
      </c>
      <c r="P197" s="474">
        <f t="shared" si="78"/>
        <v>0</v>
      </c>
      <c r="Q197" s="474">
        <f t="shared" si="79"/>
        <v>0</v>
      </c>
      <c r="R197" s="474">
        <f t="shared" si="88"/>
        <v>213.83080000000001</v>
      </c>
      <c r="S197" s="474">
        <f t="shared" ref="S197:S214" si="101">+S196+Q197</f>
        <v>213.83080000000001</v>
      </c>
      <c r="T197" s="476">
        <f t="shared" si="80"/>
        <v>213.83080000000001</v>
      </c>
      <c r="V197" s="437">
        <f t="shared" si="81"/>
        <v>0</v>
      </c>
      <c r="W197" s="437"/>
      <c r="X197" s="437"/>
      <c r="Y197" s="437"/>
      <c r="Z197" s="437"/>
      <c r="AA197" s="437"/>
      <c r="AB197" s="477" t="str">
        <f t="shared" si="89"/>
        <v>use the locking pin</v>
      </c>
      <c r="AC197" s="514"/>
      <c r="AD197" s="514"/>
      <c r="AE197" s="514"/>
      <c r="AF197" s="437">
        <f>SUM(V197:V214)/($B$192-B196)</f>
        <v>0</v>
      </c>
      <c r="AG197" s="437"/>
      <c r="AH197" s="450">
        <f>SUM(D196:D197)+$C$195</f>
        <v>0</v>
      </c>
      <c r="AI197" s="516"/>
      <c r="AJ197" s="287">
        <f t="shared" si="90"/>
        <v>66.255548399999995</v>
      </c>
      <c r="AK197" s="441">
        <f t="shared" si="82"/>
        <v>0.91535047595051022</v>
      </c>
      <c r="AL197" s="289">
        <f t="shared" si="91"/>
        <v>278.56028065668761</v>
      </c>
      <c r="AM197" s="287">
        <f t="shared" si="92"/>
        <v>50.018549700000001</v>
      </c>
      <c r="AN197" s="442">
        <f t="shared" si="93"/>
        <v>0.76625250760411079</v>
      </c>
      <c r="AO197" s="291">
        <f t="shared" si="94"/>
        <v>213.83080789825695</v>
      </c>
      <c r="AP197" s="519"/>
      <c r="AQ197" s="291">
        <f t="shared" ref="AQ197:AQ214" si="102">40.5*($B$192-B196)</f>
        <v>-40.5</v>
      </c>
      <c r="AR197" s="443"/>
      <c r="AS197" s="444">
        <f t="shared" si="95"/>
        <v>492.39108855494453</v>
      </c>
      <c r="AT197" s="445">
        <f>+V197-AO197</f>
        <v>-213.83080789825695</v>
      </c>
      <c r="AU197" s="446"/>
      <c r="AV197" s="445">
        <f>+AF197-AT197</f>
        <v>213.83080789825695</v>
      </c>
      <c r="AW197" s="447">
        <f t="shared" si="96"/>
        <v>-22.912054317849329</v>
      </c>
      <c r="AX197" s="447">
        <f t="shared" si="97"/>
        <v>-17.587945682150675</v>
      </c>
      <c r="AY197" s="448">
        <f t="shared" si="83"/>
        <v>-506.28371594611554</v>
      </c>
      <c r="AZ197" s="448">
        <f t="shared" si="84"/>
        <v>-568.57123513569934</v>
      </c>
      <c r="BA197" s="451">
        <f t="shared" si="98"/>
        <v>506.28371594611554</v>
      </c>
      <c r="BB197" s="451">
        <f t="shared" si="98"/>
        <v>568.57123513569934</v>
      </c>
      <c r="BC197">
        <f t="shared" si="99"/>
        <v>0.3</v>
      </c>
      <c r="BE197" s="298">
        <v>31</v>
      </c>
      <c r="BF197" s="299">
        <f t="shared" si="41"/>
        <v>817</v>
      </c>
      <c r="BG197" s="42">
        <f t="shared" si="42"/>
        <v>817</v>
      </c>
      <c r="BH197" s="301">
        <f t="shared" si="38"/>
        <v>602.57949769501602</v>
      </c>
      <c r="BI197" s="302">
        <f t="shared" si="39"/>
        <v>602.57949769501602</v>
      </c>
      <c r="BJ197" s="302">
        <f t="shared" si="43"/>
        <v>0.57949769501604464</v>
      </c>
      <c r="BK197" s="302" t="b">
        <f t="shared" si="40"/>
        <v>0</v>
      </c>
      <c r="BL197" s="304">
        <v>31</v>
      </c>
    </row>
    <row r="198" spans="1:109" ht="21" customHeight="1" thickBot="1" x14ac:dyDescent="0.35">
      <c r="B198" s="277">
        <v>4</v>
      </c>
      <c r="C198" s="278"/>
      <c r="D198" s="25">
        <v>0</v>
      </c>
      <c r="E198" s="279" t="s">
        <v>130</v>
      </c>
      <c r="F198" s="258">
        <f t="shared" si="85"/>
        <v>0.3</v>
      </c>
      <c r="G198" s="258">
        <f t="shared" si="100"/>
        <v>0.3</v>
      </c>
      <c r="H198" s="506">
        <v>279.06049999999999</v>
      </c>
      <c r="I198" s="507">
        <v>79.962900599999998</v>
      </c>
      <c r="J198" s="474">
        <f t="shared" si="86"/>
        <v>79.962900599999998</v>
      </c>
      <c r="K198" s="474">
        <f t="shared" si="87"/>
        <v>39.981450299999999</v>
      </c>
      <c r="L198" s="474">
        <f t="shared" si="75"/>
        <v>0.64253956655634092</v>
      </c>
      <c r="M198" s="474">
        <f t="shared" si="76"/>
        <v>179.30741271299578</v>
      </c>
      <c r="N198" s="474">
        <f t="shared" si="77"/>
        <v>358.61482542599157</v>
      </c>
      <c r="O198" s="474">
        <f>+C195+D196+D197+(D198/2)</f>
        <v>0</v>
      </c>
      <c r="P198" s="474">
        <f t="shared" si="78"/>
        <v>0</v>
      </c>
      <c r="Q198" s="474">
        <f t="shared" si="79"/>
        <v>0</v>
      </c>
      <c r="R198" s="474">
        <f t="shared" si="88"/>
        <v>213.83080000000001</v>
      </c>
      <c r="S198" s="474">
        <f t="shared" si="101"/>
        <v>213.83080000000001</v>
      </c>
      <c r="T198" s="476">
        <f t="shared" si="80"/>
        <v>213.83080000000001</v>
      </c>
      <c r="V198" s="437">
        <f t="shared" si="81"/>
        <v>0</v>
      </c>
      <c r="W198" s="437"/>
      <c r="X198" s="437"/>
      <c r="Y198" s="437"/>
      <c r="Z198" s="437"/>
      <c r="AA198" s="437"/>
      <c r="AB198" s="477" t="str">
        <f t="shared" si="89"/>
        <v>use the locking pin</v>
      </c>
      <c r="AC198" s="514"/>
      <c r="AD198" s="514"/>
      <c r="AE198" s="514"/>
      <c r="AF198" s="437">
        <f>SUM(V198:V214)/($B$192-B197)</f>
        <v>0</v>
      </c>
      <c r="AG198" s="437"/>
      <c r="AH198" s="450">
        <f>SUM(D196:D198)+$C$195</f>
        <v>0</v>
      </c>
      <c r="AI198" s="516"/>
      <c r="AJ198" s="287">
        <f t="shared" si="90"/>
        <v>66.255548399999995</v>
      </c>
      <c r="AK198" s="441">
        <f t="shared" si="82"/>
        <v>0.91535047595051022</v>
      </c>
      <c r="AL198" s="289">
        <f t="shared" si="91"/>
        <v>278.56028065668761</v>
      </c>
      <c r="AM198" s="287">
        <f t="shared" si="92"/>
        <v>50.018549700000001</v>
      </c>
      <c r="AN198" s="442">
        <f t="shared" si="93"/>
        <v>0.76625250760411079</v>
      </c>
      <c r="AO198" s="291">
        <f t="shared" si="94"/>
        <v>213.83080789825695</v>
      </c>
      <c r="AP198" s="519"/>
      <c r="AQ198" s="291">
        <f t="shared" si="102"/>
        <v>-81</v>
      </c>
      <c r="AR198" s="443"/>
      <c r="AS198" s="444">
        <f t="shared" si="95"/>
        <v>492.39108855494453</v>
      </c>
      <c r="AT198" s="445">
        <f>+V198-AO198</f>
        <v>-213.83080789825695</v>
      </c>
      <c r="AU198" s="446"/>
      <c r="AV198" s="445">
        <f t="shared" ref="AV198:AV214" si="103">+AF198-AT198</f>
        <v>213.83080789825695</v>
      </c>
      <c r="AW198" s="447">
        <f t="shared" si="96"/>
        <v>-45.824108635698657</v>
      </c>
      <c r="AX198" s="447">
        <f t="shared" si="97"/>
        <v>-35.17589136430135</v>
      </c>
      <c r="AY198" s="448">
        <f t="shared" si="83"/>
        <v>-253.14185797305777</v>
      </c>
      <c r="AZ198" s="448">
        <f t="shared" si="84"/>
        <v>-284.28561756784967</v>
      </c>
      <c r="BA198" s="451">
        <f t="shared" si="98"/>
        <v>253.14185797305777</v>
      </c>
      <c r="BB198" s="451">
        <f t="shared" si="98"/>
        <v>284.28561756784967</v>
      </c>
      <c r="BC198">
        <f t="shared" si="99"/>
        <v>0.3</v>
      </c>
      <c r="BE198" s="298">
        <v>32</v>
      </c>
      <c r="BF198" s="299">
        <f t="shared" si="41"/>
        <v>860</v>
      </c>
      <c r="BG198" s="42">
        <f t="shared" si="42"/>
        <v>860</v>
      </c>
      <c r="BH198" s="301">
        <f t="shared" si="38"/>
        <v>645.57949769501602</v>
      </c>
      <c r="BI198" s="302">
        <f t="shared" si="39"/>
        <v>645.57949769501602</v>
      </c>
      <c r="BJ198" s="302">
        <f t="shared" si="43"/>
        <v>0.57949769501604464</v>
      </c>
      <c r="BK198" s="302" t="b">
        <f t="shared" si="40"/>
        <v>0</v>
      </c>
      <c r="BL198" s="304">
        <v>32</v>
      </c>
    </row>
    <row r="199" spans="1:109" ht="21" customHeight="1" thickBot="1" x14ac:dyDescent="0.35">
      <c r="B199" s="277">
        <v>5</v>
      </c>
      <c r="C199" s="278"/>
      <c r="D199" s="25">
        <v>0</v>
      </c>
      <c r="E199" s="279" t="s">
        <v>130</v>
      </c>
      <c r="F199" s="258">
        <f t="shared" si="85"/>
        <v>0.3</v>
      </c>
      <c r="G199" s="258">
        <f>+D199+BC199</f>
        <v>0.3</v>
      </c>
      <c r="H199" s="506">
        <v>279.06049999999999</v>
      </c>
      <c r="I199" s="507">
        <v>79.962900599999998</v>
      </c>
      <c r="J199" s="474">
        <f t="shared" si="86"/>
        <v>79.962900599999998</v>
      </c>
      <c r="K199" s="474">
        <f t="shared" si="87"/>
        <v>39.981450299999999</v>
      </c>
      <c r="L199" s="474">
        <f t="shared" si="75"/>
        <v>0.64253956655634092</v>
      </c>
      <c r="M199" s="474">
        <f t="shared" si="76"/>
        <v>179.30741271299578</v>
      </c>
      <c r="N199" s="474">
        <f t="shared" si="77"/>
        <v>358.61482542599157</v>
      </c>
      <c r="O199" s="474">
        <f>+C195+D196+D197+D198+(D199/2)</f>
        <v>0</v>
      </c>
      <c r="P199" s="474">
        <f t="shared" si="78"/>
        <v>0</v>
      </c>
      <c r="Q199" s="474">
        <f t="shared" si="79"/>
        <v>0</v>
      </c>
      <c r="R199" s="474">
        <f t="shared" si="88"/>
        <v>213.83080000000001</v>
      </c>
      <c r="S199" s="474">
        <f t="shared" si="101"/>
        <v>213.83080000000001</v>
      </c>
      <c r="T199" s="476">
        <f t="shared" si="80"/>
        <v>213.83080000000001</v>
      </c>
      <c r="V199" s="437">
        <f t="shared" si="81"/>
        <v>0</v>
      </c>
      <c r="W199" s="437"/>
      <c r="X199" s="437"/>
      <c r="Y199" s="437"/>
      <c r="Z199" s="437"/>
      <c r="AA199" s="437"/>
      <c r="AB199" s="477" t="str">
        <f t="shared" si="89"/>
        <v>use the locking pin</v>
      </c>
      <c r="AC199" s="514"/>
      <c r="AD199" s="514"/>
      <c r="AE199" s="514"/>
      <c r="AF199" s="437">
        <f>SUM(V199:V214)/($B$192-B198)</f>
        <v>0</v>
      </c>
      <c r="AG199" s="437"/>
      <c r="AH199" s="450">
        <f>SUM(D196:D199)+$C$195</f>
        <v>0</v>
      </c>
      <c r="AI199" s="516"/>
      <c r="AJ199" s="287">
        <f t="shared" si="90"/>
        <v>66.255548399999995</v>
      </c>
      <c r="AK199" s="441">
        <f t="shared" si="82"/>
        <v>0.91535047595051022</v>
      </c>
      <c r="AL199" s="289">
        <f t="shared" si="91"/>
        <v>278.56028065668761</v>
      </c>
      <c r="AM199" s="287">
        <f t="shared" si="92"/>
        <v>50.018549700000001</v>
      </c>
      <c r="AN199" s="442">
        <f t="shared" si="93"/>
        <v>0.76625250760411079</v>
      </c>
      <c r="AO199" s="291">
        <f t="shared" si="94"/>
        <v>213.83080789825695</v>
      </c>
      <c r="AP199" s="519"/>
      <c r="AQ199" s="291">
        <f t="shared" si="102"/>
        <v>-121.5</v>
      </c>
      <c r="AR199" s="443"/>
      <c r="AS199" s="444">
        <f t="shared" si="95"/>
        <v>492.39108855494453</v>
      </c>
      <c r="AT199" s="445">
        <f t="shared" ref="AT199:AT214" si="104">+V199-AO199</f>
        <v>-213.83080789825695</v>
      </c>
      <c r="AU199" s="446"/>
      <c r="AV199" s="445">
        <f t="shared" si="103"/>
        <v>213.83080789825695</v>
      </c>
      <c r="AW199" s="447">
        <f t="shared" si="96"/>
        <v>-68.736162953547989</v>
      </c>
      <c r="AX199" s="447">
        <f t="shared" si="97"/>
        <v>-52.763837046452025</v>
      </c>
      <c r="AY199" s="448">
        <f t="shared" si="83"/>
        <v>-168.76123864870519</v>
      </c>
      <c r="AZ199" s="448">
        <f t="shared" si="84"/>
        <v>-189.52374504523311</v>
      </c>
      <c r="BA199" s="451">
        <f t="shared" si="98"/>
        <v>168.76123864870519</v>
      </c>
      <c r="BB199" s="451">
        <f t="shared" si="98"/>
        <v>189.52374504523311</v>
      </c>
      <c r="BC199">
        <f t="shared" si="99"/>
        <v>0.3</v>
      </c>
      <c r="BE199" s="298">
        <v>33</v>
      </c>
      <c r="BF199" s="299">
        <f t="shared" si="41"/>
        <v>903</v>
      </c>
      <c r="BG199" s="42">
        <f t="shared" si="42"/>
        <v>903</v>
      </c>
      <c r="BH199" s="301">
        <f t="shared" si="38"/>
        <v>688.57949769501602</v>
      </c>
      <c r="BI199" s="302">
        <f t="shared" si="39"/>
        <v>688.57949769501602</v>
      </c>
      <c r="BJ199" s="302">
        <f t="shared" si="43"/>
        <v>0.57949769501604464</v>
      </c>
      <c r="BK199" s="302" t="b">
        <f t="shared" si="40"/>
        <v>0</v>
      </c>
      <c r="BL199" s="304">
        <v>33</v>
      </c>
      <c r="DE199" s="305"/>
    </row>
    <row r="200" spans="1:109" ht="21" customHeight="1" thickBot="1" x14ac:dyDescent="0.35">
      <c r="B200" s="277">
        <v>6</v>
      </c>
      <c r="C200" s="278"/>
      <c r="D200" s="25">
        <v>0</v>
      </c>
      <c r="E200" s="279" t="s">
        <v>130</v>
      </c>
      <c r="F200" s="258">
        <f t="shared" si="85"/>
        <v>0.3</v>
      </c>
      <c r="G200" s="258">
        <f t="shared" si="100"/>
        <v>0.3</v>
      </c>
      <c r="H200" s="506">
        <v>279.06049999999999</v>
      </c>
      <c r="I200" s="507">
        <v>79.962900599999998</v>
      </c>
      <c r="J200" s="474">
        <f t="shared" si="86"/>
        <v>79.962900599999998</v>
      </c>
      <c r="K200" s="474">
        <f t="shared" si="87"/>
        <v>39.981450299999999</v>
      </c>
      <c r="L200" s="474">
        <f t="shared" si="75"/>
        <v>0.64253956655634092</v>
      </c>
      <c r="M200" s="474">
        <f t="shared" si="76"/>
        <v>179.30741271299578</v>
      </c>
      <c r="N200" s="474">
        <f t="shared" si="77"/>
        <v>358.61482542599157</v>
      </c>
      <c r="O200" s="474">
        <f>+C195+D196+D197+D198+D199+(D200/2)</f>
        <v>0</v>
      </c>
      <c r="P200" s="474">
        <f t="shared" si="78"/>
        <v>0</v>
      </c>
      <c r="Q200" s="474">
        <f t="shared" si="79"/>
        <v>0</v>
      </c>
      <c r="R200" s="474">
        <f t="shared" si="88"/>
        <v>213.83080000000001</v>
      </c>
      <c r="S200" s="474">
        <f t="shared" si="101"/>
        <v>213.83080000000001</v>
      </c>
      <c r="T200" s="476">
        <f t="shared" si="80"/>
        <v>213.83080000000001</v>
      </c>
      <c r="V200" s="437">
        <f t="shared" si="81"/>
        <v>0</v>
      </c>
      <c r="W200" s="437"/>
      <c r="X200" s="437"/>
      <c r="Y200" s="437"/>
      <c r="Z200" s="437"/>
      <c r="AA200" s="437"/>
      <c r="AB200" s="477" t="str">
        <f t="shared" si="89"/>
        <v>use the locking pin</v>
      </c>
      <c r="AC200" s="514"/>
      <c r="AD200" s="514"/>
      <c r="AE200" s="514"/>
      <c r="AF200" s="437">
        <f>SUM(V200:V214)/($B$192-B199)</f>
        <v>0</v>
      </c>
      <c r="AG200" s="437"/>
      <c r="AH200" s="450">
        <f>SUM(D196:D200)+$C$195</f>
        <v>0</v>
      </c>
      <c r="AI200" s="516"/>
      <c r="AJ200" s="287">
        <f t="shared" si="90"/>
        <v>66.255548399999995</v>
      </c>
      <c r="AK200" s="441">
        <f t="shared" si="82"/>
        <v>0.91535047595051022</v>
      </c>
      <c r="AL200" s="289">
        <f t="shared" si="91"/>
        <v>278.56028065668761</v>
      </c>
      <c r="AM200" s="287">
        <f t="shared" si="92"/>
        <v>50.018549700000001</v>
      </c>
      <c r="AN200" s="442">
        <f t="shared" si="93"/>
        <v>0.76625250760411079</v>
      </c>
      <c r="AO200" s="291">
        <f t="shared" si="94"/>
        <v>213.83080789825695</v>
      </c>
      <c r="AP200" s="519"/>
      <c r="AQ200" s="291">
        <f t="shared" si="102"/>
        <v>-162</v>
      </c>
      <c r="AR200" s="443"/>
      <c r="AS200" s="444">
        <f t="shared" si="95"/>
        <v>492.39108855494453</v>
      </c>
      <c r="AT200" s="445">
        <f t="shared" si="104"/>
        <v>-213.83080789825695</v>
      </c>
      <c r="AU200" s="446"/>
      <c r="AV200" s="445">
        <f t="shared" si="103"/>
        <v>213.83080789825695</v>
      </c>
      <c r="AW200" s="447">
        <f t="shared" si="96"/>
        <v>-91.648217271397314</v>
      </c>
      <c r="AX200" s="447">
        <f t="shared" si="97"/>
        <v>-70.3517827286027</v>
      </c>
      <c r="AY200" s="448">
        <f t="shared" si="83"/>
        <v>-126.57092898652888</v>
      </c>
      <c r="AZ200" s="448">
        <f t="shared" si="84"/>
        <v>-142.14280878392483</v>
      </c>
      <c r="BA200" s="451">
        <f t="shared" si="98"/>
        <v>126.57092898652888</v>
      </c>
      <c r="BB200" s="451">
        <f t="shared" si="98"/>
        <v>142.14280878392483</v>
      </c>
      <c r="BC200">
        <f t="shared" si="99"/>
        <v>0.3</v>
      </c>
      <c r="BE200" s="298">
        <v>34</v>
      </c>
      <c r="BF200" s="299">
        <f t="shared" si="41"/>
        <v>946</v>
      </c>
      <c r="BG200" s="42">
        <f t="shared" si="42"/>
        <v>946</v>
      </c>
      <c r="BH200" s="301">
        <f t="shared" si="38"/>
        <v>731.57949769501602</v>
      </c>
      <c r="BI200" s="302">
        <f t="shared" si="39"/>
        <v>731.57949769501602</v>
      </c>
      <c r="BJ200" s="302">
        <f t="shared" si="43"/>
        <v>0.57949769501604464</v>
      </c>
      <c r="BK200" s="302" t="b">
        <f t="shared" si="40"/>
        <v>0</v>
      </c>
      <c r="BL200" s="304">
        <v>34</v>
      </c>
    </row>
    <row r="201" spans="1:109" ht="21" customHeight="1" thickBot="1" x14ac:dyDescent="0.35">
      <c r="B201" s="277">
        <v>7</v>
      </c>
      <c r="C201" s="278"/>
      <c r="D201" s="25">
        <v>0</v>
      </c>
      <c r="E201" s="279" t="s">
        <v>130</v>
      </c>
      <c r="F201" s="258">
        <f t="shared" si="85"/>
        <v>0.3</v>
      </c>
      <c r="G201" s="258">
        <f t="shared" si="100"/>
        <v>0.3</v>
      </c>
      <c r="H201" s="506">
        <v>279.06049999999999</v>
      </c>
      <c r="I201" s="507">
        <v>79.962900599999998</v>
      </c>
      <c r="J201" s="474">
        <f t="shared" si="86"/>
        <v>79.962900599999998</v>
      </c>
      <c r="K201" s="474">
        <f t="shared" si="87"/>
        <v>39.981450299999999</v>
      </c>
      <c r="L201" s="474">
        <f t="shared" si="75"/>
        <v>0.64253956655634092</v>
      </c>
      <c r="M201" s="474">
        <f t="shared" si="76"/>
        <v>179.30741271299578</v>
      </c>
      <c r="N201" s="474">
        <f t="shared" si="77"/>
        <v>358.61482542599157</v>
      </c>
      <c r="O201" s="474">
        <f>+C195+D196+D197+D198+D199+D200+(D201/2)</f>
        <v>0</v>
      </c>
      <c r="P201" s="474">
        <f t="shared" si="78"/>
        <v>0</v>
      </c>
      <c r="Q201" s="474">
        <f t="shared" si="79"/>
        <v>0</v>
      </c>
      <c r="R201" s="474">
        <f t="shared" si="88"/>
        <v>213.83080000000001</v>
      </c>
      <c r="S201" s="474">
        <f t="shared" si="101"/>
        <v>213.83080000000001</v>
      </c>
      <c r="T201" s="476">
        <f t="shared" si="80"/>
        <v>213.83080000000001</v>
      </c>
      <c r="V201" s="437">
        <f t="shared" si="81"/>
        <v>0</v>
      </c>
      <c r="W201" s="437"/>
      <c r="X201" s="437"/>
      <c r="Y201" s="437"/>
      <c r="Z201" s="437"/>
      <c r="AA201" s="437"/>
      <c r="AB201" s="477" t="str">
        <f t="shared" si="89"/>
        <v>use the locking pin</v>
      </c>
      <c r="AC201" s="514"/>
      <c r="AD201" s="514"/>
      <c r="AE201" s="514"/>
      <c r="AF201" s="437">
        <f>SUM(V201:V214)/($B$192-B200)</f>
        <v>0</v>
      </c>
      <c r="AG201" s="437"/>
      <c r="AH201" s="450">
        <f>SUM(D196:D201)+$C$195</f>
        <v>0</v>
      </c>
      <c r="AI201" s="516"/>
      <c r="AJ201" s="287">
        <f t="shared" si="90"/>
        <v>66.255548399999995</v>
      </c>
      <c r="AK201" s="441">
        <f t="shared" si="82"/>
        <v>0.91535047595051022</v>
      </c>
      <c r="AL201" s="289">
        <f t="shared" si="91"/>
        <v>278.56028065668761</v>
      </c>
      <c r="AM201" s="287">
        <f t="shared" si="92"/>
        <v>50.018549700000001</v>
      </c>
      <c r="AN201" s="442">
        <f t="shared" si="93"/>
        <v>0.76625250760411079</v>
      </c>
      <c r="AO201" s="291">
        <f t="shared" si="94"/>
        <v>213.83080789825695</v>
      </c>
      <c r="AP201" s="519"/>
      <c r="AQ201" s="291">
        <f t="shared" si="102"/>
        <v>-202.5</v>
      </c>
      <c r="AR201" s="443"/>
      <c r="AS201" s="444">
        <f t="shared" si="95"/>
        <v>492.39108855494453</v>
      </c>
      <c r="AT201" s="445">
        <f t="shared" si="104"/>
        <v>-213.83080789825695</v>
      </c>
      <c r="AU201" s="446"/>
      <c r="AV201" s="445">
        <f t="shared" si="103"/>
        <v>213.83080789825695</v>
      </c>
      <c r="AW201" s="447">
        <f t="shared" si="96"/>
        <v>-114.56027158924665</v>
      </c>
      <c r="AX201" s="447">
        <f t="shared" si="97"/>
        <v>-87.939728410753375</v>
      </c>
      <c r="AY201" s="448">
        <f t="shared" si="83"/>
        <v>-101.2567431892231</v>
      </c>
      <c r="AZ201" s="448">
        <f t="shared" si="84"/>
        <v>-113.71424702713988</v>
      </c>
      <c r="BA201" s="451">
        <f t="shared" si="98"/>
        <v>101.2567431892231</v>
      </c>
      <c r="BB201" s="451">
        <f t="shared" si="98"/>
        <v>113.71424702713988</v>
      </c>
      <c r="BC201">
        <f t="shared" si="99"/>
        <v>0.3</v>
      </c>
      <c r="BE201" s="298">
        <v>35</v>
      </c>
      <c r="BF201" s="299">
        <f t="shared" si="41"/>
        <v>989</v>
      </c>
      <c r="BG201" s="42">
        <f t="shared" si="42"/>
        <v>989</v>
      </c>
      <c r="BH201" s="301">
        <f t="shared" si="38"/>
        <v>774.57949769501602</v>
      </c>
      <c r="BI201" s="302">
        <f t="shared" si="39"/>
        <v>774.57949769501602</v>
      </c>
      <c r="BJ201" s="302">
        <f t="shared" si="43"/>
        <v>0.57949769501604464</v>
      </c>
      <c r="BK201" s="302" t="b">
        <f t="shared" si="40"/>
        <v>0</v>
      </c>
      <c r="BL201" s="304">
        <v>35</v>
      </c>
      <c r="DE201" s="307"/>
    </row>
    <row r="202" spans="1:109" ht="21" customHeight="1" thickBot="1" x14ac:dyDescent="0.35">
      <c r="B202" s="277">
        <v>8</v>
      </c>
      <c r="C202" s="278"/>
      <c r="D202" s="25">
        <v>0</v>
      </c>
      <c r="E202" s="279" t="s">
        <v>130</v>
      </c>
      <c r="F202" s="258">
        <f t="shared" si="85"/>
        <v>0.3</v>
      </c>
      <c r="G202" s="258">
        <f t="shared" si="100"/>
        <v>0.3</v>
      </c>
      <c r="H202" s="506">
        <v>279.06049999999999</v>
      </c>
      <c r="I202" s="507">
        <v>79.962900599999998</v>
      </c>
      <c r="J202" s="474">
        <f t="shared" si="86"/>
        <v>79.962900599999998</v>
      </c>
      <c r="K202" s="474">
        <f t="shared" si="87"/>
        <v>39.981450299999999</v>
      </c>
      <c r="L202" s="474">
        <f t="shared" si="75"/>
        <v>0.64253956655634092</v>
      </c>
      <c r="M202" s="474">
        <f t="shared" si="76"/>
        <v>179.30741271299578</v>
      </c>
      <c r="N202" s="474">
        <f t="shared" si="77"/>
        <v>358.61482542599157</v>
      </c>
      <c r="O202" s="474">
        <f>+C195+D196+D197+D198+D199+D200+D201+(D202/2)</f>
        <v>0</v>
      </c>
      <c r="P202" s="474">
        <f t="shared" si="78"/>
        <v>0</v>
      </c>
      <c r="Q202" s="474">
        <f t="shared" si="79"/>
        <v>0</v>
      </c>
      <c r="R202" s="474">
        <f t="shared" si="88"/>
        <v>213.83080000000001</v>
      </c>
      <c r="S202" s="474">
        <f t="shared" si="101"/>
        <v>213.83080000000001</v>
      </c>
      <c r="T202" s="476">
        <f t="shared" si="80"/>
        <v>213.83080000000001</v>
      </c>
      <c r="V202" s="437">
        <f t="shared" si="81"/>
        <v>0</v>
      </c>
      <c r="W202" s="437"/>
      <c r="X202" s="437"/>
      <c r="Y202" s="437"/>
      <c r="Z202" s="437"/>
      <c r="AA202" s="437"/>
      <c r="AB202" s="477" t="str">
        <f t="shared" si="89"/>
        <v>use the locking pin</v>
      </c>
      <c r="AC202" s="514"/>
      <c r="AD202" s="514"/>
      <c r="AE202" s="514"/>
      <c r="AF202" s="437">
        <f>SUM(V202:V214)/($B$192-B201)</f>
        <v>0</v>
      </c>
      <c r="AG202" s="437"/>
      <c r="AH202" s="450">
        <f>SUM(D196:D202)+$C$195</f>
        <v>0</v>
      </c>
      <c r="AI202" s="516"/>
      <c r="AJ202" s="287">
        <f t="shared" si="90"/>
        <v>66.255548399999995</v>
      </c>
      <c r="AK202" s="441">
        <f t="shared" si="82"/>
        <v>0.91535047595051022</v>
      </c>
      <c r="AL202" s="289">
        <f t="shared" si="91"/>
        <v>278.56028065668761</v>
      </c>
      <c r="AM202" s="287">
        <f t="shared" si="92"/>
        <v>50.018549700000001</v>
      </c>
      <c r="AN202" s="442">
        <f t="shared" si="93"/>
        <v>0.76625250760411079</v>
      </c>
      <c r="AO202" s="291">
        <f t="shared" si="94"/>
        <v>213.83080789825695</v>
      </c>
      <c r="AP202" s="519"/>
      <c r="AQ202" s="291">
        <f t="shared" si="102"/>
        <v>-243</v>
      </c>
      <c r="AR202" s="443"/>
      <c r="AS202" s="444">
        <f t="shared" si="95"/>
        <v>492.39108855494453</v>
      </c>
      <c r="AT202" s="445">
        <f t="shared" si="104"/>
        <v>-213.83080789825695</v>
      </c>
      <c r="AU202" s="446"/>
      <c r="AV202" s="445">
        <f t="shared" si="103"/>
        <v>213.83080789825695</v>
      </c>
      <c r="AW202" s="447">
        <f t="shared" si="96"/>
        <v>-137.47232590709598</v>
      </c>
      <c r="AX202" s="447">
        <f t="shared" si="97"/>
        <v>-105.52767409290405</v>
      </c>
      <c r="AY202" s="448">
        <f t="shared" si="83"/>
        <v>-84.380619324352594</v>
      </c>
      <c r="AZ202" s="448">
        <f t="shared" si="84"/>
        <v>-94.761872522616557</v>
      </c>
      <c r="BA202" s="451">
        <f t="shared" si="98"/>
        <v>84.380619324352594</v>
      </c>
      <c r="BB202" s="451">
        <f t="shared" si="98"/>
        <v>94.761872522616557</v>
      </c>
      <c r="BC202">
        <f t="shared" si="99"/>
        <v>0.3</v>
      </c>
      <c r="BE202" s="298">
        <v>36</v>
      </c>
      <c r="BF202" s="299">
        <f t="shared" si="41"/>
        <v>1032</v>
      </c>
      <c r="BG202" s="42">
        <f t="shared" si="42"/>
        <v>1032</v>
      </c>
      <c r="BH202" s="301">
        <f t="shared" si="38"/>
        <v>817.57949769501602</v>
      </c>
      <c r="BI202" s="302">
        <f t="shared" si="39"/>
        <v>817.57949769501602</v>
      </c>
      <c r="BJ202" s="302">
        <f t="shared" si="43"/>
        <v>0.57949769501604464</v>
      </c>
      <c r="BK202" s="302" t="b">
        <f t="shared" si="40"/>
        <v>0</v>
      </c>
      <c r="BL202" s="304">
        <v>36</v>
      </c>
    </row>
    <row r="203" spans="1:109" ht="21" customHeight="1" thickBot="1" x14ac:dyDescent="0.35">
      <c r="B203" s="277">
        <v>9</v>
      </c>
      <c r="C203" s="278"/>
      <c r="D203" s="25">
        <v>0</v>
      </c>
      <c r="E203" s="279" t="s">
        <v>130</v>
      </c>
      <c r="F203" s="258">
        <f t="shared" si="85"/>
        <v>0.3</v>
      </c>
      <c r="G203" s="258">
        <f t="shared" si="100"/>
        <v>0.3</v>
      </c>
      <c r="H203" s="506">
        <v>279.06049999999999</v>
      </c>
      <c r="I203" s="507">
        <v>79.962900599999998</v>
      </c>
      <c r="J203" s="474">
        <f t="shared" si="86"/>
        <v>79.962900599999998</v>
      </c>
      <c r="K203" s="474">
        <f t="shared" si="87"/>
        <v>39.981450299999999</v>
      </c>
      <c r="L203" s="474">
        <f t="shared" si="75"/>
        <v>0.64253956655634092</v>
      </c>
      <c r="M203" s="474">
        <f t="shared" si="76"/>
        <v>179.30741271299578</v>
      </c>
      <c r="N203" s="474">
        <f t="shared" si="77"/>
        <v>358.61482542599157</v>
      </c>
      <c r="O203" s="474">
        <f>+C195+D196+D197+D198+D199+D200+D201+D202+(D203/2)</f>
        <v>0</v>
      </c>
      <c r="P203" s="474">
        <f t="shared" si="78"/>
        <v>0</v>
      </c>
      <c r="Q203" s="474">
        <f t="shared" si="79"/>
        <v>0</v>
      </c>
      <c r="R203" s="474">
        <f t="shared" si="88"/>
        <v>213.83080000000001</v>
      </c>
      <c r="S203" s="474">
        <f t="shared" si="101"/>
        <v>213.83080000000001</v>
      </c>
      <c r="T203" s="476">
        <f t="shared" si="80"/>
        <v>213.83080000000001</v>
      </c>
      <c r="V203" s="437">
        <f t="shared" si="81"/>
        <v>0</v>
      </c>
      <c r="W203" s="437"/>
      <c r="X203" s="437"/>
      <c r="Y203" s="437"/>
      <c r="Z203" s="437"/>
      <c r="AA203" s="437"/>
      <c r="AB203" s="477" t="str">
        <f t="shared" si="89"/>
        <v>use the locking pin</v>
      </c>
      <c r="AC203" s="514"/>
      <c r="AD203" s="514"/>
      <c r="AE203" s="514"/>
      <c r="AF203" s="437">
        <f>SUM(V203:V214)/($B$192-B202)</f>
        <v>0</v>
      </c>
      <c r="AG203" s="437"/>
      <c r="AH203" s="450">
        <f>SUM(D196:D203)+$C$195</f>
        <v>0</v>
      </c>
      <c r="AI203" s="516"/>
      <c r="AJ203" s="287">
        <f t="shared" si="90"/>
        <v>66.255548399999995</v>
      </c>
      <c r="AK203" s="441">
        <f t="shared" si="82"/>
        <v>0.91535047595051022</v>
      </c>
      <c r="AL203" s="289">
        <f t="shared" si="91"/>
        <v>278.56028065668761</v>
      </c>
      <c r="AM203" s="287">
        <f t="shared" si="92"/>
        <v>50.018549700000001</v>
      </c>
      <c r="AN203" s="442">
        <f t="shared" si="93"/>
        <v>0.76625250760411079</v>
      </c>
      <c r="AO203" s="291">
        <f t="shared" si="94"/>
        <v>213.83080789825695</v>
      </c>
      <c r="AP203" s="519"/>
      <c r="AQ203" s="291">
        <f t="shared" si="102"/>
        <v>-283.5</v>
      </c>
      <c r="AR203" s="443"/>
      <c r="AS203" s="444">
        <f t="shared" si="95"/>
        <v>492.39108855494453</v>
      </c>
      <c r="AT203" s="445">
        <f t="shared" si="104"/>
        <v>-213.83080789825695</v>
      </c>
      <c r="AU203" s="446"/>
      <c r="AV203" s="445">
        <f t="shared" si="103"/>
        <v>213.83080789825695</v>
      </c>
      <c r="AW203" s="447">
        <f t="shared" si="96"/>
        <v>-160.38438022494532</v>
      </c>
      <c r="AX203" s="447">
        <f t="shared" si="97"/>
        <v>-123.11561977505472</v>
      </c>
      <c r="AY203" s="448">
        <f t="shared" si="83"/>
        <v>-72.326245135159354</v>
      </c>
      <c r="AZ203" s="448">
        <f t="shared" si="84"/>
        <v>-81.224462162242773</v>
      </c>
      <c r="BA203" s="451">
        <f t="shared" si="98"/>
        <v>72.326245135159354</v>
      </c>
      <c r="BB203" s="451">
        <f t="shared" si="98"/>
        <v>81.224462162242773</v>
      </c>
      <c r="BC203">
        <f t="shared" si="99"/>
        <v>0.3</v>
      </c>
      <c r="BE203" s="308">
        <v>37</v>
      </c>
      <c r="BF203" s="309">
        <f t="shared" si="41"/>
        <v>1075</v>
      </c>
      <c r="BG203" s="42">
        <f t="shared" si="42"/>
        <v>1075</v>
      </c>
      <c r="BH203" s="301">
        <f t="shared" si="38"/>
        <v>860.57949769501602</v>
      </c>
      <c r="BI203" s="302">
        <f t="shared" si="39"/>
        <v>860.57949769501602</v>
      </c>
      <c r="BJ203" s="302">
        <f t="shared" si="43"/>
        <v>0.57949769501604464</v>
      </c>
      <c r="BK203" s="302" t="b">
        <f t="shared" si="40"/>
        <v>0</v>
      </c>
      <c r="BL203" s="310">
        <v>37</v>
      </c>
    </row>
    <row r="204" spans="1:109" ht="21" customHeight="1" thickBot="1" x14ac:dyDescent="0.25">
      <c r="B204" s="277">
        <v>10</v>
      </c>
      <c r="C204" s="278"/>
      <c r="D204" s="25">
        <v>0</v>
      </c>
      <c r="E204" s="279" t="s">
        <v>130</v>
      </c>
      <c r="F204" s="258">
        <f t="shared" si="85"/>
        <v>0.3</v>
      </c>
      <c r="G204" s="258">
        <f t="shared" si="100"/>
        <v>0.3</v>
      </c>
      <c r="H204" s="506">
        <v>279.06049999999999</v>
      </c>
      <c r="I204" s="507">
        <v>79.962900599999998</v>
      </c>
      <c r="J204" s="474">
        <f t="shared" si="86"/>
        <v>79.962900599999998</v>
      </c>
      <c r="K204" s="474">
        <f t="shared" si="87"/>
        <v>39.981450299999999</v>
      </c>
      <c r="L204" s="474">
        <f t="shared" si="75"/>
        <v>0.64253956655634092</v>
      </c>
      <c r="M204" s="474">
        <f t="shared" si="76"/>
        <v>179.30741271299578</v>
      </c>
      <c r="N204" s="474">
        <f t="shared" si="77"/>
        <v>358.61482542599157</v>
      </c>
      <c r="O204" s="474">
        <f>+C195+D196+D197+D198+D199+D200+D201+D202+D203+(D204/2)</f>
        <v>0</v>
      </c>
      <c r="P204" s="474">
        <f t="shared" si="78"/>
        <v>0</v>
      </c>
      <c r="Q204" s="474">
        <f t="shared" si="79"/>
        <v>0</v>
      </c>
      <c r="R204" s="474">
        <f t="shared" si="88"/>
        <v>213.83080000000001</v>
      </c>
      <c r="S204" s="474">
        <f t="shared" si="101"/>
        <v>213.83080000000001</v>
      </c>
      <c r="T204" s="476">
        <f t="shared" si="80"/>
        <v>213.83080000000001</v>
      </c>
      <c r="V204" s="437">
        <f t="shared" si="81"/>
        <v>0</v>
      </c>
      <c r="W204" s="437"/>
      <c r="X204" s="437"/>
      <c r="Y204" s="437"/>
      <c r="Z204" s="437"/>
      <c r="AA204" s="437"/>
      <c r="AB204" s="477" t="str">
        <f t="shared" si="89"/>
        <v>use the locking pin</v>
      </c>
      <c r="AC204" s="514"/>
      <c r="AD204" s="514"/>
      <c r="AE204" s="514"/>
      <c r="AF204" s="437">
        <f>SUM(V204:V214)/($B$192-B203)</f>
        <v>0</v>
      </c>
      <c r="AG204" s="437"/>
      <c r="AH204" s="450">
        <f>SUM(D196:D204)+$C$195</f>
        <v>0</v>
      </c>
      <c r="AI204" s="516"/>
      <c r="AJ204" s="287">
        <f t="shared" si="90"/>
        <v>66.255548399999995</v>
      </c>
      <c r="AK204" s="441">
        <f t="shared" si="82"/>
        <v>0.91535047595051022</v>
      </c>
      <c r="AL204" s="289">
        <f t="shared" si="91"/>
        <v>278.56028065668761</v>
      </c>
      <c r="AM204" s="287">
        <f t="shared" si="92"/>
        <v>50.018549700000001</v>
      </c>
      <c r="AN204" s="442">
        <f t="shared" si="93"/>
        <v>0.76625250760411079</v>
      </c>
      <c r="AO204" s="291">
        <f t="shared" si="94"/>
        <v>213.83080789825695</v>
      </c>
      <c r="AP204" s="519"/>
      <c r="AQ204" s="291">
        <f t="shared" si="102"/>
        <v>-324</v>
      </c>
      <c r="AR204" s="443"/>
      <c r="AS204" s="444">
        <f t="shared" si="95"/>
        <v>492.39108855494453</v>
      </c>
      <c r="AT204" s="445">
        <f t="shared" si="104"/>
        <v>-213.83080789825695</v>
      </c>
      <c r="AU204" s="446"/>
      <c r="AV204" s="445">
        <f t="shared" si="103"/>
        <v>213.83080789825695</v>
      </c>
      <c r="AW204" s="447">
        <f t="shared" si="96"/>
        <v>-183.29643454279463</v>
      </c>
      <c r="AX204" s="447">
        <f t="shared" si="97"/>
        <v>-140.7035654572054</v>
      </c>
      <c r="AY204" s="448">
        <f t="shared" si="83"/>
        <v>-63.285464493264442</v>
      </c>
      <c r="AZ204" s="448">
        <f t="shared" si="84"/>
        <v>-71.071404391962417</v>
      </c>
      <c r="BA204" s="451">
        <f t="shared" si="98"/>
        <v>63.285464493264442</v>
      </c>
      <c r="BB204" s="451">
        <f t="shared" si="98"/>
        <v>71.071404391962417</v>
      </c>
      <c r="BC204">
        <f t="shared" si="99"/>
        <v>0.3</v>
      </c>
    </row>
    <row r="205" spans="1:109" ht="21" customHeight="1" thickBot="1" x14ac:dyDescent="0.25">
      <c r="A205" s="296"/>
      <c r="B205" s="277">
        <v>11</v>
      </c>
      <c r="C205" s="278"/>
      <c r="D205" s="25">
        <v>0</v>
      </c>
      <c r="E205" s="279" t="s">
        <v>130</v>
      </c>
      <c r="F205" s="258">
        <f t="shared" si="85"/>
        <v>0.3</v>
      </c>
      <c r="G205" s="258">
        <f t="shared" si="100"/>
        <v>0.3</v>
      </c>
      <c r="H205" s="506">
        <v>279.06049999999999</v>
      </c>
      <c r="I205" s="507">
        <v>79.962900599999998</v>
      </c>
      <c r="J205" s="474">
        <f t="shared" si="86"/>
        <v>79.962900599999998</v>
      </c>
      <c r="K205" s="474">
        <f t="shared" si="87"/>
        <v>39.981450299999999</v>
      </c>
      <c r="L205" s="474">
        <f t="shared" si="75"/>
        <v>0.64253956655634092</v>
      </c>
      <c r="M205" s="474">
        <f t="shared" si="76"/>
        <v>179.30741271299578</v>
      </c>
      <c r="N205" s="474">
        <f t="shared" si="77"/>
        <v>358.61482542599157</v>
      </c>
      <c r="O205" s="474">
        <f>+C195+D196+D197+D198+D199+D200+D201+D202+D203+D204+(D205/2)</f>
        <v>0</v>
      </c>
      <c r="P205" s="474">
        <f t="shared" si="78"/>
        <v>0</v>
      </c>
      <c r="Q205" s="474">
        <f t="shared" si="79"/>
        <v>0</v>
      </c>
      <c r="R205" s="474">
        <f t="shared" si="88"/>
        <v>213.83080000000001</v>
      </c>
      <c r="S205" s="474">
        <f t="shared" si="101"/>
        <v>213.83080000000001</v>
      </c>
      <c r="T205" s="476">
        <f t="shared" si="80"/>
        <v>213.83080000000001</v>
      </c>
      <c r="V205" s="437">
        <f t="shared" si="81"/>
        <v>0</v>
      </c>
      <c r="W205" s="437"/>
      <c r="X205" s="437"/>
      <c r="Y205" s="437"/>
      <c r="Z205" s="437"/>
      <c r="AA205" s="437"/>
      <c r="AB205" s="477" t="str">
        <f t="shared" si="89"/>
        <v>use the locking pin</v>
      </c>
      <c r="AC205" s="514"/>
      <c r="AD205" s="514"/>
      <c r="AE205" s="514"/>
      <c r="AF205" s="437">
        <f>SUM(V205:V214)/($B$192-B204)</f>
        <v>0</v>
      </c>
      <c r="AG205" s="437"/>
      <c r="AH205" s="450">
        <f>SUM(D196:D205)+$C$195</f>
        <v>0</v>
      </c>
      <c r="AI205" s="516"/>
      <c r="AJ205" s="287">
        <f t="shared" si="90"/>
        <v>66.255548399999995</v>
      </c>
      <c r="AK205" s="441">
        <f t="shared" si="82"/>
        <v>0.91535047595051022</v>
      </c>
      <c r="AL205" s="289">
        <f t="shared" si="91"/>
        <v>278.56028065668761</v>
      </c>
      <c r="AM205" s="287">
        <f t="shared" si="92"/>
        <v>50.018549700000001</v>
      </c>
      <c r="AN205" s="442">
        <f t="shared" si="93"/>
        <v>0.76625250760411079</v>
      </c>
      <c r="AO205" s="291">
        <f t="shared" si="94"/>
        <v>213.83080789825695</v>
      </c>
      <c r="AP205" s="519"/>
      <c r="AQ205" s="291">
        <f t="shared" si="102"/>
        <v>-364.5</v>
      </c>
      <c r="AR205" s="443"/>
      <c r="AS205" s="444">
        <f t="shared" si="95"/>
        <v>492.39108855494453</v>
      </c>
      <c r="AT205" s="445">
        <f t="shared" si="104"/>
        <v>-213.83080789825695</v>
      </c>
      <c r="AU205" s="446"/>
      <c r="AV205" s="445">
        <f t="shared" si="103"/>
        <v>213.83080789825695</v>
      </c>
      <c r="AW205" s="447">
        <f t="shared" si="96"/>
        <v>-206.20848886064397</v>
      </c>
      <c r="AX205" s="447">
        <f t="shared" si="97"/>
        <v>-158.29151113935606</v>
      </c>
      <c r="AY205" s="448">
        <f t="shared" si="83"/>
        <v>-56.253746216235058</v>
      </c>
      <c r="AZ205" s="448">
        <f t="shared" si="84"/>
        <v>-63.174581681744378</v>
      </c>
      <c r="BA205" s="451">
        <f t="shared" si="98"/>
        <v>56.253746216235058</v>
      </c>
      <c r="BB205" s="451">
        <f t="shared" si="98"/>
        <v>63.174581681744378</v>
      </c>
      <c r="BC205">
        <f t="shared" si="99"/>
        <v>0.3</v>
      </c>
    </row>
    <row r="206" spans="1:109" ht="21" customHeight="1" thickBot="1" x14ac:dyDescent="0.25">
      <c r="A206" s="296"/>
      <c r="B206" s="277">
        <v>12</v>
      </c>
      <c r="C206" s="278"/>
      <c r="D206" s="25">
        <v>0</v>
      </c>
      <c r="E206" s="279" t="s">
        <v>130</v>
      </c>
      <c r="F206" s="258">
        <f t="shared" si="85"/>
        <v>0.3</v>
      </c>
      <c r="G206" s="258">
        <f t="shared" si="100"/>
        <v>0.3</v>
      </c>
      <c r="H206" s="506">
        <v>279.06049999999999</v>
      </c>
      <c r="I206" s="507">
        <v>79.962900599999998</v>
      </c>
      <c r="J206" s="474">
        <f t="shared" si="86"/>
        <v>79.962900599999998</v>
      </c>
      <c r="K206" s="474">
        <f t="shared" si="87"/>
        <v>39.981450299999999</v>
      </c>
      <c r="L206" s="474">
        <f t="shared" si="75"/>
        <v>0.64253956655634092</v>
      </c>
      <c r="M206" s="474">
        <f t="shared" si="76"/>
        <v>179.30741271299578</v>
      </c>
      <c r="N206" s="474">
        <f t="shared" si="77"/>
        <v>358.61482542599157</v>
      </c>
      <c r="O206" s="474">
        <f>+C195+D196+D197+D198+D199+D200+D201+D202+D203+D204+D205+(D206/2)</f>
        <v>0</v>
      </c>
      <c r="P206" s="474">
        <f t="shared" si="78"/>
        <v>0</v>
      </c>
      <c r="Q206" s="474">
        <f t="shared" si="79"/>
        <v>0</v>
      </c>
      <c r="R206" s="474">
        <f t="shared" si="88"/>
        <v>213.83080000000001</v>
      </c>
      <c r="S206" s="474">
        <f t="shared" si="101"/>
        <v>213.83080000000001</v>
      </c>
      <c r="T206" s="476">
        <f t="shared" si="80"/>
        <v>213.83080000000001</v>
      </c>
      <c r="V206" s="437">
        <f t="shared" si="81"/>
        <v>0</v>
      </c>
      <c r="W206" s="437"/>
      <c r="X206" s="437"/>
      <c r="Y206" s="437"/>
      <c r="Z206" s="437"/>
      <c r="AA206" s="437"/>
      <c r="AB206" s="477" t="str">
        <f t="shared" si="89"/>
        <v>use the locking pin</v>
      </c>
      <c r="AC206" s="514"/>
      <c r="AD206" s="514"/>
      <c r="AE206" s="514"/>
      <c r="AF206" s="437">
        <f>SUM(V206:V214)/($B$192-B205)</f>
        <v>0</v>
      </c>
      <c r="AG206" s="437"/>
      <c r="AH206" s="450">
        <f>SUM(D196:D206)+$C$195</f>
        <v>0</v>
      </c>
      <c r="AI206" s="516"/>
      <c r="AJ206" s="287">
        <f t="shared" si="90"/>
        <v>66.255548399999995</v>
      </c>
      <c r="AK206" s="441">
        <f t="shared" si="82"/>
        <v>0.91535047595051022</v>
      </c>
      <c r="AL206" s="289">
        <f t="shared" si="91"/>
        <v>278.56028065668761</v>
      </c>
      <c r="AM206" s="287">
        <f t="shared" si="92"/>
        <v>50.018549700000001</v>
      </c>
      <c r="AN206" s="442">
        <f t="shared" si="93"/>
        <v>0.76625250760411079</v>
      </c>
      <c r="AO206" s="291">
        <f t="shared" si="94"/>
        <v>213.83080789825695</v>
      </c>
      <c r="AP206" s="519"/>
      <c r="AQ206" s="291">
        <f t="shared" si="102"/>
        <v>-405</v>
      </c>
      <c r="AR206" s="443"/>
      <c r="AS206" s="444">
        <f t="shared" si="95"/>
        <v>492.39108855494453</v>
      </c>
      <c r="AT206" s="445">
        <f t="shared" si="104"/>
        <v>-213.83080789825695</v>
      </c>
      <c r="AU206" s="446"/>
      <c r="AV206" s="445">
        <f t="shared" si="103"/>
        <v>213.83080789825695</v>
      </c>
      <c r="AW206" s="447">
        <f t="shared" si="96"/>
        <v>-229.12054317849331</v>
      </c>
      <c r="AX206" s="447">
        <f t="shared" si="97"/>
        <v>-175.87945682150675</v>
      </c>
      <c r="AY206" s="448">
        <f t="shared" si="83"/>
        <v>-50.628371594611551</v>
      </c>
      <c r="AZ206" s="448">
        <f t="shared" si="84"/>
        <v>-56.857123513569938</v>
      </c>
      <c r="BA206" s="451">
        <f t="shared" si="98"/>
        <v>50.628371594611551</v>
      </c>
      <c r="BB206" s="451">
        <f t="shared" si="98"/>
        <v>56.857123513569938</v>
      </c>
      <c r="BC206">
        <f t="shared" si="99"/>
        <v>0.3</v>
      </c>
    </row>
    <row r="207" spans="1:109" ht="21" customHeight="1" thickBot="1" x14ac:dyDescent="0.25">
      <c r="B207" s="277">
        <v>13</v>
      </c>
      <c r="C207" s="278"/>
      <c r="D207" s="25">
        <v>0</v>
      </c>
      <c r="E207" s="279" t="s">
        <v>130</v>
      </c>
      <c r="F207" s="258">
        <f t="shared" si="85"/>
        <v>0.3</v>
      </c>
      <c r="G207" s="258">
        <f t="shared" si="100"/>
        <v>0.3</v>
      </c>
      <c r="H207" s="506">
        <v>279.06049999999999</v>
      </c>
      <c r="I207" s="507">
        <v>79.962900599999998</v>
      </c>
      <c r="J207" s="474">
        <f t="shared" si="86"/>
        <v>79.962900599999998</v>
      </c>
      <c r="K207" s="474">
        <f t="shared" si="87"/>
        <v>39.981450299999999</v>
      </c>
      <c r="L207" s="474">
        <f t="shared" si="75"/>
        <v>0.64253956655634092</v>
      </c>
      <c r="M207" s="474">
        <f t="shared" si="76"/>
        <v>179.30741271299578</v>
      </c>
      <c r="N207" s="474">
        <f t="shared" si="77"/>
        <v>358.61482542599157</v>
      </c>
      <c r="O207" s="474">
        <f>+C195+D196+D197+D198+D199+D200+D201+D202+D203+D204+D205+D206+(D207/2)</f>
        <v>0</v>
      </c>
      <c r="P207" s="474">
        <f t="shared" si="78"/>
        <v>0</v>
      </c>
      <c r="Q207" s="474">
        <f t="shared" si="79"/>
        <v>0</v>
      </c>
      <c r="R207" s="474">
        <f t="shared" si="88"/>
        <v>213.83080000000001</v>
      </c>
      <c r="S207" s="474">
        <f t="shared" si="101"/>
        <v>213.83080000000001</v>
      </c>
      <c r="T207" s="476">
        <f t="shared" si="80"/>
        <v>213.83080000000001</v>
      </c>
      <c r="V207" s="437">
        <f t="shared" si="81"/>
        <v>0</v>
      </c>
      <c r="W207" s="437"/>
      <c r="X207" s="437"/>
      <c r="Y207" s="437"/>
      <c r="Z207" s="437"/>
      <c r="AA207" s="437"/>
      <c r="AB207" s="477" t="str">
        <f t="shared" si="89"/>
        <v>use the locking pin</v>
      </c>
      <c r="AC207" s="514"/>
      <c r="AD207" s="514"/>
      <c r="AE207" s="514"/>
      <c r="AF207" s="437">
        <f>SUM(V207:V214)/($B$192-B206)</f>
        <v>0</v>
      </c>
      <c r="AG207" s="437"/>
      <c r="AH207" s="450">
        <f>SUM(D196:D207)+$C$195</f>
        <v>0</v>
      </c>
      <c r="AI207" s="516"/>
      <c r="AJ207" s="287">
        <f t="shared" si="90"/>
        <v>66.255548399999995</v>
      </c>
      <c r="AK207" s="441">
        <f t="shared" si="82"/>
        <v>0.91535047595051022</v>
      </c>
      <c r="AL207" s="289">
        <f t="shared" si="91"/>
        <v>278.56028065668761</v>
      </c>
      <c r="AM207" s="287">
        <f t="shared" si="92"/>
        <v>50.018549700000001</v>
      </c>
      <c r="AN207" s="442">
        <f t="shared" si="93"/>
        <v>0.76625250760411079</v>
      </c>
      <c r="AO207" s="291">
        <f t="shared" si="94"/>
        <v>213.83080789825695</v>
      </c>
      <c r="AP207" s="519"/>
      <c r="AQ207" s="291">
        <f t="shared" si="102"/>
        <v>-445.5</v>
      </c>
      <c r="AR207" s="443"/>
      <c r="AS207" s="444">
        <f t="shared" si="95"/>
        <v>492.39108855494453</v>
      </c>
      <c r="AT207" s="445">
        <f t="shared" si="104"/>
        <v>-213.83080789825695</v>
      </c>
      <c r="AU207" s="446"/>
      <c r="AV207" s="445">
        <f t="shared" si="103"/>
        <v>213.83080789825695</v>
      </c>
      <c r="AW207" s="447">
        <f t="shared" si="96"/>
        <v>-252.03259749634262</v>
      </c>
      <c r="AX207" s="447">
        <f t="shared" si="97"/>
        <v>-193.46740250365741</v>
      </c>
      <c r="AY207" s="448">
        <f t="shared" si="83"/>
        <v>-46.025792358737775</v>
      </c>
      <c r="AZ207" s="448">
        <f t="shared" si="84"/>
        <v>-51.688294103245404</v>
      </c>
      <c r="BA207" s="451">
        <f t="shared" si="98"/>
        <v>46.025792358737775</v>
      </c>
      <c r="BB207" s="451">
        <f t="shared" si="98"/>
        <v>51.688294103245404</v>
      </c>
      <c r="BC207">
        <f t="shared" si="99"/>
        <v>0.3</v>
      </c>
    </row>
    <row r="208" spans="1:109" ht="21" customHeight="1" thickBot="1" x14ac:dyDescent="0.25">
      <c r="B208" s="277">
        <v>14</v>
      </c>
      <c r="C208" s="278"/>
      <c r="D208" s="25">
        <v>0</v>
      </c>
      <c r="E208" s="279" t="s">
        <v>130</v>
      </c>
      <c r="F208" s="258">
        <f t="shared" si="85"/>
        <v>0.3</v>
      </c>
      <c r="G208" s="258">
        <f t="shared" si="100"/>
        <v>0.3</v>
      </c>
      <c r="H208" s="506">
        <v>279.06049999999999</v>
      </c>
      <c r="I208" s="507">
        <v>79.962900599999998</v>
      </c>
      <c r="J208" s="474">
        <f t="shared" si="86"/>
        <v>79.962900599999998</v>
      </c>
      <c r="K208" s="474">
        <f t="shared" si="87"/>
        <v>39.981450299999999</v>
      </c>
      <c r="L208" s="474">
        <f t="shared" si="75"/>
        <v>0.64253956655634092</v>
      </c>
      <c r="M208" s="474">
        <f t="shared" si="76"/>
        <v>179.30741271299578</v>
      </c>
      <c r="N208" s="474">
        <f t="shared" si="77"/>
        <v>358.61482542599157</v>
      </c>
      <c r="O208" s="474">
        <f>+C195+D196+D197+D198+D199+D200+D201+D202+D203+D204+D205+D206+D207+(D208/2)</f>
        <v>0</v>
      </c>
      <c r="P208" s="474">
        <f t="shared" si="78"/>
        <v>0</v>
      </c>
      <c r="Q208" s="474">
        <f t="shared" si="79"/>
        <v>0</v>
      </c>
      <c r="R208" s="474">
        <f t="shared" si="88"/>
        <v>213.83080000000001</v>
      </c>
      <c r="S208" s="474">
        <f t="shared" si="101"/>
        <v>213.83080000000001</v>
      </c>
      <c r="T208" s="476">
        <f t="shared" si="80"/>
        <v>213.83080000000001</v>
      </c>
      <c r="V208" s="437">
        <f t="shared" si="81"/>
        <v>0</v>
      </c>
      <c r="W208" s="437"/>
      <c r="X208" s="437"/>
      <c r="Y208" s="437"/>
      <c r="Z208" s="437"/>
      <c r="AA208" s="437"/>
      <c r="AB208" s="477" t="str">
        <f t="shared" si="89"/>
        <v>use the locking pin</v>
      </c>
      <c r="AC208" s="514"/>
      <c r="AD208" s="514"/>
      <c r="AE208" s="514"/>
      <c r="AF208" s="437">
        <f>SUM(V208:V214)/($B$192-B207)</f>
        <v>0</v>
      </c>
      <c r="AG208" s="437"/>
      <c r="AH208" s="450">
        <f>SUM(D196:D208)+$C$195</f>
        <v>0</v>
      </c>
      <c r="AI208" s="516"/>
      <c r="AJ208" s="287">
        <f t="shared" si="90"/>
        <v>66.255548399999995</v>
      </c>
      <c r="AK208" s="441">
        <f t="shared" si="82"/>
        <v>0.91535047595051022</v>
      </c>
      <c r="AL208" s="289">
        <f t="shared" si="91"/>
        <v>278.56028065668761</v>
      </c>
      <c r="AM208" s="287">
        <f t="shared" si="92"/>
        <v>50.018549700000001</v>
      </c>
      <c r="AN208" s="442">
        <f t="shared" si="93"/>
        <v>0.76625250760411079</v>
      </c>
      <c r="AO208" s="291">
        <f t="shared" si="94"/>
        <v>213.83080789825695</v>
      </c>
      <c r="AP208" s="519"/>
      <c r="AQ208" s="291">
        <f t="shared" si="102"/>
        <v>-486</v>
      </c>
      <c r="AR208" s="443"/>
      <c r="AS208" s="444">
        <f t="shared" si="95"/>
        <v>492.39108855494453</v>
      </c>
      <c r="AT208" s="445">
        <f t="shared" si="104"/>
        <v>-213.83080789825695</v>
      </c>
      <c r="AU208" s="446"/>
      <c r="AV208" s="445">
        <f t="shared" si="103"/>
        <v>213.83080789825695</v>
      </c>
      <c r="AW208" s="447">
        <f t="shared" si="96"/>
        <v>-274.94465181419196</v>
      </c>
      <c r="AX208" s="447">
        <f t="shared" si="97"/>
        <v>-211.0553481858081</v>
      </c>
      <c r="AY208" s="448">
        <f t="shared" si="83"/>
        <v>-42.190309662176297</v>
      </c>
      <c r="AZ208" s="448">
        <f t="shared" si="84"/>
        <v>-47.380936261308278</v>
      </c>
      <c r="BA208" s="451">
        <f t="shared" si="98"/>
        <v>42.190309662176297</v>
      </c>
      <c r="BB208" s="451">
        <f t="shared" si="98"/>
        <v>47.380936261308278</v>
      </c>
      <c r="BC208">
        <f t="shared" si="99"/>
        <v>0.3</v>
      </c>
    </row>
    <row r="209" spans="2:129" ht="21" customHeight="1" thickBot="1" x14ac:dyDescent="0.25">
      <c r="B209" s="277">
        <v>15</v>
      </c>
      <c r="C209" s="278"/>
      <c r="D209" s="25">
        <v>0</v>
      </c>
      <c r="E209" s="279" t="s">
        <v>130</v>
      </c>
      <c r="F209" s="258">
        <f t="shared" si="85"/>
        <v>0.3</v>
      </c>
      <c r="G209" s="258">
        <f t="shared" si="100"/>
        <v>0.3</v>
      </c>
      <c r="H209" s="506">
        <v>279.06049999999999</v>
      </c>
      <c r="I209" s="507">
        <v>79.962900599999998</v>
      </c>
      <c r="J209" s="474">
        <f t="shared" si="86"/>
        <v>79.962900599999998</v>
      </c>
      <c r="K209" s="474">
        <f t="shared" si="87"/>
        <v>39.981450299999999</v>
      </c>
      <c r="L209" s="474">
        <f t="shared" si="75"/>
        <v>0.64253956655634092</v>
      </c>
      <c r="M209" s="474">
        <f t="shared" si="76"/>
        <v>179.30741271299578</v>
      </c>
      <c r="N209" s="474">
        <f t="shared" si="77"/>
        <v>358.61482542599157</v>
      </c>
      <c r="O209" s="474">
        <f>+C195+D196+D197+D198+D199+D200+D201+D202+D203+D204+D205+D206+D207+D208+(D209/2)</f>
        <v>0</v>
      </c>
      <c r="P209" s="474">
        <f t="shared" si="78"/>
        <v>0</v>
      </c>
      <c r="Q209" s="474">
        <f t="shared" si="79"/>
        <v>0</v>
      </c>
      <c r="R209" s="474">
        <f t="shared" si="88"/>
        <v>213.83080000000001</v>
      </c>
      <c r="S209" s="474">
        <f t="shared" si="101"/>
        <v>213.83080000000001</v>
      </c>
      <c r="T209" s="476">
        <f t="shared" si="80"/>
        <v>213.83080000000001</v>
      </c>
      <c r="V209" s="437">
        <f t="shared" si="81"/>
        <v>0</v>
      </c>
      <c r="W209" s="437"/>
      <c r="X209" s="437"/>
      <c r="Y209" s="437"/>
      <c r="Z209" s="437"/>
      <c r="AA209" s="437"/>
      <c r="AB209" s="477" t="str">
        <f t="shared" si="89"/>
        <v>use the locking pin</v>
      </c>
      <c r="AC209" s="514"/>
      <c r="AD209" s="514"/>
      <c r="AE209" s="514"/>
      <c r="AF209" s="437">
        <f>SUM(V209:V214)/($B$192-B208)</f>
        <v>0</v>
      </c>
      <c r="AG209" s="437"/>
      <c r="AH209" s="450">
        <f>SUM(D196:D209)+$C$195</f>
        <v>0</v>
      </c>
      <c r="AI209" s="516"/>
      <c r="AJ209" s="287">
        <f t="shared" si="90"/>
        <v>66.255548399999995</v>
      </c>
      <c r="AK209" s="441">
        <f t="shared" si="82"/>
        <v>0.91535047595051022</v>
      </c>
      <c r="AL209" s="289">
        <f t="shared" si="91"/>
        <v>278.56028065668761</v>
      </c>
      <c r="AM209" s="287">
        <f t="shared" si="92"/>
        <v>50.018549700000001</v>
      </c>
      <c r="AN209" s="442">
        <f t="shared" si="93"/>
        <v>0.76625250760411079</v>
      </c>
      <c r="AO209" s="291">
        <f t="shared" si="94"/>
        <v>213.83080789825695</v>
      </c>
      <c r="AP209" s="519"/>
      <c r="AQ209" s="291">
        <f t="shared" si="102"/>
        <v>-526.5</v>
      </c>
      <c r="AR209" s="443"/>
      <c r="AS209" s="444">
        <f t="shared" si="95"/>
        <v>492.39108855494453</v>
      </c>
      <c r="AT209" s="445">
        <f t="shared" si="104"/>
        <v>-213.83080789825695</v>
      </c>
      <c r="AU209" s="446"/>
      <c r="AV209" s="445">
        <f t="shared" si="103"/>
        <v>213.83080789825695</v>
      </c>
      <c r="AW209" s="447">
        <f t="shared" si="96"/>
        <v>-297.85670613204127</v>
      </c>
      <c r="AX209" s="447">
        <f t="shared" si="97"/>
        <v>-228.64329386795876</v>
      </c>
      <c r="AY209" s="448">
        <f t="shared" si="83"/>
        <v>-38.944901226624275</v>
      </c>
      <c r="AZ209" s="448">
        <f t="shared" si="84"/>
        <v>-43.736248856592262</v>
      </c>
      <c r="BA209" s="451">
        <f t="shared" si="98"/>
        <v>38.944901226624275</v>
      </c>
      <c r="BB209" s="451">
        <f t="shared" si="98"/>
        <v>43.736248856592262</v>
      </c>
      <c r="BC209">
        <f t="shared" si="99"/>
        <v>0.3</v>
      </c>
    </row>
    <row r="210" spans="2:129" ht="21" customHeight="1" thickBot="1" x14ac:dyDescent="0.25">
      <c r="B210" s="277">
        <v>16</v>
      </c>
      <c r="C210" s="278"/>
      <c r="D210" s="25">
        <v>0</v>
      </c>
      <c r="E210" s="279" t="s">
        <v>130</v>
      </c>
      <c r="F210" s="258">
        <f t="shared" si="85"/>
        <v>0.3</v>
      </c>
      <c r="G210" s="258">
        <f t="shared" si="100"/>
        <v>0.3</v>
      </c>
      <c r="H210" s="506">
        <v>279.06049999999999</v>
      </c>
      <c r="I210" s="507">
        <v>79.962900599999998</v>
      </c>
      <c r="J210" s="474">
        <f t="shared" si="86"/>
        <v>79.962900599999998</v>
      </c>
      <c r="K210" s="474">
        <f t="shared" si="87"/>
        <v>39.981450299999999</v>
      </c>
      <c r="L210" s="474">
        <f t="shared" si="75"/>
        <v>0.64253956655634092</v>
      </c>
      <c r="M210" s="474">
        <f t="shared" si="76"/>
        <v>179.30741271299578</v>
      </c>
      <c r="N210" s="474">
        <f t="shared" si="77"/>
        <v>358.61482542599157</v>
      </c>
      <c r="O210" s="474">
        <f>+C195+D196+D197+D198+D199+D200+D201+D202+D203+D204+D205+D206+D207+D208+D209+(D210/2)</f>
        <v>0</v>
      </c>
      <c r="P210" s="474">
        <f t="shared" si="78"/>
        <v>0</v>
      </c>
      <c r="Q210" s="474">
        <f t="shared" si="79"/>
        <v>0</v>
      </c>
      <c r="R210" s="474">
        <f t="shared" si="88"/>
        <v>213.83080000000001</v>
      </c>
      <c r="S210" s="474">
        <f t="shared" si="101"/>
        <v>213.83080000000001</v>
      </c>
      <c r="T210" s="476">
        <f t="shared" si="80"/>
        <v>213.83080000000001</v>
      </c>
      <c r="V210" s="437">
        <f t="shared" si="81"/>
        <v>0</v>
      </c>
      <c r="W210" s="437"/>
      <c r="X210" s="437"/>
      <c r="Y210" s="437"/>
      <c r="Z210" s="437"/>
      <c r="AA210" s="437"/>
      <c r="AB210" s="477" t="str">
        <f t="shared" si="89"/>
        <v>use the locking pin</v>
      </c>
      <c r="AC210" s="514"/>
      <c r="AD210" s="514"/>
      <c r="AE210" s="514"/>
      <c r="AF210" s="437">
        <f>SUM(V210:V214)/($B$192-B209)</f>
        <v>0</v>
      </c>
      <c r="AG210" s="437"/>
      <c r="AH210" s="450">
        <f>SUM(D196:D210)+$C$195</f>
        <v>0</v>
      </c>
      <c r="AI210" s="516"/>
      <c r="AJ210" s="287">
        <f t="shared" si="90"/>
        <v>66.255548399999995</v>
      </c>
      <c r="AK210" s="441">
        <f t="shared" si="82"/>
        <v>0.91535047595051022</v>
      </c>
      <c r="AL210" s="289">
        <f t="shared" si="91"/>
        <v>278.56028065668761</v>
      </c>
      <c r="AM210" s="287">
        <f t="shared" si="92"/>
        <v>50.018549700000001</v>
      </c>
      <c r="AN210" s="442">
        <f t="shared" si="93"/>
        <v>0.76625250760411079</v>
      </c>
      <c r="AO210" s="291">
        <f t="shared" si="94"/>
        <v>213.83080789825695</v>
      </c>
      <c r="AP210" s="519"/>
      <c r="AQ210" s="291">
        <f t="shared" si="102"/>
        <v>-567</v>
      </c>
      <c r="AR210" s="443"/>
      <c r="AS210" s="444">
        <f t="shared" si="95"/>
        <v>492.39108855494453</v>
      </c>
      <c r="AT210" s="445">
        <f t="shared" si="104"/>
        <v>-213.83080789825695</v>
      </c>
      <c r="AU210" s="446"/>
      <c r="AV210" s="445">
        <f t="shared" si="103"/>
        <v>213.83080789825695</v>
      </c>
      <c r="AW210" s="447">
        <f t="shared" si="96"/>
        <v>-320.76876044989064</v>
      </c>
      <c r="AX210" s="447">
        <f t="shared" si="97"/>
        <v>-246.23123955010945</v>
      </c>
      <c r="AY210" s="448">
        <f t="shared" si="83"/>
        <v>-36.163122567579677</v>
      </c>
      <c r="AZ210" s="448">
        <f t="shared" si="84"/>
        <v>-40.612231081121386</v>
      </c>
      <c r="BA210" s="451">
        <f t="shared" si="98"/>
        <v>36.163122567579677</v>
      </c>
      <c r="BB210" s="451">
        <f t="shared" si="98"/>
        <v>40.612231081121386</v>
      </c>
      <c r="BC210">
        <f t="shared" si="99"/>
        <v>0.3</v>
      </c>
    </row>
    <row r="211" spans="2:129" ht="21" customHeight="1" thickBot="1" x14ac:dyDescent="0.25">
      <c r="B211" s="277">
        <v>17</v>
      </c>
      <c r="C211" s="278"/>
      <c r="D211" s="25">
        <v>0</v>
      </c>
      <c r="E211" s="279" t="s">
        <v>130</v>
      </c>
      <c r="F211" s="258">
        <f t="shared" si="85"/>
        <v>0.3</v>
      </c>
      <c r="G211" s="258">
        <f t="shared" si="100"/>
        <v>0.3</v>
      </c>
      <c r="H211" s="506">
        <v>279.06049999999999</v>
      </c>
      <c r="I211" s="507">
        <v>79.962900599999998</v>
      </c>
      <c r="J211" s="474">
        <f t="shared" si="86"/>
        <v>79.962900599999998</v>
      </c>
      <c r="K211" s="474">
        <f t="shared" si="87"/>
        <v>39.981450299999999</v>
      </c>
      <c r="L211" s="474">
        <f t="shared" si="75"/>
        <v>0.64253956655634092</v>
      </c>
      <c r="M211" s="474">
        <f t="shared" si="76"/>
        <v>179.30741271299578</v>
      </c>
      <c r="N211" s="474">
        <f t="shared" si="77"/>
        <v>358.61482542599157</v>
      </c>
      <c r="O211" s="474">
        <f>+C195+D196+D197+D198+D199+D200+D201+D202+D203+D204+D205+D206+D207+D208+D209+D210+(D211/2)</f>
        <v>0</v>
      </c>
      <c r="P211" s="474">
        <f t="shared" si="78"/>
        <v>0</v>
      </c>
      <c r="Q211" s="474">
        <f t="shared" si="79"/>
        <v>0</v>
      </c>
      <c r="R211" s="474">
        <f t="shared" si="88"/>
        <v>213.83080000000001</v>
      </c>
      <c r="S211" s="474">
        <f t="shared" si="101"/>
        <v>213.83080000000001</v>
      </c>
      <c r="T211" s="476">
        <f t="shared" si="80"/>
        <v>213.83080000000001</v>
      </c>
      <c r="V211" s="437">
        <f t="shared" si="81"/>
        <v>0</v>
      </c>
      <c r="W211" s="437"/>
      <c r="X211" s="437"/>
      <c r="Y211" s="437"/>
      <c r="Z211" s="437"/>
      <c r="AA211" s="437"/>
      <c r="AB211" s="477" t="str">
        <f t="shared" si="89"/>
        <v>use the locking pin</v>
      </c>
      <c r="AC211" s="514"/>
      <c r="AD211" s="514"/>
      <c r="AE211" s="514"/>
      <c r="AF211" s="437">
        <f>SUM(V211:V214)/($B$192-B210)</f>
        <v>0</v>
      </c>
      <c r="AG211" s="437"/>
      <c r="AH211" s="450">
        <f>SUM(D196:D211)+$C$195</f>
        <v>0</v>
      </c>
      <c r="AI211" s="516"/>
      <c r="AJ211" s="287">
        <f t="shared" si="90"/>
        <v>66.255548399999995</v>
      </c>
      <c r="AK211" s="441">
        <f t="shared" si="82"/>
        <v>0.91535047595051022</v>
      </c>
      <c r="AL211" s="289">
        <f t="shared" si="91"/>
        <v>278.56028065668761</v>
      </c>
      <c r="AM211" s="287">
        <f t="shared" si="92"/>
        <v>50.018549700000001</v>
      </c>
      <c r="AN211" s="442">
        <f t="shared" si="93"/>
        <v>0.76625250760411079</v>
      </c>
      <c r="AO211" s="291">
        <f t="shared" si="94"/>
        <v>213.83080789825695</v>
      </c>
      <c r="AP211" s="519"/>
      <c r="AQ211" s="291">
        <f t="shared" si="102"/>
        <v>-607.5</v>
      </c>
      <c r="AR211" s="443"/>
      <c r="AS211" s="444">
        <f t="shared" si="95"/>
        <v>492.39108855494453</v>
      </c>
      <c r="AT211" s="445">
        <f t="shared" si="104"/>
        <v>-213.83080789825695</v>
      </c>
      <c r="AU211" s="446"/>
      <c r="AV211" s="445">
        <f t="shared" si="103"/>
        <v>213.83080789825695</v>
      </c>
      <c r="AW211" s="447">
        <f t="shared" si="96"/>
        <v>-343.68081476773995</v>
      </c>
      <c r="AX211" s="447">
        <f t="shared" si="97"/>
        <v>-263.81918523226011</v>
      </c>
      <c r="AY211" s="448">
        <f t="shared" si="83"/>
        <v>-33.752247729741036</v>
      </c>
      <c r="AZ211" s="448">
        <f t="shared" si="84"/>
        <v>-37.904749009046625</v>
      </c>
      <c r="BA211" s="451">
        <f t="shared" si="98"/>
        <v>33.752247729741036</v>
      </c>
      <c r="BB211" s="451">
        <f t="shared" si="98"/>
        <v>37.904749009046625</v>
      </c>
      <c r="BC211">
        <f t="shared" si="99"/>
        <v>0.3</v>
      </c>
      <c r="BD211" s="136"/>
      <c r="BP211" s="126"/>
      <c r="BR211" s="126"/>
      <c r="BT211" s="126"/>
      <c r="DF211" s="126"/>
      <c r="DG211" s="126"/>
      <c r="DH211" s="126"/>
      <c r="DI211" s="126"/>
      <c r="DJ211" s="126"/>
      <c r="DK211" s="126"/>
      <c r="DL211" s="203"/>
      <c r="DM211" s="203"/>
      <c r="DN211" s="203"/>
      <c r="DO211" s="203"/>
      <c r="DP211" s="203"/>
      <c r="DQ211" s="203"/>
      <c r="DR211" s="203"/>
      <c r="DS211" s="203"/>
      <c r="DT211" s="203"/>
      <c r="DU211" s="203"/>
      <c r="DV211" s="203"/>
      <c r="DW211" s="203"/>
      <c r="DX211" s="203"/>
      <c r="DY211" s="203"/>
    </row>
    <row r="212" spans="2:129" ht="21" customHeight="1" thickBot="1" x14ac:dyDescent="0.25">
      <c r="B212" s="277">
        <v>18</v>
      </c>
      <c r="C212" s="278"/>
      <c r="D212" s="25">
        <v>0</v>
      </c>
      <c r="E212" s="279" t="s">
        <v>130</v>
      </c>
      <c r="F212" s="258">
        <f t="shared" si="85"/>
        <v>0.3</v>
      </c>
      <c r="G212" s="258">
        <f t="shared" si="100"/>
        <v>0.3</v>
      </c>
      <c r="H212" s="506">
        <v>279.06049999999999</v>
      </c>
      <c r="I212" s="507">
        <v>79.962900599999998</v>
      </c>
      <c r="J212" s="474">
        <f t="shared" si="86"/>
        <v>79.962900599999998</v>
      </c>
      <c r="K212" s="474">
        <f t="shared" si="87"/>
        <v>39.981450299999999</v>
      </c>
      <c r="L212" s="474">
        <f t="shared" si="75"/>
        <v>0.64253956655634092</v>
      </c>
      <c r="M212" s="474">
        <f t="shared" si="76"/>
        <v>179.30741271299578</v>
      </c>
      <c r="N212" s="474">
        <f t="shared" si="77"/>
        <v>358.61482542599157</v>
      </c>
      <c r="O212" s="474">
        <f>+C195+D196+D197+D198+D199+D200+D201+D202+D203+D204+D205+D206+D207+D208+D209+D210+D211+(D212/2)</f>
        <v>0</v>
      </c>
      <c r="P212" s="474">
        <f t="shared" si="78"/>
        <v>0</v>
      </c>
      <c r="Q212" s="474">
        <f t="shared" si="79"/>
        <v>0</v>
      </c>
      <c r="R212" s="474">
        <f t="shared" si="88"/>
        <v>213.83080000000001</v>
      </c>
      <c r="S212" s="474">
        <f t="shared" si="101"/>
        <v>213.83080000000001</v>
      </c>
      <c r="T212" s="476">
        <f t="shared" si="80"/>
        <v>213.83080000000001</v>
      </c>
      <c r="V212" s="437">
        <f t="shared" si="81"/>
        <v>0</v>
      </c>
      <c r="W212" s="437"/>
      <c r="X212" s="437"/>
      <c r="Y212" s="437"/>
      <c r="Z212" s="437"/>
      <c r="AA212" s="437"/>
      <c r="AB212" s="477" t="str">
        <f t="shared" si="89"/>
        <v>use the locking pin</v>
      </c>
      <c r="AC212" s="514"/>
      <c r="AD212" s="514"/>
      <c r="AE212" s="514"/>
      <c r="AF212" s="437">
        <f>SUM(V212:V214)/($B$192-B211)</f>
        <v>0</v>
      </c>
      <c r="AG212" s="437"/>
      <c r="AH212" s="450">
        <f>SUM(D196:D212)+$C$195</f>
        <v>0</v>
      </c>
      <c r="AI212" s="516"/>
      <c r="AJ212" s="287">
        <f t="shared" si="90"/>
        <v>66.255548399999995</v>
      </c>
      <c r="AK212" s="441">
        <f t="shared" si="82"/>
        <v>0.91535047595051022</v>
      </c>
      <c r="AL212" s="289">
        <f t="shared" si="91"/>
        <v>278.56028065668761</v>
      </c>
      <c r="AM212" s="287">
        <f t="shared" si="92"/>
        <v>50.018549700000001</v>
      </c>
      <c r="AN212" s="442">
        <f t="shared" si="93"/>
        <v>0.76625250760411079</v>
      </c>
      <c r="AO212" s="291">
        <f t="shared" si="94"/>
        <v>213.83080789825695</v>
      </c>
      <c r="AP212" s="519"/>
      <c r="AQ212" s="291">
        <f t="shared" si="102"/>
        <v>-648</v>
      </c>
      <c r="AR212" s="443"/>
      <c r="AS212" s="444">
        <f t="shared" si="95"/>
        <v>492.39108855494453</v>
      </c>
      <c r="AT212" s="445">
        <f t="shared" si="104"/>
        <v>-213.83080789825695</v>
      </c>
      <c r="AU212" s="446"/>
      <c r="AV212" s="445">
        <f t="shared" si="103"/>
        <v>213.83080789825695</v>
      </c>
      <c r="AW212" s="447">
        <f t="shared" si="96"/>
        <v>-366.59286908558926</v>
      </c>
      <c r="AX212" s="447">
        <f t="shared" si="97"/>
        <v>-281.4071309144108</v>
      </c>
      <c r="AY212" s="448">
        <f t="shared" si="83"/>
        <v>-31.642732246632221</v>
      </c>
      <c r="AZ212" s="448">
        <f t="shared" si="84"/>
        <v>-35.535702195981209</v>
      </c>
      <c r="BA212" s="451">
        <f t="shared" si="98"/>
        <v>31.642732246632221</v>
      </c>
      <c r="BB212" s="451">
        <f t="shared" si="98"/>
        <v>35.535702195981209</v>
      </c>
      <c r="BC212">
        <f t="shared" si="99"/>
        <v>0.3</v>
      </c>
      <c r="BD212" s="458"/>
      <c r="BP212" s="126"/>
      <c r="BT212" s="126"/>
      <c r="DF212" s="126"/>
      <c r="DG212" s="126"/>
      <c r="DH212" s="126"/>
      <c r="DI212" s="126"/>
      <c r="DJ212" s="126"/>
      <c r="DK212" s="126"/>
      <c r="DL212" s="203"/>
      <c r="DM212" s="203"/>
      <c r="DN212" s="203"/>
      <c r="DO212" s="203"/>
      <c r="DP212" s="203"/>
      <c r="DQ212" s="203"/>
      <c r="DR212" s="203"/>
      <c r="DS212" s="203"/>
      <c r="DT212" s="203"/>
      <c r="DU212" s="203"/>
      <c r="DV212" s="203"/>
      <c r="DW212" s="203"/>
      <c r="DX212" s="203"/>
      <c r="DY212" s="203"/>
    </row>
    <row r="213" spans="2:129" ht="21" customHeight="1" thickBot="1" x14ac:dyDescent="0.25">
      <c r="B213" s="277">
        <v>19</v>
      </c>
      <c r="C213" s="524"/>
      <c r="D213" s="29">
        <v>0</v>
      </c>
      <c r="E213" s="279" t="s">
        <v>130</v>
      </c>
      <c r="F213" s="525">
        <f t="shared" si="85"/>
        <v>0.3</v>
      </c>
      <c r="G213" s="525">
        <f t="shared" si="100"/>
        <v>0.3</v>
      </c>
      <c r="H213" s="506">
        <v>279.06049999999999</v>
      </c>
      <c r="I213" s="507">
        <v>79.962900599999998</v>
      </c>
      <c r="J213" s="526">
        <f t="shared" si="86"/>
        <v>79.962900599999998</v>
      </c>
      <c r="K213" s="526">
        <f t="shared" si="87"/>
        <v>39.981450299999999</v>
      </c>
      <c r="L213" s="526">
        <f t="shared" si="75"/>
        <v>0.64253956655634092</v>
      </c>
      <c r="M213" s="526">
        <f t="shared" si="76"/>
        <v>179.30741271299578</v>
      </c>
      <c r="N213" s="526">
        <f t="shared" si="77"/>
        <v>358.61482542599157</v>
      </c>
      <c r="O213" s="526">
        <f>+C195+D196+D197+D198+D199+D200+D201+D202+D203+D204+D205+D206+D207+D208+D209+D210+D211+D212+(D213/2)</f>
        <v>0</v>
      </c>
      <c r="P213" s="526">
        <f t="shared" si="78"/>
        <v>0</v>
      </c>
      <c r="Q213" s="526">
        <f t="shared" si="79"/>
        <v>0</v>
      </c>
      <c r="R213" s="526">
        <f t="shared" si="88"/>
        <v>213.83080000000001</v>
      </c>
      <c r="S213" s="526">
        <f t="shared" si="101"/>
        <v>213.83080000000001</v>
      </c>
      <c r="T213" s="527">
        <f t="shared" si="80"/>
        <v>213.83080000000001</v>
      </c>
      <c r="U213" s="528"/>
      <c r="V213" s="529">
        <f t="shared" si="81"/>
        <v>0</v>
      </c>
      <c r="W213" s="529"/>
      <c r="X213" s="529"/>
      <c r="Y213" s="529"/>
      <c r="Z213" s="529"/>
      <c r="AA213" s="529"/>
      <c r="AB213" s="530" t="str">
        <f t="shared" si="89"/>
        <v>use the locking pin</v>
      </c>
      <c r="AC213" s="531"/>
      <c r="AD213" s="531"/>
      <c r="AE213" s="531"/>
      <c r="AF213" s="529">
        <f>SUM(V213:V214)/($B$192-B212)</f>
        <v>0</v>
      </c>
      <c r="AG213" s="529"/>
      <c r="AH213" s="532">
        <f>SUM(D195:D213)+$C$195</f>
        <v>0</v>
      </c>
      <c r="AI213" s="533"/>
      <c r="AJ213" s="287">
        <f t="shared" si="90"/>
        <v>66.255548399999995</v>
      </c>
      <c r="AK213" s="534">
        <f t="shared" si="82"/>
        <v>0.91535047595051022</v>
      </c>
      <c r="AL213" s="289">
        <f t="shared" si="91"/>
        <v>278.56028065668761</v>
      </c>
      <c r="AM213" s="287">
        <f t="shared" si="92"/>
        <v>50.018549700000001</v>
      </c>
      <c r="AN213" s="535">
        <f t="shared" si="93"/>
        <v>0.76625250760411079</v>
      </c>
      <c r="AO213" s="291">
        <f t="shared" si="94"/>
        <v>213.83080789825695</v>
      </c>
      <c r="AP213" s="536"/>
      <c r="AQ213" s="291">
        <f t="shared" si="102"/>
        <v>-688.5</v>
      </c>
      <c r="AR213" s="537"/>
      <c r="AS213" s="538">
        <f t="shared" si="95"/>
        <v>492.39108855494453</v>
      </c>
      <c r="AT213" s="529">
        <f t="shared" si="104"/>
        <v>-213.83080789825695</v>
      </c>
      <c r="AU213" s="539"/>
      <c r="AV213" s="529">
        <f t="shared" si="103"/>
        <v>213.83080789825695</v>
      </c>
      <c r="AW213" s="540">
        <f t="shared" si="96"/>
        <v>-389.50492340343862</v>
      </c>
      <c r="AX213" s="540">
        <f t="shared" si="97"/>
        <v>-298.99507659656149</v>
      </c>
      <c r="AY213" s="541">
        <f t="shared" si="83"/>
        <v>-29.781395055653853</v>
      </c>
      <c r="AZ213" s="541">
        <f t="shared" si="84"/>
        <v>-33.445366772688196</v>
      </c>
      <c r="BA213" s="542">
        <f t="shared" si="98"/>
        <v>29.781395055653853</v>
      </c>
      <c r="BB213" s="542">
        <f t="shared" si="98"/>
        <v>33.445366772688196</v>
      </c>
      <c r="BC213">
        <f t="shared" si="99"/>
        <v>0.3</v>
      </c>
      <c r="BD213" s="144"/>
      <c r="BP213" s="126"/>
      <c r="BQ213" s="311"/>
      <c r="BR213" s="311"/>
      <c r="BS213" s="311"/>
      <c r="BT213" s="311"/>
      <c r="BU213" s="311"/>
      <c r="BV213" s="311"/>
      <c r="BW213" s="311"/>
      <c r="BX213" s="311"/>
      <c r="BY213" s="311"/>
      <c r="BZ213" s="311"/>
      <c r="CA213" s="311"/>
      <c r="CB213" s="311"/>
      <c r="CC213" s="311"/>
      <c r="CD213" s="311"/>
      <c r="CE213" s="311"/>
      <c r="CF213" s="311"/>
      <c r="CG213" s="311"/>
      <c r="CH213" s="311"/>
      <c r="CI213" s="311"/>
      <c r="CJ213" s="311"/>
      <c r="CK213" s="311"/>
      <c r="CL213" s="311"/>
      <c r="CM213" s="311"/>
      <c r="CN213" s="311"/>
      <c r="DF213" s="126"/>
      <c r="DG213" s="126"/>
      <c r="DH213" s="126"/>
      <c r="DI213" s="126"/>
      <c r="DJ213" s="126"/>
      <c r="DK213" s="126"/>
      <c r="DL213" s="203"/>
      <c r="DM213" s="203"/>
      <c r="DN213" s="203"/>
      <c r="DO213" s="203"/>
      <c r="DP213" s="203"/>
      <c r="DQ213" s="203"/>
      <c r="DR213" s="203"/>
      <c r="DS213" s="203"/>
      <c r="DT213" s="203"/>
      <c r="DU213" s="203"/>
      <c r="DV213" s="203"/>
      <c r="DW213" s="203"/>
      <c r="DX213" s="203"/>
      <c r="DY213" s="203"/>
    </row>
    <row r="214" spans="2:129" ht="21" customHeight="1" thickBot="1" x14ac:dyDescent="0.25">
      <c r="B214" s="277">
        <v>20</v>
      </c>
      <c r="C214" s="278"/>
      <c r="D214" s="25">
        <v>0</v>
      </c>
      <c r="E214" s="279" t="s">
        <v>130</v>
      </c>
      <c r="F214" s="258">
        <f t="shared" si="85"/>
        <v>0.3</v>
      </c>
      <c r="G214" s="258">
        <f t="shared" si="100"/>
        <v>0.3</v>
      </c>
      <c r="H214" s="506">
        <v>279.06049999999999</v>
      </c>
      <c r="I214" s="507">
        <v>79.962900599999998</v>
      </c>
      <c r="J214" s="474">
        <f t="shared" si="86"/>
        <v>79.962900599999998</v>
      </c>
      <c r="K214" s="474">
        <f t="shared" si="87"/>
        <v>39.981450299999999</v>
      </c>
      <c r="L214" s="474">
        <f t="shared" si="75"/>
        <v>0.64253956655634092</v>
      </c>
      <c r="M214" s="474">
        <f t="shared" si="76"/>
        <v>179.30741271299578</v>
      </c>
      <c r="N214" s="474">
        <f t="shared" si="77"/>
        <v>358.61482542599157</v>
      </c>
      <c r="O214" s="474">
        <f>+C195+D196+D197+D198+D199+D200+D201+D202+D203+D204+D205+D206+D207+D208+D209+D210+D211+D212+D213+(D214/2)</f>
        <v>0</v>
      </c>
      <c r="P214" s="474">
        <f t="shared" si="78"/>
        <v>0</v>
      </c>
      <c r="Q214" s="474">
        <f t="shared" si="79"/>
        <v>0</v>
      </c>
      <c r="R214" s="474">
        <f t="shared" si="88"/>
        <v>213.83080000000001</v>
      </c>
      <c r="S214" s="474">
        <f t="shared" si="101"/>
        <v>213.83080000000001</v>
      </c>
      <c r="T214" s="476">
        <f t="shared" si="80"/>
        <v>213.83080000000001</v>
      </c>
      <c r="V214" s="437">
        <f t="shared" si="81"/>
        <v>0</v>
      </c>
      <c r="W214" s="437"/>
      <c r="X214" s="437"/>
      <c r="Y214" s="437"/>
      <c r="Z214" s="437"/>
      <c r="AA214" s="437"/>
      <c r="AB214" s="477" t="str">
        <f t="shared" si="89"/>
        <v>use the locking pin</v>
      </c>
      <c r="AC214" s="514"/>
      <c r="AD214" s="514"/>
      <c r="AE214" s="514"/>
      <c r="AF214" s="437">
        <f>SUM(V214:V214)/($B$192-B213)</f>
        <v>0</v>
      </c>
      <c r="AG214" s="437"/>
      <c r="AH214" s="450">
        <f>SUM(D196:D214)+$C$195</f>
        <v>0</v>
      </c>
      <c r="AI214" s="516"/>
      <c r="AJ214" s="287">
        <f t="shared" si="90"/>
        <v>66.255548399999995</v>
      </c>
      <c r="AK214" s="441">
        <f t="shared" si="82"/>
        <v>0.91535047595051022</v>
      </c>
      <c r="AL214" s="289">
        <f t="shared" si="91"/>
        <v>278.56028065668761</v>
      </c>
      <c r="AM214" s="287">
        <f t="shared" si="92"/>
        <v>50.018549700000001</v>
      </c>
      <c r="AN214" s="442">
        <f t="shared" si="93"/>
        <v>0.76625250760411079</v>
      </c>
      <c r="AO214" s="291">
        <f t="shared" si="94"/>
        <v>213.83080789825695</v>
      </c>
      <c r="AP214" s="519"/>
      <c r="AQ214" s="291">
        <f t="shared" si="102"/>
        <v>-729</v>
      </c>
      <c r="AR214" s="443"/>
      <c r="AS214" s="444">
        <f t="shared" si="95"/>
        <v>492.39108855494453</v>
      </c>
      <c r="AT214" s="445">
        <f t="shared" si="104"/>
        <v>-213.83080789825695</v>
      </c>
      <c r="AU214" s="446"/>
      <c r="AV214" s="445">
        <f t="shared" si="103"/>
        <v>213.83080789825695</v>
      </c>
      <c r="AW214" s="447">
        <f t="shared" si="96"/>
        <v>-412.41697772128794</v>
      </c>
      <c r="AX214" s="447">
        <f t="shared" si="97"/>
        <v>-316.58302227871212</v>
      </c>
      <c r="AY214" s="448">
        <f t="shared" si="83"/>
        <v>-28.126873108117529</v>
      </c>
      <c r="AZ214" s="448">
        <f t="shared" si="84"/>
        <v>-31.587290840872189</v>
      </c>
      <c r="BA214" s="451">
        <f t="shared" si="98"/>
        <v>28.126873108117529</v>
      </c>
      <c r="BB214" s="451">
        <f t="shared" si="98"/>
        <v>31.587290840872189</v>
      </c>
      <c r="BC214">
        <f t="shared" si="99"/>
        <v>0.3</v>
      </c>
      <c r="BD214" s="144"/>
      <c r="BP214" s="126"/>
      <c r="DF214" s="126"/>
      <c r="DG214" s="126"/>
      <c r="DH214" s="126"/>
      <c r="DI214" s="126"/>
      <c r="DJ214" s="126"/>
      <c r="DK214" s="126"/>
      <c r="DL214" s="203"/>
      <c r="DM214" s="203"/>
      <c r="DN214" s="203"/>
      <c r="DO214" s="203"/>
      <c r="DP214" s="203"/>
      <c r="DQ214" s="203"/>
      <c r="DR214" s="203"/>
      <c r="DS214" s="203"/>
      <c r="DT214" s="203"/>
      <c r="DU214" s="203"/>
      <c r="DV214" s="203"/>
      <c r="DW214" s="203"/>
      <c r="DX214" s="203"/>
      <c r="DY214" s="203"/>
    </row>
    <row r="215" spans="2:129" x14ac:dyDescent="0.2">
      <c r="BD215" s="545"/>
      <c r="BQ215" s="236"/>
      <c r="BR215" s="236"/>
      <c r="BS215" s="236"/>
      <c r="BT215" s="236"/>
      <c r="BU215" s="236"/>
      <c r="BV215" s="236"/>
      <c r="CA215" s="236"/>
      <c r="CB215" s="236"/>
      <c r="CC215" s="236"/>
      <c r="CD215" s="236"/>
      <c r="CI215" s="236"/>
      <c r="CJ215" s="236"/>
      <c r="CK215" s="236"/>
      <c r="CL215" s="236"/>
      <c r="CM215" s="236"/>
      <c r="CN215" s="236"/>
      <c r="DE215" s="126"/>
    </row>
    <row r="216" spans="2:129" x14ac:dyDescent="0.2">
      <c r="BD216" s="545"/>
      <c r="DE216" s="126"/>
    </row>
    <row r="217" spans="2:129" x14ac:dyDescent="0.2">
      <c r="BD217" s="545"/>
      <c r="DE217" s="126"/>
    </row>
    <row r="218" spans="2:129" x14ac:dyDescent="0.2">
      <c r="BD218" s="545"/>
      <c r="DE218" s="235"/>
    </row>
    <row r="219" spans="2:129" x14ac:dyDescent="0.2">
      <c r="BD219" s="545"/>
      <c r="DE219" s="126"/>
    </row>
    <row r="220" spans="2:129" x14ac:dyDescent="0.2">
      <c r="BD220" s="545"/>
    </row>
    <row r="221" spans="2:129" x14ac:dyDescent="0.2">
      <c r="BD221" s="545"/>
    </row>
    <row r="222" spans="2:129" x14ac:dyDescent="0.2">
      <c r="BD222" s="545"/>
    </row>
    <row r="223" spans="2:129" x14ac:dyDescent="0.2">
      <c r="BD223" s="545"/>
    </row>
    <row r="257" spans="110:129" x14ac:dyDescent="0.2">
      <c r="DF257" s="305"/>
      <c r="DG257" s="305"/>
      <c r="DH257" s="305"/>
      <c r="DI257" s="305"/>
      <c r="DJ257" s="305"/>
      <c r="DK257" s="305"/>
      <c r="DL257" s="1818"/>
      <c r="DM257" s="1818"/>
      <c r="DN257" s="1818"/>
      <c r="DO257" s="126"/>
    </row>
    <row r="258" spans="110:129" x14ac:dyDescent="0.2">
      <c r="DL258" s="306"/>
      <c r="DY258" s="306"/>
    </row>
    <row r="259" spans="110:129" x14ac:dyDescent="0.2">
      <c r="DF259" s="307"/>
      <c r="DG259" s="307"/>
      <c r="DH259" s="307"/>
      <c r="DI259" s="307"/>
      <c r="DJ259" s="307"/>
      <c r="DK259" s="307"/>
      <c r="DL259" s="1819"/>
      <c r="DM259" s="1819"/>
      <c r="DX259" s="1813"/>
      <c r="DY259" s="1813"/>
    </row>
    <row r="276" spans="110:134" x14ac:dyDescent="0.2">
      <c r="DF276" s="126"/>
      <c r="DH276" s="126"/>
      <c r="DJ276" s="126"/>
    </row>
    <row r="277" spans="110:134" x14ac:dyDescent="0.2">
      <c r="DF277" s="126"/>
      <c r="DJ277" s="126"/>
    </row>
    <row r="278" spans="110:134" x14ac:dyDescent="0.2">
      <c r="DF278" s="126"/>
      <c r="DG278" s="311"/>
      <c r="DH278" s="311"/>
      <c r="DI278" s="311"/>
      <c r="DJ278" s="311"/>
      <c r="DK278" s="311"/>
      <c r="DL278" s="311"/>
      <c r="DM278" s="311"/>
      <c r="DN278" s="311"/>
      <c r="DO278" s="311"/>
      <c r="DP278" s="311"/>
      <c r="DQ278" s="311"/>
      <c r="DR278" s="311"/>
      <c r="DS278" s="311"/>
      <c r="DT278" s="311"/>
      <c r="DU278" s="311"/>
      <c r="DV278" s="311"/>
      <c r="DW278" s="311"/>
      <c r="DX278" s="311"/>
      <c r="DY278" s="311"/>
      <c r="DZ278" s="311"/>
      <c r="EA278" s="311"/>
      <c r="EB278" s="311"/>
      <c r="EC278" s="311"/>
      <c r="ED278" s="311"/>
    </row>
    <row r="279" spans="110:134" x14ac:dyDescent="0.2">
      <c r="DF279" s="126"/>
    </row>
    <row r="280" spans="110:134" x14ac:dyDescent="0.2">
      <c r="DF280" s="235"/>
      <c r="DG280" s="312"/>
      <c r="DH280" s="312"/>
      <c r="DI280" s="312"/>
      <c r="DJ280" s="312"/>
      <c r="DK280" s="312"/>
      <c r="DL280" s="312"/>
      <c r="DM280" s="312"/>
      <c r="DN280" s="312"/>
      <c r="DO280" s="312"/>
      <c r="DP280" s="312"/>
      <c r="DQ280" s="312"/>
      <c r="DR280" s="312"/>
      <c r="DS280" s="312"/>
      <c r="DT280" s="312"/>
      <c r="DU280" s="312"/>
      <c r="DV280" s="312"/>
      <c r="DW280" s="312"/>
      <c r="DX280" s="312"/>
      <c r="DY280" s="312"/>
      <c r="DZ280" s="312"/>
      <c r="EA280" s="312"/>
      <c r="EB280" s="312"/>
      <c r="EC280" s="312"/>
      <c r="ED280" s="312"/>
    </row>
    <row r="281" spans="110:134" x14ac:dyDescent="0.2">
      <c r="DF281" s="126"/>
      <c r="DG281" s="203"/>
      <c r="DH281" s="203"/>
      <c r="DI281" s="203"/>
      <c r="DJ281" s="203"/>
      <c r="DK281" s="203"/>
      <c r="DL281" s="203"/>
      <c r="DM281" s="203"/>
      <c r="DN281" s="203"/>
      <c r="DO281" s="203"/>
      <c r="DP281" s="203"/>
      <c r="DQ281" s="203"/>
      <c r="DR281" s="203"/>
      <c r="DS281" s="203"/>
      <c r="DT281" s="203"/>
      <c r="DU281" s="203"/>
      <c r="DV281" s="203"/>
      <c r="DW281" s="203"/>
      <c r="DX281" s="203"/>
      <c r="DY281" s="203"/>
      <c r="DZ281" s="203"/>
      <c r="EA281" s="203"/>
      <c r="EB281" s="203"/>
      <c r="EC281" s="203"/>
      <c r="ED281" s="203"/>
    </row>
    <row r="283" spans="110:134" x14ac:dyDescent="0.2">
      <c r="DG283" s="236"/>
      <c r="DH283" s="236"/>
      <c r="DI283" s="236"/>
      <c r="DJ283" s="236"/>
      <c r="DK283" s="236"/>
      <c r="DL283" s="236"/>
      <c r="DM283" s="126"/>
      <c r="DN283" s="126"/>
      <c r="DO283" s="126"/>
      <c r="DP283" s="126"/>
      <c r="DQ283" s="126"/>
      <c r="DR283" s="236"/>
      <c r="DS283" s="236"/>
      <c r="DT283" s="236"/>
      <c r="DU283" s="126"/>
      <c r="DV283" s="126"/>
      <c r="DW283" s="126"/>
      <c r="DX283" s="126"/>
      <c r="DY283" s="126"/>
      <c r="DZ283" s="126"/>
      <c r="EA283" s="126"/>
      <c r="EB283" s="126"/>
      <c r="EC283" s="126"/>
      <c r="ED283" s="126"/>
    </row>
    <row r="284" spans="110:134" x14ac:dyDescent="0.2">
      <c r="DG284" s="236"/>
      <c r="DH284" s="236"/>
      <c r="DI284" s="236"/>
      <c r="DJ284" s="236"/>
      <c r="DK284" s="236"/>
      <c r="DL284" s="236"/>
      <c r="DQ284" s="236"/>
      <c r="DR284" s="236"/>
      <c r="DS284" s="236"/>
      <c r="DT284" s="236"/>
      <c r="DY284" s="236"/>
      <c r="DZ284" s="236"/>
      <c r="EA284" s="236"/>
      <c r="EB284" s="236"/>
      <c r="EC284" s="236"/>
      <c r="ED284" s="236"/>
    </row>
  </sheetData>
  <sheetProtection algorithmName="SHA-512" hashValue="2/0Aqtwla0oi7GF1theEGHbB39yXu4V4ONKYOUdM3ac/866awBxU17WGTYyL1TuoiJNMarf+lGR6C47n8JN4iQ==" saltValue="5Xd725vPnbOVIlWeeGjO1Q==" spinCount="100000" sheet="1" objects="1" scenarios="1" selectLockedCells="1"/>
  <protectedRanges>
    <protectedRange sqref="B133 B136 D139:D158 B168 D171:D182 B192 D195:D214" name="Range1"/>
    <protectedRange sqref="B165" name="Range1_3_1"/>
  </protectedRanges>
  <mergeCells count="25">
    <mergeCell ref="DG39:DH39"/>
    <mergeCell ref="DX259:DY259"/>
    <mergeCell ref="W136:AA136"/>
    <mergeCell ref="BA136:BB136"/>
    <mergeCell ref="B160:B164"/>
    <mergeCell ref="W168:AA168"/>
    <mergeCell ref="BA168:BB168"/>
    <mergeCell ref="BA192:BB192"/>
    <mergeCell ref="BV192:BX192"/>
    <mergeCell ref="BV194:BW194"/>
    <mergeCell ref="CH194:CI194"/>
    <mergeCell ref="DL257:DN257"/>
    <mergeCell ref="DL259:DM259"/>
    <mergeCell ref="B131:B132"/>
    <mergeCell ref="BQ32:CA33"/>
    <mergeCell ref="CS32:DA33"/>
    <mergeCell ref="CB33:CC33"/>
    <mergeCell ref="CQ33:CR33"/>
    <mergeCell ref="BQ25:BR25"/>
    <mergeCell ref="CQ26:DA27"/>
    <mergeCell ref="BQ27:BR27"/>
    <mergeCell ref="CO27:CP27"/>
    <mergeCell ref="BQ29:CA30"/>
    <mergeCell ref="CB30:CC30"/>
    <mergeCell ref="CZ30:DA30"/>
  </mergeCells>
  <conditionalFormatting sqref="B140:BB140">
    <cfRule type="expression" dxfId="1345" priority="65" stopIfTrue="1">
      <formula>$B$136&lt;2</formula>
    </cfRule>
  </conditionalFormatting>
  <conditionalFormatting sqref="B141:BB141">
    <cfRule type="expression" dxfId="1344" priority="64" stopIfTrue="1">
      <formula>$B$136&lt;3</formula>
    </cfRule>
  </conditionalFormatting>
  <conditionalFormatting sqref="B142:BB142">
    <cfRule type="expression" dxfId="1343" priority="63">
      <formula>$B$136&lt;4</formula>
    </cfRule>
  </conditionalFormatting>
  <conditionalFormatting sqref="B143:BB143">
    <cfRule type="expression" dxfId="1342" priority="62">
      <formula>$B$136&lt;5</formula>
    </cfRule>
  </conditionalFormatting>
  <conditionalFormatting sqref="B144:BB144">
    <cfRule type="expression" dxfId="1341" priority="61">
      <formula>$B$136&lt;6</formula>
    </cfRule>
  </conditionalFormatting>
  <conditionalFormatting sqref="B145:BB145">
    <cfRule type="expression" dxfId="1340" priority="60">
      <formula>$B$136&lt;7</formula>
    </cfRule>
  </conditionalFormatting>
  <conditionalFormatting sqref="B146:BB146">
    <cfRule type="expression" dxfId="1339" priority="59">
      <formula>$B$136&lt;8</formula>
    </cfRule>
  </conditionalFormatting>
  <conditionalFormatting sqref="B147:BB147">
    <cfRule type="expression" dxfId="1338" priority="58">
      <formula>$B$136&lt;9</formula>
    </cfRule>
  </conditionalFormatting>
  <conditionalFormatting sqref="B148:BB148">
    <cfRule type="expression" dxfId="1337" priority="57">
      <formula>$B$136&lt;10</formula>
    </cfRule>
  </conditionalFormatting>
  <conditionalFormatting sqref="B149:BB149">
    <cfRule type="expression" dxfId="1336" priority="56">
      <formula>$B$136&lt;11</formula>
    </cfRule>
  </conditionalFormatting>
  <conditionalFormatting sqref="B150:BB150">
    <cfRule type="expression" dxfId="1335" priority="55">
      <formula>$B$136&lt;12</formula>
    </cfRule>
  </conditionalFormatting>
  <conditionalFormatting sqref="B151:BB151">
    <cfRule type="expression" dxfId="1334" priority="54">
      <formula>$B$136&lt;13</formula>
    </cfRule>
  </conditionalFormatting>
  <conditionalFormatting sqref="B152:BB152">
    <cfRule type="expression" dxfId="1333" priority="53">
      <formula>$B$136&lt;14</formula>
    </cfRule>
  </conditionalFormatting>
  <conditionalFormatting sqref="B153:BB153">
    <cfRule type="expression" dxfId="1332" priority="52">
      <formula>$B$136&lt;15</formula>
    </cfRule>
  </conditionalFormatting>
  <conditionalFormatting sqref="B154:BB154">
    <cfRule type="expression" dxfId="1331" priority="51">
      <formula>$B$136&lt;16</formula>
    </cfRule>
  </conditionalFormatting>
  <conditionalFormatting sqref="B155:BB155">
    <cfRule type="expression" dxfId="1330" priority="50">
      <formula>$B$136&lt;17</formula>
    </cfRule>
  </conditionalFormatting>
  <conditionalFormatting sqref="B156:BB156">
    <cfRule type="expression" dxfId="1329" priority="49">
      <formula>$B$136&lt;18</formula>
    </cfRule>
  </conditionalFormatting>
  <conditionalFormatting sqref="B157:BB157">
    <cfRule type="expression" dxfId="1328" priority="48">
      <formula>$B$136&lt;19</formula>
    </cfRule>
  </conditionalFormatting>
  <conditionalFormatting sqref="B158:BB158">
    <cfRule type="expression" dxfId="1327" priority="45">
      <formula>$B$136&lt;20</formula>
    </cfRule>
  </conditionalFormatting>
  <conditionalFormatting sqref="B172:BB172">
    <cfRule type="expression" dxfId="1326" priority="44" stopIfTrue="1">
      <formula>$B$168&lt;2</formula>
    </cfRule>
  </conditionalFormatting>
  <conditionalFormatting sqref="B173:BB173">
    <cfRule type="expression" dxfId="1325" priority="43" stopIfTrue="1">
      <formula>$B$168&lt;3</formula>
    </cfRule>
  </conditionalFormatting>
  <conditionalFormatting sqref="B174:BB174">
    <cfRule type="expression" dxfId="1324" priority="42">
      <formula>$B$168&lt;4</formula>
    </cfRule>
  </conditionalFormatting>
  <conditionalFormatting sqref="B175:BB175">
    <cfRule type="expression" dxfId="1323" priority="41">
      <formula>$B$168&lt;5</formula>
    </cfRule>
  </conditionalFormatting>
  <conditionalFormatting sqref="B176:BB176">
    <cfRule type="expression" dxfId="1322" priority="40">
      <formula>$B$168&lt;6</formula>
    </cfRule>
  </conditionalFormatting>
  <conditionalFormatting sqref="B177:BB177">
    <cfRule type="expression" dxfId="1321" priority="39">
      <formula>$B$168&lt;7</formula>
    </cfRule>
  </conditionalFormatting>
  <conditionalFormatting sqref="B178:BB178">
    <cfRule type="expression" dxfId="1320" priority="38">
      <formula>$B$168&lt;8</formula>
    </cfRule>
  </conditionalFormatting>
  <conditionalFormatting sqref="B179:BB179">
    <cfRule type="expression" dxfId="1319" priority="37">
      <formula>$B$168&lt;9</formula>
    </cfRule>
  </conditionalFormatting>
  <conditionalFormatting sqref="B180:BB180">
    <cfRule type="expression" dxfId="1318" priority="36">
      <formula>$B$168&lt;10</formula>
    </cfRule>
  </conditionalFormatting>
  <conditionalFormatting sqref="B181:BB181">
    <cfRule type="expression" dxfId="1317" priority="35">
      <formula>$B$168&lt;11</formula>
    </cfRule>
  </conditionalFormatting>
  <conditionalFormatting sqref="B182:BB182">
    <cfRule type="expression" dxfId="1316" priority="33">
      <formula>$B$168&lt;12</formula>
    </cfRule>
  </conditionalFormatting>
  <conditionalFormatting sqref="B196:BB196">
    <cfRule type="expression" dxfId="1315" priority="32" stopIfTrue="1">
      <formula>$B$192&lt;2</formula>
    </cfRule>
  </conditionalFormatting>
  <conditionalFormatting sqref="B197:BB197">
    <cfRule type="expression" dxfId="1314" priority="31" stopIfTrue="1">
      <formula>$B$192&lt;3</formula>
    </cfRule>
  </conditionalFormatting>
  <conditionalFormatting sqref="B198:BB198">
    <cfRule type="expression" dxfId="1313" priority="30">
      <formula>$B$192&lt;4</formula>
    </cfRule>
  </conditionalFormatting>
  <conditionalFormatting sqref="B199:BB199">
    <cfRule type="expression" dxfId="1312" priority="29">
      <formula>$B$192&lt;5</formula>
    </cfRule>
  </conditionalFormatting>
  <conditionalFormatting sqref="B200:BB200">
    <cfRule type="expression" dxfId="1311" priority="28">
      <formula>$B$192&lt;6</formula>
    </cfRule>
  </conditionalFormatting>
  <conditionalFormatting sqref="B201:BB201">
    <cfRule type="expression" dxfId="1310" priority="27">
      <formula>$B$192&lt;7</formula>
    </cfRule>
  </conditionalFormatting>
  <conditionalFormatting sqref="B202:BB202">
    <cfRule type="expression" dxfId="1309" priority="26">
      <formula>$B$192&lt;8</formula>
    </cfRule>
  </conditionalFormatting>
  <conditionalFormatting sqref="B203:BB203">
    <cfRule type="expression" dxfId="1308" priority="25">
      <formula>$B$192&lt;9</formula>
    </cfRule>
  </conditionalFormatting>
  <conditionalFormatting sqref="B204:BB204">
    <cfRule type="expression" dxfId="1307" priority="24">
      <formula>$B$192&lt;10</formula>
    </cfRule>
  </conditionalFormatting>
  <conditionalFormatting sqref="B205:BB205">
    <cfRule type="expression" dxfId="1306" priority="23">
      <formula>$B$192&lt;11</formula>
    </cfRule>
  </conditionalFormatting>
  <conditionalFormatting sqref="B206:BB206">
    <cfRule type="expression" dxfId="1305" priority="22">
      <formula>$B$192&lt;12</formula>
    </cfRule>
  </conditionalFormatting>
  <conditionalFormatting sqref="B207:BB207">
    <cfRule type="expression" dxfId="1304" priority="21">
      <formula>$B$192&lt;13</formula>
    </cfRule>
  </conditionalFormatting>
  <conditionalFormatting sqref="B208:BB208">
    <cfRule type="expression" dxfId="1303" priority="20">
      <formula>$B$192&lt;14</formula>
    </cfRule>
  </conditionalFormatting>
  <conditionalFormatting sqref="B209:BB209">
    <cfRule type="expression" dxfId="1302" priority="19">
      <formula>$B$192&lt;15</formula>
    </cfRule>
  </conditionalFormatting>
  <conditionalFormatting sqref="B210:BB210">
    <cfRule type="expression" dxfId="1301" priority="18">
      <formula>$B$192&lt;16</formula>
    </cfRule>
  </conditionalFormatting>
  <conditionalFormatting sqref="B211:BB211">
    <cfRule type="expression" dxfId="1300" priority="17">
      <formula>$B$192&lt;17</formula>
    </cfRule>
  </conditionalFormatting>
  <conditionalFormatting sqref="B212:BB212">
    <cfRule type="expression" dxfId="1299" priority="16">
      <formula>$B$192&lt;18</formula>
    </cfRule>
  </conditionalFormatting>
  <conditionalFormatting sqref="B213:BB213">
    <cfRule type="expression" dxfId="1298" priority="15">
      <formula>$B$192&lt;19</formula>
    </cfRule>
  </conditionalFormatting>
  <conditionalFormatting sqref="B214:BB214">
    <cfRule type="expression" dxfId="1297" priority="14">
      <formula>$B$192&lt;20</formula>
    </cfRule>
  </conditionalFormatting>
  <conditionalFormatting sqref="D130:D131">
    <cfRule type="cellIs" dxfId="1296" priority="71" stopIfTrue="1" operator="equal">
      <formula>"change the angle of frame or of cabinets"</formula>
    </cfRule>
  </conditionalFormatting>
  <conditionalFormatting sqref="D132">
    <cfRule type="cellIs" dxfId="1295" priority="70" stopIfTrue="1" operator="equal">
      <formula>"USE EXBAR AR AT THE FRONT"</formula>
    </cfRule>
  </conditionalFormatting>
  <conditionalFormatting sqref="D133">
    <cfRule type="cellIs" dxfId="1294" priority="69" stopIfTrue="1" operator="equal">
      <formula>"USE EXBAR AR AT THE BACK"</formula>
    </cfRule>
  </conditionalFormatting>
  <conditionalFormatting sqref="D139:D158">
    <cfRule type="cellIs" dxfId="1293" priority="68" operator="notEqual">
      <formula>0</formula>
    </cfRule>
  </conditionalFormatting>
  <conditionalFormatting sqref="D171:D182">
    <cfRule type="cellIs" dxfId="1292" priority="47" operator="notEqual">
      <formula>0</formula>
    </cfRule>
  </conditionalFormatting>
  <conditionalFormatting sqref="D195:D214">
    <cfRule type="cellIs" dxfId="1291" priority="34" operator="notEqual">
      <formula>0</formula>
    </cfRule>
  </conditionalFormatting>
  <conditionalFormatting sqref="E139">
    <cfRule type="expression" dxfId="1290" priority="67" stopIfTrue="1">
      <formula>$B$143&lt;1</formula>
    </cfRule>
  </conditionalFormatting>
  <conditionalFormatting sqref="E171">
    <cfRule type="expression" dxfId="1289" priority="46" stopIfTrue="1">
      <formula>$B$168&lt;1</formula>
    </cfRule>
  </conditionalFormatting>
  <conditionalFormatting sqref="BA139:BB158 BA171:BB182 BA195:BB214">
    <cfRule type="cellIs" dxfId="1288" priority="66" operator="lessThan">
      <formula>10</formula>
    </cfRule>
  </conditionalFormatting>
  <conditionalFormatting sqref="BK164:BK203">
    <cfRule type="cellIs" dxfId="1287" priority="81" stopIfTrue="1" operator="equal">
      <formula>FALSE</formula>
    </cfRule>
  </conditionalFormatting>
  <conditionalFormatting sqref="BN26">
    <cfRule type="cellIs" dxfId="1286" priority="13" stopIfTrue="1" operator="equal">
      <formula>"negative force at the motor"</formula>
    </cfRule>
  </conditionalFormatting>
  <conditionalFormatting sqref="BN26:BN27">
    <cfRule type="cellIs" dxfId="1285" priority="12" operator="equal">
      <formula>"""OK"""</formula>
    </cfRule>
  </conditionalFormatting>
  <conditionalFormatting sqref="BN27">
    <cfRule type="cellIs" dxfId="1284" priority="77" stopIfTrue="1" operator="equal">
      <formula>"overload"</formula>
    </cfRule>
  </conditionalFormatting>
  <conditionalFormatting sqref="BN29">
    <cfRule type="cellIs" dxfId="1283" priority="11" stopIfTrue="1" operator="equal">
      <formula>"negative force at the motor"</formula>
    </cfRule>
  </conditionalFormatting>
  <conditionalFormatting sqref="BN29:BN30">
    <cfRule type="cellIs" dxfId="1282" priority="10" operator="equal">
      <formula>"""OK"""</formula>
    </cfRule>
  </conditionalFormatting>
  <conditionalFormatting sqref="BN32">
    <cfRule type="cellIs" dxfId="1281" priority="9" stopIfTrue="1" operator="equal">
      <formula>"negative force at the motor"</formula>
    </cfRule>
  </conditionalFormatting>
  <conditionalFormatting sqref="BN32:BN33">
    <cfRule type="cellIs" dxfId="1280" priority="8" operator="equal">
      <formula>"""OK"""</formula>
    </cfRule>
  </conditionalFormatting>
  <conditionalFormatting sqref="BN56 BN61 BN132">
    <cfRule type="cellIs" dxfId="1279" priority="74" operator="equal">
      <formula>"""OK"""</formula>
    </cfRule>
  </conditionalFormatting>
  <conditionalFormatting sqref="BN56 BN132 BN61 BN30 BN33">
    <cfRule type="cellIs" dxfId="1278" priority="404" stopIfTrue="1" operator="equal">
      <formula>"overload"</formula>
    </cfRule>
  </conditionalFormatting>
  <conditionalFormatting sqref="BN56 BN132 BO55:BO56 BO131:BO132">
    <cfRule type="expression" dxfId="1277" priority="75">
      <formula>$B$133&lt;&gt;0</formula>
    </cfRule>
  </conditionalFormatting>
  <conditionalFormatting sqref="BQ131:CG131 BQ133:CG133">
    <cfRule type="expression" dxfId="1276" priority="408">
      <formula>$B$133=0</formula>
    </cfRule>
  </conditionalFormatting>
  <conditionalFormatting sqref="BQ57:DB59 BV136:CI143">
    <cfRule type="cellIs" dxfId="1275" priority="84" stopIfTrue="1" operator="equal">
      <formula>FALSE</formula>
    </cfRule>
  </conditionalFormatting>
  <conditionalFormatting sqref="CB55:CR55">
    <cfRule type="cellIs" dxfId="1274" priority="402" operator="equal">
      <formula>0</formula>
    </cfRule>
    <cfRule type="expression" dxfId="1273" priority="403">
      <formula>$B$133=0</formula>
    </cfRule>
  </conditionalFormatting>
  <conditionalFormatting sqref="CH133:DA133">
    <cfRule type="expression" dxfId="1272" priority="2">
      <formula>$B$133=0</formula>
    </cfRule>
  </conditionalFormatting>
  <conditionalFormatting sqref="CK131:DA131">
    <cfRule type="expression" dxfId="1271" priority="409">
      <formula>$B$133=0</formula>
    </cfRule>
  </conditionalFormatting>
  <dataValidations xWindow="89" yWindow="616" count="9">
    <dataValidation type="custom" allowBlank="1" showInputMessage="1" showErrorMessage="1" sqref="D171:D182" xr:uid="{00000000-0002-0000-0600-000000000000}">
      <formula1>OR(D171=0,D171=2.5,D171=5)</formula1>
    </dataValidation>
    <dataValidation type="whole" allowBlank="1" showInputMessage="1" showErrorMessage="1" sqref="D139 D195" xr:uid="{00000000-0002-0000-0600-000001000000}">
      <formula1>-2</formula1>
      <formula2>4</formula2>
    </dataValidation>
    <dataValidation type="decimal" allowBlank="1" showInputMessage="1" showErrorMessage="1" sqref="F171:G171 F139:G139 F195:G195" xr:uid="{00000000-0002-0000-0600-000002000000}">
      <formula1>0</formula1>
      <formula2>4</formula2>
    </dataValidation>
    <dataValidation type="decimal" allowBlank="1" showInputMessage="1" showErrorMessage="1" sqref="G172:G182 D166 D159:D163 G196:G214 F197:F214 F173:F182 G140:G166 F141:F164 F166" xr:uid="{00000000-0002-0000-0600-000003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68" xr:uid="{00000000-0002-0000-0600-000004000000}">
      <formula1>1</formula1>
      <formula2>10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92 B136" xr:uid="{00000000-0002-0000-0600-000005000000}">
      <formula1>1</formula1>
      <formula2>20</formula2>
    </dataValidation>
    <dataValidation type="custom" allowBlank="1" showInputMessage="1" showErrorMessage="1" sqref="D140:D158 D196:D214" xr:uid="{00000000-0002-0000-0600-000006000000}">
      <formula1>OR(D140=0,D140=0.5,D140=1,D140=2,D140=2.5,D140=3,D140=4,D140=5,D140=6,D140=7,D140=8)</formula1>
    </dataValidation>
    <dataValidation type="decimal" allowBlank="1" showInputMessage="1" showErrorMessage="1" sqref="B133" xr:uid="{00000000-0002-0000-0600-000007000000}">
      <formula1>-89.9</formula1>
      <formula2>89.9</formula2>
    </dataValidation>
    <dataValidation type="custom" allowBlank="1" showInputMessage="1" showErrorMessage="1" sqref="B165" xr:uid="{00000000-0002-0000-0600-000008000000}">
      <formula1>OR(B165=-6,B165=-5,B165=-4,B165=-3,B165=-2,B165=-1,B165=0,B165=0.5,B165=1,B165=2,B165=2.5,B165=3,B165=4)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ignoredErrors>
    <ignoredError sqref="BN28:BO28 BN35:BO54 BN26 BN31:BO31 BN29 BN33:BO34 BN32 BN56:BO59 BN55 BN61 BN60 BN27 BN30" unlockedFormula="1"/>
  </ignoredErrors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4">
    <tabColor rgb="FFFFC000"/>
  </sheetPr>
  <dimension ref="A1:EN284"/>
  <sheetViews>
    <sheetView topLeftCell="A53" zoomScale="50" zoomScaleNormal="50" workbookViewId="0">
      <selection activeCell="B132" sqref="B132"/>
    </sheetView>
  </sheetViews>
  <sheetFormatPr baseColWidth="10" defaultColWidth="9.1640625" defaultRowHeight="18" x14ac:dyDescent="0.2"/>
  <cols>
    <col min="1" max="1" width="1.5" customWidth="1"/>
    <col min="2" max="2" width="37.83203125" style="35" customWidth="1"/>
    <col min="3" max="3" width="19.5" style="35" hidden="1" customWidth="1"/>
    <col min="4" max="4" width="39" customWidth="1"/>
    <col min="5" max="5" width="41.6640625" customWidth="1"/>
    <col min="6" max="7" width="34.5" hidden="1" customWidth="1"/>
    <col min="8" max="8" width="34.5" style="64" hidden="1" customWidth="1"/>
    <col min="9" max="12" width="19.33203125" style="64" hidden="1" customWidth="1"/>
    <col min="13" max="13" width="21.1640625" style="64" hidden="1" customWidth="1"/>
    <col min="14" max="15" width="11.6640625" style="64" hidden="1" customWidth="1"/>
    <col min="16" max="22" width="34.5" style="64" hidden="1" customWidth="1"/>
    <col min="23" max="27" width="17.6640625" style="64" hidden="1" customWidth="1"/>
    <col min="28" max="28" width="28.6640625" style="64" customWidth="1"/>
    <col min="29" max="31" width="24.1640625" style="64" hidden="1" customWidth="1"/>
    <col min="32" max="33" width="34.5" style="64" hidden="1" customWidth="1"/>
    <col min="34" max="37" width="18.1640625" style="64" hidden="1" customWidth="1"/>
    <col min="38" max="40" width="32.5" style="64" hidden="1" customWidth="1"/>
    <col min="41" max="41" width="46.5" style="64" hidden="1" customWidth="1"/>
    <col min="42" max="42" width="56.1640625" style="64" hidden="1" customWidth="1"/>
    <col min="43" max="43" width="20.6640625" style="64" hidden="1" customWidth="1"/>
    <col min="44" max="44" width="47.83203125" style="64" hidden="1" customWidth="1"/>
    <col min="45" max="52" width="18.1640625" style="64" hidden="1" customWidth="1"/>
    <col min="53" max="54" width="18.1640625" style="64" customWidth="1"/>
    <col min="55" max="55" width="34.5" hidden="1" customWidth="1"/>
    <col min="56" max="56" width="22.5" hidden="1" customWidth="1"/>
    <col min="57" max="62" width="34.5" hidden="1" customWidth="1"/>
    <col min="63" max="63" width="9.33203125" hidden="1" customWidth="1"/>
    <col min="64" max="64" width="10.83203125" hidden="1" customWidth="1"/>
    <col min="65" max="65" width="19.1640625" style="81" hidden="1" customWidth="1"/>
    <col min="66" max="66" width="24.83203125" bestFit="1" customWidth="1"/>
    <col min="67" max="67" width="34" style="59" customWidth="1"/>
    <col min="68" max="68" width="43.6640625" customWidth="1"/>
    <col min="69" max="79" width="6.5" customWidth="1"/>
    <col min="80" max="80" width="8" customWidth="1"/>
    <col min="81" max="93" width="6.5" customWidth="1"/>
    <col min="94" max="94" width="7.1640625" customWidth="1"/>
    <col min="95" max="105" width="6.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38" width="6.5" hidden="1" customWidth="1"/>
    <col min="139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482" t="s">
        <v>104</v>
      </c>
      <c r="E1" s="482" t="s">
        <v>105</v>
      </c>
      <c r="F1" s="482" t="s">
        <v>106</v>
      </c>
      <c r="G1" s="990" t="s">
        <v>220</v>
      </c>
      <c r="H1" s="1044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+COS(($B$132*-1)*3.14159265358979/180)*C2</f>
        <v>688</v>
      </c>
      <c r="E2" s="41">
        <f>+COS(($B$132*-1)*3.14159265358979/180)*43</f>
        <v>43</v>
      </c>
      <c r="F2" s="42">
        <f>+COS((($B$132*-1)+72.969997)*3.14159265358979/180)*162.1867</f>
        <v>47.500013702602963</v>
      </c>
      <c r="G2" s="994" t="s">
        <v>212</v>
      </c>
      <c r="H2" s="1045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214.09676682295623</v>
      </c>
      <c r="D3" s="40">
        <f>+C9-F2</f>
        <v>214.09675312035327</v>
      </c>
      <c r="G3" s="994" t="s">
        <v>213</v>
      </c>
      <c r="H3" s="1046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+COS(($B$132*-1)*3.14159265358979/180)*C4</f>
        <v>1075</v>
      </c>
      <c r="G4" s="996" t="s">
        <v>233</v>
      </c>
      <c r="H4" s="1047">
        <v>860</v>
      </c>
      <c r="I4" s="984">
        <v>1</v>
      </c>
      <c r="J4" s="1721" t="s">
        <v>228</v>
      </c>
      <c r="K4" s="1727"/>
      <c r="L4" s="1727"/>
      <c r="M4" s="1727"/>
      <c r="N4"/>
      <c r="O4" s="995"/>
    </row>
    <row r="5" spans="2:15" ht="38" hidden="1" x14ac:dyDescent="0.2">
      <c r="B5" s="44" t="s">
        <v>115</v>
      </c>
      <c r="C5" s="45">
        <f>+C9+425.5</f>
        <v>687.09676682295617</v>
      </c>
      <c r="D5" s="40">
        <f>+(COS(($B$132*-1)*3.14159265358979/180)*473)+$D$3</f>
        <v>687.09675312035324</v>
      </c>
      <c r="G5" s="996" t="s">
        <v>214</v>
      </c>
      <c r="H5" s="1047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0" hidden="1" x14ac:dyDescent="0.2">
      <c r="B6" s="187"/>
      <c r="C6" s="187"/>
      <c r="G6" s="996" t="s">
        <v>259</v>
      </c>
      <c r="H6" s="1047">
        <v>602</v>
      </c>
      <c r="I6"/>
      <c r="J6" s="963">
        <f>+H9/H8*BQ55</f>
        <v>307.14720348274915</v>
      </c>
      <c r="K6" s="963">
        <f>((H8-H9)/H8)*BQ55</f>
        <v>-211.16370239439004</v>
      </c>
      <c r="L6" s="963">
        <f>+CO55</f>
        <v>170.01649891164089</v>
      </c>
      <c r="M6" s="961" t="s">
        <v>223</v>
      </c>
      <c r="N6"/>
      <c r="O6" s="995"/>
    </row>
    <row r="7" spans="2:15" ht="20" hidden="1" x14ac:dyDescent="0.2">
      <c r="B7" s="393" t="s">
        <v>18</v>
      </c>
      <c r="C7" s="394">
        <f>+C11+C14+30+4.5+0.5</f>
        <v>266</v>
      </c>
      <c r="G7" s="997" t="s">
        <v>230</v>
      </c>
      <c r="H7" s="1048">
        <f>(+SIN(($B$132*-1)*3.14159265358979/180)*H2)</f>
        <v>0</v>
      </c>
      <c r="I7"/>
      <c r="J7" s="965">
        <f>ABS($H$1/J6)</f>
        <v>58.603821867487603</v>
      </c>
      <c r="K7" s="965">
        <f>ABS($H$1/K6)</f>
        <v>85.241922716345613</v>
      </c>
      <c r="L7" s="965">
        <f>ABS($H$1/L6)</f>
        <v>105.87207779966556</v>
      </c>
      <c r="M7" s="967" t="s">
        <v>222</v>
      </c>
      <c r="N7"/>
      <c r="O7" s="995"/>
    </row>
    <row r="8" spans="2:15" ht="20" hidden="1" x14ac:dyDescent="0.2">
      <c r="B8" s="393" t="s">
        <v>19</v>
      </c>
      <c r="C8" s="393">
        <f>+AS138</f>
        <v>492.39108855494453</v>
      </c>
      <c r="G8" s="997" t="s">
        <v>229</v>
      </c>
      <c r="H8" s="1048">
        <f>(+COS(($B$132*-1)*3.14159265358979/180)*H3)</f>
        <v>215</v>
      </c>
      <c r="I8"/>
      <c r="J8" s="1733">
        <f>ABS($E$20/BQ55)</f>
        <v>83.347657767093494</v>
      </c>
      <c r="K8" s="1733"/>
      <c r="L8" s="1733">
        <f>ABS($E$20/CO55)</f>
        <v>47.054256799851359</v>
      </c>
      <c r="M8" s="1734" t="s">
        <v>350</v>
      </c>
      <c r="N8"/>
      <c r="O8" s="995"/>
    </row>
    <row r="9" spans="2:15" ht="21" hidden="1" thickBot="1" x14ac:dyDescent="0.25">
      <c r="B9" s="393" t="s">
        <v>14</v>
      </c>
      <c r="C9" s="393">
        <f>+AP134</f>
        <v>261.59676682295623</v>
      </c>
      <c r="G9" s="994" t="s">
        <v>227</v>
      </c>
      <c r="H9" s="1048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393" t="s">
        <v>62</v>
      </c>
      <c r="C11" s="394">
        <f>+B168*57+31</f>
        <v>88</v>
      </c>
      <c r="G11" s="994" t="s">
        <v>226</v>
      </c>
      <c r="H11" s="1048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0" hidden="1" x14ac:dyDescent="0.2">
      <c r="B12" s="393" t="s">
        <v>63</v>
      </c>
      <c r="C12" s="394">
        <v>747</v>
      </c>
      <c r="D12" s="397"/>
      <c r="G12" s="998"/>
      <c r="H12" s="37"/>
      <c r="I12"/>
      <c r="J12" s="963">
        <f>(CB58)</f>
        <v>213.02350108835913</v>
      </c>
      <c r="K12" s="963">
        <f>((+H8-H11)/H8*CZ58)</f>
        <v>-116.54829760560999</v>
      </c>
      <c r="L12" s="963">
        <f>(H11/H8*CZ58)</f>
        <v>169.52479651725091</v>
      </c>
      <c r="M12" s="961" t="s">
        <v>223</v>
      </c>
      <c r="N12"/>
      <c r="O12" s="995"/>
    </row>
    <row r="13" spans="2:15" ht="20" hidden="1" x14ac:dyDescent="0.2">
      <c r="D13" s="397"/>
      <c r="G13" s="998"/>
      <c r="H13"/>
      <c r="I13"/>
      <c r="J13" s="965">
        <f>ABS($H$1/J12)</f>
        <v>84.497719303438998</v>
      </c>
      <c r="K13" s="965">
        <f>ABS($H$1/K12)</f>
        <v>154.44241031225135</v>
      </c>
      <c r="L13" s="965">
        <f>ABS($H$1/L12)</f>
        <v>106.1791570896728</v>
      </c>
      <c r="M13" s="967" t="s">
        <v>222</v>
      </c>
      <c r="N13"/>
      <c r="O13" s="995"/>
    </row>
    <row r="14" spans="2:15" ht="20" hidden="1" x14ac:dyDescent="0.2">
      <c r="B14" s="483" t="s">
        <v>132</v>
      </c>
      <c r="C14" s="394">
        <f>(+B192*40.5)+31+(B135*40.5)+31</f>
        <v>143</v>
      </c>
      <c r="D14" s="397"/>
      <c r="G14" s="998"/>
      <c r="H14"/>
      <c r="I14"/>
      <c r="J14" s="1733">
        <f>ABS($E$20/CB58)</f>
        <v>37.55454191263955</v>
      </c>
      <c r="K14" s="1733"/>
      <c r="L14" s="1733">
        <f>ABS($E$20/CZ58)</f>
        <v>151.01035674975688</v>
      </c>
      <c r="M14" s="1734" t="s">
        <v>350</v>
      </c>
      <c r="N14"/>
      <c r="O14" s="995"/>
    </row>
    <row r="15" spans="2:15" ht="19" hidden="1" thickBot="1" x14ac:dyDescent="0.25">
      <c r="B15" s="483" t="s">
        <v>133</v>
      </c>
      <c r="C15" s="394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1" hidden="1" thickBot="1" x14ac:dyDescent="0.25">
      <c r="B16" s="399"/>
      <c r="C16" s="399"/>
      <c r="D16" s="397"/>
      <c r="G16" s="994" t="s">
        <v>231</v>
      </c>
      <c r="H16" s="1048">
        <f>+D2+H7-BL137</f>
        <v>0.90324687964675832</v>
      </c>
      <c r="I16" s="984" t="s">
        <v>251</v>
      </c>
      <c r="J16" s="1721" t="s">
        <v>232</v>
      </c>
      <c r="K16" s="1727"/>
      <c r="L16" s="1727"/>
      <c r="M16" s="1727"/>
      <c r="N16"/>
      <c r="O16" s="995"/>
    </row>
    <row r="17" spans="2:15" ht="20" hidden="1" x14ac:dyDescent="0.2">
      <c r="B17" s="399"/>
      <c r="C17" s="399"/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5" ht="20" hidden="1" x14ac:dyDescent="0.2">
      <c r="B18" s="484" t="s">
        <v>159</v>
      </c>
      <c r="C18" s="204">
        <v>5800</v>
      </c>
      <c r="D18" s="204">
        <v>10000</v>
      </c>
      <c r="G18" s="998"/>
      <c r="H18"/>
      <c r="I18"/>
      <c r="J18" s="963">
        <f>+H16/H8*BQ53</f>
        <v>1.1175054417955244</v>
      </c>
      <c r="K18" s="963">
        <f>((H8-H16)/H8)*BQ53</f>
        <v>264.88249455820448</v>
      </c>
      <c r="L18" s="963"/>
      <c r="M18" s="961" t="s">
        <v>223</v>
      </c>
      <c r="N18"/>
      <c r="O18" s="995"/>
    </row>
    <row r="19" spans="2:15" ht="20" hidden="1" x14ac:dyDescent="0.2">
      <c r="B19" s="485" t="s">
        <v>77</v>
      </c>
      <c r="C19" s="204">
        <v>5800</v>
      </c>
      <c r="D19" s="204">
        <v>5800</v>
      </c>
      <c r="G19" s="998"/>
      <c r="H19"/>
      <c r="I19"/>
      <c r="J19" s="965">
        <f>ABS($H$1/J18)</f>
        <v>16107.304113954866</v>
      </c>
      <c r="K19" s="965">
        <f>ABS($H$1/K18)</f>
        <v>67.954660537390609</v>
      </c>
      <c r="L19" s="965"/>
      <c r="M19" s="967" t="s">
        <v>222</v>
      </c>
      <c r="N19"/>
      <c r="O19" s="995"/>
    </row>
    <row r="20" spans="2:15" ht="20" hidden="1" x14ac:dyDescent="0.2">
      <c r="B20" s="485" t="s">
        <v>78</v>
      </c>
      <c r="C20" s="204">
        <v>8000</v>
      </c>
      <c r="D20" s="204">
        <v>8000</v>
      </c>
      <c r="E20" s="49">
        <v>8000</v>
      </c>
      <c r="G20" s="998"/>
      <c r="H20"/>
      <c r="I20"/>
      <c r="J20" s="1733">
        <f>ABS($E$20/BQ53)</f>
        <v>30.075187969924812</v>
      </c>
      <c r="K20" s="1733"/>
      <c r="L20" s="1733"/>
      <c r="M20" s="1734" t="s">
        <v>350</v>
      </c>
      <c r="N20"/>
      <c r="O20" s="995"/>
    </row>
    <row r="21" spans="2:15" ht="19" hidden="1" thickBot="1" x14ac:dyDescent="0.25">
      <c r="B21" s="204"/>
      <c r="C21" s="204" t="s">
        <v>20</v>
      </c>
      <c r="D21" s="204" t="s">
        <v>21</v>
      </c>
      <c r="G21" s="998"/>
      <c r="H21"/>
      <c r="I21"/>
      <c r="J21" s="59"/>
      <c r="K21" s="59"/>
      <c r="L21" s="59"/>
      <c r="M21" s="59"/>
      <c r="N21"/>
      <c r="O21" s="995"/>
    </row>
    <row r="22" spans="2:15" ht="21" hidden="1" thickBot="1" x14ac:dyDescent="0.25">
      <c r="B22" s="400" t="s">
        <v>64</v>
      </c>
      <c r="C22" s="204">
        <f>+((C8-C9)/C8)*C7</f>
        <v>124.67993635075386</v>
      </c>
      <c r="D22" s="204">
        <f>+(C9/C8)*C7</f>
        <v>141.32006364924615</v>
      </c>
      <c r="G22" s="994" t="s">
        <v>219</v>
      </c>
      <c r="H22" s="1048">
        <f>(+COS(($B$132*-1)*3.14159265358979/180)*(H4))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</row>
    <row r="23" spans="2:15" ht="20" hidden="1" x14ac:dyDescent="0.2">
      <c r="G23" s="994" t="s">
        <v>234</v>
      </c>
      <c r="H23" s="1094">
        <f>+BL137-H22+H7</f>
        <v>-172.90324687964676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5" ht="20" hidden="1" x14ac:dyDescent="0.2">
      <c r="G24" s="998"/>
      <c r="H24"/>
      <c r="I24"/>
      <c r="J24" s="963"/>
      <c r="K24" s="963">
        <f>((+H8-H23)/H8*BQ53)</f>
        <v>479.91750544179553</v>
      </c>
      <c r="L24" s="963">
        <f>(H23/H8*BQ53)</f>
        <v>-213.91750544179553</v>
      </c>
      <c r="M24" s="961" t="s">
        <v>223</v>
      </c>
      <c r="N24"/>
      <c r="O24" s="995"/>
    </row>
    <row r="25" spans="2:15" ht="20" hidden="1" x14ac:dyDescent="0.2">
      <c r="G25" s="998"/>
      <c r="H25"/>
      <c r="I25"/>
      <c r="J25" s="965"/>
      <c r="K25" s="965">
        <f>ABS($H$1/K24)</f>
        <v>37.506445995192067</v>
      </c>
      <c r="L25" s="965">
        <f>ABS($H$1/L24)</f>
        <v>84.144586310621463</v>
      </c>
      <c r="M25" s="967" t="s">
        <v>222</v>
      </c>
      <c r="N25"/>
      <c r="O25" s="995"/>
    </row>
    <row r="26" spans="2:15" ht="20" hidden="1" x14ac:dyDescent="0.2">
      <c r="G26" s="998"/>
      <c r="H26"/>
      <c r="I26"/>
      <c r="J26" s="1733"/>
      <c r="K26" s="1733"/>
      <c r="L26" s="1733">
        <f>ABS($E$20/BQ53)</f>
        <v>30.075187969924812</v>
      </c>
      <c r="M26" s="1734" t="s">
        <v>221</v>
      </c>
      <c r="N26"/>
      <c r="O26" s="995"/>
    </row>
    <row r="27" spans="2:15" ht="19" hidden="1" thickBot="1" x14ac:dyDescent="0.25">
      <c r="G27" s="998"/>
      <c r="H27"/>
      <c r="I27"/>
      <c r="J27" s="59"/>
      <c r="K27" s="59"/>
      <c r="L27" s="59"/>
      <c r="M27" s="59"/>
      <c r="N27"/>
      <c r="O27" s="995"/>
    </row>
    <row r="28" spans="2:15" ht="21" hidden="1" thickBot="1" x14ac:dyDescent="0.25"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</row>
    <row r="29" spans="2:15" ht="20" hidden="1" x14ac:dyDescent="0.2"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</row>
    <row r="30" spans="2:15" ht="20" hidden="1" x14ac:dyDescent="0.2">
      <c r="G30" s="1000"/>
      <c r="H30" s="63"/>
      <c r="I30"/>
      <c r="J30" s="963"/>
      <c r="K30" s="963">
        <f>((+H8-H23)/H8*BQ53)</f>
        <v>479.91750544179553</v>
      </c>
      <c r="L30" s="963">
        <f>(H23/H8*BQ53)</f>
        <v>-213.91750544179553</v>
      </c>
      <c r="M30" s="961" t="s">
        <v>223</v>
      </c>
      <c r="N30"/>
      <c r="O30" s="995"/>
    </row>
    <row r="31" spans="2:15" ht="20" hidden="1" x14ac:dyDescent="0.2">
      <c r="G31" s="1000"/>
      <c r="H31" s="63"/>
      <c r="I31"/>
      <c r="J31" s="965"/>
      <c r="K31" s="965">
        <f>ABS($H$1/K30)</f>
        <v>37.506445995192067</v>
      </c>
      <c r="L31" s="965">
        <f>ABS($H$1/L30)</f>
        <v>84.144586310621463</v>
      </c>
      <c r="M31" s="967" t="s">
        <v>222</v>
      </c>
      <c r="N31"/>
      <c r="O31" s="995"/>
    </row>
    <row r="32" spans="2:15" ht="20" hidden="1" x14ac:dyDescent="0.2">
      <c r="G32" s="1000"/>
      <c r="H32" s="63"/>
      <c r="I32"/>
      <c r="J32" s="1733"/>
      <c r="K32" s="1733"/>
      <c r="L32" s="1733">
        <f>ABS($E$20/BQ53)*2</f>
        <v>60.150375939849624</v>
      </c>
      <c r="M32" s="1734" t="s">
        <v>350</v>
      </c>
      <c r="N32" s="1730" t="s">
        <v>352</v>
      </c>
      <c r="O32" s="995"/>
    </row>
    <row r="33" spans="7:15" ht="19" hidden="1" thickBot="1" x14ac:dyDescent="0.25">
      <c r="G33" s="1000"/>
      <c r="H33" s="63"/>
      <c r="I33"/>
      <c r="J33" s="59"/>
      <c r="K33" s="59"/>
      <c r="L33" s="59"/>
      <c r="M33" s="59"/>
      <c r="N33"/>
      <c r="O33" s="995"/>
    </row>
    <row r="34" spans="7:15" ht="21" hidden="1" thickBot="1" x14ac:dyDescent="0.25"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</row>
    <row r="35" spans="7:15" ht="20" hidden="1" x14ac:dyDescent="0.2"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</row>
    <row r="36" spans="7:15" ht="20" hidden="1" x14ac:dyDescent="0.2">
      <c r="G36" s="1000"/>
      <c r="H36" s="63"/>
      <c r="I36"/>
      <c r="J36" s="963">
        <f>+H16/H8*BQ53</f>
        <v>1.1175054417955244</v>
      </c>
      <c r="K36" s="963">
        <f>((H8-H16)/H8)*BQ53</f>
        <v>264.88249455820448</v>
      </c>
      <c r="L36" s="963"/>
      <c r="M36" s="961" t="s">
        <v>223</v>
      </c>
      <c r="N36"/>
      <c r="O36" s="995"/>
    </row>
    <row r="37" spans="7:15" ht="20" hidden="1" x14ac:dyDescent="0.2">
      <c r="G37" s="1000"/>
      <c r="H37" s="63"/>
      <c r="I37"/>
      <c r="J37" s="965">
        <f>ABS($H$1/J36)</f>
        <v>16107.304113954866</v>
      </c>
      <c r="K37" s="965">
        <f>ABS($H$1/K36)</f>
        <v>67.954660537390609</v>
      </c>
      <c r="L37" s="965"/>
      <c r="M37" s="967" t="s">
        <v>222</v>
      </c>
      <c r="N37"/>
      <c r="O37" s="995"/>
    </row>
    <row r="38" spans="7:15" ht="20" hidden="1" x14ac:dyDescent="0.2">
      <c r="G38" s="1000"/>
      <c r="H38" s="63"/>
      <c r="I38"/>
      <c r="J38" s="1733">
        <f>ABS($E$20/BQ53)*2</f>
        <v>60.150375939849624</v>
      </c>
      <c r="K38" s="1733"/>
      <c r="L38" s="1733"/>
      <c r="M38" s="1734" t="s">
        <v>350</v>
      </c>
      <c r="N38" s="1730" t="s">
        <v>352</v>
      </c>
      <c r="O38" s="995"/>
    </row>
    <row r="39" spans="7:15" ht="19" hidden="1" thickBot="1" x14ac:dyDescent="0.25">
      <c r="G39" s="998"/>
      <c r="H39"/>
      <c r="I39"/>
      <c r="J39" s="59"/>
      <c r="K39" s="59"/>
      <c r="L39" s="59"/>
      <c r="M39" s="59"/>
      <c r="N39"/>
      <c r="O39" s="995"/>
    </row>
    <row r="40" spans="7:15" ht="24" hidden="1" thickBot="1" x14ac:dyDescent="0.3"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/>
      <c r="O40" s="995"/>
    </row>
    <row r="41" spans="7:15" ht="20" hidden="1" x14ac:dyDescent="0.2"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</row>
    <row r="42" spans="7:15" ht="23" hidden="1" x14ac:dyDescent="0.25">
      <c r="G42" s="1002" t="s">
        <v>245</v>
      </c>
      <c r="H42" s="1049">
        <f>SUM(BQ127:CA127)</f>
        <v>8</v>
      </c>
      <c r="I42"/>
      <c r="J42" s="963">
        <f>+H43/H8*BQ53/2</f>
        <v>239.4</v>
      </c>
      <c r="K42" s="963">
        <f>((H8-H43)/H8)*BQ53/2</f>
        <v>-106.4</v>
      </c>
      <c r="L42" s="963">
        <f>+BQ53/2</f>
        <v>133</v>
      </c>
      <c r="M42" s="961" t="s">
        <v>223</v>
      </c>
      <c r="N42"/>
      <c r="O42" s="995"/>
    </row>
    <row r="43" spans="7:15" ht="20" hidden="1" x14ac:dyDescent="0.2">
      <c r="G43" s="994" t="s">
        <v>243</v>
      </c>
      <c r="H43" s="1048">
        <f>$H$5-((H42-1)*$E$2)</f>
        <v>387</v>
      </c>
      <c r="I43"/>
      <c r="J43" s="965">
        <f>ABS($H$1/J42)</f>
        <v>75.187969924812023</v>
      </c>
      <c r="K43" s="965">
        <f>ABS($H$1/K42)</f>
        <v>169.17293233082705</v>
      </c>
      <c r="L43" s="965">
        <f>ABS($H$1/L42)</f>
        <v>135.33834586466165</v>
      </c>
      <c r="M43" s="967" t="s">
        <v>222</v>
      </c>
      <c r="N43"/>
      <c r="O43" s="995"/>
    </row>
    <row r="44" spans="7:15" ht="20" hidden="1" x14ac:dyDescent="0.2">
      <c r="G44" s="1000"/>
      <c r="H44" s="63"/>
      <c r="I44"/>
      <c r="J44" s="1733"/>
      <c r="K44" s="1733"/>
      <c r="L44" s="1733">
        <f>ABS($E$20/BQ53)*2</f>
        <v>60.150375939849624</v>
      </c>
      <c r="M44" s="1734" t="s">
        <v>350</v>
      </c>
      <c r="N44" s="1730" t="s">
        <v>352</v>
      </c>
      <c r="O44" s="995"/>
    </row>
    <row r="45" spans="7:15" ht="21" hidden="1" thickBot="1" x14ac:dyDescent="0.25">
      <c r="G45" s="998"/>
      <c r="H45" s="1069" t="s">
        <v>263</v>
      </c>
      <c r="I45"/>
      <c r="J45" s="59"/>
      <c r="K45" s="59"/>
      <c r="L45" s="59"/>
      <c r="M45" s="59"/>
      <c r="N45"/>
      <c r="O45" s="995"/>
    </row>
    <row r="46" spans="7:15" ht="21" hidden="1" thickBot="1" x14ac:dyDescent="0.25"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</row>
    <row r="47" spans="7:15" ht="23" hidden="1" x14ac:dyDescent="0.25">
      <c r="G47" s="1002" t="s">
        <v>245</v>
      </c>
      <c r="H47" s="1050">
        <f>SUM(CQ127:DA127)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</row>
    <row r="48" spans="7:15" ht="20" hidden="1" x14ac:dyDescent="0.2">
      <c r="G48" s="994" t="s">
        <v>243</v>
      </c>
      <c r="H48" s="1071">
        <f>($E$2*(H47-1))-$H$4</f>
        <v>-903</v>
      </c>
      <c r="I48"/>
      <c r="J48" s="963">
        <f>+BQ53/2</f>
        <v>133</v>
      </c>
      <c r="K48" s="963">
        <f>((H8-H48)/H8)*BQ53/2</f>
        <v>691.6</v>
      </c>
      <c r="L48" s="963">
        <f>+H48/H8*BQ53/2</f>
        <v>-558.6</v>
      </c>
      <c r="M48" s="961" t="s">
        <v>223</v>
      </c>
      <c r="N48"/>
      <c r="O48" s="995"/>
    </row>
    <row r="49" spans="2:144" ht="20" hidden="1" x14ac:dyDescent="0.2">
      <c r="G49" s="998"/>
      <c r="H49"/>
      <c r="I49"/>
      <c r="J49" s="965">
        <f>ABS($H$1/J48)</f>
        <v>135.33834586466165</v>
      </c>
      <c r="K49" s="965">
        <f>ABS($H$1/K48)</f>
        <v>26.026604973973395</v>
      </c>
      <c r="L49" s="965">
        <f>ABS($H$1/L48)</f>
        <v>32.223415682062296</v>
      </c>
      <c r="M49" s="967" t="s">
        <v>222</v>
      </c>
      <c r="N49" s="74"/>
      <c r="O49" s="1010"/>
    </row>
    <row r="50" spans="2:144" ht="20" hidden="1" x14ac:dyDescent="0.2">
      <c r="G50" s="998"/>
      <c r="H50"/>
      <c r="I50"/>
      <c r="J50" s="1733">
        <f>ABS($E$20/BQ53)*2</f>
        <v>60.150375939849624</v>
      </c>
      <c r="K50" s="1733"/>
      <c r="L50" s="1733"/>
      <c r="M50" s="1734" t="s">
        <v>350</v>
      </c>
      <c r="N50" s="1730" t="s">
        <v>352</v>
      </c>
      <c r="O50" s="995"/>
    </row>
    <row r="51" spans="2:144" ht="19" hidden="1" thickBot="1" x14ac:dyDescent="0.25">
      <c r="G51" s="998"/>
      <c r="H51"/>
      <c r="I51"/>
      <c r="J51" s="59"/>
      <c r="K51" s="59"/>
      <c r="L51" s="59"/>
      <c r="M51" s="59"/>
      <c r="N51"/>
      <c r="O51" s="995"/>
    </row>
    <row r="52" spans="2:144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</row>
    <row r="53" spans="2:144" ht="29.25" customHeight="1" thickBot="1" x14ac:dyDescent="0.3"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E53" s="74"/>
      <c r="BF53" s="74"/>
      <c r="BG53" s="74"/>
      <c r="BH53" s="74"/>
      <c r="BO53" s="64"/>
      <c r="BP53" s="75" t="s">
        <v>25</v>
      </c>
      <c r="BQ53" s="1814">
        <f>+C7</f>
        <v>266</v>
      </c>
      <c r="BR53" s="1814"/>
      <c r="BS53" s="76" t="s">
        <v>17</v>
      </c>
      <c r="BT53" s="76"/>
      <c r="BU53" s="77" t="s">
        <v>147</v>
      </c>
      <c r="BV53" s="78"/>
      <c r="BW53" s="78"/>
      <c r="BX53" s="78"/>
      <c r="BY53" s="78"/>
      <c r="BZ53" s="78"/>
      <c r="CA53" s="78"/>
      <c r="CB53" s="78"/>
      <c r="CC53" s="78"/>
      <c r="CD53" s="78"/>
      <c r="CE53" s="78"/>
      <c r="CF53" s="78"/>
      <c r="CG53" s="78"/>
      <c r="CH53" s="78"/>
      <c r="CI53" s="78"/>
      <c r="CJ53" s="78"/>
      <c r="CK53" s="78"/>
      <c r="CL53" s="78"/>
      <c r="CM53" s="78"/>
      <c r="CN53" s="78"/>
      <c r="CO53" s="78"/>
      <c r="CP53" s="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</row>
    <row r="54" spans="2:144" s="74" customFormat="1" ht="42.75" customHeight="1" thickBot="1" x14ac:dyDescent="0.3">
      <c r="B54" s="187"/>
      <c r="C54" s="187"/>
      <c r="G54" s="994" t="s">
        <v>243</v>
      </c>
      <c r="H54" s="956"/>
      <c r="I54"/>
      <c r="J54" s="963">
        <f>+((H6-D3)/H6)*BQ53</f>
        <v>171.39910908635557</v>
      </c>
      <c r="K54" s="963"/>
      <c r="L54" s="963">
        <f>+(D3/H6)*BQ53</f>
        <v>94.600890913644463</v>
      </c>
      <c r="M54" s="961" t="s">
        <v>223</v>
      </c>
      <c r="N54"/>
      <c r="O54" s="995"/>
      <c r="P54" s="64"/>
      <c r="Q54" s="64"/>
      <c r="R54" s="64"/>
      <c r="S54" s="64"/>
      <c r="T54" s="64"/>
      <c r="U54" s="64"/>
      <c r="V54" s="64"/>
      <c r="W54" s="64"/>
      <c r="X54" s="64"/>
      <c r="Y54" s="64"/>
      <c r="Z54" s="64"/>
      <c r="AA54" s="64"/>
      <c r="AB54" s="64"/>
      <c r="AC54" s="64"/>
      <c r="AD54" s="64"/>
      <c r="AE54" s="64"/>
      <c r="AF54" s="64"/>
      <c r="AG54" s="64"/>
      <c r="AH54" s="64"/>
      <c r="AI54" s="64"/>
      <c r="AJ54" s="64"/>
      <c r="AK54" s="64"/>
      <c r="AL54" s="64"/>
      <c r="AM54" s="64"/>
      <c r="AN54" s="64"/>
      <c r="AO54" s="64"/>
      <c r="AP54" s="64"/>
      <c r="AQ54" s="64"/>
      <c r="AR54" s="64"/>
      <c r="AS54" s="64"/>
      <c r="AT54" s="64"/>
      <c r="AU54" s="64"/>
      <c r="AV54" s="64"/>
      <c r="AW54" s="64"/>
      <c r="AX54" s="64"/>
      <c r="AY54" s="64"/>
      <c r="AZ54" s="64"/>
      <c r="BA54" s="64"/>
      <c r="BB54" s="64"/>
      <c r="BD54"/>
      <c r="BE54" s="85"/>
      <c r="BF54" s="85"/>
      <c r="BG54" s="85"/>
      <c r="BH54" s="85"/>
      <c r="BI54"/>
      <c r="BJ54"/>
      <c r="BK54"/>
      <c r="BL54"/>
      <c r="BM54" s="81" t="b">
        <f>AND(BQ55&gt;0,CO55&gt;0)</f>
        <v>1</v>
      </c>
      <c r="BN54" s="952" t="str">
        <f>IF(BM54=TRUE,"","negative force at the motor")</f>
        <v/>
      </c>
      <c r="BO54" s="1095" t="s">
        <v>128</v>
      </c>
      <c r="BP54" s="740" t="s">
        <v>27</v>
      </c>
      <c r="BQ54" s="776" t="s">
        <v>28</v>
      </c>
      <c r="BR54" s="777"/>
      <c r="BS54" s="777"/>
      <c r="BT54" s="777"/>
      <c r="BU54" s="777"/>
      <c r="BV54" s="777"/>
      <c r="BW54" s="777"/>
      <c r="BX54" s="777"/>
      <c r="BY54" s="777"/>
      <c r="BZ54" s="777"/>
      <c r="CA54" s="777"/>
      <c r="CB54" s="777"/>
      <c r="CC54" s="777"/>
      <c r="CD54" s="777"/>
      <c r="CE54" s="777"/>
      <c r="CF54" s="777"/>
      <c r="CG54" s="777"/>
      <c r="CH54" s="777"/>
      <c r="CI54" s="884"/>
      <c r="CJ54" s="777"/>
      <c r="CK54" s="885"/>
      <c r="CL54" s="885"/>
      <c r="CM54" s="885"/>
      <c r="CN54" s="885"/>
      <c r="CO54" s="777"/>
      <c r="CP54" s="782" t="s">
        <v>29</v>
      </c>
      <c r="CQ54" s="1801"/>
      <c r="CR54" s="1801"/>
      <c r="CS54" s="1801"/>
      <c r="CT54" s="1801"/>
      <c r="CU54" s="1801"/>
      <c r="CV54" s="1801"/>
      <c r="CW54" s="1801"/>
      <c r="CX54" s="1801"/>
      <c r="CY54" s="1801"/>
      <c r="CZ54" s="1801"/>
      <c r="DA54" s="1802"/>
      <c r="DB54" s="78"/>
      <c r="DC54" s="78"/>
      <c r="DD54" s="78"/>
      <c r="DE54"/>
      <c r="DF54"/>
      <c r="DG54"/>
      <c r="DH54"/>
      <c r="DI54"/>
      <c r="DJ54"/>
      <c r="DK54"/>
      <c r="DL54"/>
      <c r="DM54"/>
      <c r="DN54"/>
      <c r="DO54"/>
      <c r="DP54"/>
      <c r="DQ54"/>
      <c r="DR54"/>
      <c r="DS54"/>
      <c r="DT54"/>
      <c r="DU54"/>
      <c r="DV54"/>
      <c r="DW54"/>
      <c r="DX54"/>
      <c r="DY54"/>
      <c r="DZ54"/>
      <c r="EA54"/>
      <c r="EB54"/>
      <c r="EC54"/>
      <c r="ED54"/>
      <c r="EE54"/>
      <c r="EF54"/>
      <c r="EG54"/>
      <c r="EH54"/>
      <c r="EI54"/>
      <c r="EJ54"/>
      <c r="EK54"/>
      <c r="EL54"/>
      <c r="EM54"/>
      <c r="EN54"/>
    </row>
    <row r="55" spans="2:144" ht="42.75" customHeight="1" thickBot="1" x14ac:dyDescent="0.3">
      <c r="G55" s="1000"/>
      <c r="H55" s="63"/>
      <c r="I55"/>
      <c r="J55" s="965">
        <f>ABS($H$1/J54)</f>
        <v>105.01804878653778</v>
      </c>
      <c r="K55" s="965"/>
      <c r="L55" s="965">
        <f>ABS($H$1/L54)</f>
        <v>190.27304950469369</v>
      </c>
      <c r="M55" s="967" t="s">
        <v>222</v>
      </c>
      <c r="N55"/>
      <c r="O55" s="995"/>
      <c r="U55" s="114"/>
      <c r="BE55" s="85"/>
      <c r="BF55" s="85"/>
      <c r="BG55" s="85"/>
      <c r="BH55" s="85"/>
      <c r="BL55" s="968">
        <v>1</v>
      </c>
      <c r="BM55" s="1762" t="b">
        <f>AND(BO55&gt;=10,$BA$138&gt;=10,$BB$138&gt;=10,$BA$171&gt;=10,$BB$171&gt;=10,$BA$195&gt;=10,$BB$195&gt;=10)</f>
        <v>1</v>
      </c>
      <c r="BN55" s="84" t="str">
        <f>IF(BM55=TRUE,"O K","OVERLOAD")</f>
        <v>O K</v>
      </c>
      <c r="BO55" s="982">
        <f>+MIN(J7:L8)</f>
        <v>47.054256799851359</v>
      </c>
      <c r="BP55" s="741" t="s">
        <v>180</v>
      </c>
      <c r="BQ55" s="1809">
        <f>+((D4-D5)/D4)*C7</f>
        <v>95.983501088359105</v>
      </c>
      <c r="BR55" s="1810"/>
      <c r="BS55" s="783"/>
      <c r="BT55" s="783"/>
      <c r="BU55" s="783"/>
      <c r="BV55" s="784"/>
      <c r="BW55" s="784"/>
      <c r="BX55" s="784"/>
      <c r="BY55" s="886"/>
      <c r="BZ55" s="886"/>
      <c r="CA55" s="886"/>
      <c r="CB55" s="886"/>
      <c r="CC55" s="886"/>
      <c r="CD55" s="886"/>
      <c r="CE55" s="886"/>
      <c r="CF55" s="886"/>
      <c r="CG55" s="886"/>
      <c r="CH55" s="886"/>
      <c r="CI55" s="887"/>
      <c r="CJ55" s="783"/>
      <c r="CK55" s="783"/>
      <c r="CL55" s="783"/>
      <c r="CM55" s="784"/>
      <c r="CN55" s="784"/>
      <c r="CO55" s="1799">
        <f>+(D5/D4)*C7</f>
        <v>170.01649891164089</v>
      </c>
      <c r="CP55" s="1800"/>
      <c r="CQ55" s="1803"/>
      <c r="CR55" s="1803"/>
      <c r="CS55" s="1803"/>
      <c r="CT55" s="1803"/>
      <c r="CU55" s="1803"/>
      <c r="CV55" s="1803"/>
      <c r="CW55" s="1803"/>
      <c r="CX55" s="1803"/>
      <c r="CY55" s="1803"/>
      <c r="CZ55" s="1803"/>
      <c r="DA55" s="1804"/>
      <c r="DB55" s="78"/>
      <c r="DC55" s="78"/>
      <c r="DD55" s="78"/>
    </row>
    <row r="56" spans="2:144" ht="21" customHeight="1" thickBot="1" x14ac:dyDescent="0.3">
      <c r="G56" s="1000"/>
      <c r="H56" s="63"/>
      <c r="I56" s="74"/>
      <c r="J56" s="1733">
        <f>ABS($E$20/BQ53)*2</f>
        <v>60.150375939849624</v>
      </c>
      <c r="K56" s="1733"/>
      <c r="L56" s="1733"/>
      <c r="M56" s="1734" t="s">
        <v>350</v>
      </c>
      <c r="N56" s="1730" t="s">
        <v>352</v>
      </c>
      <c r="O56" s="995"/>
      <c r="BE56" s="85"/>
      <c r="BF56" s="85"/>
      <c r="BG56" s="85"/>
      <c r="BH56" s="85"/>
      <c r="BN56" s="86"/>
      <c r="BO56" s="85"/>
      <c r="BP56" s="87"/>
      <c r="BQ56" s="88"/>
      <c r="BR56" s="88"/>
      <c r="BS56" s="87"/>
      <c r="BT56" s="87"/>
      <c r="BU56" s="87"/>
      <c r="BV56" s="87"/>
      <c r="BW56" s="87"/>
      <c r="BX56" s="87"/>
      <c r="BY56" s="87"/>
      <c r="BZ56" s="87"/>
      <c r="CA56" s="87"/>
      <c r="CB56" s="87"/>
      <c r="CC56" s="87"/>
      <c r="CD56" s="87"/>
      <c r="CE56" s="87"/>
      <c r="CF56" s="87"/>
      <c r="CG56" s="87"/>
      <c r="CH56" s="87"/>
      <c r="CJ56" s="76"/>
      <c r="CK56" s="76"/>
      <c r="CL56" s="88"/>
      <c r="CM56" s="89"/>
      <c r="CN56" s="89"/>
      <c r="CO56" s="89"/>
      <c r="CP56" s="89"/>
      <c r="CQ56" s="89"/>
      <c r="CR56" s="89"/>
      <c r="CS56" s="89"/>
      <c r="CT56" s="89"/>
      <c r="CU56" s="89"/>
      <c r="CV56" s="89"/>
      <c r="CW56" s="89"/>
      <c r="CX56" s="89"/>
      <c r="CY56" s="89"/>
      <c r="CZ56" s="89"/>
      <c r="DA56" s="89"/>
      <c r="DB56" s="89"/>
      <c r="DC56" s="78"/>
      <c r="DD56" s="78"/>
    </row>
    <row r="57" spans="2:144" ht="42.75" customHeight="1" thickBot="1" x14ac:dyDescent="0.3">
      <c r="F57" s="486"/>
      <c r="G57" s="998"/>
      <c r="H57"/>
      <c r="I57"/>
      <c r="J57"/>
      <c r="K57"/>
      <c r="L57"/>
      <c r="M57"/>
      <c r="N57"/>
      <c r="O57" s="995"/>
      <c r="BE57" s="85"/>
      <c r="BF57" s="85"/>
      <c r="BG57" s="85"/>
      <c r="BH57" s="85"/>
      <c r="BM57" s="81" t="b">
        <f>AND(CB58&gt;0,CZ58&gt;0)</f>
        <v>1</v>
      </c>
      <c r="BN57" s="952" t="str">
        <f>IF(BM57=TRUE,"","negative force at the motor")</f>
        <v/>
      </c>
      <c r="BO57" s="1095" t="s">
        <v>128</v>
      </c>
      <c r="BP57" s="742" t="s">
        <v>27</v>
      </c>
      <c r="BQ57" s="1833"/>
      <c r="BR57" s="1834"/>
      <c r="BS57" s="1834"/>
      <c r="BT57" s="1834"/>
      <c r="BU57" s="1834"/>
      <c r="BV57" s="1834"/>
      <c r="BW57" s="1834"/>
      <c r="BX57" s="1834"/>
      <c r="BY57" s="1834"/>
      <c r="BZ57" s="1834"/>
      <c r="CA57" s="1834"/>
      <c r="CB57" s="772" t="s">
        <v>28</v>
      </c>
      <c r="CC57" s="774"/>
      <c r="CD57" s="774"/>
      <c r="CE57" s="774"/>
      <c r="CF57" s="774"/>
      <c r="CG57" s="774"/>
      <c r="CH57" s="774"/>
      <c r="CI57" s="774"/>
      <c r="CJ57" s="774"/>
      <c r="CK57" s="774"/>
      <c r="CL57" s="774"/>
      <c r="CM57" s="774"/>
      <c r="CN57" s="888"/>
      <c r="CO57" s="765"/>
      <c r="CP57" s="765"/>
      <c r="CQ57" s="765"/>
      <c r="CR57" s="765"/>
      <c r="CS57" s="889"/>
      <c r="CT57" s="889"/>
      <c r="CU57" s="888"/>
      <c r="CV57" s="888"/>
      <c r="CW57" s="888"/>
      <c r="CX57" s="888"/>
      <c r="CY57" s="888"/>
      <c r="CZ57" s="765"/>
      <c r="DA57" s="766" t="s">
        <v>29</v>
      </c>
      <c r="DB57" s="90"/>
      <c r="DC57" s="78"/>
      <c r="DD57" s="78"/>
    </row>
    <row r="58" spans="2:144" ht="42.75" customHeight="1" thickBot="1" x14ac:dyDescent="0.3">
      <c r="G58" s="998"/>
      <c r="H58"/>
      <c r="I58"/>
      <c r="J58"/>
      <c r="K58"/>
      <c r="L58"/>
      <c r="M58"/>
      <c r="N58"/>
      <c r="O58" s="995"/>
      <c r="BL58" s="968">
        <v>2</v>
      </c>
      <c r="BM58" s="1762" t="b">
        <f>AND(BO58&gt;=10,$BA$138&gt;=10,$BB$138&gt;=10,$BA$171&gt;=10,$BB$171&gt;=10,$BA$195&gt;=10,$BB$195&gt;=10)</f>
        <v>1</v>
      </c>
      <c r="BN58" s="84" t="str">
        <f>IF(BM58=TRUE,"O K","OVERLOAD")</f>
        <v>O K</v>
      </c>
      <c r="BO58" s="982">
        <f>+MIN(J13:L14)</f>
        <v>37.55454191263955</v>
      </c>
      <c r="BP58" s="743" t="s">
        <v>126</v>
      </c>
      <c r="BQ58" s="1835"/>
      <c r="BR58" s="1836"/>
      <c r="BS58" s="1836"/>
      <c r="BT58" s="1836"/>
      <c r="BU58" s="1836"/>
      <c r="BV58" s="1836"/>
      <c r="BW58" s="1836"/>
      <c r="BX58" s="1836"/>
      <c r="BY58" s="1836"/>
      <c r="BZ58" s="1836"/>
      <c r="CA58" s="1836"/>
      <c r="CB58" s="1840">
        <f>+((D4-D3)/D4)*C7</f>
        <v>213.02350108835913</v>
      </c>
      <c r="CC58" s="1841"/>
      <c r="CD58" s="890"/>
      <c r="CE58" s="890"/>
      <c r="CF58" s="890"/>
      <c r="CG58" s="890"/>
      <c r="CH58" s="890"/>
      <c r="CI58" s="890"/>
      <c r="CJ58" s="890"/>
      <c r="CK58" s="890"/>
      <c r="CL58" s="890"/>
      <c r="CM58" s="890"/>
      <c r="CN58" s="891"/>
      <c r="CO58" s="892"/>
      <c r="CP58" s="892"/>
      <c r="CQ58" s="892"/>
      <c r="CR58" s="892"/>
      <c r="CS58" s="893"/>
      <c r="CT58" s="893"/>
      <c r="CU58" s="883"/>
      <c r="CV58" s="883"/>
      <c r="CW58" s="883"/>
      <c r="CX58" s="883"/>
      <c r="CY58" s="883"/>
      <c r="CZ58" s="1797">
        <f>+(D3/D4)*C7</f>
        <v>52.976498911640903</v>
      </c>
      <c r="DA58" s="1798"/>
      <c r="DB58" s="92"/>
      <c r="DC58" s="78"/>
      <c r="DD58" s="78"/>
    </row>
    <row r="59" spans="2:144" ht="16" customHeight="1" thickBot="1" x14ac:dyDescent="0.3">
      <c r="G59" s="998"/>
      <c r="H59"/>
      <c r="I59"/>
      <c r="J59"/>
      <c r="K59"/>
      <c r="L59"/>
      <c r="M59"/>
      <c r="N59"/>
      <c r="O59" s="995"/>
      <c r="BN59" s="86"/>
      <c r="BO59" s="18"/>
      <c r="BP59" s="93"/>
      <c r="BQ59" s="93"/>
      <c r="BR59" s="93"/>
      <c r="BS59" s="93"/>
      <c r="BT59" s="93"/>
      <c r="BU59" s="93"/>
      <c r="BV59" s="93"/>
      <c r="BW59" s="93"/>
      <c r="BX59" s="93"/>
      <c r="BY59" s="94"/>
      <c r="BZ59" s="94"/>
      <c r="CA59" s="89"/>
      <c r="CB59" s="89"/>
      <c r="CC59" s="89"/>
      <c r="CD59" s="89"/>
      <c r="CE59" s="89"/>
      <c r="CF59" s="89"/>
      <c r="CG59" s="89"/>
      <c r="CH59" s="89"/>
      <c r="CI59" s="89"/>
      <c r="CJ59" s="89"/>
      <c r="CK59" s="89"/>
      <c r="CL59" s="89"/>
      <c r="CM59" s="89"/>
      <c r="CN59" s="37"/>
      <c r="CO59" s="95"/>
      <c r="CP59" s="95"/>
      <c r="CQ59" s="95"/>
      <c r="CR59" s="95"/>
      <c r="CS59" s="92"/>
      <c r="CT59" s="92"/>
      <c r="CU59" s="92"/>
      <c r="CV59" s="92"/>
      <c r="CW59" s="92"/>
      <c r="CX59" s="92"/>
      <c r="CY59" s="92"/>
      <c r="CZ59" s="92"/>
      <c r="DA59" s="92"/>
      <c r="DB59" s="92"/>
      <c r="DC59" s="78"/>
      <c r="DD59" s="78"/>
    </row>
    <row r="60" spans="2:144" ht="42.75" customHeight="1" thickBot="1" x14ac:dyDescent="0.25">
      <c r="E60" s="397"/>
      <c r="F60" s="397"/>
      <c r="G60" s="998"/>
      <c r="H60"/>
      <c r="I60"/>
      <c r="J60"/>
      <c r="K60"/>
      <c r="L60"/>
      <c r="M60"/>
      <c r="N60"/>
      <c r="O60" s="995"/>
      <c r="BM60" s="81" t="b">
        <f>AND(CB61&gt;0,CQ61&gt;0)</f>
        <v>1</v>
      </c>
      <c r="BN60" s="952" t="str">
        <f>IF(BM60=TRUE,"","negative force at the motor")</f>
        <v/>
      </c>
      <c r="BO60" s="1095" t="s">
        <v>128</v>
      </c>
      <c r="BP60" s="744" t="s">
        <v>27</v>
      </c>
      <c r="BQ60" s="1822"/>
      <c r="BR60" s="1823"/>
      <c r="BS60" s="1823"/>
      <c r="BT60" s="1823"/>
      <c r="BU60" s="1823"/>
      <c r="BV60" s="1823"/>
      <c r="BW60" s="1823"/>
      <c r="BX60" s="1823"/>
      <c r="BY60" s="1823"/>
      <c r="BZ60" s="1823"/>
      <c r="CA60" s="1823"/>
      <c r="CB60" s="894" t="s">
        <v>28</v>
      </c>
      <c r="CC60" s="895"/>
      <c r="CD60" s="895"/>
      <c r="CE60" s="895"/>
      <c r="CF60" s="895"/>
      <c r="CG60" s="895"/>
      <c r="CH60" s="895"/>
      <c r="CI60" s="896"/>
      <c r="CJ60" s="895"/>
      <c r="CK60" s="897"/>
      <c r="CL60" s="897"/>
      <c r="CM60" s="895"/>
      <c r="CN60" s="895"/>
      <c r="CO60" s="895"/>
      <c r="CP60" s="895"/>
      <c r="CQ60" s="895"/>
      <c r="CR60" s="898" t="s">
        <v>29</v>
      </c>
      <c r="CS60" s="1801"/>
      <c r="CT60" s="1801"/>
      <c r="CU60" s="1801"/>
      <c r="CV60" s="1801"/>
      <c r="CW60" s="1801"/>
      <c r="CX60" s="1801"/>
      <c r="CY60" s="1801"/>
      <c r="CZ60" s="1801"/>
      <c r="DA60" s="1802"/>
      <c r="DB60" s="89"/>
      <c r="DC60" s="78"/>
      <c r="DD60" s="78"/>
    </row>
    <row r="61" spans="2:144" ht="42.75" customHeight="1" thickBot="1" x14ac:dyDescent="0.3">
      <c r="E61" s="397"/>
      <c r="F61" s="397"/>
      <c r="G61" s="998"/>
      <c r="H61"/>
      <c r="I61"/>
      <c r="J61"/>
      <c r="K61"/>
      <c r="L61"/>
      <c r="M61"/>
      <c r="N61"/>
      <c r="O61" s="995"/>
      <c r="BL61" s="968">
        <v>3</v>
      </c>
      <c r="BM61" s="1762" t="b">
        <f>AND(BO61&gt;=10,$BA$138&gt;=10,$BB$138&gt;=10,$BA$171&gt;=10,$BB$171&gt;=10,$BA$195&gt;=10,$BB$195&gt;=10)</f>
        <v>1</v>
      </c>
      <c r="BN61" s="84" t="str">
        <f>IF(BM61=TRUE,"O K","OVERLOAD")</f>
        <v>O K</v>
      </c>
      <c r="BO61" s="983">
        <f>+$E$20/(MAX(CB61,CQ61))</f>
        <v>43.662349771921221</v>
      </c>
      <c r="BP61" s="745" t="s">
        <v>123</v>
      </c>
      <c r="BQ61" s="1824"/>
      <c r="BR61" s="1825"/>
      <c r="BS61" s="1825"/>
      <c r="BT61" s="1825"/>
      <c r="BU61" s="1825"/>
      <c r="BV61" s="1825"/>
      <c r="BW61" s="1825"/>
      <c r="BX61" s="1825"/>
      <c r="BY61" s="1825"/>
      <c r="BZ61" s="1825"/>
      <c r="CA61" s="1825"/>
      <c r="CB61" s="1807">
        <f>+((D2-D3)/D2)*C7</f>
        <v>183.22422045056109</v>
      </c>
      <c r="CC61" s="1808"/>
      <c r="CD61" s="899"/>
      <c r="CE61" s="899"/>
      <c r="CF61" s="899"/>
      <c r="CG61" s="899"/>
      <c r="CH61" s="899"/>
      <c r="CI61" s="900"/>
      <c r="CJ61" s="899"/>
      <c r="CK61" s="901"/>
      <c r="CL61" s="901"/>
      <c r="CM61" s="902"/>
      <c r="CN61" s="902"/>
      <c r="CO61" s="902"/>
      <c r="CP61" s="902"/>
      <c r="CQ61" s="1795">
        <f>+(D3/D2)*C7</f>
        <v>82.775779549438909</v>
      </c>
      <c r="CR61" s="1796"/>
      <c r="CS61" s="1803"/>
      <c r="CT61" s="1803"/>
      <c r="CU61" s="1803"/>
      <c r="CV61" s="1803"/>
      <c r="CW61" s="1803"/>
      <c r="CX61" s="1803"/>
      <c r="CY61" s="1803"/>
      <c r="CZ61" s="1803"/>
      <c r="DA61" s="1804"/>
      <c r="DB61" s="89"/>
      <c r="DC61" s="78"/>
      <c r="DD61" s="78"/>
    </row>
    <row r="62" spans="2:144" ht="15.75" customHeight="1" thickBot="1" x14ac:dyDescent="0.3">
      <c r="E62" s="397"/>
      <c r="F62" s="397"/>
      <c r="G62" s="998"/>
      <c r="H62"/>
      <c r="I62"/>
      <c r="J62"/>
      <c r="K62"/>
      <c r="L62"/>
      <c r="M62"/>
      <c r="N62"/>
      <c r="O62" s="995"/>
      <c r="BN62" s="86"/>
      <c r="BO62" s="18"/>
      <c r="BP62" s="93"/>
      <c r="BQ62" s="93"/>
      <c r="BR62" s="93"/>
      <c r="BS62" s="93"/>
      <c r="BT62" s="93"/>
      <c r="BU62" s="93"/>
      <c r="BV62" s="93"/>
      <c r="BW62" s="93"/>
      <c r="BX62" s="93"/>
      <c r="BY62" s="94"/>
      <c r="BZ62" s="94"/>
      <c r="CA62" s="89"/>
      <c r="CB62" s="89"/>
      <c r="CC62" s="89"/>
      <c r="CD62" s="89"/>
      <c r="CE62" s="89"/>
      <c r="CF62" s="89"/>
      <c r="CG62" s="89"/>
      <c r="CH62" s="89"/>
      <c r="CI62" s="89"/>
      <c r="CJ62" s="89"/>
      <c r="CK62" s="93"/>
      <c r="CL62" s="89"/>
      <c r="CM62" s="89"/>
      <c r="CN62" s="37"/>
      <c r="CO62" s="95"/>
      <c r="CP62" s="95"/>
      <c r="CQ62" s="95"/>
      <c r="CR62" s="95"/>
      <c r="CS62" s="92"/>
      <c r="CT62" s="92"/>
      <c r="CU62" s="92"/>
      <c r="CV62" s="92"/>
      <c r="CW62" s="92"/>
      <c r="CX62" s="92"/>
      <c r="CY62" s="92"/>
      <c r="CZ62" s="92"/>
      <c r="DA62" s="92"/>
      <c r="DB62" s="92"/>
      <c r="DC62" s="78"/>
      <c r="DD62" s="78"/>
    </row>
    <row r="63" spans="2:144" hidden="1" x14ac:dyDescent="0.2">
      <c r="B63" s="399"/>
      <c r="C63" s="399"/>
      <c r="D63" s="397"/>
      <c r="E63" s="397"/>
      <c r="F63" s="397"/>
      <c r="G63" s="998"/>
      <c r="H63"/>
      <c r="I63"/>
      <c r="J63"/>
      <c r="K63"/>
      <c r="L63"/>
      <c r="M63"/>
      <c r="N63"/>
      <c r="O63" s="995"/>
      <c r="U63" s="114"/>
      <c r="AB63" s="114"/>
      <c r="AC63" s="114"/>
      <c r="AD63" s="114"/>
      <c r="AE63" s="114"/>
      <c r="BE63" s="136"/>
      <c r="BF63" s="136"/>
      <c r="BG63" s="136"/>
      <c r="BH63" s="136"/>
      <c r="BN63" s="86"/>
    </row>
    <row r="64" spans="2:144" hidden="1" x14ac:dyDescent="0.2">
      <c r="B64" s="399"/>
      <c r="C64" s="399"/>
      <c r="D64" s="397"/>
      <c r="E64" s="397"/>
      <c r="F64" s="397"/>
      <c r="G64" s="998"/>
      <c r="H64"/>
      <c r="I64"/>
      <c r="J64"/>
      <c r="K64"/>
      <c r="L64"/>
      <c r="M64"/>
      <c r="N64"/>
      <c r="O64" s="995"/>
      <c r="U64" s="114"/>
      <c r="AB64" s="114"/>
      <c r="AC64" s="114"/>
      <c r="AD64" s="114"/>
      <c r="AE64" s="114"/>
      <c r="BE64" s="136"/>
      <c r="BF64" s="136"/>
      <c r="BG64" s="136"/>
      <c r="BH64" s="136"/>
      <c r="BN64" s="86"/>
    </row>
    <row r="65" spans="2:144" ht="23" hidden="1" x14ac:dyDescent="0.25">
      <c r="B65" s="399"/>
      <c r="C65" s="399"/>
      <c r="D65" s="397"/>
      <c r="E65" s="397"/>
      <c r="F65" s="397"/>
      <c r="G65" s="998"/>
      <c r="H65"/>
      <c r="I65"/>
      <c r="J65"/>
      <c r="K65"/>
      <c r="L65"/>
      <c r="M65"/>
      <c r="N65"/>
      <c r="O65" s="995"/>
      <c r="U65" s="114"/>
      <c r="AB65" s="114"/>
      <c r="AC65" s="114"/>
      <c r="AD65" s="114"/>
      <c r="AE65" s="114"/>
      <c r="BE65" s="136"/>
      <c r="BF65" s="136"/>
      <c r="BG65" s="136"/>
      <c r="BH65" s="136"/>
      <c r="BN65" s="86"/>
      <c r="BO65" s="17"/>
      <c r="BP65" s="177"/>
      <c r="BQ65" s="178"/>
      <c r="BR65" s="178"/>
      <c r="BS65" s="178"/>
      <c r="BT65" s="178"/>
      <c r="BU65" s="178"/>
      <c r="BV65" s="178"/>
      <c r="BW65" s="178"/>
      <c r="BX65" s="178"/>
      <c r="BY65" s="179"/>
      <c r="BZ65" s="179"/>
      <c r="CA65" s="180"/>
      <c r="CB65" s="180"/>
      <c r="CC65" s="180"/>
      <c r="CD65" s="180"/>
      <c r="CE65" s="180"/>
      <c r="CF65" s="180"/>
      <c r="CG65" s="180"/>
      <c r="CH65" s="180"/>
      <c r="CI65" s="37"/>
      <c r="CJ65" s="89"/>
      <c r="CK65" s="181"/>
      <c r="CL65" s="181"/>
      <c r="CM65" s="89"/>
      <c r="CN65" s="89"/>
      <c r="CO65" s="89"/>
      <c r="CP65" s="89"/>
      <c r="CQ65" s="89"/>
      <c r="CR65" s="89"/>
      <c r="CS65" s="89"/>
      <c r="CT65" s="89"/>
      <c r="CU65" s="89"/>
      <c r="CV65" s="89"/>
      <c r="CW65" s="178"/>
      <c r="CX65" s="178"/>
      <c r="CY65" s="178"/>
      <c r="CZ65" s="178"/>
      <c r="DA65" s="178"/>
      <c r="DB65" s="178"/>
      <c r="DC65" s="178"/>
      <c r="DD65" s="178"/>
    </row>
    <row r="66" spans="2:144" ht="24" hidden="1" thickBot="1" x14ac:dyDescent="0.3">
      <c r="B66" s="399"/>
      <c r="C66" s="399"/>
      <c r="D66" s="397"/>
      <c r="E66" s="397"/>
      <c r="F66" s="397"/>
      <c r="G66" s="998"/>
      <c r="H66"/>
      <c r="I66"/>
      <c r="J66"/>
      <c r="K66"/>
      <c r="L66"/>
      <c r="M66"/>
      <c r="N66"/>
      <c r="O66" s="995"/>
      <c r="U66" s="114"/>
      <c r="AB66" s="114"/>
      <c r="AC66" s="114"/>
      <c r="AD66" s="114"/>
      <c r="AE66" s="114"/>
      <c r="BE66" s="136"/>
      <c r="BF66" s="136"/>
      <c r="BG66" s="136"/>
      <c r="BH66" s="136"/>
      <c r="BN66" s="86"/>
      <c r="BO66" s="17"/>
      <c r="BP66" s="177"/>
      <c r="BQ66" s="178"/>
      <c r="BR66" s="178"/>
      <c r="BS66" s="178"/>
      <c r="BT66" s="178"/>
      <c r="BU66" s="178"/>
      <c r="BV66" s="178"/>
      <c r="BW66" s="178"/>
      <c r="BX66" s="178"/>
      <c r="BY66" s="179"/>
      <c r="BZ66" s="179"/>
      <c r="CA66" s="180"/>
      <c r="CB66" s="180"/>
      <c r="CC66" s="180"/>
      <c r="CD66" s="180"/>
      <c r="CE66" s="180"/>
      <c r="CF66" s="180"/>
      <c r="CG66" s="180"/>
      <c r="CH66" s="180"/>
      <c r="CI66" s="37"/>
      <c r="CJ66" s="89"/>
      <c r="CK66" s="181"/>
      <c r="CL66" s="181"/>
      <c r="CM66" s="89"/>
      <c r="CN66" s="89"/>
      <c r="CO66" s="89"/>
      <c r="CP66" s="89"/>
      <c r="CQ66" s="89"/>
      <c r="CR66" s="89"/>
      <c r="CS66" s="89"/>
      <c r="CT66" s="89"/>
      <c r="CU66" s="89"/>
      <c r="CV66" s="89"/>
      <c r="CW66" s="178"/>
      <c r="CX66" s="178"/>
      <c r="CY66" s="178"/>
      <c r="CZ66" s="178"/>
      <c r="DA66" s="178"/>
      <c r="DB66" s="178"/>
      <c r="DC66" s="178"/>
      <c r="DD66" s="178"/>
    </row>
    <row r="67" spans="2:144" ht="24" hidden="1" thickBot="1" x14ac:dyDescent="0.3">
      <c r="B67" s="399"/>
      <c r="C67" s="399"/>
      <c r="D67" s="397"/>
      <c r="E67" s="397"/>
      <c r="F67" s="397"/>
      <c r="G67" s="998"/>
      <c r="H67"/>
      <c r="I67"/>
      <c r="J67"/>
      <c r="K67"/>
      <c r="L67"/>
      <c r="M67"/>
      <c r="N67"/>
      <c r="O67" s="995"/>
      <c r="U67" s="114"/>
      <c r="AB67" s="114"/>
      <c r="AC67" s="114"/>
      <c r="AD67" s="114"/>
      <c r="AE67" s="114"/>
      <c r="BE67" s="136"/>
      <c r="BF67" s="136"/>
      <c r="BG67" s="136"/>
      <c r="BH67" s="136"/>
      <c r="BN67" s="86"/>
      <c r="BO67" s="17"/>
      <c r="BP67" s="177"/>
      <c r="BQ67" s="178"/>
      <c r="BR67" s="178"/>
      <c r="BS67" s="178"/>
      <c r="BT67" s="178"/>
      <c r="BU67" s="178"/>
      <c r="BV67" s="178"/>
      <c r="BW67" s="178"/>
      <c r="BX67" s="178"/>
      <c r="BY67" s="179"/>
      <c r="BZ67" s="179"/>
      <c r="CA67" s="182">
        <v>16</v>
      </c>
      <c r="CB67" s="180"/>
      <c r="CC67" s="180"/>
      <c r="CD67" s="180"/>
      <c r="CE67" s="180"/>
      <c r="CF67" s="180"/>
      <c r="CG67" s="180"/>
      <c r="CH67" s="180"/>
      <c r="CI67" s="37"/>
      <c r="CJ67" s="89"/>
      <c r="CK67" s="181"/>
      <c r="CL67" s="181"/>
      <c r="CM67" s="89"/>
      <c r="CN67" s="89"/>
      <c r="CO67" s="89"/>
      <c r="CP67" s="117" t="b">
        <f>IF(CQ85=27,15)</f>
        <v>0</v>
      </c>
      <c r="CQ67" s="183"/>
      <c r="CR67" s="103" t="b">
        <f>IF(CQ85=27,17)</f>
        <v>0</v>
      </c>
      <c r="CS67" s="89"/>
      <c r="CT67" s="89"/>
      <c r="CU67" s="89"/>
      <c r="CV67" s="89"/>
      <c r="CW67" s="178"/>
      <c r="CX67" s="178"/>
      <c r="CY67" s="178"/>
      <c r="CZ67" s="178"/>
      <c r="DA67" s="178"/>
      <c r="DB67" s="178"/>
      <c r="DC67" s="178"/>
      <c r="DD67" s="178"/>
      <c r="DG67" s="1814"/>
      <c r="DH67" s="1814"/>
      <c r="DI67" s="76"/>
      <c r="DJ67" s="76"/>
      <c r="DK67" s="77"/>
      <c r="DL67" s="78"/>
      <c r="DM67" s="78"/>
      <c r="DN67" s="78"/>
      <c r="DO67" s="78"/>
      <c r="DP67" s="78"/>
      <c r="DQ67" s="78"/>
      <c r="DR67" s="78"/>
      <c r="DS67" s="78"/>
      <c r="DT67" s="78"/>
      <c r="DU67" s="78"/>
      <c r="DV67" s="78"/>
      <c r="DW67" s="78"/>
      <c r="DX67" s="78"/>
      <c r="DY67" s="78"/>
      <c r="DZ67" s="78"/>
      <c r="EA67" s="78"/>
      <c r="EB67" s="78"/>
      <c r="EC67" s="78"/>
      <c r="ED67" s="78"/>
      <c r="EE67" s="78"/>
      <c r="EF67" s="78"/>
      <c r="EG67" s="78"/>
      <c r="EH67" s="78"/>
      <c r="EI67" s="78"/>
      <c r="EJ67" s="78"/>
      <c r="EK67" s="78"/>
      <c r="EL67" s="78"/>
      <c r="EM67" s="74"/>
      <c r="EN67" s="74"/>
    </row>
    <row r="68" spans="2:144" ht="24" hidden="1" thickBot="1" x14ac:dyDescent="0.3">
      <c r="B68" s="64"/>
      <c r="C68" s="399"/>
      <c r="E68" s="64"/>
      <c r="G68" s="998"/>
      <c r="H68"/>
      <c r="I68"/>
      <c r="J68"/>
      <c r="K68"/>
      <c r="L68"/>
      <c r="M68"/>
      <c r="N68"/>
      <c r="O68" s="995"/>
      <c r="U68" s="114"/>
      <c r="AB68" s="114"/>
      <c r="AC68" s="114"/>
      <c r="AD68" s="114"/>
      <c r="AE68" s="114"/>
      <c r="BE68" s="136"/>
      <c r="BF68" s="136"/>
      <c r="BG68" s="136"/>
      <c r="BH68" s="136"/>
      <c r="BN68" s="86"/>
      <c r="BO68" s="17"/>
      <c r="BP68" s="177"/>
      <c r="BQ68" s="178"/>
      <c r="BR68" s="178"/>
      <c r="BS68" s="178"/>
      <c r="BT68" s="178"/>
      <c r="BU68" s="178"/>
      <c r="BV68" s="178"/>
      <c r="BW68" s="178"/>
      <c r="BX68" s="178"/>
      <c r="BY68" s="179"/>
      <c r="BZ68" s="179"/>
      <c r="CA68" s="182">
        <v>15</v>
      </c>
      <c r="CB68" s="180"/>
      <c r="CC68" s="180"/>
      <c r="CD68" s="180"/>
      <c r="CE68" s="180"/>
      <c r="CF68" s="180"/>
      <c r="CG68" s="180"/>
      <c r="CH68" s="180"/>
      <c r="CI68" s="37"/>
      <c r="CJ68" s="89"/>
      <c r="CK68" s="181"/>
      <c r="CL68" s="181"/>
      <c r="CM68" s="89"/>
      <c r="CN68" s="117" t="b">
        <f>IF(CP85=26,13)</f>
        <v>0</v>
      </c>
      <c r="CO68" s="183"/>
      <c r="CP68" s="183"/>
      <c r="CQ68" s="183"/>
      <c r="CR68" s="103" t="b">
        <f>IF(CP85=26,17)</f>
        <v>0</v>
      </c>
      <c r="CS68" s="89"/>
      <c r="CT68" s="89"/>
      <c r="CU68" s="89"/>
      <c r="CV68" s="89"/>
      <c r="CW68" s="178"/>
      <c r="CX68" s="178"/>
      <c r="CY68" s="178"/>
      <c r="CZ68" s="178"/>
      <c r="DA68" s="178"/>
      <c r="DB68" s="178"/>
      <c r="DC68" s="178"/>
      <c r="DD68" s="178"/>
      <c r="EK68" s="78"/>
      <c r="EL68" s="78"/>
    </row>
    <row r="69" spans="2:144" ht="31" hidden="1" thickBot="1" x14ac:dyDescent="0.35">
      <c r="B69" s="67"/>
      <c r="C69" s="399"/>
      <c r="E69" s="68"/>
      <c r="G69" s="998"/>
      <c r="H69"/>
      <c r="I69"/>
      <c r="J69"/>
      <c r="K69"/>
      <c r="L69"/>
      <c r="M69"/>
      <c r="N69"/>
      <c r="O69" s="995"/>
      <c r="U69" s="114"/>
      <c r="AB69" s="114"/>
      <c r="AC69" s="114"/>
      <c r="AD69" s="114"/>
      <c r="AE69" s="114"/>
      <c r="BE69" s="136"/>
      <c r="BF69" s="136"/>
      <c r="BG69" s="136"/>
      <c r="BH69" s="136"/>
      <c r="BN69" s="86"/>
      <c r="BO69" s="17"/>
      <c r="BP69" s="177"/>
      <c r="BQ69" s="178"/>
      <c r="BR69" s="178"/>
      <c r="BS69" s="178"/>
      <c r="BT69" s="178"/>
      <c r="BU69" s="178"/>
      <c r="BV69" s="178"/>
      <c r="BW69" s="178"/>
      <c r="BX69" s="178"/>
      <c r="BY69" s="179"/>
      <c r="BZ69" s="179"/>
      <c r="CA69" s="182">
        <v>14</v>
      </c>
      <c r="CB69" s="180"/>
      <c r="CC69" s="180"/>
      <c r="CD69" s="180"/>
      <c r="CE69" s="180"/>
      <c r="CF69" s="180"/>
      <c r="CG69" s="180"/>
      <c r="CH69" s="180"/>
      <c r="CI69" s="37"/>
      <c r="CJ69" s="89"/>
      <c r="CK69" s="181"/>
      <c r="CL69" s="117" t="b">
        <f>IF(CO85=25,11)</f>
        <v>0</v>
      </c>
      <c r="CM69" s="183"/>
      <c r="CN69" s="184"/>
      <c r="CO69" s="184"/>
      <c r="CP69" s="184"/>
      <c r="CQ69" s="184"/>
      <c r="CR69" s="124" t="b">
        <f>IF(CO85=25,17)</f>
        <v>0</v>
      </c>
      <c r="CS69" s="89"/>
      <c r="CT69" s="89"/>
      <c r="CU69" s="89"/>
      <c r="CV69" s="89"/>
      <c r="CW69" s="178"/>
      <c r="CX69" s="178"/>
      <c r="CY69" s="178"/>
      <c r="CZ69" s="178"/>
      <c r="DA69" s="178"/>
      <c r="DB69" s="178"/>
      <c r="DC69" s="178"/>
      <c r="DD69" s="178"/>
      <c r="EK69" s="78"/>
      <c r="EL69" s="78"/>
    </row>
    <row r="70" spans="2:144" ht="21" hidden="1" thickBot="1" x14ac:dyDescent="0.25">
      <c r="B70" s="487"/>
      <c r="C70" s="487"/>
      <c r="D70" s="487"/>
      <c r="E70" s="487"/>
      <c r="G70" s="998"/>
      <c r="H70"/>
      <c r="I70"/>
      <c r="J70"/>
      <c r="K70"/>
      <c r="L70"/>
      <c r="M70"/>
      <c r="N70"/>
      <c r="O70" s="995"/>
      <c r="U70" s="114"/>
      <c r="AB70" s="114"/>
      <c r="AC70" s="114"/>
      <c r="AD70" s="114"/>
      <c r="AE70" s="114"/>
      <c r="BE70" s="136"/>
      <c r="BF70" s="136"/>
      <c r="BG70" s="136"/>
      <c r="BH70" s="136"/>
      <c r="BN70" s="86"/>
      <c r="BO70" s="1091"/>
      <c r="BP70" s="177"/>
      <c r="BQ70" s="178"/>
      <c r="BR70" s="178"/>
      <c r="BS70" s="178"/>
      <c r="BT70" s="178"/>
      <c r="BU70" s="178"/>
      <c r="BV70" s="178"/>
      <c r="BW70" s="178"/>
      <c r="BX70" s="178"/>
      <c r="CA70" s="182">
        <v>13</v>
      </c>
      <c r="CB70" s="178"/>
      <c r="CC70" s="177"/>
      <c r="CD70" s="177"/>
      <c r="CE70" s="177"/>
      <c r="CF70" s="177"/>
      <c r="CG70" s="177"/>
      <c r="CH70" s="177"/>
      <c r="CI70" s="177"/>
      <c r="CJ70" s="117" t="b">
        <f>IF(CN85=24,9)</f>
        <v>0</v>
      </c>
      <c r="CK70" s="185"/>
      <c r="CL70" s="186"/>
      <c r="CM70" s="122"/>
      <c r="CN70" s="186"/>
      <c r="CO70" s="122"/>
      <c r="CP70" s="122"/>
      <c r="CQ70" s="121"/>
      <c r="CR70" s="124" t="b">
        <f>IF(CN85=24,17)</f>
        <v>0</v>
      </c>
      <c r="CS70" s="78"/>
      <c r="CT70" s="78"/>
      <c r="CU70" s="78"/>
      <c r="CV70" s="78"/>
      <c r="CW70" s="78"/>
      <c r="CX70" s="78"/>
      <c r="CY70" s="78"/>
      <c r="CZ70" s="78"/>
      <c r="DA70" s="78"/>
      <c r="DB70" s="78"/>
      <c r="DC70" s="78"/>
      <c r="DD70" s="78"/>
      <c r="EK70" s="78"/>
      <c r="EL70" s="78"/>
    </row>
    <row r="71" spans="2:144" ht="21" hidden="1" thickBot="1" x14ac:dyDescent="0.25">
      <c r="B71" s="488"/>
      <c r="C71" s="489"/>
      <c r="D71" s="488"/>
      <c r="E71" s="488"/>
      <c r="G71" s="998"/>
      <c r="H71"/>
      <c r="I71"/>
      <c r="J71"/>
      <c r="K71"/>
      <c r="L71"/>
      <c r="M71"/>
      <c r="N71"/>
      <c r="O71" s="995"/>
      <c r="U71" s="114"/>
      <c r="AB71" s="114"/>
      <c r="AC71" s="114"/>
      <c r="AD71" s="114"/>
      <c r="AE71" s="114"/>
      <c r="BE71" s="136"/>
      <c r="BF71" s="136"/>
      <c r="BG71" s="136"/>
      <c r="BH71" s="136"/>
      <c r="BN71" s="86"/>
      <c r="BO71" s="1091"/>
      <c r="BP71" s="177"/>
      <c r="BQ71" s="177"/>
      <c r="BR71" s="178"/>
      <c r="BS71" s="177"/>
      <c r="BT71" s="177"/>
      <c r="BU71" s="177"/>
      <c r="CA71" s="182">
        <v>12</v>
      </c>
      <c r="CB71" s="178"/>
      <c r="CC71" s="177"/>
      <c r="CD71" s="177"/>
      <c r="CE71" s="177"/>
      <c r="CF71" s="177"/>
      <c r="CG71" s="177"/>
      <c r="CH71" s="117" t="b">
        <f>IF(CM85=23,7)</f>
        <v>0</v>
      </c>
      <c r="CI71" s="185"/>
      <c r="CJ71" s="185"/>
      <c r="CK71" s="118"/>
      <c r="CL71" s="185"/>
      <c r="CM71" s="185"/>
      <c r="CN71" s="185"/>
      <c r="CO71" s="118"/>
      <c r="CP71" s="118"/>
      <c r="CQ71" s="111"/>
      <c r="CR71" s="103" t="b">
        <f>IF(CM85=23,17)</f>
        <v>0</v>
      </c>
      <c r="CS71" s="78"/>
      <c r="CT71" s="78"/>
      <c r="CU71" s="78"/>
      <c r="CV71" s="78"/>
      <c r="CW71" s="78"/>
      <c r="CX71" s="78"/>
      <c r="CY71" s="78"/>
      <c r="CZ71" s="78"/>
      <c r="DA71" s="78"/>
      <c r="DB71" s="78"/>
      <c r="DC71" s="78"/>
      <c r="DD71" s="78"/>
      <c r="EK71" s="78"/>
      <c r="EL71" s="78"/>
    </row>
    <row r="72" spans="2:144" ht="21" hidden="1" thickBot="1" x14ac:dyDescent="0.25">
      <c r="B72" s="399"/>
      <c r="C72" s="399"/>
      <c r="G72" s="998"/>
      <c r="H72"/>
      <c r="I72"/>
      <c r="J72"/>
      <c r="K72"/>
      <c r="L72"/>
      <c r="M72"/>
      <c r="N72"/>
      <c r="O72" s="995"/>
      <c r="U72" s="114"/>
      <c r="AB72" s="114"/>
      <c r="AC72" s="114"/>
      <c r="AD72" s="114"/>
      <c r="AE72" s="114"/>
      <c r="BE72" s="136"/>
      <c r="BF72" s="136"/>
      <c r="BG72" s="136"/>
      <c r="BH72" s="136"/>
      <c r="BN72" s="86"/>
      <c r="BO72" s="1091"/>
      <c r="BP72" s="177"/>
      <c r="BQ72" s="177"/>
      <c r="BR72" s="178"/>
      <c r="BS72" s="177"/>
      <c r="BT72" s="177"/>
      <c r="BU72" s="177"/>
      <c r="CA72" s="182">
        <v>11</v>
      </c>
      <c r="CB72" s="178"/>
      <c r="CC72" s="177"/>
      <c r="CD72" s="177"/>
      <c r="CE72" s="177"/>
      <c r="CF72" s="117" t="b">
        <f>IF(CL85=22,5)</f>
        <v>0</v>
      </c>
      <c r="CG72" s="185"/>
      <c r="CH72" s="185"/>
      <c r="CI72" s="118"/>
      <c r="CJ72" s="185"/>
      <c r="CK72" s="118"/>
      <c r="CL72" s="185"/>
      <c r="CM72" s="118"/>
      <c r="CN72" s="185"/>
      <c r="CO72" s="118"/>
      <c r="CP72" s="118"/>
      <c r="CQ72" s="111"/>
      <c r="CR72" s="103" t="b">
        <f>IF(CL85=22,17)</f>
        <v>0</v>
      </c>
      <c r="CS72" s="78"/>
      <c r="CT72" s="78"/>
      <c r="CU72" s="78"/>
      <c r="CV72" s="78"/>
      <c r="CW72" s="78"/>
      <c r="CX72" s="78"/>
      <c r="CY72" s="78"/>
      <c r="CZ72" s="78"/>
      <c r="DA72" s="78"/>
      <c r="DB72" s="78"/>
      <c r="DC72" s="78"/>
      <c r="DD72" s="78"/>
      <c r="DG72" s="107"/>
      <c r="DH72" s="107"/>
      <c r="DI72" s="107"/>
      <c r="DJ72" s="107"/>
      <c r="DK72" s="107"/>
      <c r="DL72" s="108"/>
      <c r="DM72" s="107"/>
      <c r="DN72" s="107"/>
      <c r="DO72" s="107"/>
      <c r="DP72" s="107"/>
      <c r="DQ72" s="107"/>
      <c r="DR72" s="107"/>
      <c r="DS72" s="107"/>
      <c r="DT72" s="107"/>
      <c r="DU72" s="107"/>
      <c r="DV72" s="107"/>
      <c r="DW72" s="107"/>
      <c r="DX72" s="107"/>
      <c r="DY72" s="107"/>
      <c r="DZ72" s="107"/>
      <c r="EA72" s="107"/>
      <c r="EB72" s="107"/>
      <c r="EC72" s="107"/>
      <c r="ED72" s="108"/>
      <c r="EE72" s="78"/>
      <c r="EF72" s="78"/>
      <c r="EG72" s="78"/>
      <c r="EH72" s="78"/>
      <c r="EI72" s="78"/>
      <c r="EJ72" s="78"/>
      <c r="EK72" s="78"/>
      <c r="EL72" s="78"/>
    </row>
    <row r="73" spans="2:144" ht="21" hidden="1" thickBot="1" x14ac:dyDescent="0.25">
      <c r="B73" s="490"/>
      <c r="C73" s="399"/>
      <c r="D73" s="491"/>
      <c r="E73" s="492"/>
      <c r="F73" s="397"/>
      <c r="G73" s="998"/>
      <c r="H73"/>
      <c r="I73"/>
      <c r="J73"/>
      <c r="K73"/>
      <c r="L73"/>
      <c r="M73"/>
      <c r="N73"/>
      <c r="O73" s="995"/>
      <c r="U73" s="114"/>
      <c r="AB73" s="114"/>
      <c r="AC73" s="114"/>
      <c r="AD73" s="114"/>
      <c r="AE73" s="114"/>
      <c r="BE73" s="136"/>
      <c r="BF73" s="136"/>
      <c r="BG73" s="136"/>
      <c r="BH73" s="136"/>
      <c r="BN73" s="86"/>
      <c r="BO73" s="1091"/>
      <c r="BP73" s="177"/>
      <c r="BQ73" s="177"/>
      <c r="BR73" s="178"/>
      <c r="BS73" s="177"/>
      <c r="BT73" s="177"/>
      <c r="BU73" s="177"/>
      <c r="CA73" s="182">
        <v>10</v>
      </c>
      <c r="CB73" s="178"/>
      <c r="CC73" s="177"/>
      <c r="CD73" s="117" t="b">
        <f>IF(CK85=21,3)</f>
        <v>0</v>
      </c>
      <c r="CE73" s="185"/>
      <c r="CF73" s="185"/>
      <c r="CG73" s="118"/>
      <c r="CH73" s="118"/>
      <c r="CI73" s="118"/>
      <c r="CJ73" s="185"/>
      <c r="CK73" s="185"/>
      <c r="CL73" s="185"/>
      <c r="CM73" s="118"/>
      <c r="CN73" s="185"/>
      <c r="CO73" s="118"/>
      <c r="CP73" s="118"/>
      <c r="CQ73" s="111"/>
      <c r="CR73" s="103" t="b">
        <f>IF(CK85=21,17)</f>
        <v>0</v>
      </c>
      <c r="CS73" s="78"/>
      <c r="CT73" s="78"/>
      <c r="CU73" s="78"/>
      <c r="CV73" s="78"/>
      <c r="CW73" s="78"/>
      <c r="CX73" s="78"/>
      <c r="CY73" s="78"/>
      <c r="CZ73" s="78"/>
      <c r="DA73" s="78"/>
      <c r="DB73" s="78"/>
      <c r="DC73" s="78"/>
      <c r="DD73" s="78"/>
      <c r="DG73" s="107"/>
      <c r="DH73" s="107"/>
      <c r="DI73" s="107"/>
      <c r="DJ73" s="107"/>
      <c r="DK73" s="107"/>
      <c r="DL73" s="108"/>
      <c r="DM73" s="107"/>
      <c r="DN73" s="107"/>
      <c r="DO73" s="107"/>
      <c r="DP73" s="107"/>
      <c r="DQ73" s="107"/>
      <c r="DR73" s="107"/>
      <c r="DS73" s="107"/>
      <c r="DT73" s="107"/>
      <c r="DU73" s="107"/>
      <c r="DV73" s="107"/>
      <c r="DW73" s="107"/>
      <c r="DX73" s="107"/>
      <c r="DY73" s="107"/>
      <c r="DZ73" s="107"/>
      <c r="EA73" s="107"/>
      <c r="EB73" s="107"/>
      <c r="EC73" s="107"/>
      <c r="ED73" s="108"/>
      <c r="EE73" s="78"/>
      <c r="EF73" s="78"/>
      <c r="EG73" s="78"/>
      <c r="EH73" s="78"/>
      <c r="EI73" s="78"/>
      <c r="EJ73" s="78"/>
      <c r="EK73" s="78"/>
      <c r="EL73" s="78"/>
    </row>
    <row r="74" spans="2:144" ht="21" hidden="1" thickBot="1" x14ac:dyDescent="0.25">
      <c r="B74" s="488"/>
      <c r="C74" s="399"/>
      <c r="D74" s="488"/>
      <c r="E74" s="20"/>
      <c r="F74" s="397"/>
      <c r="G74" s="998"/>
      <c r="H74"/>
      <c r="I74"/>
      <c r="J74"/>
      <c r="K74"/>
      <c r="L74"/>
      <c r="M74"/>
      <c r="N74"/>
      <c r="O74" s="995"/>
      <c r="U74" s="114"/>
      <c r="AB74" s="114"/>
      <c r="AC74" s="114"/>
      <c r="AD74" s="114"/>
      <c r="AE74" s="114"/>
      <c r="BE74" s="136"/>
      <c r="BF74" s="136"/>
      <c r="BG74" s="136"/>
      <c r="BH74" s="136"/>
      <c r="BN74" s="86"/>
      <c r="BO74" s="1091"/>
      <c r="BP74" s="177"/>
      <c r="BQ74" s="177"/>
      <c r="BR74" s="178"/>
      <c r="BS74" s="177"/>
      <c r="BT74" s="177"/>
      <c r="BU74" s="177"/>
      <c r="CA74" s="182">
        <v>9</v>
      </c>
      <c r="CB74" s="117" t="b">
        <f>IF(CJ85=20,1)</f>
        <v>0</v>
      </c>
      <c r="CC74" s="185"/>
      <c r="CD74" s="185"/>
      <c r="CE74" s="118"/>
      <c r="CF74" s="185"/>
      <c r="CG74" s="185"/>
      <c r="CH74" s="185"/>
      <c r="CI74" s="185"/>
      <c r="CJ74" s="185"/>
      <c r="CK74" s="185"/>
      <c r="CL74" s="185"/>
      <c r="CM74" s="185"/>
      <c r="CN74" s="185"/>
      <c r="CO74" s="118"/>
      <c r="CP74" s="118"/>
      <c r="CQ74" s="111"/>
      <c r="CR74" s="103" t="b">
        <f>IF(CJ85=20,17)</f>
        <v>0</v>
      </c>
      <c r="CS74" s="78"/>
      <c r="CT74" s="78"/>
      <c r="CU74" s="78"/>
      <c r="CV74" s="78"/>
      <c r="CW74" s="78"/>
      <c r="CX74" s="78"/>
      <c r="CY74" s="78"/>
      <c r="CZ74" s="78"/>
      <c r="DA74" s="78"/>
      <c r="DB74" s="78"/>
      <c r="DC74" s="78"/>
      <c r="DD74" s="78"/>
      <c r="EK74" s="78"/>
      <c r="EL74" s="78"/>
    </row>
    <row r="75" spans="2:144" ht="21" hidden="1" thickBot="1" x14ac:dyDescent="0.25">
      <c r="B75" s="399"/>
      <c r="C75" s="399"/>
      <c r="F75" s="397"/>
      <c r="G75" s="998"/>
      <c r="H75"/>
      <c r="I75"/>
      <c r="J75"/>
      <c r="K75"/>
      <c r="L75"/>
      <c r="M75"/>
      <c r="N75"/>
      <c r="O75" s="995"/>
      <c r="U75" s="114"/>
      <c r="AB75" s="114"/>
      <c r="AC75" s="114"/>
      <c r="AD75" s="114"/>
      <c r="AE75" s="114"/>
      <c r="BE75" s="136"/>
      <c r="BF75" s="136"/>
      <c r="BG75" s="136"/>
      <c r="BH75" s="136"/>
      <c r="BN75" s="86"/>
      <c r="BO75" s="1091"/>
      <c r="BP75" s="177"/>
      <c r="BQ75" s="177"/>
      <c r="BR75" s="178"/>
      <c r="BS75" s="177"/>
      <c r="BT75" s="177"/>
      <c r="BU75" s="177"/>
      <c r="CA75" s="182">
        <v>8</v>
      </c>
      <c r="CB75" s="120" t="b">
        <f>IF(CI85=19,1)</f>
        <v>0</v>
      </c>
      <c r="CC75" s="122"/>
      <c r="CD75" s="186"/>
      <c r="CE75" s="186"/>
      <c r="CF75" s="186"/>
      <c r="CG75" s="186"/>
      <c r="CH75" s="186"/>
      <c r="CI75" s="186"/>
      <c r="CJ75" s="186"/>
      <c r="CK75" s="186"/>
      <c r="CL75" s="186"/>
      <c r="CM75" s="186"/>
      <c r="CN75" s="186"/>
      <c r="CO75" s="122"/>
      <c r="CP75" s="124" t="b">
        <f>IF(CI85=19,15)</f>
        <v>0</v>
      </c>
      <c r="CQ75" s="78"/>
      <c r="CR75" s="78"/>
      <c r="CS75" s="78"/>
      <c r="CT75" s="78"/>
      <c r="CU75" s="78"/>
      <c r="CV75" s="78"/>
      <c r="CW75" s="78"/>
      <c r="CX75" s="78"/>
      <c r="CY75" s="78"/>
      <c r="CZ75" s="78"/>
      <c r="DA75" s="78"/>
      <c r="DB75" s="78"/>
      <c r="DC75" s="78"/>
      <c r="DD75" s="78"/>
      <c r="EK75" s="78"/>
      <c r="EL75" s="78"/>
    </row>
    <row r="76" spans="2:144" ht="21" hidden="1" thickBot="1" x14ac:dyDescent="0.25">
      <c r="B76" s="399"/>
      <c r="C76" s="399"/>
      <c r="G76" s="998"/>
      <c r="H76"/>
      <c r="I76"/>
      <c r="J76"/>
      <c r="K76"/>
      <c r="L76"/>
      <c r="M76"/>
      <c r="N76"/>
      <c r="O76" s="995"/>
      <c r="U76" s="114"/>
      <c r="AB76" s="114"/>
      <c r="AC76" s="114"/>
      <c r="AD76" s="114"/>
      <c r="AE76" s="114"/>
      <c r="BE76" s="136"/>
      <c r="BF76" s="136"/>
      <c r="BG76" s="136"/>
      <c r="BH76" s="136"/>
      <c r="BN76" s="86"/>
      <c r="BO76" s="1091"/>
      <c r="BP76" s="177"/>
      <c r="BQ76" s="177"/>
      <c r="BR76" s="178"/>
      <c r="BS76" s="177"/>
      <c r="BT76" s="177"/>
      <c r="BU76" s="177"/>
      <c r="CA76" s="182">
        <v>7</v>
      </c>
      <c r="CB76" s="120" t="b">
        <f>IF(CH85=18,1)</f>
        <v>0</v>
      </c>
      <c r="CC76" s="186"/>
      <c r="CD76" s="186"/>
      <c r="CE76" s="186"/>
      <c r="CF76" s="186"/>
      <c r="CG76" s="186"/>
      <c r="CH76" s="186"/>
      <c r="CI76" s="186"/>
      <c r="CJ76" s="186"/>
      <c r="CK76" s="186"/>
      <c r="CL76" s="186"/>
      <c r="CM76" s="186"/>
      <c r="CN76" s="124" t="b">
        <f>IF(CH85=18,13)</f>
        <v>0</v>
      </c>
      <c r="CO76" s="178"/>
      <c r="CQ76" s="78"/>
      <c r="CR76" s="78"/>
      <c r="CS76" s="78"/>
      <c r="CT76" s="78"/>
      <c r="CU76" s="78"/>
      <c r="CV76" s="78"/>
      <c r="CW76" s="78"/>
      <c r="CX76" s="78"/>
      <c r="CY76" s="78"/>
      <c r="CZ76" s="78"/>
      <c r="DA76" s="78"/>
      <c r="DB76" s="78"/>
      <c r="DC76" s="78"/>
      <c r="DD76" s="78"/>
      <c r="EK76" s="78"/>
      <c r="EL76" s="78"/>
    </row>
    <row r="77" spans="2:144" ht="21" hidden="1" thickBot="1" x14ac:dyDescent="0.25">
      <c r="G77" s="998"/>
      <c r="H77"/>
      <c r="I77"/>
      <c r="J77"/>
      <c r="K77"/>
      <c r="L77"/>
      <c r="M77"/>
      <c r="N77"/>
      <c r="O77" s="995"/>
      <c r="U77" s="114"/>
      <c r="AB77" s="114"/>
      <c r="AC77" s="114"/>
      <c r="AD77" s="114"/>
      <c r="AE77" s="114"/>
      <c r="BE77" s="136"/>
      <c r="BF77" s="136"/>
      <c r="BG77" s="136"/>
      <c r="BH77" s="136"/>
      <c r="BN77" s="86"/>
      <c r="BO77" s="1091"/>
      <c r="BP77" s="177"/>
      <c r="BQ77" s="177"/>
      <c r="BR77" s="178"/>
      <c r="BS77" s="177"/>
      <c r="BT77" s="177"/>
      <c r="BU77" s="177"/>
      <c r="CA77" s="182">
        <v>6</v>
      </c>
      <c r="CB77" s="120">
        <f>IF(CG85=17,1)</f>
        <v>1</v>
      </c>
      <c r="CC77" s="186"/>
      <c r="CD77" s="186"/>
      <c r="CE77" s="186"/>
      <c r="CF77" s="186"/>
      <c r="CG77" s="186"/>
      <c r="CH77" s="186"/>
      <c r="CI77" s="186"/>
      <c r="CJ77" s="186"/>
      <c r="CK77" s="186"/>
      <c r="CL77" s="124">
        <f>IF(CG85=17,11)</f>
        <v>11</v>
      </c>
      <c r="CM77" s="177"/>
      <c r="CN77" s="177"/>
      <c r="CO77" s="178"/>
      <c r="CQ77" s="78"/>
      <c r="CR77" s="78"/>
      <c r="CS77" s="78"/>
      <c r="CT77" s="78"/>
      <c r="CU77" s="78"/>
      <c r="CV77" s="78"/>
      <c r="CW77" s="78"/>
      <c r="CX77" s="78"/>
      <c r="CY77" s="78"/>
      <c r="CZ77" s="78"/>
      <c r="DA77" s="78"/>
      <c r="DB77" s="78"/>
      <c r="DC77" s="78"/>
      <c r="DD77" s="78"/>
      <c r="EK77" s="78"/>
      <c r="EL77" s="78"/>
    </row>
    <row r="78" spans="2:144" ht="21" hidden="1" thickBot="1" x14ac:dyDescent="0.25">
      <c r="G78" s="998"/>
      <c r="H78"/>
      <c r="I78"/>
      <c r="J78"/>
      <c r="K78"/>
      <c r="L78"/>
      <c r="M78"/>
      <c r="N78"/>
      <c r="O78" s="995"/>
      <c r="U78" s="114"/>
      <c r="AB78" s="114"/>
      <c r="AC78" s="114"/>
      <c r="AD78" s="114"/>
      <c r="AE78" s="114"/>
      <c r="BE78" s="136"/>
      <c r="BF78" s="136"/>
      <c r="BG78" s="136"/>
      <c r="BH78" s="136"/>
      <c r="BN78" s="86"/>
      <c r="BO78" s="1091"/>
      <c r="BP78" s="177"/>
      <c r="BQ78" s="177"/>
      <c r="BR78" s="178"/>
      <c r="BS78" s="177"/>
      <c r="BT78" s="177"/>
      <c r="BU78" s="177"/>
      <c r="CA78" s="182">
        <v>5</v>
      </c>
      <c r="CB78" s="117" t="b">
        <f>IF(CF85=16,1)</f>
        <v>0</v>
      </c>
      <c r="CC78" s="185"/>
      <c r="CD78" s="185"/>
      <c r="CE78" s="118"/>
      <c r="CF78" s="185"/>
      <c r="CG78" s="118"/>
      <c r="CH78" s="185"/>
      <c r="CI78" s="185"/>
      <c r="CJ78" s="103" t="b">
        <f>IF(CF85=16,9)</f>
        <v>0</v>
      </c>
      <c r="CK78" s="177"/>
      <c r="CL78" s="177"/>
      <c r="CM78" s="177"/>
      <c r="CN78" s="177"/>
      <c r="CO78" s="178"/>
      <c r="CQ78" s="78"/>
      <c r="CR78" s="78"/>
      <c r="CS78" s="78"/>
      <c r="CT78" s="78"/>
      <c r="CU78" s="78"/>
      <c r="CV78" s="78"/>
      <c r="CW78" s="78"/>
      <c r="CX78" s="78"/>
      <c r="CY78" s="78"/>
      <c r="CZ78" s="78"/>
      <c r="DA78" s="78"/>
      <c r="DB78" s="78"/>
      <c r="DC78" s="78"/>
      <c r="DD78" s="78"/>
      <c r="EK78" s="78"/>
      <c r="EL78" s="78"/>
    </row>
    <row r="79" spans="2:144" ht="21" hidden="1" thickBot="1" x14ac:dyDescent="0.25">
      <c r="B79" s="406"/>
      <c r="C79" s="406"/>
      <c r="D79" s="407"/>
      <c r="E79" s="407"/>
      <c r="F79" s="407"/>
      <c r="G79" s="1008"/>
      <c r="H79"/>
      <c r="I79"/>
      <c r="J79"/>
      <c r="K79"/>
      <c r="L79"/>
      <c r="M79"/>
      <c r="N79"/>
      <c r="O79" s="995"/>
      <c r="BD79" s="126"/>
      <c r="BE79" s="136"/>
      <c r="BF79" s="136"/>
      <c r="BG79" s="136"/>
      <c r="BH79" s="136"/>
      <c r="BN79" s="86"/>
      <c r="BO79" s="1091"/>
      <c r="BP79" s="177"/>
      <c r="BQ79" s="177"/>
      <c r="BR79" s="178"/>
      <c r="BS79" s="177"/>
      <c r="BT79" s="177"/>
      <c r="BU79" s="177"/>
      <c r="CA79" s="182">
        <v>4</v>
      </c>
      <c r="CB79" s="117" t="b">
        <f>IF(CE85=15,1)</f>
        <v>0</v>
      </c>
      <c r="CC79" s="118"/>
      <c r="CD79" s="118"/>
      <c r="CE79" s="185"/>
      <c r="CF79" s="118"/>
      <c r="CG79" s="118"/>
      <c r="CH79" s="103" t="b">
        <f>IF(CE85=15,7)</f>
        <v>0</v>
      </c>
      <c r="CI79" s="177"/>
      <c r="CJ79" s="177"/>
      <c r="CK79" s="177"/>
      <c r="CL79" s="177"/>
      <c r="CM79" s="177"/>
      <c r="CN79" s="177"/>
      <c r="CO79" s="178"/>
      <c r="CQ79" s="78"/>
      <c r="CR79" s="78"/>
      <c r="CS79" s="78"/>
      <c r="CT79" s="78"/>
      <c r="CU79" s="78"/>
      <c r="CV79" s="78"/>
      <c r="CW79" s="78"/>
      <c r="CX79" s="78"/>
      <c r="CY79" s="78"/>
      <c r="CZ79" s="78"/>
      <c r="DA79" s="78"/>
      <c r="DB79" s="78"/>
      <c r="DC79" s="78"/>
      <c r="DD79" s="78"/>
      <c r="EK79" s="78"/>
      <c r="EL79" s="78"/>
    </row>
    <row r="80" spans="2:144" ht="21" hidden="1" thickBot="1" x14ac:dyDescent="0.25">
      <c r="G80" s="998"/>
      <c r="H80"/>
      <c r="I80"/>
      <c r="J80"/>
      <c r="K80"/>
      <c r="L80"/>
      <c r="M80"/>
      <c r="N80"/>
      <c r="O80" s="995"/>
      <c r="BD80" s="126"/>
      <c r="BE80" s="136"/>
      <c r="BF80" s="136"/>
      <c r="BG80" s="136"/>
      <c r="BH80" s="136"/>
      <c r="BN80" s="86"/>
      <c r="BO80" s="1091"/>
      <c r="BP80" s="177"/>
      <c r="BQ80" s="177"/>
      <c r="BR80" s="178"/>
      <c r="BS80" s="177"/>
      <c r="BT80" s="177"/>
      <c r="BU80" s="177"/>
      <c r="CA80" s="182">
        <v>3</v>
      </c>
      <c r="CB80" s="120" t="b">
        <f>IF(CD85=14,1)</f>
        <v>0</v>
      </c>
      <c r="CC80" s="186"/>
      <c r="CD80" s="186"/>
      <c r="CE80" s="186"/>
      <c r="CF80" s="124" t="b">
        <f>IF(CD85=14,5)</f>
        <v>0</v>
      </c>
      <c r="CG80" s="177"/>
      <c r="CH80" s="177"/>
      <c r="CI80" s="177"/>
      <c r="CJ80" s="177"/>
      <c r="CK80" s="177"/>
      <c r="CL80" s="177"/>
      <c r="CM80" s="177"/>
      <c r="CN80" s="177"/>
      <c r="CO80" s="178"/>
      <c r="CQ80" s="78"/>
      <c r="CR80" s="78"/>
      <c r="CS80" s="78"/>
      <c r="CT80" s="78"/>
      <c r="CU80" s="78"/>
      <c r="CV80" s="78"/>
      <c r="CW80" s="78"/>
      <c r="CX80" s="78"/>
      <c r="CY80" s="78"/>
      <c r="CZ80" s="78"/>
      <c r="DA80" s="78"/>
      <c r="DB80" s="78"/>
      <c r="DC80" s="78"/>
      <c r="DD80" s="78"/>
      <c r="EK80" s="78"/>
      <c r="EL80" s="78"/>
    </row>
    <row r="81" spans="2:142" ht="21" hidden="1" thickBot="1" x14ac:dyDescent="0.25">
      <c r="B81"/>
      <c r="G81" s="998"/>
      <c r="H81"/>
      <c r="I81"/>
      <c r="J81"/>
      <c r="K81"/>
      <c r="L81"/>
      <c r="M81"/>
      <c r="N81"/>
      <c r="O81" s="995"/>
      <c r="BD81" s="126"/>
      <c r="BE81" s="136"/>
      <c r="BF81" s="136"/>
      <c r="BG81" s="136"/>
      <c r="BH81" s="136"/>
      <c r="BN81" s="86"/>
      <c r="BO81" s="1091"/>
      <c r="BP81" s="177"/>
      <c r="BQ81" s="177"/>
      <c r="BR81" s="178"/>
      <c r="BS81" s="177"/>
      <c r="BT81" s="177"/>
      <c r="BU81" s="177"/>
      <c r="CA81" s="182">
        <v>2</v>
      </c>
      <c r="CB81" s="120" t="b">
        <f>IF(CC85=13,1)</f>
        <v>0</v>
      </c>
      <c r="CC81" s="186"/>
      <c r="CD81" s="124" t="b">
        <f>IF(CC85=13,3)</f>
        <v>0</v>
      </c>
      <c r="CE81" s="177"/>
      <c r="CF81" s="177"/>
      <c r="CG81" s="177"/>
      <c r="CH81" s="177"/>
      <c r="CI81" s="177"/>
      <c r="CJ81" s="177"/>
      <c r="CK81" s="177"/>
      <c r="CL81" s="177"/>
      <c r="CM81" s="177"/>
      <c r="CN81" s="177"/>
      <c r="CO81" s="178"/>
      <c r="CQ81" s="78"/>
      <c r="CR81" s="78"/>
      <c r="CS81" s="78"/>
      <c r="CT81" s="78"/>
      <c r="CU81" s="78"/>
      <c r="CV81" s="78"/>
      <c r="CW81" s="78"/>
      <c r="CX81" s="78"/>
      <c r="CY81" s="78"/>
      <c r="CZ81" s="78"/>
      <c r="DA81" s="78"/>
      <c r="DB81" s="78"/>
      <c r="DC81" s="78"/>
      <c r="DD81" s="78"/>
      <c r="EK81" s="78"/>
      <c r="EL81" s="78"/>
    </row>
    <row r="82" spans="2:142" ht="16" hidden="1" customHeight="1" thickBot="1" x14ac:dyDescent="0.25">
      <c r="B82" s="406"/>
      <c r="C82" s="406"/>
      <c r="D82" s="407"/>
      <c r="E82" s="407"/>
      <c r="F82" s="407"/>
      <c r="G82" s="998"/>
      <c r="H82"/>
      <c r="I82"/>
      <c r="J82"/>
      <c r="K82"/>
      <c r="L82"/>
      <c r="M82"/>
      <c r="N82"/>
      <c r="O82" s="995"/>
      <c r="BD82" s="126"/>
      <c r="BE82" s="136"/>
      <c r="BF82" s="136"/>
      <c r="BG82" s="136"/>
      <c r="BH82" s="136"/>
      <c r="BN82" s="86"/>
      <c r="BO82" s="1091"/>
      <c r="BP82" s="177"/>
      <c r="BQ82" s="177"/>
      <c r="BR82" s="178"/>
      <c r="BS82" s="177"/>
      <c r="BT82" s="177"/>
      <c r="BU82" s="177"/>
      <c r="BV82" s="76"/>
      <c r="BW82" s="177"/>
      <c r="CA82" s="177"/>
      <c r="CB82" s="177"/>
      <c r="CC82" s="177"/>
      <c r="CD82" s="177"/>
      <c r="CE82" s="177"/>
      <c r="CF82" s="177"/>
      <c r="CG82" s="177"/>
      <c r="CH82" s="177"/>
      <c r="CI82" s="177"/>
      <c r="CJ82" s="177"/>
      <c r="CK82" s="177"/>
      <c r="CL82" s="178"/>
      <c r="CM82" s="107"/>
      <c r="CN82" s="107"/>
      <c r="CO82" s="107"/>
      <c r="CQ82" s="78"/>
      <c r="CR82" s="78"/>
      <c r="CS82" s="78"/>
      <c r="CT82" s="78"/>
      <c r="CU82" s="78"/>
      <c r="CV82" s="78"/>
      <c r="CW82" s="78"/>
      <c r="CX82" s="78"/>
      <c r="CY82" s="78"/>
      <c r="CZ82" s="78"/>
      <c r="DA82" s="78"/>
      <c r="DB82" s="78"/>
      <c r="DC82" s="78"/>
      <c r="DD82" s="78"/>
      <c r="EK82" s="78"/>
      <c r="EL82" s="78"/>
    </row>
    <row r="83" spans="2:142" ht="42.75" customHeight="1" thickBot="1" x14ac:dyDescent="0.3">
      <c r="B83" s="406"/>
      <c r="C83" s="406"/>
      <c r="D83" s="407"/>
      <c r="E83" s="407"/>
      <c r="F83" s="407"/>
      <c r="G83" s="998"/>
      <c r="H83"/>
      <c r="I83"/>
      <c r="J83"/>
      <c r="K83" s="988">
        <v>5</v>
      </c>
      <c r="L83"/>
      <c r="M83" s="988">
        <v>51</v>
      </c>
      <c r="N83"/>
      <c r="O83" s="995"/>
      <c r="BD83" s="126"/>
      <c r="BE83" s="136"/>
      <c r="BF83" s="136"/>
      <c r="BG83" s="136"/>
      <c r="BH83" s="136"/>
      <c r="BI83" s="136"/>
      <c r="BK83" s="136"/>
      <c r="BL83" s="136"/>
      <c r="BM83" s="402"/>
      <c r="BN83" s="188"/>
      <c r="BO83" s="1095" t="s">
        <v>128</v>
      </c>
      <c r="BP83" s="746" t="s">
        <v>125</v>
      </c>
      <c r="BQ83" s="190"/>
      <c r="BR83" s="191"/>
      <c r="BS83" s="191"/>
      <c r="BT83" s="191"/>
      <c r="BU83" s="191"/>
      <c r="BV83" s="191"/>
      <c r="BW83" s="191"/>
      <c r="BX83" s="191"/>
      <c r="BY83" s="191"/>
      <c r="BZ83" s="191"/>
      <c r="CA83" s="191"/>
      <c r="CB83" s="758">
        <f>SUM(CB67:CB82)</f>
        <v>1</v>
      </c>
      <c r="CC83" s="759">
        <f t="shared" ref="CC83:CR83" si="0">SUM(CC67:CC82)</f>
        <v>0</v>
      </c>
      <c r="CD83" s="759">
        <f t="shared" si="0"/>
        <v>0</v>
      </c>
      <c r="CE83" s="759">
        <f t="shared" si="0"/>
        <v>0</v>
      </c>
      <c r="CF83" s="759">
        <f t="shared" si="0"/>
        <v>0</v>
      </c>
      <c r="CG83" s="759">
        <f t="shared" si="0"/>
        <v>0</v>
      </c>
      <c r="CH83" s="759">
        <f t="shared" si="0"/>
        <v>0</v>
      </c>
      <c r="CI83" s="759">
        <f t="shared" si="0"/>
        <v>0</v>
      </c>
      <c r="CJ83" s="759">
        <f t="shared" si="0"/>
        <v>0</v>
      </c>
      <c r="CK83" s="759">
        <f t="shared" si="0"/>
        <v>0</v>
      </c>
      <c r="CL83" s="759">
        <f t="shared" si="0"/>
        <v>11</v>
      </c>
      <c r="CM83" s="759">
        <f t="shared" si="0"/>
        <v>0</v>
      </c>
      <c r="CN83" s="759">
        <f t="shared" si="0"/>
        <v>0</v>
      </c>
      <c r="CO83" s="759">
        <f t="shared" si="0"/>
        <v>0</v>
      </c>
      <c r="CP83" s="759">
        <f t="shared" si="0"/>
        <v>0</v>
      </c>
      <c r="CQ83" s="759">
        <f t="shared" si="0"/>
        <v>0</v>
      </c>
      <c r="CR83" s="760">
        <f t="shared" si="0"/>
        <v>0</v>
      </c>
      <c r="CS83" s="191"/>
      <c r="CT83" s="191"/>
      <c r="CU83" s="192"/>
      <c r="CV83" s="192"/>
      <c r="CW83" s="192"/>
      <c r="CX83" s="192"/>
      <c r="CY83" s="192"/>
      <c r="CZ83" s="192"/>
      <c r="DA83" s="193"/>
      <c r="DB83" s="89"/>
      <c r="DC83" s="78"/>
      <c r="DD83" s="78"/>
      <c r="EK83" s="78"/>
      <c r="EL83" s="78"/>
    </row>
    <row r="84" spans="2:142" ht="42.75" customHeight="1" thickBot="1" x14ac:dyDescent="0.3"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BD84" s="136"/>
      <c r="BE84" s="136"/>
      <c r="BF84" s="136"/>
      <c r="BG84" s="136"/>
      <c r="BH84" s="136"/>
      <c r="BI84" s="136"/>
      <c r="BJ84" s="136"/>
      <c r="BK84" s="136"/>
      <c r="BL84" s="968">
        <v>4</v>
      </c>
      <c r="BM84" s="1762" t="b">
        <f>AND(BO84&gt;=10,$BA$138&gt;=10,$BB$138&gt;=10,$BA$171&gt;=10,$BB$171&gt;=10,$BA$195&gt;=10,$BB$195&gt;=10)</f>
        <v>1</v>
      </c>
      <c r="BN84" s="84" t="str">
        <f>IF(BM84=TRUE,"O K","OVERLOAD")</f>
        <v>O K</v>
      </c>
      <c r="BO84" s="982">
        <f>+$E$20/(BQ53/2)</f>
        <v>60.150375939849624</v>
      </c>
      <c r="BP84" s="194"/>
      <c r="BQ84" s="107"/>
      <c r="BR84" s="108"/>
      <c r="BS84" s="107"/>
      <c r="BT84" s="107"/>
      <c r="BU84" s="107"/>
      <c r="BV84" s="108"/>
      <c r="BW84" s="107"/>
      <c r="BX84" s="107"/>
      <c r="BY84" s="107"/>
      <c r="BZ84" s="107"/>
      <c r="CA84" s="107"/>
      <c r="CB84" s="107"/>
      <c r="CC84" s="107"/>
      <c r="CD84" s="107"/>
      <c r="CE84" s="107"/>
      <c r="CF84" s="107"/>
      <c r="CG84" s="107"/>
      <c r="CH84" s="107"/>
      <c r="CI84" s="107"/>
      <c r="CJ84" s="107"/>
      <c r="CK84" s="107"/>
      <c r="CL84" s="107"/>
      <c r="CM84" s="107"/>
      <c r="CN84" s="107"/>
      <c r="CO84" s="107"/>
      <c r="CP84" s="107"/>
      <c r="CQ84" s="107"/>
      <c r="CR84" s="107"/>
      <c r="CS84" s="78"/>
      <c r="CT84" s="78"/>
      <c r="CU84" s="78"/>
      <c r="CV84" s="78"/>
      <c r="CW84" s="78"/>
      <c r="CX84" s="78"/>
      <c r="CY84" s="78"/>
      <c r="CZ84" s="78"/>
      <c r="DA84" s="78"/>
      <c r="DB84" s="78"/>
      <c r="DC84" s="78"/>
      <c r="DD84" s="78"/>
      <c r="EK84" s="78"/>
      <c r="EL84" s="78"/>
    </row>
    <row r="85" spans="2:142" ht="60" hidden="1" customHeight="1" thickBot="1" x14ac:dyDescent="0.3">
      <c r="B85" s="408"/>
      <c r="C85" s="408"/>
      <c r="G85" s="998"/>
      <c r="H85"/>
      <c r="I85"/>
      <c r="J85" s="1067" t="s">
        <v>260</v>
      </c>
      <c r="K85" s="1052">
        <f>+MIN(J19:K20)</f>
        <v>30.075187969924812</v>
      </c>
      <c r="L85" s="1051">
        <f>+$E$20/(BQ53)</f>
        <v>30.075187969924812</v>
      </c>
      <c r="M85" s="1051">
        <f>+MIN(K25:L26)</f>
        <v>30.075187969924812</v>
      </c>
      <c r="N85"/>
      <c r="O85" s="995"/>
      <c r="U85" s="187"/>
      <c r="V85" s="187"/>
      <c r="W85" s="187"/>
      <c r="X85" s="187"/>
      <c r="Y85" s="187"/>
      <c r="Z85" s="187"/>
      <c r="AA85" s="187"/>
      <c r="AF85" s="187"/>
      <c r="AG85" s="187"/>
      <c r="AH85" s="187"/>
      <c r="AI85" s="187"/>
      <c r="AJ85" s="187"/>
      <c r="AK85" s="187"/>
      <c r="AL85" s="187"/>
      <c r="AM85" s="187"/>
      <c r="AN85" s="187"/>
      <c r="AO85" s="187"/>
      <c r="AP85" s="187"/>
      <c r="AQ85" s="187"/>
      <c r="AR85" s="187"/>
      <c r="AS85" s="187"/>
      <c r="AT85" s="187"/>
      <c r="AU85" s="187"/>
      <c r="AV85" s="187"/>
      <c r="AW85" s="187"/>
      <c r="AX85" s="187"/>
      <c r="AY85" s="187"/>
      <c r="AZ85" s="187"/>
      <c r="BA85" s="187"/>
      <c r="BB85" s="187"/>
      <c r="BC85" s="126"/>
      <c r="BD85" s="136"/>
      <c r="BE85" s="136"/>
      <c r="BF85" s="136"/>
      <c r="BG85" s="136"/>
      <c r="BH85" s="136"/>
      <c r="BI85" s="136"/>
      <c r="BJ85" s="136"/>
      <c r="BK85" s="136"/>
      <c r="BL85" s="136"/>
      <c r="BM85" s="402"/>
      <c r="BN85" s="188"/>
      <c r="BO85" s="1091"/>
      <c r="BP85" s="76"/>
      <c r="BQ85" s="195" t="b">
        <f>+BK174</f>
        <v>0</v>
      </c>
      <c r="BR85" s="195" t="b">
        <f>+BK175</f>
        <v>0</v>
      </c>
      <c r="BS85" s="195" t="b">
        <f>+BK176</f>
        <v>0</v>
      </c>
      <c r="BT85" s="195" t="b">
        <f>+BK177</f>
        <v>0</v>
      </c>
      <c r="BU85" s="195" t="b">
        <f>+BK178</f>
        <v>0</v>
      </c>
      <c r="BV85" s="195" t="b">
        <f>+BK179</f>
        <v>0</v>
      </c>
      <c r="BW85" s="195" t="b">
        <f>+BK180</f>
        <v>0</v>
      </c>
      <c r="BX85" s="195" t="b">
        <f>+BK181</f>
        <v>0</v>
      </c>
      <c r="BY85" s="195" t="b">
        <f>+BK182</f>
        <v>0</v>
      </c>
      <c r="BZ85" s="195" t="b">
        <f>+BK183</f>
        <v>0</v>
      </c>
      <c r="CA85" s="195" t="b">
        <f>+BK184</f>
        <v>0</v>
      </c>
      <c r="CB85" s="195" t="b">
        <f>+BK185</f>
        <v>0</v>
      </c>
      <c r="CC85" s="195" t="b">
        <f>+BK186</f>
        <v>0</v>
      </c>
      <c r="CD85" s="195" t="b">
        <f>+BK187</f>
        <v>0</v>
      </c>
      <c r="CE85" s="195" t="b">
        <f>+BK188</f>
        <v>0</v>
      </c>
      <c r="CF85" s="195" t="b">
        <f>+BK189</f>
        <v>0</v>
      </c>
      <c r="CG85" s="195">
        <f>+BK190</f>
        <v>17</v>
      </c>
      <c r="CH85" s="195" t="b">
        <f>+BK191</f>
        <v>0</v>
      </c>
      <c r="CI85" s="195" t="b">
        <f>+BK192</f>
        <v>0</v>
      </c>
      <c r="CJ85" s="195" t="b">
        <f>+BK193</f>
        <v>0</v>
      </c>
      <c r="CK85" s="195" t="b">
        <f>+BK194</f>
        <v>0</v>
      </c>
      <c r="CL85" s="195" t="b">
        <f>+BK195</f>
        <v>0</v>
      </c>
      <c r="CM85" s="195" t="b">
        <f>+BK196</f>
        <v>0</v>
      </c>
      <c r="CN85" s="195" t="b">
        <f>+BK197</f>
        <v>0</v>
      </c>
      <c r="CO85" s="195" t="b">
        <f>+BK198</f>
        <v>0</v>
      </c>
      <c r="CP85" s="195" t="b">
        <f>+BK199</f>
        <v>0</v>
      </c>
      <c r="CQ85" s="195" t="b">
        <f>+BK200</f>
        <v>0</v>
      </c>
      <c r="CR85" s="195" t="b">
        <f>+BK201</f>
        <v>0</v>
      </c>
      <c r="CS85" s="195" t="b">
        <f>+BK202</f>
        <v>0</v>
      </c>
      <c r="CT85" s="195" t="b">
        <f>+BK203</f>
        <v>0</v>
      </c>
      <c r="CU85" s="195" t="b">
        <f>+BK204</f>
        <v>0</v>
      </c>
      <c r="CV85" s="195" t="b">
        <f>+BK205</f>
        <v>0</v>
      </c>
      <c r="CW85" s="195" t="b">
        <f>+BK206</f>
        <v>0</v>
      </c>
      <c r="CX85" s="195" t="b">
        <f>+BK207</f>
        <v>0</v>
      </c>
      <c r="CY85" s="195" t="b">
        <f>+BK208</f>
        <v>0</v>
      </c>
      <c r="CZ85" s="195" t="b">
        <f>+BK209</f>
        <v>0</v>
      </c>
      <c r="DA85" s="195" t="b">
        <f>+BK210</f>
        <v>0</v>
      </c>
      <c r="DB85" s="196"/>
      <c r="DC85" s="78"/>
      <c r="DD85" s="78"/>
      <c r="EK85" s="78"/>
      <c r="EL85" s="78"/>
    </row>
    <row r="86" spans="2:142" ht="21" hidden="1" thickBot="1" x14ac:dyDescent="0.25">
      <c r="E86" s="208"/>
      <c r="F86" s="208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BD86" s="136"/>
      <c r="BE86" s="136"/>
      <c r="BF86" s="136"/>
      <c r="BG86" s="136"/>
      <c r="BH86" s="136"/>
      <c r="BI86" s="136"/>
      <c r="BJ86" s="136"/>
      <c r="BK86" s="136"/>
      <c r="BL86" s="136"/>
      <c r="BM86" s="402"/>
      <c r="BN86" s="188"/>
      <c r="BO86" s="1091"/>
      <c r="BP86" s="78"/>
      <c r="BQ86" s="196" t="b">
        <f>+BQ85</f>
        <v>0</v>
      </c>
      <c r="BR86" s="196" t="b">
        <f t="shared" ref="BR86:CI86" si="1">+BR85</f>
        <v>0</v>
      </c>
      <c r="BS86" s="196" t="b">
        <f t="shared" si="1"/>
        <v>0</v>
      </c>
      <c r="BT86" s="196" t="b">
        <f t="shared" si="1"/>
        <v>0</v>
      </c>
      <c r="BU86" s="196" t="b">
        <f t="shared" si="1"/>
        <v>0</v>
      </c>
      <c r="BV86" s="196" t="b">
        <f t="shared" si="1"/>
        <v>0</v>
      </c>
      <c r="BW86" s="196" t="b">
        <f>+BW85</f>
        <v>0</v>
      </c>
      <c r="BX86" s="196" t="b">
        <f t="shared" si="1"/>
        <v>0</v>
      </c>
      <c r="BY86" s="196" t="b">
        <f t="shared" si="1"/>
        <v>0</v>
      </c>
      <c r="BZ86" s="196" t="b">
        <f t="shared" si="1"/>
        <v>0</v>
      </c>
      <c r="CA86" s="196" t="b">
        <f t="shared" si="1"/>
        <v>0</v>
      </c>
      <c r="CB86" s="196" t="b">
        <f>+CB85</f>
        <v>0</v>
      </c>
      <c r="CC86" s="196" t="b">
        <f>+CC85</f>
        <v>0</v>
      </c>
      <c r="CD86" s="196" t="b">
        <f>+CD85</f>
        <v>0</v>
      </c>
      <c r="CE86" s="196" t="b">
        <f>+CE85</f>
        <v>0</v>
      </c>
      <c r="CF86" s="196" t="b">
        <f>+CF85</f>
        <v>0</v>
      </c>
      <c r="CG86" s="196">
        <f t="shared" si="1"/>
        <v>17</v>
      </c>
      <c r="CH86" s="196" t="b">
        <f t="shared" si="1"/>
        <v>0</v>
      </c>
      <c r="CI86" s="196" t="b">
        <f t="shared" si="1"/>
        <v>0</v>
      </c>
      <c r="CJ86" s="196" t="b">
        <f>+CJ85</f>
        <v>0</v>
      </c>
      <c r="CK86" s="196" t="b">
        <f>+CK85</f>
        <v>0</v>
      </c>
      <c r="CL86" s="196" t="b">
        <f t="shared" ref="CL86:DA86" si="2">+CL85</f>
        <v>0</v>
      </c>
      <c r="CM86" s="196" t="b">
        <f t="shared" si="2"/>
        <v>0</v>
      </c>
      <c r="CN86" s="196" t="b">
        <f t="shared" si="2"/>
        <v>0</v>
      </c>
      <c r="CO86" s="196" t="b">
        <f t="shared" si="2"/>
        <v>0</v>
      </c>
      <c r="CP86" s="196" t="b">
        <f t="shared" si="2"/>
        <v>0</v>
      </c>
      <c r="CQ86" s="196" t="b">
        <f t="shared" si="2"/>
        <v>0</v>
      </c>
      <c r="CR86" s="196" t="b">
        <f t="shared" si="2"/>
        <v>0</v>
      </c>
      <c r="CS86" s="196" t="b">
        <f t="shared" si="2"/>
        <v>0</v>
      </c>
      <c r="CT86" s="196" t="b">
        <f t="shared" si="2"/>
        <v>0</v>
      </c>
      <c r="CU86" s="196" t="b">
        <f t="shared" si="2"/>
        <v>0</v>
      </c>
      <c r="CV86" s="196" t="b">
        <f t="shared" si="2"/>
        <v>0</v>
      </c>
      <c r="CW86" s="196" t="b">
        <f t="shared" si="2"/>
        <v>0</v>
      </c>
      <c r="CX86" s="196" t="b">
        <f t="shared" si="2"/>
        <v>0</v>
      </c>
      <c r="CY86" s="196" t="b">
        <f t="shared" si="2"/>
        <v>0</v>
      </c>
      <c r="CZ86" s="196" t="b">
        <f t="shared" si="2"/>
        <v>0</v>
      </c>
      <c r="DA86" s="196" t="b">
        <f t="shared" si="2"/>
        <v>0</v>
      </c>
      <c r="DB86" s="196"/>
      <c r="DC86" s="78"/>
      <c r="DD86" s="78"/>
      <c r="EK86" s="78"/>
      <c r="EL86" s="78"/>
    </row>
    <row r="87" spans="2:142" ht="15.75" customHeight="1" thickBot="1" x14ac:dyDescent="0.25">
      <c r="E87" s="208"/>
      <c r="F87" s="208"/>
      <c r="G87" s="998"/>
      <c r="H87"/>
      <c r="I87"/>
      <c r="J87"/>
      <c r="K87"/>
      <c r="L87"/>
      <c r="M87"/>
      <c r="N87"/>
      <c r="O87" s="995"/>
      <c r="V87" s="410"/>
      <c r="W87" s="410"/>
      <c r="X87" s="410"/>
      <c r="Y87" s="410"/>
      <c r="Z87" s="410"/>
      <c r="AA87" s="410"/>
      <c r="AF87" s="401"/>
      <c r="AG87" s="401"/>
      <c r="AH87" s="401"/>
      <c r="AI87" s="401"/>
      <c r="AJ87" s="401"/>
      <c r="AK87" s="401"/>
      <c r="AL87" s="401"/>
      <c r="AM87" s="401"/>
      <c r="AN87" s="401"/>
      <c r="AO87" s="401"/>
      <c r="AP87" s="401"/>
      <c r="AQ87" s="401"/>
      <c r="AR87" s="401"/>
      <c r="AS87" s="401"/>
      <c r="AT87" s="401"/>
      <c r="AU87" s="401"/>
      <c r="AV87" s="401"/>
      <c r="AW87" s="401"/>
      <c r="AX87" s="401"/>
      <c r="AY87" s="401"/>
      <c r="AZ87" s="401"/>
      <c r="BA87" s="401"/>
      <c r="BB87" s="401"/>
      <c r="BC87" s="143"/>
      <c r="BD87" s="136"/>
      <c r="BE87" s="136"/>
      <c r="BF87" s="136"/>
      <c r="BG87" s="136"/>
      <c r="BH87" s="136"/>
      <c r="BI87" s="136"/>
      <c r="BJ87" s="136"/>
      <c r="BK87" s="136"/>
      <c r="BL87" s="136"/>
      <c r="BM87" s="402"/>
      <c r="BN87" s="188"/>
      <c r="BO87" s="1091"/>
      <c r="BP87" s="78"/>
      <c r="BQ87" s="196"/>
      <c r="BR87" s="196"/>
      <c r="BS87" s="196"/>
      <c r="BT87" s="196"/>
      <c r="BU87" s="196"/>
      <c r="BV87" s="196"/>
      <c r="BW87" s="196"/>
      <c r="BX87" s="196"/>
      <c r="BY87" s="196"/>
      <c r="BZ87" s="196"/>
      <c r="CA87" s="196"/>
      <c r="CB87" s="196"/>
      <c r="CC87" s="196"/>
      <c r="CD87" s="196"/>
      <c r="CE87" s="196"/>
      <c r="CF87" s="196"/>
      <c r="CG87" s="196"/>
      <c r="CH87" s="196"/>
      <c r="CI87" s="196"/>
      <c r="CJ87" s="196"/>
      <c r="CK87" s="196"/>
      <c r="CL87" s="196"/>
      <c r="CM87" s="196"/>
      <c r="CN87" s="196"/>
      <c r="CO87" s="196"/>
      <c r="CP87" s="196"/>
      <c r="CQ87" s="196"/>
      <c r="CR87" s="196"/>
      <c r="CS87" s="196"/>
      <c r="CT87" s="196"/>
      <c r="CU87" s="196"/>
      <c r="CV87" s="196"/>
      <c r="CW87" s="196"/>
      <c r="CX87" s="196"/>
      <c r="CY87" s="196"/>
      <c r="CZ87" s="196"/>
      <c r="DA87" s="196"/>
      <c r="DB87" s="196"/>
      <c r="DC87" s="78"/>
      <c r="DD87" s="78"/>
      <c r="EK87" s="78"/>
      <c r="EL87" s="78"/>
    </row>
    <row r="88" spans="2:142" ht="42.75" customHeight="1" thickBot="1" x14ac:dyDescent="0.3">
      <c r="E88" s="208"/>
      <c r="F88" s="208"/>
      <c r="G88" s="998"/>
      <c r="H88"/>
      <c r="I88"/>
      <c r="J88"/>
      <c r="K88"/>
      <c r="L88"/>
      <c r="M88"/>
      <c r="N88"/>
      <c r="O88" s="995"/>
      <c r="BD88" s="136"/>
      <c r="BE88" s="136"/>
      <c r="BF88" s="136"/>
      <c r="BG88" s="136"/>
      <c r="BH88" s="136"/>
      <c r="BI88" s="136"/>
      <c r="BJ88" s="136"/>
      <c r="BK88" s="136"/>
      <c r="BL88" s="136"/>
      <c r="BM88" s="402"/>
      <c r="BN88" s="188"/>
      <c r="BO88" s="1095" t="s">
        <v>128</v>
      </c>
      <c r="BP88" s="197" t="s">
        <v>129</v>
      </c>
      <c r="BQ88" s="748" t="str">
        <f>IF(BQ86=1,17,"")</f>
        <v/>
      </c>
      <c r="BR88" s="749" t="str">
        <f>IF(BR86=2,16,"")</f>
        <v/>
      </c>
      <c r="BS88" s="749" t="str">
        <f>IF(BS86=3,15,"")</f>
        <v/>
      </c>
      <c r="BT88" s="749" t="str">
        <f>IF(BT86=4,14,"")</f>
        <v/>
      </c>
      <c r="BU88" s="749" t="str">
        <f>IF(BU86=5,13,"")</f>
        <v/>
      </c>
      <c r="BV88" s="749" t="str">
        <f>IF(BV86=6,12,"")</f>
        <v/>
      </c>
      <c r="BW88" s="749" t="str">
        <f>IF(BW86=7,11,"")</f>
        <v/>
      </c>
      <c r="BX88" s="749" t="str">
        <f>IF(BX86=8,10,"")</f>
        <v/>
      </c>
      <c r="BY88" s="749" t="str">
        <f>IF(BY86=9,9,"")</f>
        <v/>
      </c>
      <c r="BZ88" s="749" t="str">
        <f>IF(BZ86=10,8,"")</f>
        <v/>
      </c>
      <c r="CA88" s="749" t="str">
        <f>IF(CA86=11,7,"")</f>
        <v/>
      </c>
      <c r="CB88" s="928" t="str">
        <f>IF(CB86=12,1,"")</f>
        <v/>
      </c>
      <c r="CC88" s="747" t="str">
        <f>IF(CC86=13,2,"")</f>
        <v/>
      </c>
      <c r="CD88" s="747" t="str">
        <f>IF(CD86=14,3,"")</f>
        <v/>
      </c>
      <c r="CE88" s="747" t="str">
        <f>IF(CE86=15,4,"")</f>
        <v/>
      </c>
      <c r="CF88" s="747" t="str">
        <f>IF(CF86=16,5,"")</f>
        <v/>
      </c>
      <c r="CG88" s="747">
        <f>IF(CG86=17,6,"")</f>
        <v>6</v>
      </c>
      <c r="CH88" s="747" t="str">
        <f>IF(CH86=18,7,"")</f>
        <v/>
      </c>
      <c r="CI88" s="747" t="str">
        <f>IF(CI86=19,8,"")</f>
        <v/>
      </c>
      <c r="CJ88" s="747" t="str">
        <f>IF(CJ86=20,9,"")</f>
        <v/>
      </c>
      <c r="CK88" s="747" t="str">
        <f>IF(CK86=21,10,"")</f>
        <v/>
      </c>
      <c r="CL88" s="747" t="str">
        <f>IF(CL86=22,11,"")</f>
        <v/>
      </c>
      <c r="CM88" s="747" t="str">
        <f>IF(CM86=23,12,"")</f>
        <v/>
      </c>
      <c r="CN88" s="747" t="str">
        <f>IF(CN86=24,13,"")</f>
        <v/>
      </c>
      <c r="CO88" s="747" t="str">
        <f>IF(CO86=25,14,"")</f>
        <v/>
      </c>
      <c r="CP88" s="747" t="str">
        <f>IF(CP86=26,15,"")</f>
        <v/>
      </c>
      <c r="CQ88" s="747" t="str">
        <f>IF(CQ86=27,16,"")</f>
        <v/>
      </c>
      <c r="CR88" s="929" t="str">
        <f>IF(CR86=28,17,"")</f>
        <v/>
      </c>
      <c r="CS88" s="756" t="str">
        <f>IF(CS86=29,9,"")</f>
        <v/>
      </c>
      <c r="CT88" s="756" t="str">
        <f>IF(CT86=30,10,"")</f>
        <v/>
      </c>
      <c r="CU88" s="756" t="str">
        <f>IF(CU86=31,11,"")</f>
        <v/>
      </c>
      <c r="CV88" s="756" t="str">
        <f>IF(CV86=32,12,"")</f>
        <v/>
      </c>
      <c r="CW88" s="756" t="str">
        <f>IF(CW86=33,13,"")</f>
        <v/>
      </c>
      <c r="CX88" s="756" t="str">
        <f>IF(CX86=34,14,"")</f>
        <v/>
      </c>
      <c r="CY88" s="756" t="str">
        <f>IF(CY86=35,15,"")</f>
        <v/>
      </c>
      <c r="CZ88" s="756" t="str">
        <f>IF(CZ86=36,16,"")</f>
        <v/>
      </c>
      <c r="DA88" s="757" t="str">
        <f>IF(DA86=37,17,"")</f>
        <v/>
      </c>
      <c r="DB88" s="198"/>
      <c r="DC88" s="78"/>
      <c r="DD88" s="78"/>
      <c r="EK88" s="78"/>
      <c r="EL88" s="78"/>
    </row>
    <row r="89" spans="2:142" ht="42.75" customHeight="1" thickBot="1" x14ac:dyDescent="0.3">
      <c r="E89" s="208"/>
      <c r="F89" s="208"/>
      <c r="G89" s="998"/>
      <c r="H89"/>
      <c r="I89"/>
      <c r="J89"/>
      <c r="K89"/>
      <c r="L89"/>
      <c r="M89"/>
      <c r="N89"/>
      <c r="O89" s="995"/>
      <c r="BD89" s="136"/>
      <c r="BE89" s="136"/>
      <c r="BF89" s="136"/>
      <c r="BG89" s="136"/>
      <c r="BH89" s="136"/>
      <c r="BI89" s="136"/>
      <c r="BJ89" s="136"/>
      <c r="BK89" s="136"/>
      <c r="BL89" s="968">
        <v>5</v>
      </c>
      <c r="BM89" s="1762" t="b">
        <f>AND(BO89&gt;=10,$BA$138&gt;=10,$BB$138&gt;=10,$BA$171&gt;=10,$BB$171&gt;=10,$BA$195&gt;=10,$BB$195&gt;=10)</f>
        <v>1</v>
      </c>
      <c r="BN89" s="84" t="str">
        <f>IF(BM89=TRUE,"O K","OVERLOAD")</f>
        <v>O K</v>
      </c>
      <c r="BO89" s="982">
        <f>IF(SUM(BQ88:CA88)&gt;0,K85,0)+IF(SUM(CB88:CR88)&gt;0,L85,0)+IF(SUM(CS88:DA88)&gt;0,M85,0)</f>
        <v>30.075187969924812</v>
      </c>
      <c r="BP89" s="788" t="s">
        <v>185</v>
      </c>
      <c r="BQ89" s="789">
        <v>-10</v>
      </c>
      <c r="BR89" s="789">
        <v>-9</v>
      </c>
      <c r="BS89" s="789">
        <v>-8</v>
      </c>
      <c r="BT89" s="789">
        <v>-7</v>
      </c>
      <c r="BU89" s="789">
        <v>-6</v>
      </c>
      <c r="BV89" s="789">
        <v>-5</v>
      </c>
      <c r="BW89" s="789">
        <v>-4</v>
      </c>
      <c r="BX89" s="789">
        <v>-3</v>
      </c>
      <c r="BY89" s="789">
        <v>-2</v>
      </c>
      <c r="BZ89" s="789">
        <v>-1</v>
      </c>
      <c r="CA89" s="789">
        <v>0</v>
      </c>
      <c r="CB89" s="789">
        <v>1</v>
      </c>
      <c r="CC89" s="789">
        <v>2</v>
      </c>
      <c r="CD89" s="789">
        <v>3</v>
      </c>
      <c r="CE89" s="789">
        <v>4</v>
      </c>
      <c r="CF89" s="789">
        <v>5</v>
      </c>
      <c r="CG89" s="789">
        <v>6</v>
      </c>
      <c r="CH89" s="789">
        <v>7</v>
      </c>
      <c r="CI89" s="789">
        <v>8</v>
      </c>
      <c r="CJ89" s="789">
        <v>9</v>
      </c>
      <c r="CK89" s="789">
        <v>10</v>
      </c>
      <c r="CL89" s="789">
        <v>11</v>
      </c>
      <c r="CM89" s="789">
        <v>12</v>
      </c>
      <c r="CN89" s="789">
        <v>13</v>
      </c>
      <c r="CO89" s="789">
        <v>14</v>
      </c>
      <c r="CP89" s="789">
        <v>15</v>
      </c>
      <c r="CQ89" s="789">
        <v>16</v>
      </c>
      <c r="CR89" s="789">
        <v>17</v>
      </c>
      <c r="CS89" s="789">
        <v>18</v>
      </c>
      <c r="CT89" s="789">
        <v>19</v>
      </c>
      <c r="CU89" s="789">
        <v>20</v>
      </c>
      <c r="CV89" s="789">
        <v>21</v>
      </c>
      <c r="CW89" s="789">
        <v>22</v>
      </c>
      <c r="CX89" s="789">
        <v>23</v>
      </c>
      <c r="CY89" s="789">
        <v>24</v>
      </c>
      <c r="CZ89" s="789">
        <v>25</v>
      </c>
      <c r="DA89" s="791">
        <v>26</v>
      </c>
      <c r="DB89" s="198"/>
      <c r="DC89" s="78"/>
      <c r="DD89" s="78"/>
      <c r="EK89" s="78"/>
      <c r="EL89" s="78"/>
    </row>
    <row r="90" spans="2:142" ht="149.25" customHeight="1" thickBot="1" x14ac:dyDescent="0.25">
      <c r="G90" s="998"/>
      <c r="H90"/>
      <c r="I90"/>
      <c r="J90"/>
      <c r="K90"/>
      <c r="L90"/>
      <c r="M90"/>
      <c r="N90"/>
      <c r="O90" s="995"/>
      <c r="BD90" s="136"/>
      <c r="BE90" s="136"/>
      <c r="BF90" s="136"/>
      <c r="BG90" s="136"/>
      <c r="BH90" s="136"/>
      <c r="BI90" s="136"/>
      <c r="BJ90" s="136"/>
      <c r="BK90" s="136"/>
      <c r="BL90" s="136"/>
      <c r="BM90" s="402"/>
      <c r="BN90" s="136"/>
      <c r="BP90" s="78"/>
      <c r="BQ90" s="199"/>
      <c r="BR90" s="199"/>
      <c r="BS90" s="199"/>
      <c r="BT90" s="199"/>
      <c r="BU90" s="199"/>
      <c r="BV90" s="199"/>
      <c r="BW90" s="199"/>
      <c r="BX90" s="199"/>
      <c r="BY90" s="199"/>
      <c r="BZ90" s="199"/>
      <c r="CA90" s="199"/>
      <c r="CB90" s="199"/>
      <c r="CC90" s="199"/>
      <c r="CD90" s="199"/>
      <c r="CE90" s="199"/>
      <c r="CF90" s="199"/>
      <c r="CG90" s="199"/>
      <c r="CH90" s="199"/>
      <c r="CI90" s="199"/>
      <c r="CJ90" s="199"/>
      <c r="CK90" s="199"/>
      <c r="CL90" s="199"/>
      <c r="CM90" s="199"/>
      <c r="CN90" s="199"/>
      <c r="CO90" s="199"/>
      <c r="CP90" s="199"/>
      <c r="CQ90" s="199"/>
      <c r="CR90" s="199"/>
      <c r="CS90" s="199"/>
      <c r="CT90" s="199"/>
      <c r="CU90" s="199"/>
      <c r="CV90" s="199"/>
      <c r="CW90" s="199"/>
      <c r="CX90" s="199"/>
      <c r="CY90" s="199"/>
      <c r="CZ90" s="199"/>
      <c r="DA90" s="199"/>
      <c r="DB90" s="199"/>
      <c r="DC90" s="78"/>
      <c r="DD90" s="78"/>
      <c r="EK90" s="78"/>
      <c r="EL90" s="78"/>
    </row>
    <row r="91" spans="2:142" ht="24" hidden="1" thickBot="1" x14ac:dyDescent="0.3">
      <c r="E91" s="397"/>
      <c r="F91" s="397"/>
      <c r="G91" s="998"/>
      <c r="H91"/>
      <c r="I91"/>
      <c r="J91"/>
      <c r="K91"/>
      <c r="L91"/>
      <c r="M91"/>
      <c r="N91"/>
      <c r="O91" s="995"/>
      <c r="BN91" s="86"/>
      <c r="BO91" s="18"/>
      <c r="BP91" s="96"/>
      <c r="BQ91" s="97"/>
      <c r="BR91" s="97"/>
      <c r="BS91" s="97"/>
      <c r="BT91" s="97"/>
      <c r="BU91" s="97"/>
      <c r="BV91" s="97"/>
      <c r="BW91" s="97"/>
      <c r="BX91" s="97"/>
      <c r="BY91" s="94"/>
      <c r="BZ91" s="94"/>
      <c r="CA91" s="89"/>
      <c r="CB91" s="89"/>
      <c r="CC91" s="89"/>
      <c r="CD91" s="89"/>
      <c r="CE91" s="89"/>
      <c r="CF91" s="89"/>
      <c r="CG91" s="89"/>
      <c r="CH91" s="89"/>
      <c r="CI91" s="89"/>
      <c r="CJ91" s="89"/>
      <c r="CK91" s="89"/>
      <c r="CL91" s="89"/>
      <c r="CM91" s="89"/>
      <c r="CN91" s="37"/>
      <c r="CO91" s="95"/>
      <c r="CP91" s="95"/>
      <c r="CQ91" s="95"/>
      <c r="CR91" s="95"/>
      <c r="CS91" s="92"/>
      <c r="CT91" s="92"/>
      <c r="CU91" s="92"/>
      <c r="CV91" s="92"/>
      <c r="CW91" s="92"/>
      <c r="CX91" s="92"/>
      <c r="CY91" s="92"/>
      <c r="CZ91" s="92"/>
      <c r="DA91" s="92"/>
      <c r="DB91" s="92"/>
      <c r="DC91" s="17"/>
      <c r="DD91" s="78"/>
    </row>
    <row r="92" spans="2:142" ht="24" hidden="1" thickBot="1" x14ac:dyDescent="0.3">
      <c r="E92" s="397"/>
      <c r="F92" s="397"/>
      <c r="G92" s="998"/>
      <c r="H92"/>
      <c r="I92"/>
      <c r="J92"/>
      <c r="K92"/>
      <c r="L92"/>
      <c r="M92"/>
      <c r="N92"/>
      <c r="O92" s="995"/>
      <c r="BN92" s="86"/>
      <c r="BO92" s="18"/>
      <c r="BP92" s="96">
        <v>36</v>
      </c>
      <c r="BQ92" s="97"/>
      <c r="BR92" s="97"/>
      <c r="BS92" s="97"/>
      <c r="BT92" s="97"/>
      <c r="BU92" s="97"/>
      <c r="BV92" s="97"/>
      <c r="BW92" s="97"/>
      <c r="BX92" s="97"/>
      <c r="BY92" s="94"/>
      <c r="BZ92" s="94"/>
      <c r="CA92" s="89"/>
      <c r="CB92" s="89"/>
      <c r="CC92" s="89"/>
      <c r="CD92" s="89"/>
      <c r="CE92" s="89"/>
      <c r="CF92" s="89"/>
      <c r="CG92" s="89"/>
      <c r="CH92" s="98"/>
      <c r="CI92" s="99"/>
      <c r="CJ92" s="100"/>
      <c r="CK92" s="89"/>
      <c r="CL92" s="89"/>
      <c r="CM92" s="89"/>
      <c r="CN92" s="37"/>
      <c r="CO92" s="95"/>
      <c r="CP92" s="95"/>
      <c r="CQ92" s="95"/>
      <c r="CR92" s="95"/>
      <c r="CS92" s="92"/>
      <c r="CT92" s="92"/>
      <c r="CU92" s="92"/>
      <c r="CV92" s="92"/>
      <c r="CW92" s="92"/>
      <c r="CX92" s="92"/>
      <c r="CY92" s="101" t="b">
        <f>IF(CZ85=36,35)</f>
        <v>0</v>
      </c>
      <c r="CZ92" s="102"/>
      <c r="DA92" s="103" t="b">
        <f>IF(CZ85=36,37)</f>
        <v>0</v>
      </c>
      <c r="DB92" s="92"/>
      <c r="DC92" s="17"/>
      <c r="DD92" s="78"/>
    </row>
    <row r="93" spans="2:142" ht="24" hidden="1" thickBot="1" x14ac:dyDescent="0.3">
      <c r="E93" s="397"/>
      <c r="F93" s="397"/>
      <c r="G93" s="998"/>
      <c r="H93"/>
      <c r="I93"/>
      <c r="J93"/>
      <c r="K93"/>
      <c r="L93"/>
      <c r="M93"/>
      <c r="N93"/>
      <c r="O93" s="995"/>
      <c r="BN93" s="86"/>
      <c r="BO93" s="18"/>
      <c r="BP93" s="96">
        <v>35</v>
      </c>
      <c r="BQ93" s="97"/>
      <c r="BR93" s="97"/>
      <c r="BS93" s="97"/>
      <c r="BT93" s="97"/>
      <c r="BU93" s="97"/>
      <c r="BV93" s="97"/>
      <c r="BW93" s="97"/>
      <c r="BX93" s="97"/>
      <c r="BY93" s="94"/>
      <c r="BZ93" s="94"/>
      <c r="CA93" s="89"/>
      <c r="CB93" s="89"/>
      <c r="CC93" s="89"/>
      <c r="CD93" s="89"/>
      <c r="CE93" s="89"/>
      <c r="CF93" s="89"/>
      <c r="CG93" s="89"/>
      <c r="CH93" s="104"/>
      <c r="CI93" s="89"/>
      <c r="CJ93" s="105"/>
      <c r="CK93" s="89"/>
      <c r="CL93" s="89"/>
      <c r="CM93" s="89"/>
      <c r="CN93" s="37"/>
      <c r="CO93" s="95"/>
      <c r="CP93" s="95"/>
      <c r="CQ93" s="95"/>
      <c r="CR93" s="95"/>
      <c r="CS93" s="92"/>
      <c r="CT93" s="92"/>
      <c r="CU93" s="92"/>
      <c r="CV93" s="92"/>
      <c r="CW93" s="101" t="b">
        <f>IF(CY85=35,33)</f>
        <v>0</v>
      </c>
      <c r="CX93" s="102"/>
      <c r="CY93" s="102"/>
      <c r="CZ93" s="102"/>
      <c r="DA93" s="103" t="b">
        <f>IF(CY85=35,37)</f>
        <v>0</v>
      </c>
      <c r="DB93" s="92"/>
      <c r="DC93" s="17"/>
      <c r="DD93" s="78"/>
    </row>
    <row r="94" spans="2:142" ht="24" hidden="1" thickBot="1" x14ac:dyDescent="0.3">
      <c r="E94" s="397"/>
      <c r="F94" s="397"/>
      <c r="G94" s="998"/>
      <c r="H94"/>
      <c r="I94"/>
      <c r="J94"/>
      <c r="K94"/>
      <c r="L94"/>
      <c r="M94"/>
      <c r="N94"/>
      <c r="O94" s="995"/>
      <c r="BN94" s="86"/>
      <c r="BO94" s="18"/>
      <c r="BP94" s="96">
        <v>34</v>
      </c>
      <c r="BQ94" s="97"/>
      <c r="BR94" s="97"/>
      <c r="BS94" s="97"/>
      <c r="BT94" s="97"/>
      <c r="BU94" s="97"/>
      <c r="BV94" s="97"/>
      <c r="BW94" s="97"/>
      <c r="BX94" s="97"/>
      <c r="BY94" s="94"/>
      <c r="BZ94" s="94"/>
      <c r="CA94" s="89"/>
      <c r="CB94" s="89"/>
      <c r="CC94" s="89"/>
      <c r="CD94" s="89"/>
      <c r="CE94" s="89"/>
      <c r="CF94" s="89"/>
      <c r="CG94" s="89"/>
      <c r="CH94" s="104"/>
      <c r="CI94" s="89"/>
      <c r="CJ94" s="105"/>
      <c r="CK94" s="89"/>
      <c r="CL94" s="89"/>
      <c r="CM94" s="89"/>
      <c r="CN94" s="37"/>
      <c r="CO94" s="95"/>
      <c r="CP94" s="95"/>
      <c r="CQ94" s="95"/>
      <c r="CR94" s="95"/>
      <c r="CS94" s="92"/>
      <c r="CT94" s="92"/>
      <c r="CU94" s="101" t="b">
        <f>IF(CX85=34,31)</f>
        <v>0</v>
      </c>
      <c r="CV94" s="102"/>
      <c r="CW94" s="102"/>
      <c r="CX94" s="102"/>
      <c r="CY94" s="102"/>
      <c r="CZ94" s="102"/>
      <c r="DA94" s="103" t="b">
        <f>IF(CX85=34,37)</f>
        <v>0</v>
      </c>
      <c r="DB94" s="92"/>
      <c r="DC94" s="17"/>
      <c r="DD94" s="78"/>
    </row>
    <row r="95" spans="2:142" ht="24" hidden="1" thickBot="1" x14ac:dyDescent="0.3">
      <c r="E95" s="397"/>
      <c r="F95" s="397"/>
      <c r="G95" s="998"/>
      <c r="H95"/>
      <c r="I95"/>
      <c r="J95"/>
      <c r="K95"/>
      <c r="L95"/>
      <c r="M95"/>
      <c r="N95"/>
      <c r="O95" s="995"/>
      <c r="BN95" s="86"/>
      <c r="BO95" s="18"/>
      <c r="BP95" s="96">
        <v>33</v>
      </c>
      <c r="BQ95" s="97"/>
      <c r="BR95" s="97"/>
      <c r="BS95" s="97"/>
      <c r="BT95" s="97"/>
      <c r="BU95" s="97"/>
      <c r="BV95" s="97"/>
      <c r="BW95" s="97"/>
      <c r="BX95" s="97"/>
      <c r="BY95" s="94"/>
      <c r="BZ95" s="94"/>
      <c r="CA95" s="89"/>
      <c r="CB95" s="89"/>
      <c r="CC95" s="89"/>
      <c r="CD95" s="89"/>
      <c r="CE95" s="89"/>
      <c r="CF95" s="89"/>
      <c r="CG95" s="89"/>
      <c r="CH95" s="104"/>
      <c r="CI95" s="89"/>
      <c r="CJ95" s="105"/>
      <c r="CK95" s="89"/>
      <c r="CL95" s="89"/>
      <c r="CM95" s="89"/>
      <c r="CN95" s="37"/>
      <c r="CO95" s="95"/>
      <c r="CP95" s="95"/>
      <c r="CQ95" s="95"/>
      <c r="CR95" s="95"/>
      <c r="CS95" s="101" t="b">
        <f>IF(CW85=33,29)</f>
        <v>0</v>
      </c>
      <c r="CT95" s="102"/>
      <c r="CU95" s="102"/>
      <c r="CV95" s="102"/>
      <c r="CW95" s="102"/>
      <c r="CX95" s="102"/>
      <c r="CY95" s="102"/>
      <c r="CZ95" s="102"/>
      <c r="DA95" s="103" t="b">
        <f>IF(CW85=33,37)</f>
        <v>0</v>
      </c>
      <c r="DB95" s="92"/>
      <c r="DC95" s="17"/>
      <c r="DD95" s="78"/>
    </row>
    <row r="96" spans="2:142" ht="21" hidden="1" thickBot="1" x14ac:dyDescent="0.25">
      <c r="E96" s="397"/>
      <c r="F96" s="397"/>
      <c r="G96" s="998"/>
      <c r="H96"/>
      <c r="I96"/>
      <c r="J96"/>
      <c r="K96"/>
      <c r="L96"/>
      <c r="M96"/>
      <c r="N96"/>
      <c r="O96" s="995"/>
      <c r="BN96" s="86"/>
      <c r="BP96" s="96">
        <v>32</v>
      </c>
      <c r="BQ96" s="107"/>
      <c r="BR96" s="107"/>
      <c r="BS96" s="107"/>
      <c r="BT96" s="107"/>
      <c r="BU96" s="107"/>
      <c r="BV96" s="108"/>
      <c r="BW96" s="107"/>
      <c r="BX96" s="107"/>
      <c r="BY96" s="107"/>
      <c r="BZ96" s="107"/>
      <c r="CA96" s="107"/>
      <c r="CB96" s="107"/>
      <c r="CC96" s="107"/>
      <c r="CD96" s="107"/>
      <c r="CE96" s="107"/>
      <c r="CF96" s="107"/>
      <c r="CG96" s="107"/>
      <c r="CH96" s="109"/>
      <c r="CI96" s="107"/>
      <c r="CJ96" s="110"/>
      <c r="CK96" s="107"/>
      <c r="CL96" s="107"/>
      <c r="CM96" s="107"/>
      <c r="CN96" s="108"/>
      <c r="CO96" s="78"/>
      <c r="CP96" s="78"/>
      <c r="CQ96" s="101" t="b">
        <f>IF(CV85=32,27)</f>
        <v>0</v>
      </c>
      <c r="CR96" s="111"/>
      <c r="CS96" s="111"/>
      <c r="CT96" s="111"/>
      <c r="CU96" s="111"/>
      <c r="CV96" s="111"/>
      <c r="CW96" s="111"/>
      <c r="CX96" s="111"/>
      <c r="CY96" s="111"/>
      <c r="CZ96" s="111"/>
      <c r="DA96" s="103" t="b">
        <f>IF(CV85=32,37)</f>
        <v>0</v>
      </c>
      <c r="DB96" s="78"/>
      <c r="DC96" s="78"/>
      <c r="DD96" s="78"/>
    </row>
    <row r="97" spans="5:108" ht="21" hidden="1" thickBot="1" x14ac:dyDescent="0.25">
      <c r="E97" s="397"/>
      <c r="F97" s="397"/>
      <c r="G97" s="998"/>
      <c r="H97"/>
      <c r="I97"/>
      <c r="J97"/>
      <c r="K97"/>
      <c r="L97"/>
      <c r="M97"/>
      <c r="N97"/>
      <c r="O97" s="995"/>
      <c r="BN97" s="86"/>
      <c r="BP97" s="96">
        <v>31</v>
      </c>
      <c r="BQ97" s="107"/>
      <c r="BR97" s="107"/>
      <c r="BS97" s="107"/>
      <c r="BT97" s="107"/>
      <c r="BU97" s="107"/>
      <c r="BV97" s="108"/>
      <c r="BW97" s="107"/>
      <c r="BX97" s="107"/>
      <c r="BY97" s="107"/>
      <c r="BZ97" s="107"/>
      <c r="CA97" s="107"/>
      <c r="CB97" s="107"/>
      <c r="CC97" s="107"/>
      <c r="CD97" s="107"/>
      <c r="CE97" s="107"/>
      <c r="CF97" s="107"/>
      <c r="CG97" s="107"/>
      <c r="CH97" s="109"/>
      <c r="CI97" s="107"/>
      <c r="CJ97" s="110"/>
      <c r="CK97" s="107"/>
      <c r="CL97" s="107"/>
      <c r="CM97" s="107"/>
      <c r="CN97" s="108"/>
      <c r="CO97" s="101" t="b">
        <f>IF(CU85=31,25)</f>
        <v>0</v>
      </c>
      <c r="CP97" s="111"/>
      <c r="CQ97" s="111"/>
      <c r="CR97" s="111"/>
      <c r="CS97" s="111"/>
      <c r="CT97" s="111"/>
      <c r="CU97" s="111"/>
      <c r="CV97" s="111"/>
      <c r="CW97" s="111"/>
      <c r="CX97" s="111"/>
      <c r="CY97" s="111"/>
      <c r="CZ97" s="111"/>
      <c r="DA97" s="103" t="b">
        <f>IF(CU85=31,37)</f>
        <v>0</v>
      </c>
      <c r="DB97" s="78"/>
      <c r="DC97" s="78"/>
      <c r="DD97" s="78"/>
    </row>
    <row r="98" spans="5:108" ht="21" hidden="1" thickBot="1" x14ac:dyDescent="0.25">
      <c r="E98" s="397"/>
      <c r="F98" s="397"/>
      <c r="G98" s="998"/>
      <c r="H98"/>
      <c r="I98"/>
      <c r="J98"/>
      <c r="K98"/>
      <c r="L98"/>
      <c r="M98"/>
      <c r="N98"/>
      <c r="O98" s="995"/>
      <c r="BN98" s="86"/>
      <c r="BP98" s="96">
        <v>30</v>
      </c>
      <c r="BQ98" s="107"/>
      <c r="BR98" s="107"/>
      <c r="BS98" s="107"/>
      <c r="BT98" s="107"/>
      <c r="BU98" s="107"/>
      <c r="BV98" s="108"/>
      <c r="BW98" s="107"/>
      <c r="BX98" s="107"/>
      <c r="BY98" s="107"/>
      <c r="BZ98" s="107"/>
      <c r="CA98" s="107"/>
      <c r="CB98" s="107"/>
      <c r="CC98" s="107"/>
      <c r="CD98" s="107"/>
      <c r="CE98" s="107"/>
      <c r="CF98" s="107"/>
      <c r="CG98" s="107"/>
      <c r="CH98" s="109"/>
      <c r="CI98" s="107"/>
      <c r="CJ98" s="110"/>
      <c r="CK98" s="107"/>
      <c r="CL98" s="107"/>
      <c r="CM98" s="101" t="b">
        <f>IF(CT85=30,23)</f>
        <v>0</v>
      </c>
      <c r="CN98" s="112"/>
      <c r="CO98" s="111"/>
      <c r="CP98" s="111"/>
      <c r="CQ98" s="111"/>
      <c r="CR98" s="111"/>
      <c r="CS98" s="111"/>
      <c r="CT98" s="111"/>
      <c r="CU98" s="111"/>
      <c r="CV98" s="111"/>
      <c r="CW98" s="111"/>
      <c r="CX98" s="111"/>
      <c r="CY98" s="111"/>
      <c r="CZ98" s="111"/>
      <c r="DA98" s="103" t="b">
        <f>IF(CT85=30,37)</f>
        <v>0</v>
      </c>
      <c r="DB98" s="78"/>
      <c r="DC98" s="78"/>
      <c r="DD98" s="78"/>
    </row>
    <row r="99" spans="5:108" ht="21" hidden="1" thickBot="1" x14ac:dyDescent="0.25">
      <c r="E99" s="397"/>
      <c r="F99" s="397"/>
      <c r="G99" s="998"/>
      <c r="H99"/>
      <c r="I99"/>
      <c r="J99"/>
      <c r="K99"/>
      <c r="L99"/>
      <c r="M99"/>
      <c r="N99"/>
      <c r="O99" s="995"/>
      <c r="BE99" s="114"/>
      <c r="BF99" s="114"/>
      <c r="BG99" s="114"/>
      <c r="BH99" s="114"/>
      <c r="BN99" s="86"/>
      <c r="BO99" s="114"/>
      <c r="BP99" s="96">
        <v>29</v>
      </c>
      <c r="BQ99" s="78"/>
      <c r="BR99" s="78"/>
      <c r="BS99" s="78"/>
      <c r="BT99" s="78"/>
      <c r="BU99" s="78"/>
      <c r="BV99" s="78"/>
      <c r="BW99" s="78"/>
      <c r="BX99" s="78"/>
      <c r="BY99" s="78"/>
      <c r="BZ99" s="78"/>
      <c r="CA99" s="78"/>
      <c r="CB99" s="78"/>
      <c r="CC99" s="78"/>
      <c r="CD99" s="78"/>
      <c r="CE99" s="78"/>
      <c r="CF99" s="78"/>
      <c r="CG99" s="78"/>
      <c r="CH99" s="115"/>
      <c r="CI99" s="78"/>
      <c r="CJ99" s="116"/>
      <c r="CK99" s="117" t="b">
        <f>IF(CS85=29,21)</f>
        <v>0</v>
      </c>
      <c r="CL99" s="111"/>
      <c r="CM99" s="111"/>
      <c r="CN99" s="111"/>
      <c r="CO99" s="111"/>
      <c r="CP99" s="111"/>
      <c r="CQ99" s="111"/>
      <c r="CR99" s="118"/>
      <c r="CS99" s="111"/>
      <c r="CT99" s="118"/>
      <c r="CU99" s="119"/>
      <c r="CV99" s="119"/>
      <c r="CW99" s="119"/>
      <c r="CX99" s="119"/>
      <c r="CY99" s="119"/>
      <c r="CZ99" s="119"/>
      <c r="DA99" s="103" t="b">
        <f>IF(CS85=29,37)</f>
        <v>0</v>
      </c>
      <c r="DB99" s="76"/>
      <c r="DC99" s="78"/>
      <c r="DD99" s="78"/>
    </row>
    <row r="100" spans="5:108" ht="21" hidden="1" thickBot="1" x14ac:dyDescent="0.25">
      <c r="E100" s="397"/>
      <c r="F100" s="397"/>
      <c r="G100" s="998"/>
      <c r="H100"/>
      <c r="I100"/>
      <c r="J100"/>
      <c r="K100"/>
      <c r="L100"/>
      <c r="M100"/>
      <c r="N100"/>
      <c r="O100" s="995"/>
      <c r="BE100" s="114"/>
      <c r="BF100" s="114"/>
      <c r="BG100" s="114"/>
      <c r="BH100" s="114"/>
      <c r="BN100" s="86"/>
      <c r="BO100" s="114"/>
      <c r="BP100" s="96">
        <v>28</v>
      </c>
      <c r="BQ100" s="78"/>
      <c r="BR100" s="78"/>
      <c r="BS100" s="78"/>
      <c r="BT100" s="78"/>
      <c r="BU100" s="78"/>
      <c r="BV100" s="78"/>
      <c r="BW100" s="78"/>
      <c r="BX100" s="78"/>
      <c r="BY100" s="78"/>
      <c r="BZ100" s="78"/>
      <c r="CA100" s="78"/>
      <c r="CB100" s="78"/>
      <c r="CC100" s="78"/>
      <c r="CD100" s="78"/>
      <c r="CE100" s="78"/>
      <c r="CF100" s="78"/>
      <c r="CG100" s="78"/>
      <c r="CH100" s="115"/>
      <c r="CI100" s="78"/>
      <c r="CJ100" s="116"/>
      <c r="CK100" s="120" t="b">
        <f>IF(CR85=28,21)</f>
        <v>0</v>
      </c>
      <c r="CL100" s="121"/>
      <c r="CM100" s="121"/>
      <c r="CN100" s="121"/>
      <c r="CO100" s="121"/>
      <c r="CP100" s="122"/>
      <c r="CQ100" s="121"/>
      <c r="CR100" s="121"/>
      <c r="CS100" s="121"/>
      <c r="CT100" s="122"/>
      <c r="CU100" s="123"/>
      <c r="CV100" s="123"/>
      <c r="CW100" s="123"/>
      <c r="CX100" s="123"/>
      <c r="CY100" s="124" t="b">
        <f>IF(CR85=28,35)</f>
        <v>0</v>
      </c>
      <c r="CZ100" s="76"/>
      <c r="DA100" s="76"/>
      <c r="DB100" s="76"/>
      <c r="DC100" s="78"/>
      <c r="DD100" s="78"/>
    </row>
    <row r="101" spans="5:108" ht="21" hidden="1" thickBot="1" x14ac:dyDescent="0.25">
      <c r="E101" s="397"/>
      <c r="F101" s="397"/>
      <c r="G101" s="998"/>
      <c r="H101"/>
      <c r="I101"/>
      <c r="J101"/>
      <c r="K101"/>
      <c r="L101"/>
      <c r="M101"/>
      <c r="N101"/>
      <c r="O101" s="995"/>
      <c r="BE101" s="114"/>
      <c r="BF101" s="114"/>
      <c r="BG101" s="114"/>
      <c r="BH101" s="114"/>
      <c r="BN101" s="86"/>
      <c r="BO101" s="114"/>
      <c r="BP101" s="96">
        <v>27</v>
      </c>
      <c r="BQ101" s="78"/>
      <c r="BR101" s="78"/>
      <c r="BS101" s="78"/>
      <c r="BT101" s="78"/>
      <c r="BU101" s="78"/>
      <c r="BV101" s="78"/>
      <c r="BW101" s="78"/>
      <c r="BX101" s="78"/>
      <c r="BY101" s="78"/>
      <c r="BZ101" s="78"/>
      <c r="CA101" s="78"/>
      <c r="CB101" s="78"/>
      <c r="CC101" s="78"/>
      <c r="CD101" s="78"/>
      <c r="CE101" s="78"/>
      <c r="CF101" s="78"/>
      <c r="CG101" s="78"/>
      <c r="CH101" s="115"/>
      <c r="CI101" s="78"/>
      <c r="CJ101" s="116"/>
      <c r="CK101" s="120" t="b">
        <f>IF(CQ85=27,21)</f>
        <v>0</v>
      </c>
      <c r="CL101" s="121"/>
      <c r="CM101" s="121"/>
      <c r="CN101" s="122"/>
      <c r="CO101" s="121"/>
      <c r="CP101" s="121"/>
      <c r="CQ101" s="121"/>
      <c r="CR101" s="121"/>
      <c r="CS101" s="121"/>
      <c r="CT101" s="122"/>
      <c r="CU101" s="123"/>
      <c r="CV101" s="123"/>
      <c r="CW101" s="124" t="b">
        <f>IF(CQ85=27,33)</f>
        <v>0</v>
      </c>
      <c r="CX101" s="76"/>
      <c r="CY101" s="76"/>
      <c r="CZ101" s="76"/>
      <c r="DA101" s="76"/>
      <c r="DB101" s="76"/>
      <c r="DC101" s="78"/>
      <c r="DD101" s="78"/>
    </row>
    <row r="102" spans="5:108" ht="21" hidden="1" thickBot="1" x14ac:dyDescent="0.25">
      <c r="E102" s="397"/>
      <c r="F102" s="397"/>
      <c r="G102" s="998"/>
      <c r="H102"/>
      <c r="I102"/>
      <c r="J102"/>
      <c r="K102"/>
      <c r="L102"/>
      <c r="M102"/>
      <c r="N102"/>
      <c r="O102" s="995"/>
      <c r="BN102" s="86"/>
      <c r="BP102" s="96">
        <v>26</v>
      </c>
      <c r="BQ102" s="78"/>
      <c r="BR102" s="78"/>
      <c r="BS102" s="78"/>
      <c r="BT102" s="78"/>
      <c r="BU102" s="78"/>
      <c r="BV102" s="78"/>
      <c r="BW102" s="78"/>
      <c r="BX102" s="78"/>
      <c r="BY102" s="78"/>
      <c r="BZ102" s="78"/>
      <c r="CA102" s="78"/>
      <c r="CB102" s="78"/>
      <c r="CC102" s="78"/>
      <c r="CD102" s="78"/>
      <c r="CE102" s="78"/>
      <c r="CF102" s="78"/>
      <c r="CG102" s="78"/>
      <c r="CH102" s="115"/>
      <c r="CI102" s="78"/>
      <c r="CJ102" s="116"/>
      <c r="CK102" s="120" t="b">
        <f>IF(CP85=26,21)</f>
        <v>0</v>
      </c>
      <c r="CL102" s="122"/>
      <c r="CM102" s="121"/>
      <c r="CN102" s="121"/>
      <c r="CO102" s="121"/>
      <c r="CP102" s="121"/>
      <c r="CQ102" s="121"/>
      <c r="CR102" s="121"/>
      <c r="CS102" s="121"/>
      <c r="CT102" s="122"/>
      <c r="CU102" s="124" t="b">
        <f>IF(CP85=26,31)</f>
        <v>0</v>
      </c>
      <c r="CV102" s="76"/>
      <c r="CW102" s="76"/>
      <c r="CX102" s="76"/>
      <c r="CY102" s="76"/>
      <c r="CZ102" s="76"/>
      <c r="DA102" s="76"/>
      <c r="DB102" s="76"/>
      <c r="DC102" s="78"/>
      <c r="DD102" s="78"/>
    </row>
    <row r="103" spans="5:108" ht="21" hidden="1" thickBot="1" x14ac:dyDescent="0.25">
      <c r="E103" s="397"/>
      <c r="F103" s="397"/>
      <c r="G103" s="998"/>
      <c r="H103"/>
      <c r="I103"/>
      <c r="J103"/>
      <c r="K103"/>
      <c r="L103"/>
      <c r="M103"/>
      <c r="N103"/>
      <c r="O103" s="995"/>
      <c r="BE103" s="126"/>
      <c r="BF103" s="126"/>
      <c r="BG103" s="126"/>
      <c r="BH103" s="126"/>
      <c r="BN103" s="86"/>
      <c r="BO103" s="126"/>
      <c r="BP103" s="96">
        <v>25</v>
      </c>
      <c r="BQ103" s="78"/>
      <c r="BR103" s="78"/>
      <c r="BS103" s="78"/>
      <c r="BT103" s="78"/>
      <c r="BU103" s="78"/>
      <c r="BV103" s="78"/>
      <c r="BW103" s="78"/>
      <c r="BX103" s="78"/>
      <c r="BY103" s="78"/>
      <c r="BZ103" s="78"/>
      <c r="CA103" s="78"/>
      <c r="CC103" s="78"/>
      <c r="CD103" s="78"/>
      <c r="CE103" s="78"/>
      <c r="CF103" s="78"/>
      <c r="CG103" s="78"/>
      <c r="CH103" s="115"/>
      <c r="CI103" s="78"/>
      <c r="CK103" s="128" t="b">
        <f>IF(CO85=25,21)</f>
        <v>0</v>
      </c>
      <c r="CL103" s="121"/>
      <c r="CM103" s="121"/>
      <c r="CN103" s="121"/>
      <c r="CO103" s="121"/>
      <c r="CP103" s="121"/>
      <c r="CQ103" s="121"/>
      <c r="CR103" s="121"/>
      <c r="CS103" s="124" t="b">
        <f>IF(CO85=25,29)</f>
        <v>0</v>
      </c>
      <c r="CU103" s="76"/>
      <c r="CV103" s="76"/>
      <c r="CW103" s="76"/>
      <c r="CX103" s="76"/>
      <c r="CY103" s="76"/>
      <c r="CZ103" s="76"/>
      <c r="DA103" s="76"/>
      <c r="DB103" s="76"/>
      <c r="DC103" s="78"/>
      <c r="DD103" s="78"/>
    </row>
    <row r="104" spans="5:108" ht="21" hidden="1" thickBot="1" x14ac:dyDescent="0.25">
      <c r="E104" s="397"/>
      <c r="F104" s="397"/>
      <c r="G104" s="998"/>
      <c r="H104"/>
      <c r="I104"/>
      <c r="J104"/>
      <c r="K104"/>
      <c r="L104"/>
      <c r="M104"/>
      <c r="N104"/>
      <c r="O104" s="995"/>
      <c r="BE104" s="126"/>
      <c r="BF104" s="126"/>
      <c r="BG104" s="126"/>
      <c r="BH104" s="126"/>
      <c r="BN104" s="86"/>
      <c r="BO104" s="126"/>
      <c r="BP104" s="96">
        <v>24</v>
      </c>
      <c r="BQ104" s="78"/>
      <c r="BR104" s="78"/>
      <c r="BS104" s="78"/>
      <c r="BT104" s="78"/>
      <c r="BU104" s="78"/>
      <c r="BV104" s="78"/>
      <c r="BW104" s="78"/>
      <c r="BX104" s="78"/>
      <c r="BY104" s="78"/>
      <c r="BZ104" s="78"/>
      <c r="CA104" s="78"/>
      <c r="CB104" s="117" t="b">
        <f>IF(CN85=24,12)</f>
        <v>0</v>
      </c>
      <c r="CC104" s="111"/>
      <c r="CD104" s="111"/>
      <c r="CE104" s="111"/>
      <c r="CF104" s="111"/>
      <c r="CG104" s="111"/>
      <c r="CH104" s="118"/>
      <c r="CI104" s="111"/>
      <c r="CJ104" s="129"/>
      <c r="CK104" s="111"/>
      <c r="CL104" s="111"/>
      <c r="CM104" s="111"/>
      <c r="CN104" s="111"/>
      <c r="CO104" s="111"/>
      <c r="CP104" s="111"/>
      <c r="CQ104" s="111"/>
      <c r="CR104" s="111"/>
      <c r="CS104" s="111"/>
      <c r="CT104" s="118"/>
      <c r="CU104" s="119"/>
      <c r="CV104" s="119"/>
      <c r="CW104" s="119"/>
      <c r="CX104" s="119"/>
      <c r="CY104" s="119"/>
      <c r="CZ104" s="103" t="b">
        <f>IF(CN85=24,36)</f>
        <v>0</v>
      </c>
      <c r="DA104" s="76"/>
      <c r="DB104" s="76"/>
      <c r="DC104" s="78"/>
      <c r="DD104" s="78"/>
    </row>
    <row r="105" spans="5:108" ht="21" hidden="1" thickBot="1" x14ac:dyDescent="0.25">
      <c r="E105" s="397"/>
      <c r="F105" s="397"/>
      <c r="G105" s="998"/>
      <c r="H105"/>
      <c r="I105"/>
      <c r="J105"/>
      <c r="K105"/>
      <c r="L105"/>
      <c r="M105"/>
      <c r="N105"/>
      <c r="O105" s="995"/>
      <c r="BE105" s="126"/>
      <c r="BF105" s="126"/>
      <c r="BG105" s="126"/>
      <c r="BH105" s="126"/>
      <c r="BN105" s="86"/>
      <c r="BO105" s="126"/>
      <c r="BP105" s="96">
        <v>23</v>
      </c>
      <c r="BQ105" s="78"/>
      <c r="BR105" s="78"/>
      <c r="BS105" s="78"/>
      <c r="BT105" s="78"/>
      <c r="BU105" s="78"/>
      <c r="BV105" s="78"/>
      <c r="BW105" s="78"/>
      <c r="BX105" s="78"/>
      <c r="BY105" s="78"/>
      <c r="BZ105" s="78"/>
      <c r="CA105" s="78"/>
      <c r="CB105" s="120" t="b">
        <f>IF(CM85=23,12)</f>
        <v>0</v>
      </c>
      <c r="CC105" s="121"/>
      <c r="CD105" s="121"/>
      <c r="CE105" s="121"/>
      <c r="CF105" s="122"/>
      <c r="CG105" s="121"/>
      <c r="CH105" s="132"/>
      <c r="CI105" s="121"/>
      <c r="CJ105" s="133"/>
      <c r="CK105" s="121"/>
      <c r="CL105" s="121"/>
      <c r="CM105" s="121"/>
      <c r="CN105" s="121"/>
      <c r="CO105" s="121"/>
      <c r="CP105" s="121"/>
      <c r="CQ105" s="121"/>
      <c r="CR105" s="121"/>
      <c r="CS105" s="121"/>
      <c r="CT105" s="122"/>
      <c r="CU105" s="123"/>
      <c r="CV105" s="123"/>
      <c r="CW105" s="123"/>
      <c r="CX105" s="124" t="b">
        <f>IF(CM85=23,34)</f>
        <v>0</v>
      </c>
      <c r="CY105" s="76"/>
      <c r="CZ105" s="76"/>
      <c r="DA105" s="76"/>
      <c r="DB105" s="76"/>
      <c r="DC105" s="78"/>
      <c r="DD105" s="78"/>
    </row>
    <row r="106" spans="5:108" ht="21" hidden="1" thickBot="1" x14ac:dyDescent="0.25">
      <c r="E106" s="397"/>
      <c r="F106" s="397"/>
      <c r="G106" s="998"/>
      <c r="H106"/>
      <c r="I106"/>
      <c r="J106"/>
      <c r="K106"/>
      <c r="L106"/>
      <c r="M106"/>
      <c r="N106"/>
      <c r="O106" s="995"/>
      <c r="U106" s="114"/>
      <c r="AB106" s="114"/>
      <c r="AC106" s="114"/>
      <c r="AD106" s="114"/>
      <c r="AE106" s="114"/>
      <c r="BE106" s="126"/>
      <c r="BF106" s="126"/>
      <c r="BG106" s="126"/>
      <c r="BH106" s="126"/>
      <c r="BN106" s="86"/>
      <c r="BO106" s="126"/>
      <c r="BP106" s="96">
        <v>22</v>
      </c>
      <c r="BQ106" s="76"/>
      <c r="BR106" s="76"/>
      <c r="BS106" s="76"/>
      <c r="BT106" s="76"/>
      <c r="BU106" s="76"/>
      <c r="BV106" s="76"/>
      <c r="BW106" s="76"/>
      <c r="BX106" s="76"/>
      <c r="BY106" s="76"/>
      <c r="BZ106" s="76"/>
      <c r="CA106" s="76"/>
      <c r="CB106" s="120" t="b">
        <f>IF(CL85=22,12)</f>
        <v>0</v>
      </c>
      <c r="CC106" s="123"/>
      <c r="CD106" s="123"/>
      <c r="CE106" s="123"/>
      <c r="CF106" s="122"/>
      <c r="CG106" s="123"/>
      <c r="CH106" s="134"/>
      <c r="CI106" s="123"/>
      <c r="CJ106" s="135"/>
      <c r="CK106" s="123"/>
      <c r="CL106" s="123"/>
      <c r="CM106" s="123"/>
      <c r="CN106" s="123"/>
      <c r="CO106" s="121"/>
      <c r="CP106" s="121"/>
      <c r="CQ106" s="122"/>
      <c r="CR106" s="121"/>
      <c r="CS106" s="121"/>
      <c r="CT106" s="121"/>
      <c r="CU106" s="121"/>
      <c r="CV106" s="124" t="b">
        <f>IF(CL85=22,32)</f>
        <v>0</v>
      </c>
      <c r="CW106" s="78"/>
      <c r="CX106" s="78"/>
      <c r="CY106" s="78"/>
      <c r="CZ106" s="78"/>
      <c r="DA106" s="78"/>
      <c r="DB106" s="78"/>
      <c r="DC106" s="78"/>
      <c r="DD106" s="78"/>
    </row>
    <row r="107" spans="5:108" ht="21" hidden="1" thickBot="1" x14ac:dyDescent="0.25">
      <c r="E107" s="397"/>
      <c r="F107" s="397"/>
      <c r="G107" s="998"/>
      <c r="H107"/>
      <c r="I107"/>
      <c r="J107"/>
      <c r="K107"/>
      <c r="L107"/>
      <c r="M107"/>
      <c r="N107"/>
      <c r="O107" s="995"/>
      <c r="BE107" s="126"/>
      <c r="BF107" s="126"/>
      <c r="BG107" s="126"/>
      <c r="BH107" s="126"/>
      <c r="BN107" s="86"/>
      <c r="BO107" s="126"/>
      <c r="BP107" s="96">
        <v>21</v>
      </c>
      <c r="BQ107" s="78"/>
      <c r="BR107" s="78"/>
      <c r="BS107" s="78"/>
      <c r="BT107" s="78"/>
      <c r="BU107" s="78"/>
      <c r="BV107" s="78"/>
      <c r="BW107" s="78"/>
      <c r="BX107" s="78"/>
      <c r="BY107" s="78"/>
      <c r="BZ107" s="78"/>
      <c r="CA107" s="78"/>
      <c r="CB107" s="120" t="b">
        <f>IF(CK85=21,12)</f>
        <v>0</v>
      </c>
      <c r="CC107" s="121"/>
      <c r="CD107" s="121"/>
      <c r="CE107" s="121"/>
      <c r="CF107" s="121"/>
      <c r="CG107" s="121"/>
      <c r="CH107" s="132"/>
      <c r="CI107" s="121"/>
      <c r="CJ107" s="133"/>
      <c r="CK107" s="121"/>
      <c r="CL107" s="121"/>
      <c r="CM107" s="121"/>
      <c r="CN107" s="121"/>
      <c r="CO107" s="121"/>
      <c r="CP107" s="121"/>
      <c r="CQ107" s="121"/>
      <c r="CR107" s="121"/>
      <c r="CS107" s="121"/>
      <c r="CT107" s="124" t="b">
        <f>IF(CK85=21,30)</f>
        <v>0</v>
      </c>
      <c r="CU107" s="76"/>
      <c r="CV107" s="76"/>
      <c r="CW107" s="76"/>
      <c r="CX107" s="76"/>
      <c r="CY107" s="76"/>
      <c r="CZ107" s="76"/>
      <c r="DA107" s="76"/>
      <c r="DB107" s="76"/>
      <c r="DC107" s="78"/>
      <c r="DD107" s="78"/>
    </row>
    <row r="108" spans="5:108" ht="21" hidden="1" thickBot="1" x14ac:dyDescent="0.25">
      <c r="E108" s="397"/>
      <c r="F108" s="397"/>
      <c r="G108" s="998"/>
      <c r="H108"/>
      <c r="I108"/>
      <c r="J108"/>
      <c r="K108"/>
      <c r="L108"/>
      <c r="M108"/>
      <c r="N108"/>
      <c r="O108" s="995"/>
      <c r="T108" s="401"/>
      <c r="BE108" s="136"/>
      <c r="BF108" s="136"/>
      <c r="BG108" s="136"/>
      <c r="BH108" s="136"/>
      <c r="BN108" s="86"/>
      <c r="BO108" s="1091"/>
      <c r="BP108" s="96">
        <v>20</v>
      </c>
      <c r="BQ108" s="78"/>
      <c r="BR108" s="78"/>
      <c r="BS108" s="78"/>
      <c r="BT108" s="78"/>
      <c r="BU108" s="78"/>
      <c r="BV108" s="78"/>
      <c r="BW108" s="78"/>
      <c r="BX108" s="78"/>
      <c r="CA108" s="137"/>
      <c r="CB108" s="117" t="b">
        <f>IF(CJ85=20,12)</f>
        <v>0</v>
      </c>
      <c r="CC108" s="111"/>
      <c r="CD108" s="111"/>
      <c r="CE108" s="111"/>
      <c r="CF108" s="111"/>
      <c r="CG108" s="111"/>
      <c r="CH108" s="138"/>
      <c r="CI108" s="111"/>
      <c r="CJ108" s="129"/>
      <c r="CK108" s="111"/>
      <c r="CL108" s="111"/>
      <c r="CM108" s="111"/>
      <c r="CN108" s="111"/>
      <c r="CO108" s="111"/>
      <c r="CP108" s="111"/>
      <c r="CQ108" s="111"/>
      <c r="CR108" s="103" t="b">
        <f>IF(CJ85=20,28)</f>
        <v>0</v>
      </c>
      <c r="CS108" s="137"/>
      <c r="CU108" s="76"/>
      <c r="CV108" s="76"/>
      <c r="CW108" s="76"/>
      <c r="CX108" s="76"/>
      <c r="CY108" s="76"/>
      <c r="CZ108" s="76"/>
      <c r="DA108" s="76"/>
      <c r="DB108" s="76"/>
      <c r="DC108" s="78"/>
      <c r="DD108" s="78"/>
    </row>
    <row r="109" spans="5:108" ht="21" hidden="1" thickBot="1" x14ac:dyDescent="0.25">
      <c r="E109" s="397"/>
      <c r="F109" s="397"/>
      <c r="G109" s="998"/>
      <c r="H109"/>
      <c r="I109"/>
      <c r="J109"/>
      <c r="K109"/>
      <c r="L109"/>
      <c r="M109"/>
      <c r="N109"/>
      <c r="O109" s="995"/>
      <c r="U109" s="114"/>
      <c r="AB109" s="114"/>
      <c r="AC109" s="114"/>
      <c r="AD109" s="114"/>
      <c r="AE109" s="114"/>
      <c r="BE109" s="136"/>
      <c r="BF109" s="136"/>
      <c r="BG109" s="136"/>
      <c r="BH109" s="136"/>
      <c r="BN109" s="86"/>
      <c r="BO109" s="1091"/>
      <c r="BP109" s="96">
        <v>19</v>
      </c>
      <c r="BQ109" s="78"/>
      <c r="BR109" s="78"/>
      <c r="BS109" s="78"/>
      <c r="BT109" s="78"/>
      <c r="BU109" s="78"/>
      <c r="BV109" s="78"/>
      <c r="BW109" s="78"/>
      <c r="BX109" s="78"/>
      <c r="BZ109" s="139"/>
      <c r="CA109" s="139"/>
      <c r="CB109" s="117" t="b">
        <f>IF(CI85=19,12)</f>
        <v>0</v>
      </c>
      <c r="CC109" s="119"/>
      <c r="CD109" s="119"/>
      <c r="CE109" s="118"/>
      <c r="CF109" s="119"/>
      <c r="CG109" s="119"/>
      <c r="CH109" s="140"/>
      <c r="CI109" s="119"/>
      <c r="CJ109" s="141"/>
      <c r="CK109" s="118"/>
      <c r="CL109" s="119"/>
      <c r="CM109" s="119"/>
      <c r="CN109" s="119"/>
      <c r="CO109" s="111"/>
      <c r="CP109" s="103" t="b">
        <f>IF(CI85=19,26)</f>
        <v>0</v>
      </c>
      <c r="CQ109" s="142"/>
      <c r="CR109" s="137"/>
      <c r="CT109" s="78"/>
      <c r="CU109" s="78"/>
      <c r="CV109" s="78"/>
      <c r="CW109" s="78"/>
      <c r="CX109" s="78"/>
      <c r="CY109" s="78"/>
      <c r="CZ109" s="78"/>
      <c r="DA109" s="78"/>
      <c r="DB109" s="78"/>
      <c r="DC109" s="78"/>
      <c r="DD109" s="78"/>
    </row>
    <row r="110" spans="5:108" ht="21" hidden="1" thickBot="1" x14ac:dyDescent="0.25">
      <c r="E110" s="397"/>
      <c r="F110" s="397"/>
      <c r="G110" s="998"/>
      <c r="H110"/>
      <c r="I110"/>
      <c r="J110"/>
      <c r="K110"/>
      <c r="L110"/>
      <c r="M110"/>
      <c r="N110"/>
      <c r="O110" s="995"/>
      <c r="U110" s="114"/>
      <c r="AB110" s="114"/>
      <c r="AC110" s="114"/>
      <c r="AD110" s="114"/>
      <c r="AE110" s="114"/>
      <c r="BE110" s="136"/>
      <c r="BF110" s="136"/>
      <c r="BG110" s="136"/>
      <c r="BH110" s="136"/>
      <c r="BN110" s="86"/>
      <c r="BO110" s="1091"/>
      <c r="BP110" s="96">
        <v>18</v>
      </c>
      <c r="BQ110" s="76"/>
      <c r="BR110" s="76"/>
      <c r="BS110" s="76"/>
      <c r="BT110" s="76"/>
      <c r="BU110" s="76"/>
      <c r="BV110" s="76"/>
      <c r="BW110" s="76"/>
      <c r="BX110" s="76"/>
      <c r="BZ110" s="117" t="b">
        <f>IF(CH85=18,10)</f>
        <v>0</v>
      </c>
      <c r="CA110" s="119"/>
      <c r="CB110" s="119"/>
      <c r="CC110" s="119"/>
      <c r="CD110" s="119"/>
      <c r="CE110" s="118"/>
      <c r="CF110" s="119"/>
      <c r="CG110" s="119"/>
      <c r="CH110" s="140"/>
      <c r="CI110" s="119"/>
      <c r="CJ110" s="141"/>
      <c r="CK110" s="118"/>
      <c r="CL110" s="119"/>
      <c r="CM110" s="119"/>
      <c r="CN110" s="119"/>
      <c r="CO110" s="111"/>
      <c r="CP110" s="103" t="b">
        <f>IF(CH85=18,26)</f>
        <v>0</v>
      </c>
      <c r="CR110" s="78"/>
      <c r="CS110" s="78"/>
      <c r="CT110" s="78"/>
      <c r="CU110" s="78"/>
      <c r="CV110" s="78"/>
      <c r="CW110" s="78"/>
      <c r="CX110" s="78"/>
      <c r="CY110" s="78"/>
      <c r="CZ110" s="78"/>
      <c r="DA110" s="78"/>
      <c r="DB110" s="78"/>
      <c r="DC110" s="78"/>
      <c r="DD110" s="78"/>
    </row>
    <row r="111" spans="5:108" ht="21" hidden="1" thickBot="1" x14ac:dyDescent="0.25">
      <c r="E111" s="397"/>
      <c r="F111" s="397"/>
      <c r="G111" s="998"/>
      <c r="H111"/>
      <c r="I111"/>
      <c r="J111"/>
      <c r="K111"/>
      <c r="L111"/>
      <c r="M111"/>
      <c r="N111"/>
      <c r="O111" s="995"/>
      <c r="U111" s="114"/>
      <c r="AB111" s="114"/>
      <c r="AC111" s="114"/>
      <c r="AD111" s="114"/>
      <c r="AE111" s="114"/>
      <c r="BE111" s="136"/>
      <c r="BF111" s="136"/>
      <c r="BG111" s="136"/>
      <c r="BH111" s="136"/>
      <c r="BN111" s="86"/>
      <c r="BO111" s="1091"/>
      <c r="BP111" s="96">
        <v>17</v>
      </c>
      <c r="BQ111" s="76"/>
      <c r="BR111" s="76"/>
      <c r="BS111" s="76"/>
      <c r="BT111" s="76"/>
      <c r="BU111" s="76"/>
      <c r="BV111" s="76"/>
      <c r="BW111" s="76"/>
      <c r="BX111" s="117">
        <f>IF(CG85=17,8)</f>
        <v>8</v>
      </c>
      <c r="BY111" s="118"/>
      <c r="BZ111" s="118"/>
      <c r="CA111" s="119"/>
      <c r="CB111" s="119"/>
      <c r="CC111" s="119"/>
      <c r="CD111" s="119"/>
      <c r="CE111" s="119"/>
      <c r="CF111" s="119"/>
      <c r="CG111" s="119"/>
      <c r="CH111" s="140"/>
      <c r="CI111" s="119"/>
      <c r="CJ111" s="141"/>
      <c r="CK111" s="119"/>
      <c r="CL111" s="119"/>
      <c r="CM111" s="119"/>
      <c r="CN111" s="118"/>
      <c r="CO111" s="118"/>
      <c r="CP111" s="103">
        <f>IF(CG85=17,26)</f>
        <v>26</v>
      </c>
      <c r="CQ111" s="78"/>
      <c r="CR111" s="78"/>
      <c r="CS111" s="78"/>
      <c r="CT111" s="78"/>
      <c r="CU111" s="78"/>
      <c r="CV111" s="78"/>
      <c r="CW111" s="78"/>
      <c r="CX111" s="78"/>
      <c r="CY111" s="78"/>
      <c r="CZ111" s="78"/>
      <c r="DA111" s="78"/>
      <c r="DB111" s="78"/>
      <c r="DC111" s="78"/>
      <c r="DD111" s="78"/>
    </row>
    <row r="112" spans="5:108" ht="21" hidden="1" thickBot="1" x14ac:dyDescent="0.25">
      <c r="E112" s="397"/>
      <c r="F112" s="397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E112" s="136"/>
      <c r="BF112" s="136"/>
      <c r="BG112" s="136"/>
      <c r="BH112" s="136"/>
      <c r="BN112" s="86"/>
      <c r="BO112" s="1091"/>
      <c r="BP112" s="96">
        <v>16</v>
      </c>
      <c r="BQ112" s="76"/>
      <c r="BR112" s="76"/>
      <c r="BS112" s="76"/>
      <c r="BT112" s="76"/>
      <c r="BU112" s="76"/>
      <c r="BV112" s="145" t="b">
        <f>IF(CF85=16,6)</f>
        <v>0</v>
      </c>
      <c r="BW112" s="146"/>
      <c r="BX112" s="147"/>
      <c r="BY112" s="147"/>
      <c r="BZ112" s="146"/>
      <c r="CA112" s="146"/>
      <c r="CB112" s="146"/>
      <c r="CC112" s="146"/>
      <c r="CD112" s="146"/>
      <c r="CE112" s="146"/>
      <c r="CF112" s="146"/>
      <c r="CG112" s="146"/>
      <c r="CH112" s="148"/>
      <c r="CI112" s="146"/>
      <c r="CJ112" s="149"/>
      <c r="CK112" s="146"/>
      <c r="CL112" s="146"/>
      <c r="CM112" s="147"/>
      <c r="CN112" s="147"/>
      <c r="CO112" s="150"/>
      <c r="CP112" s="151" t="b">
        <f>IF(CF85=16,26)</f>
        <v>0</v>
      </c>
      <c r="CQ112" s="78"/>
      <c r="CR112" s="78"/>
      <c r="CS112" s="78"/>
      <c r="CT112" s="78"/>
      <c r="CU112" s="78"/>
      <c r="CV112" s="78"/>
      <c r="CW112" s="78"/>
      <c r="CX112" s="78"/>
      <c r="CY112" s="78"/>
      <c r="CZ112" s="78"/>
      <c r="DA112" s="78"/>
      <c r="DB112" s="78"/>
      <c r="DC112" s="78"/>
      <c r="DD112" s="78"/>
    </row>
    <row r="113" spans="2:108" ht="21" hidden="1" thickBot="1" x14ac:dyDescent="0.25">
      <c r="E113" s="397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E113" s="136"/>
      <c r="BF113" s="136"/>
      <c r="BG113" s="136"/>
      <c r="BH113" s="136"/>
      <c r="BN113" s="86"/>
      <c r="BO113" s="1091"/>
      <c r="BP113" s="96">
        <v>15</v>
      </c>
      <c r="BQ113" s="76"/>
      <c r="BR113" s="76"/>
      <c r="BS113" s="76"/>
      <c r="BT113" s="117" t="b">
        <f>IF(CE85=15,4)</f>
        <v>0</v>
      </c>
      <c r="BU113" s="119"/>
      <c r="BV113" s="119"/>
      <c r="BW113" s="119"/>
      <c r="BX113" s="118"/>
      <c r="BY113" s="119"/>
      <c r="BZ113" s="119"/>
      <c r="CA113" s="118"/>
      <c r="CB113" s="119"/>
      <c r="CC113" s="119"/>
      <c r="CD113" s="119"/>
      <c r="CE113" s="119"/>
      <c r="CF113" s="119"/>
      <c r="CG113" s="119"/>
      <c r="CH113" s="140"/>
      <c r="CI113" s="118"/>
      <c r="CJ113" s="141"/>
      <c r="CK113" s="119"/>
      <c r="CL113" s="118"/>
      <c r="CM113" s="119"/>
      <c r="CN113" s="119"/>
      <c r="CO113" s="111"/>
      <c r="CP113" s="103" t="b">
        <f>IF(CE85=15,26)</f>
        <v>0</v>
      </c>
      <c r="CQ113" s="78"/>
      <c r="CR113" s="78"/>
      <c r="CS113" s="78"/>
      <c r="CT113" s="78"/>
      <c r="CU113" s="78"/>
      <c r="CV113" s="78"/>
      <c r="CW113" s="78"/>
      <c r="CX113" s="78"/>
      <c r="CY113" s="78"/>
      <c r="CZ113" s="78"/>
      <c r="DA113" s="78"/>
      <c r="DB113" s="78"/>
      <c r="DC113" s="78"/>
      <c r="DD113" s="78"/>
    </row>
    <row r="114" spans="2:108" ht="21" hidden="1" thickBot="1" x14ac:dyDescent="0.25">
      <c r="E114" s="397"/>
      <c r="F114" s="397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E114" s="136"/>
      <c r="BF114" s="136"/>
      <c r="BG114" s="136"/>
      <c r="BH114" s="136"/>
      <c r="BN114" s="86"/>
      <c r="BO114" s="1091"/>
      <c r="BP114" s="96">
        <v>14</v>
      </c>
      <c r="BQ114" s="76"/>
      <c r="BR114" s="117" t="b">
        <f>IF(CD85=14,2)</f>
        <v>0</v>
      </c>
      <c r="BS114" s="119"/>
      <c r="BT114" s="119"/>
      <c r="BU114" s="119"/>
      <c r="BV114" s="118"/>
      <c r="BW114" s="119"/>
      <c r="BX114" s="119"/>
      <c r="BY114" s="118"/>
      <c r="BZ114" s="119"/>
      <c r="CA114" s="119"/>
      <c r="CB114" s="119"/>
      <c r="CC114" s="119"/>
      <c r="CD114" s="119"/>
      <c r="CE114" s="119"/>
      <c r="CF114" s="119"/>
      <c r="CG114" s="119"/>
      <c r="CH114" s="140"/>
      <c r="CI114" s="118"/>
      <c r="CJ114" s="141"/>
      <c r="CK114" s="119"/>
      <c r="CL114" s="118"/>
      <c r="CM114" s="119"/>
      <c r="CN114" s="119"/>
      <c r="CO114" s="111"/>
      <c r="CP114" s="103" t="b">
        <f>IF(CD85=14,26)</f>
        <v>0</v>
      </c>
      <c r="CQ114" s="78"/>
      <c r="CR114" s="78"/>
      <c r="CS114" s="78"/>
      <c r="CT114" s="78"/>
      <c r="CU114" s="78"/>
      <c r="CV114" s="78"/>
      <c r="CW114" s="78"/>
      <c r="CX114" s="78"/>
      <c r="CY114" s="78"/>
      <c r="CZ114" s="78"/>
      <c r="DA114" s="78"/>
      <c r="DB114" s="78"/>
      <c r="DC114" s="78"/>
      <c r="DD114" s="78"/>
    </row>
    <row r="115" spans="2:108" ht="21" hidden="1" thickBot="1" x14ac:dyDescent="0.25">
      <c r="E115" s="397"/>
      <c r="F115" s="397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36"/>
      <c r="BF115" s="136"/>
      <c r="BG115" s="136"/>
      <c r="BH115" s="136"/>
      <c r="BN115" s="86"/>
      <c r="BO115" s="1091"/>
      <c r="BP115" s="96">
        <v>13</v>
      </c>
      <c r="BQ115" s="76"/>
      <c r="BR115" s="76"/>
      <c r="BS115" s="76"/>
      <c r="BU115" s="152"/>
      <c r="BV115" s="152"/>
      <c r="BW115" s="91"/>
      <c r="BX115" s="152"/>
      <c r="BY115" s="120" t="b">
        <f>IF(CC85=13,9)</f>
        <v>0</v>
      </c>
      <c r="BZ115" s="123"/>
      <c r="CA115" s="123"/>
      <c r="CB115" s="123"/>
      <c r="CC115" s="123"/>
      <c r="CD115" s="123"/>
      <c r="CE115" s="123"/>
      <c r="CF115" s="123"/>
      <c r="CG115" s="124" t="b">
        <f>IF(CC85=13,17)</f>
        <v>0</v>
      </c>
      <c r="CH115" s="153"/>
      <c r="CI115" s="91"/>
      <c r="CJ115" s="154"/>
      <c r="CK115" s="152"/>
      <c r="CM115" s="76"/>
      <c r="CN115" s="76"/>
      <c r="CO115" s="78"/>
      <c r="CP115" s="78"/>
      <c r="CQ115" s="78"/>
      <c r="CR115" s="78"/>
      <c r="CS115" s="78"/>
      <c r="CT115" s="78"/>
      <c r="CU115" s="78"/>
      <c r="CV115" s="78"/>
      <c r="CW115" s="78"/>
      <c r="CX115" s="78"/>
      <c r="CY115" s="78"/>
      <c r="CZ115" s="78"/>
      <c r="DA115" s="78"/>
      <c r="DB115" s="78"/>
      <c r="DC115" s="78"/>
      <c r="DD115" s="78"/>
    </row>
    <row r="116" spans="2:108" ht="21" hidden="1" thickBot="1" x14ac:dyDescent="0.25">
      <c r="D116" s="397"/>
      <c r="E116" s="397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E116" s="136"/>
      <c r="BF116" s="136"/>
      <c r="BG116" s="136"/>
      <c r="BH116" s="136"/>
      <c r="BN116" s="86"/>
      <c r="BO116" s="1091"/>
      <c r="BP116" s="96">
        <v>12</v>
      </c>
      <c r="BQ116" s="76"/>
      <c r="BS116" s="139"/>
      <c r="BT116" s="139"/>
      <c r="BU116" s="142"/>
      <c r="BV116" s="139"/>
      <c r="BW116" s="117" t="b">
        <f>IF(CB85=12,7)</f>
        <v>0</v>
      </c>
      <c r="BX116" s="119"/>
      <c r="BY116" s="119"/>
      <c r="BZ116" s="119"/>
      <c r="CA116" s="119"/>
      <c r="CB116" s="119"/>
      <c r="CC116" s="119"/>
      <c r="CD116" s="119"/>
      <c r="CE116" s="119"/>
      <c r="CF116" s="119"/>
      <c r="CG116" s="103" t="b">
        <f>IF(CB85=12,17)</f>
        <v>0</v>
      </c>
      <c r="CH116" s="155"/>
      <c r="CI116" s="142"/>
      <c r="CJ116" s="156"/>
      <c r="CK116" s="139"/>
      <c r="CM116" s="76"/>
      <c r="CN116" s="76"/>
      <c r="CO116" s="78"/>
      <c r="CP116" s="78"/>
      <c r="CQ116" s="78"/>
      <c r="CR116" s="78"/>
      <c r="CS116" s="78"/>
      <c r="CT116" s="78"/>
      <c r="CU116" s="78"/>
      <c r="CV116" s="78"/>
      <c r="CW116" s="78"/>
      <c r="CX116" s="78"/>
      <c r="CY116" s="78"/>
      <c r="CZ116" s="78"/>
      <c r="DA116" s="78"/>
      <c r="DB116" s="78"/>
      <c r="DC116" s="78"/>
      <c r="DD116" s="78"/>
    </row>
    <row r="117" spans="2:108" ht="21" hidden="1" thickBot="1" x14ac:dyDescent="0.25">
      <c r="D117" s="397"/>
      <c r="E117" s="397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E117" s="136"/>
      <c r="BF117" s="136"/>
      <c r="BG117" s="136"/>
      <c r="BH117" s="136"/>
      <c r="BN117" s="86"/>
      <c r="BO117" s="1091"/>
      <c r="BP117" s="96">
        <v>11</v>
      </c>
      <c r="BR117" s="152"/>
      <c r="BS117" s="91"/>
      <c r="BT117" s="152"/>
      <c r="BU117" s="117" t="b">
        <f>IF(CA85=11,5)</f>
        <v>0</v>
      </c>
      <c r="BV117" s="119"/>
      <c r="BW117" s="119"/>
      <c r="BX117" s="119"/>
      <c r="BY117" s="119"/>
      <c r="BZ117" s="119"/>
      <c r="CA117" s="119"/>
      <c r="CB117" s="119"/>
      <c r="CC117" s="119"/>
      <c r="CD117" s="119"/>
      <c r="CE117" s="119"/>
      <c r="CF117" s="119"/>
      <c r="CG117" s="103" t="b">
        <f>IF(CA85=11,17)</f>
        <v>0</v>
      </c>
      <c r="CH117" s="153"/>
      <c r="CI117" s="91"/>
      <c r="CJ117" s="154"/>
      <c r="CL117" s="76"/>
      <c r="CM117" s="76"/>
      <c r="CN117" s="76"/>
      <c r="CO117" s="78"/>
      <c r="CP117" s="78"/>
      <c r="CQ117" s="78"/>
      <c r="CR117" s="78"/>
      <c r="CS117" s="78"/>
      <c r="CT117" s="78"/>
      <c r="CU117" s="78"/>
      <c r="CV117" s="78"/>
      <c r="CW117" s="78"/>
      <c r="CX117" s="78"/>
      <c r="CY117" s="78"/>
      <c r="CZ117" s="78"/>
      <c r="DA117" s="78"/>
      <c r="DB117" s="78"/>
      <c r="DC117" s="78"/>
      <c r="DD117" s="78"/>
    </row>
    <row r="118" spans="2:108" ht="21" hidden="1" thickBot="1" x14ac:dyDescent="0.25">
      <c r="B118" s="399"/>
      <c r="C118" s="399"/>
      <c r="D118" s="397"/>
      <c r="E118" s="397"/>
      <c r="F118" s="397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E118" s="136"/>
      <c r="BF118" s="136"/>
      <c r="BG118" s="136"/>
      <c r="BH118" s="136"/>
      <c r="BN118" s="86"/>
      <c r="BO118" s="1091"/>
      <c r="BP118" s="96">
        <v>10</v>
      </c>
      <c r="BR118" s="152"/>
      <c r="BS118" s="117" t="b">
        <f>IF(BZ85=10,3)</f>
        <v>0</v>
      </c>
      <c r="BT118" s="119"/>
      <c r="BU118" s="119"/>
      <c r="BV118" s="119"/>
      <c r="BW118" s="119"/>
      <c r="BX118" s="119"/>
      <c r="BY118" s="119"/>
      <c r="BZ118" s="119"/>
      <c r="CA118" s="119"/>
      <c r="CB118" s="119"/>
      <c r="CC118" s="119"/>
      <c r="CD118" s="119"/>
      <c r="CE118" s="119"/>
      <c r="CF118" s="119"/>
      <c r="CG118" s="103" t="b">
        <f>IF(BZ85=10,17)</f>
        <v>0</v>
      </c>
      <c r="CH118" s="153"/>
      <c r="CJ118" s="157"/>
      <c r="CK118" s="76"/>
      <c r="CL118" s="76"/>
      <c r="CM118" s="76"/>
      <c r="CN118" s="76"/>
      <c r="CO118" s="78"/>
      <c r="CP118" s="78"/>
      <c r="CQ118" s="78"/>
      <c r="CR118" s="78"/>
      <c r="CS118" s="78"/>
      <c r="CT118" s="78"/>
      <c r="CU118" s="78"/>
      <c r="CV118" s="78"/>
      <c r="CW118" s="78"/>
      <c r="CX118" s="78"/>
      <c r="CY118" s="78"/>
      <c r="CZ118" s="78"/>
      <c r="DA118" s="78"/>
      <c r="DB118" s="78"/>
      <c r="DC118" s="78"/>
      <c r="DD118" s="78"/>
    </row>
    <row r="119" spans="2:108" ht="21" hidden="1" thickBot="1" x14ac:dyDescent="0.25">
      <c r="B119" s="399"/>
      <c r="C119" s="399"/>
      <c r="D119" s="397"/>
      <c r="E119" s="397"/>
      <c r="F119" s="397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F119" s="136"/>
      <c r="BG119" s="136"/>
      <c r="BH119" s="136"/>
      <c r="BN119" s="86"/>
      <c r="BO119" s="1091"/>
      <c r="BP119" s="96">
        <v>9</v>
      </c>
      <c r="BQ119" s="117" t="b">
        <f>IF(BY85=9,1)</f>
        <v>0</v>
      </c>
      <c r="BR119" s="119"/>
      <c r="BS119" s="119"/>
      <c r="BT119" s="119"/>
      <c r="BU119" s="119"/>
      <c r="BV119" s="119"/>
      <c r="BW119" s="119"/>
      <c r="BX119" s="119"/>
      <c r="BY119" s="119"/>
      <c r="BZ119" s="119"/>
      <c r="CA119" s="119"/>
      <c r="CB119" s="119"/>
      <c r="CC119" s="119"/>
      <c r="CD119" s="119"/>
      <c r="CE119" s="119"/>
      <c r="CF119" s="119"/>
      <c r="CG119" s="103" t="b">
        <f>IF(BY85=9,17)</f>
        <v>0</v>
      </c>
      <c r="CH119" s="76"/>
      <c r="CI119" s="76"/>
      <c r="CJ119" s="157"/>
      <c r="CK119" s="76"/>
      <c r="CL119" s="76"/>
      <c r="CM119" s="76"/>
      <c r="CN119" s="76"/>
      <c r="CO119" s="78"/>
      <c r="CP119" s="78"/>
      <c r="CQ119" s="78"/>
      <c r="CR119" s="78"/>
      <c r="CS119" s="78"/>
      <c r="CT119" s="78"/>
      <c r="CU119" s="78"/>
      <c r="CV119" s="78"/>
      <c r="CW119" s="78"/>
      <c r="CX119" s="78"/>
      <c r="CY119" s="78"/>
      <c r="CZ119" s="78"/>
      <c r="DA119" s="78"/>
      <c r="DB119" s="78"/>
      <c r="DC119" s="78"/>
      <c r="DD119" s="78"/>
    </row>
    <row r="120" spans="2:108" ht="21" hidden="1" thickBot="1" x14ac:dyDescent="0.25">
      <c r="B120" s="401"/>
      <c r="E120" s="397"/>
      <c r="F120" s="397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E120" s="136"/>
      <c r="BF120" s="136"/>
      <c r="BG120" s="136"/>
      <c r="BH120" s="136"/>
      <c r="BN120" s="86"/>
      <c r="BO120" s="1091"/>
      <c r="BP120" s="96">
        <v>8</v>
      </c>
      <c r="BQ120" s="117" t="b">
        <f>IF(BX85=8,1)</f>
        <v>0</v>
      </c>
      <c r="BR120" s="119"/>
      <c r="BS120" s="118"/>
      <c r="BT120" s="119"/>
      <c r="BU120" s="119"/>
      <c r="BV120" s="119"/>
      <c r="BW120" s="119"/>
      <c r="BX120" s="119"/>
      <c r="BY120" s="119"/>
      <c r="BZ120" s="119"/>
      <c r="CA120" s="119"/>
      <c r="CB120" s="119"/>
      <c r="CC120" s="118"/>
      <c r="CD120" s="119"/>
      <c r="CE120" s="103" t="b">
        <f>IF(BX85=8,15)</f>
        <v>0</v>
      </c>
      <c r="CF120" s="76"/>
      <c r="CG120" s="76"/>
      <c r="CH120" s="158"/>
      <c r="CI120" s="76"/>
      <c r="CJ120" s="157"/>
      <c r="CK120" s="76"/>
      <c r="CL120" s="76"/>
      <c r="CM120" s="76"/>
      <c r="CN120" s="76"/>
      <c r="CO120" s="78"/>
      <c r="CP120" s="78"/>
      <c r="CQ120" s="78"/>
      <c r="CR120" s="78"/>
      <c r="CS120" s="78"/>
      <c r="CT120" s="78"/>
      <c r="CU120" s="78"/>
      <c r="CV120" s="78"/>
      <c r="CW120" s="78"/>
      <c r="CX120" s="78"/>
      <c r="CY120" s="78"/>
      <c r="CZ120" s="78"/>
      <c r="DA120" s="78"/>
      <c r="DB120" s="78"/>
      <c r="DC120" s="78"/>
      <c r="DD120" s="78"/>
    </row>
    <row r="121" spans="2:108" ht="21" hidden="1" thickBot="1" x14ac:dyDescent="0.25">
      <c r="B121" s="399"/>
      <c r="C121" s="399"/>
      <c r="D121" s="397"/>
      <c r="E121" s="397"/>
      <c r="F121" s="397"/>
      <c r="G121" s="998"/>
      <c r="H121"/>
      <c r="I121"/>
      <c r="J121"/>
      <c r="K121"/>
      <c r="L121"/>
      <c r="M121"/>
      <c r="N121"/>
      <c r="O121" s="995"/>
      <c r="U121" s="114"/>
      <c r="AB121" s="114"/>
      <c r="AC121" s="114"/>
      <c r="AD121" s="114"/>
      <c r="AE121" s="114"/>
      <c r="BF121" s="136"/>
      <c r="BG121" s="136"/>
      <c r="BH121" s="136"/>
      <c r="BN121" s="86"/>
      <c r="BO121" s="1091"/>
      <c r="BP121" s="96">
        <v>7</v>
      </c>
      <c r="BQ121" s="117" t="b">
        <f>IF(BW85=7,1)</f>
        <v>0</v>
      </c>
      <c r="BR121" s="118"/>
      <c r="BS121" s="119"/>
      <c r="BT121" s="119"/>
      <c r="BU121" s="119"/>
      <c r="BV121" s="119"/>
      <c r="BW121" s="119"/>
      <c r="BX121" s="119"/>
      <c r="BY121" s="119"/>
      <c r="BZ121" s="119"/>
      <c r="CA121" s="118"/>
      <c r="CB121" s="118"/>
      <c r="CC121" s="103" t="b">
        <f>IF(BW85=7,13)</f>
        <v>0</v>
      </c>
      <c r="CD121" s="76"/>
      <c r="CE121" s="76"/>
      <c r="CF121" s="76"/>
      <c r="CG121" s="76"/>
      <c r="CH121" s="158"/>
      <c r="CI121" s="76"/>
      <c r="CJ121" s="157"/>
      <c r="CK121" s="76"/>
      <c r="CL121" s="76"/>
      <c r="CM121" s="76"/>
      <c r="CN121" s="76"/>
      <c r="CO121" s="78"/>
      <c r="CP121" s="78"/>
      <c r="CQ121" s="78"/>
      <c r="CR121" s="78"/>
      <c r="CS121" s="78"/>
      <c r="CT121" s="78"/>
      <c r="CU121" s="78"/>
      <c r="CV121" s="78"/>
      <c r="CW121" s="78"/>
      <c r="CX121" s="78"/>
      <c r="CY121" s="78"/>
      <c r="CZ121" s="78"/>
      <c r="DA121" s="78"/>
      <c r="DB121" s="78"/>
      <c r="DC121" s="78"/>
      <c r="DD121" s="78"/>
    </row>
    <row r="122" spans="2:108" ht="21" hidden="1" thickBot="1" x14ac:dyDescent="0.25">
      <c r="B122" s="399"/>
      <c r="C122" s="399"/>
      <c r="D122" s="397"/>
      <c r="E122" s="397"/>
      <c r="F122" s="397"/>
      <c r="G122" s="998"/>
      <c r="H122"/>
      <c r="I122"/>
      <c r="J122"/>
      <c r="K122"/>
      <c r="L122"/>
      <c r="M122"/>
      <c r="N122"/>
      <c r="O122" s="995"/>
      <c r="U122" s="114"/>
      <c r="AB122" s="114"/>
      <c r="AC122" s="114"/>
      <c r="AD122" s="114"/>
      <c r="AE122" s="114"/>
      <c r="BF122" s="136"/>
      <c r="BG122" s="136"/>
      <c r="BH122" s="136"/>
      <c r="BN122" s="86"/>
      <c r="BO122" s="1091"/>
      <c r="BP122" s="96">
        <v>6</v>
      </c>
      <c r="BQ122" s="120" t="b">
        <f>IF(BV85=6,1)</f>
        <v>0</v>
      </c>
      <c r="BR122" s="123"/>
      <c r="BS122" s="123"/>
      <c r="BT122" s="123"/>
      <c r="BU122" s="123"/>
      <c r="BV122" s="123"/>
      <c r="BW122" s="123"/>
      <c r="BX122" s="123"/>
      <c r="BY122" s="123"/>
      <c r="BZ122" s="123"/>
      <c r="CA122" s="124" t="b">
        <f>IF(BV85=6,11)</f>
        <v>0</v>
      </c>
      <c r="CB122" s="76"/>
      <c r="CC122" s="76"/>
      <c r="CD122" s="76"/>
      <c r="CE122" s="76"/>
      <c r="CF122" s="76"/>
      <c r="CG122" s="76"/>
      <c r="CH122" s="158"/>
      <c r="CI122" s="76"/>
      <c r="CJ122" s="157"/>
      <c r="CK122" s="76"/>
      <c r="CL122" s="76"/>
      <c r="CM122" s="76"/>
      <c r="CN122" s="76"/>
      <c r="CO122" s="78"/>
      <c r="CP122" s="78"/>
      <c r="CQ122" s="78"/>
      <c r="CR122" s="78"/>
      <c r="CS122" s="78"/>
      <c r="CT122" s="78"/>
      <c r="CU122" s="78"/>
      <c r="CV122" s="78"/>
      <c r="CW122" s="78"/>
      <c r="CX122" s="78"/>
      <c r="CY122" s="78"/>
      <c r="CZ122" s="78"/>
      <c r="DA122" s="78"/>
      <c r="DB122" s="78"/>
      <c r="DC122" s="78"/>
      <c r="DD122" s="78"/>
    </row>
    <row r="123" spans="2:108" ht="21" hidden="1" thickBot="1" x14ac:dyDescent="0.25">
      <c r="B123" s="19"/>
      <c r="C123" s="399"/>
      <c r="D123" s="397"/>
      <c r="E123" s="19"/>
      <c r="F123" s="397"/>
      <c r="G123" s="998"/>
      <c r="H123"/>
      <c r="I123"/>
      <c r="J123"/>
      <c r="K123"/>
      <c r="L123"/>
      <c r="M123"/>
      <c r="N123"/>
      <c r="O123" s="995"/>
      <c r="U123" s="114"/>
      <c r="AB123" s="114"/>
      <c r="AC123" s="114"/>
      <c r="AD123" s="114"/>
      <c r="AE123" s="114"/>
      <c r="BE123" s="136"/>
      <c r="BF123" s="136"/>
      <c r="BG123" s="136"/>
      <c r="BH123" s="136"/>
      <c r="BN123" s="86"/>
      <c r="BO123" s="1091"/>
      <c r="BP123" s="96">
        <v>5</v>
      </c>
      <c r="BQ123" s="120" t="b">
        <f>IF(BU85=5,1)</f>
        <v>0</v>
      </c>
      <c r="BR123" s="122"/>
      <c r="BS123" s="123"/>
      <c r="BT123" s="123"/>
      <c r="BU123" s="123"/>
      <c r="BV123" s="123"/>
      <c r="BW123" s="123"/>
      <c r="BX123" s="122"/>
      <c r="BY123" s="124" t="b">
        <f>IF(BU85=5,9)</f>
        <v>0</v>
      </c>
      <c r="BZ123" s="76"/>
      <c r="CA123" s="76"/>
      <c r="CB123" s="76"/>
      <c r="CC123" s="76"/>
      <c r="CD123" s="76"/>
      <c r="CE123" s="76"/>
      <c r="CF123" s="76"/>
      <c r="CG123" s="76"/>
      <c r="CH123" s="158"/>
      <c r="CI123" s="76"/>
      <c r="CJ123" s="157"/>
      <c r="CK123" s="76"/>
      <c r="CL123" s="76"/>
      <c r="CM123" s="76"/>
      <c r="CN123" s="76"/>
      <c r="CO123" s="78"/>
      <c r="CP123" s="78"/>
      <c r="CQ123" s="78"/>
      <c r="CR123" s="78"/>
      <c r="CS123" s="78"/>
      <c r="CT123" s="78"/>
      <c r="CU123" s="78"/>
      <c r="CV123" s="78"/>
      <c r="CW123" s="78"/>
      <c r="CX123" s="78"/>
      <c r="CY123" s="78"/>
      <c r="CZ123" s="78"/>
      <c r="DA123" s="78"/>
      <c r="DB123" s="78"/>
      <c r="DC123" s="78"/>
      <c r="DD123" s="78"/>
    </row>
    <row r="124" spans="2:108" ht="127" hidden="1" thickBot="1" x14ac:dyDescent="0.25">
      <c r="E124" s="397"/>
      <c r="F124" s="39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114"/>
      <c r="AB124" s="114"/>
      <c r="AC124" s="114"/>
      <c r="AD124" s="114"/>
      <c r="AE124" s="114"/>
      <c r="BF124" s="136"/>
      <c r="BG124" s="136"/>
      <c r="BH124" s="136"/>
      <c r="BN124" s="86"/>
      <c r="BO124" s="1091"/>
      <c r="BP124" s="96">
        <v>4</v>
      </c>
      <c r="BQ124" s="120" t="b">
        <f>IF(BT85=4,1)</f>
        <v>0</v>
      </c>
      <c r="BR124" s="123"/>
      <c r="BS124" s="123"/>
      <c r="BT124" s="123"/>
      <c r="BU124" s="123"/>
      <c r="BV124" s="123"/>
      <c r="BW124" s="124" t="b">
        <f>IF(BT85=4,7)</f>
        <v>0</v>
      </c>
      <c r="BX124" s="76"/>
      <c r="BY124" s="159"/>
      <c r="BZ124" s="159"/>
      <c r="CA124" s="76"/>
      <c r="CB124" s="159"/>
      <c r="CC124" s="76"/>
      <c r="CD124" s="76"/>
      <c r="CE124" s="76"/>
      <c r="CF124" s="76"/>
      <c r="CG124" s="76"/>
      <c r="CH124" s="158"/>
      <c r="CI124" s="76"/>
      <c r="CJ124" s="157"/>
      <c r="CK124" s="76"/>
      <c r="CL124" s="76"/>
      <c r="CM124" s="76"/>
      <c r="CN124" s="76"/>
      <c r="CO124" s="78"/>
      <c r="CP124" s="78"/>
      <c r="CQ124" s="78"/>
      <c r="CR124" s="78"/>
      <c r="CS124" s="78"/>
      <c r="CT124" s="78"/>
      <c r="CU124" s="78"/>
      <c r="CV124" s="78"/>
      <c r="CW124" s="78"/>
      <c r="CX124" s="78"/>
      <c r="CY124" s="78"/>
      <c r="CZ124" s="78"/>
      <c r="DA124" s="78"/>
      <c r="DB124" s="78"/>
      <c r="DC124" s="78"/>
      <c r="DD124" s="78"/>
    </row>
    <row r="125" spans="2:108" ht="64" hidden="1" thickBot="1" x14ac:dyDescent="0.25">
      <c r="E125" s="397"/>
      <c r="F125" s="39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114"/>
      <c r="AB125" s="114"/>
      <c r="AC125" s="114"/>
      <c r="AD125" s="114"/>
      <c r="AE125" s="114"/>
      <c r="BE125" s="136"/>
      <c r="BF125" s="136"/>
      <c r="BG125" s="136"/>
      <c r="BH125" s="136"/>
      <c r="BN125" s="86"/>
      <c r="BO125" s="1091"/>
      <c r="BP125" s="96">
        <v>3</v>
      </c>
      <c r="BQ125" s="120" t="b">
        <f>IF(BS85=3,1)</f>
        <v>0</v>
      </c>
      <c r="BR125" s="123"/>
      <c r="BS125" s="123"/>
      <c r="BT125" s="123"/>
      <c r="BU125" s="124" t="b">
        <f>IF(BS85=3,5)</f>
        <v>0</v>
      </c>
      <c r="BV125" s="76"/>
      <c r="BW125" s="76"/>
      <c r="BX125" s="76"/>
      <c r="BY125" s="76"/>
      <c r="BZ125" s="76"/>
      <c r="CA125" s="76"/>
      <c r="CB125" s="76"/>
      <c r="CC125" s="76"/>
      <c r="CD125" s="76"/>
      <c r="CE125" s="76"/>
      <c r="CF125" s="76"/>
      <c r="CG125" s="76"/>
      <c r="CH125" s="158"/>
      <c r="CI125" s="76"/>
      <c r="CJ125" s="157"/>
      <c r="CK125" s="76"/>
      <c r="CL125" s="76"/>
      <c r="CM125" s="76"/>
      <c r="CN125" s="76"/>
      <c r="CO125" s="78"/>
      <c r="CP125" s="78"/>
      <c r="CQ125" s="78"/>
      <c r="CR125" s="78"/>
      <c r="CS125" s="78"/>
      <c r="CT125" s="78"/>
      <c r="CU125" s="78"/>
      <c r="CV125" s="78"/>
      <c r="CW125" s="78"/>
      <c r="CX125" s="78"/>
      <c r="CY125" s="78"/>
      <c r="CZ125" s="78"/>
      <c r="DA125" s="78"/>
      <c r="DB125" s="78"/>
      <c r="DC125" s="78"/>
      <c r="DD125" s="78"/>
    </row>
    <row r="126" spans="2:108" ht="73" hidden="1" thickBot="1" x14ac:dyDescent="0.3">
      <c r="E126" s="397"/>
      <c r="F126" s="397"/>
      <c r="G126" s="998"/>
      <c r="H126" s="1067" t="s">
        <v>260</v>
      </c>
      <c r="I126" s="1052">
        <f>+MIN(K31:L32)</f>
        <v>37.506445995192067</v>
      </c>
      <c r="J126" s="1052">
        <f>+MIN(J37:K38)</f>
        <v>60.150375939849624</v>
      </c>
      <c r="K126" s="1053">
        <f>+MIN(J43:L44)</f>
        <v>60.150375939849624</v>
      </c>
      <c r="L126" s="1054">
        <f>+MIN(J49:L50)</f>
        <v>26.026604973973395</v>
      </c>
      <c r="M126" s="1055">
        <f>+MIN(J55:L56)</f>
        <v>60.150375939849624</v>
      </c>
      <c r="N126"/>
      <c r="O126" s="995"/>
      <c r="U126" s="114"/>
      <c r="AB126" s="114"/>
      <c r="AC126" s="114"/>
      <c r="AD126" s="114"/>
      <c r="AE126" s="114"/>
      <c r="BE126" s="136"/>
      <c r="BF126" s="136"/>
      <c r="BG126" s="136"/>
      <c r="BH126" s="136"/>
      <c r="BN126" s="86"/>
      <c r="BO126" s="1091"/>
      <c r="BP126" s="96">
        <v>2</v>
      </c>
      <c r="BQ126" s="160" t="b">
        <f>IF(BR85=2,1)</f>
        <v>0</v>
      </c>
      <c r="BR126" s="161"/>
      <c r="BS126" s="162" t="b">
        <f>IF(BR85=2,3)</f>
        <v>0</v>
      </c>
      <c r="BT126" s="76"/>
      <c r="BU126" s="76"/>
      <c r="BV126" s="76"/>
      <c r="BW126" s="76"/>
      <c r="BX126" s="76"/>
      <c r="BY126" s="76"/>
      <c r="BZ126" s="76"/>
      <c r="CA126" s="76"/>
      <c r="CB126" s="76"/>
      <c r="CC126" s="76"/>
      <c r="CD126" s="76"/>
      <c r="CE126" s="76"/>
      <c r="CF126" s="76"/>
      <c r="CG126" s="76"/>
      <c r="CH126" s="158"/>
      <c r="CI126" s="76"/>
      <c r="CJ126" s="157"/>
      <c r="CK126" s="76"/>
      <c r="CL126" s="76"/>
      <c r="CM126" s="76"/>
      <c r="CN126" s="76"/>
      <c r="CO126" s="78"/>
      <c r="CP126" s="78"/>
      <c r="CQ126" s="78"/>
      <c r="CR126" s="78"/>
      <c r="CS126" s="78"/>
      <c r="CT126" s="78"/>
      <c r="CU126" s="78"/>
      <c r="CV126" s="78"/>
      <c r="CW126" s="78"/>
      <c r="CX126" s="78"/>
      <c r="CY126" s="78"/>
      <c r="CZ126" s="78"/>
      <c r="DA126" s="78"/>
      <c r="DB126" s="78"/>
      <c r="DC126" s="78"/>
      <c r="DD126" s="78"/>
    </row>
    <row r="127" spans="2:108" ht="21" hidden="1" thickBot="1" x14ac:dyDescent="0.25">
      <c r="E127" s="397"/>
      <c r="F127" s="397"/>
      <c r="G127" s="1011"/>
      <c r="H127" s="131"/>
      <c r="I127" s="131"/>
      <c r="J127" s="131"/>
      <c r="K127" s="131"/>
      <c r="L127" s="131"/>
      <c r="M127" s="131"/>
      <c r="N127" s="131"/>
      <c r="O127" s="1012"/>
      <c r="U127" s="114"/>
      <c r="AB127" s="114"/>
      <c r="AC127" s="114"/>
      <c r="AD127" s="114"/>
      <c r="AE127" s="114"/>
      <c r="BE127" s="136"/>
      <c r="BF127" s="136"/>
      <c r="BG127" s="136"/>
      <c r="BH127" s="136"/>
      <c r="BN127" s="86"/>
      <c r="BO127" s="1091"/>
      <c r="BP127" s="163"/>
      <c r="BQ127" s="164">
        <f>SUM(BQ92:BQ126)</f>
        <v>0</v>
      </c>
      <c r="BR127" s="164">
        <f t="shared" ref="BR127:DA127" si="3">SUM(BR92:BR126)</f>
        <v>0</v>
      </c>
      <c r="BS127" s="164">
        <f t="shared" si="3"/>
        <v>0</v>
      </c>
      <c r="BT127" s="164">
        <f t="shared" si="3"/>
        <v>0</v>
      </c>
      <c r="BU127" s="164">
        <f t="shared" si="3"/>
        <v>0</v>
      </c>
      <c r="BV127" s="164">
        <f t="shared" si="3"/>
        <v>0</v>
      </c>
      <c r="BW127" s="164">
        <f t="shared" si="3"/>
        <v>0</v>
      </c>
      <c r="BX127" s="164">
        <f t="shared" si="3"/>
        <v>8</v>
      </c>
      <c r="BY127" s="164">
        <f t="shared" si="3"/>
        <v>0</v>
      </c>
      <c r="BZ127" s="164">
        <f t="shared" si="3"/>
        <v>0</v>
      </c>
      <c r="CA127" s="164">
        <f t="shared" si="3"/>
        <v>0</v>
      </c>
      <c r="CB127" s="164">
        <f t="shared" si="3"/>
        <v>0</v>
      </c>
      <c r="CC127" s="164">
        <f t="shared" si="3"/>
        <v>0</v>
      </c>
      <c r="CD127" s="164">
        <f t="shared" si="3"/>
        <v>0</v>
      </c>
      <c r="CE127" s="164">
        <f t="shared" si="3"/>
        <v>0</v>
      </c>
      <c r="CF127" s="164">
        <f t="shared" si="3"/>
        <v>0</v>
      </c>
      <c r="CG127" s="165">
        <f t="shared" si="3"/>
        <v>0</v>
      </c>
      <c r="CH127" s="166"/>
      <c r="CI127" s="167"/>
      <c r="CJ127" s="168"/>
      <c r="CK127" s="169">
        <f t="shared" si="3"/>
        <v>0</v>
      </c>
      <c r="CL127" s="164">
        <f t="shared" si="3"/>
        <v>0</v>
      </c>
      <c r="CM127" s="164">
        <f t="shared" si="3"/>
        <v>0</v>
      </c>
      <c r="CN127" s="164">
        <f t="shared" si="3"/>
        <v>0</v>
      </c>
      <c r="CO127" s="164">
        <f t="shared" si="3"/>
        <v>0</v>
      </c>
      <c r="CP127" s="164">
        <f t="shared" si="3"/>
        <v>26</v>
      </c>
      <c r="CQ127" s="164">
        <f t="shared" si="3"/>
        <v>0</v>
      </c>
      <c r="CR127" s="164">
        <f t="shared" si="3"/>
        <v>0</v>
      </c>
      <c r="CS127" s="164">
        <f t="shared" si="3"/>
        <v>0</v>
      </c>
      <c r="CT127" s="164">
        <f t="shared" si="3"/>
        <v>0</v>
      </c>
      <c r="CU127" s="164">
        <f t="shared" si="3"/>
        <v>0</v>
      </c>
      <c r="CV127" s="164">
        <f t="shared" si="3"/>
        <v>0</v>
      </c>
      <c r="CW127" s="164">
        <f t="shared" si="3"/>
        <v>0</v>
      </c>
      <c r="CX127" s="164">
        <f t="shared" si="3"/>
        <v>0</v>
      </c>
      <c r="CY127" s="164">
        <f t="shared" si="3"/>
        <v>0</v>
      </c>
      <c r="CZ127" s="164">
        <f t="shared" si="3"/>
        <v>0</v>
      </c>
      <c r="DA127" s="164">
        <f t="shared" si="3"/>
        <v>0</v>
      </c>
      <c r="DB127" s="78"/>
      <c r="DC127" s="78"/>
      <c r="DD127" s="78"/>
    </row>
    <row r="128" spans="2:108" ht="49.5" hidden="1" customHeight="1" thickBot="1" x14ac:dyDescent="0.25">
      <c r="E128" s="397"/>
      <c r="F128" s="397"/>
      <c r="G128" s="998"/>
      <c r="H128" s="201"/>
      <c r="I128" s="201"/>
      <c r="J128" s="201"/>
      <c r="K128" s="201"/>
      <c r="L128" s="201"/>
      <c r="M128" s="201"/>
      <c r="N128" s="201"/>
      <c r="O128" s="1013"/>
      <c r="U128" s="114"/>
      <c r="AB128" s="114"/>
      <c r="AC128" s="114"/>
      <c r="AD128" s="114"/>
      <c r="AE128" s="114"/>
      <c r="BE128" s="136"/>
      <c r="BF128" s="136"/>
      <c r="BG128" s="136"/>
      <c r="BH128" s="136"/>
      <c r="BN128" s="86"/>
      <c r="BO128" s="1091"/>
      <c r="BP128" s="163"/>
      <c r="BQ128" s="170"/>
      <c r="BR128" s="170"/>
      <c r="BS128" s="170"/>
      <c r="BT128" s="170"/>
      <c r="BU128" s="170"/>
      <c r="BV128" s="170"/>
      <c r="BW128" s="170"/>
      <c r="BX128" s="170"/>
      <c r="BY128" s="170"/>
      <c r="BZ128" s="170"/>
      <c r="CA128" s="170"/>
      <c r="CB128" s="170"/>
      <c r="CC128" s="170"/>
      <c r="CD128" s="170"/>
      <c r="CE128" s="170"/>
      <c r="CF128" s="170"/>
      <c r="CG128" s="170"/>
      <c r="CH128" s="170"/>
      <c r="CI128" s="170"/>
      <c r="CJ128" s="170"/>
      <c r="CK128" s="171"/>
      <c r="CL128" s="170"/>
      <c r="CM128" s="170"/>
      <c r="CN128" s="170"/>
      <c r="CO128" s="170"/>
      <c r="CP128" s="170"/>
      <c r="CQ128" s="170"/>
      <c r="CR128" s="170"/>
      <c r="CS128" s="170"/>
      <c r="CT128" s="170"/>
      <c r="CU128" s="170"/>
      <c r="CV128" s="170"/>
      <c r="CW128" s="170"/>
      <c r="CX128" s="170"/>
      <c r="CY128" s="170"/>
      <c r="CZ128" s="170"/>
      <c r="DA128" s="170"/>
      <c r="DB128" s="78"/>
      <c r="DC128" s="78"/>
      <c r="DD128" s="78"/>
    </row>
    <row r="129" spans="2:110" ht="49.5" customHeight="1" thickBot="1" x14ac:dyDescent="0.3">
      <c r="B129" s="408"/>
      <c r="D129" s="409" t="str">
        <f>IF(BL137&gt;0," ","change the angle of frame or of cabinets")</f>
        <v xml:space="preserve"> </v>
      </c>
      <c r="E129" s="397"/>
      <c r="F129" s="397"/>
      <c r="G129" s="998"/>
      <c r="H129"/>
      <c r="I129"/>
      <c r="J129"/>
      <c r="K129"/>
      <c r="L129"/>
      <c r="M129"/>
      <c r="N129"/>
      <c r="O129" s="995"/>
      <c r="U129" s="114"/>
      <c r="AB129" s="114"/>
      <c r="AC129" s="114"/>
      <c r="AD129" s="114"/>
      <c r="AE129" s="114"/>
      <c r="AL129" s="835" t="s">
        <v>174</v>
      </c>
      <c r="AM129" s="836"/>
      <c r="AN129" s="836"/>
      <c r="AO129" s="836"/>
      <c r="AP129" s="837" t="s">
        <v>178</v>
      </c>
      <c r="BE129" s="136"/>
      <c r="BF129" s="136"/>
      <c r="BG129" s="136"/>
      <c r="BH129" s="136"/>
      <c r="BN129" s="86"/>
      <c r="BO129" s="1095" t="s">
        <v>128</v>
      </c>
      <c r="BP129" s="172" t="s">
        <v>124</v>
      </c>
      <c r="BQ129" s="750" t="str">
        <f>IF(BQ127=1,17,"")</f>
        <v/>
      </c>
      <c r="BR129" s="751" t="str">
        <f>IF(BR127=2,16,"")</f>
        <v/>
      </c>
      <c r="BS129" s="751" t="str">
        <f>IF(BS127=3,15,"")</f>
        <v/>
      </c>
      <c r="BT129" s="751" t="str">
        <f>IF(BT127=4,14,"")</f>
        <v/>
      </c>
      <c r="BU129" s="751" t="str">
        <f>IF(BU127=5,13,"")</f>
        <v/>
      </c>
      <c r="BV129" s="751" t="str">
        <f>IF(BV127=6,12,"")</f>
        <v/>
      </c>
      <c r="BW129" s="751" t="str">
        <f>IF(BW127=7,11,"")</f>
        <v/>
      </c>
      <c r="BX129" s="751">
        <f>IF(BX127=8,10,"")</f>
        <v>10</v>
      </c>
      <c r="BY129" s="751" t="str">
        <f>IF(BY127=9,9,"")</f>
        <v/>
      </c>
      <c r="BZ129" s="751" t="str">
        <f>IF(BZ127=10,8,"")</f>
        <v/>
      </c>
      <c r="CA129" s="751" t="str">
        <f>IF(CA127=11,7,"")</f>
        <v/>
      </c>
      <c r="CB129" s="752" t="str">
        <f>IF(CB127=12,"6  ADS ","")</f>
        <v/>
      </c>
      <c r="CC129" s="751" t="str">
        <f>IF(CC127=13,5,"")</f>
        <v/>
      </c>
      <c r="CD129" s="751" t="str">
        <f>IF(CD127=14,4,"")</f>
        <v/>
      </c>
      <c r="CE129" s="751" t="str">
        <f>IF(CE127=15,3,"")</f>
        <v/>
      </c>
      <c r="CF129" s="751" t="str">
        <f>IF(CF127=16,2,"")</f>
        <v/>
      </c>
      <c r="CG129" s="751" t="str">
        <f>IF(CG127=17,1,"")</f>
        <v/>
      </c>
      <c r="CH129" s="173"/>
      <c r="CI129" s="174"/>
      <c r="CJ129" s="175"/>
      <c r="CK129" s="753" t="str">
        <f>IF(CK127=21,1,"")</f>
        <v/>
      </c>
      <c r="CL129" s="753" t="str">
        <f>IF(CL127=22,2,"")</f>
        <v/>
      </c>
      <c r="CM129" s="753" t="str">
        <f>IF(CM127=23,3,"")</f>
        <v/>
      </c>
      <c r="CN129" s="753" t="str">
        <f>IF(CN127=24,4,"")</f>
        <v/>
      </c>
      <c r="CO129" s="753" t="str">
        <f>IF(CO127=25,5,"")</f>
        <v/>
      </c>
      <c r="CP129" s="754" t="str">
        <f>IF(CP127=26,"6  ADS ","")</f>
        <v xml:space="preserve">6  ADS </v>
      </c>
      <c r="CQ129" s="753" t="str">
        <f>IF(CQ127=27,7,"")</f>
        <v/>
      </c>
      <c r="CR129" s="753" t="str">
        <f>IF(CR127=28,8,"")</f>
        <v/>
      </c>
      <c r="CS129" s="753" t="str">
        <f>IF(CS127=29,9,"")</f>
        <v/>
      </c>
      <c r="CT129" s="753" t="str">
        <f>IF(CT127=30,10,"")</f>
        <v/>
      </c>
      <c r="CU129" s="753" t="str">
        <f>IF(CU127=31,11,"")</f>
        <v/>
      </c>
      <c r="CV129" s="753" t="str">
        <f>IF(CV127=32,12,"")</f>
        <v/>
      </c>
      <c r="CW129" s="753" t="str">
        <f>IF(CW127=33,13,"")</f>
        <v/>
      </c>
      <c r="CX129" s="753" t="str">
        <f>IF(CX127=34,14,"")</f>
        <v/>
      </c>
      <c r="CY129" s="753" t="str">
        <f>IF(CY127=35,15,"")</f>
        <v/>
      </c>
      <c r="CZ129" s="753" t="str">
        <f>IF(CZ127=36,16,"")</f>
        <v/>
      </c>
      <c r="DA129" s="755" t="str">
        <f>IF(DA127=37,17,"")</f>
        <v/>
      </c>
      <c r="DB129" s="340"/>
      <c r="DC129" s="78"/>
      <c r="DD129" s="78"/>
    </row>
    <row r="130" spans="2:110" ht="49.5" customHeight="1" thickBot="1" x14ac:dyDescent="0.3">
      <c r="B130" s="1846" t="s">
        <v>116</v>
      </c>
      <c r="D130" s="409" t="str">
        <f>IF(DD138&lt;0," ","change the angle of frame or of cabinets")</f>
        <v xml:space="preserve"> </v>
      </c>
      <c r="E130" s="397"/>
      <c r="F130" s="397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U130" s="114"/>
      <c r="AB130" s="114"/>
      <c r="AC130" s="114"/>
      <c r="AD130" s="114"/>
      <c r="AE130" s="114"/>
      <c r="AL130" s="838" t="s">
        <v>175</v>
      </c>
      <c r="AM130" s="835" t="s">
        <v>176</v>
      </c>
      <c r="AN130" s="835" t="s">
        <v>177</v>
      </c>
      <c r="AO130" s="839" t="s">
        <v>181</v>
      </c>
      <c r="AP130" s="840" t="s">
        <v>179</v>
      </c>
      <c r="BE130" s="136"/>
      <c r="BF130" s="136"/>
      <c r="BG130" s="136"/>
      <c r="BH130" s="136"/>
      <c r="BL130" s="968">
        <v>6</v>
      </c>
      <c r="BM130" s="1762" t="b">
        <f>AND(BO130&gt;=10,$BA$138&gt;=10,$BB$138&gt;=10,$BA$171&gt;=10,$BB$171&gt;=10,$BA$195&gt;=10,$BB$195&gt;=10)</f>
        <v>1</v>
      </c>
      <c r="BN130" s="84" t="str">
        <f>IF(BM130=TRUE,"O K","OVERLOAD")</f>
        <v>O K</v>
      </c>
      <c r="BO130" s="982">
        <f>SUM(I132:M132)</f>
        <v>60.150375939849624</v>
      </c>
      <c r="BP130" s="788" t="s">
        <v>185</v>
      </c>
      <c r="BQ130" s="789">
        <v>-10</v>
      </c>
      <c r="BR130" s="789">
        <v>-9</v>
      </c>
      <c r="BS130" s="789">
        <v>-8</v>
      </c>
      <c r="BT130" s="789">
        <v>-7</v>
      </c>
      <c r="BU130" s="789">
        <v>-6</v>
      </c>
      <c r="BV130" s="789">
        <v>-5</v>
      </c>
      <c r="BW130" s="789">
        <v>-4</v>
      </c>
      <c r="BX130" s="789">
        <v>-3</v>
      </c>
      <c r="BY130" s="789">
        <v>-2</v>
      </c>
      <c r="BZ130" s="789">
        <v>-1</v>
      </c>
      <c r="CA130" s="789">
        <v>0</v>
      </c>
      <c r="CB130" s="789">
        <v>1</v>
      </c>
      <c r="CC130" s="789">
        <v>2</v>
      </c>
      <c r="CD130" s="789">
        <v>3</v>
      </c>
      <c r="CE130" s="789">
        <v>4</v>
      </c>
      <c r="CF130" s="789">
        <v>5</v>
      </c>
      <c r="CG130" s="789">
        <v>6</v>
      </c>
      <c r="CH130" s="789">
        <v>7</v>
      </c>
      <c r="CI130" s="789">
        <v>8</v>
      </c>
      <c r="CJ130" s="789">
        <v>9</v>
      </c>
      <c r="CK130" s="789">
        <v>10</v>
      </c>
      <c r="CL130" s="789">
        <v>11</v>
      </c>
      <c r="CM130" s="789">
        <v>12</v>
      </c>
      <c r="CN130" s="789">
        <v>13</v>
      </c>
      <c r="CO130" s="789">
        <v>14</v>
      </c>
      <c r="CP130" s="789">
        <v>15</v>
      </c>
      <c r="CQ130" s="789">
        <v>16</v>
      </c>
      <c r="CR130" s="789">
        <v>17</v>
      </c>
      <c r="CS130" s="789">
        <v>18</v>
      </c>
      <c r="CT130" s="789">
        <v>19</v>
      </c>
      <c r="CU130" s="789">
        <v>20</v>
      </c>
      <c r="CV130" s="789">
        <v>21</v>
      </c>
      <c r="CW130" s="789">
        <v>22</v>
      </c>
      <c r="CX130" s="789">
        <v>23</v>
      </c>
      <c r="CY130" s="789">
        <v>24</v>
      </c>
      <c r="CZ130" s="789">
        <v>25</v>
      </c>
      <c r="DA130" s="791">
        <v>26</v>
      </c>
      <c r="DB130" s="78"/>
      <c r="DC130" s="78"/>
      <c r="DD130" s="78"/>
    </row>
    <row r="131" spans="2:110" ht="49.5" customHeight="1" thickBot="1" x14ac:dyDescent="0.3">
      <c r="B131" s="1847"/>
      <c r="C131" s="213"/>
      <c r="D131" s="409" t="str">
        <f>IF(BL137&gt;(+COS(($B$132*-1)*3.14159265358979/180)*451.5)," ","USE EXBAR AR AT THE FRONT")</f>
        <v xml:space="preserve"> </v>
      </c>
      <c r="E131" s="397"/>
      <c r="F131" s="397"/>
      <c r="G131" s="1014"/>
      <c r="H131" s="209"/>
      <c r="I131" s="1062">
        <f>COUNTIF(CK127:DA127,"&gt;0")</f>
        <v>1</v>
      </c>
      <c r="J131" s="1062">
        <f>COUNTIF(BQ127:CG127,"&gt;0")</f>
        <v>1</v>
      </c>
      <c r="K131" s="1062" t="b">
        <f>AND(IF(SUM(BQ129:CA129)&gt;0,1,0),IF(CP129="6  ADS ",1,0))</f>
        <v>1</v>
      </c>
      <c r="L131" s="1062" t="b">
        <f>AND(IF(SUM(CQ129:DA129)&gt;0,1,0),IF(CB129="6  ADS ",1,0))</f>
        <v>0</v>
      </c>
      <c r="M131" s="1062" t="b">
        <f>AND(IF(CP129="6  ADS ",1,0),IF(CB129="6  ADS ",1,0))</f>
        <v>0</v>
      </c>
      <c r="N131" s="209"/>
      <c r="O131" s="1015"/>
      <c r="U131" s="114"/>
      <c r="AB131" s="114"/>
      <c r="AC131" s="114"/>
      <c r="AD131" s="114"/>
      <c r="AE131" s="114"/>
      <c r="AL131" s="838"/>
      <c r="AM131" s="835"/>
      <c r="AN131" s="835"/>
      <c r="AO131" s="839"/>
      <c r="AP131" s="817"/>
      <c r="BE131" s="136"/>
      <c r="BF131" s="136"/>
      <c r="BG131" s="136"/>
      <c r="BH131" s="136"/>
      <c r="BN131" s="136"/>
      <c r="BO131" s="1091"/>
      <c r="BP131" s="75"/>
      <c r="BQ131" s="949"/>
      <c r="BR131" s="949"/>
      <c r="BS131" s="949"/>
      <c r="BT131" s="949"/>
      <c r="BU131" s="949"/>
      <c r="BV131" s="949"/>
      <c r="BW131" s="949"/>
      <c r="BX131" s="949"/>
      <c r="BY131" s="949"/>
      <c r="BZ131" s="949"/>
      <c r="CA131" s="949"/>
      <c r="CB131" s="949"/>
      <c r="CC131" s="949"/>
      <c r="CD131" s="949"/>
      <c r="CE131" s="949"/>
      <c r="CF131" s="949"/>
      <c r="CG131" s="949"/>
      <c r="CH131" s="949"/>
      <c r="CI131" s="949"/>
      <c r="CJ131" s="949"/>
      <c r="CK131" s="949"/>
      <c r="CL131" s="949"/>
      <c r="CM131" s="949"/>
      <c r="CN131" s="949"/>
      <c r="CO131" s="949"/>
      <c r="CP131" s="949"/>
      <c r="CQ131" s="949"/>
      <c r="CR131" s="949"/>
      <c r="CS131" s="949"/>
      <c r="CT131" s="949"/>
      <c r="CU131" s="949"/>
      <c r="CV131" s="949"/>
      <c r="CW131" s="949"/>
      <c r="CX131" s="949"/>
      <c r="CY131" s="949"/>
      <c r="CZ131" s="949"/>
      <c r="DA131" s="949"/>
      <c r="DB131" s="78"/>
      <c r="DC131" s="78"/>
      <c r="DD131" s="78"/>
    </row>
    <row r="132" spans="2:110" ht="45" customHeight="1" thickBot="1" x14ac:dyDescent="0.3">
      <c r="B132" s="4">
        <v>0</v>
      </c>
      <c r="C132" s="213"/>
      <c r="D132" s="341" t="str">
        <f>IF(DD138&lt;-(+COS(($B$132*-1)*3.14159265358979/180)*365.5)," ","USE EXBAR AR AT THE BACK")</f>
        <v xml:space="preserve"> </v>
      </c>
      <c r="E132" s="397"/>
      <c r="F132" s="397"/>
      <c r="G132" s="1016"/>
      <c r="H132" s="1017"/>
      <c r="I132" s="1063">
        <f>IF(I131=2,I126,0)</f>
        <v>0</v>
      </c>
      <c r="J132" s="1063">
        <f>IF(J131=2,J126,0)</f>
        <v>0</v>
      </c>
      <c r="K132" s="1063">
        <f t="shared" ref="K132:M132" si="4">IF(K131=TRUE,K126,0)</f>
        <v>60.150375939849624</v>
      </c>
      <c r="L132" s="1063">
        <f t="shared" si="4"/>
        <v>0</v>
      </c>
      <c r="M132" s="1063">
        <f t="shared" si="4"/>
        <v>0</v>
      </c>
      <c r="N132" s="1017"/>
      <c r="O132" s="1018"/>
      <c r="U132" s="114"/>
      <c r="AB132" s="114"/>
      <c r="AC132" s="114"/>
      <c r="AD132" s="114"/>
      <c r="AE132" s="114"/>
      <c r="AL132" s="838"/>
      <c r="AM132" s="835"/>
      <c r="AN132" s="835"/>
      <c r="AO132" s="839"/>
      <c r="AP132" s="817"/>
      <c r="BE132" s="136"/>
      <c r="BF132" s="136"/>
      <c r="BG132" s="136"/>
      <c r="BH132" s="136"/>
      <c r="BN132" s="136"/>
      <c r="BO132" s="1091"/>
      <c r="BP132" s="75"/>
      <c r="BQ132" s="949"/>
      <c r="BR132" s="949"/>
      <c r="BS132" s="949"/>
      <c r="BT132" s="949"/>
      <c r="BU132" s="949"/>
      <c r="BV132" s="949"/>
      <c r="BW132" s="949"/>
      <c r="BX132" s="949"/>
      <c r="BY132" s="949"/>
      <c r="BZ132" s="949"/>
      <c r="CA132" s="949"/>
      <c r="CB132" s="949"/>
      <c r="CC132" s="949"/>
      <c r="CD132" s="949"/>
      <c r="CE132" s="949"/>
      <c r="CF132" s="949"/>
      <c r="CG132" s="949"/>
      <c r="CH132" s="949"/>
      <c r="CI132" s="949"/>
      <c r="CJ132" s="949"/>
      <c r="CK132" s="949"/>
      <c r="CL132" s="949"/>
      <c r="CM132" s="949"/>
      <c r="CN132" s="949"/>
      <c r="CO132" s="949"/>
      <c r="CP132" s="949"/>
      <c r="CQ132" s="949"/>
      <c r="CR132" s="949"/>
      <c r="CS132" s="949"/>
      <c r="CT132" s="949"/>
      <c r="CU132" s="949"/>
      <c r="CV132" s="949"/>
      <c r="CW132" s="949"/>
      <c r="CX132" s="949"/>
      <c r="CY132" s="949"/>
      <c r="CZ132" s="949"/>
      <c r="DA132" s="949"/>
      <c r="DB132" s="78"/>
      <c r="DC132" s="78"/>
      <c r="DD132" s="78"/>
    </row>
    <row r="133" spans="2:110" ht="13.5" customHeight="1" thickBot="1" x14ac:dyDescent="0.3">
      <c r="B133" s="397"/>
      <c r="C133" s="397"/>
      <c r="D133" s="397"/>
      <c r="E133" s="397"/>
      <c r="F133" s="397"/>
      <c r="G133" s="397"/>
      <c r="U133" s="114"/>
      <c r="AB133" s="114"/>
      <c r="AC133" s="114"/>
      <c r="AD133" s="114"/>
      <c r="AE133" s="114"/>
      <c r="AL133" s="838"/>
      <c r="AM133" s="835"/>
      <c r="AN133" s="835"/>
      <c r="AO133" s="839"/>
      <c r="AP133" s="817"/>
      <c r="BE133" s="136"/>
      <c r="BF133" s="136"/>
      <c r="BG133" s="136"/>
      <c r="BH133" s="136"/>
      <c r="BN133" s="136"/>
      <c r="BO133" s="1091"/>
      <c r="BP133" s="75"/>
      <c r="BQ133" s="949"/>
      <c r="BR133" s="949"/>
      <c r="BS133" s="949"/>
      <c r="BT133" s="949"/>
      <c r="BU133" s="949"/>
      <c r="BV133" s="949"/>
      <c r="BW133" s="949"/>
      <c r="BX133" s="949"/>
      <c r="BY133" s="949"/>
      <c r="BZ133" s="949"/>
      <c r="CA133" s="949"/>
      <c r="CB133" s="949"/>
      <c r="CC133" s="949"/>
      <c r="CD133" s="949"/>
      <c r="CE133" s="949"/>
      <c r="CF133" s="949"/>
      <c r="CG133" s="949"/>
      <c r="CH133" s="949"/>
      <c r="CI133" s="949"/>
      <c r="CJ133" s="949"/>
      <c r="CK133" s="949"/>
      <c r="CL133" s="949"/>
      <c r="CM133" s="949"/>
      <c r="CN133" s="949"/>
      <c r="CO133" s="949"/>
      <c r="CP133" s="949"/>
      <c r="CQ133" s="949"/>
      <c r="CR133" s="949"/>
      <c r="CS133" s="949"/>
      <c r="CT133" s="949"/>
      <c r="CU133" s="949"/>
      <c r="CV133" s="949"/>
      <c r="CW133" s="949"/>
      <c r="CX133" s="949"/>
      <c r="CY133" s="949"/>
      <c r="CZ133" s="949"/>
      <c r="DA133" s="949"/>
      <c r="DB133" s="78"/>
      <c r="DC133" s="78"/>
      <c r="DD133" s="78"/>
    </row>
    <row r="134" spans="2:110" ht="60" customHeight="1" thickBot="1" x14ac:dyDescent="0.3">
      <c r="B134" s="345" t="s">
        <v>118</v>
      </c>
      <c r="C134" s="454"/>
      <c r="D134" s="455"/>
      <c r="E134" s="37"/>
      <c r="F134" s="37"/>
      <c r="G134" s="37"/>
      <c r="H134" s="456"/>
      <c r="I134" s="456"/>
      <c r="J134" s="456"/>
      <c r="K134" s="456"/>
      <c r="L134" s="456"/>
      <c r="M134" s="456"/>
      <c r="N134" s="456"/>
      <c r="O134" s="456"/>
      <c r="P134" s="456"/>
      <c r="Q134" s="456"/>
      <c r="R134" s="456"/>
      <c r="S134" s="457" t="s">
        <v>66</v>
      </c>
      <c r="T134" s="457">
        <f>SUM(V138:V157)/B135</f>
        <v>213.83080000000001</v>
      </c>
      <c r="U134" s="212"/>
      <c r="V134" s="187"/>
      <c r="AB134" s="187"/>
      <c r="AC134" s="187"/>
      <c r="AD134" s="187"/>
      <c r="AE134" s="187"/>
      <c r="AF134" s="187"/>
      <c r="AG134" s="187"/>
      <c r="AH134" s="187"/>
      <c r="AI134" s="187"/>
      <c r="AJ134" s="187"/>
      <c r="AK134" s="187"/>
      <c r="AL134" s="838">
        <v>6.8623010000000004</v>
      </c>
      <c r="AM134" s="835">
        <f>+$B$132-AL134</f>
        <v>-6.8623010000000004</v>
      </c>
      <c r="AN134" s="841">
        <f>COS(AM134*3.14159265358979/180)</f>
        <v>0.99283617366519983</v>
      </c>
      <c r="AO134" s="842">
        <f>+AN134*378.71303</f>
        <v>375.99999562235405</v>
      </c>
      <c r="AP134" s="813">
        <f>+((AP138*(AR138-31-31))+(AO134*31)+(AP164*31)+(AP189*31))/(AR138+31)</f>
        <v>261.59676682295623</v>
      </c>
      <c r="AQ134" s="1100" t="s">
        <v>267</v>
      </c>
      <c r="AR134" s="187"/>
      <c r="AS134" s="187"/>
      <c r="AT134" s="187"/>
      <c r="AU134" s="187"/>
      <c r="AV134" s="187"/>
      <c r="AW134" s="187"/>
      <c r="AX134" s="187"/>
      <c r="AY134" s="187"/>
      <c r="AZ134" s="187"/>
      <c r="BA134" s="187"/>
      <c r="BB134" s="187"/>
      <c r="BC134" s="126"/>
      <c r="BE134" s="136"/>
      <c r="BF134" s="136"/>
      <c r="BG134" s="136"/>
      <c r="BH134" s="136"/>
      <c r="BI134" s="136"/>
      <c r="BJ134" s="136"/>
      <c r="BK134" s="136"/>
      <c r="BL134" s="136"/>
      <c r="BM134" s="402"/>
      <c r="BN134" s="136"/>
      <c r="BO134" s="1091"/>
      <c r="BP134" s="78"/>
      <c r="BQ134" s="199"/>
      <c r="BR134" s="199"/>
      <c r="BS134" s="199"/>
      <c r="BT134" s="199"/>
      <c r="BU134" s="199"/>
      <c r="BV134" s="199"/>
      <c r="BW134" s="199"/>
      <c r="BX134" s="199"/>
      <c r="BY134" s="199"/>
      <c r="BZ134" s="199"/>
      <c r="CA134" s="199"/>
      <c r="CB134" s="199"/>
      <c r="CC134" s="199"/>
      <c r="CD134" s="199"/>
      <c r="CE134" s="199"/>
      <c r="CF134" s="199"/>
      <c r="CG134" s="199"/>
      <c r="CH134" s="199"/>
      <c r="CI134" s="199"/>
      <c r="CJ134" s="199"/>
      <c r="CK134" s="199"/>
      <c r="CL134" s="199"/>
      <c r="CM134" s="199"/>
      <c r="CN134" s="199"/>
      <c r="CO134" s="199"/>
      <c r="CP134" s="199"/>
      <c r="CQ134" s="199"/>
      <c r="CR134" s="199"/>
      <c r="CS134" s="199"/>
      <c r="CT134" s="199"/>
      <c r="CU134" s="199"/>
      <c r="CV134" s="199"/>
      <c r="CW134" s="199"/>
      <c r="CX134" s="199"/>
      <c r="CY134" s="199"/>
      <c r="CZ134" s="199"/>
      <c r="DA134" s="199"/>
      <c r="DB134" s="199"/>
      <c r="DF134" s="930"/>
    </row>
    <row r="135" spans="2:110" ht="35.25" customHeight="1" thickBot="1" x14ac:dyDescent="0.3">
      <c r="B135" s="28">
        <v>1</v>
      </c>
      <c r="C135" s="493"/>
      <c r="D135" s="494" t="s">
        <v>117</v>
      </c>
      <c r="E135" s="335"/>
      <c r="F135" s="335"/>
      <c r="G135" s="335"/>
      <c r="H135" s="495"/>
      <c r="I135" s="496"/>
      <c r="J135" s="496"/>
      <c r="K135" s="496"/>
      <c r="L135" s="496"/>
      <c r="M135" s="496"/>
      <c r="N135" s="496"/>
      <c r="O135" s="496"/>
      <c r="P135" s="496"/>
      <c r="Q135" s="496"/>
      <c r="R135" s="496"/>
      <c r="S135" s="497"/>
      <c r="T135" s="498"/>
      <c r="U135" s="401"/>
      <c r="V135" s="499"/>
      <c r="W135" s="1859" t="s">
        <v>93</v>
      </c>
      <c r="X135" s="1859"/>
      <c r="Y135" s="1859"/>
      <c r="Z135" s="1859"/>
      <c r="AA135" s="1859"/>
      <c r="AB135" s="499"/>
      <c r="AC135" s="499"/>
      <c r="AD135" s="499"/>
      <c r="AE135" s="499"/>
      <c r="AF135" s="499"/>
      <c r="AG135" s="499"/>
      <c r="AH135" s="499"/>
      <c r="AI135" s="499"/>
      <c r="AJ135" s="499"/>
      <c r="AK135" s="499"/>
      <c r="AL135" s="499"/>
      <c r="AM135" s="499"/>
      <c r="AN135" s="499"/>
      <c r="AO135" s="499"/>
      <c r="AP135" s="499"/>
      <c r="AQ135" s="499"/>
      <c r="AR135" s="499"/>
      <c r="AS135" s="499"/>
      <c r="AT135" s="499"/>
      <c r="AU135" s="499"/>
      <c r="AV135" s="499"/>
      <c r="AW135" s="499"/>
      <c r="AX135" s="499"/>
      <c r="AY135" s="499"/>
      <c r="AZ135" s="499"/>
      <c r="BA135" s="1857" t="s">
        <v>52</v>
      </c>
      <c r="BB135" s="1858"/>
      <c r="BC135" s="218"/>
      <c r="BE135" s="136"/>
      <c r="BF135" s="136"/>
      <c r="BG135" s="136"/>
      <c r="BH135" s="136"/>
      <c r="BI135" s="136"/>
      <c r="BJ135" s="136"/>
      <c r="BK135" s="136"/>
      <c r="BL135" s="136"/>
      <c r="BM135" s="402"/>
      <c r="BN135" s="136"/>
      <c r="BO135" s="1091"/>
      <c r="BP135" s="76"/>
      <c r="BQ135" s="76"/>
      <c r="BR135" s="76"/>
      <c r="BS135" s="76"/>
      <c r="BT135" s="76"/>
      <c r="BU135" s="76"/>
      <c r="BV135" s="202"/>
      <c r="BW135" s="202"/>
      <c r="BX135" s="202"/>
      <c r="BY135" s="202"/>
      <c r="BZ135" s="202"/>
      <c r="CA135" s="202"/>
      <c r="CB135" s="202"/>
      <c r="CC135" s="202"/>
      <c r="CD135" s="202"/>
      <c r="CE135" s="202"/>
      <c r="CF135" s="202"/>
      <c r="CG135" s="202"/>
      <c r="CH135" s="202"/>
      <c r="CI135" s="202"/>
      <c r="CJ135" s="78"/>
      <c r="CK135" s="78"/>
      <c r="CL135" s="78"/>
      <c r="CM135" s="78"/>
      <c r="CN135" s="78"/>
      <c r="CO135" s="78"/>
      <c r="CP135" s="78"/>
      <c r="CQ135" s="78"/>
      <c r="CR135" s="78"/>
      <c r="CS135" s="78"/>
      <c r="CT135" s="78"/>
      <c r="CU135" s="78"/>
      <c r="CV135" s="78"/>
      <c r="CW135" s="78"/>
      <c r="CX135" s="78"/>
      <c r="CY135" s="78"/>
      <c r="CZ135" s="78"/>
      <c r="DA135" s="78"/>
      <c r="DB135" s="78"/>
      <c r="DC135" s="78"/>
      <c r="DD135" s="78"/>
    </row>
    <row r="136" spans="2:110" ht="39" hidden="1" thickBot="1" x14ac:dyDescent="0.25">
      <c r="C136" s="416"/>
      <c r="D136" s="354"/>
      <c r="H136" s="500" t="s">
        <v>4</v>
      </c>
      <c r="I136" s="500" t="s">
        <v>1</v>
      </c>
      <c r="J136" s="456" t="s">
        <v>0</v>
      </c>
      <c r="K136" s="456" t="s">
        <v>2</v>
      </c>
      <c r="L136" s="456" t="s">
        <v>3</v>
      </c>
      <c r="M136" s="456" t="s">
        <v>8</v>
      </c>
      <c r="N136" s="456" t="s">
        <v>5</v>
      </c>
      <c r="O136" s="456" t="s">
        <v>6</v>
      </c>
      <c r="P136" s="456" t="s">
        <v>7</v>
      </c>
      <c r="Q136" s="456" t="s">
        <v>9</v>
      </c>
      <c r="R136" s="466" t="s">
        <v>10</v>
      </c>
      <c r="S136" s="456" t="s">
        <v>11</v>
      </c>
      <c r="T136" s="467" t="s">
        <v>12</v>
      </c>
      <c r="V136" s="420"/>
      <c r="W136" s="356" t="s">
        <v>140</v>
      </c>
      <c r="X136" s="316" t="s">
        <v>94</v>
      </c>
      <c r="Y136" s="356" t="s">
        <v>141</v>
      </c>
      <c r="Z136" s="419" t="s">
        <v>100</v>
      </c>
      <c r="AA136" s="419" t="s">
        <v>96</v>
      </c>
      <c r="AB136" s="420"/>
      <c r="AC136" s="457" t="s">
        <v>99</v>
      </c>
      <c r="AD136" s="457"/>
      <c r="AE136" s="457"/>
      <c r="AF136" s="420"/>
      <c r="AG136" s="420"/>
      <c r="AH136" s="420"/>
      <c r="AI136" s="420"/>
      <c r="AJ136" s="420"/>
      <c r="AK136" s="420"/>
      <c r="AL136" s="420"/>
      <c r="AM136" s="420"/>
      <c r="AN136" s="420"/>
      <c r="AO136" s="420"/>
      <c r="AP136" s="420"/>
      <c r="AQ136" s="420"/>
      <c r="AR136" s="420"/>
      <c r="AS136" s="420"/>
      <c r="AT136" s="420"/>
      <c r="AU136" s="420" t="s">
        <v>135</v>
      </c>
      <c r="AV136" s="420"/>
      <c r="AW136" s="420"/>
      <c r="AX136" s="420"/>
      <c r="AY136" s="415"/>
      <c r="AZ136" s="420"/>
      <c r="BA136" s="420"/>
      <c r="BB136" s="420"/>
      <c r="BC136" s="231"/>
      <c r="BE136" s="136"/>
      <c r="BF136" s="136"/>
      <c r="BG136" s="136"/>
      <c r="BH136" s="136"/>
      <c r="BI136" s="136"/>
      <c r="BJ136" s="136"/>
      <c r="BK136" s="136"/>
      <c r="BL136" s="204" t="s">
        <v>59</v>
      </c>
      <c r="BM136" s="402"/>
      <c r="BN136" s="136"/>
      <c r="BO136" s="1091"/>
      <c r="BP136" s="126"/>
      <c r="BQ136" s="126"/>
      <c r="BR136" s="126"/>
      <c r="BS136" s="126"/>
      <c r="BT136" s="126"/>
      <c r="BU136" s="126"/>
      <c r="BV136" s="203"/>
      <c r="BW136" s="203"/>
      <c r="BX136" s="203"/>
      <c r="BY136" s="203"/>
      <c r="BZ136" s="203"/>
      <c r="CA136" s="203"/>
      <c r="CB136" s="203"/>
      <c r="CC136" s="203"/>
      <c r="CD136" s="203"/>
      <c r="CE136" s="203"/>
      <c r="CF136" s="203"/>
      <c r="CG136" s="203"/>
      <c r="CH136" s="203"/>
      <c r="CI136" s="203"/>
    </row>
    <row r="137" spans="2:110" ht="46.5" customHeight="1" thickBot="1" x14ac:dyDescent="0.25">
      <c r="B137" s="501"/>
      <c r="C137" s="237"/>
      <c r="D137" s="502" t="s">
        <v>22</v>
      </c>
      <c r="E137" s="330"/>
      <c r="F137" s="503"/>
      <c r="G137" s="240"/>
      <c r="H137" s="469"/>
      <c r="I137" s="470"/>
      <c r="R137" s="466"/>
      <c r="T137" s="471"/>
      <c r="V137" s="420"/>
      <c r="W137" s="420"/>
      <c r="X137" s="420"/>
      <c r="Y137" s="420"/>
      <c r="Z137" s="420"/>
      <c r="AA137" s="420"/>
      <c r="AB137" s="420"/>
      <c r="AC137" s="484">
        <f>SUM(AC138:AC157)</f>
        <v>213.83080000000001</v>
      </c>
      <c r="AD137" s="48"/>
      <c r="AE137" s="48"/>
      <c r="AF137" s="420" t="s">
        <v>38</v>
      </c>
      <c r="AG137" s="420"/>
      <c r="AH137" s="425" t="s">
        <v>31</v>
      </c>
      <c r="AI137" s="504"/>
      <c r="AJ137" s="368" t="s">
        <v>120</v>
      </c>
      <c r="AK137" s="426" t="s">
        <v>32</v>
      </c>
      <c r="AL137" s="472" t="s">
        <v>142</v>
      </c>
      <c r="AM137" s="368" t="s">
        <v>121</v>
      </c>
      <c r="AN137" s="427" t="s">
        <v>34</v>
      </c>
      <c r="AO137" s="472" t="s">
        <v>143</v>
      </c>
      <c r="AP137" s="428" t="s">
        <v>179</v>
      </c>
      <c r="AQ137" s="250" t="s">
        <v>36</v>
      </c>
      <c r="AR137" s="428" t="s">
        <v>196</v>
      </c>
      <c r="AS137" s="420" t="s">
        <v>37</v>
      </c>
      <c r="AT137" s="420" t="s">
        <v>39</v>
      </c>
      <c r="AU137" s="428" t="s">
        <v>145</v>
      </c>
      <c r="AV137" s="420"/>
      <c r="AW137" s="429" t="s">
        <v>41</v>
      </c>
      <c r="AX137" s="429" t="s">
        <v>42</v>
      </c>
      <c r="AY137" s="430" t="s">
        <v>23</v>
      </c>
      <c r="AZ137" s="430" t="s">
        <v>24</v>
      </c>
      <c r="BA137" s="505" t="s">
        <v>23</v>
      </c>
      <c r="BB137" s="505" t="s">
        <v>24</v>
      </c>
      <c r="BE137" s="136"/>
      <c r="BF137" s="136"/>
      <c r="BG137" s="136"/>
      <c r="BH137" s="136"/>
      <c r="BI137" s="136"/>
      <c r="BJ137" s="136"/>
      <c r="BL137" s="204">
        <f>-+BH174</f>
        <v>687.09675312035324</v>
      </c>
      <c r="BM137" s="402"/>
      <c r="BN137" s="187"/>
      <c r="BO137" s="1091"/>
      <c r="BP137" s="64"/>
      <c r="BS137" s="126"/>
      <c r="BT137" s="126"/>
      <c r="BU137" s="126"/>
      <c r="BV137" s="203"/>
      <c r="BW137" s="203"/>
      <c r="BX137" s="203"/>
      <c r="BY137" s="203"/>
      <c r="BZ137" s="203"/>
      <c r="CA137" s="203"/>
      <c r="CB137" s="203"/>
      <c r="CC137" s="203"/>
      <c r="CD137" s="203"/>
      <c r="CE137" s="203"/>
      <c r="CF137" s="203"/>
      <c r="CG137" s="203"/>
      <c r="CH137" s="203"/>
      <c r="CI137" s="203"/>
      <c r="CR137" s="64"/>
      <c r="DD137" s="204" t="s">
        <v>58</v>
      </c>
    </row>
    <row r="138" spans="2:110" ht="21" customHeight="1" thickBot="1" x14ac:dyDescent="0.25">
      <c r="B138" s="255">
        <v>1</v>
      </c>
      <c r="C138" s="256">
        <f>+(B132*-1)+D138</f>
        <v>0</v>
      </c>
      <c r="D138" s="25">
        <v>0</v>
      </c>
      <c r="E138" s="257" t="s">
        <v>119</v>
      </c>
      <c r="F138" s="258"/>
      <c r="G138" s="258">
        <f>+D138</f>
        <v>0</v>
      </c>
      <c r="H138" s="506">
        <v>279.06049999999999</v>
      </c>
      <c r="I138" s="507">
        <v>79.962900599999998</v>
      </c>
      <c r="J138" s="508">
        <f>+I138-C138</f>
        <v>79.962900599999998</v>
      </c>
      <c r="K138" s="508">
        <f>+J138/2</f>
        <v>39.981450299999999</v>
      </c>
      <c r="L138" s="508">
        <f t="shared" ref="L138:L157" si="5">SIN(K138*3.14159265358979/180)</f>
        <v>0.64253956655634092</v>
      </c>
      <c r="M138" s="508">
        <f t="shared" ref="M138:M157" si="6">+L138*H138</f>
        <v>179.30741271299578</v>
      </c>
      <c r="N138" s="508">
        <f t="shared" ref="N138:N157" si="7">+M138*2</f>
        <v>358.61482542599157</v>
      </c>
      <c r="O138" s="508">
        <f>+C138/2</f>
        <v>0</v>
      </c>
      <c r="P138" s="508">
        <f t="shared" ref="P138:P157" si="8">SIN(O138*3.14159265358979/180)</f>
        <v>0</v>
      </c>
      <c r="Q138" s="508">
        <f t="shared" ref="Q138:Q157" si="9">+P138*N138</f>
        <v>0</v>
      </c>
      <c r="R138" s="509">
        <v>213.83080000000001</v>
      </c>
      <c r="S138" s="508">
        <f>+R138+Q138</f>
        <v>213.83080000000001</v>
      </c>
      <c r="T138" s="510">
        <f t="shared" ref="T138:T157" si="10">+S138</f>
        <v>213.83080000000001</v>
      </c>
      <c r="U138" s="456"/>
      <c r="V138" s="511">
        <f t="shared" ref="V138:V157" si="11">IF(B138&lt;($B$135+1),T138,0)</f>
        <v>213.83080000000001</v>
      </c>
      <c r="W138" s="512">
        <v>39.981450000000002</v>
      </c>
      <c r="X138" s="511">
        <f>+W138+AI159</f>
        <v>39.981450000000002</v>
      </c>
      <c r="Y138" s="512">
        <v>279.06049999999999</v>
      </c>
      <c r="Z138" s="419">
        <f>+COS(X138*3.14159265358979/180)*Y138</f>
        <v>213.83080883710866</v>
      </c>
      <c r="AA138" s="513">
        <f>+AC137-Z138</f>
        <v>-8.8371086519600794E-6</v>
      </c>
      <c r="AB138" s="477" t="str">
        <f>IF(AZ138&lt;0,"use the locking pin"," ")</f>
        <v xml:space="preserve"> </v>
      </c>
      <c r="AC138" s="514">
        <f>IF(AD138=1,AF138)</f>
        <v>213.83080000000001</v>
      </c>
      <c r="AD138" s="514">
        <f t="shared" ref="AD138:AD157" si="12">MAX(AE$138:AE$157)</f>
        <v>1</v>
      </c>
      <c r="AE138" s="514">
        <f>IF(V138=0,0,1)</f>
        <v>1</v>
      </c>
      <c r="AF138" s="511">
        <f>SUM(V138:V157)/($B$135)</f>
        <v>213.83080000000001</v>
      </c>
      <c r="AG138" s="511"/>
      <c r="AH138" s="515">
        <f>C138</f>
        <v>0</v>
      </c>
      <c r="AI138" s="516">
        <f>IF(B138&lt;($B$135+1),AH138)</f>
        <v>0</v>
      </c>
      <c r="AJ138" s="287">
        <f>66.2555484-AH138</f>
        <v>66.255548399999995</v>
      </c>
      <c r="AK138" s="517">
        <f t="shared" ref="AK138:AK157" si="13">SIN(AJ138*3.14159265358979/180)</f>
        <v>0.91535047595051022</v>
      </c>
      <c r="AL138" s="289">
        <f>+AK138*304.3209</f>
        <v>278.56028065668761</v>
      </c>
      <c r="AM138" s="287">
        <f>50.0185497+AH138</f>
        <v>50.018549700000001</v>
      </c>
      <c r="AN138" s="518">
        <f>SIN(AM138*3.14159265358979/180)</f>
        <v>0.76625250760411079</v>
      </c>
      <c r="AO138" s="291">
        <f>+AN138*279.0605</f>
        <v>213.83080789825695</v>
      </c>
      <c r="AP138" s="519">
        <f t="shared" ref="AP138:AP157" si="14">+((AF138*AQ138)+($AG$171*$AQ$171)+($AQ$195*$AG$195))/AR138</f>
        <v>184.49893871901423</v>
      </c>
      <c r="AQ138" s="269">
        <f>40.5*B135</f>
        <v>40.5</v>
      </c>
      <c r="AR138" s="519">
        <f t="shared" ref="AR138:AR157" si="15">+AQ138+$AQ$195+$AQ$171+31+31</f>
        <v>200</v>
      </c>
      <c r="AS138" s="520">
        <f>+AO138+AL138</f>
        <v>492.39108855494453</v>
      </c>
      <c r="AT138" s="521">
        <f>+V138-AO138</f>
        <v>-7.8982569391428115E-6</v>
      </c>
      <c r="AU138" s="522">
        <f>+AP138-AT138</f>
        <v>184.49894661727117</v>
      </c>
      <c r="AV138" s="521"/>
      <c r="AW138" s="523">
        <f>+((AS138-AU138)/AS138)*AR138</f>
        <v>125.05999767025295</v>
      </c>
      <c r="AX138" s="523">
        <f>+(AU138/AS138)*AR138</f>
        <v>74.94000232974706</v>
      </c>
      <c r="AY138" s="448">
        <f t="shared" ref="AY138:AY157" si="16">2*$C$18/AW138</f>
        <v>92.755479098807001</v>
      </c>
      <c r="AZ138" s="448">
        <f t="shared" ref="AZ138:AZ157" si="17">$D$18/AX138</f>
        <v>133.44008125324743</v>
      </c>
      <c r="BA138" s="451">
        <f>ABS(AY138)</f>
        <v>92.755479098807001</v>
      </c>
      <c r="BB138" s="451">
        <f>ABS(AZ138)</f>
        <v>133.44008125324743</v>
      </c>
      <c r="BC138" s="91"/>
      <c r="BE138" s="136"/>
      <c r="BF138" s="136"/>
      <c r="BG138" s="136"/>
      <c r="BH138" s="136"/>
      <c r="BI138" s="136"/>
      <c r="BJ138" s="136"/>
      <c r="BK138" s="212"/>
      <c r="BM138" s="402"/>
      <c r="BN138" s="187"/>
      <c r="BO138" s="1091"/>
      <c r="BP138" s="64"/>
      <c r="BS138" s="126"/>
      <c r="BT138" s="126"/>
      <c r="BU138" s="126"/>
      <c r="BV138" s="203"/>
      <c r="BW138" s="203"/>
      <c r="BX138" s="203"/>
      <c r="BY138" s="203"/>
      <c r="BZ138" s="203"/>
      <c r="CA138" s="203"/>
      <c r="CB138" s="203"/>
      <c r="CC138" s="203"/>
      <c r="CD138" s="203"/>
      <c r="CE138" s="203"/>
      <c r="CF138" s="203"/>
      <c r="CG138" s="203"/>
      <c r="CH138" s="203"/>
      <c r="CI138" s="203"/>
      <c r="CP138" s="212"/>
      <c r="CR138" s="64"/>
      <c r="DD138" s="204">
        <f>+-BH210</f>
        <v>-860.90324687964676</v>
      </c>
    </row>
    <row r="139" spans="2:110" ht="21" customHeight="1" thickBot="1" x14ac:dyDescent="0.25">
      <c r="B139" s="277">
        <v>2</v>
      </c>
      <c r="C139" s="278"/>
      <c r="D139" s="25">
        <v>0</v>
      </c>
      <c r="E139" s="279" t="s">
        <v>130</v>
      </c>
      <c r="F139" s="258"/>
      <c r="G139" s="258" t="e">
        <f>+D139+BC139</f>
        <v>#DIV/0!</v>
      </c>
      <c r="H139" s="506">
        <v>279.06049999999999</v>
      </c>
      <c r="I139" s="507">
        <v>79.962900599999998</v>
      </c>
      <c r="J139" s="474">
        <f t="shared" ref="J139:J157" si="18">+I139-D139</f>
        <v>79.962900599999998</v>
      </c>
      <c r="K139" s="474">
        <f t="shared" ref="K139:K157" si="19">+J139/2</f>
        <v>39.981450299999999</v>
      </c>
      <c r="L139" s="474">
        <f t="shared" si="5"/>
        <v>0.64253956655634092</v>
      </c>
      <c r="M139" s="474">
        <f t="shared" si="6"/>
        <v>179.30741271299578</v>
      </c>
      <c r="N139" s="474">
        <f t="shared" si="7"/>
        <v>358.61482542599157</v>
      </c>
      <c r="O139" s="474">
        <f>+C138+(D139/2)</f>
        <v>0</v>
      </c>
      <c r="P139" s="474">
        <f t="shared" si="8"/>
        <v>0</v>
      </c>
      <c r="Q139" s="474">
        <f t="shared" si="9"/>
        <v>0</v>
      </c>
      <c r="R139" s="474">
        <f t="shared" ref="R139:R157" si="20">+T138</f>
        <v>213.83080000000001</v>
      </c>
      <c r="S139" s="474">
        <f>+R139+Q139</f>
        <v>213.83080000000001</v>
      </c>
      <c r="T139" s="476">
        <f t="shared" si="10"/>
        <v>213.83080000000001</v>
      </c>
      <c r="V139" s="437">
        <f t="shared" si="11"/>
        <v>0</v>
      </c>
      <c r="W139" s="437"/>
      <c r="X139" s="437"/>
      <c r="Y139" s="437"/>
      <c r="Z139" s="437"/>
      <c r="AA139" s="437"/>
      <c r="AB139" s="477" t="e">
        <f t="shared" ref="AB139:AB157" si="21">IF(AZ139&lt;0,"use the locking pin"," ")</f>
        <v>#DIV/0!</v>
      </c>
      <c r="AC139" s="514" t="b">
        <f>IF(AD139=2,AF139)</f>
        <v>0</v>
      </c>
      <c r="AD139" s="514">
        <f t="shared" si="12"/>
        <v>1</v>
      </c>
      <c r="AE139" s="514">
        <f>IF(V139=0,0,2)</f>
        <v>0</v>
      </c>
      <c r="AF139" s="437" t="e">
        <f>SUM(V139:V157)/($B$135-B138)</f>
        <v>#DIV/0!</v>
      </c>
      <c r="AG139" s="437"/>
      <c r="AH139" s="450">
        <f>SUM(D139)+$C$138</f>
        <v>0</v>
      </c>
      <c r="AI139" s="516" t="b">
        <f t="shared" ref="AI139:AI157" si="22">IF(B139&lt;($B$135+1),AH139)</f>
        <v>0</v>
      </c>
      <c r="AJ139" s="287">
        <f t="shared" ref="AJ139:AJ157" si="23">66.2555484-AH139</f>
        <v>66.255548399999995</v>
      </c>
      <c r="AK139" s="441">
        <f t="shared" si="13"/>
        <v>0.91535047595051022</v>
      </c>
      <c r="AL139" s="289">
        <f t="shared" ref="AL139:AL157" si="24">+AK139*304.3209</f>
        <v>278.56028065668761</v>
      </c>
      <c r="AM139" s="287">
        <f t="shared" ref="AM139:AM157" si="25">50.0185497+AH139</f>
        <v>50.018549700000001</v>
      </c>
      <c r="AN139" s="442">
        <f t="shared" ref="AN139:AN157" si="26">SIN(AM139*3.14159265358979/180)</f>
        <v>0.76625250760411079</v>
      </c>
      <c r="AO139" s="291">
        <f t="shared" ref="AO139:AO157" si="27">+AN139*279.0605</f>
        <v>213.83080789825695</v>
      </c>
      <c r="AP139" s="519" t="e">
        <f t="shared" si="14"/>
        <v>#DIV/0!</v>
      </c>
      <c r="AQ139" s="291">
        <f>40.5*($B$135-B138)</f>
        <v>0</v>
      </c>
      <c r="AR139" s="443">
        <f t="shared" si="15"/>
        <v>159.5</v>
      </c>
      <c r="AS139" s="444">
        <f t="shared" ref="AS139:AS157" si="28">+AO139+AL139</f>
        <v>492.39108855494453</v>
      </c>
      <c r="AT139" s="445">
        <f>+V139-AO139</f>
        <v>-213.83080789825695</v>
      </c>
      <c r="AU139" s="446" t="e">
        <f t="shared" ref="AU139:AU157" si="29">+AP139-AT139</f>
        <v>#DIV/0!</v>
      </c>
      <c r="AV139" s="445"/>
      <c r="AW139" s="447" t="e">
        <f t="shared" ref="AW139:AW157" si="30">+((AS139-AU139)/AS139)*AR139</f>
        <v>#DIV/0!</v>
      </c>
      <c r="AX139" s="447" t="e">
        <f t="shared" ref="AX139:AX157" si="31">+(AU139/AS139)*AR139</f>
        <v>#DIV/0!</v>
      </c>
      <c r="AY139" s="448" t="e">
        <f t="shared" si="16"/>
        <v>#DIV/0!</v>
      </c>
      <c r="AZ139" s="448" t="e">
        <f t="shared" si="17"/>
        <v>#DIV/0!</v>
      </c>
      <c r="BA139" s="451" t="e">
        <f t="shared" ref="BA139:BA157" si="32">ABS(AY139)</f>
        <v>#DIV/0!</v>
      </c>
      <c r="BB139" s="451" t="e">
        <f t="shared" ref="BB139:BB157" si="33">ABS(AZ139)</f>
        <v>#DIV/0!</v>
      </c>
      <c r="BC139" t="e">
        <f t="shared" ref="BC139:BC157" si="34">IF(AZ139&lt;0,0.3,0)</f>
        <v>#DIV/0!</v>
      </c>
      <c r="BM139" s="402"/>
      <c r="BN139" s="136"/>
      <c r="BO139" s="1091"/>
      <c r="BP139" s="126"/>
      <c r="BQ139" s="126"/>
      <c r="BR139" s="126"/>
      <c r="BS139" s="126"/>
      <c r="BT139" s="126"/>
      <c r="BU139" s="126"/>
      <c r="BV139" s="203"/>
      <c r="BW139" s="203"/>
      <c r="BX139" s="203"/>
      <c r="BY139" s="203"/>
      <c r="BZ139" s="203"/>
      <c r="CA139" s="203"/>
      <c r="CB139" s="203"/>
      <c r="CC139" s="203"/>
      <c r="CD139" s="203"/>
      <c r="CE139" s="203"/>
      <c r="CF139" s="203"/>
      <c r="CG139" s="203"/>
      <c r="CH139" s="203"/>
      <c r="CI139" s="203"/>
    </row>
    <row r="140" spans="2:110" ht="21" customHeight="1" thickBot="1" x14ac:dyDescent="0.35">
      <c r="B140" s="277">
        <v>3</v>
      </c>
      <c r="C140" s="278"/>
      <c r="D140" s="25">
        <v>0</v>
      </c>
      <c r="E140" s="279" t="s">
        <v>130</v>
      </c>
      <c r="F140" s="258"/>
      <c r="G140" s="258">
        <f>+D140+BC140</f>
        <v>0</v>
      </c>
      <c r="H140" s="506">
        <v>279.06049999999999</v>
      </c>
      <c r="I140" s="507">
        <v>79.962900599999998</v>
      </c>
      <c r="J140" s="474">
        <f t="shared" si="18"/>
        <v>79.962900599999998</v>
      </c>
      <c r="K140" s="474">
        <f t="shared" si="19"/>
        <v>39.981450299999999</v>
      </c>
      <c r="L140" s="474">
        <f t="shared" si="5"/>
        <v>0.64253956655634092</v>
      </c>
      <c r="M140" s="474">
        <f t="shared" si="6"/>
        <v>179.30741271299578</v>
      </c>
      <c r="N140" s="474">
        <f t="shared" si="7"/>
        <v>358.61482542599157</v>
      </c>
      <c r="O140" s="474">
        <f>+C138+D139+(D140/2)</f>
        <v>0</v>
      </c>
      <c r="P140" s="474">
        <f t="shared" si="8"/>
        <v>0</v>
      </c>
      <c r="Q140" s="474">
        <f t="shared" si="9"/>
        <v>0</v>
      </c>
      <c r="R140" s="474">
        <f t="shared" si="20"/>
        <v>213.83080000000001</v>
      </c>
      <c r="S140" s="474">
        <f t="shared" ref="S140:S157" si="35">+S139+Q140</f>
        <v>213.83080000000001</v>
      </c>
      <c r="T140" s="476">
        <f t="shared" si="10"/>
        <v>213.83080000000001</v>
      </c>
      <c r="V140" s="437">
        <f t="shared" si="11"/>
        <v>0</v>
      </c>
      <c r="W140" s="437"/>
      <c r="X140" s="437"/>
      <c r="Y140" s="437"/>
      <c r="Z140" s="437"/>
      <c r="AA140" s="437"/>
      <c r="AB140" s="477" t="str">
        <f t="shared" si="21"/>
        <v xml:space="preserve"> </v>
      </c>
      <c r="AC140" s="514" t="b">
        <f>IF(AD140=3,AF140)</f>
        <v>0</v>
      </c>
      <c r="AD140" s="514">
        <f t="shared" si="12"/>
        <v>1</v>
      </c>
      <c r="AE140" s="514">
        <f>IF(V140=0,0,3)</f>
        <v>0</v>
      </c>
      <c r="AF140" s="437">
        <f>SUM(V140:V157)/($B$135-B139)</f>
        <v>0</v>
      </c>
      <c r="AG140" s="437"/>
      <c r="AH140" s="450">
        <f>SUM(D139:D140)+$C$138</f>
        <v>0</v>
      </c>
      <c r="AI140" s="516" t="b">
        <f t="shared" si="22"/>
        <v>0</v>
      </c>
      <c r="AJ140" s="287">
        <f t="shared" si="23"/>
        <v>66.255548399999995</v>
      </c>
      <c r="AK140" s="441">
        <f t="shared" si="13"/>
        <v>0.91535047595051022</v>
      </c>
      <c r="AL140" s="289">
        <f t="shared" si="24"/>
        <v>278.56028065668761</v>
      </c>
      <c r="AM140" s="287">
        <f t="shared" si="25"/>
        <v>50.018549700000001</v>
      </c>
      <c r="AN140" s="442">
        <f t="shared" si="26"/>
        <v>0.76625250760411079</v>
      </c>
      <c r="AO140" s="291">
        <f t="shared" si="27"/>
        <v>213.83080789825695</v>
      </c>
      <c r="AP140" s="519">
        <f t="shared" si="14"/>
        <v>237.3079020487634</v>
      </c>
      <c r="AQ140" s="291">
        <f t="shared" ref="AQ140:AQ157" si="36">40.5*($B$135-B139)</f>
        <v>-40.5</v>
      </c>
      <c r="AR140" s="443">
        <f t="shared" si="15"/>
        <v>119</v>
      </c>
      <c r="AS140" s="444">
        <f t="shared" si="28"/>
        <v>492.39108855494453</v>
      </c>
      <c r="AT140" s="445">
        <f>+V140-AO140</f>
        <v>-213.83080789825695</v>
      </c>
      <c r="AU140" s="446">
        <f t="shared" si="29"/>
        <v>451.13870994702035</v>
      </c>
      <c r="AV140" s="445"/>
      <c r="AW140" s="447">
        <f t="shared" si="30"/>
        <v>9.9697845238220495</v>
      </c>
      <c r="AX140" s="447">
        <f t="shared" si="31"/>
        <v>109.03021547617794</v>
      </c>
      <c r="AY140" s="448">
        <f t="shared" si="16"/>
        <v>1163.515617843362</v>
      </c>
      <c r="AZ140" s="448">
        <f t="shared" si="17"/>
        <v>91.717694552157468</v>
      </c>
      <c r="BA140" s="451">
        <f t="shared" si="32"/>
        <v>1163.515617843362</v>
      </c>
      <c r="BB140" s="451">
        <f t="shared" si="33"/>
        <v>91.717694552157468</v>
      </c>
      <c r="BC140">
        <f t="shared" si="34"/>
        <v>0</v>
      </c>
      <c r="BM140" s="214"/>
      <c r="BN140" s="214"/>
      <c r="BO140" s="214"/>
      <c r="BP140" s="126"/>
      <c r="BQ140" s="126"/>
      <c r="BR140" s="126"/>
      <c r="BS140" s="126"/>
      <c r="BT140" s="126"/>
      <c r="BU140" s="126"/>
      <c r="BV140" s="203"/>
      <c r="BW140" s="203"/>
      <c r="BX140" s="203"/>
      <c r="BY140" s="203"/>
      <c r="BZ140" s="203"/>
      <c r="CA140" s="203"/>
      <c r="CB140" s="203"/>
      <c r="CC140" s="203"/>
      <c r="CD140" s="203"/>
      <c r="CE140" s="203"/>
      <c r="CF140" s="203"/>
      <c r="CG140" s="203"/>
      <c r="CH140" s="203"/>
      <c r="CI140" s="203"/>
    </row>
    <row r="141" spans="2:110" ht="21" customHeight="1" thickBot="1" x14ac:dyDescent="0.35">
      <c r="B141" s="277">
        <v>4</v>
      </c>
      <c r="C141" s="278"/>
      <c r="D141" s="25">
        <v>0</v>
      </c>
      <c r="E141" s="279" t="s">
        <v>130</v>
      </c>
      <c r="F141" s="258"/>
      <c r="G141" s="258">
        <f>+D141+BC141</f>
        <v>0</v>
      </c>
      <c r="H141" s="506">
        <v>279.06049999999999</v>
      </c>
      <c r="I141" s="507">
        <v>79.962900599999998</v>
      </c>
      <c r="J141" s="474">
        <f t="shared" si="18"/>
        <v>79.962900599999998</v>
      </c>
      <c r="K141" s="474">
        <f t="shared" si="19"/>
        <v>39.981450299999999</v>
      </c>
      <c r="L141" s="474">
        <f t="shared" si="5"/>
        <v>0.64253956655634092</v>
      </c>
      <c r="M141" s="474">
        <f t="shared" si="6"/>
        <v>179.30741271299578</v>
      </c>
      <c r="N141" s="474">
        <f t="shared" si="7"/>
        <v>358.61482542599157</v>
      </c>
      <c r="O141" s="474">
        <f>+C138+D139+D140+(D141/2)</f>
        <v>0</v>
      </c>
      <c r="P141" s="474">
        <f t="shared" si="8"/>
        <v>0</v>
      </c>
      <c r="Q141" s="474">
        <f t="shared" si="9"/>
        <v>0</v>
      </c>
      <c r="R141" s="474">
        <f t="shared" si="20"/>
        <v>213.83080000000001</v>
      </c>
      <c r="S141" s="474">
        <f t="shared" si="35"/>
        <v>213.83080000000001</v>
      </c>
      <c r="T141" s="476">
        <f t="shared" si="10"/>
        <v>213.83080000000001</v>
      </c>
      <c r="V141" s="437">
        <f t="shared" si="11"/>
        <v>0</v>
      </c>
      <c r="W141" s="437"/>
      <c r="X141" s="437"/>
      <c r="Y141" s="437"/>
      <c r="Z141" s="437"/>
      <c r="AA141" s="437"/>
      <c r="AB141" s="477" t="str">
        <f t="shared" si="21"/>
        <v xml:space="preserve"> </v>
      </c>
      <c r="AC141" s="514" t="b">
        <f>IF(AD141=4,AF141)</f>
        <v>0</v>
      </c>
      <c r="AD141" s="514">
        <f t="shared" si="12"/>
        <v>1</v>
      </c>
      <c r="AE141" s="514">
        <f>IF(V141=0,0,4)</f>
        <v>0</v>
      </c>
      <c r="AF141" s="437">
        <f>SUM(V141:V157)/($B$135-B140)</f>
        <v>0</v>
      </c>
      <c r="AG141" s="437"/>
      <c r="AH141" s="450">
        <f>SUM(D139:D141)+$C$138</f>
        <v>0</v>
      </c>
      <c r="AI141" s="516" t="b">
        <f t="shared" si="22"/>
        <v>0</v>
      </c>
      <c r="AJ141" s="287">
        <f t="shared" si="23"/>
        <v>66.255548399999995</v>
      </c>
      <c r="AK141" s="441">
        <f t="shared" si="13"/>
        <v>0.91535047595051022</v>
      </c>
      <c r="AL141" s="289">
        <f t="shared" si="24"/>
        <v>278.56028065668761</v>
      </c>
      <c r="AM141" s="287">
        <f t="shared" si="25"/>
        <v>50.018549700000001</v>
      </c>
      <c r="AN141" s="442">
        <f t="shared" si="26"/>
        <v>0.76625250760411079</v>
      </c>
      <c r="AO141" s="291">
        <f t="shared" si="27"/>
        <v>213.83080789825695</v>
      </c>
      <c r="AP141" s="519">
        <f t="shared" si="14"/>
        <v>359.74064132232922</v>
      </c>
      <c r="AQ141" s="291">
        <f t="shared" si="36"/>
        <v>-81</v>
      </c>
      <c r="AR141" s="443">
        <f t="shared" si="15"/>
        <v>78.5</v>
      </c>
      <c r="AS141" s="444">
        <f t="shared" si="28"/>
        <v>492.39108855494453</v>
      </c>
      <c r="AT141" s="445">
        <f>+V141-AO141</f>
        <v>-213.83080789825695</v>
      </c>
      <c r="AU141" s="446">
        <f t="shared" si="29"/>
        <v>573.57144922058615</v>
      </c>
      <c r="AV141" s="445"/>
      <c r="AW141" s="447">
        <f t="shared" si="30"/>
        <v>-12.942269794027274</v>
      </c>
      <c r="AX141" s="447">
        <f t="shared" si="31"/>
        <v>91.442269794027283</v>
      </c>
      <c r="AY141" s="448">
        <f t="shared" si="16"/>
        <v>-896.28791430026308</v>
      </c>
      <c r="AZ141" s="448">
        <f t="shared" si="17"/>
        <v>109.35861525009048</v>
      </c>
      <c r="BA141" s="451">
        <f t="shared" si="32"/>
        <v>896.28791430026308</v>
      </c>
      <c r="BB141" s="451">
        <f t="shared" si="33"/>
        <v>109.35861525009048</v>
      </c>
      <c r="BC141">
        <f t="shared" si="34"/>
        <v>0</v>
      </c>
      <c r="BM141" s="214"/>
      <c r="BN141" s="214"/>
      <c r="BO141" s="214"/>
      <c r="BP141" s="126"/>
      <c r="BQ141" s="126"/>
      <c r="BR141" s="126"/>
      <c r="BS141" s="126"/>
      <c r="BT141" s="126"/>
      <c r="BU141" s="126"/>
      <c r="BV141" s="203"/>
      <c r="BW141" s="203"/>
      <c r="BX141" s="203"/>
      <c r="BY141" s="203"/>
      <c r="BZ141" s="203"/>
      <c r="CA141" s="203"/>
      <c r="CB141" s="203"/>
      <c r="CC141" s="203"/>
      <c r="CD141" s="203"/>
      <c r="CE141" s="203"/>
      <c r="CF141" s="203"/>
      <c r="CG141" s="203"/>
      <c r="CH141" s="203"/>
      <c r="CI141" s="203"/>
    </row>
    <row r="142" spans="2:110" ht="21" customHeight="1" thickBot="1" x14ac:dyDescent="0.35">
      <c r="B142" s="277">
        <v>5</v>
      </c>
      <c r="C142" s="278"/>
      <c r="D142" s="25">
        <v>0</v>
      </c>
      <c r="E142" s="279" t="s">
        <v>130</v>
      </c>
      <c r="F142" s="258"/>
      <c r="G142" s="258">
        <f>+D142+BC142</f>
        <v>0</v>
      </c>
      <c r="H142" s="506">
        <v>279.06049999999999</v>
      </c>
      <c r="I142" s="507">
        <v>79.962900599999998</v>
      </c>
      <c r="J142" s="474">
        <f t="shared" si="18"/>
        <v>79.962900599999998</v>
      </c>
      <c r="K142" s="474">
        <f t="shared" si="19"/>
        <v>39.981450299999999</v>
      </c>
      <c r="L142" s="474">
        <f t="shared" si="5"/>
        <v>0.64253956655634092</v>
      </c>
      <c r="M142" s="474">
        <f t="shared" si="6"/>
        <v>179.30741271299578</v>
      </c>
      <c r="N142" s="474">
        <f t="shared" si="7"/>
        <v>358.61482542599157</v>
      </c>
      <c r="O142" s="474">
        <f>+C138+D139+D140+D141+(D142/2)</f>
        <v>0</v>
      </c>
      <c r="P142" s="474">
        <f t="shared" si="8"/>
        <v>0</v>
      </c>
      <c r="Q142" s="474">
        <f t="shared" si="9"/>
        <v>0</v>
      </c>
      <c r="R142" s="474">
        <f t="shared" si="20"/>
        <v>213.83080000000001</v>
      </c>
      <c r="S142" s="474">
        <f t="shared" si="35"/>
        <v>213.83080000000001</v>
      </c>
      <c r="T142" s="476">
        <f t="shared" si="10"/>
        <v>213.83080000000001</v>
      </c>
      <c r="V142" s="437">
        <f t="shared" si="11"/>
        <v>0</v>
      </c>
      <c r="W142" s="437"/>
      <c r="X142" s="437"/>
      <c r="Y142" s="437"/>
      <c r="Z142" s="437"/>
      <c r="AA142" s="437"/>
      <c r="AB142" s="477" t="str">
        <f t="shared" si="21"/>
        <v xml:space="preserve"> </v>
      </c>
      <c r="AC142" s="514" t="b">
        <f>IF(AD142=5,AF142)</f>
        <v>0</v>
      </c>
      <c r="AD142" s="514">
        <f t="shared" si="12"/>
        <v>1</v>
      </c>
      <c r="AE142" s="514">
        <f>IF(V142=0,0,5)</f>
        <v>0</v>
      </c>
      <c r="AF142" s="437">
        <f>SUM(V142:V157)/($B$135-B141)</f>
        <v>0</v>
      </c>
      <c r="AG142" s="437"/>
      <c r="AH142" s="450">
        <f>SUM(D139:D142)+$C$138</f>
        <v>0</v>
      </c>
      <c r="AI142" s="516" t="b">
        <f t="shared" si="22"/>
        <v>0</v>
      </c>
      <c r="AJ142" s="287">
        <f t="shared" si="23"/>
        <v>66.255548399999995</v>
      </c>
      <c r="AK142" s="441">
        <f t="shared" si="13"/>
        <v>0.91535047595051022</v>
      </c>
      <c r="AL142" s="289">
        <f t="shared" si="24"/>
        <v>278.56028065668761</v>
      </c>
      <c r="AM142" s="287">
        <f t="shared" si="25"/>
        <v>50.018549700000001</v>
      </c>
      <c r="AN142" s="442">
        <f t="shared" si="26"/>
        <v>0.76625250760411079</v>
      </c>
      <c r="AO142" s="291">
        <f t="shared" si="27"/>
        <v>213.83080789825695</v>
      </c>
      <c r="AP142" s="519">
        <f t="shared" si="14"/>
        <v>743.14843010007485</v>
      </c>
      <c r="AQ142" s="291">
        <f t="shared" si="36"/>
        <v>-121.5</v>
      </c>
      <c r="AR142" s="443">
        <f t="shared" si="15"/>
        <v>38</v>
      </c>
      <c r="AS142" s="444">
        <f t="shared" si="28"/>
        <v>492.39108855494453</v>
      </c>
      <c r="AT142" s="445">
        <f t="shared" ref="AT142:AT157" si="37">+V142-AO142</f>
        <v>-213.83080789825695</v>
      </c>
      <c r="AU142" s="446">
        <f t="shared" si="29"/>
        <v>956.97923799833177</v>
      </c>
      <c r="AV142" s="445"/>
      <c r="AW142" s="447">
        <f t="shared" si="30"/>
        <v>-35.854324111876601</v>
      </c>
      <c r="AX142" s="447">
        <f t="shared" si="31"/>
        <v>73.854324111876608</v>
      </c>
      <c r="AY142" s="448">
        <f t="shared" si="16"/>
        <v>-323.53140903742616</v>
      </c>
      <c r="AZ142" s="448">
        <f t="shared" si="17"/>
        <v>135.40168595750356</v>
      </c>
      <c r="BA142" s="451">
        <f t="shared" si="32"/>
        <v>323.53140903742616</v>
      </c>
      <c r="BB142" s="451">
        <f t="shared" si="33"/>
        <v>135.40168595750356</v>
      </c>
      <c r="BC142">
        <f t="shared" si="34"/>
        <v>0</v>
      </c>
      <c r="BM142" s="214"/>
      <c r="BN142" s="214"/>
      <c r="BO142" s="214"/>
      <c r="BP142" s="126"/>
      <c r="BQ142" s="126"/>
      <c r="BR142" s="126"/>
      <c r="BS142" s="126"/>
      <c r="BT142" s="126"/>
      <c r="BU142" s="126"/>
      <c r="BV142" s="203"/>
      <c r="BW142" s="203"/>
      <c r="BX142" s="203"/>
      <c r="BY142" s="203"/>
      <c r="BZ142" s="203"/>
      <c r="CA142" s="203"/>
      <c r="CB142" s="203"/>
      <c r="CC142" s="203"/>
      <c r="CD142" s="203"/>
      <c r="CE142" s="203"/>
      <c r="CF142" s="203"/>
      <c r="CG142" s="203"/>
      <c r="CH142" s="203"/>
      <c r="CI142" s="203"/>
    </row>
    <row r="143" spans="2:110" ht="21" customHeight="1" thickBot="1" x14ac:dyDescent="0.35">
      <c r="B143" s="277">
        <v>6</v>
      </c>
      <c r="C143" s="278"/>
      <c r="D143" s="25">
        <v>0</v>
      </c>
      <c r="E143" s="279" t="s">
        <v>130</v>
      </c>
      <c r="F143" s="258"/>
      <c r="G143" s="258">
        <f t="shared" ref="G143:G157" si="38">+D143+BC143</f>
        <v>0</v>
      </c>
      <c r="H143" s="506">
        <v>279.06049999999999</v>
      </c>
      <c r="I143" s="507">
        <v>79.962900599999998</v>
      </c>
      <c r="J143" s="474">
        <f t="shared" si="18"/>
        <v>79.962900599999998</v>
      </c>
      <c r="K143" s="474">
        <f t="shared" si="19"/>
        <v>39.981450299999999</v>
      </c>
      <c r="L143" s="474">
        <f t="shared" si="5"/>
        <v>0.64253956655634092</v>
      </c>
      <c r="M143" s="474">
        <f t="shared" si="6"/>
        <v>179.30741271299578</v>
      </c>
      <c r="N143" s="474">
        <f t="shared" si="7"/>
        <v>358.61482542599157</v>
      </c>
      <c r="O143" s="474">
        <f>+C138+D139+D140+D141+D142+(D143/2)</f>
        <v>0</v>
      </c>
      <c r="P143" s="474">
        <f t="shared" si="8"/>
        <v>0</v>
      </c>
      <c r="Q143" s="474">
        <f t="shared" si="9"/>
        <v>0</v>
      </c>
      <c r="R143" s="474">
        <f t="shared" si="20"/>
        <v>213.83080000000001</v>
      </c>
      <c r="S143" s="474">
        <f t="shared" si="35"/>
        <v>213.83080000000001</v>
      </c>
      <c r="T143" s="476">
        <f t="shared" si="10"/>
        <v>213.83080000000001</v>
      </c>
      <c r="V143" s="437">
        <f t="shared" si="11"/>
        <v>0</v>
      </c>
      <c r="W143" s="437"/>
      <c r="X143" s="437"/>
      <c r="Y143" s="437"/>
      <c r="Z143" s="437"/>
      <c r="AA143" s="437"/>
      <c r="AB143" s="477" t="str">
        <f t="shared" si="21"/>
        <v xml:space="preserve"> </v>
      </c>
      <c r="AC143" s="514" t="b">
        <f>IF(AD143=6,AF143)</f>
        <v>0</v>
      </c>
      <c r="AD143" s="514">
        <f t="shared" si="12"/>
        <v>1</v>
      </c>
      <c r="AE143" s="514">
        <f>IF(V143=0,0,6)</f>
        <v>0</v>
      </c>
      <c r="AF143" s="437">
        <f>SUM(V143:V157)/($B$135-B142)</f>
        <v>0</v>
      </c>
      <c r="AG143" s="437"/>
      <c r="AH143" s="450">
        <f>SUM(D139:D143)+$C$138</f>
        <v>0</v>
      </c>
      <c r="AI143" s="516" t="b">
        <f t="shared" si="22"/>
        <v>0</v>
      </c>
      <c r="AJ143" s="287">
        <f t="shared" si="23"/>
        <v>66.255548399999995</v>
      </c>
      <c r="AK143" s="441">
        <f t="shared" si="13"/>
        <v>0.91535047595051022</v>
      </c>
      <c r="AL143" s="289">
        <f t="shared" si="24"/>
        <v>278.56028065668761</v>
      </c>
      <c r="AM143" s="287">
        <f t="shared" si="25"/>
        <v>50.018549700000001</v>
      </c>
      <c r="AN143" s="442">
        <f t="shared" si="26"/>
        <v>0.76625250760411079</v>
      </c>
      <c r="AO143" s="291">
        <f t="shared" si="27"/>
        <v>213.83080789825695</v>
      </c>
      <c r="AP143" s="519">
        <f t="shared" si="14"/>
        <v>-11295.856137521137</v>
      </c>
      <c r="AQ143" s="291">
        <f t="shared" si="36"/>
        <v>-162</v>
      </c>
      <c r="AR143" s="443">
        <f t="shared" si="15"/>
        <v>-2.5</v>
      </c>
      <c r="AS143" s="444">
        <f t="shared" si="28"/>
        <v>492.39108855494453</v>
      </c>
      <c r="AT143" s="445">
        <f t="shared" si="37"/>
        <v>-213.83080789825695</v>
      </c>
      <c r="AU143" s="446">
        <f t="shared" si="29"/>
        <v>-11082.02532962288</v>
      </c>
      <c r="AV143" s="445"/>
      <c r="AW143" s="447">
        <f t="shared" si="30"/>
        <v>-58.766378429725926</v>
      </c>
      <c r="AX143" s="447">
        <f t="shared" si="31"/>
        <v>56.266378429725926</v>
      </c>
      <c r="AY143" s="448">
        <f t="shared" si="16"/>
        <v>-197.39177927854658</v>
      </c>
      <c r="AZ143" s="448">
        <f t="shared" si="17"/>
        <v>177.7260289195533</v>
      </c>
      <c r="BA143" s="451">
        <f t="shared" si="32"/>
        <v>197.39177927854658</v>
      </c>
      <c r="BB143" s="451">
        <f t="shared" si="33"/>
        <v>177.7260289195533</v>
      </c>
      <c r="BC143">
        <f t="shared" si="34"/>
        <v>0</v>
      </c>
      <c r="BM143" s="214"/>
      <c r="BN143" s="214"/>
      <c r="BO143" s="214"/>
      <c r="CI143" s="236"/>
      <c r="CJ143" s="236"/>
      <c r="CK143" s="236"/>
      <c r="CL143" s="236"/>
      <c r="CM143" s="236"/>
      <c r="CN143" s="236"/>
    </row>
    <row r="144" spans="2:110" ht="21" customHeight="1" thickBot="1" x14ac:dyDescent="0.35">
      <c r="B144" s="277">
        <v>7</v>
      </c>
      <c r="C144" s="278"/>
      <c r="D144" s="25">
        <v>0</v>
      </c>
      <c r="E144" s="279" t="s">
        <v>130</v>
      </c>
      <c r="F144" s="258"/>
      <c r="G144" s="258">
        <f t="shared" si="38"/>
        <v>0</v>
      </c>
      <c r="H144" s="506">
        <v>279.06049999999999</v>
      </c>
      <c r="I144" s="507">
        <v>79.962900599999998</v>
      </c>
      <c r="J144" s="474">
        <f t="shared" si="18"/>
        <v>79.962900599999998</v>
      </c>
      <c r="K144" s="474">
        <f t="shared" si="19"/>
        <v>39.981450299999999</v>
      </c>
      <c r="L144" s="474">
        <f t="shared" si="5"/>
        <v>0.64253956655634092</v>
      </c>
      <c r="M144" s="474">
        <f t="shared" si="6"/>
        <v>179.30741271299578</v>
      </c>
      <c r="N144" s="474">
        <f t="shared" si="7"/>
        <v>358.61482542599157</v>
      </c>
      <c r="O144" s="474">
        <f>+C138+D139+D140+D141+D142+D143+(D144/2)</f>
        <v>0</v>
      </c>
      <c r="P144" s="474">
        <f t="shared" si="8"/>
        <v>0</v>
      </c>
      <c r="Q144" s="474">
        <f t="shared" si="9"/>
        <v>0</v>
      </c>
      <c r="R144" s="474">
        <f t="shared" si="20"/>
        <v>213.83080000000001</v>
      </c>
      <c r="S144" s="474">
        <f t="shared" si="35"/>
        <v>213.83080000000001</v>
      </c>
      <c r="T144" s="476">
        <f t="shared" si="10"/>
        <v>213.83080000000001</v>
      </c>
      <c r="V144" s="437">
        <f t="shared" si="11"/>
        <v>0</v>
      </c>
      <c r="W144" s="437"/>
      <c r="X144" s="437"/>
      <c r="Y144" s="437"/>
      <c r="Z144" s="437"/>
      <c r="AA144" s="437"/>
      <c r="AB144" s="477" t="str">
        <f t="shared" si="21"/>
        <v xml:space="preserve"> </v>
      </c>
      <c r="AC144" s="514" t="b">
        <f>IF(AD144=7,AF144)</f>
        <v>0</v>
      </c>
      <c r="AD144" s="514">
        <f t="shared" si="12"/>
        <v>1</v>
      </c>
      <c r="AE144" s="514">
        <f>IF(V144=0,0,7)</f>
        <v>0</v>
      </c>
      <c r="AF144" s="437">
        <f>SUM(V144:V157)/($B$135-B143)</f>
        <v>0</v>
      </c>
      <c r="AG144" s="437"/>
      <c r="AH144" s="450">
        <f>SUM(D139:D144)+$C$138</f>
        <v>0</v>
      </c>
      <c r="AI144" s="516" t="b">
        <f t="shared" si="22"/>
        <v>0</v>
      </c>
      <c r="AJ144" s="287">
        <f t="shared" si="23"/>
        <v>66.255548399999995</v>
      </c>
      <c r="AK144" s="441">
        <f t="shared" si="13"/>
        <v>0.91535047595051022</v>
      </c>
      <c r="AL144" s="289">
        <f t="shared" si="24"/>
        <v>278.56028065668761</v>
      </c>
      <c r="AM144" s="287">
        <f t="shared" si="25"/>
        <v>50.018549700000001</v>
      </c>
      <c r="AN144" s="442">
        <f t="shared" si="26"/>
        <v>0.76625250760411079</v>
      </c>
      <c r="AO144" s="291">
        <f t="shared" si="27"/>
        <v>213.83080789825695</v>
      </c>
      <c r="AP144" s="519">
        <f t="shared" si="14"/>
        <v>-656.73582194890332</v>
      </c>
      <c r="AQ144" s="291">
        <f t="shared" si="36"/>
        <v>-202.5</v>
      </c>
      <c r="AR144" s="443">
        <f t="shared" si="15"/>
        <v>-43</v>
      </c>
      <c r="AS144" s="444">
        <f t="shared" si="28"/>
        <v>492.39108855494453</v>
      </c>
      <c r="AT144" s="445">
        <f t="shared" si="37"/>
        <v>-213.83080789825695</v>
      </c>
      <c r="AU144" s="446">
        <f t="shared" si="29"/>
        <v>-442.9050140506464</v>
      </c>
      <c r="AV144" s="445"/>
      <c r="AW144" s="447">
        <f t="shared" si="30"/>
        <v>-81.678432747575258</v>
      </c>
      <c r="AX144" s="447">
        <f t="shared" si="31"/>
        <v>38.678432747575258</v>
      </c>
      <c r="AY144" s="448">
        <f t="shared" si="16"/>
        <v>-142.02035482058588</v>
      </c>
      <c r="AZ144" s="448">
        <f t="shared" si="17"/>
        <v>258.54201656159137</v>
      </c>
      <c r="BA144" s="451">
        <f t="shared" si="32"/>
        <v>142.02035482058588</v>
      </c>
      <c r="BB144" s="451">
        <f t="shared" si="33"/>
        <v>258.54201656159137</v>
      </c>
      <c r="BC144">
        <f t="shared" si="34"/>
        <v>0</v>
      </c>
      <c r="BM144" s="214"/>
      <c r="BN144" s="214"/>
      <c r="BO144" s="214"/>
    </row>
    <row r="145" spans="1:129" ht="21" customHeight="1" thickBot="1" x14ac:dyDescent="0.35">
      <c r="B145" s="277">
        <v>8</v>
      </c>
      <c r="C145" s="278"/>
      <c r="D145" s="25">
        <v>0</v>
      </c>
      <c r="E145" s="279" t="s">
        <v>130</v>
      </c>
      <c r="F145" s="258"/>
      <c r="G145" s="258">
        <f t="shared" si="38"/>
        <v>0</v>
      </c>
      <c r="H145" s="506">
        <v>279.06049999999999</v>
      </c>
      <c r="I145" s="507">
        <v>79.962900599999998</v>
      </c>
      <c r="J145" s="474">
        <f t="shared" si="18"/>
        <v>79.962900599999998</v>
      </c>
      <c r="K145" s="474">
        <f t="shared" si="19"/>
        <v>39.981450299999999</v>
      </c>
      <c r="L145" s="474">
        <f t="shared" si="5"/>
        <v>0.64253956655634092</v>
      </c>
      <c r="M145" s="474">
        <f t="shared" si="6"/>
        <v>179.30741271299578</v>
      </c>
      <c r="N145" s="474">
        <f t="shared" si="7"/>
        <v>358.61482542599157</v>
      </c>
      <c r="O145" s="474">
        <f>+C138+D139+D140+D141+D142+D143+D144+(D145/2)</f>
        <v>0</v>
      </c>
      <c r="P145" s="474">
        <f t="shared" si="8"/>
        <v>0</v>
      </c>
      <c r="Q145" s="474">
        <f t="shared" si="9"/>
        <v>0</v>
      </c>
      <c r="R145" s="474">
        <f t="shared" si="20"/>
        <v>213.83080000000001</v>
      </c>
      <c r="S145" s="474">
        <f t="shared" si="35"/>
        <v>213.83080000000001</v>
      </c>
      <c r="T145" s="476">
        <f t="shared" si="10"/>
        <v>213.83080000000001</v>
      </c>
      <c r="V145" s="437">
        <f t="shared" si="11"/>
        <v>0</v>
      </c>
      <c r="W145" s="437"/>
      <c r="X145" s="437"/>
      <c r="Y145" s="437"/>
      <c r="Z145" s="437"/>
      <c r="AA145" s="437"/>
      <c r="AB145" s="477" t="str">
        <f t="shared" si="21"/>
        <v xml:space="preserve"> </v>
      </c>
      <c r="AC145" s="514" t="b">
        <f>IF(AD145=8,AF145)</f>
        <v>0</v>
      </c>
      <c r="AD145" s="514">
        <f t="shared" si="12"/>
        <v>1</v>
      </c>
      <c r="AE145" s="514">
        <f>IF(V145=0,0,8)</f>
        <v>0</v>
      </c>
      <c r="AF145" s="437">
        <f>SUM(V145:V157)/($B$135-B144)</f>
        <v>0</v>
      </c>
      <c r="AG145" s="437"/>
      <c r="AH145" s="450">
        <f>SUM(D139:D145)+$C$138</f>
        <v>0</v>
      </c>
      <c r="AI145" s="516" t="b">
        <f t="shared" si="22"/>
        <v>0</v>
      </c>
      <c r="AJ145" s="287">
        <f t="shared" si="23"/>
        <v>66.255548399999995</v>
      </c>
      <c r="AK145" s="441">
        <f t="shared" si="13"/>
        <v>0.91535047595051022</v>
      </c>
      <c r="AL145" s="289">
        <f t="shared" si="24"/>
        <v>278.56028065668761</v>
      </c>
      <c r="AM145" s="287">
        <f t="shared" si="25"/>
        <v>50.018549700000001</v>
      </c>
      <c r="AN145" s="442">
        <f t="shared" si="26"/>
        <v>0.76625250760411079</v>
      </c>
      <c r="AO145" s="291">
        <f t="shared" si="27"/>
        <v>213.83080789825695</v>
      </c>
      <c r="AP145" s="519">
        <f t="shared" si="14"/>
        <v>-338.19928555452509</v>
      </c>
      <c r="AQ145" s="291">
        <f t="shared" si="36"/>
        <v>-243</v>
      </c>
      <c r="AR145" s="443">
        <f t="shared" si="15"/>
        <v>-83.5</v>
      </c>
      <c r="AS145" s="444">
        <f t="shared" si="28"/>
        <v>492.39108855494453</v>
      </c>
      <c r="AT145" s="445">
        <f t="shared" si="37"/>
        <v>-213.83080789825695</v>
      </c>
      <c r="AU145" s="446">
        <f t="shared" si="29"/>
        <v>-124.36847765626814</v>
      </c>
      <c r="AV145" s="445"/>
      <c r="AW145" s="447">
        <f t="shared" si="30"/>
        <v>-104.5904870654246</v>
      </c>
      <c r="AX145" s="447">
        <f t="shared" si="31"/>
        <v>21.090487065424586</v>
      </c>
      <c r="AY145" s="448">
        <f t="shared" si="16"/>
        <v>-110.9087482568452</v>
      </c>
      <c r="AZ145" s="448">
        <f t="shared" si="17"/>
        <v>474.14741864325379</v>
      </c>
      <c r="BA145" s="451">
        <f t="shared" si="32"/>
        <v>110.9087482568452</v>
      </c>
      <c r="BB145" s="451">
        <f t="shared" si="33"/>
        <v>474.14741864325379</v>
      </c>
      <c r="BC145">
        <f t="shared" si="34"/>
        <v>0</v>
      </c>
      <c r="BM145" s="214"/>
      <c r="BN145" s="214"/>
      <c r="BO145" s="214"/>
    </row>
    <row r="146" spans="1:129" ht="21" customHeight="1" thickBot="1" x14ac:dyDescent="0.35">
      <c r="B146" s="277">
        <v>9</v>
      </c>
      <c r="C146" s="278"/>
      <c r="D146" s="25">
        <v>0</v>
      </c>
      <c r="E146" s="279" t="s">
        <v>130</v>
      </c>
      <c r="F146" s="258"/>
      <c r="G146" s="258">
        <f t="shared" si="38"/>
        <v>0</v>
      </c>
      <c r="H146" s="506">
        <v>279.06049999999999</v>
      </c>
      <c r="I146" s="507">
        <v>79.962900599999998</v>
      </c>
      <c r="J146" s="474">
        <f t="shared" si="18"/>
        <v>79.962900599999998</v>
      </c>
      <c r="K146" s="474">
        <f t="shared" si="19"/>
        <v>39.981450299999999</v>
      </c>
      <c r="L146" s="474">
        <f t="shared" si="5"/>
        <v>0.64253956655634092</v>
      </c>
      <c r="M146" s="474">
        <f t="shared" si="6"/>
        <v>179.30741271299578</v>
      </c>
      <c r="N146" s="474">
        <f t="shared" si="7"/>
        <v>358.61482542599157</v>
      </c>
      <c r="O146" s="474">
        <f>+C138+D139+D140+D141+D142+D143+D144+D145+(D146/2)</f>
        <v>0</v>
      </c>
      <c r="P146" s="474">
        <f t="shared" si="8"/>
        <v>0</v>
      </c>
      <c r="Q146" s="474">
        <f t="shared" si="9"/>
        <v>0</v>
      </c>
      <c r="R146" s="474">
        <f t="shared" si="20"/>
        <v>213.83080000000001</v>
      </c>
      <c r="S146" s="474">
        <f t="shared" si="35"/>
        <v>213.83080000000001</v>
      </c>
      <c r="T146" s="476">
        <f t="shared" si="10"/>
        <v>213.83080000000001</v>
      </c>
      <c r="V146" s="437">
        <f t="shared" si="11"/>
        <v>0</v>
      </c>
      <c r="W146" s="437"/>
      <c r="X146" s="437"/>
      <c r="Y146" s="437"/>
      <c r="Z146" s="437"/>
      <c r="AA146" s="437"/>
      <c r="AB146" s="477" t="str">
        <f t="shared" si="21"/>
        <v xml:space="preserve"> </v>
      </c>
      <c r="AC146" s="514" t="b">
        <f>IF(AD146=9,AF146)</f>
        <v>0</v>
      </c>
      <c r="AD146" s="514">
        <f t="shared" si="12"/>
        <v>1</v>
      </c>
      <c r="AE146" s="514">
        <f>IF(V146=0,0,9)</f>
        <v>0</v>
      </c>
      <c r="AF146" s="437">
        <f>SUM(V146:V157)/($B$135-B145)</f>
        <v>0</v>
      </c>
      <c r="AG146" s="437"/>
      <c r="AH146" s="450">
        <f>SUM(D139:D146)+$C$138</f>
        <v>0</v>
      </c>
      <c r="AI146" s="516" t="b">
        <f t="shared" si="22"/>
        <v>0</v>
      </c>
      <c r="AJ146" s="287">
        <f t="shared" si="23"/>
        <v>66.255548399999995</v>
      </c>
      <c r="AK146" s="441">
        <f t="shared" si="13"/>
        <v>0.91535047595051022</v>
      </c>
      <c r="AL146" s="289">
        <f t="shared" si="24"/>
        <v>278.56028065668761</v>
      </c>
      <c r="AM146" s="287">
        <f t="shared" si="25"/>
        <v>50.018549700000001</v>
      </c>
      <c r="AN146" s="442">
        <f t="shared" si="26"/>
        <v>0.76625250760411079</v>
      </c>
      <c r="AO146" s="291">
        <f t="shared" si="27"/>
        <v>213.83080789825695</v>
      </c>
      <c r="AP146" s="519">
        <f t="shared" si="14"/>
        <v>-227.73903503066808</v>
      </c>
      <c r="AQ146" s="291">
        <f t="shared" si="36"/>
        <v>-283.5</v>
      </c>
      <c r="AR146" s="443">
        <f t="shared" si="15"/>
        <v>-124</v>
      </c>
      <c r="AS146" s="444">
        <f t="shared" si="28"/>
        <v>492.39108855494453</v>
      </c>
      <c r="AT146" s="445">
        <f t="shared" si="37"/>
        <v>-213.83080789825695</v>
      </c>
      <c r="AU146" s="446">
        <f t="shared" si="29"/>
        <v>-13.908227132411128</v>
      </c>
      <c r="AV146" s="445"/>
      <c r="AW146" s="447">
        <f t="shared" si="30"/>
        <v>-127.50254138327391</v>
      </c>
      <c r="AX146" s="447">
        <f t="shared" si="31"/>
        <v>3.5025413832739063</v>
      </c>
      <c r="AY146" s="448">
        <f t="shared" si="16"/>
        <v>-90.978578733817429</v>
      </c>
      <c r="AZ146" s="448">
        <f t="shared" si="17"/>
        <v>2855.0697638446654</v>
      </c>
      <c r="BA146" s="451">
        <f t="shared" si="32"/>
        <v>90.978578733817429</v>
      </c>
      <c r="BB146" s="451">
        <f t="shared" si="33"/>
        <v>2855.0697638446654</v>
      </c>
      <c r="BC146">
        <f t="shared" si="34"/>
        <v>0</v>
      </c>
      <c r="BM146" s="214"/>
      <c r="BN146" s="214"/>
      <c r="BO146" s="214"/>
    </row>
    <row r="147" spans="1:129" ht="21" customHeight="1" thickBot="1" x14ac:dyDescent="0.35">
      <c r="B147" s="277">
        <v>10</v>
      </c>
      <c r="C147" s="278"/>
      <c r="D147" s="25">
        <v>0</v>
      </c>
      <c r="E147" s="279" t="s">
        <v>130</v>
      </c>
      <c r="F147" s="258"/>
      <c r="G147" s="258">
        <f t="shared" si="38"/>
        <v>0.3</v>
      </c>
      <c r="H147" s="506">
        <v>279.06049999999999</v>
      </c>
      <c r="I147" s="507">
        <v>79.962900599999998</v>
      </c>
      <c r="J147" s="474">
        <f t="shared" si="18"/>
        <v>79.962900599999998</v>
      </c>
      <c r="K147" s="474">
        <f t="shared" si="19"/>
        <v>39.981450299999999</v>
      </c>
      <c r="L147" s="474">
        <f t="shared" si="5"/>
        <v>0.64253956655634092</v>
      </c>
      <c r="M147" s="474">
        <f t="shared" si="6"/>
        <v>179.30741271299578</v>
      </c>
      <c r="N147" s="474">
        <f t="shared" si="7"/>
        <v>358.61482542599157</v>
      </c>
      <c r="O147" s="474">
        <f>+C138+D139+D140+D141+D142+D143+D144+D145+D146+(D147/2)</f>
        <v>0</v>
      </c>
      <c r="P147" s="474">
        <f t="shared" si="8"/>
        <v>0</v>
      </c>
      <c r="Q147" s="474">
        <f t="shared" si="9"/>
        <v>0</v>
      </c>
      <c r="R147" s="474">
        <f t="shared" si="20"/>
        <v>213.83080000000001</v>
      </c>
      <c r="S147" s="474">
        <f t="shared" si="35"/>
        <v>213.83080000000001</v>
      </c>
      <c r="T147" s="476">
        <f t="shared" si="10"/>
        <v>213.83080000000001</v>
      </c>
      <c r="V147" s="437">
        <f t="shared" si="11"/>
        <v>0</v>
      </c>
      <c r="W147" s="437"/>
      <c r="X147" s="437"/>
      <c r="Y147" s="437"/>
      <c r="Z147" s="437"/>
      <c r="AA147" s="437"/>
      <c r="AB147" s="477" t="str">
        <f t="shared" si="21"/>
        <v>use the locking pin</v>
      </c>
      <c r="AC147" s="514" t="b">
        <f>IF(AD147=10,AF147)</f>
        <v>0</v>
      </c>
      <c r="AD147" s="514">
        <f t="shared" si="12"/>
        <v>1</v>
      </c>
      <c r="AE147" s="514">
        <f>IF(V147=0,0,10)</f>
        <v>0</v>
      </c>
      <c r="AF147" s="437">
        <f>SUM(V147:V157)/($B$135-B146)</f>
        <v>0</v>
      </c>
      <c r="AG147" s="437"/>
      <c r="AH147" s="450">
        <f>SUM(D139:D147)+$C$138</f>
        <v>0</v>
      </c>
      <c r="AI147" s="516" t="b">
        <f t="shared" si="22"/>
        <v>0</v>
      </c>
      <c r="AJ147" s="287">
        <f t="shared" si="23"/>
        <v>66.255548399999995</v>
      </c>
      <c r="AK147" s="441">
        <f t="shared" si="13"/>
        <v>0.91535047595051022</v>
      </c>
      <c r="AL147" s="289">
        <f t="shared" si="24"/>
        <v>278.56028065668761</v>
      </c>
      <c r="AM147" s="287">
        <f t="shared" si="25"/>
        <v>50.018549700000001</v>
      </c>
      <c r="AN147" s="442">
        <f t="shared" si="26"/>
        <v>0.76625250760411079</v>
      </c>
      <c r="AO147" s="291">
        <f t="shared" si="27"/>
        <v>213.83080789825695</v>
      </c>
      <c r="AP147" s="519">
        <f t="shared" si="14"/>
        <v>-171.66954616293521</v>
      </c>
      <c r="AQ147" s="291">
        <f t="shared" si="36"/>
        <v>-324</v>
      </c>
      <c r="AR147" s="443">
        <f t="shared" si="15"/>
        <v>-164.5</v>
      </c>
      <c r="AS147" s="444">
        <f t="shared" si="28"/>
        <v>492.39108855494453</v>
      </c>
      <c r="AT147" s="445">
        <f t="shared" si="37"/>
        <v>-213.83080789825695</v>
      </c>
      <c r="AU147" s="446">
        <f t="shared" si="29"/>
        <v>42.161261735321744</v>
      </c>
      <c r="AV147" s="445"/>
      <c r="AW147" s="447">
        <f t="shared" si="30"/>
        <v>-150.4145957011232</v>
      </c>
      <c r="AX147" s="447">
        <f t="shared" si="31"/>
        <v>-14.085404298876769</v>
      </c>
      <c r="AY147" s="448">
        <f t="shared" si="16"/>
        <v>-77.120175378787252</v>
      </c>
      <c r="AZ147" s="448">
        <f t="shared" si="17"/>
        <v>-709.95477217487064</v>
      </c>
      <c r="BA147" s="451">
        <f t="shared" si="32"/>
        <v>77.120175378787252</v>
      </c>
      <c r="BB147" s="451">
        <f t="shared" si="33"/>
        <v>709.95477217487064</v>
      </c>
      <c r="BC147">
        <f t="shared" si="34"/>
        <v>0.3</v>
      </c>
      <c r="BM147" s="214"/>
      <c r="BN147" s="214"/>
      <c r="BO147" s="214"/>
    </row>
    <row r="148" spans="1:129" ht="21" customHeight="1" thickBot="1" x14ac:dyDescent="0.35">
      <c r="A148" s="296"/>
      <c r="B148" s="277">
        <v>11</v>
      </c>
      <c r="C148" s="278"/>
      <c r="D148" s="25">
        <v>0</v>
      </c>
      <c r="E148" s="279" t="s">
        <v>130</v>
      </c>
      <c r="F148" s="258"/>
      <c r="G148" s="258">
        <f t="shared" si="38"/>
        <v>0.3</v>
      </c>
      <c r="H148" s="506">
        <v>279.06049999999999</v>
      </c>
      <c r="I148" s="507">
        <v>79.962900599999998</v>
      </c>
      <c r="J148" s="474">
        <f t="shared" si="18"/>
        <v>79.962900599999998</v>
      </c>
      <c r="K148" s="474">
        <f t="shared" si="19"/>
        <v>39.981450299999999</v>
      </c>
      <c r="L148" s="474">
        <f t="shared" si="5"/>
        <v>0.64253956655634092</v>
      </c>
      <c r="M148" s="474">
        <f t="shared" si="6"/>
        <v>179.30741271299578</v>
      </c>
      <c r="N148" s="474">
        <f t="shared" si="7"/>
        <v>358.61482542599157</v>
      </c>
      <c r="O148" s="474">
        <f>+C138+D139+D140+D141+D142+D143+D144+D145+D146+D147+(D148/2)</f>
        <v>0</v>
      </c>
      <c r="P148" s="474">
        <f t="shared" si="8"/>
        <v>0</v>
      </c>
      <c r="Q148" s="474">
        <f t="shared" si="9"/>
        <v>0</v>
      </c>
      <c r="R148" s="474">
        <f t="shared" si="20"/>
        <v>213.83080000000001</v>
      </c>
      <c r="S148" s="474">
        <f t="shared" si="35"/>
        <v>213.83080000000001</v>
      </c>
      <c r="T148" s="476">
        <f t="shared" si="10"/>
        <v>213.83080000000001</v>
      </c>
      <c r="V148" s="437">
        <f t="shared" si="11"/>
        <v>0</v>
      </c>
      <c r="W148" s="437"/>
      <c r="X148" s="437"/>
      <c r="Y148" s="437"/>
      <c r="Z148" s="437"/>
      <c r="AA148" s="437"/>
      <c r="AB148" s="477" t="str">
        <f t="shared" si="21"/>
        <v>use the locking pin</v>
      </c>
      <c r="AC148" s="514" t="b">
        <f>IF(AD148=11,AF148)</f>
        <v>0</v>
      </c>
      <c r="AD148" s="514">
        <f t="shared" si="12"/>
        <v>1</v>
      </c>
      <c r="AE148" s="514">
        <f>IF(V148=0,0,11)</f>
        <v>0</v>
      </c>
      <c r="AF148" s="437">
        <f>SUM(V148:V157)/($B$135-B147)</f>
        <v>0</v>
      </c>
      <c r="AG148" s="437"/>
      <c r="AH148" s="450">
        <f>SUM(D139:D148)+$C$138</f>
        <v>0</v>
      </c>
      <c r="AI148" s="516" t="b">
        <f t="shared" si="22"/>
        <v>0</v>
      </c>
      <c r="AJ148" s="287">
        <f t="shared" si="23"/>
        <v>66.255548399999995</v>
      </c>
      <c r="AK148" s="441">
        <f t="shared" si="13"/>
        <v>0.91535047595051022</v>
      </c>
      <c r="AL148" s="289">
        <f t="shared" si="24"/>
        <v>278.56028065668761</v>
      </c>
      <c r="AM148" s="287">
        <f t="shared" si="25"/>
        <v>50.018549700000001</v>
      </c>
      <c r="AN148" s="442">
        <f t="shared" si="26"/>
        <v>0.76625250760411079</v>
      </c>
      <c r="AO148" s="291">
        <f t="shared" si="27"/>
        <v>213.83080789825695</v>
      </c>
      <c r="AP148" s="519">
        <f t="shared" si="14"/>
        <v>-137.75434314050167</v>
      </c>
      <c r="AQ148" s="291">
        <f t="shared" si="36"/>
        <v>-364.5</v>
      </c>
      <c r="AR148" s="443">
        <f t="shared" si="15"/>
        <v>-205</v>
      </c>
      <c r="AS148" s="444">
        <f t="shared" si="28"/>
        <v>492.39108855494453</v>
      </c>
      <c r="AT148" s="445">
        <f t="shared" si="37"/>
        <v>-213.83080789825695</v>
      </c>
      <c r="AU148" s="446">
        <f t="shared" si="29"/>
        <v>76.076464757755275</v>
      </c>
      <c r="AV148" s="445"/>
      <c r="AW148" s="447">
        <f t="shared" si="30"/>
        <v>-173.32665001897257</v>
      </c>
      <c r="AX148" s="447">
        <f t="shared" si="31"/>
        <v>-31.673349981027435</v>
      </c>
      <c r="AY148" s="448">
        <f t="shared" si="16"/>
        <v>-66.925657414657522</v>
      </c>
      <c r="AZ148" s="448">
        <f t="shared" si="17"/>
        <v>-315.72283973719459</v>
      </c>
      <c r="BA148" s="451">
        <f t="shared" si="32"/>
        <v>66.925657414657522</v>
      </c>
      <c r="BB148" s="451">
        <f t="shared" si="33"/>
        <v>315.72283973719459</v>
      </c>
      <c r="BC148">
        <f t="shared" si="34"/>
        <v>0.3</v>
      </c>
      <c r="BM148" s="214"/>
      <c r="BN148" s="214"/>
      <c r="BO148" s="214"/>
    </row>
    <row r="149" spans="1:129" ht="21" customHeight="1" thickBot="1" x14ac:dyDescent="0.35">
      <c r="A149" s="296"/>
      <c r="B149" s="277">
        <v>12</v>
      </c>
      <c r="C149" s="278"/>
      <c r="D149" s="25">
        <v>0</v>
      </c>
      <c r="E149" s="279" t="s">
        <v>130</v>
      </c>
      <c r="F149" s="258"/>
      <c r="G149" s="258">
        <f t="shared" si="38"/>
        <v>0.3</v>
      </c>
      <c r="H149" s="506">
        <v>279.06049999999999</v>
      </c>
      <c r="I149" s="507">
        <v>79.962900599999998</v>
      </c>
      <c r="J149" s="474">
        <f t="shared" si="18"/>
        <v>79.962900599999998</v>
      </c>
      <c r="K149" s="474">
        <f t="shared" si="19"/>
        <v>39.981450299999999</v>
      </c>
      <c r="L149" s="474">
        <f t="shared" si="5"/>
        <v>0.64253956655634092</v>
      </c>
      <c r="M149" s="474">
        <f t="shared" si="6"/>
        <v>179.30741271299578</v>
      </c>
      <c r="N149" s="474">
        <f t="shared" si="7"/>
        <v>358.61482542599157</v>
      </c>
      <c r="O149" s="474">
        <f>+C138+D139+D140+D141+D142+D143+D144+D145+D146+D147+D148+(D149/2)</f>
        <v>0</v>
      </c>
      <c r="P149" s="474">
        <f t="shared" si="8"/>
        <v>0</v>
      </c>
      <c r="Q149" s="474">
        <f t="shared" si="9"/>
        <v>0</v>
      </c>
      <c r="R149" s="474">
        <f t="shared" si="20"/>
        <v>213.83080000000001</v>
      </c>
      <c r="S149" s="474">
        <f t="shared" si="35"/>
        <v>213.83080000000001</v>
      </c>
      <c r="T149" s="476">
        <f t="shared" si="10"/>
        <v>213.83080000000001</v>
      </c>
      <c r="V149" s="437">
        <f t="shared" si="11"/>
        <v>0</v>
      </c>
      <c r="W149" s="437"/>
      <c r="X149" s="437"/>
      <c r="Y149" s="437"/>
      <c r="Z149" s="437"/>
      <c r="AA149" s="437"/>
      <c r="AB149" s="477" t="str">
        <f t="shared" si="21"/>
        <v>use the locking pin</v>
      </c>
      <c r="AC149" s="514" t="b">
        <f>IF(AD149=12,AF149)</f>
        <v>0</v>
      </c>
      <c r="AD149" s="514">
        <f t="shared" si="12"/>
        <v>1</v>
      </c>
      <c r="AE149" s="514">
        <f>IF(V149=0,0,12)</f>
        <v>0</v>
      </c>
      <c r="AF149" s="437">
        <f>SUM(V149:V157)/($B$135-B148)</f>
        <v>0</v>
      </c>
      <c r="AG149" s="437"/>
      <c r="AH149" s="450">
        <f>SUM(D139:D149)+$C$138</f>
        <v>0</v>
      </c>
      <c r="AI149" s="516" t="b">
        <f t="shared" si="22"/>
        <v>0</v>
      </c>
      <c r="AJ149" s="287">
        <f t="shared" si="23"/>
        <v>66.255548399999995</v>
      </c>
      <c r="AK149" s="441">
        <f t="shared" si="13"/>
        <v>0.91535047595051022</v>
      </c>
      <c r="AL149" s="289">
        <f t="shared" si="24"/>
        <v>278.56028065668761</v>
      </c>
      <c r="AM149" s="287">
        <f t="shared" si="25"/>
        <v>50.018549700000001</v>
      </c>
      <c r="AN149" s="442">
        <f t="shared" si="26"/>
        <v>0.76625250760411079</v>
      </c>
      <c r="AO149" s="291">
        <f t="shared" si="27"/>
        <v>213.83080789825695</v>
      </c>
      <c r="AP149" s="519">
        <f t="shared" si="14"/>
        <v>-115.0290849034739</v>
      </c>
      <c r="AQ149" s="291">
        <f t="shared" si="36"/>
        <v>-405</v>
      </c>
      <c r="AR149" s="443">
        <f t="shared" si="15"/>
        <v>-245.5</v>
      </c>
      <c r="AS149" s="444">
        <f t="shared" si="28"/>
        <v>492.39108855494453</v>
      </c>
      <c r="AT149" s="445">
        <f t="shared" si="37"/>
        <v>-213.83080789825695</v>
      </c>
      <c r="AU149" s="446">
        <f t="shared" si="29"/>
        <v>98.801722994783049</v>
      </c>
      <c r="AV149" s="445"/>
      <c r="AW149" s="447">
        <f t="shared" si="30"/>
        <v>-196.23870433682188</v>
      </c>
      <c r="AX149" s="447">
        <f t="shared" si="31"/>
        <v>-49.26129566317811</v>
      </c>
      <c r="AY149" s="448">
        <f t="shared" si="16"/>
        <v>-59.111682576592493</v>
      </c>
      <c r="AZ149" s="448">
        <f t="shared" si="17"/>
        <v>-202.99912670536619</v>
      </c>
      <c r="BA149" s="451">
        <f t="shared" si="32"/>
        <v>59.111682576592493</v>
      </c>
      <c r="BB149" s="451">
        <f t="shared" si="33"/>
        <v>202.99912670536619</v>
      </c>
      <c r="BC149">
        <f t="shared" si="34"/>
        <v>0.3</v>
      </c>
      <c r="BM149" s="214"/>
      <c r="BN149" s="214"/>
      <c r="BO149" s="214"/>
    </row>
    <row r="150" spans="1:129" ht="21" customHeight="1" thickBot="1" x14ac:dyDescent="0.35">
      <c r="B150" s="277">
        <v>13</v>
      </c>
      <c r="C150" s="278"/>
      <c r="D150" s="25">
        <v>0</v>
      </c>
      <c r="E150" s="279" t="s">
        <v>130</v>
      </c>
      <c r="F150" s="258"/>
      <c r="G150" s="258">
        <f t="shared" si="38"/>
        <v>0.3</v>
      </c>
      <c r="H150" s="506">
        <v>279.06049999999999</v>
      </c>
      <c r="I150" s="507">
        <v>79.962900599999998</v>
      </c>
      <c r="J150" s="474">
        <f t="shared" si="18"/>
        <v>79.962900599999998</v>
      </c>
      <c r="K150" s="474">
        <f t="shared" si="19"/>
        <v>39.981450299999999</v>
      </c>
      <c r="L150" s="474">
        <f t="shared" si="5"/>
        <v>0.64253956655634092</v>
      </c>
      <c r="M150" s="474">
        <f t="shared" si="6"/>
        <v>179.30741271299578</v>
      </c>
      <c r="N150" s="474">
        <f t="shared" si="7"/>
        <v>358.61482542599157</v>
      </c>
      <c r="O150" s="474">
        <f>+C138+D139+D140+D141+D142+D143+D144+D145+D146+D147+D148+D149+(D150/2)</f>
        <v>0</v>
      </c>
      <c r="P150" s="474">
        <f t="shared" si="8"/>
        <v>0</v>
      </c>
      <c r="Q150" s="474">
        <f t="shared" si="9"/>
        <v>0</v>
      </c>
      <c r="R150" s="474">
        <f t="shared" si="20"/>
        <v>213.83080000000001</v>
      </c>
      <c r="S150" s="474">
        <f t="shared" si="35"/>
        <v>213.83080000000001</v>
      </c>
      <c r="T150" s="476">
        <f t="shared" si="10"/>
        <v>213.83080000000001</v>
      </c>
      <c r="V150" s="437">
        <f t="shared" si="11"/>
        <v>0</v>
      </c>
      <c r="W150" s="437"/>
      <c r="X150" s="437"/>
      <c r="Y150" s="437"/>
      <c r="Z150" s="437"/>
      <c r="AA150" s="437"/>
      <c r="AB150" s="477" t="str">
        <f t="shared" si="21"/>
        <v>use the locking pin</v>
      </c>
      <c r="AC150" s="514" t="b">
        <f>IF(AD150=13,AF150)</f>
        <v>0</v>
      </c>
      <c r="AD150" s="514">
        <f t="shared" si="12"/>
        <v>1</v>
      </c>
      <c r="AE150" s="514">
        <f>IF(V150=0,0,13)</f>
        <v>0</v>
      </c>
      <c r="AF150" s="437">
        <f>SUM(V150:V157)/($B$135-B149)</f>
        <v>0</v>
      </c>
      <c r="AG150" s="437"/>
      <c r="AH150" s="450">
        <f>SUM(D139:D150)+$C$138</f>
        <v>0</v>
      </c>
      <c r="AI150" s="516" t="b">
        <f t="shared" si="22"/>
        <v>0</v>
      </c>
      <c r="AJ150" s="287">
        <f t="shared" si="23"/>
        <v>66.255548399999995</v>
      </c>
      <c r="AK150" s="441">
        <f t="shared" si="13"/>
        <v>0.91535047595051022</v>
      </c>
      <c r="AL150" s="289">
        <f t="shared" si="24"/>
        <v>278.56028065668761</v>
      </c>
      <c r="AM150" s="287">
        <f t="shared" si="25"/>
        <v>50.018549700000001</v>
      </c>
      <c r="AN150" s="442">
        <f t="shared" si="26"/>
        <v>0.76625250760411079</v>
      </c>
      <c r="AO150" s="291">
        <f t="shared" si="27"/>
        <v>213.83080789825695</v>
      </c>
      <c r="AP150" s="519">
        <f t="shared" si="14"/>
        <v>-98.740001202107848</v>
      </c>
      <c r="AQ150" s="291">
        <f t="shared" si="36"/>
        <v>-445.5</v>
      </c>
      <c r="AR150" s="443">
        <f t="shared" si="15"/>
        <v>-286</v>
      </c>
      <c r="AS150" s="444">
        <f t="shared" si="28"/>
        <v>492.39108855494453</v>
      </c>
      <c r="AT150" s="445">
        <f t="shared" si="37"/>
        <v>-213.83080789825695</v>
      </c>
      <c r="AU150" s="446">
        <f t="shared" si="29"/>
        <v>115.0908066961491</v>
      </c>
      <c r="AV150" s="445"/>
      <c r="AW150" s="447">
        <f t="shared" si="30"/>
        <v>-219.15075865467119</v>
      </c>
      <c r="AX150" s="447">
        <f t="shared" si="31"/>
        <v>-66.849241345328778</v>
      </c>
      <c r="AY150" s="448">
        <f t="shared" si="16"/>
        <v>-52.93159864565564</v>
      </c>
      <c r="AZ150" s="448">
        <f t="shared" si="17"/>
        <v>-149.59032890653395</v>
      </c>
      <c r="BA150" s="451">
        <f t="shared" si="32"/>
        <v>52.93159864565564</v>
      </c>
      <c r="BB150" s="451">
        <f t="shared" si="33"/>
        <v>149.59032890653395</v>
      </c>
      <c r="BC150">
        <f t="shared" si="34"/>
        <v>0.3</v>
      </c>
      <c r="BM150" s="214"/>
      <c r="BN150" s="214"/>
      <c r="BO150" s="214"/>
      <c r="DE150" s="126"/>
    </row>
    <row r="151" spans="1:129" ht="21" customHeight="1" thickBot="1" x14ac:dyDescent="0.35">
      <c r="B151" s="277">
        <v>14</v>
      </c>
      <c r="C151" s="278"/>
      <c r="D151" s="25">
        <v>0</v>
      </c>
      <c r="E151" s="279" t="s">
        <v>130</v>
      </c>
      <c r="F151" s="258"/>
      <c r="G151" s="258">
        <f t="shared" si="38"/>
        <v>0.3</v>
      </c>
      <c r="H151" s="506">
        <v>279.06049999999999</v>
      </c>
      <c r="I151" s="507">
        <v>79.962900599999998</v>
      </c>
      <c r="J151" s="474">
        <f t="shared" si="18"/>
        <v>79.962900599999998</v>
      </c>
      <c r="K151" s="474">
        <f t="shared" si="19"/>
        <v>39.981450299999999</v>
      </c>
      <c r="L151" s="474">
        <f t="shared" si="5"/>
        <v>0.64253956655634092</v>
      </c>
      <c r="M151" s="474">
        <f t="shared" si="6"/>
        <v>179.30741271299578</v>
      </c>
      <c r="N151" s="474">
        <f t="shared" si="7"/>
        <v>358.61482542599157</v>
      </c>
      <c r="O151" s="474">
        <f>+C138+D139+D140+D141+D142+D143+D144+D145+D146+D147+D148+D149+D150+(D151/2)</f>
        <v>0</v>
      </c>
      <c r="P151" s="474">
        <f t="shared" si="8"/>
        <v>0</v>
      </c>
      <c r="Q151" s="474">
        <f t="shared" si="9"/>
        <v>0</v>
      </c>
      <c r="R151" s="474">
        <f t="shared" si="20"/>
        <v>213.83080000000001</v>
      </c>
      <c r="S151" s="474">
        <f t="shared" si="35"/>
        <v>213.83080000000001</v>
      </c>
      <c r="T151" s="476">
        <f t="shared" si="10"/>
        <v>213.83080000000001</v>
      </c>
      <c r="V151" s="437">
        <f t="shared" si="11"/>
        <v>0</v>
      </c>
      <c r="W151" s="437"/>
      <c r="X151" s="437"/>
      <c r="Y151" s="437"/>
      <c r="Z151" s="437"/>
      <c r="AA151" s="437"/>
      <c r="AB151" s="477" t="str">
        <f t="shared" si="21"/>
        <v>use the locking pin</v>
      </c>
      <c r="AC151" s="514" t="b">
        <f>IF(AD151=14,AF151)</f>
        <v>0</v>
      </c>
      <c r="AD151" s="514">
        <f t="shared" si="12"/>
        <v>1</v>
      </c>
      <c r="AE151" s="514">
        <f>IF(V151=0,0,14)</f>
        <v>0</v>
      </c>
      <c r="AF151" s="437">
        <f>SUM(V151:V157)/($B$135-B150)</f>
        <v>0</v>
      </c>
      <c r="AG151" s="437"/>
      <c r="AH151" s="450">
        <f>SUM(D139:D151)+$C$138</f>
        <v>0</v>
      </c>
      <c r="AI151" s="516" t="b">
        <f t="shared" si="22"/>
        <v>0</v>
      </c>
      <c r="AJ151" s="287">
        <f t="shared" si="23"/>
        <v>66.255548399999995</v>
      </c>
      <c r="AK151" s="441">
        <f t="shared" si="13"/>
        <v>0.91535047595051022</v>
      </c>
      <c r="AL151" s="289">
        <f t="shared" si="24"/>
        <v>278.56028065668761</v>
      </c>
      <c r="AM151" s="287">
        <f t="shared" si="25"/>
        <v>50.018549700000001</v>
      </c>
      <c r="AN151" s="442">
        <f t="shared" si="26"/>
        <v>0.76625250760411079</v>
      </c>
      <c r="AO151" s="291">
        <f t="shared" si="27"/>
        <v>213.83080789825695</v>
      </c>
      <c r="AP151" s="519">
        <f t="shared" si="14"/>
        <v>-86.492007178569196</v>
      </c>
      <c r="AQ151" s="291">
        <f t="shared" si="36"/>
        <v>-486</v>
      </c>
      <c r="AR151" s="443">
        <f t="shared" si="15"/>
        <v>-326.5</v>
      </c>
      <c r="AS151" s="444">
        <f t="shared" si="28"/>
        <v>492.39108855494453</v>
      </c>
      <c r="AT151" s="445">
        <f t="shared" si="37"/>
        <v>-213.83080789825695</v>
      </c>
      <c r="AU151" s="446">
        <f t="shared" si="29"/>
        <v>127.33880071968775</v>
      </c>
      <c r="AV151" s="445"/>
      <c r="AW151" s="447">
        <f t="shared" si="30"/>
        <v>-242.06281297252056</v>
      </c>
      <c r="AX151" s="447">
        <f t="shared" si="31"/>
        <v>-84.437187027479453</v>
      </c>
      <c r="AY151" s="448">
        <f t="shared" si="16"/>
        <v>-47.921445915432102</v>
      </c>
      <c r="AZ151" s="448">
        <f t="shared" si="17"/>
        <v>-118.43123097818943</v>
      </c>
      <c r="BA151" s="451">
        <f t="shared" si="32"/>
        <v>47.921445915432102</v>
      </c>
      <c r="BB151" s="451">
        <f t="shared" si="33"/>
        <v>118.43123097818943</v>
      </c>
      <c r="BC151">
        <f t="shared" si="34"/>
        <v>0.3</v>
      </c>
      <c r="BM151" s="214"/>
      <c r="BN151" s="214"/>
      <c r="BO151" s="214"/>
      <c r="DE151" s="126"/>
    </row>
    <row r="152" spans="1:129" ht="21" customHeight="1" thickBot="1" x14ac:dyDescent="0.35">
      <c r="B152" s="277">
        <v>15</v>
      </c>
      <c r="C152" s="278"/>
      <c r="D152" s="25">
        <v>0</v>
      </c>
      <c r="E152" s="279" t="s">
        <v>130</v>
      </c>
      <c r="F152" s="258"/>
      <c r="G152" s="258">
        <f t="shared" si="38"/>
        <v>0.3</v>
      </c>
      <c r="H152" s="506">
        <v>279.06049999999999</v>
      </c>
      <c r="I152" s="507">
        <v>79.962900599999998</v>
      </c>
      <c r="J152" s="474">
        <f t="shared" si="18"/>
        <v>79.962900599999998</v>
      </c>
      <c r="K152" s="474">
        <f t="shared" si="19"/>
        <v>39.981450299999999</v>
      </c>
      <c r="L152" s="474">
        <f t="shared" si="5"/>
        <v>0.64253956655634092</v>
      </c>
      <c r="M152" s="474">
        <f t="shared" si="6"/>
        <v>179.30741271299578</v>
      </c>
      <c r="N152" s="474">
        <f t="shared" si="7"/>
        <v>358.61482542599157</v>
      </c>
      <c r="O152" s="474">
        <f>+C138+D139+D140+D141+D142+D143+D144+D145+D146+D147+D148+D149+D150+D151+(D152/2)</f>
        <v>0</v>
      </c>
      <c r="P152" s="474">
        <f t="shared" si="8"/>
        <v>0</v>
      </c>
      <c r="Q152" s="474">
        <f t="shared" si="9"/>
        <v>0</v>
      </c>
      <c r="R152" s="474">
        <f t="shared" si="20"/>
        <v>213.83080000000001</v>
      </c>
      <c r="S152" s="474">
        <f t="shared" si="35"/>
        <v>213.83080000000001</v>
      </c>
      <c r="T152" s="476">
        <f t="shared" si="10"/>
        <v>213.83080000000001</v>
      </c>
      <c r="V152" s="437">
        <f t="shared" si="11"/>
        <v>0</v>
      </c>
      <c r="W152" s="437"/>
      <c r="X152" s="437"/>
      <c r="Y152" s="437"/>
      <c r="Z152" s="437"/>
      <c r="AA152" s="437"/>
      <c r="AB152" s="477" t="str">
        <f t="shared" si="21"/>
        <v>use the locking pin</v>
      </c>
      <c r="AC152" s="514" t="b">
        <f>IF(AD152=15,AF152)</f>
        <v>0</v>
      </c>
      <c r="AD152" s="514">
        <f t="shared" si="12"/>
        <v>1</v>
      </c>
      <c r="AE152" s="514">
        <f>IF(V152=0,0,15)</f>
        <v>0</v>
      </c>
      <c r="AF152" s="437">
        <f>SUM(V152:V157)/($B$135-B151)</f>
        <v>0</v>
      </c>
      <c r="AG152" s="437"/>
      <c r="AH152" s="450">
        <f>SUM(D139:D152)+$C$138</f>
        <v>0</v>
      </c>
      <c r="AI152" s="516" t="b">
        <f t="shared" si="22"/>
        <v>0</v>
      </c>
      <c r="AJ152" s="287">
        <f t="shared" si="23"/>
        <v>66.255548399999995</v>
      </c>
      <c r="AK152" s="441">
        <f t="shared" si="13"/>
        <v>0.91535047595051022</v>
      </c>
      <c r="AL152" s="289">
        <f t="shared" si="24"/>
        <v>278.56028065668761</v>
      </c>
      <c r="AM152" s="287">
        <f t="shared" si="25"/>
        <v>50.018549700000001</v>
      </c>
      <c r="AN152" s="442">
        <f t="shared" si="26"/>
        <v>0.76625250760411079</v>
      </c>
      <c r="AO152" s="291">
        <f t="shared" si="27"/>
        <v>213.83080789825695</v>
      </c>
      <c r="AP152" s="519">
        <f t="shared" si="14"/>
        <v>-76.947248893195763</v>
      </c>
      <c r="AQ152" s="291">
        <f t="shared" si="36"/>
        <v>-526.5</v>
      </c>
      <c r="AR152" s="443">
        <f t="shared" si="15"/>
        <v>-367</v>
      </c>
      <c r="AS152" s="444">
        <f t="shared" si="28"/>
        <v>492.39108855494453</v>
      </c>
      <c r="AT152" s="445">
        <f t="shared" si="37"/>
        <v>-213.83080789825695</v>
      </c>
      <c r="AU152" s="446">
        <f t="shared" si="29"/>
        <v>136.88355900506119</v>
      </c>
      <c r="AV152" s="445"/>
      <c r="AW152" s="447">
        <f t="shared" si="30"/>
        <v>-264.97486729036984</v>
      </c>
      <c r="AX152" s="447">
        <f t="shared" si="31"/>
        <v>-102.02513270963013</v>
      </c>
      <c r="AY152" s="448">
        <f t="shared" si="16"/>
        <v>-43.777736804329692</v>
      </c>
      <c r="AZ152" s="448">
        <f t="shared" si="17"/>
        <v>-98.015064861132032</v>
      </c>
      <c r="BA152" s="451">
        <f t="shared" si="32"/>
        <v>43.777736804329692</v>
      </c>
      <c r="BB152" s="451">
        <f t="shared" si="33"/>
        <v>98.015064861132032</v>
      </c>
      <c r="BC152">
        <f t="shared" si="34"/>
        <v>0.3</v>
      </c>
      <c r="BM152" s="214"/>
      <c r="BN152" s="214"/>
      <c r="BO152" s="214"/>
      <c r="DE152" s="126"/>
    </row>
    <row r="153" spans="1:129" ht="21" customHeight="1" thickBot="1" x14ac:dyDescent="0.35">
      <c r="B153" s="277">
        <v>16</v>
      </c>
      <c r="C153" s="278"/>
      <c r="D153" s="25">
        <v>0</v>
      </c>
      <c r="E153" s="279" t="s">
        <v>130</v>
      </c>
      <c r="F153" s="258"/>
      <c r="G153" s="258">
        <f t="shared" si="38"/>
        <v>0.3</v>
      </c>
      <c r="H153" s="506">
        <v>279.06049999999999</v>
      </c>
      <c r="I153" s="507">
        <v>79.962900599999998</v>
      </c>
      <c r="J153" s="474">
        <f t="shared" si="18"/>
        <v>79.962900599999998</v>
      </c>
      <c r="K153" s="474">
        <f t="shared" si="19"/>
        <v>39.981450299999999</v>
      </c>
      <c r="L153" s="474">
        <f t="shared" si="5"/>
        <v>0.64253956655634092</v>
      </c>
      <c r="M153" s="474">
        <f t="shared" si="6"/>
        <v>179.30741271299578</v>
      </c>
      <c r="N153" s="474">
        <f t="shared" si="7"/>
        <v>358.61482542599157</v>
      </c>
      <c r="O153" s="474">
        <f>+C138+D139+D140+D141+D142+D143+D144+D145+D146+D147+D148+D149+D150+D151+D152+(D153/2)</f>
        <v>0</v>
      </c>
      <c r="P153" s="474">
        <f t="shared" si="8"/>
        <v>0</v>
      </c>
      <c r="Q153" s="474">
        <f t="shared" si="9"/>
        <v>0</v>
      </c>
      <c r="R153" s="474">
        <f t="shared" si="20"/>
        <v>213.83080000000001</v>
      </c>
      <c r="S153" s="474">
        <f t="shared" si="35"/>
        <v>213.83080000000001</v>
      </c>
      <c r="T153" s="476">
        <f t="shared" si="10"/>
        <v>213.83080000000001</v>
      </c>
      <c r="V153" s="437">
        <f t="shared" si="11"/>
        <v>0</v>
      </c>
      <c r="W153" s="437"/>
      <c r="X153" s="437"/>
      <c r="Y153" s="437"/>
      <c r="Z153" s="437"/>
      <c r="AA153" s="437"/>
      <c r="AB153" s="477" t="str">
        <f t="shared" si="21"/>
        <v>use the locking pin</v>
      </c>
      <c r="AC153" s="514" t="b">
        <f>IF(AD153=16,AF153)</f>
        <v>0</v>
      </c>
      <c r="AD153" s="514">
        <f t="shared" si="12"/>
        <v>1</v>
      </c>
      <c r="AE153" s="514">
        <f>IF(V153=0,0,16)</f>
        <v>0</v>
      </c>
      <c r="AF153" s="437">
        <f>SUM(V153:V157)/($B$135-B152)</f>
        <v>0</v>
      </c>
      <c r="AG153" s="437"/>
      <c r="AH153" s="450">
        <f>SUM(D139:D153)+$C$138</f>
        <v>0</v>
      </c>
      <c r="AI153" s="516" t="b">
        <f t="shared" si="22"/>
        <v>0</v>
      </c>
      <c r="AJ153" s="287">
        <f t="shared" si="23"/>
        <v>66.255548399999995</v>
      </c>
      <c r="AK153" s="441">
        <f t="shared" si="13"/>
        <v>0.91535047595051022</v>
      </c>
      <c r="AL153" s="289">
        <f t="shared" si="24"/>
        <v>278.56028065668761</v>
      </c>
      <c r="AM153" s="287">
        <f t="shared" si="25"/>
        <v>50.018549700000001</v>
      </c>
      <c r="AN153" s="442">
        <f t="shared" si="26"/>
        <v>0.76625250760411079</v>
      </c>
      <c r="AO153" s="291">
        <f t="shared" si="27"/>
        <v>213.83080789825695</v>
      </c>
      <c r="AP153" s="519">
        <f t="shared" si="14"/>
        <v>-69.299730905037649</v>
      </c>
      <c r="AQ153" s="291">
        <f t="shared" si="36"/>
        <v>-567</v>
      </c>
      <c r="AR153" s="443">
        <f t="shared" si="15"/>
        <v>-407.5</v>
      </c>
      <c r="AS153" s="444">
        <f t="shared" si="28"/>
        <v>492.39108855494453</v>
      </c>
      <c r="AT153" s="445">
        <f t="shared" si="37"/>
        <v>-213.83080789825695</v>
      </c>
      <c r="AU153" s="446">
        <f t="shared" si="29"/>
        <v>144.5310769932193</v>
      </c>
      <c r="AV153" s="445"/>
      <c r="AW153" s="447">
        <f t="shared" si="30"/>
        <v>-287.88692160821915</v>
      </c>
      <c r="AX153" s="447">
        <f t="shared" si="31"/>
        <v>-119.6130783917808</v>
      </c>
      <c r="AY153" s="448">
        <f t="shared" si="16"/>
        <v>-40.293598386474329</v>
      </c>
      <c r="AZ153" s="448">
        <f t="shared" si="17"/>
        <v>-83.60289806475835</v>
      </c>
      <c r="BA153" s="451">
        <f t="shared" si="32"/>
        <v>40.293598386474329</v>
      </c>
      <c r="BB153" s="451">
        <f t="shared" si="33"/>
        <v>83.60289806475835</v>
      </c>
      <c r="BC153">
        <f t="shared" si="34"/>
        <v>0.3</v>
      </c>
      <c r="BM153" s="214"/>
      <c r="BN153" s="214"/>
      <c r="BO153" s="214"/>
      <c r="DE153" s="126"/>
    </row>
    <row r="154" spans="1:129" ht="21" customHeight="1" thickBot="1" x14ac:dyDescent="0.35">
      <c r="B154" s="277">
        <v>17</v>
      </c>
      <c r="C154" s="278"/>
      <c r="D154" s="25">
        <v>0</v>
      </c>
      <c r="E154" s="279" t="s">
        <v>130</v>
      </c>
      <c r="F154" s="258"/>
      <c r="G154" s="258">
        <f t="shared" si="38"/>
        <v>0.3</v>
      </c>
      <c r="H154" s="506">
        <v>279.06049999999999</v>
      </c>
      <c r="I154" s="507">
        <v>79.962900599999998</v>
      </c>
      <c r="J154" s="474">
        <f t="shared" si="18"/>
        <v>79.962900599999998</v>
      </c>
      <c r="K154" s="474">
        <f t="shared" si="19"/>
        <v>39.981450299999999</v>
      </c>
      <c r="L154" s="474">
        <f t="shared" si="5"/>
        <v>0.64253956655634092</v>
      </c>
      <c r="M154" s="474">
        <f t="shared" si="6"/>
        <v>179.30741271299578</v>
      </c>
      <c r="N154" s="474">
        <f t="shared" si="7"/>
        <v>358.61482542599157</v>
      </c>
      <c r="O154" s="474">
        <f>+C138+D139+D140+D141+D142+D143+D144+D145+D146+D147+D148+D149+D150+D151+D152+D153+(D154/2)</f>
        <v>0</v>
      </c>
      <c r="P154" s="474">
        <f t="shared" si="8"/>
        <v>0</v>
      </c>
      <c r="Q154" s="474">
        <f t="shared" si="9"/>
        <v>0</v>
      </c>
      <c r="R154" s="474">
        <f t="shared" si="20"/>
        <v>213.83080000000001</v>
      </c>
      <c r="S154" s="474">
        <f t="shared" si="35"/>
        <v>213.83080000000001</v>
      </c>
      <c r="T154" s="476">
        <f t="shared" si="10"/>
        <v>213.83080000000001</v>
      </c>
      <c r="V154" s="437">
        <f t="shared" si="11"/>
        <v>0</v>
      </c>
      <c r="W154" s="437"/>
      <c r="X154" s="437"/>
      <c r="Y154" s="437"/>
      <c r="Z154" s="437"/>
      <c r="AA154" s="437"/>
      <c r="AB154" s="477" t="str">
        <f t="shared" si="21"/>
        <v>use the locking pin</v>
      </c>
      <c r="AC154" s="514" t="b">
        <f>IF(AD154=17,AF154)</f>
        <v>0</v>
      </c>
      <c r="AD154" s="514">
        <f t="shared" si="12"/>
        <v>1</v>
      </c>
      <c r="AE154" s="514">
        <f>IF(V154=0,0,17)</f>
        <v>0</v>
      </c>
      <c r="AF154" s="437">
        <f>SUM(V154:V157)/($B$135-B153)</f>
        <v>0</v>
      </c>
      <c r="AG154" s="437"/>
      <c r="AH154" s="450">
        <f>SUM(D139:D154)+$C$138</f>
        <v>0</v>
      </c>
      <c r="AI154" s="516" t="b">
        <f t="shared" si="22"/>
        <v>0</v>
      </c>
      <c r="AJ154" s="287">
        <f t="shared" si="23"/>
        <v>66.255548399999995</v>
      </c>
      <c r="AK154" s="441">
        <f t="shared" si="13"/>
        <v>0.91535047595051022</v>
      </c>
      <c r="AL154" s="289">
        <f t="shared" si="24"/>
        <v>278.56028065668761</v>
      </c>
      <c r="AM154" s="287">
        <f t="shared" si="25"/>
        <v>50.018549700000001</v>
      </c>
      <c r="AN154" s="442">
        <f t="shared" si="26"/>
        <v>0.76625250760411079</v>
      </c>
      <c r="AO154" s="291">
        <f t="shared" si="27"/>
        <v>213.83080789825695</v>
      </c>
      <c r="AP154" s="519">
        <f t="shared" si="14"/>
        <v>-63.034911481702771</v>
      </c>
      <c r="AQ154" s="291">
        <f t="shared" si="36"/>
        <v>-607.5</v>
      </c>
      <c r="AR154" s="443">
        <f t="shared" si="15"/>
        <v>-448</v>
      </c>
      <c r="AS154" s="444">
        <f t="shared" si="28"/>
        <v>492.39108855494453</v>
      </c>
      <c r="AT154" s="445">
        <f t="shared" si="37"/>
        <v>-213.83080789825695</v>
      </c>
      <c r="AU154" s="446">
        <f t="shared" si="29"/>
        <v>150.79589641655417</v>
      </c>
      <c r="AV154" s="445"/>
      <c r="AW154" s="447">
        <f t="shared" si="30"/>
        <v>-310.79897592606852</v>
      </c>
      <c r="AX154" s="447">
        <f t="shared" si="31"/>
        <v>-137.20102407393148</v>
      </c>
      <c r="AY154" s="448">
        <f t="shared" si="16"/>
        <v>-37.323160301401238</v>
      </c>
      <c r="AZ154" s="448">
        <f t="shared" si="17"/>
        <v>-72.885753349854355</v>
      </c>
      <c r="BA154" s="451">
        <f t="shared" si="32"/>
        <v>37.323160301401238</v>
      </c>
      <c r="BB154" s="451">
        <f t="shared" si="33"/>
        <v>72.885753349854355</v>
      </c>
      <c r="BC154">
        <f t="shared" si="34"/>
        <v>0.3</v>
      </c>
      <c r="BD154" s="136"/>
      <c r="BM154" s="214"/>
      <c r="BN154" s="214"/>
      <c r="BO154" s="214"/>
      <c r="DF154" s="126"/>
      <c r="DG154" s="126"/>
      <c r="DH154" s="126"/>
      <c r="DI154" s="126"/>
      <c r="DJ154" s="126"/>
      <c r="DK154" s="126"/>
      <c r="DL154" s="203"/>
      <c r="DM154" s="203"/>
      <c r="DN154" s="203"/>
      <c r="DO154" s="203"/>
      <c r="DP154" s="203"/>
      <c r="DQ154" s="203"/>
      <c r="DR154" s="203"/>
      <c r="DS154" s="203"/>
      <c r="DT154" s="203"/>
      <c r="DU154" s="203"/>
      <c r="DV154" s="203"/>
      <c r="DW154" s="203"/>
      <c r="DX154" s="203"/>
      <c r="DY154" s="203"/>
    </row>
    <row r="155" spans="1:129" ht="21" customHeight="1" thickBot="1" x14ac:dyDescent="0.35">
      <c r="B155" s="277">
        <v>18</v>
      </c>
      <c r="C155" s="278"/>
      <c r="D155" s="25">
        <v>0</v>
      </c>
      <c r="E155" s="279" t="s">
        <v>130</v>
      </c>
      <c r="F155" s="258"/>
      <c r="G155" s="258">
        <f t="shared" si="38"/>
        <v>0.3</v>
      </c>
      <c r="H155" s="506">
        <v>279.06049999999999</v>
      </c>
      <c r="I155" s="507">
        <v>79.962900599999998</v>
      </c>
      <c r="J155" s="474">
        <f t="shared" si="18"/>
        <v>79.962900599999998</v>
      </c>
      <c r="K155" s="474">
        <f t="shared" si="19"/>
        <v>39.981450299999999</v>
      </c>
      <c r="L155" s="474">
        <f t="shared" si="5"/>
        <v>0.64253956655634092</v>
      </c>
      <c r="M155" s="474">
        <f t="shared" si="6"/>
        <v>179.30741271299578</v>
      </c>
      <c r="N155" s="474">
        <f t="shared" si="7"/>
        <v>358.61482542599157</v>
      </c>
      <c r="O155" s="474">
        <f>+C138+D139+D140+D141+D142+D143+D144+D145+D146+D147+D148+D149+D150+D151+D152+D153+D154+(D155/2)</f>
        <v>0</v>
      </c>
      <c r="P155" s="474">
        <f t="shared" si="8"/>
        <v>0</v>
      </c>
      <c r="Q155" s="474">
        <f t="shared" si="9"/>
        <v>0</v>
      </c>
      <c r="R155" s="474">
        <f t="shared" si="20"/>
        <v>213.83080000000001</v>
      </c>
      <c r="S155" s="474">
        <f t="shared" si="35"/>
        <v>213.83080000000001</v>
      </c>
      <c r="T155" s="476">
        <f t="shared" si="10"/>
        <v>213.83080000000001</v>
      </c>
      <c r="V155" s="437">
        <f t="shared" si="11"/>
        <v>0</v>
      </c>
      <c r="W155" s="437"/>
      <c r="X155" s="437"/>
      <c r="Y155" s="437"/>
      <c r="Z155" s="437"/>
      <c r="AA155" s="437"/>
      <c r="AB155" s="477" t="str">
        <f t="shared" si="21"/>
        <v>use the locking pin</v>
      </c>
      <c r="AC155" s="514" t="b">
        <f>IF(AD155=18,AF155)</f>
        <v>0</v>
      </c>
      <c r="AD155" s="514">
        <f t="shared" si="12"/>
        <v>1</v>
      </c>
      <c r="AE155" s="514">
        <f>IF(V155=0,0,18)</f>
        <v>0</v>
      </c>
      <c r="AF155" s="437">
        <f>SUM(V155:V157)/($B$135-B154)</f>
        <v>0</v>
      </c>
      <c r="AG155" s="437"/>
      <c r="AH155" s="450">
        <f>SUM(D139:D155)+$C$138</f>
        <v>0</v>
      </c>
      <c r="AI155" s="516" t="b">
        <f t="shared" si="22"/>
        <v>0</v>
      </c>
      <c r="AJ155" s="287">
        <f t="shared" si="23"/>
        <v>66.255548399999995</v>
      </c>
      <c r="AK155" s="441">
        <f t="shared" si="13"/>
        <v>0.91535047595051022</v>
      </c>
      <c r="AL155" s="289">
        <f t="shared" si="24"/>
        <v>278.56028065668761</v>
      </c>
      <c r="AM155" s="287">
        <f t="shared" si="25"/>
        <v>50.018549700000001</v>
      </c>
      <c r="AN155" s="442">
        <f t="shared" si="26"/>
        <v>0.76625250760411079</v>
      </c>
      <c r="AO155" s="291">
        <f t="shared" si="27"/>
        <v>213.83080789825695</v>
      </c>
      <c r="AP155" s="519">
        <f t="shared" si="14"/>
        <v>-57.808885043608683</v>
      </c>
      <c r="AQ155" s="291">
        <f t="shared" si="36"/>
        <v>-648</v>
      </c>
      <c r="AR155" s="443">
        <f t="shared" si="15"/>
        <v>-488.5</v>
      </c>
      <c r="AS155" s="444">
        <f t="shared" si="28"/>
        <v>492.39108855494453</v>
      </c>
      <c r="AT155" s="445">
        <f t="shared" si="37"/>
        <v>-213.83080789825695</v>
      </c>
      <c r="AU155" s="446">
        <f t="shared" si="29"/>
        <v>156.02192285464827</v>
      </c>
      <c r="AV155" s="445"/>
      <c r="AW155" s="447">
        <f t="shared" si="30"/>
        <v>-333.71103024391783</v>
      </c>
      <c r="AX155" s="447">
        <f t="shared" si="31"/>
        <v>-154.78896975608217</v>
      </c>
      <c r="AY155" s="448">
        <f t="shared" si="16"/>
        <v>-34.760613071498618</v>
      </c>
      <c r="AZ155" s="448">
        <f t="shared" si="17"/>
        <v>-64.604086555767438</v>
      </c>
      <c r="BA155" s="451">
        <f t="shared" si="32"/>
        <v>34.760613071498618</v>
      </c>
      <c r="BB155" s="451">
        <f t="shared" si="33"/>
        <v>64.604086555767438</v>
      </c>
      <c r="BC155">
        <f t="shared" si="34"/>
        <v>0.3</v>
      </c>
      <c r="BD155" s="458"/>
      <c r="BM155" s="214"/>
      <c r="BN155" s="214"/>
      <c r="BO155" s="214"/>
      <c r="DF155" s="126"/>
      <c r="DG155" s="126"/>
      <c r="DH155" s="126"/>
      <c r="DI155" s="126"/>
      <c r="DJ155" s="126"/>
      <c r="DK155" s="126"/>
      <c r="DL155" s="203"/>
      <c r="DM155" s="203"/>
      <c r="DN155" s="203"/>
      <c r="DO155" s="203"/>
      <c r="DP155" s="203"/>
      <c r="DQ155" s="203"/>
      <c r="DR155" s="203"/>
      <c r="DS155" s="203"/>
      <c r="DT155" s="203"/>
      <c r="DU155" s="203"/>
      <c r="DV155" s="203"/>
      <c r="DW155" s="203"/>
      <c r="DX155" s="203"/>
      <c r="DY155" s="203"/>
    </row>
    <row r="156" spans="1:129" ht="21" customHeight="1" thickBot="1" x14ac:dyDescent="0.35">
      <c r="B156" s="277">
        <v>19</v>
      </c>
      <c r="C156" s="524"/>
      <c r="D156" s="29">
        <v>0</v>
      </c>
      <c r="E156" s="279" t="s">
        <v>130</v>
      </c>
      <c r="F156" s="525"/>
      <c r="G156" s="525">
        <f t="shared" si="38"/>
        <v>0.3</v>
      </c>
      <c r="H156" s="506">
        <v>279.06049999999999</v>
      </c>
      <c r="I156" s="507">
        <v>79.962900599999998</v>
      </c>
      <c r="J156" s="526">
        <f t="shared" si="18"/>
        <v>79.962900599999998</v>
      </c>
      <c r="K156" s="526">
        <f t="shared" si="19"/>
        <v>39.981450299999999</v>
      </c>
      <c r="L156" s="526">
        <f t="shared" si="5"/>
        <v>0.64253956655634092</v>
      </c>
      <c r="M156" s="526">
        <f t="shared" si="6"/>
        <v>179.30741271299578</v>
      </c>
      <c r="N156" s="526">
        <f t="shared" si="7"/>
        <v>358.61482542599157</v>
      </c>
      <c r="O156" s="526">
        <f>+C138+D139+D140+D141+D142+D143+D144+D145+D146+D147+D148+D149+D150+D151+D152+D153+D154+D155+(D156/2)</f>
        <v>0</v>
      </c>
      <c r="P156" s="526">
        <f t="shared" si="8"/>
        <v>0</v>
      </c>
      <c r="Q156" s="526">
        <f t="shared" si="9"/>
        <v>0</v>
      </c>
      <c r="R156" s="526">
        <f t="shared" si="20"/>
        <v>213.83080000000001</v>
      </c>
      <c r="S156" s="526">
        <f t="shared" si="35"/>
        <v>213.83080000000001</v>
      </c>
      <c r="T156" s="527">
        <f t="shared" si="10"/>
        <v>213.83080000000001</v>
      </c>
      <c r="U156" s="528"/>
      <c r="V156" s="529">
        <f t="shared" si="11"/>
        <v>0</v>
      </c>
      <c r="W156" s="529"/>
      <c r="X156" s="529"/>
      <c r="Y156" s="529"/>
      <c r="Z156" s="529"/>
      <c r="AA156" s="529"/>
      <c r="AB156" s="530" t="str">
        <f t="shared" si="21"/>
        <v>use the locking pin</v>
      </c>
      <c r="AC156" s="531" t="b">
        <f>IF(AD156=19,AF156)</f>
        <v>0</v>
      </c>
      <c r="AD156" s="531">
        <f t="shared" si="12"/>
        <v>1</v>
      </c>
      <c r="AE156" s="531">
        <f>IF(V156=0,0,19)</f>
        <v>0</v>
      </c>
      <c r="AF156" s="529">
        <f>SUM(V156:V157)/($B$135-B155)</f>
        <v>0</v>
      </c>
      <c r="AG156" s="529"/>
      <c r="AH156" s="532">
        <f>SUM(D138:D156)+$C$138</f>
        <v>0</v>
      </c>
      <c r="AI156" s="533" t="b">
        <f t="shared" si="22"/>
        <v>0</v>
      </c>
      <c r="AJ156" s="287">
        <f t="shared" si="23"/>
        <v>66.255548399999995</v>
      </c>
      <c r="AK156" s="534">
        <f t="shared" si="13"/>
        <v>0.91535047595051022</v>
      </c>
      <c r="AL156" s="289">
        <f t="shared" si="24"/>
        <v>278.56028065668761</v>
      </c>
      <c r="AM156" s="287">
        <f t="shared" si="25"/>
        <v>50.018549700000001</v>
      </c>
      <c r="AN156" s="535">
        <f t="shared" si="26"/>
        <v>0.76625250760411079</v>
      </c>
      <c r="AO156" s="291">
        <f t="shared" si="27"/>
        <v>213.83080789825695</v>
      </c>
      <c r="AP156" s="536">
        <f t="shared" si="14"/>
        <v>-53.383063031763406</v>
      </c>
      <c r="AQ156" s="291">
        <f t="shared" si="36"/>
        <v>-688.5</v>
      </c>
      <c r="AR156" s="537">
        <f t="shared" si="15"/>
        <v>-529</v>
      </c>
      <c r="AS156" s="538">
        <f t="shared" si="28"/>
        <v>492.39108855494453</v>
      </c>
      <c r="AT156" s="529">
        <f t="shared" si="37"/>
        <v>-213.83080789825695</v>
      </c>
      <c r="AU156" s="539">
        <f t="shared" si="29"/>
        <v>160.44774486649354</v>
      </c>
      <c r="AV156" s="529"/>
      <c r="AW156" s="540">
        <f t="shared" si="30"/>
        <v>-356.6230845617672</v>
      </c>
      <c r="AX156" s="540">
        <f t="shared" si="31"/>
        <v>-172.37691543823283</v>
      </c>
      <c r="AY156" s="541">
        <f t="shared" si="16"/>
        <v>-32.527339093190072</v>
      </c>
      <c r="AZ156" s="541">
        <f t="shared" si="17"/>
        <v>-58.012408300595574</v>
      </c>
      <c r="BA156" s="542">
        <f t="shared" si="32"/>
        <v>32.527339093190072</v>
      </c>
      <c r="BB156" s="542">
        <f t="shared" si="33"/>
        <v>58.012408300595574</v>
      </c>
      <c r="BC156">
        <f t="shared" si="34"/>
        <v>0.3</v>
      </c>
      <c r="BD156" s="144"/>
      <c r="BM156" s="214"/>
      <c r="BN156" s="214"/>
      <c r="BO156" s="214"/>
      <c r="DF156" s="126"/>
      <c r="DG156" s="126"/>
      <c r="DH156" s="126"/>
      <c r="DI156" s="126"/>
      <c r="DJ156" s="126"/>
      <c r="DK156" s="126"/>
      <c r="DL156" s="203"/>
      <c r="DM156" s="203"/>
      <c r="DN156" s="203"/>
      <c r="DO156" s="203"/>
      <c r="DP156" s="203"/>
      <c r="DQ156" s="203"/>
      <c r="DR156" s="203"/>
      <c r="DS156" s="203"/>
      <c r="DT156" s="203"/>
      <c r="DU156" s="203"/>
      <c r="DV156" s="203"/>
      <c r="DW156" s="203"/>
      <c r="DX156" s="203"/>
      <c r="DY156" s="203"/>
    </row>
    <row r="157" spans="1:129" ht="21" customHeight="1" thickBot="1" x14ac:dyDescent="0.35">
      <c r="B157" s="277">
        <v>20</v>
      </c>
      <c r="C157" s="278"/>
      <c r="D157" s="25">
        <v>0</v>
      </c>
      <c r="E157" s="279" t="s">
        <v>130</v>
      </c>
      <c r="F157" s="258"/>
      <c r="G157" s="258">
        <f t="shared" si="38"/>
        <v>0.3</v>
      </c>
      <c r="H157" s="506">
        <v>279.06049999999999</v>
      </c>
      <c r="I157" s="507">
        <v>79.962900599999998</v>
      </c>
      <c r="J157" s="474">
        <f t="shared" si="18"/>
        <v>79.962900599999998</v>
      </c>
      <c r="K157" s="474">
        <f t="shared" si="19"/>
        <v>39.981450299999999</v>
      </c>
      <c r="L157" s="474">
        <f t="shared" si="5"/>
        <v>0.64253956655634092</v>
      </c>
      <c r="M157" s="474">
        <f t="shared" si="6"/>
        <v>179.30741271299578</v>
      </c>
      <c r="N157" s="474">
        <f t="shared" si="7"/>
        <v>358.61482542599157</v>
      </c>
      <c r="O157" s="474">
        <f>+C138+D139+D140+D141+D142+D143+D144+D145+D146+D147+D148+D149+D150+D151+D152+D153+D154+D155+D156+(D157/2)</f>
        <v>0</v>
      </c>
      <c r="P157" s="474">
        <f t="shared" si="8"/>
        <v>0</v>
      </c>
      <c r="Q157" s="474">
        <f t="shared" si="9"/>
        <v>0</v>
      </c>
      <c r="R157" s="474">
        <f t="shared" si="20"/>
        <v>213.83080000000001</v>
      </c>
      <c r="S157" s="474">
        <f t="shared" si="35"/>
        <v>213.83080000000001</v>
      </c>
      <c r="T157" s="476">
        <f t="shared" si="10"/>
        <v>213.83080000000001</v>
      </c>
      <c r="V157" s="437">
        <f t="shared" si="11"/>
        <v>0</v>
      </c>
      <c r="W157" s="437"/>
      <c r="X157" s="437"/>
      <c r="Y157" s="437"/>
      <c r="Z157" s="437"/>
      <c r="AA157" s="437"/>
      <c r="AB157" s="477" t="str">
        <f t="shared" si="21"/>
        <v>use the locking pin</v>
      </c>
      <c r="AC157" s="514" t="b">
        <f>IF(AD157=20,AF157)</f>
        <v>0</v>
      </c>
      <c r="AD157" s="514">
        <f t="shared" si="12"/>
        <v>1</v>
      </c>
      <c r="AE157" s="514">
        <f>IF(V157=0,0,20)</f>
        <v>0</v>
      </c>
      <c r="AF157" s="437">
        <f>SUM(V157:V157)/($B$135-B156)</f>
        <v>0</v>
      </c>
      <c r="AG157" s="437"/>
      <c r="AH157" s="450">
        <f>SUM(D139:D157)+$C$138</f>
        <v>0</v>
      </c>
      <c r="AI157" s="516" t="b">
        <f t="shared" si="22"/>
        <v>0</v>
      </c>
      <c r="AJ157" s="287">
        <f t="shared" si="23"/>
        <v>66.255548399999995</v>
      </c>
      <c r="AK157" s="441">
        <f t="shared" si="13"/>
        <v>0.91535047595051022</v>
      </c>
      <c r="AL157" s="289">
        <f t="shared" si="24"/>
        <v>278.56028065668761</v>
      </c>
      <c r="AM157" s="287">
        <f t="shared" si="25"/>
        <v>50.018549700000001</v>
      </c>
      <c r="AN157" s="442">
        <f t="shared" si="26"/>
        <v>0.76625250760411079</v>
      </c>
      <c r="AO157" s="291">
        <f t="shared" si="27"/>
        <v>213.83080789825695</v>
      </c>
      <c r="AP157" s="519">
        <f t="shared" si="14"/>
        <v>-49.586725801234138</v>
      </c>
      <c r="AQ157" s="291">
        <f t="shared" si="36"/>
        <v>-729</v>
      </c>
      <c r="AR157" s="443">
        <f t="shared" si="15"/>
        <v>-569.5</v>
      </c>
      <c r="AS157" s="444">
        <f t="shared" si="28"/>
        <v>492.39108855494453</v>
      </c>
      <c r="AT157" s="445">
        <f t="shared" si="37"/>
        <v>-213.83080789825695</v>
      </c>
      <c r="AU157" s="446">
        <f t="shared" si="29"/>
        <v>164.24408209702281</v>
      </c>
      <c r="AV157" s="445"/>
      <c r="AW157" s="447">
        <f t="shared" si="30"/>
        <v>-379.53513887961651</v>
      </c>
      <c r="AX157" s="447">
        <f t="shared" si="31"/>
        <v>-189.96486112038349</v>
      </c>
      <c r="AY157" s="448">
        <f t="shared" si="16"/>
        <v>-30.563704942427915</v>
      </c>
      <c r="AZ157" s="448">
        <f t="shared" si="17"/>
        <v>-52.641314509544237</v>
      </c>
      <c r="BA157" s="451">
        <f t="shared" si="32"/>
        <v>30.563704942427915</v>
      </c>
      <c r="BB157" s="451">
        <f t="shared" si="33"/>
        <v>52.641314509544237</v>
      </c>
      <c r="BC157">
        <f t="shared" si="34"/>
        <v>0.3</v>
      </c>
      <c r="BD157" s="144"/>
      <c r="BM157" s="214"/>
      <c r="BN157" s="214"/>
      <c r="BO157" s="214"/>
      <c r="DF157" s="126"/>
      <c r="DG157" s="126"/>
      <c r="DH157" s="126"/>
      <c r="DI157" s="126"/>
      <c r="DJ157" s="126"/>
      <c r="DK157" s="126"/>
      <c r="DL157" s="203"/>
      <c r="DM157" s="203"/>
      <c r="DN157" s="203"/>
      <c r="DO157" s="203"/>
      <c r="DP157" s="203"/>
      <c r="DQ157" s="203"/>
      <c r="DR157" s="203"/>
      <c r="DS157" s="203"/>
      <c r="DT157" s="203"/>
      <c r="DU157" s="203"/>
      <c r="DV157" s="203"/>
      <c r="DW157" s="203"/>
      <c r="DX157" s="203"/>
      <c r="DY157" s="203"/>
    </row>
    <row r="158" spans="1:129" ht="21" customHeight="1" thickBot="1" x14ac:dyDescent="0.35">
      <c r="D158" s="543"/>
      <c r="E158" s="543"/>
      <c r="F158" s="543"/>
      <c r="G158" s="543"/>
      <c r="V158" s="437"/>
      <c r="W158" s="437"/>
      <c r="X158" s="437"/>
      <c r="Y158" s="437"/>
      <c r="Z158" s="437"/>
      <c r="AA158" s="437"/>
      <c r="AB158" s="464"/>
      <c r="AC158" s="464"/>
      <c r="AD158" s="464"/>
      <c r="AE158" s="464"/>
      <c r="AF158" s="437"/>
      <c r="AG158" s="437"/>
      <c r="AH158" s="437"/>
      <c r="AI158" s="437"/>
      <c r="AJ158" s="543"/>
      <c r="AK158" s="415"/>
      <c r="AL158" s="292"/>
      <c r="AM158" s="543"/>
      <c r="AN158" s="415"/>
      <c r="AO158" s="292"/>
      <c r="AP158" s="445"/>
      <c r="AQ158" s="292"/>
      <c r="AR158" s="445"/>
      <c r="AS158" s="445"/>
      <c r="AT158" s="445"/>
      <c r="AU158" s="445"/>
      <c r="AV158" s="445"/>
      <c r="AW158" s="445"/>
      <c r="AX158" s="445"/>
      <c r="AY158" s="544"/>
      <c r="AZ158" s="544"/>
      <c r="BA158" s="544"/>
      <c r="BB158" s="544"/>
      <c r="BD158" s="545"/>
      <c r="BM158" s="214"/>
      <c r="BN158" s="214"/>
      <c r="BO158" s="214"/>
    </row>
    <row r="159" spans="1:129" ht="14.25" customHeight="1" thickBot="1" x14ac:dyDescent="0.35">
      <c r="B159" s="1854" t="s">
        <v>268</v>
      </c>
      <c r="D159" s="543"/>
      <c r="E159" s="543"/>
      <c r="F159" s="543"/>
      <c r="G159" s="543"/>
      <c r="V159" s="437"/>
      <c r="W159" s="437"/>
      <c r="X159" s="437"/>
      <c r="Y159" s="437"/>
      <c r="Z159" s="437"/>
      <c r="AA159" s="437"/>
      <c r="AB159" s="464"/>
      <c r="AC159" s="464"/>
      <c r="AD159" s="464"/>
      <c r="AE159" s="464"/>
      <c r="AF159" s="437"/>
      <c r="AG159" s="437"/>
      <c r="AH159" s="546" t="s">
        <v>79</v>
      </c>
      <c r="AI159" s="547">
        <f>MAX(AI138:AI157)</f>
        <v>0</v>
      </c>
      <c r="AJ159" s="543"/>
      <c r="AK159" s="415"/>
      <c r="AL159" s="845" t="s">
        <v>200</v>
      </c>
      <c r="AM159" s="846"/>
      <c r="AN159" s="846"/>
      <c r="AO159" s="846"/>
      <c r="AP159" s="847"/>
      <c r="AQ159" s="292"/>
      <c r="AR159" s="445"/>
      <c r="AS159" s="445"/>
      <c r="AT159" s="445"/>
      <c r="AU159" s="445"/>
      <c r="AV159" s="445"/>
      <c r="AW159" s="445"/>
      <c r="AX159" s="445"/>
      <c r="AY159" s="544"/>
      <c r="AZ159" s="544"/>
      <c r="BA159" s="544"/>
      <c r="BB159" s="544"/>
      <c r="BD159" s="545"/>
      <c r="BM159" s="214"/>
      <c r="BN159" s="214"/>
      <c r="BO159" s="214"/>
    </row>
    <row r="160" spans="1:129" ht="14.25" customHeight="1" thickBot="1" x14ac:dyDescent="0.35">
      <c r="B160" s="1855"/>
      <c r="D160" s="543"/>
      <c r="E160" s="543"/>
      <c r="F160" s="543"/>
      <c r="G160" s="543"/>
      <c r="V160" s="437"/>
      <c r="W160" s="437"/>
      <c r="X160" s="437"/>
      <c r="Y160" s="437"/>
      <c r="Z160" s="437"/>
      <c r="AA160" s="437"/>
      <c r="AB160" s="464"/>
      <c r="AC160" s="464"/>
      <c r="AD160" s="464"/>
      <c r="AE160" s="464"/>
      <c r="AF160" s="437"/>
      <c r="AG160" s="437"/>
      <c r="AH160" s="853"/>
      <c r="AI160" s="854"/>
      <c r="AJ160" s="543"/>
      <c r="AK160" s="415"/>
      <c r="AL160" s="814" t="s">
        <v>175</v>
      </c>
      <c r="AM160" s="815" t="s">
        <v>176</v>
      </c>
      <c r="AN160" s="815" t="s">
        <v>177</v>
      </c>
      <c r="AO160" s="816" t="s">
        <v>181</v>
      </c>
      <c r="AP160" s="817"/>
      <c r="AQ160" s="292"/>
      <c r="AR160" s="445"/>
      <c r="AS160" s="445"/>
      <c r="AT160" s="445"/>
      <c r="AU160" s="445"/>
      <c r="AV160" s="445"/>
      <c r="AW160" s="445"/>
      <c r="AX160" s="445"/>
      <c r="AY160" s="544"/>
      <c r="AZ160" s="544"/>
      <c r="BA160" s="544"/>
      <c r="BB160" s="544"/>
      <c r="BD160" s="545"/>
      <c r="BM160" s="214"/>
      <c r="BN160" s="214"/>
      <c r="BO160" s="214"/>
    </row>
    <row r="161" spans="2:142" ht="14.25" customHeight="1" thickBot="1" x14ac:dyDescent="0.35">
      <c r="B161" s="1855"/>
      <c r="D161" s="543"/>
      <c r="E161" s="543"/>
      <c r="F161" s="543"/>
      <c r="G161" s="543"/>
      <c r="V161" s="437"/>
      <c r="W161" s="437"/>
      <c r="X161" s="437"/>
      <c r="Y161" s="437"/>
      <c r="Z161" s="437"/>
      <c r="AA161" s="437"/>
      <c r="AB161" s="464"/>
      <c r="AC161" s="464"/>
      <c r="AD161" s="464"/>
      <c r="AE161" s="464"/>
      <c r="AF161" s="437"/>
      <c r="AG161" s="437"/>
      <c r="AH161" s="853"/>
      <c r="AI161" s="854"/>
      <c r="AJ161" s="543"/>
      <c r="AK161" s="415"/>
      <c r="AL161" s="818">
        <v>6.8623010000000004</v>
      </c>
      <c r="AM161" s="819">
        <f>+(AI159*-1)-AL161</f>
        <v>-6.8623010000000004</v>
      </c>
      <c r="AN161" s="820">
        <f>COS(AM161*3.14159265358979/180)</f>
        <v>0.99283617366519983</v>
      </c>
      <c r="AO161" s="848">
        <f>+AN161*378.71303</f>
        <v>375.99999562235405</v>
      </c>
      <c r="AP161" s="821"/>
      <c r="AQ161" s="292"/>
      <c r="AR161" s="445"/>
      <c r="AS161" s="445"/>
      <c r="AT161" s="445"/>
      <c r="AU161" s="445"/>
      <c r="AV161" s="445"/>
      <c r="AW161" s="445"/>
      <c r="AX161" s="445"/>
      <c r="AY161" s="544"/>
      <c r="AZ161" s="544"/>
      <c r="BA161" s="544"/>
      <c r="BB161" s="544"/>
      <c r="BD161" s="545"/>
      <c r="BM161" s="214"/>
      <c r="BN161" s="214"/>
      <c r="BO161" s="214"/>
    </row>
    <row r="162" spans="2:142" ht="14.25" customHeight="1" thickBot="1" x14ac:dyDescent="0.35">
      <c r="B162" s="1855"/>
      <c r="D162" s="543"/>
      <c r="E162" s="543"/>
      <c r="F162" s="543"/>
      <c r="G162" s="543"/>
      <c r="V162" s="437"/>
      <c r="W162" s="437"/>
      <c r="X162" s="437"/>
      <c r="Y162" s="437"/>
      <c r="Z162" s="437"/>
      <c r="AA162" s="437"/>
      <c r="AB162" s="464"/>
      <c r="AC162" s="464"/>
      <c r="AD162" s="464"/>
      <c r="AE162" s="464"/>
      <c r="AF162" s="437"/>
      <c r="AG162" s="437"/>
      <c r="AH162" s="853"/>
      <c r="AI162" s="854"/>
      <c r="AJ162" s="543"/>
      <c r="AK162" s="415"/>
      <c r="AL162" s="844" t="s">
        <v>199</v>
      </c>
      <c r="AM162" s="849"/>
      <c r="AN162" s="849"/>
      <c r="AO162" s="849"/>
      <c r="AP162" s="850"/>
      <c r="AQ162" s="292"/>
      <c r="AR162" s="445"/>
      <c r="AS162" s="445"/>
      <c r="AT162" s="445"/>
      <c r="AU162" s="445"/>
      <c r="AV162" s="445"/>
      <c r="AW162" s="445"/>
      <c r="AX162" s="445"/>
      <c r="AY162" s="544"/>
      <c r="AZ162" s="544"/>
      <c r="BA162" s="544"/>
      <c r="BB162" s="544"/>
      <c r="BD162" s="545"/>
      <c r="BM162" s="214"/>
      <c r="BN162" s="214"/>
      <c r="BO162" s="214"/>
    </row>
    <row r="163" spans="2:142" ht="14.25" customHeight="1" x14ac:dyDescent="0.3">
      <c r="B163" s="1855"/>
      <c r="D163" s="543"/>
      <c r="E163" s="543"/>
      <c r="F163" s="543"/>
      <c r="G163" s="543"/>
      <c r="V163" s="437"/>
      <c r="W163" s="437"/>
      <c r="X163" s="437"/>
      <c r="Y163" s="437"/>
      <c r="Z163" s="437"/>
      <c r="AA163" s="437"/>
      <c r="AB163" s="464"/>
      <c r="AC163" s="464"/>
      <c r="AD163" s="464"/>
      <c r="AE163" s="464"/>
      <c r="AF163" s="437"/>
      <c r="AG163" s="437"/>
      <c r="AH163" s="853"/>
      <c r="AI163" s="854"/>
      <c r="AJ163" s="543"/>
      <c r="AK163" s="415"/>
      <c r="AL163" s="851"/>
      <c r="AM163" s="815" t="s">
        <v>194</v>
      </c>
      <c r="AN163" s="815" t="s">
        <v>193</v>
      </c>
      <c r="AO163" s="816" t="s">
        <v>197</v>
      </c>
      <c r="AP163" s="843" t="s">
        <v>191</v>
      </c>
      <c r="AQ163" s="292"/>
      <c r="AR163" s="445"/>
      <c r="AS163" s="445"/>
      <c r="AT163" s="445"/>
      <c r="AU163" s="445"/>
      <c r="AV163" s="445"/>
      <c r="AW163" s="445"/>
      <c r="AX163" s="445"/>
      <c r="AY163" s="544"/>
      <c r="AZ163" s="544"/>
      <c r="BA163" s="544"/>
      <c r="BB163" s="544"/>
      <c r="BD163" s="545"/>
      <c r="BM163" s="214"/>
      <c r="BN163" s="214"/>
      <c r="BO163" s="214"/>
    </row>
    <row r="164" spans="2:142" ht="14.25" customHeight="1" thickBot="1" x14ac:dyDescent="0.35">
      <c r="B164" s="1856"/>
      <c r="C164"/>
      <c r="D164" s="543"/>
      <c r="E164" s="543"/>
      <c r="F164" s="543"/>
      <c r="G164" s="543"/>
      <c r="V164" s="437"/>
      <c r="W164" s="437"/>
      <c r="X164" s="437"/>
      <c r="Y164" s="437"/>
      <c r="Z164" s="437"/>
      <c r="AA164" s="437"/>
      <c r="AB164" s="464"/>
      <c r="AC164" s="464"/>
      <c r="AD164" s="464"/>
      <c r="AE164" s="464"/>
      <c r="AF164" s="437"/>
      <c r="AG164" s="437"/>
      <c r="AH164" s="437"/>
      <c r="AI164" s="437"/>
      <c r="AJ164" s="543"/>
      <c r="AK164" s="415"/>
      <c r="AL164" s="852"/>
      <c r="AM164" s="822">
        <f>+AI159</f>
        <v>0</v>
      </c>
      <c r="AN164" s="823">
        <f>SIN(AM164*3.14159265358979/180)</f>
        <v>0</v>
      </c>
      <c r="AO164" s="824">
        <f>+AN164*((+B135*358.6)+119+119)</f>
        <v>0</v>
      </c>
      <c r="AP164" s="825">
        <f>+AO161+AO164</f>
        <v>375.99999562235405</v>
      </c>
      <c r="AQ164" s="292"/>
      <c r="AR164" s="445"/>
      <c r="AS164" s="445"/>
      <c r="AT164" s="445"/>
      <c r="AU164" s="445"/>
      <c r="AV164" s="445"/>
      <c r="AW164" s="445"/>
      <c r="AX164" s="445"/>
      <c r="AY164" s="544"/>
      <c r="AZ164" s="544"/>
      <c r="BA164" s="544"/>
      <c r="BB164" s="544"/>
      <c r="BD164" s="545"/>
      <c r="BM164" s="214"/>
      <c r="BN164" s="214"/>
      <c r="BO164" s="214"/>
    </row>
    <row r="165" spans="2:142" ht="31.5" customHeight="1" thickBot="1" x14ac:dyDescent="0.35">
      <c r="B165" s="34">
        <v>0</v>
      </c>
      <c r="D165" s="548" t="s">
        <v>269</v>
      </c>
      <c r="E165" s="1102"/>
      <c r="F165" s="1103" t="s">
        <v>270</v>
      </c>
      <c r="G165" s="543"/>
      <c r="V165" s="437"/>
      <c r="W165" s="437"/>
      <c r="X165" s="437"/>
      <c r="Y165" s="437"/>
      <c r="Z165" s="437"/>
      <c r="AA165" s="437"/>
      <c r="AB165" s="464"/>
      <c r="AC165" s="464"/>
      <c r="AD165" s="464"/>
      <c r="AE165" s="464"/>
      <c r="AF165" s="437"/>
      <c r="AG165" s="437"/>
      <c r="AH165" s="437"/>
      <c r="AI165" s="437"/>
      <c r="AJ165" s="543"/>
      <c r="AK165" s="415"/>
      <c r="AL165" s="292"/>
      <c r="AM165" s="543"/>
      <c r="AN165" s="415"/>
      <c r="AO165" s="292"/>
      <c r="AP165" s="445"/>
      <c r="AQ165" s="292"/>
      <c r="AR165" s="445"/>
      <c r="AS165" s="445"/>
      <c r="AT165" s="445"/>
      <c r="AU165" s="445"/>
      <c r="AV165" s="445"/>
      <c r="AW165" s="445"/>
      <c r="AX165" s="445"/>
      <c r="AY165" s="544"/>
      <c r="AZ165" s="544"/>
      <c r="BA165" s="544"/>
      <c r="BB165" s="544"/>
      <c r="BD165" s="545"/>
      <c r="BM165" s="214"/>
      <c r="BN165" s="214"/>
      <c r="BO165" s="214"/>
    </row>
    <row r="166" spans="2:142" ht="21" thickBot="1" x14ac:dyDescent="0.35">
      <c r="D166" s="543"/>
      <c r="E166" s="543"/>
      <c r="F166" s="543"/>
      <c r="G166" s="543"/>
      <c r="V166" s="437"/>
      <c r="W166" s="437"/>
      <c r="X166" s="437"/>
      <c r="Y166" s="437"/>
      <c r="Z166" s="437"/>
      <c r="AA166" s="437"/>
      <c r="AB166" s="464"/>
      <c r="AC166" s="464"/>
      <c r="AD166" s="464"/>
      <c r="AE166" s="464"/>
      <c r="AF166" s="437"/>
      <c r="AG166" s="437"/>
      <c r="AH166" s="437"/>
      <c r="AI166" s="437"/>
      <c r="AJ166" s="543"/>
      <c r="AK166" s="415"/>
      <c r="AL166" s="292"/>
      <c r="AM166" s="543"/>
      <c r="AN166" s="415"/>
      <c r="AO166" s="292"/>
      <c r="AP166" s="445"/>
      <c r="AQ166" s="292"/>
      <c r="AR166" s="445"/>
      <c r="AS166" s="445"/>
      <c r="AT166" s="445"/>
      <c r="AU166" s="445"/>
      <c r="AV166" s="445"/>
      <c r="AW166" s="445"/>
      <c r="AX166" s="445"/>
      <c r="AY166" s="544"/>
      <c r="AZ166" s="544"/>
      <c r="BA166" s="544"/>
      <c r="BB166" s="544"/>
      <c r="BD166" s="545"/>
      <c r="BM166" s="214"/>
      <c r="BN166" s="214"/>
      <c r="BO166" s="214"/>
    </row>
    <row r="167" spans="2:142" ht="60" customHeight="1" thickBot="1" x14ac:dyDescent="0.35">
      <c r="B167" s="345" t="s">
        <v>30</v>
      </c>
      <c r="C167" s="412"/>
      <c r="D167" s="37"/>
      <c r="E167" s="37"/>
      <c r="F167" s="37"/>
      <c r="G167" s="37"/>
      <c r="T167" s="187"/>
      <c r="BD167" s="136"/>
      <c r="BM167" s="214"/>
      <c r="BN167" s="214"/>
      <c r="BO167" s="214"/>
      <c r="EK167" s="78"/>
      <c r="EL167" s="78"/>
    </row>
    <row r="168" spans="2:142" ht="35.25" customHeight="1" thickBot="1" x14ac:dyDescent="0.35">
      <c r="B168" s="27">
        <v>1</v>
      </c>
      <c r="C168" s="216"/>
      <c r="D168" s="549" t="s">
        <v>65</v>
      </c>
      <c r="E168" s="330"/>
      <c r="F168" s="330"/>
      <c r="G168" s="330"/>
      <c r="H168" s="342" t="s">
        <v>87</v>
      </c>
      <c r="I168" s="342" t="s">
        <v>88</v>
      </c>
      <c r="J168" s="342" t="s">
        <v>89</v>
      </c>
      <c r="K168"/>
      <c r="L168"/>
      <c r="M168"/>
      <c r="N168"/>
      <c r="O168"/>
      <c r="P168" s="342" t="s">
        <v>90</v>
      </c>
      <c r="Q168" s="342" t="s">
        <v>91</v>
      </c>
      <c r="R168" s="330"/>
      <c r="S168" s="342" t="s">
        <v>92</v>
      </c>
      <c r="T168" s="414"/>
      <c r="W168" s="1850" t="s">
        <v>93</v>
      </c>
      <c r="X168" s="1850"/>
      <c r="Y168" s="1850"/>
      <c r="Z168" s="1850"/>
      <c r="AA168" s="1850"/>
      <c r="AZ168" s="415"/>
      <c r="BA168" s="1848" t="s">
        <v>52</v>
      </c>
      <c r="BB168" s="1849"/>
      <c r="BD168" s="136"/>
      <c r="BM168" s="214"/>
      <c r="BN168" s="214"/>
      <c r="BO168" s="214"/>
      <c r="EK168" s="78"/>
      <c r="EL168" s="78"/>
    </row>
    <row r="169" spans="2:142" ht="41" hidden="1" thickBot="1" x14ac:dyDescent="0.35">
      <c r="C169" s="416"/>
      <c r="D169" s="550" t="s">
        <v>13</v>
      </c>
      <c r="H169" s="356" t="s">
        <v>4</v>
      </c>
      <c r="I169" s="356" t="s">
        <v>1</v>
      </c>
      <c r="J169" s="377" t="s">
        <v>73</v>
      </c>
      <c r="K169" s="316" t="s">
        <v>2</v>
      </c>
      <c r="L169" s="316" t="s">
        <v>3</v>
      </c>
      <c r="M169" s="316" t="s">
        <v>8</v>
      </c>
      <c r="N169" s="316" t="s">
        <v>5</v>
      </c>
      <c r="O169" s="316" t="s">
        <v>6</v>
      </c>
      <c r="P169" s="316" t="s">
        <v>7</v>
      </c>
      <c r="Q169" s="316" t="s">
        <v>9</v>
      </c>
      <c r="R169" s="356" t="s">
        <v>10</v>
      </c>
      <c r="S169" s="316" t="s">
        <v>11</v>
      </c>
      <c r="T169" s="418" t="s">
        <v>12</v>
      </c>
      <c r="W169" s="356" t="s">
        <v>97</v>
      </c>
      <c r="X169" s="316" t="s">
        <v>94</v>
      </c>
      <c r="Y169" s="356" t="s">
        <v>98</v>
      </c>
      <c r="Z169" s="419" t="s">
        <v>95</v>
      </c>
      <c r="AA169" s="419" t="s">
        <v>96</v>
      </c>
      <c r="AC169" s="316" t="s">
        <v>99</v>
      </c>
      <c r="AD169" s="316"/>
      <c r="AE169" s="316"/>
      <c r="AF169" s="420"/>
      <c r="AG169" s="420"/>
      <c r="AH169" s="420"/>
      <c r="AI169" s="420"/>
      <c r="AJ169" s="420"/>
      <c r="AK169" s="420"/>
      <c r="AL169" s="420"/>
      <c r="AM169" s="420"/>
      <c r="AN169" s="420"/>
      <c r="AO169" s="420"/>
      <c r="AP169" s="420" t="s">
        <v>135</v>
      </c>
      <c r="AQ169" s="420"/>
      <c r="AR169" s="420" t="s">
        <v>135</v>
      </c>
      <c r="AS169" s="420"/>
      <c r="AT169" s="420"/>
      <c r="AU169" s="420" t="s">
        <v>135</v>
      </c>
      <c r="AV169" s="420"/>
      <c r="AW169" s="420"/>
      <c r="AX169" s="420"/>
      <c r="AY169" s="415"/>
      <c r="AZ169" s="415"/>
      <c r="BA169" s="420"/>
      <c r="BB169" s="420"/>
      <c r="BC169" s="231"/>
      <c r="BD169" s="136"/>
      <c r="BM169" s="214"/>
      <c r="BN169" s="214"/>
      <c r="BO169" s="214"/>
      <c r="EK169" s="78"/>
      <c r="EL169" s="78"/>
    </row>
    <row r="170" spans="2:142" ht="44.25" customHeight="1" thickBot="1" x14ac:dyDescent="0.35">
      <c r="B170" s="421"/>
      <c r="C170" s="422"/>
      <c r="D170" s="551" t="s">
        <v>22</v>
      </c>
      <c r="E170" s="37"/>
      <c r="F170" s="330"/>
      <c r="G170" s="240"/>
      <c r="H170" s="356"/>
      <c r="I170" s="356"/>
      <c r="J170" s="377"/>
      <c r="K170" s="316"/>
      <c r="L170" s="316"/>
      <c r="M170" s="316"/>
      <c r="N170" s="316"/>
      <c r="O170" s="316"/>
      <c r="P170" s="316"/>
      <c r="Q170" s="316"/>
      <c r="R170" s="356"/>
      <c r="S170" s="316"/>
      <c r="T170" s="418"/>
      <c r="V170" s="420"/>
      <c r="W170" s="420"/>
      <c r="X170" s="420"/>
      <c r="Y170" s="420"/>
      <c r="Z170" s="420"/>
      <c r="AA170" s="420"/>
      <c r="AB170" s="420"/>
      <c r="AC170" s="423">
        <f>SUM(AC171:AC182)</f>
        <v>343.49989132317432</v>
      </c>
      <c r="AD170" s="424"/>
      <c r="AE170" s="424"/>
      <c r="AF170" s="420" t="s">
        <v>38</v>
      </c>
      <c r="AG170" s="552" t="s">
        <v>101</v>
      </c>
      <c r="AH170" s="425" t="s">
        <v>31</v>
      </c>
      <c r="AI170" s="425"/>
      <c r="AJ170" s="367" t="s">
        <v>67</v>
      </c>
      <c r="AK170" s="426" t="s">
        <v>32</v>
      </c>
      <c r="AL170" s="367" t="s">
        <v>33</v>
      </c>
      <c r="AM170" s="368" t="s">
        <v>68</v>
      </c>
      <c r="AN170" s="427" t="s">
        <v>34</v>
      </c>
      <c r="AO170" s="367" t="s">
        <v>35</v>
      </c>
      <c r="AP170" s="428" t="s">
        <v>48</v>
      </c>
      <c r="AQ170" s="367" t="s">
        <v>47</v>
      </c>
      <c r="AR170" s="428" t="s">
        <v>146</v>
      </c>
      <c r="AS170" s="420" t="s">
        <v>46</v>
      </c>
      <c r="AT170" s="420" t="s">
        <v>72</v>
      </c>
      <c r="AU170" s="428" t="s">
        <v>71</v>
      </c>
      <c r="AV170" s="553"/>
      <c r="AW170" s="429" t="s">
        <v>41</v>
      </c>
      <c r="AX170" s="429" t="s">
        <v>42</v>
      </c>
      <c r="AY170" s="430" t="s">
        <v>23</v>
      </c>
      <c r="AZ170" s="430" t="s">
        <v>24</v>
      </c>
      <c r="BA170" s="431" t="s">
        <v>23</v>
      </c>
      <c r="BB170" s="431" t="s">
        <v>24</v>
      </c>
      <c r="BD170" s="136"/>
      <c r="BM170" s="214"/>
      <c r="BN170" s="214"/>
      <c r="BO170" s="214"/>
      <c r="EK170" s="78"/>
      <c r="EL170" s="78"/>
    </row>
    <row r="171" spans="2:142" ht="23" thickBot="1" x14ac:dyDescent="0.35">
      <c r="B171" s="255">
        <v>1</v>
      </c>
      <c r="C171" s="256">
        <f>+B165+AI159+D171</f>
        <v>0</v>
      </c>
      <c r="D171" s="25">
        <v>0</v>
      </c>
      <c r="E171" s="257" t="s">
        <v>80</v>
      </c>
      <c r="F171" s="258"/>
      <c r="G171" s="258"/>
      <c r="H171" s="506">
        <v>421.92079999999999</v>
      </c>
      <c r="I171" s="507">
        <v>35.4982179</v>
      </c>
      <c r="J171" s="508">
        <f>+I171-C171</f>
        <v>35.4982179</v>
      </c>
      <c r="K171" s="508"/>
      <c r="L171" s="508"/>
      <c r="M171" s="508"/>
      <c r="N171" s="508"/>
      <c r="O171" s="508"/>
      <c r="P171" s="508">
        <f>COS(J171*3.14159265358979/180)</f>
        <v>0.81413357986421708</v>
      </c>
      <c r="Q171" s="508">
        <f>+P171*H171</f>
        <v>343.49989132317432</v>
      </c>
      <c r="R171" s="509">
        <v>343.5</v>
      </c>
      <c r="S171" s="508">
        <f>+Q171</f>
        <v>343.49989132317432</v>
      </c>
      <c r="T171" s="510">
        <f t="shared" ref="T171:T182" si="39">+S171</f>
        <v>343.49989132317432</v>
      </c>
      <c r="U171" s="456"/>
      <c r="V171" s="511">
        <f>IF(B171&lt;($B$168+1),T171,0)</f>
        <v>343.49989132317432</v>
      </c>
      <c r="W171" s="512">
        <v>35.4982179</v>
      </c>
      <c r="X171" s="511">
        <f>+W171+AI183</f>
        <v>35.4982179</v>
      </c>
      <c r="Y171" s="512">
        <v>421.92079999999999</v>
      </c>
      <c r="Z171" s="419">
        <f>+COS(X171*3.14159265358979/180)*Y171</f>
        <v>343.49989132317432</v>
      </c>
      <c r="AA171" s="513">
        <f>+AC170-Z171</f>
        <v>0</v>
      </c>
      <c r="AB171" s="477"/>
      <c r="AC171" s="514">
        <f>IF(AD171=1,AF171)</f>
        <v>343.49989132317432</v>
      </c>
      <c r="AD171" s="514">
        <f>MAX(AE$171:AE$182)</f>
        <v>1</v>
      </c>
      <c r="AE171" s="514">
        <f>IF(V171=0,0,1)</f>
        <v>1</v>
      </c>
      <c r="AF171" s="511">
        <f>SUM(V171:V182)/($B$168)</f>
        <v>343.49989132317432</v>
      </c>
      <c r="AG171" s="511">
        <f>+AF171+$AA$138</f>
        <v>343.49988248606564</v>
      </c>
      <c r="AH171" s="515">
        <f>+D171+C171</f>
        <v>0</v>
      </c>
      <c r="AI171" s="516">
        <f>IF(B171&lt;($B$168+1),AH171)</f>
        <v>0</v>
      </c>
      <c r="AJ171" s="287">
        <f>54.5017821+AH171</f>
        <v>54.5017821</v>
      </c>
      <c r="AK171" s="517">
        <f>SIN(AJ171*3.14159265358979/180)</f>
        <v>0.81413357986421619</v>
      </c>
      <c r="AL171" s="289">
        <f>+AK171*421.92</f>
        <v>343.49924001631013</v>
      </c>
      <c r="AM171" s="287">
        <f>58.7344156-AH171</f>
        <v>58.734415599999998</v>
      </c>
      <c r="AN171" s="518">
        <f>SIN(AM171*3.14159265358979/180)</f>
        <v>0.85477073319485097</v>
      </c>
      <c r="AO171" s="291">
        <f>+AN171*472.06</f>
        <v>403.50307231196138</v>
      </c>
      <c r="AP171" s="519">
        <f t="shared" ref="AP171:AP182" si="40">+((AF171*AQ171)+($AQ$195*($AF$195+$AA$171)))/AR171</f>
        <v>219.76374478926797</v>
      </c>
      <c r="AQ171" s="269">
        <f>57*B168</f>
        <v>57</v>
      </c>
      <c r="AR171" s="519">
        <f>+AQ171+$AQ$195+31</f>
        <v>128.5</v>
      </c>
      <c r="AS171" s="520">
        <f>+AO171+AL171</f>
        <v>747.0023123282715</v>
      </c>
      <c r="AT171" s="521">
        <f>+V171-AL171</f>
        <v>6.5130686419934136E-4</v>
      </c>
      <c r="AU171" s="522">
        <f>+AP171-AT171</f>
        <v>219.76309348240378</v>
      </c>
      <c r="AV171" s="521"/>
      <c r="AW171" s="523">
        <f>+((AS171-AU171)/AS171)*AR171</f>
        <v>90.696157834543683</v>
      </c>
      <c r="AX171" s="523">
        <f>+(AU171/AS171)*AR171</f>
        <v>37.803842165456331</v>
      </c>
      <c r="AY171" s="448">
        <f>2*$C$19/AW171</f>
        <v>127.89957454605511</v>
      </c>
      <c r="AZ171" s="448">
        <f>2*$D$19/AX171</f>
        <v>306.84711752922368</v>
      </c>
      <c r="BA171" s="451">
        <f>ABS(AY171)</f>
        <v>127.89957454605511</v>
      </c>
      <c r="BB171" s="451">
        <f>ABS(AZ171)</f>
        <v>306.84711752922368</v>
      </c>
      <c r="BC171" s="91"/>
      <c r="BD171" s="136"/>
      <c r="BM171" s="214"/>
      <c r="BN171" s="214"/>
      <c r="BO171" s="214"/>
      <c r="EK171" s="78"/>
      <c r="EL171" s="78"/>
    </row>
    <row r="172" spans="2:142" ht="23" thickBot="1" x14ac:dyDescent="0.35">
      <c r="B172" s="277">
        <v>2</v>
      </c>
      <c r="C172" s="278"/>
      <c r="D172" s="25">
        <v>0</v>
      </c>
      <c r="E172" s="279" t="s">
        <v>80</v>
      </c>
      <c r="F172" s="258"/>
      <c r="G172" s="258"/>
      <c r="H172" s="506">
        <v>472.06</v>
      </c>
      <c r="I172" s="507">
        <v>62.531168700000002</v>
      </c>
      <c r="J172" s="474">
        <f>+I172+D172</f>
        <v>62.531168700000002</v>
      </c>
      <c r="K172" s="474">
        <f t="shared" ref="K172:K182" si="41">+J172/2</f>
        <v>31.265584350000001</v>
      </c>
      <c r="L172" s="474">
        <f t="shared" ref="L172:L182" si="42">SIN(K172*3.14159265358979/180)</f>
        <v>0.51900577347391186</v>
      </c>
      <c r="M172" s="474">
        <f t="shared" ref="M172:M182" si="43">+L172*H172</f>
        <v>245.00186542609484</v>
      </c>
      <c r="N172" s="474">
        <f t="shared" ref="N172:N182" si="44">+M172*2</f>
        <v>490.00373085218968</v>
      </c>
      <c r="O172" s="474">
        <f>+C171+(D172/2)</f>
        <v>0</v>
      </c>
      <c r="P172" s="474">
        <f t="shared" ref="P172:P182" si="45">SIN(O172*3.14159265358979/180)</f>
        <v>0</v>
      </c>
      <c r="Q172" s="474">
        <f t="shared" ref="Q172:Q182" si="46">+P172*N172</f>
        <v>0</v>
      </c>
      <c r="R172" s="474">
        <f t="shared" ref="R172:R182" si="47">+T171</f>
        <v>343.49989132317432</v>
      </c>
      <c r="S172" s="474">
        <f>+R172+Q172</f>
        <v>343.49989132317432</v>
      </c>
      <c r="T172" s="476">
        <f t="shared" si="39"/>
        <v>343.49989132317432</v>
      </c>
      <c r="V172" s="437">
        <f t="shared" ref="V172:V182" si="48">IF(B172&lt;($B$168+1),T172,0)</f>
        <v>0</v>
      </c>
      <c r="W172" s="437"/>
      <c r="X172" s="437"/>
      <c r="Y172" s="437"/>
      <c r="Z172" s="437"/>
      <c r="AA172" s="437"/>
      <c r="AB172" s="477"/>
      <c r="AC172" s="514" t="b">
        <f>IF(AD172=2,AF172)</f>
        <v>0</v>
      </c>
      <c r="AD172" s="514">
        <f t="shared" ref="AD172:AD182" si="49">MAX(AE$171:AE$182)</f>
        <v>1</v>
      </c>
      <c r="AE172" s="514">
        <f>IF(V172=0,0,2)</f>
        <v>0</v>
      </c>
      <c r="AF172" s="437" t="e">
        <f>SUM(V172:V182)/($B$168-B171)</f>
        <v>#DIV/0!</v>
      </c>
      <c r="AG172" s="437"/>
      <c r="AH172" s="450">
        <f>SUM(D172)+$C$171</f>
        <v>0</v>
      </c>
      <c r="AI172" s="516" t="b">
        <f t="shared" ref="AI172:AI182" si="50">IF(B172&lt;($B$168+1),AH172)</f>
        <v>0</v>
      </c>
      <c r="AJ172" s="287">
        <f t="shared" ref="AJ172:AJ182" si="51">54.5017821+AH172</f>
        <v>54.5017821</v>
      </c>
      <c r="AK172" s="441">
        <f>SIN(AJ172*3.14159265358979/180)</f>
        <v>0.81413357986421619</v>
      </c>
      <c r="AL172" s="289">
        <f t="shared" ref="AL172:AL182" si="52">+AK172*421.92</f>
        <v>343.49924001631013</v>
      </c>
      <c r="AM172" s="287">
        <f t="shared" ref="AM172:AM182" si="53">58.7344156-AH172</f>
        <v>58.734415599999998</v>
      </c>
      <c r="AN172" s="442">
        <f t="shared" ref="AN172:AN182" si="54">SIN(AM172*3.14159265358979/180)</f>
        <v>0.85477073319485097</v>
      </c>
      <c r="AO172" s="291">
        <f t="shared" ref="AO172:AO182" si="55">+AN172*472.06</f>
        <v>403.50307231196138</v>
      </c>
      <c r="AP172" s="519" t="e">
        <f t="shared" si="40"/>
        <v>#DIV/0!</v>
      </c>
      <c r="AQ172" s="291">
        <f t="shared" ref="AQ172:AQ182" si="56">57*($B$168-B171)</f>
        <v>0</v>
      </c>
      <c r="AR172" s="443">
        <f>+AQ172+$AQ$195+31</f>
        <v>71.5</v>
      </c>
      <c r="AS172" s="444">
        <f t="shared" ref="AS172:AS182" si="57">+AO172+AL172</f>
        <v>747.0023123282715</v>
      </c>
      <c r="AT172" s="445">
        <f t="shared" ref="AT172:AT182" si="58">+V172-AL172</f>
        <v>-343.49924001631013</v>
      </c>
      <c r="AU172" s="446" t="e">
        <f t="shared" ref="AU172:AU182" si="59">+AP172-AT172</f>
        <v>#DIV/0!</v>
      </c>
      <c r="AV172" s="445"/>
      <c r="AW172" s="447" t="e">
        <f t="shared" ref="AW172:AW182" si="60">+((AS172-AU172)/AS172)*AR172</f>
        <v>#DIV/0!</v>
      </c>
      <c r="AX172" s="447" t="e">
        <f t="shared" ref="AX172:AX182" si="61">+(AU172/AS172)*AR172</f>
        <v>#DIV/0!</v>
      </c>
      <c r="AY172" s="448" t="e">
        <f t="shared" ref="AY172:AY182" si="62">2*$C$19/AW172</f>
        <v>#DIV/0!</v>
      </c>
      <c r="AZ172" s="448" t="e">
        <f t="shared" ref="AZ172:AZ182" si="63">2*$D$19/AX172</f>
        <v>#DIV/0!</v>
      </c>
      <c r="BA172" s="451" t="e">
        <f t="shared" ref="BA172:BB182" si="64">ABS(AY172)</f>
        <v>#DIV/0!</v>
      </c>
      <c r="BB172" s="451" t="e">
        <f t="shared" si="64"/>
        <v>#DIV/0!</v>
      </c>
      <c r="BD172" s="136"/>
      <c r="BM172" s="214"/>
      <c r="BN172" s="214"/>
      <c r="BO172" s="214"/>
      <c r="EK172" s="78"/>
      <c r="EL172" s="78"/>
    </row>
    <row r="173" spans="2:142" ht="23" thickBot="1" x14ac:dyDescent="0.35">
      <c r="B173" s="277">
        <v>3</v>
      </c>
      <c r="C173" s="278"/>
      <c r="D173" s="25">
        <v>0</v>
      </c>
      <c r="E173" s="279" t="s">
        <v>80</v>
      </c>
      <c r="F173" s="258"/>
      <c r="G173" s="258"/>
      <c r="H173" s="506">
        <v>472.06</v>
      </c>
      <c r="I173" s="507">
        <v>62.531168700000002</v>
      </c>
      <c r="J173" s="474">
        <f t="shared" ref="J173:J182" si="65">+I173+D173</f>
        <v>62.531168700000002</v>
      </c>
      <c r="K173" s="474">
        <f t="shared" si="41"/>
        <v>31.265584350000001</v>
      </c>
      <c r="L173" s="474">
        <f t="shared" si="42"/>
        <v>0.51900577347391186</v>
      </c>
      <c r="M173" s="474">
        <f t="shared" si="43"/>
        <v>245.00186542609484</v>
      </c>
      <c r="N173" s="474">
        <f t="shared" si="44"/>
        <v>490.00373085218968</v>
      </c>
      <c r="O173" s="474">
        <f>+C171+D172+(D173/2)</f>
        <v>0</v>
      </c>
      <c r="P173" s="474">
        <f t="shared" si="45"/>
        <v>0</v>
      </c>
      <c r="Q173" s="474">
        <f t="shared" si="46"/>
        <v>0</v>
      </c>
      <c r="R173" s="474">
        <f t="shared" si="47"/>
        <v>343.49989132317432</v>
      </c>
      <c r="S173" s="474">
        <f t="shared" ref="S173:S182" si="66">+S172+Q173</f>
        <v>343.49989132317432</v>
      </c>
      <c r="T173" s="476">
        <f t="shared" si="39"/>
        <v>343.49989132317432</v>
      </c>
      <c r="V173" s="437">
        <f t="shared" si="48"/>
        <v>0</v>
      </c>
      <c r="W173" s="437"/>
      <c r="X173" s="437"/>
      <c r="Y173" s="437"/>
      <c r="Z173" s="437"/>
      <c r="AA173" s="437"/>
      <c r="AB173" s="477"/>
      <c r="AC173" s="514" t="b">
        <f>IF(AD173=3,AF173)</f>
        <v>0</v>
      </c>
      <c r="AD173" s="514">
        <f t="shared" si="49"/>
        <v>1</v>
      </c>
      <c r="AE173" s="514">
        <f>IF(V173=0,0,3)</f>
        <v>0</v>
      </c>
      <c r="AF173" s="437">
        <f>SUM(V173:V182)/($B$168-B172)</f>
        <v>0</v>
      </c>
      <c r="AG173" s="437"/>
      <c r="AH173" s="450">
        <f>SUM(D172:D173)+$C$171</f>
        <v>0</v>
      </c>
      <c r="AI173" s="516" t="b">
        <f t="shared" si="50"/>
        <v>0</v>
      </c>
      <c r="AJ173" s="287">
        <f t="shared" si="51"/>
        <v>54.5017821</v>
      </c>
      <c r="AK173" s="441">
        <f t="shared" ref="AK173:AK182" si="67">SIN(AJ173*3.14159265358979/180)</f>
        <v>0.81413357986421619</v>
      </c>
      <c r="AL173" s="289">
        <f t="shared" si="52"/>
        <v>343.49924001631013</v>
      </c>
      <c r="AM173" s="287">
        <f t="shared" si="53"/>
        <v>58.734415599999998</v>
      </c>
      <c r="AN173" s="442">
        <f t="shared" si="54"/>
        <v>0.85477073319485097</v>
      </c>
      <c r="AO173" s="291">
        <f t="shared" si="55"/>
        <v>403.50307231196138</v>
      </c>
      <c r="AP173" s="519">
        <f t="shared" si="40"/>
        <v>597.25154482758614</v>
      </c>
      <c r="AQ173" s="291">
        <f t="shared" si="56"/>
        <v>-57</v>
      </c>
      <c r="AR173" s="443">
        <f t="shared" ref="AR173:AR182" si="68">+AQ173+$AQ$195+31</f>
        <v>14.5</v>
      </c>
      <c r="AS173" s="444">
        <f t="shared" si="57"/>
        <v>747.0023123282715</v>
      </c>
      <c r="AT173" s="445">
        <f t="shared" si="58"/>
        <v>-343.49924001631013</v>
      </c>
      <c r="AU173" s="446">
        <f t="shared" si="59"/>
        <v>940.75078484389633</v>
      </c>
      <c r="AV173" s="445"/>
      <c r="AW173" s="447">
        <f t="shared" si="60"/>
        <v>-3.7608355491167273</v>
      </c>
      <c r="AX173" s="447">
        <f t="shared" si="61"/>
        <v>18.260835549116727</v>
      </c>
      <c r="AY173" s="448">
        <f t="shared" si="62"/>
        <v>-3084.4209613803469</v>
      </c>
      <c r="AZ173" s="448">
        <f t="shared" si="63"/>
        <v>635.23927855322529</v>
      </c>
      <c r="BA173" s="451">
        <f t="shared" si="64"/>
        <v>3084.4209613803469</v>
      </c>
      <c r="BB173" s="451">
        <f t="shared" si="64"/>
        <v>635.23927855322529</v>
      </c>
      <c r="BD173" s="136"/>
      <c r="BE173" s="136"/>
      <c r="BF173" s="136"/>
      <c r="BG173" s="297" t="s">
        <v>122</v>
      </c>
      <c r="BH173" s="136"/>
      <c r="BI173" s="136"/>
      <c r="BJ173" s="136"/>
      <c r="BK173" s="136"/>
      <c r="BL173" s="136"/>
      <c r="BM173" s="214"/>
      <c r="BN173" s="214"/>
      <c r="BO173" s="214"/>
      <c r="EK173" s="78"/>
      <c r="EL173" s="78"/>
    </row>
    <row r="174" spans="2:142" ht="23" thickBot="1" x14ac:dyDescent="0.35">
      <c r="B174" s="277">
        <v>4</v>
      </c>
      <c r="C174" s="278"/>
      <c r="D174" s="25">
        <v>0</v>
      </c>
      <c r="E174" s="279" t="s">
        <v>80</v>
      </c>
      <c r="F174" s="258"/>
      <c r="G174" s="258"/>
      <c r="H174" s="506">
        <v>472.06</v>
      </c>
      <c r="I174" s="507">
        <v>62.531168700000002</v>
      </c>
      <c r="J174" s="474">
        <f t="shared" si="65"/>
        <v>62.531168700000002</v>
      </c>
      <c r="K174" s="474">
        <f t="shared" si="41"/>
        <v>31.265584350000001</v>
      </c>
      <c r="L174" s="474">
        <f t="shared" si="42"/>
        <v>0.51900577347391186</v>
      </c>
      <c r="M174" s="474">
        <f t="shared" si="43"/>
        <v>245.00186542609484</v>
      </c>
      <c r="N174" s="474">
        <f t="shared" si="44"/>
        <v>490.00373085218968</v>
      </c>
      <c r="O174" s="474">
        <f>+C171+D172+D173+(D174/2)</f>
        <v>0</v>
      </c>
      <c r="P174" s="474">
        <f t="shared" si="45"/>
        <v>0</v>
      </c>
      <c r="Q174" s="474">
        <f t="shared" si="46"/>
        <v>0</v>
      </c>
      <c r="R174" s="474">
        <f t="shared" si="47"/>
        <v>343.49989132317432</v>
      </c>
      <c r="S174" s="474">
        <f t="shared" si="66"/>
        <v>343.49989132317432</v>
      </c>
      <c r="T174" s="476">
        <f t="shared" si="39"/>
        <v>343.49989132317432</v>
      </c>
      <c r="V174" s="437">
        <f t="shared" si="48"/>
        <v>0</v>
      </c>
      <c r="W174" s="437"/>
      <c r="X174" s="437"/>
      <c r="Y174" s="437"/>
      <c r="Z174" s="437"/>
      <c r="AA174" s="437"/>
      <c r="AB174" s="477"/>
      <c r="AC174" s="514" t="b">
        <f>IF(AD174=4,AF174)</f>
        <v>0</v>
      </c>
      <c r="AD174" s="514">
        <f t="shared" si="49"/>
        <v>1</v>
      </c>
      <c r="AE174" s="514">
        <f>IF(V174=0,0,4)</f>
        <v>0</v>
      </c>
      <c r="AF174" s="437">
        <f>SUM(V174:V182)/($B$168-B173)</f>
        <v>0</v>
      </c>
      <c r="AG174" s="437"/>
      <c r="AH174" s="450">
        <f>SUM(D172:D174)+$C$171</f>
        <v>0</v>
      </c>
      <c r="AI174" s="516" t="b">
        <f t="shared" si="50"/>
        <v>0</v>
      </c>
      <c r="AJ174" s="287">
        <f t="shared" si="51"/>
        <v>54.5017821</v>
      </c>
      <c r="AK174" s="441">
        <f t="shared" si="67"/>
        <v>0.81413357986421619</v>
      </c>
      <c r="AL174" s="289">
        <f t="shared" si="52"/>
        <v>343.49924001631013</v>
      </c>
      <c r="AM174" s="287">
        <f t="shared" si="53"/>
        <v>58.734415599999998</v>
      </c>
      <c r="AN174" s="442">
        <f t="shared" si="54"/>
        <v>0.85477073319485097</v>
      </c>
      <c r="AO174" s="291">
        <f t="shared" si="55"/>
        <v>403.50307231196138</v>
      </c>
      <c r="AP174" s="519">
        <f t="shared" si="40"/>
        <v>-203.76817411764705</v>
      </c>
      <c r="AQ174" s="291">
        <f t="shared" si="56"/>
        <v>-114</v>
      </c>
      <c r="AR174" s="443">
        <f t="shared" si="68"/>
        <v>-42.5</v>
      </c>
      <c r="AS174" s="444">
        <f t="shared" si="57"/>
        <v>747.0023123282715</v>
      </c>
      <c r="AT174" s="445">
        <f t="shared" si="58"/>
        <v>-343.49924001631013</v>
      </c>
      <c r="AU174" s="446">
        <f t="shared" si="59"/>
        <v>139.73106589866308</v>
      </c>
      <c r="AV174" s="445"/>
      <c r="AW174" s="447">
        <f t="shared" si="60"/>
        <v>-34.55013130122218</v>
      </c>
      <c r="AX174" s="447">
        <f t="shared" si="61"/>
        <v>-7.9498686987778227</v>
      </c>
      <c r="AY174" s="448">
        <f t="shared" si="62"/>
        <v>-335.74402073515881</v>
      </c>
      <c r="AZ174" s="448">
        <f t="shared" si="63"/>
        <v>-1459.143595891506</v>
      </c>
      <c r="BA174" s="451">
        <f t="shared" si="64"/>
        <v>335.74402073515881</v>
      </c>
      <c r="BB174" s="451">
        <f t="shared" si="64"/>
        <v>1459.143595891506</v>
      </c>
      <c r="BD174" s="136"/>
      <c r="BE174" s="298">
        <v>1</v>
      </c>
      <c r="BF174" s="299">
        <v>-473</v>
      </c>
      <c r="BG174" s="300">
        <f>+COS(($B$132*-1)*3.14159265358979/180)*BF174</f>
        <v>-473</v>
      </c>
      <c r="BH174" s="301">
        <f t="shared" ref="BH174:BH185" si="69">+BG174-D$3</f>
        <v>-687.09675312035324</v>
      </c>
      <c r="BI174" s="302">
        <f t="shared" ref="BI174:BI185" si="70">ABS(BH174)</f>
        <v>687.09675312035324</v>
      </c>
      <c r="BJ174" s="303">
        <f>MIN(BI174:BI210)</f>
        <v>0.90324687964672989</v>
      </c>
      <c r="BK174" s="302" t="b">
        <f>IF(BJ174=BI174,BE174)</f>
        <v>0</v>
      </c>
      <c r="BL174" s="304">
        <v>1</v>
      </c>
      <c r="BM174" s="214"/>
      <c r="BN174" s="214"/>
      <c r="BO174" s="214"/>
      <c r="EK174" s="78"/>
      <c r="EL174" s="78"/>
    </row>
    <row r="175" spans="2:142" ht="23" thickBot="1" x14ac:dyDescent="0.35">
      <c r="B175" s="277">
        <v>5</v>
      </c>
      <c r="C175" s="278"/>
      <c r="D175" s="25">
        <v>0</v>
      </c>
      <c r="E175" s="279" t="s">
        <v>80</v>
      </c>
      <c r="F175" s="258"/>
      <c r="G175" s="258"/>
      <c r="H175" s="506">
        <v>472.06</v>
      </c>
      <c r="I175" s="507">
        <v>62.531168700000002</v>
      </c>
      <c r="J175" s="474">
        <f t="shared" si="65"/>
        <v>62.531168700000002</v>
      </c>
      <c r="K175" s="474">
        <f t="shared" si="41"/>
        <v>31.265584350000001</v>
      </c>
      <c r="L175" s="474">
        <f t="shared" si="42"/>
        <v>0.51900577347391186</v>
      </c>
      <c r="M175" s="474">
        <f t="shared" si="43"/>
        <v>245.00186542609484</v>
      </c>
      <c r="N175" s="474">
        <f t="shared" si="44"/>
        <v>490.00373085218968</v>
      </c>
      <c r="O175" s="474">
        <f>+C171+D172+D173+D174+(D175/2)</f>
        <v>0</v>
      </c>
      <c r="P175" s="474">
        <f t="shared" si="45"/>
        <v>0</v>
      </c>
      <c r="Q175" s="474">
        <f t="shared" si="46"/>
        <v>0</v>
      </c>
      <c r="R175" s="474">
        <f t="shared" si="47"/>
        <v>343.49989132317432</v>
      </c>
      <c r="S175" s="474">
        <f t="shared" si="66"/>
        <v>343.49989132317432</v>
      </c>
      <c r="T175" s="476">
        <f t="shared" si="39"/>
        <v>343.49989132317432</v>
      </c>
      <c r="V175" s="437">
        <f t="shared" si="48"/>
        <v>0</v>
      </c>
      <c r="W175" s="437"/>
      <c r="X175" s="437"/>
      <c r="Y175" s="437"/>
      <c r="Z175" s="437"/>
      <c r="AA175" s="437"/>
      <c r="AB175" s="477"/>
      <c r="AC175" s="514" t="b">
        <f>IF(AD175=5,AF175)</f>
        <v>0</v>
      </c>
      <c r="AD175" s="514">
        <f t="shared" si="49"/>
        <v>1</v>
      </c>
      <c r="AE175" s="514">
        <f>IF(V175=0,0,5)</f>
        <v>0</v>
      </c>
      <c r="AF175" s="437">
        <f>SUM(V175:V182)/($B$168-B174)</f>
        <v>0</v>
      </c>
      <c r="AG175" s="437"/>
      <c r="AH175" s="450">
        <f>SUM(D172:D175)+$C$171</f>
        <v>0</v>
      </c>
      <c r="AI175" s="516" t="b">
        <f t="shared" si="50"/>
        <v>0</v>
      </c>
      <c r="AJ175" s="287">
        <f t="shared" si="51"/>
        <v>54.5017821</v>
      </c>
      <c r="AK175" s="441">
        <f t="shared" si="67"/>
        <v>0.81413357986421619</v>
      </c>
      <c r="AL175" s="289">
        <f t="shared" si="52"/>
        <v>343.49924001631013</v>
      </c>
      <c r="AM175" s="287">
        <f t="shared" si="53"/>
        <v>58.734415599999998</v>
      </c>
      <c r="AN175" s="442">
        <f t="shared" si="54"/>
        <v>0.85477073319485097</v>
      </c>
      <c r="AO175" s="291">
        <f t="shared" si="55"/>
        <v>403.50307231196138</v>
      </c>
      <c r="AP175" s="519">
        <f t="shared" si="40"/>
        <v>-87.03665728643216</v>
      </c>
      <c r="AQ175" s="291">
        <f t="shared" si="56"/>
        <v>-171</v>
      </c>
      <c r="AR175" s="443">
        <f t="shared" si="68"/>
        <v>-99.5</v>
      </c>
      <c r="AS175" s="444">
        <f t="shared" si="57"/>
        <v>747.0023123282715</v>
      </c>
      <c r="AT175" s="445">
        <f t="shared" si="58"/>
        <v>-343.49924001631013</v>
      </c>
      <c r="AU175" s="446">
        <f t="shared" si="59"/>
        <v>256.46258272987797</v>
      </c>
      <c r="AV175" s="445"/>
      <c r="AW175" s="447">
        <f t="shared" si="60"/>
        <v>-65.339427053327626</v>
      </c>
      <c r="AX175" s="447">
        <f t="shared" si="61"/>
        <v>-34.160572946672374</v>
      </c>
      <c r="AY175" s="448">
        <f t="shared" si="62"/>
        <v>-177.53446155156072</v>
      </c>
      <c r="AZ175" s="448">
        <f t="shared" si="63"/>
        <v>-339.57275886761647</v>
      </c>
      <c r="BA175" s="451">
        <f t="shared" si="64"/>
        <v>177.53446155156072</v>
      </c>
      <c r="BB175" s="451">
        <f t="shared" si="64"/>
        <v>339.57275886761647</v>
      </c>
      <c r="BD175" s="136"/>
      <c r="BE175" s="298">
        <v>2</v>
      </c>
      <c r="BF175" s="299">
        <f>+BF174+43</f>
        <v>-430</v>
      </c>
      <c r="BG175" s="42">
        <f>+BG174+$E$2</f>
        <v>-430</v>
      </c>
      <c r="BH175" s="301">
        <f t="shared" si="69"/>
        <v>-644.09675312035324</v>
      </c>
      <c r="BI175" s="302">
        <f t="shared" si="70"/>
        <v>644.09675312035324</v>
      </c>
      <c r="BJ175" s="302">
        <f>+BJ174</f>
        <v>0.90324687964672989</v>
      </c>
      <c r="BK175" s="302" t="b">
        <f t="shared" ref="BK175:BK185" si="71">IF(BJ175=BI175,BE175)</f>
        <v>0</v>
      </c>
      <c r="BL175" s="304">
        <v>2</v>
      </c>
      <c r="BM175" s="214"/>
      <c r="BN175" s="214"/>
      <c r="BO175" s="214"/>
      <c r="EK175" s="78"/>
      <c r="EL175" s="78"/>
    </row>
    <row r="176" spans="2:142" ht="23" thickBot="1" x14ac:dyDescent="0.35">
      <c r="B176" s="277">
        <v>6</v>
      </c>
      <c r="C176" s="278"/>
      <c r="D176" s="25">
        <v>0</v>
      </c>
      <c r="E176" s="279" t="s">
        <v>80</v>
      </c>
      <c r="F176" s="258"/>
      <c r="G176" s="258"/>
      <c r="H176" s="506">
        <v>472.06</v>
      </c>
      <c r="I176" s="507">
        <v>62.531168700000002</v>
      </c>
      <c r="J176" s="474">
        <f t="shared" si="65"/>
        <v>62.531168700000002</v>
      </c>
      <c r="K176" s="474">
        <f t="shared" si="41"/>
        <v>31.265584350000001</v>
      </c>
      <c r="L176" s="474">
        <f t="shared" si="42"/>
        <v>0.51900577347391186</v>
      </c>
      <c r="M176" s="474">
        <f t="shared" si="43"/>
        <v>245.00186542609484</v>
      </c>
      <c r="N176" s="474">
        <f t="shared" si="44"/>
        <v>490.00373085218968</v>
      </c>
      <c r="O176" s="474">
        <f>+C171+D172+D173+D174+D175+(D176/2)</f>
        <v>0</v>
      </c>
      <c r="P176" s="474">
        <f t="shared" si="45"/>
        <v>0</v>
      </c>
      <c r="Q176" s="474">
        <f t="shared" si="46"/>
        <v>0</v>
      </c>
      <c r="R176" s="474">
        <f t="shared" si="47"/>
        <v>343.49989132317432</v>
      </c>
      <c r="S176" s="474">
        <f t="shared" si="66"/>
        <v>343.49989132317432</v>
      </c>
      <c r="T176" s="476">
        <f t="shared" si="39"/>
        <v>343.49989132317432</v>
      </c>
      <c r="V176" s="437">
        <f t="shared" si="48"/>
        <v>0</v>
      </c>
      <c r="W176" s="437"/>
      <c r="X176" s="437"/>
      <c r="Y176" s="437"/>
      <c r="Z176" s="437"/>
      <c r="AA176" s="437"/>
      <c r="AB176" s="477"/>
      <c r="AC176" s="514" t="b">
        <f>IF(AD176=6,AF176)</f>
        <v>0</v>
      </c>
      <c r="AD176" s="514">
        <f t="shared" si="49"/>
        <v>1</v>
      </c>
      <c r="AE176" s="514">
        <f>IF(V176=0,0,6)</f>
        <v>0</v>
      </c>
      <c r="AF176" s="437">
        <f>SUM(V176:V182)/($B$168-B175)</f>
        <v>0</v>
      </c>
      <c r="AG176" s="437"/>
      <c r="AH176" s="450">
        <f>SUM(D172:D176)+$C$171</f>
        <v>0</v>
      </c>
      <c r="AI176" s="516" t="b">
        <f t="shared" si="50"/>
        <v>0</v>
      </c>
      <c r="AJ176" s="287">
        <f t="shared" si="51"/>
        <v>54.5017821</v>
      </c>
      <c r="AK176" s="441">
        <f t="shared" si="67"/>
        <v>0.81413357986421619</v>
      </c>
      <c r="AL176" s="289">
        <f t="shared" si="52"/>
        <v>343.49924001631013</v>
      </c>
      <c r="AM176" s="287">
        <f t="shared" si="53"/>
        <v>58.734415599999998</v>
      </c>
      <c r="AN176" s="442">
        <f t="shared" si="54"/>
        <v>0.85477073319485097</v>
      </c>
      <c r="AO176" s="291">
        <f t="shared" si="55"/>
        <v>403.50307231196138</v>
      </c>
      <c r="AP176" s="519">
        <f t="shared" si="40"/>
        <v>-55.336405111821087</v>
      </c>
      <c r="AQ176" s="291">
        <f t="shared" si="56"/>
        <v>-228</v>
      </c>
      <c r="AR176" s="443">
        <f t="shared" si="68"/>
        <v>-156.5</v>
      </c>
      <c r="AS176" s="444">
        <f t="shared" si="57"/>
        <v>747.0023123282715</v>
      </c>
      <c r="AT176" s="445">
        <f t="shared" si="58"/>
        <v>-343.49924001631013</v>
      </c>
      <c r="AU176" s="446">
        <f t="shared" si="59"/>
        <v>288.16283490448905</v>
      </c>
      <c r="AV176" s="445"/>
      <c r="AW176" s="447">
        <f t="shared" si="60"/>
        <v>-96.128722805433085</v>
      </c>
      <c r="AX176" s="447">
        <f t="shared" si="61"/>
        <v>-60.371277194566929</v>
      </c>
      <c r="AY176" s="448">
        <f t="shared" si="62"/>
        <v>-120.67152939791666</v>
      </c>
      <c r="AZ176" s="448">
        <f t="shared" si="63"/>
        <v>-192.14435306072892</v>
      </c>
      <c r="BA176" s="451">
        <f t="shared" si="64"/>
        <v>120.67152939791666</v>
      </c>
      <c r="BB176" s="451">
        <f t="shared" si="64"/>
        <v>192.14435306072892</v>
      </c>
      <c r="BD176" s="136"/>
      <c r="BE176" s="298">
        <v>3</v>
      </c>
      <c r="BF176" s="299">
        <f t="shared" ref="BF176:BF185" si="72">+BF175+43</f>
        <v>-387</v>
      </c>
      <c r="BG176" s="42">
        <f t="shared" ref="BG176:BG185" si="73">+BG175+$E$2</f>
        <v>-387</v>
      </c>
      <c r="BH176" s="301">
        <f t="shared" si="69"/>
        <v>-601.09675312035324</v>
      </c>
      <c r="BI176" s="302">
        <f t="shared" si="70"/>
        <v>601.09675312035324</v>
      </c>
      <c r="BJ176" s="302">
        <f t="shared" ref="BJ176:BJ185" si="74">+BJ175</f>
        <v>0.90324687964672989</v>
      </c>
      <c r="BK176" s="302" t="b">
        <f t="shared" si="71"/>
        <v>0</v>
      </c>
      <c r="BL176" s="304">
        <v>3</v>
      </c>
      <c r="BM176" s="214"/>
      <c r="BN176" s="214"/>
      <c r="BO176" s="214"/>
      <c r="EK176" s="78"/>
      <c r="EL176" s="78"/>
    </row>
    <row r="177" spans="2:142" ht="23" thickBot="1" x14ac:dyDescent="0.35">
      <c r="B177" s="277">
        <v>7</v>
      </c>
      <c r="C177" s="278"/>
      <c r="D177" s="25">
        <v>0</v>
      </c>
      <c r="E177" s="279" t="s">
        <v>80</v>
      </c>
      <c r="F177" s="258"/>
      <c r="G177" s="258"/>
      <c r="H177" s="506">
        <v>472.06</v>
      </c>
      <c r="I177" s="507">
        <v>62.531168700000002</v>
      </c>
      <c r="J177" s="474">
        <f t="shared" si="65"/>
        <v>62.531168700000002</v>
      </c>
      <c r="K177" s="474">
        <f t="shared" si="41"/>
        <v>31.265584350000001</v>
      </c>
      <c r="L177" s="474">
        <f t="shared" si="42"/>
        <v>0.51900577347391186</v>
      </c>
      <c r="M177" s="474">
        <f t="shared" si="43"/>
        <v>245.00186542609484</v>
      </c>
      <c r="N177" s="474">
        <f t="shared" si="44"/>
        <v>490.00373085218968</v>
      </c>
      <c r="O177" s="474">
        <f>+C171+D172+D173+D174+D175+D176+(D177/2)</f>
        <v>0</v>
      </c>
      <c r="P177" s="474">
        <f t="shared" si="45"/>
        <v>0</v>
      </c>
      <c r="Q177" s="474">
        <f t="shared" si="46"/>
        <v>0</v>
      </c>
      <c r="R177" s="474">
        <f t="shared" si="47"/>
        <v>343.49989132317432</v>
      </c>
      <c r="S177" s="474">
        <f t="shared" si="66"/>
        <v>343.49989132317432</v>
      </c>
      <c r="T177" s="476">
        <f t="shared" si="39"/>
        <v>343.49989132317432</v>
      </c>
      <c r="V177" s="437">
        <f t="shared" si="48"/>
        <v>0</v>
      </c>
      <c r="W177" s="437"/>
      <c r="X177" s="437"/>
      <c r="Y177" s="437"/>
      <c r="Z177" s="437"/>
      <c r="AA177" s="437"/>
      <c r="AB177" s="477"/>
      <c r="AC177" s="514" t="b">
        <f>IF(AD177=7,AF177)</f>
        <v>0</v>
      </c>
      <c r="AD177" s="514">
        <f t="shared" si="49"/>
        <v>1</v>
      </c>
      <c r="AE177" s="514">
        <f>IF(V177=0,0,7)</f>
        <v>0</v>
      </c>
      <c r="AF177" s="437">
        <f>SUM(V177:V182)/($B$168-B176)</f>
        <v>0</v>
      </c>
      <c r="AG177" s="437"/>
      <c r="AH177" s="450">
        <f>SUM(D172:D177)+$C$171</f>
        <v>0</v>
      </c>
      <c r="AI177" s="516" t="b">
        <f t="shared" si="50"/>
        <v>0</v>
      </c>
      <c r="AJ177" s="287">
        <f t="shared" si="51"/>
        <v>54.5017821</v>
      </c>
      <c r="AK177" s="441">
        <f t="shared" si="67"/>
        <v>0.81413357986421619</v>
      </c>
      <c r="AL177" s="289">
        <f t="shared" si="52"/>
        <v>343.49924001631013</v>
      </c>
      <c r="AM177" s="287">
        <f t="shared" si="53"/>
        <v>58.734415599999998</v>
      </c>
      <c r="AN177" s="442">
        <f t="shared" si="54"/>
        <v>0.85477073319485097</v>
      </c>
      <c r="AO177" s="291">
        <f t="shared" si="55"/>
        <v>403.50307231196138</v>
      </c>
      <c r="AP177" s="519">
        <f t="shared" si="40"/>
        <v>-40.562751288056205</v>
      </c>
      <c r="AQ177" s="291">
        <f t="shared" si="56"/>
        <v>-285</v>
      </c>
      <c r="AR177" s="443">
        <f t="shared" si="68"/>
        <v>-213.5</v>
      </c>
      <c r="AS177" s="444">
        <f t="shared" si="57"/>
        <v>747.0023123282715</v>
      </c>
      <c r="AT177" s="445">
        <f t="shared" si="58"/>
        <v>-343.49924001631013</v>
      </c>
      <c r="AU177" s="446">
        <f t="shared" si="59"/>
        <v>302.93648872825395</v>
      </c>
      <c r="AV177" s="445"/>
      <c r="AW177" s="447">
        <f t="shared" si="60"/>
        <v>-126.91801855753852</v>
      </c>
      <c r="AX177" s="447">
        <f t="shared" si="61"/>
        <v>-86.581981442461483</v>
      </c>
      <c r="AY177" s="448">
        <f t="shared" si="62"/>
        <v>-91.397581933893164</v>
      </c>
      <c r="AZ177" s="448">
        <f t="shared" si="63"/>
        <v>-133.97706782338818</v>
      </c>
      <c r="BA177" s="451">
        <f t="shared" si="64"/>
        <v>91.397581933893164</v>
      </c>
      <c r="BB177" s="451">
        <f t="shared" si="64"/>
        <v>133.97706782338818</v>
      </c>
      <c r="BD177" s="136"/>
      <c r="BE177" s="298">
        <v>4</v>
      </c>
      <c r="BF177" s="299">
        <f t="shared" si="72"/>
        <v>-344</v>
      </c>
      <c r="BG177" s="42">
        <f t="shared" si="73"/>
        <v>-344</v>
      </c>
      <c r="BH177" s="301">
        <f t="shared" si="69"/>
        <v>-558.09675312035324</v>
      </c>
      <c r="BI177" s="302">
        <f t="shared" si="70"/>
        <v>558.09675312035324</v>
      </c>
      <c r="BJ177" s="302">
        <f t="shared" si="74"/>
        <v>0.90324687964672989</v>
      </c>
      <c r="BK177" s="302" t="b">
        <f t="shared" si="71"/>
        <v>0</v>
      </c>
      <c r="BL177" s="304">
        <v>4</v>
      </c>
      <c r="EK177" s="78"/>
      <c r="EL177" s="78"/>
    </row>
    <row r="178" spans="2:142" ht="23" thickBot="1" x14ac:dyDescent="0.35">
      <c r="B178" s="277">
        <v>8</v>
      </c>
      <c r="C178" s="278"/>
      <c r="D178" s="25">
        <v>0</v>
      </c>
      <c r="E178" s="279" t="s">
        <v>80</v>
      </c>
      <c r="F178" s="258"/>
      <c r="G178" s="258"/>
      <c r="H178" s="506">
        <v>472.06</v>
      </c>
      <c r="I178" s="507">
        <v>62.531168700000002</v>
      </c>
      <c r="J178" s="474">
        <f t="shared" si="65"/>
        <v>62.531168700000002</v>
      </c>
      <c r="K178" s="474">
        <f t="shared" si="41"/>
        <v>31.265584350000001</v>
      </c>
      <c r="L178" s="474">
        <f t="shared" si="42"/>
        <v>0.51900577347391186</v>
      </c>
      <c r="M178" s="474">
        <f t="shared" si="43"/>
        <v>245.00186542609484</v>
      </c>
      <c r="N178" s="474">
        <f t="shared" si="44"/>
        <v>490.00373085218968</v>
      </c>
      <c r="O178" s="474">
        <f>+C171+D172+D173+D174+D175+D176+D177+(D178/2)</f>
        <v>0</v>
      </c>
      <c r="P178" s="474">
        <f t="shared" si="45"/>
        <v>0</v>
      </c>
      <c r="Q178" s="474">
        <f t="shared" si="46"/>
        <v>0</v>
      </c>
      <c r="R178" s="474">
        <f t="shared" si="47"/>
        <v>343.49989132317432</v>
      </c>
      <c r="S178" s="474">
        <f t="shared" si="66"/>
        <v>343.49989132317432</v>
      </c>
      <c r="T178" s="476">
        <f t="shared" si="39"/>
        <v>343.49989132317432</v>
      </c>
      <c r="V178" s="437">
        <f t="shared" si="48"/>
        <v>0</v>
      </c>
      <c r="W178" s="437"/>
      <c r="X178" s="437"/>
      <c r="Y178" s="437"/>
      <c r="Z178" s="437"/>
      <c r="AA178" s="437"/>
      <c r="AB178" s="477"/>
      <c r="AC178" s="514" t="b">
        <f>IF(AD178=8,AF178)</f>
        <v>0</v>
      </c>
      <c r="AD178" s="514">
        <f t="shared" si="49"/>
        <v>1</v>
      </c>
      <c r="AE178" s="514">
        <f>IF(V178=0,0,8)</f>
        <v>0</v>
      </c>
      <c r="AF178" s="437">
        <f>SUM(V178:V182)/($B$168-B177)</f>
        <v>0</v>
      </c>
      <c r="AG178" s="437"/>
      <c r="AH178" s="450">
        <f>SUM(D172:D178)+$C$171</f>
        <v>0</v>
      </c>
      <c r="AI178" s="516" t="b">
        <f t="shared" si="50"/>
        <v>0</v>
      </c>
      <c r="AJ178" s="287">
        <f t="shared" si="51"/>
        <v>54.5017821</v>
      </c>
      <c r="AK178" s="441">
        <f t="shared" si="67"/>
        <v>0.81413357986421619</v>
      </c>
      <c r="AL178" s="289">
        <f t="shared" si="52"/>
        <v>343.49924001631013</v>
      </c>
      <c r="AM178" s="287">
        <f t="shared" si="53"/>
        <v>58.734415599999998</v>
      </c>
      <c r="AN178" s="442">
        <f t="shared" si="54"/>
        <v>0.85477073319485097</v>
      </c>
      <c r="AO178" s="291">
        <f t="shared" si="55"/>
        <v>403.50307231196138</v>
      </c>
      <c r="AP178" s="519">
        <f t="shared" si="40"/>
        <v>-32.015332347504618</v>
      </c>
      <c r="AQ178" s="291">
        <f t="shared" si="56"/>
        <v>-342</v>
      </c>
      <c r="AR178" s="443">
        <f t="shared" si="68"/>
        <v>-270.5</v>
      </c>
      <c r="AS178" s="444">
        <f t="shared" si="57"/>
        <v>747.0023123282715</v>
      </c>
      <c r="AT178" s="445">
        <f t="shared" si="58"/>
        <v>-343.49924001631013</v>
      </c>
      <c r="AU178" s="446">
        <f t="shared" si="59"/>
        <v>311.4839076688055</v>
      </c>
      <c r="AV178" s="445"/>
      <c r="AW178" s="447">
        <f t="shared" si="60"/>
        <v>-157.70731430964398</v>
      </c>
      <c r="AX178" s="447">
        <f t="shared" si="61"/>
        <v>-112.79268569035602</v>
      </c>
      <c r="AY178" s="448">
        <f t="shared" si="62"/>
        <v>-73.553975925456783</v>
      </c>
      <c r="AZ178" s="448">
        <f t="shared" si="63"/>
        <v>-102.84354813436117</v>
      </c>
      <c r="BA178" s="451">
        <f t="shared" si="64"/>
        <v>73.553975925456783</v>
      </c>
      <c r="BB178" s="451">
        <f t="shared" si="64"/>
        <v>102.84354813436117</v>
      </c>
      <c r="BD178" s="136"/>
      <c r="BE178" s="298">
        <v>5</v>
      </c>
      <c r="BF178" s="299">
        <f t="shared" si="72"/>
        <v>-301</v>
      </c>
      <c r="BG178" s="42">
        <f t="shared" si="73"/>
        <v>-301</v>
      </c>
      <c r="BH178" s="301">
        <f t="shared" si="69"/>
        <v>-515.09675312035324</v>
      </c>
      <c r="BI178" s="302">
        <f t="shared" si="70"/>
        <v>515.09675312035324</v>
      </c>
      <c r="BJ178" s="302">
        <f t="shared" si="74"/>
        <v>0.90324687964672989</v>
      </c>
      <c r="BK178" s="302" t="b">
        <f t="shared" si="71"/>
        <v>0</v>
      </c>
      <c r="BL178" s="304">
        <v>5</v>
      </c>
      <c r="EK178" s="78"/>
      <c r="EL178" s="78"/>
    </row>
    <row r="179" spans="2:142" ht="23" thickBot="1" x14ac:dyDescent="0.35">
      <c r="B179" s="277">
        <v>9</v>
      </c>
      <c r="C179" s="278"/>
      <c r="D179" s="25">
        <v>0</v>
      </c>
      <c r="E179" s="279" t="s">
        <v>80</v>
      </c>
      <c r="F179" s="258"/>
      <c r="G179" s="258"/>
      <c r="H179" s="506">
        <v>472.06</v>
      </c>
      <c r="I179" s="507">
        <v>62.531168700000002</v>
      </c>
      <c r="J179" s="474">
        <f t="shared" si="65"/>
        <v>62.531168700000002</v>
      </c>
      <c r="K179" s="474">
        <f t="shared" si="41"/>
        <v>31.265584350000001</v>
      </c>
      <c r="L179" s="474">
        <f t="shared" si="42"/>
        <v>0.51900577347391186</v>
      </c>
      <c r="M179" s="474">
        <f t="shared" si="43"/>
        <v>245.00186542609484</v>
      </c>
      <c r="N179" s="474">
        <f t="shared" si="44"/>
        <v>490.00373085218968</v>
      </c>
      <c r="O179" s="474">
        <f>+C171+D172+D173+D174+D175+D176+D177+D178+(D179/2)</f>
        <v>0</v>
      </c>
      <c r="P179" s="474">
        <f t="shared" si="45"/>
        <v>0</v>
      </c>
      <c r="Q179" s="474">
        <f t="shared" si="46"/>
        <v>0</v>
      </c>
      <c r="R179" s="474">
        <f t="shared" si="47"/>
        <v>343.49989132317432</v>
      </c>
      <c r="S179" s="474">
        <f t="shared" si="66"/>
        <v>343.49989132317432</v>
      </c>
      <c r="T179" s="476">
        <f t="shared" si="39"/>
        <v>343.49989132317432</v>
      </c>
      <c r="V179" s="437">
        <f t="shared" si="48"/>
        <v>0</v>
      </c>
      <c r="W179" s="437"/>
      <c r="X179" s="437"/>
      <c r="Y179" s="437"/>
      <c r="Z179" s="437"/>
      <c r="AA179" s="437"/>
      <c r="AB179" s="477"/>
      <c r="AC179" s="514" t="b">
        <f>IF(AD179=9,AF179)</f>
        <v>0</v>
      </c>
      <c r="AD179" s="514">
        <f t="shared" si="49"/>
        <v>1</v>
      </c>
      <c r="AE179" s="514">
        <f>IF(V179=0,0,9)</f>
        <v>0</v>
      </c>
      <c r="AF179" s="437">
        <f>SUM(V179:V182)/($B$168-B178)</f>
        <v>0</v>
      </c>
      <c r="AG179" s="437"/>
      <c r="AH179" s="450">
        <f>SUM(D172:D179)+$C$171</f>
        <v>0</v>
      </c>
      <c r="AI179" s="516" t="b">
        <f t="shared" si="50"/>
        <v>0</v>
      </c>
      <c r="AJ179" s="287">
        <f t="shared" si="51"/>
        <v>54.5017821</v>
      </c>
      <c r="AK179" s="441">
        <f t="shared" si="67"/>
        <v>0.81413357986421619</v>
      </c>
      <c r="AL179" s="289">
        <f t="shared" si="52"/>
        <v>343.49924001631013</v>
      </c>
      <c r="AM179" s="287">
        <f t="shared" si="53"/>
        <v>58.734415599999998</v>
      </c>
      <c r="AN179" s="442">
        <f t="shared" si="54"/>
        <v>0.85477073319485097</v>
      </c>
      <c r="AO179" s="291">
        <f t="shared" si="55"/>
        <v>403.50307231196138</v>
      </c>
      <c r="AP179" s="519">
        <f t="shared" si="40"/>
        <v>-26.443198167938931</v>
      </c>
      <c r="AQ179" s="291">
        <f t="shared" si="56"/>
        <v>-399</v>
      </c>
      <c r="AR179" s="443">
        <f t="shared" si="68"/>
        <v>-327.5</v>
      </c>
      <c r="AS179" s="444">
        <f t="shared" si="57"/>
        <v>747.0023123282715</v>
      </c>
      <c r="AT179" s="445">
        <f t="shared" si="58"/>
        <v>-343.49924001631013</v>
      </c>
      <c r="AU179" s="446">
        <f t="shared" si="59"/>
        <v>317.05604184837119</v>
      </c>
      <c r="AV179" s="445"/>
      <c r="AW179" s="447">
        <f t="shared" si="60"/>
        <v>-188.49661006174944</v>
      </c>
      <c r="AX179" s="447">
        <f t="shared" si="61"/>
        <v>-139.00338993825056</v>
      </c>
      <c r="AY179" s="448">
        <f t="shared" si="62"/>
        <v>-61.539568251121153</v>
      </c>
      <c r="AZ179" s="448">
        <f t="shared" si="63"/>
        <v>-83.451202198400082</v>
      </c>
      <c r="BA179" s="451">
        <f t="shared" si="64"/>
        <v>61.539568251121153</v>
      </c>
      <c r="BB179" s="451">
        <f t="shared" si="64"/>
        <v>83.451202198400082</v>
      </c>
      <c r="BD179" s="136"/>
      <c r="BE179" s="298">
        <v>6</v>
      </c>
      <c r="BF179" s="299">
        <f t="shared" si="72"/>
        <v>-258</v>
      </c>
      <c r="BG179" s="42">
        <f t="shared" si="73"/>
        <v>-258</v>
      </c>
      <c r="BH179" s="301">
        <f t="shared" si="69"/>
        <v>-472.09675312035324</v>
      </c>
      <c r="BI179" s="302">
        <f t="shared" si="70"/>
        <v>472.09675312035324</v>
      </c>
      <c r="BJ179" s="302">
        <f t="shared" si="74"/>
        <v>0.90324687964672989</v>
      </c>
      <c r="BK179" s="302" t="b">
        <f t="shared" si="71"/>
        <v>0</v>
      </c>
      <c r="BL179" s="304">
        <v>6</v>
      </c>
      <c r="EK179" s="78"/>
      <c r="EL179" s="78"/>
    </row>
    <row r="180" spans="2:142" ht="23" thickBot="1" x14ac:dyDescent="0.35">
      <c r="B180" s="277">
        <v>10</v>
      </c>
      <c r="C180" s="278"/>
      <c r="D180" s="25">
        <v>0</v>
      </c>
      <c r="E180" s="279" t="s">
        <v>80</v>
      </c>
      <c r="F180" s="258"/>
      <c r="G180" s="258"/>
      <c r="H180" s="506">
        <v>472.06</v>
      </c>
      <c r="I180" s="507">
        <v>62.531168700000002</v>
      </c>
      <c r="J180" s="474">
        <f t="shared" si="65"/>
        <v>62.531168700000002</v>
      </c>
      <c r="K180" s="474">
        <f t="shared" si="41"/>
        <v>31.265584350000001</v>
      </c>
      <c r="L180" s="474">
        <f t="shared" si="42"/>
        <v>0.51900577347391186</v>
      </c>
      <c r="M180" s="474">
        <f>+L180*H180</f>
        <v>245.00186542609484</v>
      </c>
      <c r="N180" s="474">
        <f t="shared" si="44"/>
        <v>490.00373085218968</v>
      </c>
      <c r="O180" s="474">
        <f>+C171+D172+D173+D174+D175+D176+D177+D178+D179+(D180/2)</f>
        <v>0</v>
      </c>
      <c r="P180" s="474">
        <f t="shared" si="45"/>
        <v>0</v>
      </c>
      <c r="Q180" s="474">
        <f t="shared" si="46"/>
        <v>0</v>
      </c>
      <c r="R180" s="474">
        <f t="shared" si="47"/>
        <v>343.49989132317432</v>
      </c>
      <c r="S180" s="474">
        <f t="shared" si="66"/>
        <v>343.49989132317432</v>
      </c>
      <c r="T180" s="476">
        <f t="shared" si="39"/>
        <v>343.49989132317432</v>
      </c>
      <c r="V180" s="437">
        <f t="shared" si="48"/>
        <v>0</v>
      </c>
      <c r="W180" s="437"/>
      <c r="X180" s="437"/>
      <c r="Y180" s="437"/>
      <c r="Z180" s="437"/>
      <c r="AA180" s="437"/>
      <c r="AB180" s="477"/>
      <c r="AC180" s="514" t="b">
        <f>IF(AD180=10,AF180)</f>
        <v>0</v>
      </c>
      <c r="AD180" s="514">
        <f t="shared" si="49"/>
        <v>1</v>
      </c>
      <c r="AE180" s="514">
        <f>IF(V180=0,0,10)</f>
        <v>0</v>
      </c>
      <c r="AF180" s="437">
        <f>SUM(V180:V182)/($B$168-B179)</f>
        <v>0</v>
      </c>
      <c r="AG180" s="437"/>
      <c r="AH180" s="450">
        <f>SUM(D172:D180)+$C$171</f>
        <v>0</v>
      </c>
      <c r="AI180" s="516" t="b">
        <f t="shared" si="50"/>
        <v>0</v>
      </c>
      <c r="AJ180" s="287">
        <f t="shared" si="51"/>
        <v>54.5017821</v>
      </c>
      <c r="AK180" s="441">
        <f t="shared" si="67"/>
        <v>0.81413357986421619</v>
      </c>
      <c r="AL180" s="289">
        <f t="shared" si="52"/>
        <v>343.49924001631013</v>
      </c>
      <c r="AM180" s="287">
        <f t="shared" si="53"/>
        <v>58.734415599999998</v>
      </c>
      <c r="AN180" s="442">
        <f t="shared" si="54"/>
        <v>0.85477073319485097</v>
      </c>
      <c r="AO180" s="291">
        <f t="shared" si="55"/>
        <v>403.50307231196138</v>
      </c>
      <c r="AP180" s="519">
        <f t="shared" si="40"/>
        <v>-22.523140182054615</v>
      </c>
      <c r="AQ180" s="291">
        <f t="shared" si="56"/>
        <v>-456</v>
      </c>
      <c r="AR180" s="443">
        <f t="shared" si="68"/>
        <v>-384.5</v>
      </c>
      <c r="AS180" s="444">
        <f t="shared" si="57"/>
        <v>747.0023123282715</v>
      </c>
      <c r="AT180" s="445">
        <f t="shared" si="58"/>
        <v>-343.49924001631013</v>
      </c>
      <c r="AU180" s="446">
        <f t="shared" si="59"/>
        <v>320.97609983425554</v>
      </c>
      <c r="AV180" s="445"/>
      <c r="AW180" s="447">
        <f t="shared" si="60"/>
        <v>-219.28590581385484</v>
      </c>
      <c r="AX180" s="447">
        <f t="shared" si="61"/>
        <v>-165.21409418614513</v>
      </c>
      <c r="AY180" s="448">
        <f t="shared" si="62"/>
        <v>-52.898976598372393</v>
      </c>
      <c r="AZ180" s="448">
        <f t="shared" si="63"/>
        <v>-70.211927481988255</v>
      </c>
      <c r="BA180" s="451">
        <f t="shared" si="64"/>
        <v>52.898976598372393</v>
      </c>
      <c r="BB180" s="451">
        <f t="shared" si="64"/>
        <v>70.211927481988255</v>
      </c>
      <c r="BD180" s="136"/>
      <c r="BE180" s="298">
        <v>7</v>
      </c>
      <c r="BF180" s="299">
        <f t="shared" si="72"/>
        <v>-215</v>
      </c>
      <c r="BG180" s="42">
        <f t="shared" si="73"/>
        <v>-215</v>
      </c>
      <c r="BH180" s="301">
        <f t="shared" si="69"/>
        <v>-429.09675312035324</v>
      </c>
      <c r="BI180" s="302">
        <f t="shared" si="70"/>
        <v>429.09675312035324</v>
      </c>
      <c r="BJ180" s="302">
        <f t="shared" si="74"/>
        <v>0.90324687964672989</v>
      </c>
      <c r="BK180" s="302" t="b">
        <f t="shared" si="71"/>
        <v>0</v>
      </c>
      <c r="BL180" s="304">
        <v>7</v>
      </c>
      <c r="EK180" s="78"/>
      <c r="EL180" s="78"/>
    </row>
    <row r="181" spans="2:142" ht="23" thickBot="1" x14ac:dyDescent="0.35">
      <c r="B181" s="277">
        <v>11</v>
      </c>
      <c r="C181" s="278"/>
      <c r="D181" s="25">
        <v>0</v>
      </c>
      <c r="E181" s="279" t="s">
        <v>80</v>
      </c>
      <c r="F181" s="258"/>
      <c r="G181" s="258"/>
      <c r="H181" s="506">
        <v>472.06</v>
      </c>
      <c r="I181" s="507">
        <v>62.531168700000002</v>
      </c>
      <c r="J181" s="474">
        <f t="shared" si="65"/>
        <v>62.531168700000002</v>
      </c>
      <c r="K181" s="474">
        <f t="shared" si="41"/>
        <v>31.265584350000001</v>
      </c>
      <c r="L181" s="474">
        <f t="shared" si="42"/>
        <v>0.51900577347391186</v>
      </c>
      <c r="M181" s="474">
        <f t="shared" si="43"/>
        <v>245.00186542609484</v>
      </c>
      <c r="N181" s="474">
        <f t="shared" si="44"/>
        <v>490.00373085218968</v>
      </c>
      <c r="O181" s="474">
        <f>+C171+D172+D173+D174+D175+D176+D177+D178+D179+D180+(D181/2)</f>
        <v>0</v>
      </c>
      <c r="P181" s="474">
        <f t="shared" si="45"/>
        <v>0</v>
      </c>
      <c r="Q181" s="474">
        <f t="shared" si="46"/>
        <v>0</v>
      </c>
      <c r="R181" s="474">
        <f t="shared" si="47"/>
        <v>343.49989132317432</v>
      </c>
      <c r="S181" s="474">
        <f t="shared" si="66"/>
        <v>343.49989132317432</v>
      </c>
      <c r="T181" s="476">
        <f t="shared" si="39"/>
        <v>343.49989132317432</v>
      </c>
      <c r="V181" s="437">
        <f t="shared" si="48"/>
        <v>0</v>
      </c>
      <c r="W181" s="437"/>
      <c r="X181" s="437"/>
      <c r="Y181" s="437"/>
      <c r="Z181" s="437"/>
      <c r="AA181" s="437"/>
      <c r="AB181" s="477"/>
      <c r="AC181" s="514" t="b">
        <f>IF(AD181=11,AF181)</f>
        <v>0</v>
      </c>
      <c r="AD181" s="514">
        <f t="shared" si="49"/>
        <v>1</v>
      </c>
      <c r="AE181" s="514">
        <f>IF(V181=0,0,11)</f>
        <v>0</v>
      </c>
      <c r="AF181" s="437">
        <f>SUM(V181:V182)/($B$168-B180)</f>
        <v>0</v>
      </c>
      <c r="AG181" s="437"/>
      <c r="AH181" s="450">
        <f>SUM(D172:D181)+$C$171</f>
        <v>0</v>
      </c>
      <c r="AI181" s="516" t="b">
        <f t="shared" si="50"/>
        <v>0</v>
      </c>
      <c r="AJ181" s="287">
        <f t="shared" si="51"/>
        <v>54.5017821</v>
      </c>
      <c r="AK181" s="441">
        <f t="shared" si="67"/>
        <v>0.81413357986421619</v>
      </c>
      <c r="AL181" s="289">
        <f t="shared" si="52"/>
        <v>343.49924001631013</v>
      </c>
      <c r="AM181" s="287">
        <f t="shared" si="53"/>
        <v>58.734415599999998</v>
      </c>
      <c r="AN181" s="442">
        <f t="shared" si="54"/>
        <v>0.85477073319485097</v>
      </c>
      <c r="AO181" s="291">
        <f t="shared" si="55"/>
        <v>403.50307231196138</v>
      </c>
      <c r="AP181" s="519">
        <f t="shared" si="40"/>
        <v>-19.615282899207248</v>
      </c>
      <c r="AQ181" s="291">
        <f t="shared" si="56"/>
        <v>-513</v>
      </c>
      <c r="AR181" s="443">
        <f t="shared" si="68"/>
        <v>-441.5</v>
      </c>
      <c r="AS181" s="444">
        <f t="shared" si="57"/>
        <v>747.0023123282715</v>
      </c>
      <c r="AT181" s="445">
        <f t="shared" si="58"/>
        <v>-343.49924001631013</v>
      </c>
      <c r="AU181" s="446">
        <f t="shared" si="59"/>
        <v>323.88395711710285</v>
      </c>
      <c r="AV181" s="445"/>
      <c r="AW181" s="447">
        <f t="shared" si="60"/>
        <v>-250.07520156596033</v>
      </c>
      <c r="AX181" s="447">
        <f t="shared" si="61"/>
        <v>-191.42479843403967</v>
      </c>
      <c r="AY181" s="448">
        <f t="shared" si="62"/>
        <v>-46.386046786571761</v>
      </c>
      <c r="AZ181" s="448">
        <f t="shared" si="63"/>
        <v>-60.598209296258332</v>
      </c>
      <c r="BA181" s="451">
        <f t="shared" si="64"/>
        <v>46.386046786571761</v>
      </c>
      <c r="BB181" s="451">
        <f t="shared" si="64"/>
        <v>60.598209296258332</v>
      </c>
      <c r="BD181" s="136"/>
      <c r="BE181" s="298">
        <v>8</v>
      </c>
      <c r="BF181" s="299">
        <f t="shared" si="72"/>
        <v>-172</v>
      </c>
      <c r="BG181" s="42">
        <f t="shared" si="73"/>
        <v>-172</v>
      </c>
      <c r="BH181" s="301">
        <f t="shared" si="69"/>
        <v>-386.09675312035324</v>
      </c>
      <c r="BI181" s="302">
        <f t="shared" si="70"/>
        <v>386.09675312035324</v>
      </c>
      <c r="BJ181" s="302">
        <f t="shared" si="74"/>
        <v>0.90324687964672989</v>
      </c>
      <c r="BK181" s="302" t="b">
        <f t="shared" si="71"/>
        <v>0</v>
      </c>
      <c r="BL181" s="304">
        <v>8</v>
      </c>
      <c r="EK181" s="78"/>
      <c r="EL181" s="78"/>
    </row>
    <row r="182" spans="2:142" ht="23" thickBot="1" x14ac:dyDescent="0.35">
      <c r="B182" s="277">
        <v>12</v>
      </c>
      <c r="C182" s="278"/>
      <c r="D182" s="25">
        <v>0</v>
      </c>
      <c r="E182" s="279" t="s">
        <v>80</v>
      </c>
      <c r="F182" s="258"/>
      <c r="G182" s="258"/>
      <c r="H182" s="506">
        <v>472.06</v>
      </c>
      <c r="I182" s="507">
        <v>62.531168700000002</v>
      </c>
      <c r="J182" s="474">
        <f t="shared" si="65"/>
        <v>62.531168700000002</v>
      </c>
      <c r="K182" s="474">
        <f t="shared" si="41"/>
        <v>31.265584350000001</v>
      </c>
      <c r="L182" s="474">
        <f t="shared" si="42"/>
        <v>0.51900577347391186</v>
      </c>
      <c r="M182" s="474">
        <f t="shared" si="43"/>
        <v>245.00186542609484</v>
      </c>
      <c r="N182" s="474">
        <f t="shared" si="44"/>
        <v>490.00373085218968</v>
      </c>
      <c r="O182" s="474">
        <f>+C171+D172+D173+D174+D175+D176+D177+D178+D179+D180+D181+(D182/2)</f>
        <v>0</v>
      </c>
      <c r="P182" s="474">
        <f t="shared" si="45"/>
        <v>0</v>
      </c>
      <c r="Q182" s="474">
        <f t="shared" si="46"/>
        <v>0</v>
      </c>
      <c r="R182" s="474">
        <f t="shared" si="47"/>
        <v>343.49989132317432</v>
      </c>
      <c r="S182" s="474">
        <f t="shared" si="66"/>
        <v>343.49989132317432</v>
      </c>
      <c r="T182" s="476">
        <f t="shared" si="39"/>
        <v>343.49989132317432</v>
      </c>
      <c r="V182" s="437">
        <f t="shared" si="48"/>
        <v>0</v>
      </c>
      <c r="W182" s="437"/>
      <c r="X182" s="437"/>
      <c r="Y182" s="437"/>
      <c r="Z182" s="437"/>
      <c r="AA182" s="437"/>
      <c r="AB182" s="477"/>
      <c r="AC182" s="514" t="b">
        <f>IF(AD182=12,AF182)</f>
        <v>0</v>
      </c>
      <c r="AD182" s="514">
        <f t="shared" si="49"/>
        <v>1</v>
      </c>
      <c r="AE182" s="514">
        <f>IF(V182=0,0,12)</f>
        <v>0</v>
      </c>
      <c r="AF182" s="437">
        <f>SUM(V182)/($B$168-B181)</f>
        <v>0</v>
      </c>
      <c r="AG182" s="437"/>
      <c r="AH182" s="450">
        <f>SUM(D172:D182)+$C$171</f>
        <v>0</v>
      </c>
      <c r="AI182" s="516" t="b">
        <f t="shared" si="50"/>
        <v>0</v>
      </c>
      <c r="AJ182" s="287">
        <f t="shared" si="51"/>
        <v>54.5017821</v>
      </c>
      <c r="AK182" s="441">
        <f t="shared" si="67"/>
        <v>0.81413357986421619</v>
      </c>
      <c r="AL182" s="289">
        <f t="shared" si="52"/>
        <v>343.49924001631013</v>
      </c>
      <c r="AM182" s="287">
        <f t="shared" si="53"/>
        <v>58.734415599999998</v>
      </c>
      <c r="AN182" s="442">
        <f t="shared" si="54"/>
        <v>0.85477073319485097</v>
      </c>
      <c r="AO182" s="291">
        <f t="shared" si="55"/>
        <v>403.50307231196138</v>
      </c>
      <c r="AP182" s="519">
        <f t="shared" si="40"/>
        <v>-17.372412036108326</v>
      </c>
      <c r="AQ182" s="291">
        <f t="shared" si="56"/>
        <v>-570</v>
      </c>
      <c r="AR182" s="443">
        <f t="shared" si="68"/>
        <v>-498.5</v>
      </c>
      <c r="AS182" s="444">
        <f t="shared" si="57"/>
        <v>747.0023123282715</v>
      </c>
      <c r="AT182" s="445">
        <f t="shared" si="58"/>
        <v>-343.49924001631013</v>
      </c>
      <c r="AU182" s="446">
        <f t="shared" si="59"/>
        <v>326.12682798020182</v>
      </c>
      <c r="AV182" s="445"/>
      <c r="AW182" s="447">
        <f t="shared" si="60"/>
        <v>-280.86449731806579</v>
      </c>
      <c r="AX182" s="447">
        <f t="shared" si="61"/>
        <v>-217.63550268193424</v>
      </c>
      <c r="AY182" s="448">
        <f t="shared" si="62"/>
        <v>-41.301054817418049</v>
      </c>
      <c r="AZ182" s="448">
        <f t="shared" si="63"/>
        <v>-53.300127309435105</v>
      </c>
      <c r="BA182" s="451">
        <f t="shared" si="64"/>
        <v>41.301054817418049</v>
      </c>
      <c r="BB182" s="451">
        <f t="shared" si="64"/>
        <v>53.300127309435105</v>
      </c>
      <c r="BD182" s="136"/>
      <c r="BE182" s="298">
        <v>9</v>
      </c>
      <c r="BF182" s="299">
        <f t="shared" si="72"/>
        <v>-129</v>
      </c>
      <c r="BG182" s="42">
        <f t="shared" si="73"/>
        <v>-129</v>
      </c>
      <c r="BH182" s="301">
        <f t="shared" si="69"/>
        <v>-343.09675312035324</v>
      </c>
      <c r="BI182" s="302">
        <f t="shared" si="70"/>
        <v>343.09675312035324</v>
      </c>
      <c r="BJ182" s="302">
        <f t="shared" si="74"/>
        <v>0.90324687964672989</v>
      </c>
      <c r="BK182" s="302" t="b">
        <f t="shared" si="71"/>
        <v>0</v>
      </c>
      <c r="BL182" s="304">
        <v>9</v>
      </c>
      <c r="EK182" s="78"/>
      <c r="EL182" s="78"/>
    </row>
    <row r="183" spans="2:142" ht="24" thickBot="1" x14ac:dyDescent="0.35">
      <c r="U183" s="276"/>
      <c r="AH183" s="554" t="s">
        <v>79</v>
      </c>
      <c r="AI183" s="555">
        <f>MAX(AI171:AI182)</f>
        <v>0</v>
      </c>
      <c r="BD183" s="136"/>
      <c r="BE183" s="298">
        <v>10</v>
      </c>
      <c r="BF183" s="299">
        <f t="shared" si="72"/>
        <v>-86</v>
      </c>
      <c r="BG183" s="42">
        <f t="shared" si="73"/>
        <v>-86</v>
      </c>
      <c r="BH183" s="301">
        <f t="shared" si="69"/>
        <v>-300.09675312035324</v>
      </c>
      <c r="BI183" s="302">
        <f t="shared" si="70"/>
        <v>300.09675312035324</v>
      </c>
      <c r="BJ183" s="302">
        <f t="shared" si="74"/>
        <v>0.90324687964672989</v>
      </c>
      <c r="BK183" s="302" t="b">
        <f t="shared" si="71"/>
        <v>0</v>
      </c>
      <c r="BL183" s="304">
        <v>10</v>
      </c>
      <c r="EK183" s="78"/>
      <c r="EL183" s="78"/>
    </row>
    <row r="184" spans="2:142" ht="27" hidden="1" thickBot="1" x14ac:dyDescent="0.35">
      <c r="B184" s="350"/>
      <c r="U184" s="276"/>
      <c r="AL184" s="845" t="s">
        <v>201</v>
      </c>
      <c r="AM184" s="846"/>
      <c r="AN184" s="846"/>
      <c r="AO184" s="846"/>
      <c r="AP184" s="847"/>
      <c r="BE184" s="298">
        <v>11</v>
      </c>
      <c r="BF184" s="299">
        <f t="shared" si="72"/>
        <v>-43</v>
      </c>
      <c r="BG184" s="42">
        <f t="shared" si="73"/>
        <v>-43</v>
      </c>
      <c r="BH184" s="301">
        <f t="shared" si="69"/>
        <v>-257.09675312035324</v>
      </c>
      <c r="BI184" s="302">
        <f t="shared" si="70"/>
        <v>257.09675312035324</v>
      </c>
      <c r="BJ184" s="302">
        <f t="shared" si="74"/>
        <v>0.90324687964672989</v>
      </c>
      <c r="BK184" s="302" t="b">
        <f t="shared" si="71"/>
        <v>0</v>
      </c>
      <c r="BL184" s="304">
        <v>11</v>
      </c>
    </row>
    <row r="185" spans="2:142" ht="50" hidden="1" thickBot="1" x14ac:dyDescent="0.35">
      <c r="B185" s="350"/>
      <c r="AB185" s="415"/>
      <c r="AC185" s="415"/>
      <c r="AD185" s="415"/>
      <c r="AE185" s="415"/>
      <c r="AH185" s="546" t="s">
        <v>79</v>
      </c>
      <c r="AI185" s="547">
        <f>MAX(AI171:AI183)</f>
        <v>0</v>
      </c>
      <c r="AL185" s="814" t="s">
        <v>175</v>
      </c>
      <c r="AM185" s="815" t="s">
        <v>176</v>
      </c>
      <c r="AN185" s="815" t="s">
        <v>177</v>
      </c>
      <c r="AO185" s="816" t="s">
        <v>181</v>
      </c>
      <c r="AP185" s="817"/>
      <c r="BE185" s="298">
        <v>12</v>
      </c>
      <c r="BF185" s="299">
        <f t="shared" si="72"/>
        <v>0</v>
      </c>
      <c r="BG185" s="42">
        <f t="shared" si="73"/>
        <v>0</v>
      </c>
      <c r="BH185" s="301">
        <f t="shared" si="69"/>
        <v>-214.09675312035327</v>
      </c>
      <c r="BI185" s="302">
        <f t="shared" si="70"/>
        <v>214.09675312035327</v>
      </c>
      <c r="BJ185" s="302">
        <f t="shared" si="74"/>
        <v>0.90324687964672989</v>
      </c>
      <c r="BK185" s="302" t="b">
        <f t="shared" si="71"/>
        <v>0</v>
      </c>
      <c r="BL185" s="304">
        <v>12</v>
      </c>
    </row>
    <row r="186" spans="2:142" ht="25" hidden="1" thickBot="1" x14ac:dyDescent="0.35">
      <c r="B186" s="350"/>
      <c r="AB186" s="415"/>
      <c r="AC186" s="415"/>
      <c r="AD186" s="415"/>
      <c r="AE186" s="415"/>
      <c r="AH186" s="853"/>
      <c r="AI186" s="854"/>
      <c r="AL186" s="818">
        <v>6.8623010000000004</v>
      </c>
      <c r="AM186" s="819">
        <f>+(AI185*-1)-AL186</f>
        <v>-6.8623010000000004</v>
      </c>
      <c r="AN186" s="820">
        <f>COS(AM186*3.14159265358979/180)</f>
        <v>0.99283617366519983</v>
      </c>
      <c r="AO186" s="848">
        <f>+AN186*378.71303</f>
        <v>375.99999562235405</v>
      </c>
      <c r="AP186" s="821"/>
      <c r="BE186" s="298">
        <v>13</v>
      </c>
      <c r="BF186" s="299">
        <f t="shared" ref="BF186:BF210" si="75">+BF185+43</f>
        <v>43</v>
      </c>
      <c r="BG186" s="42">
        <f t="shared" ref="BG186:BG210" si="76">+BG185+$E$2</f>
        <v>43</v>
      </c>
      <c r="BH186" s="301">
        <f t="shared" ref="BH186:BH210" si="77">+BG186-D$3</f>
        <v>-171.09675312035327</v>
      </c>
      <c r="BI186" s="302">
        <f t="shared" ref="BI186:BI210" si="78">ABS(BH186)</f>
        <v>171.09675312035327</v>
      </c>
      <c r="BJ186" s="302">
        <f t="shared" ref="BJ186:BJ210" si="79">+BJ185</f>
        <v>0.90324687964672989</v>
      </c>
      <c r="BK186" s="302" t="b">
        <f t="shared" ref="BK186:BK210" si="80">IF(BJ186=BI186,BE186)</f>
        <v>0</v>
      </c>
      <c r="BL186" s="304">
        <v>13</v>
      </c>
    </row>
    <row r="187" spans="2:142" ht="27" hidden="1" thickBot="1" x14ac:dyDescent="0.35">
      <c r="B187" s="350"/>
      <c r="AB187" s="415"/>
      <c r="AC187" s="415"/>
      <c r="AD187" s="415"/>
      <c r="AE187" s="415"/>
      <c r="AH187" s="853"/>
      <c r="AI187" s="854"/>
      <c r="AL187" s="844" t="s">
        <v>202</v>
      </c>
      <c r="AM187" s="849"/>
      <c r="AN187" s="849"/>
      <c r="AO187" s="849"/>
      <c r="AP187" s="850"/>
      <c r="BE187" s="298">
        <v>14</v>
      </c>
      <c r="BF187" s="299">
        <f t="shared" si="75"/>
        <v>86</v>
      </c>
      <c r="BG187" s="42">
        <f t="shared" si="76"/>
        <v>86</v>
      </c>
      <c r="BH187" s="301">
        <f t="shared" si="77"/>
        <v>-128.09675312035327</v>
      </c>
      <c r="BI187" s="302">
        <f t="shared" si="78"/>
        <v>128.09675312035327</v>
      </c>
      <c r="BJ187" s="302">
        <f t="shared" si="79"/>
        <v>0.90324687964672989</v>
      </c>
      <c r="BK187" s="302" t="b">
        <f t="shared" si="80"/>
        <v>0</v>
      </c>
      <c r="BL187" s="304">
        <v>14</v>
      </c>
    </row>
    <row r="188" spans="2:142" ht="97" hidden="1" x14ac:dyDescent="0.3">
      <c r="B188" s="350"/>
      <c r="AB188" s="415"/>
      <c r="AC188" s="415"/>
      <c r="AD188" s="415"/>
      <c r="AE188" s="415"/>
      <c r="AH188" s="853"/>
      <c r="AI188" s="854"/>
      <c r="AL188" s="851"/>
      <c r="AM188" s="815" t="s">
        <v>194</v>
      </c>
      <c r="AN188" s="815" t="s">
        <v>193</v>
      </c>
      <c r="AO188" s="816" t="s">
        <v>203</v>
      </c>
      <c r="AP188" s="843" t="s">
        <v>191</v>
      </c>
      <c r="BE188" s="298">
        <v>15</v>
      </c>
      <c r="BF188" s="299">
        <f t="shared" si="75"/>
        <v>129</v>
      </c>
      <c r="BG188" s="42">
        <f t="shared" si="76"/>
        <v>129</v>
      </c>
      <c r="BH188" s="301">
        <f t="shared" si="77"/>
        <v>-85.09675312035327</v>
      </c>
      <c r="BI188" s="302">
        <f t="shared" si="78"/>
        <v>85.09675312035327</v>
      </c>
      <c r="BJ188" s="302">
        <f t="shared" si="79"/>
        <v>0.90324687964672989</v>
      </c>
      <c r="BK188" s="302" t="b">
        <f t="shared" si="80"/>
        <v>0</v>
      </c>
      <c r="BL188" s="304">
        <v>15</v>
      </c>
    </row>
    <row r="189" spans="2:142" ht="25" hidden="1" thickBot="1" x14ac:dyDescent="0.35">
      <c r="V189" s="187"/>
      <c r="W189" s="187"/>
      <c r="X189" s="187"/>
      <c r="Y189" s="187"/>
      <c r="Z189" s="187"/>
      <c r="AA189" s="187"/>
      <c r="AB189" s="187"/>
      <c r="AC189" s="187"/>
      <c r="AD189" s="187"/>
      <c r="AE189" s="187"/>
      <c r="AF189" s="187"/>
      <c r="AG189" s="187"/>
      <c r="AH189" s="187"/>
      <c r="AI189" s="187"/>
      <c r="AJ189" s="187"/>
      <c r="AK189" s="187"/>
      <c r="AL189" s="852"/>
      <c r="AM189" s="822">
        <f>+AI185</f>
        <v>0</v>
      </c>
      <c r="AN189" s="823">
        <f>SIN(AM189*3.14159265358979/180)</f>
        <v>0</v>
      </c>
      <c r="AO189" s="824">
        <f>+AN189*((+B135*358.6)+(B168*491.5)+119+119+119)</f>
        <v>0</v>
      </c>
      <c r="AP189" s="825">
        <f>+AO186+AO189</f>
        <v>375.99999562235405</v>
      </c>
      <c r="AQ189" s="187"/>
      <c r="AR189" s="187"/>
      <c r="AS189" s="187"/>
      <c r="AT189" s="187">
        <f>+AS171-AP171</f>
        <v>527.2385675390035</v>
      </c>
      <c r="AU189" s="187"/>
      <c r="AV189" s="187"/>
      <c r="AW189" s="187"/>
      <c r="AX189" s="187"/>
      <c r="AY189" s="187"/>
      <c r="AZ189" s="187"/>
      <c r="BA189" s="187"/>
      <c r="BB189" s="187"/>
      <c r="BC189" s="126"/>
      <c r="BE189" s="298">
        <v>16</v>
      </c>
      <c r="BF189" s="299">
        <f t="shared" si="75"/>
        <v>172</v>
      </c>
      <c r="BG189" s="42">
        <f t="shared" si="76"/>
        <v>172</v>
      </c>
      <c r="BH189" s="301">
        <f t="shared" si="77"/>
        <v>-42.09675312035327</v>
      </c>
      <c r="BI189" s="302">
        <f t="shared" si="78"/>
        <v>42.09675312035327</v>
      </c>
      <c r="BJ189" s="302">
        <f t="shared" si="79"/>
        <v>0.90324687964672989</v>
      </c>
      <c r="BK189" s="302" t="b">
        <f t="shared" si="80"/>
        <v>0</v>
      </c>
      <c r="BL189" s="304">
        <v>16</v>
      </c>
    </row>
    <row r="190" spans="2:142" ht="21" hidden="1" thickBot="1" x14ac:dyDescent="0.35">
      <c r="V190" s="187"/>
      <c r="W190" s="187"/>
      <c r="X190" s="187"/>
      <c r="Y190" s="187"/>
      <c r="Z190" s="187"/>
      <c r="AA190" s="187"/>
      <c r="AB190" s="187"/>
      <c r="AC190" s="187"/>
      <c r="AD190" s="187"/>
      <c r="AE190" s="187"/>
      <c r="AF190" s="187"/>
      <c r="AG190" s="187"/>
      <c r="AH190" s="187"/>
      <c r="AI190" s="187"/>
      <c r="AJ190" s="187"/>
      <c r="AK190" s="187"/>
      <c r="AL190" s="187"/>
      <c r="AM190" s="187"/>
      <c r="AN190" s="187"/>
      <c r="AO190" s="187"/>
      <c r="AP190" s="187"/>
      <c r="AQ190" s="187"/>
      <c r="AR190" s="187"/>
      <c r="AS190" s="187"/>
      <c r="AT190" s="187"/>
      <c r="AU190" s="187"/>
      <c r="AV190" s="187"/>
      <c r="AW190" s="187"/>
      <c r="AX190" s="187"/>
      <c r="AY190" s="187"/>
      <c r="AZ190" s="187"/>
      <c r="BA190" s="187"/>
      <c r="BB190" s="187"/>
      <c r="BC190" s="126"/>
      <c r="BE190" s="298">
        <v>17</v>
      </c>
      <c r="BF190" s="299">
        <f t="shared" si="75"/>
        <v>215</v>
      </c>
      <c r="BG190" s="42">
        <f t="shared" si="76"/>
        <v>215</v>
      </c>
      <c r="BH190" s="301">
        <f t="shared" si="77"/>
        <v>0.90324687964672989</v>
      </c>
      <c r="BI190" s="302">
        <f t="shared" si="78"/>
        <v>0.90324687964672989</v>
      </c>
      <c r="BJ190" s="302">
        <f t="shared" si="79"/>
        <v>0.90324687964672989</v>
      </c>
      <c r="BK190" s="302">
        <f t="shared" si="80"/>
        <v>17</v>
      </c>
      <c r="BL190" s="304">
        <v>17</v>
      </c>
    </row>
    <row r="191" spans="2:142" ht="60" customHeight="1" thickBot="1" x14ac:dyDescent="0.35">
      <c r="B191" s="345" t="s">
        <v>118</v>
      </c>
      <c r="C191" s="454"/>
      <c r="D191" s="455"/>
      <c r="E191" s="37"/>
      <c r="F191" s="37"/>
      <c r="G191" s="37"/>
      <c r="H191" s="456"/>
      <c r="I191" s="456"/>
      <c r="J191" s="456"/>
      <c r="K191" s="456"/>
      <c r="L191" s="456"/>
      <c r="M191" s="456"/>
      <c r="N191" s="456"/>
      <c r="O191" s="456"/>
      <c r="P191" s="456"/>
      <c r="Q191" s="456"/>
      <c r="R191" s="456"/>
      <c r="S191" s="457" t="s">
        <v>66</v>
      </c>
      <c r="T191" s="457">
        <f>SUM(V195:V214)/B192</f>
        <v>213.83080000000001</v>
      </c>
      <c r="U191" s="212"/>
      <c r="V191" s="187"/>
      <c r="W191" s="187"/>
      <c r="X191" s="187"/>
      <c r="Y191" s="187"/>
      <c r="Z191" s="187"/>
      <c r="AA191" s="187"/>
      <c r="AB191" s="187"/>
      <c r="AC191" s="187"/>
      <c r="AD191" s="187"/>
      <c r="AE191" s="187"/>
      <c r="AF191" s="187"/>
      <c r="AG191" s="187"/>
      <c r="AH191" s="187"/>
      <c r="AI191" s="187"/>
      <c r="AJ191" s="187"/>
      <c r="AK191" s="187"/>
      <c r="AL191" s="187"/>
      <c r="AM191" s="187"/>
      <c r="AN191" s="187"/>
      <c r="AO191" s="187"/>
      <c r="AP191" s="187"/>
      <c r="AQ191" s="187"/>
      <c r="AR191" s="187"/>
      <c r="AS191" s="187"/>
      <c r="AT191" s="187"/>
      <c r="AU191" s="187"/>
      <c r="AV191" s="187"/>
      <c r="AW191" s="187"/>
      <c r="AX191" s="187"/>
      <c r="AY191" s="187"/>
      <c r="AZ191" s="187"/>
      <c r="BA191" s="187"/>
      <c r="BB191" s="187"/>
      <c r="BC191" s="126"/>
      <c r="BE191" s="298">
        <v>18</v>
      </c>
      <c r="BF191" s="299">
        <f t="shared" si="75"/>
        <v>258</v>
      </c>
      <c r="BG191" s="42">
        <f t="shared" si="76"/>
        <v>258</v>
      </c>
      <c r="BH191" s="301">
        <f t="shared" si="77"/>
        <v>43.90324687964673</v>
      </c>
      <c r="BI191" s="302">
        <f t="shared" si="78"/>
        <v>43.90324687964673</v>
      </c>
      <c r="BJ191" s="302">
        <f t="shared" si="79"/>
        <v>0.90324687964672989</v>
      </c>
      <c r="BK191" s="302" t="b">
        <f t="shared" si="80"/>
        <v>0</v>
      </c>
      <c r="BL191" s="304">
        <v>18</v>
      </c>
    </row>
    <row r="192" spans="2:142" ht="35.25" customHeight="1" thickBot="1" x14ac:dyDescent="0.35">
      <c r="B192" s="27">
        <v>1</v>
      </c>
      <c r="C192" s="216"/>
      <c r="D192" s="549" t="s">
        <v>117</v>
      </c>
      <c r="E192" s="330"/>
      <c r="F192" s="330"/>
      <c r="G192" s="330"/>
      <c r="H192" s="460"/>
      <c r="I192" s="461"/>
      <c r="J192" s="461"/>
      <c r="K192" s="461"/>
      <c r="L192" s="461"/>
      <c r="M192" s="461"/>
      <c r="N192" s="461"/>
      <c r="O192" s="461"/>
      <c r="P192" s="461"/>
      <c r="Q192" s="461"/>
      <c r="R192" s="461"/>
      <c r="S192" s="462"/>
      <c r="T192" s="463"/>
      <c r="U192" s="401"/>
      <c r="V192" s="464"/>
      <c r="W192" s="464"/>
      <c r="X192" s="464"/>
      <c r="Y192" s="464"/>
      <c r="Z192" s="464"/>
      <c r="AA192" s="464"/>
      <c r="AB192" s="464"/>
      <c r="AC192" s="464"/>
      <c r="AD192" s="464"/>
      <c r="AE192" s="464"/>
      <c r="AF192" s="464"/>
      <c r="AG192" s="464"/>
      <c r="AH192" s="464"/>
      <c r="AI192" s="464"/>
      <c r="AJ192" s="464"/>
      <c r="AK192" s="464"/>
      <c r="AL192" s="464"/>
      <c r="AM192" s="464"/>
      <c r="AN192" s="464"/>
      <c r="AO192" s="464"/>
      <c r="AP192" s="464"/>
      <c r="AQ192" s="464"/>
      <c r="AR192" s="464"/>
      <c r="AS192" s="464"/>
      <c r="AT192" s="464"/>
      <c r="AU192" s="464"/>
      <c r="AV192" s="464"/>
      <c r="AW192" s="464"/>
      <c r="AX192" s="464"/>
      <c r="AY192" s="464"/>
      <c r="AZ192" s="464"/>
      <c r="BA192" s="1848" t="s">
        <v>52</v>
      </c>
      <c r="BB192" s="1849"/>
      <c r="BC192" s="218"/>
      <c r="BE192" s="298">
        <v>19</v>
      </c>
      <c r="BF192" s="299">
        <f t="shared" si="75"/>
        <v>301</v>
      </c>
      <c r="BG192" s="42">
        <f t="shared" si="76"/>
        <v>301</v>
      </c>
      <c r="BH192" s="301">
        <f t="shared" si="77"/>
        <v>86.90324687964673</v>
      </c>
      <c r="BI192" s="302">
        <f t="shared" si="78"/>
        <v>86.90324687964673</v>
      </c>
      <c r="BJ192" s="302">
        <f t="shared" si="79"/>
        <v>0.90324687964672989</v>
      </c>
      <c r="BK192" s="302" t="b">
        <f t="shared" si="80"/>
        <v>0</v>
      </c>
      <c r="BL192" s="304">
        <v>19</v>
      </c>
      <c r="BP192" s="305"/>
      <c r="BQ192" s="305"/>
      <c r="BR192" s="305"/>
      <c r="BS192" s="305"/>
      <c r="BT192" s="305"/>
      <c r="BU192" s="305"/>
      <c r="BV192" s="1818"/>
      <c r="BW192" s="1818"/>
      <c r="BX192" s="1818"/>
      <c r="BY192" s="126"/>
    </row>
    <row r="193" spans="1:109" ht="22" hidden="1" thickBot="1" x14ac:dyDescent="0.35">
      <c r="C193" s="416"/>
      <c r="D193" s="354" t="s">
        <v>13</v>
      </c>
      <c r="H193" s="465" t="s">
        <v>4</v>
      </c>
      <c r="I193" s="465" t="s">
        <v>1</v>
      </c>
      <c r="J193" s="456" t="s">
        <v>0</v>
      </c>
      <c r="K193" s="456" t="s">
        <v>2</v>
      </c>
      <c r="L193" s="456" t="s">
        <v>3</v>
      </c>
      <c r="M193" s="456" t="s">
        <v>8</v>
      </c>
      <c r="N193" s="456" t="s">
        <v>5</v>
      </c>
      <c r="O193" s="456" t="s">
        <v>6</v>
      </c>
      <c r="P193" s="456" t="s">
        <v>7</v>
      </c>
      <c r="Q193" s="456" t="s">
        <v>9</v>
      </c>
      <c r="R193" s="466" t="s">
        <v>10</v>
      </c>
      <c r="S193" s="456" t="s">
        <v>11</v>
      </c>
      <c r="T193" s="467" t="s">
        <v>12</v>
      </c>
      <c r="V193" s="420"/>
      <c r="W193" s="420"/>
      <c r="X193" s="420"/>
      <c r="Y193" s="420"/>
      <c r="Z193" s="420"/>
      <c r="AA193" s="420"/>
      <c r="AB193" s="420"/>
      <c r="AC193" s="420"/>
      <c r="AD193" s="420"/>
      <c r="AE193" s="420"/>
      <c r="AF193" s="420"/>
      <c r="AG193" s="420"/>
      <c r="AH193" s="420"/>
      <c r="AI193" s="420"/>
      <c r="AJ193" s="420"/>
      <c r="AK193" s="420"/>
      <c r="AL193" s="420"/>
      <c r="AM193" s="420"/>
      <c r="AN193" s="420"/>
      <c r="AO193" s="420"/>
      <c r="AP193" s="420"/>
      <c r="AQ193" s="420"/>
      <c r="AR193" s="420"/>
      <c r="AS193" s="420"/>
      <c r="AT193" s="420"/>
      <c r="AU193" s="420"/>
      <c r="AV193" s="420"/>
      <c r="AW193" s="420"/>
      <c r="AX193" s="420"/>
      <c r="AY193" s="415"/>
      <c r="AZ193" s="420"/>
      <c r="BA193" s="420"/>
      <c r="BB193" s="420"/>
      <c r="BC193" s="231"/>
      <c r="BE193" s="298">
        <v>20</v>
      </c>
      <c r="BF193" s="299">
        <f t="shared" si="75"/>
        <v>344</v>
      </c>
      <c r="BG193" s="42">
        <f t="shared" si="76"/>
        <v>344</v>
      </c>
      <c r="BH193" s="301">
        <f t="shared" si="77"/>
        <v>129.90324687964673</v>
      </c>
      <c r="BI193" s="302">
        <f t="shared" si="78"/>
        <v>129.90324687964673</v>
      </c>
      <c r="BJ193" s="302">
        <f t="shared" si="79"/>
        <v>0.90324687964672989</v>
      </c>
      <c r="BK193" s="302" t="b">
        <f t="shared" si="80"/>
        <v>0</v>
      </c>
      <c r="BL193" s="304">
        <v>20</v>
      </c>
      <c r="BV193" s="306"/>
      <c r="CI193" s="306"/>
    </row>
    <row r="194" spans="1:109" ht="45" customHeight="1" thickBot="1" x14ac:dyDescent="0.35">
      <c r="B194" s="421"/>
      <c r="C194" s="422"/>
      <c r="D194" s="551" t="s">
        <v>22</v>
      </c>
      <c r="E194" s="330"/>
      <c r="F194" s="468" t="s">
        <v>45</v>
      </c>
      <c r="G194" s="240"/>
      <c r="H194" s="469"/>
      <c r="I194" s="470"/>
      <c r="R194" s="466"/>
      <c r="T194" s="471"/>
      <c r="V194" s="420"/>
      <c r="W194" s="420"/>
      <c r="X194" s="420"/>
      <c r="Y194" s="420"/>
      <c r="Z194" s="420"/>
      <c r="AA194" s="420"/>
      <c r="AB194" s="420"/>
      <c r="AC194" s="420"/>
      <c r="AD194" s="420"/>
      <c r="AE194" s="420"/>
      <c r="AF194" s="420" t="s">
        <v>38</v>
      </c>
      <c r="AG194" s="552" t="s">
        <v>102</v>
      </c>
      <c r="AH194" s="425" t="s">
        <v>31</v>
      </c>
      <c r="AI194" s="425"/>
      <c r="AJ194" s="368" t="s">
        <v>120</v>
      </c>
      <c r="AK194" s="426" t="s">
        <v>32</v>
      </c>
      <c r="AL194" s="472" t="s">
        <v>142</v>
      </c>
      <c r="AM194" s="368" t="s">
        <v>121</v>
      </c>
      <c r="AN194" s="427" t="s">
        <v>34</v>
      </c>
      <c r="AO194" s="472" t="s">
        <v>143</v>
      </c>
      <c r="AP194" s="427"/>
      <c r="AQ194" s="473" t="s">
        <v>36</v>
      </c>
      <c r="AR194" s="420"/>
      <c r="AS194" s="420" t="s">
        <v>37</v>
      </c>
      <c r="AT194" s="420" t="s">
        <v>39</v>
      </c>
      <c r="AU194" s="420"/>
      <c r="AV194" s="420" t="s">
        <v>40</v>
      </c>
      <c r="AW194" s="429" t="s">
        <v>41</v>
      </c>
      <c r="AX194" s="429" t="s">
        <v>42</v>
      </c>
      <c r="AY194" s="430" t="s">
        <v>23</v>
      </c>
      <c r="AZ194" s="430" t="s">
        <v>24</v>
      </c>
      <c r="BA194" s="431" t="s">
        <v>23</v>
      </c>
      <c r="BB194" s="431" t="s">
        <v>24</v>
      </c>
      <c r="BE194" s="298">
        <v>21</v>
      </c>
      <c r="BF194" s="299">
        <f t="shared" si="75"/>
        <v>387</v>
      </c>
      <c r="BG194" s="42">
        <f t="shared" si="76"/>
        <v>387</v>
      </c>
      <c r="BH194" s="301">
        <f t="shared" si="77"/>
        <v>172.90324687964673</v>
      </c>
      <c r="BI194" s="302">
        <f t="shared" si="78"/>
        <v>172.90324687964673</v>
      </c>
      <c r="BJ194" s="302">
        <f t="shared" si="79"/>
        <v>0.90324687964672989</v>
      </c>
      <c r="BK194" s="302" t="b">
        <f t="shared" si="80"/>
        <v>0</v>
      </c>
      <c r="BL194" s="304">
        <v>21</v>
      </c>
      <c r="BP194" s="307"/>
      <c r="BQ194" s="307"/>
      <c r="BR194" s="307"/>
      <c r="BS194" s="307"/>
      <c r="BT194" s="307"/>
      <c r="BU194" s="307"/>
      <c r="BV194" s="1819"/>
      <c r="BW194" s="1819"/>
      <c r="CH194" s="1813"/>
      <c r="CI194" s="1813"/>
    </row>
    <row r="195" spans="1:109" ht="21" customHeight="1" thickBot="1" x14ac:dyDescent="0.35">
      <c r="B195" s="255">
        <v>1</v>
      </c>
      <c r="C195" s="256">
        <f>+AI185+D195</f>
        <v>0</v>
      </c>
      <c r="D195" s="25">
        <v>0</v>
      </c>
      <c r="E195" s="257" t="s">
        <v>119</v>
      </c>
      <c r="F195" s="258">
        <f>+G195</f>
        <v>0</v>
      </c>
      <c r="G195" s="258">
        <f>+D195</f>
        <v>0</v>
      </c>
      <c r="H195" s="506">
        <v>279.06049999999999</v>
      </c>
      <c r="I195" s="507">
        <v>79.962900599999998</v>
      </c>
      <c r="J195" s="508">
        <f>+I195-C195</f>
        <v>79.962900599999998</v>
      </c>
      <c r="K195" s="508">
        <f>+J195/2</f>
        <v>39.981450299999999</v>
      </c>
      <c r="L195" s="508">
        <f t="shared" ref="L195:L214" si="81">SIN(K195*3.14159265358979/180)</f>
        <v>0.64253956655634092</v>
      </c>
      <c r="M195" s="508">
        <f t="shared" ref="M195:M214" si="82">+L195*H195</f>
        <v>179.30741271299578</v>
      </c>
      <c r="N195" s="508">
        <f t="shared" ref="N195:N214" si="83">+M195*2</f>
        <v>358.61482542599157</v>
      </c>
      <c r="O195" s="508">
        <f>+C195/2</f>
        <v>0</v>
      </c>
      <c r="P195" s="508">
        <f t="shared" ref="P195:P214" si="84">SIN(O195*3.14159265358979/180)</f>
        <v>0</v>
      </c>
      <c r="Q195" s="508">
        <f t="shared" ref="Q195:Q214" si="85">+P195*N195</f>
        <v>0</v>
      </c>
      <c r="R195" s="509">
        <v>213.83080000000001</v>
      </c>
      <c r="S195" s="508">
        <f>+R195+Q195</f>
        <v>213.83080000000001</v>
      </c>
      <c r="T195" s="510">
        <f t="shared" ref="T195:T214" si="86">+S195</f>
        <v>213.83080000000001</v>
      </c>
      <c r="U195" s="456"/>
      <c r="V195" s="511">
        <f t="shared" ref="V195:V214" si="87">IF(B195&lt;($B$192+1),T195,0)</f>
        <v>213.83080000000001</v>
      </c>
      <c r="W195" s="512"/>
      <c r="X195" s="511"/>
      <c r="Y195" s="512"/>
      <c r="Z195" s="419"/>
      <c r="AA195" s="513"/>
      <c r="AB195" s="477" t="str">
        <f>IF(AZ195&lt;0,"use the locking pin"," ")</f>
        <v xml:space="preserve"> </v>
      </c>
      <c r="AC195" s="514"/>
      <c r="AD195" s="514"/>
      <c r="AE195" s="514"/>
      <c r="AF195" s="511">
        <f>SUM(V195:V214)/($B$192)</f>
        <v>213.83080000000001</v>
      </c>
      <c r="AG195" s="511">
        <f>+AF195+AA171+AA138</f>
        <v>213.83079116289136</v>
      </c>
      <c r="AH195" s="515">
        <f>C195</f>
        <v>0</v>
      </c>
      <c r="AI195" s="516"/>
      <c r="AJ195" s="287">
        <f>66.2555484-AH195</f>
        <v>66.255548399999995</v>
      </c>
      <c r="AK195" s="517">
        <f t="shared" ref="AK195:AK214" si="88">SIN(AJ195*3.14159265358979/180)</f>
        <v>0.91535047595051022</v>
      </c>
      <c r="AL195" s="289">
        <f>+AK195*304.3209</f>
        <v>278.56028065668761</v>
      </c>
      <c r="AM195" s="287">
        <f>50.0185497+AH195</f>
        <v>50.018549700000001</v>
      </c>
      <c r="AN195" s="518">
        <f>SIN(AM195*3.14159265358979/180)</f>
        <v>0.76625250760411079</v>
      </c>
      <c r="AO195" s="291">
        <f>+AN195*279.0605</f>
        <v>213.83080789825695</v>
      </c>
      <c r="AP195" s="519"/>
      <c r="AQ195" s="269">
        <f>40.5*B192</f>
        <v>40.5</v>
      </c>
      <c r="AR195" s="519"/>
      <c r="AS195" s="520">
        <f>+AO195+AL195</f>
        <v>492.39108855494453</v>
      </c>
      <c r="AT195" s="521">
        <f>+V195-AO195</f>
        <v>-7.8982569391428115E-6</v>
      </c>
      <c r="AU195" s="522"/>
      <c r="AV195" s="521">
        <f>+AF195-AT195</f>
        <v>213.83080789825695</v>
      </c>
      <c r="AW195" s="523">
        <f>+((AS195-AV195)/AS195)*AQ195</f>
        <v>22.912054317849329</v>
      </c>
      <c r="AX195" s="523">
        <f>+(AV195/AS195)*AQ195</f>
        <v>17.587945682150675</v>
      </c>
      <c r="AY195" s="448">
        <f t="shared" ref="AY195:AY214" si="89">2*$C$18/AW195</f>
        <v>506.28371594611554</v>
      </c>
      <c r="AZ195" s="448">
        <f t="shared" ref="AZ195:AZ214" si="90">$D$18/AX195</f>
        <v>568.57123513569934</v>
      </c>
      <c r="BA195" s="451">
        <f>ABS(AY195)</f>
        <v>506.28371594611554</v>
      </c>
      <c r="BB195" s="451">
        <f>ABS(AZ195)</f>
        <v>568.57123513569934</v>
      </c>
      <c r="BC195" s="91" t="s">
        <v>43</v>
      </c>
      <c r="BE195" s="298">
        <v>22</v>
      </c>
      <c r="BF195" s="299">
        <f t="shared" si="75"/>
        <v>430</v>
      </c>
      <c r="BG195" s="42">
        <f t="shared" si="76"/>
        <v>430</v>
      </c>
      <c r="BH195" s="301">
        <f t="shared" si="77"/>
        <v>215.90324687964673</v>
      </c>
      <c r="BI195" s="302">
        <f t="shared" si="78"/>
        <v>215.90324687964673</v>
      </c>
      <c r="BJ195" s="302">
        <f t="shared" si="79"/>
        <v>0.90324687964672989</v>
      </c>
      <c r="BK195" s="302" t="b">
        <f t="shared" si="80"/>
        <v>0</v>
      </c>
      <c r="BL195" s="304">
        <v>22</v>
      </c>
    </row>
    <row r="196" spans="1:109" ht="21" customHeight="1" thickBot="1" x14ac:dyDescent="0.35">
      <c r="B196" s="277">
        <v>2</v>
      </c>
      <c r="C196" s="278"/>
      <c r="D196" s="25">
        <v>0</v>
      </c>
      <c r="E196" s="279" t="s">
        <v>130</v>
      </c>
      <c r="F196" s="258" t="e">
        <f t="shared" ref="F196:F214" si="91">+G196</f>
        <v>#DIV/0!</v>
      </c>
      <c r="G196" s="258" t="e">
        <f>+D196+BC196</f>
        <v>#DIV/0!</v>
      </c>
      <c r="H196" s="506">
        <v>279.06049999999999</v>
      </c>
      <c r="I196" s="507">
        <v>79.962900599999998</v>
      </c>
      <c r="J196" s="474">
        <f t="shared" ref="J196:J214" si="92">+I196-D196</f>
        <v>79.962900599999998</v>
      </c>
      <c r="K196" s="474">
        <f t="shared" ref="K196:K214" si="93">+J196/2</f>
        <v>39.981450299999999</v>
      </c>
      <c r="L196" s="474">
        <f t="shared" si="81"/>
        <v>0.64253956655634092</v>
      </c>
      <c r="M196" s="474">
        <f t="shared" si="82"/>
        <v>179.30741271299578</v>
      </c>
      <c r="N196" s="474">
        <f t="shared" si="83"/>
        <v>358.61482542599157</v>
      </c>
      <c r="O196" s="474">
        <f>+C195+(D196/2)</f>
        <v>0</v>
      </c>
      <c r="P196" s="474">
        <f t="shared" si="84"/>
        <v>0</v>
      </c>
      <c r="Q196" s="474">
        <f t="shared" si="85"/>
        <v>0</v>
      </c>
      <c r="R196" s="474">
        <f t="shared" ref="R196:R214" si="94">+T195</f>
        <v>213.83080000000001</v>
      </c>
      <c r="S196" s="474">
        <f>+R196+Q196</f>
        <v>213.83080000000001</v>
      </c>
      <c r="T196" s="476">
        <f t="shared" si="86"/>
        <v>213.83080000000001</v>
      </c>
      <c r="V196" s="437">
        <f t="shared" si="87"/>
        <v>0</v>
      </c>
      <c r="W196" s="437"/>
      <c r="X196" s="437"/>
      <c r="Y196" s="437"/>
      <c r="Z196" s="437"/>
      <c r="AA196" s="437"/>
      <c r="AB196" s="477" t="e">
        <f t="shared" ref="AB196:AB214" si="95">IF(AZ196&lt;0,"use the locking pin"," ")</f>
        <v>#DIV/0!</v>
      </c>
      <c r="AC196" s="514"/>
      <c r="AD196" s="514"/>
      <c r="AE196" s="514"/>
      <c r="AF196" s="437" t="e">
        <f>SUM(V196:V215)/($B$192-B195)</f>
        <v>#DIV/0!</v>
      </c>
      <c r="AG196" s="437"/>
      <c r="AH196" s="450">
        <f>SUM(D196)+$C$195</f>
        <v>0</v>
      </c>
      <c r="AI196" s="516"/>
      <c r="AJ196" s="287">
        <f t="shared" ref="AJ196:AJ214" si="96">66.2555484-AH196</f>
        <v>66.255548399999995</v>
      </c>
      <c r="AK196" s="441">
        <f t="shared" si="88"/>
        <v>0.91535047595051022</v>
      </c>
      <c r="AL196" s="289">
        <f t="shared" ref="AL196:AL214" si="97">+AK196*304.3209</f>
        <v>278.56028065668761</v>
      </c>
      <c r="AM196" s="287">
        <f t="shared" ref="AM196:AM214" si="98">50.0185497+AH196</f>
        <v>50.018549700000001</v>
      </c>
      <c r="AN196" s="442">
        <f t="shared" ref="AN196:AN214" si="99">SIN(AM196*3.14159265358979/180)</f>
        <v>0.76625250760411079</v>
      </c>
      <c r="AO196" s="291">
        <f t="shared" ref="AO196:AO214" si="100">+AN196*279.0605</f>
        <v>213.83080789825695</v>
      </c>
      <c r="AP196" s="519"/>
      <c r="AQ196" s="291">
        <f>40.5*($B$192-B195)</f>
        <v>0</v>
      </c>
      <c r="AR196" s="443"/>
      <c r="AS196" s="444">
        <f t="shared" ref="AS196:AS214" si="101">+AO196+AL196</f>
        <v>492.39108855494453</v>
      </c>
      <c r="AT196" s="445">
        <f>+V196-AO196</f>
        <v>-213.83080789825695</v>
      </c>
      <c r="AU196" s="446"/>
      <c r="AV196" s="445" t="e">
        <f>+AF196-AT196</f>
        <v>#DIV/0!</v>
      </c>
      <c r="AW196" s="447" t="e">
        <f t="shared" ref="AW196:AW214" si="102">+((AS196-AV196)/AS196)*AQ196</f>
        <v>#DIV/0!</v>
      </c>
      <c r="AX196" s="447" t="e">
        <f t="shared" ref="AX196:AX214" si="103">+(AV196/AS196)*AQ196</f>
        <v>#DIV/0!</v>
      </c>
      <c r="AY196" s="448" t="e">
        <f t="shared" si="89"/>
        <v>#DIV/0!</v>
      </c>
      <c r="AZ196" s="448" t="e">
        <f t="shared" si="90"/>
        <v>#DIV/0!</v>
      </c>
      <c r="BA196" s="451" t="e">
        <f t="shared" ref="BA196:BB214" si="104">ABS(AY196)</f>
        <v>#DIV/0!</v>
      </c>
      <c r="BB196" s="451" t="e">
        <f t="shared" si="104"/>
        <v>#DIV/0!</v>
      </c>
      <c r="BC196" t="e">
        <f t="shared" ref="BC196:BC214" si="105">IF(AZ196&lt;0,0.3,0)</f>
        <v>#DIV/0!</v>
      </c>
      <c r="BE196" s="298">
        <v>23</v>
      </c>
      <c r="BF196" s="299">
        <f t="shared" si="75"/>
        <v>473</v>
      </c>
      <c r="BG196" s="42">
        <f t="shared" si="76"/>
        <v>473</v>
      </c>
      <c r="BH196" s="301">
        <f t="shared" si="77"/>
        <v>258.90324687964676</v>
      </c>
      <c r="BI196" s="302">
        <f t="shared" si="78"/>
        <v>258.90324687964676</v>
      </c>
      <c r="BJ196" s="302">
        <f t="shared" si="79"/>
        <v>0.90324687964672989</v>
      </c>
      <c r="BK196" s="302" t="b">
        <f t="shared" si="80"/>
        <v>0</v>
      </c>
      <c r="BL196" s="304">
        <v>23</v>
      </c>
    </row>
    <row r="197" spans="1:109" ht="21" customHeight="1" thickBot="1" x14ac:dyDescent="0.35">
      <c r="B197" s="277">
        <v>3</v>
      </c>
      <c r="C197" s="278"/>
      <c r="D197" s="25">
        <v>0</v>
      </c>
      <c r="E197" s="279" t="s">
        <v>130</v>
      </c>
      <c r="F197" s="258">
        <f t="shared" si="91"/>
        <v>0.3</v>
      </c>
      <c r="G197" s="258">
        <f t="shared" ref="G197:G214" si="106">+D197+BC197</f>
        <v>0.3</v>
      </c>
      <c r="H197" s="506">
        <v>279.06049999999999</v>
      </c>
      <c r="I197" s="507">
        <v>79.962900599999998</v>
      </c>
      <c r="J197" s="474">
        <f t="shared" si="92"/>
        <v>79.962900599999998</v>
      </c>
      <c r="K197" s="474">
        <f t="shared" si="93"/>
        <v>39.981450299999999</v>
      </c>
      <c r="L197" s="474">
        <f t="shared" si="81"/>
        <v>0.64253956655634092</v>
      </c>
      <c r="M197" s="474">
        <f t="shared" si="82"/>
        <v>179.30741271299578</v>
      </c>
      <c r="N197" s="474">
        <f t="shared" si="83"/>
        <v>358.61482542599157</v>
      </c>
      <c r="O197" s="474">
        <f>+C195+D196+(D197/2)</f>
        <v>0</v>
      </c>
      <c r="P197" s="474">
        <f t="shared" si="84"/>
        <v>0</v>
      </c>
      <c r="Q197" s="474">
        <f t="shared" si="85"/>
        <v>0</v>
      </c>
      <c r="R197" s="474">
        <f t="shared" si="94"/>
        <v>213.83080000000001</v>
      </c>
      <c r="S197" s="474">
        <f t="shared" ref="S197:S214" si="107">+S196+Q197</f>
        <v>213.83080000000001</v>
      </c>
      <c r="T197" s="476">
        <f t="shared" si="86"/>
        <v>213.83080000000001</v>
      </c>
      <c r="V197" s="437">
        <f t="shared" si="87"/>
        <v>0</v>
      </c>
      <c r="W197" s="437"/>
      <c r="X197" s="437"/>
      <c r="Y197" s="437"/>
      <c r="Z197" s="437"/>
      <c r="AA197" s="437"/>
      <c r="AB197" s="477" t="str">
        <f t="shared" si="95"/>
        <v>use the locking pin</v>
      </c>
      <c r="AC197" s="514"/>
      <c r="AD197" s="514"/>
      <c r="AE197" s="514"/>
      <c r="AF197" s="437">
        <f>SUM(V197:V214)/($B$192-B196)</f>
        <v>0</v>
      </c>
      <c r="AG197" s="437"/>
      <c r="AH197" s="450">
        <f>SUM(D196:D197)+$C$195</f>
        <v>0</v>
      </c>
      <c r="AI197" s="516"/>
      <c r="AJ197" s="287">
        <f t="shared" si="96"/>
        <v>66.255548399999995</v>
      </c>
      <c r="AK197" s="441">
        <f t="shared" si="88"/>
        <v>0.91535047595051022</v>
      </c>
      <c r="AL197" s="289">
        <f t="shared" si="97"/>
        <v>278.56028065668761</v>
      </c>
      <c r="AM197" s="287">
        <f t="shared" si="98"/>
        <v>50.018549700000001</v>
      </c>
      <c r="AN197" s="442">
        <f t="shared" si="99"/>
        <v>0.76625250760411079</v>
      </c>
      <c r="AO197" s="291">
        <f t="shared" si="100"/>
        <v>213.83080789825695</v>
      </c>
      <c r="AP197" s="519"/>
      <c r="AQ197" s="291">
        <f t="shared" ref="AQ197:AQ214" si="108">40.5*($B$192-B196)</f>
        <v>-40.5</v>
      </c>
      <c r="AR197" s="443"/>
      <c r="AS197" s="444">
        <f t="shared" si="101"/>
        <v>492.39108855494453</v>
      </c>
      <c r="AT197" s="445">
        <f>+V197-AO197</f>
        <v>-213.83080789825695</v>
      </c>
      <c r="AU197" s="446"/>
      <c r="AV197" s="445">
        <f>+AF197-AT197</f>
        <v>213.83080789825695</v>
      </c>
      <c r="AW197" s="447">
        <f t="shared" si="102"/>
        <v>-22.912054317849329</v>
      </c>
      <c r="AX197" s="447">
        <f t="shared" si="103"/>
        <v>-17.587945682150675</v>
      </c>
      <c r="AY197" s="448">
        <f t="shared" si="89"/>
        <v>-506.28371594611554</v>
      </c>
      <c r="AZ197" s="448">
        <f t="shared" si="90"/>
        <v>-568.57123513569934</v>
      </c>
      <c r="BA197" s="451">
        <f t="shared" si="104"/>
        <v>506.28371594611554</v>
      </c>
      <c r="BB197" s="451">
        <f t="shared" si="104"/>
        <v>568.57123513569934</v>
      </c>
      <c r="BC197">
        <f t="shared" si="105"/>
        <v>0.3</v>
      </c>
      <c r="BE197" s="298">
        <v>24</v>
      </c>
      <c r="BF197" s="299">
        <f t="shared" si="75"/>
        <v>516</v>
      </c>
      <c r="BG197" s="42">
        <f t="shared" si="76"/>
        <v>516</v>
      </c>
      <c r="BH197" s="301">
        <f t="shared" si="77"/>
        <v>301.90324687964676</v>
      </c>
      <c r="BI197" s="302">
        <f t="shared" si="78"/>
        <v>301.90324687964676</v>
      </c>
      <c r="BJ197" s="302">
        <f t="shared" si="79"/>
        <v>0.90324687964672989</v>
      </c>
      <c r="BK197" s="302" t="b">
        <f t="shared" si="80"/>
        <v>0</v>
      </c>
      <c r="BL197" s="304">
        <v>24</v>
      </c>
    </row>
    <row r="198" spans="1:109" ht="21" customHeight="1" thickBot="1" x14ac:dyDescent="0.35">
      <c r="B198" s="277">
        <v>4</v>
      </c>
      <c r="C198" s="278"/>
      <c r="D198" s="25">
        <v>0</v>
      </c>
      <c r="E198" s="279" t="s">
        <v>130</v>
      </c>
      <c r="F198" s="258">
        <f t="shared" si="91"/>
        <v>0.3</v>
      </c>
      <c r="G198" s="258">
        <f t="shared" si="106"/>
        <v>0.3</v>
      </c>
      <c r="H198" s="506">
        <v>279.06049999999999</v>
      </c>
      <c r="I198" s="507">
        <v>79.962900599999998</v>
      </c>
      <c r="J198" s="474">
        <f t="shared" si="92"/>
        <v>79.962900599999998</v>
      </c>
      <c r="K198" s="474">
        <f t="shared" si="93"/>
        <v>39.981450299999999</v>
      </c>
      <c r="L198" s="474">
        <f t="shared" si="81"/>
        <v>0.64253956655634092</v>
      </c>
      <c r="M198" s="474">
        <f t="shared" si="82"/>
        <v>179.30741271299578</v>
      </c>
      <c r="N198" s="474">
        <f t="shared" si="83"/>
        <v>358.61482542599157</v>
      </c>
      <c r="O198" s="474">
        <f>+C195+D196+D197+(D198/2)</f>
        <v>0</v>
      </c>
      <c r="P198" s="474">
        <f t="shared" si="84"/>
        <v>0</v>
      </c>
      <c r="Q198" s="474">
        <f t="shared" si="85"/>
        <v>0</v>
      </c>
      <c r="R198" s="474">
        <f t="shared" si="94"/>
        <v>213.83080000000001</v>
      </c>
      <c r="S198" s="474">
        <f t="shared" si="107"/>
        <v>213.83080000000001</v>
      </c>
      <c r="T198" s="476">
        <f t="shared" si="86"/>
        <v>213.83080000000001</v>
      </c>
      <c r="V198" s="437">
        <f t="shared" si="87"/>
        <v>0</v>
      </c>
      <c r="W198" s="437"/>
      <c r="X198" s="437"/>
      <c r="Y198" s="437"/>
      <c r="Z198" s="437"/>
      <c r="AA198" s="437"/>
      <c r="AB198" s="477" t="str">
        <f t="shared" si="95"/>
        <v>use the locking pin</v>
      </c>
      <c r="AC198" s="514"/>
      <c r="AD198" s="514"/>
      <c r="AE198" s="514"/>
      <c r="AF198" s="437">
        <f>SUM(V198:V214)/($B$192-B197)</f>
        <v>0</v>
      </c>
      <c r="AG198" s="437"/>
      <c r="AH198" s="450">
        <f>SUM(D196:D198)+$C$195</f>
        <v>0</v>
      </c>
      <c r="AI198" s="516"/>
      <c r="AJ198" s="287">
        <f t="shared" si="96"/>
        <v>66.255548399999995</v>
      </c>
      <c r="AK198" s="441">
        <f t="shared" si="88"/>
        <v>0.91535047595051022</v>
      </c>
      <c r="AL198" s="289">
        <f t="shared" si="97"/>
        <v>278.56028065668761</v>
      </c>
      <c r="AM198" s="287">
        <f t="shared" si="98"/>
        <v>50.018549700000001</v>
      </c>
      <c r="AN198" s="442">
        <f t="shared" si="99"/>
        <v>0.76625250760411079</v>
      </c>
      <c r="AO198" s="291">
        <f t="shared" si="100"/>
        <v>213.83080789825695</v>
      </c>
      <c r="AP198" s="519"/>
      <c r="AQ198" s="291">
        <f t="shared" si="108"/>
        <v>-81</v>
      </c>
      <c r="AR198" s="443"/>
      <c r="AS198" s="444">
        <f t="shared" si="101"/>
        <v>492.39108855494453</v>
      </c>
      <c r="AT198" s="445">
        <f>+V198-AO198</f>
        <v>-213.83080789825695</v>
      </c>
      <c r="AU198" s="446"/>
      <c r="AV198" s="445">
        <f t="shared" ref="AV198:AV214" si="109">+AF198-AT198</f>
        <v>213.83080789825695</v>
      </c>
      <c r="AW198" s="447">
        <f t="shared" si="102"/>
        <v>-45.824108635698657</v>
      </c>
      <c r="AX198" s="447">
        <f t="shared" si="103"/>
        <v>-35.17589136430135</v>
      </c>
      <c r="AY198" s="448">
        <f t="shared" si="89"/>
        <v>-253.14185797305777</v>
      </c>
      <c r="AZ198" s="448">
        <f t="shared" si="90"/>
        <v>-284.28561756784967</v>
      </c>
      <c r="BA198" s="451">
        <f t="shared" si="104"/>
        <v>253.14185797305777</v>
      </c>
      <c r="BB198" s="451">
        <f t="shared" si="104"/>
        <v>284.28561756784967</v>
      </c>
      <c r="BC198">
        <f t="shared" si="105"/>
        <v>0.3</v>
      </c>
      <c r="BE198" s="298">
        <v>25</v>
      </c>
      <c r="BF198" s="299">
        <f t="shared" si="75"/>
        <v>559</v>
      </c>
      <c r="BG198" s="42">
        <f t="shared" si="76"/>
        <v>559</v>
      </c>
      <c r="BH198" s="301">
        <f t="shared" si="77"/>
        <v>344.90324687964676</v>
      </c>
      <c r="BI198" s="302">
        <f t="shared" si="78"/>
        <v>344.90324687964676</v>
      </c>
      <c r="BJ198" s="302">
        <f t="shared" si="79"/>
        <v>0.90324687964672989</v>
      </c>
      <c r="BK198" s="302" t="b">
        <f t="shared" si="80"/>
        <v>0</v>
      </c>
      <c r="BL198" s="304">
        <v>25</v>
      </c>
    </row>
    <row r="199" spans="1:109" ht="21" customHeight="1" thickBot="1" x14ac:dyDescent="0.35">
      <c r="B199" s="277">
        <v>5</v>
      </c>
      <c r="C199" s="278"/>
      <c r="D199" s="25">
        <v>0</v>
      </c>
      <c r="E199" s="279" t="s">
        <v>130</v>
      </c>
      <c r="F199" s="258">
        <f t="shared" si="91"/>
        <v>0.3</v>
      </c>
      <c r="G199" s="258">
        <f>+D199+BC199</f>
        <v>0.3</v>
      </c>
      <c r="H199" s="506">
        <v>279.06049999999999</v>
      </c>
      <c r="I199" s="507">
        <v>79.962900599999998</v>
      </c>
      <c r="J199" s="474">
        <f t="shared" si="92"/>
        <v>79.962900599999998</v>
      </c>
      <c r="K199" s="474">
        <f t="shared" si="93"/>
        <v>39.981450299999999</v>
      </c>
      <c r="L199" s="474">
        <f t="shared" si="81"/>
        <v>0.64253956655634092</v>
      </c>
      <c r="M199" s="474">
        <f t="shared" si="82"/>
        <v>179.30741271299578</v>
      </c>
      <c r="N199" s="474">
        <f t="shared" si="83"/>
        <v>358.61482542599157</v>
      </c>
      <c r="O199" s="474">
        <f>+C195+D196+D197+D198+(D199/2)</f>
        <v>0</v>
      </c>
      <c r="P199" s="474">
        <f t="shared" si="84"/>
        <v>0</v>
      </c>
      <c r="Q199" s="474">
        <f t="shared" si="85"/>
        <v>0</v>
      </c>
      <c r="R199" s="474">
        <f t="shared" si="94"/>
        <v>213.83080000000001</v>
      </c>
      <c r="S199" s="474">
        <f t="shared" si="107"/>
        <v>213.83080000000001</v>
      </c>
      <c r="T199" s="476">
        <f t="shared" si="86"/>
        <v>213.83080000000001</v>
      </c>
      <c r="V199" s="437">
        <f t="shared" si="87"/>
        <v>0</v>
      </c>
      <c r="W199" s="437"/>
      <c r="X199" s="437"/>
      <c r="Y199" s="437"/>
      <c r="Z199" s="437"/>
      <c r="AA199" s="437"/>
      <c r="AB199" s="477" t="str">
        <f>IF(AZ199&lt;0,"use the locking pin"," ")</f>
        <v>use the locking pin</v>
      </c>
      <c r="AC199" s="514"/>
      <c r="AD199" s="514"/>
      <c r="AE199" s="514"/>
      <c r="AF199" s="437">
        <f>SUM(V199:V214)/($B$192-B198)</f>
        <v>0</v>
      </c>
      <c r="AG199" s="437"/>
      <c r="AH199" s="450">
        <f>SUM(D196:D199)+$C$195</f>
        <v>0</v>
      </c>
      <c r="AI199" s="516"/>
      <c r="AJ199" s="287">
        <f t="shared" si="96"/>
        <v>66.255548399999995</v>
      </c>
      <c r="AK199" s="441">
        <f t="shared" si="88"/>
        <v>0.91535047595051022</v>
      </c>
      <c r="AL199" s="289">
        <f t="shared" si="97"/>
        <v>278.56028065668761</v>
      </c>
      <c r="AM199" s="287">
        <f t="shared" si="98"/>
        <v>50.018549700000001</v>
      </c>
      <c r="AN199" s="442">
        <f t="shared" si="99"/>
        <v>0.76625250760411079</v>
      </c>
      <c r="AO199" s="291">
        <f t="shared" si="100"/>
        <v>213.83080789825695</v>
      </c>
      <c r="AP199" s="519"/>
      <c r="AQ199" s="291">
        <f t="shared" si="108"/>
        <v>-121.5</v>
      </c>
      <c r="AR199" s="443"/>
      <c r="AS199" s="444">
        <f t="shared" si="101"/>
        <v>492.39108855494453</v>
      </c>
      <c r="AT199" s="445">
        <f t="shared" ref="AT199:AT214" si="110">+V199-AO199</f>
        <v>-213.83080789825695</v>
      </c>
      <c r="AU199" s="446"/>
      <c r="AV199" s="445">
        <f t="shared" si="109"/>
        <v>213.83080789825695</v>
      </c>
      <c r="AW199" s="447">
        <f t="shared" si="102"/>
        <v>-68.736162953547989</v>
      </c>
      <c r="AX199" s="447">
        <f t="shared" si="103"/>
        <v>-52.763837046452025</v>
      </c>
      <c r="AY199" s="448">
        <f t="shared" si="89"/>
        <v>-168.76123864870519</v>
      </c>
      <c r="AZ199" s="448">
        <f t="shared" si="90"/>
        <v>-189.52374504523311</v>
      </c>
      <c r="BA199" s="451">
        <f t="shared" si="104"/>
        <v>168.76123864870519</v>
      </c>
      <c r="BB199" s="451">
        <f t="shared" si="104"/>
        <v>189.52374504523311</v>
      </c>
      <c r="BC199">
        <f t="shared" si="105"/>
        <v>0.3</v>
      </c>
      <c r="BE199" s="298">
        <v>26</v>
      </c>
      <c r="BF199" s="299">
        <f t="shared" si="75"/>
        <v>602</v>
      </c>
      <c r="BG199" s="42">
        <f t="shared" si="76"/>
        <v>602</v>
      </c>
      <c r="BH199" s="301">
        <f t="shared" si="77"/>
        <v>387.90324687964676</v>
      </c>
      <c r="BI199" s="302">
        <f t="shared" si="78"/>
        <v>387.90324687964676</v>
      </c>
      <c r="BJ199" s="302">
        <f t="shared" si="79"/>
        <v>0.90324687964672989</v>
      </c>
      <c r="BK199" s="302" t="b">
        <f t="shared" si="80"/>
        <v>0</v>
      </c>
      <c r="BL199" s="304">
        <v>26</v>
      </c>
      <c r="DE199" s="305"/>
    </row>
    <row r="200" spans="1:109" ht="21" customHeight="1" thickBot="1" x14ac:dyDescent="0.35">
      <c r="B200" s="277">
        <v>6</v>
      </c>
      <c r="C200" s="278"/>
      <c r="D200" s="25">
        <v>0</v>
      </c>
      <c r="E200" s="279" t="s">
        <v>130</v>
      </c>
      <c r="F200" s="258">
        <f t="shared" si="91"/>
        <v>0.3</v>
      </c>
      <c r="G200" s="258">
        <f t="shared" si="106"/>
        <v>0.3</v>
      </c>
      <c r="H200" s="506">
        <v>279.06049999999999</v>
      </c>
      <c r="I200" s="507">
        <v>79.962900599999998</v>
      </c>
      <c r="J200" s="474">
        <f t="shared" si="92"/>
        <v>79.962900599999998</v>
      </c>
      <c r="K200" s="474">
        <f t="shared" si="93"/>
        <v>39.981450299999999</v>
      </c>
      <c r="L200" s="474">
        <f t="shared" si="81"/>
        <v>0.64253956655634092</v>
      </c>
      <c r="M200" s="474">
        <f t="shared" si="82"/>
        <v>179.30741271299578</v>
      </c>
      <c r="N200" s="474">
        <f t="shared" si="83"/>
        <v>358.61482542599157</v>
      </c>
      <c r="O200" s="474">
        <f>+C195+D196+D197+D198+D199+(D200/2)</f>
        <v>0</v>
      </c>
      <c r="P200" s="474">
        <f t="shared" si="84"/>
        <v>0</v>
      </c>
      <c r="Q200" s="474">
        <f t="shared" si="85"/>
        <v>0</v>
      </c>
      <c r="R200" s="474">
        <f t="shared" si="94"/>
        <v>213.83080000000001</v>
      </c>
      <c r="S200" s="474">
        <f t="shared" si="107"/>
        <v>213.83080000000001</v>
      </c>
      <c r="T200" s="476">
        <f t="shared" si="86"/>
        <v>213.83080000000001</v>
      </c>
      <c r="V200" s="437">
        <f t="shared" si="87"/>
        <v>0</v>
      </c>
      <c r="W200" s="437"/>
      <c r="X200" s="437"/>
      <c r="Y200" s="437"/>
      <c r="Z200" s="437"/>
      <c r="AA200" s="437"/>
      <c r="AB200" s="477" t="str">
        <f t="shared" si="95"/>
        <v>use the locking pin</v>
      </c>
      <c r="AC200" s="514"/>
      <c r="AD200" s="514"/>
      <c r="AE200" s="514"/>
      <c r="AF200" s="437">
        <f>SUM(V200:V214)/($B$192-B199)</f>
        <v>0</v>
      </c>
      <c r="AG200" s="437"/>
      <c r="AH200" s="450">
        <f>SUM(D196:D200)+$C$195</f>
        <v>0</v>
      </c>
      <c r="AI200" s="516"/>
      <c r="AJ200" s="287">
        <f t="shared" si="96"/>
        <v>66.255548399999995</v>
      </c>
      <c r="AK200" s="441">
        <f t="shared" si="88"/>
        <v>0.91535047595051022</v>
      </c>
      <c r="AL200" s="289">
        <f t="shared" si="97"/>
        <v>278.56028065668761</v>
      </c>
      <c r="AM200" s="287">
        <f t="shared" si="98"/>
        <v>50.018549700000001</v>
      </c>
      <c r="AN200" s="442">
        <f t="shared" si="99"/>
        <v>0.76625250760411079</v>
      </c>
      <c r="AO200" s="291">
        <f t="shared" si="100"/>
        <v>213.83080789825695</v>
      </c>
      <c r="AP200" s="519"/>
      <c r="AQ200" s="291">
        <f t="shared" si="108"/>
        <v>-162</v>
      </c>
      <c r="AR200" s="443"/>
      <c r="AS200" s="444">
        <f t="shared" si="101"/>
        <v>492.39108855494453</v>
      </c>
      <c r="AT200" s="445">
        <f t="shared" si="110"/>
        <v>-213.83080789825695</v>
      </c>
      <c r="AU200" s="446"/>
      <c r="AV200" s="445">
        <f t="shared" si="109"/>
        <v>213.83080789825695</v>
      </c>
      <c r="AW200" s="447">
        <f t="shared" si="102"/>
        <v>-91.648217271397314</v>
      </c>
      <c r="AX200" s="447">
        <f t="shared" si="103"/>
        <v>-70.3517827286027</v>
      </c>
      <c r="AY200" s="448">
        <f t="shared" si="89"/>
        <v>-126.57092898652888</v>
      </c>
      <c r="AZ200" s="448">
        <f t="shared" si="90"/>
        <v>-142.14280878392483</v>
      </c>
      <c r="BA200" s="451">
        <f t="shared" si="104"/>
        <v>126.57092898652888</v>
      </c>
      <c r="BB200" s="451">
        <f t="shared" si="104"/>
        <v>142.14280878392483</v>
      </c>
      <c r="BC200">
        <f t="shared" si="105"/>
        <v>0.3</v>
      </c>
      <c r="BE200" s="298">
        <v>27</v>
      </c>
      <c r="BF200" s="299">
        <f t="shared" si="75"/>
        <v>645</v>
      </c>
      <c r="BG200" s="42">
        <f t="shared" si="76"/>
        <v>645</v>
      </c>
      <c r="BH200" s="301">
        <f t="shared" si="77"/>
        <v>430.90324687964676</v>
      </c>
      <c r="BI200" s="302">
        <f t="shared" si="78"/>
        <v>430.90324687964676</v>
      </c>
      <c r="BJ200" s="302">
        <f t="shared" si="79"/>
        <v>0.90324687964672989</v>
      </c>
      <c r="BK200" s="302" t="b">
        <f t="shared" si="80"/>
        <v>0</v>
      </c>
      <c r="BL200" s="304">
        <v>27</v>
      </c>
    </row>
    <row r="201" spans="1:109" ht="21" customHeight="1" thickBot="1" x14ac:dyDescent="0.35">
      <c r="B201" s="277">
        <v>7</v>
      </c>
      <c r="C201" s="278"/>
      <c r="D201" s="25">
        <v>0</v>
      </c>
      <c r="E201" s="279" t="s">
        <v>130</v>
      </c>
      <c r="F201" s="258">
        <f t="shared" si="91"/>
        <v>0.3</v>
      </c>
      <c r="G201" s="258">
        <f t="shared" si="106"/>
        <v>0.3</v>
      </c>
      <c r="H201" s="506">
        <v>279.06049999999999</v>
      </c>
      <c r="I201" s="507">
        <v>79.962900599999998</v>
      </c>
      <c r="J201" s="474">
        <f t="shared" si="92"/>
        <v>79.962900599999998</v>
      </c>
      <c r="K201" s="474">
        <f t="shared" si="93"/>
        <v>39.981450299999999</v>
      </c>
      <c r="L201" s="474">
        <f t="shared" si="81"/>
        <v>0.64253956655634092</v>
      </c>
      <c r="M201" s="474">
        <f t="shared" si="82"/>
        <v>179.30741271299578</v>
      </c>
      <c r="N201" s="474">
        <f t="shared" si="83"/>
        <v>358.61482542599157</v>
      </c>
      <c r="O201" s="474">
        <f>+C195+D196+D197+D198+D199+D200+(D201/2)</f>
        <v>0</v>
      </c>
      <c r="P201" s="474">
        <f t="shared" si="84"/>
        <v>0</v>
      </c>
      <c r="Q201" s="474">
        <f t="shared" si="85"/>
        <v>0</v>
      </c>
      <c r="R201" s="474">
        <f t="shared" si="94"/>
        <v>213.83080000000001</v>
      </c>
      <c r="S201" s="474">
        <f t="shared" si="107"/>
        <v>213.83080000000001</v>
      </c>
      <c r="T201" s="476">
        <f t="shared" si="86"/>
        <v>213.83080000000001</v>
      </c>
      <c r="V201" s="437">
        <f t="shared" si="87"/>
        <v>0</v>
      </c>
      <c r="W201" s="437"/>
      <c r="X201" s="437"/>
      <c r="Y201" s="437"/>
      <c r="Z201" s="437"/>
      <c r="AA201" s="437"/>
      <c r="AB201" s="477" t="str">
        <f t="shared" si="95"/>
        <v>use the locking pin</v>
      </c>
      <c r="AC201" s="514"/>
      <c r="AD201" s="514"/>
      <c r="AE201" s="514"/>
      <c r="AF201" s="437">
        <f>SUM(V201:V214)/($B$192-B200)</f>
        <v>0</v>
      </c>
      <c r="AG201" s="437"/>
      <c r="AH201" s="450">
        <f>SUM(D196:D201)+$C$195</f>
        <v>0</v>
      </c>
      <c r="AI201" s="516"/>
      <c r="AJ201" s="287">
        <f t="shared" si="96"/>
        <v>66.255548399999995</v>
      </c>
      <c r="AK201" s="441">
        <f t="shared" si="88"/>
        <v>0.91535047595051022</v>
      </c>
      <c r="AL201" s="289">
        <f t="shared" si="97"/>
        <v>278.56028065668761</v>
      </c>
      <c r="AM201" s="287">
        <f t="shared" si="98"/>
        <v>50.018549700000001</v>
      </c>
      <c r="AN201" s="442">
        <f t="shared" si="99"/>
        <v>0.76625250760411079</v>
      </c>
      <c r="AO201" s="291">
        <f t="shared" si="100"/>
        <v>213.83080789825695</v>
      </c>
      <c r="AP201" s="519"/>
      <c r="AQ201" s="291">
        <f t="shared" si="108"/>
        <v>-202.5</v>
      </c>
      <c r="AR201" s="443"/>
      <c r="AS201" s="444">
        <f t="shared" si="101"/>
        <v>492.39108855494453</v>
      </c>
      <c r="AT201" s="445">
        <f t="shared" si="110"/>
        <v>-213.83080789825695</v>
      </c>
      <c r="AU201" s="446"/>
      <c r="AV201" s="445">
        <f t="shared" si="109"/>
        <v>213.83080789825695</v>
      </c>
      <c r="AW201" s="447">
        <f t="shared" si="102"/>
        <v>-114.56027158924665</v>
      </c>
      <c r="AX201" s="447">
        <f t="shared" si="103"/>
        <v>-87.939728410753375</v>
      </c>
      <c r="AY201" s="448">
        <f t="shared" si="89"/>
        <v>-101.2567431892231</v>
      </c>
      <c r="AZ201" s="448">
        <f t="shared" si="90"/>
        <v>-113.71424702713988</v>
      </c>
      <c r="BA201" s="451">
        <f t="shared" si="104"/>
        <v>101.2567431892231</v>
      </c>
      <c r="BB201" s="451">
        <f t="shared" si="104"/>
        <v>113.71424702713988</v>
      </c>
      <c r="BC201">
        <f t="shared" si="105"/>
        <v>0.3</v>
      </c>
      <c r="BE201" s="298">
        <v>28</v>
      </c>
      <c r="BF201" s="299">
        <f t="shared" si="75"/>
        <v>688</v>
      </c>
      <c r="BG201" s="42">
        <f t="shared" si="76"/>
        <v>688</v>
      </c>
      <c r="BH201" s="301">
        <f t="shared" si="77"/>
        <v>473.90324687964676</v>
      </c>
      <c r="BI201" s="302">
        <f t="shared" si="78"/>
        <v>473.90324687964676</v>
      </c>
      <c r="BJ201" s="302">
        <f t="shared" si="79"/>
        <v>0.90324687964672989</v>
      </c>
      <c r="BK201" s="302" t="b">
        <f t="shared" si="80"/>
        <v>0</v>
      </c>
      <c r="BL201" s="304">
        <v>28</v>
      </c>
      <c r="DE201" s="307"/>
    </row>
    <row r="202" spans="1:109" ht="21" customHeight="1" thickBot="1" x14ac:dyDescent="0.35">
      <c r="B202" s="277">
        <v>8</v>
      </c>
      <c r="C202" s="278"/>
      <c r="D202" s="25">
        <v>0</v>
      </c>
      <c r="E202" s="279" t="s">
        <v>130</v>
      </c>
      <c r="F202" s="258">
        <f t="shared" si="91"/>
        <v>0.3</v>
      </c>
      <c r="G202" s="258">
        <f t="shared" si="106"/>
        <v>0.3</v>
      </c>
      <c r="H202" s="506">
        <v>279.06049999999999</v>
      </c>
      <c r="I202" s="507">
        <v>79.962900599999998</v>
      </c>
      <c r="J202" s="474">
        <f t="shared" si="92"/>
        <v>79.962900599999998</v>
      </c>
      <c r="K202" s="474">
        <f t="shared" si="93"/>
        <v>39.981450299999999</v>
      </c>
      <c r="L202" s="474">
        <f t="shared" si="81"/>
        <v>0.64253956655634092</v>
      </c>
      <c r="M202" s="474">
        <f t="shared" si="82"/>
        <v>179.30741271299578</v>
      </c>
      <c r="N202" s="474">
        <f t="shared" si="83"/>
        <v>358.61482542599157</v>
      </c>
      <c r="O202" s="474">
        <f>+C195+D196+D197+D198+D199+D200+D201+(D202/2)</f>
        <v>0</v>
      </c>
      <c r="P202" s="474">
        <f t="shared" si="84"/>
        <v>0</v>
      </c>
      <c r="Q202" s="474">
        <f t="shared" si="85"/>
        <v>0</v>
      </c>
      <c r="R202" s="474">
        <f t="shared" si="94"/>
        <v>213.83080000000001</v>
      </c>
      <c r="S202" s="474">
        <f t="shared" si="107"/>
        <v>213.83080000000001</v>
      </c>
      <c r="T202" s="476">
        <f t="shared" si="86"/>
        <v>213.83080000000001</v>
      </c>
      <c r="V202" s="437">
        <f t="shared" si="87"/>
        <v>0</v>
      </c>
      <c r="W202" s="437"/>
      <c r="X202" s="437"/>
      <c r="Y202" s="437"/>
      <c r="Z202" s="437"/>
      <c r="AA202" s="437"/>
      <c r="AB202" s="477" t="str">
        <f t="shared" si="95"/>
        <v>use the locking pin</v>
      </c>
      <c r="AC202" s="514"/>
      <c r="AD202" s="514"/>
      <c r="AE202" s="514"/>
      <c r="AF202" s="437">
        <f>SUM(V202:V214)/($B$192-B201)</f>
        <v>0</v>
      </c>
      <c r="AG202" s="437"/>
      <c r="AH202" s="450">
        <f>SUM(D196:D202)+$C$195</f>
        <v>0</v>
      </c>
      <c r="AI202" s="516"/>
      <c r="AJ202" s="287">
        <f t="shared" si="96"/>
        <v>66.255548399999995</v>
      </c>
      <c r="AK202" s="441">
        <f t="shared" si="88"/>
        <v>0.91535047595051022</v>
      </c>
      <c r="AL202" s="289">
        <f t="shared" si="97"/>
        <v>278.56028065668761</v>
      </c>
      <c r="AM202" s="287">
        <f t="shared" si="98"/>
        <v>50.018549700000001</v>
      </c>
      <c r="AN202" s="442">
        <f t="shared" si="99"/>
        <v>0.76625250760411079</v>
      </c>
      <c r="AO202" s="291">
        <f t="shared" si="100"/>
        <v>213.83080789825695</v>
      </c>
      <c r="AP202" s="519"/>
      <c r="AQ202" s="291">
        <f t="shared" si="108"/>
        <v>-243</v>
      </c>
      <c r="AR202" s="443"/>
      <c r="AS202" s="444">
        <f t="shared" si="101"/>
        <v>492.39108855494453</v>
      </c>
      <c r="AT202" s="445">
        <f t="shared" si="110"/>
        <v>-213.83080789825695</v>
      </c>
      <c r="AU202" s="446"/>
      <c r="AV202" s="445">
        <f t="shared" si="109"/>
        <v>213.83080789825695</v>
      </c>
      <c r="AW202" s="447">
        <f t="shared" si="102"/>
        <v>-137.47232590709598</v>
      </c>
      <c r="AX202" s="447">
        <f t="shared" si="103"/>
        <v>-105.52767409290405</v>
      </c>
      <c r="AY202" s="448">
        <f t="shared" si="89"/>
        <v>-84.380619324352594</v>
      </c>
      <c r="AZ202" s="448">
        <f t="shared" si="90"/>
        <v>-94.761872522616557</v>
      </c>
      <c r="BA202" s="451">
        <f t="shared" si="104"/>
        <v>84.380619324352594</v>
      </c>
      <c r="BB202" s="451">
        <f t="shared" si="104"/>
        <v>94.761872522616557</v>
      </c>
      <c r="BC202">
        <f t="shared" si="105"/>
        <v>0.3</v>
      </c>
      <c r="BE202" s="298">
        <v>29</v>
      </c>
      <c r="BF202" s="299">
        <f t="shared" si="75"/>
        <v>731</v>
      </c>
      <c r="BG202" s="42">
        <f t="shared" si="76"/>
        <v>731</v>
      </c>
      <c r="BH202" s="301">
        <f t="shared" si="77"/>
        <v>516.90324687964676</v>
      </c>
      <c r="BI202" s="302">
        <f t="shared" si="78"/>
        <v>516.90324687964676</v>
      </c>
      <c r="BJ202" s="302">
        <f t="shared" si="79"/>
        <v>0.90324687964672989</v>
      </c>
      <c r="BK202" s="302" t="b">
        <f t="shared" si="80"/>
        <v>0</v>
      </c>
      <c r="BL202" s="304">
        <v>29</v>
      </c>
    </row>
    <row r="203" spans="1:109" ht="21" customHeight="1" thickBot="1" x14ac:dyDescent="0.35">
      <c r="B203" s="277">
        <v>9</v>
      </c>
      <c r="C203" s="278"/>
      <c r="D203" s="25">
        <v>0</v>
      </c>
      <c r="E203" s="279" t="s">
        <v>130</v>
      </c>
      <c r="F203" s="258">
        <f t="shared" si="91"/>
        <v>0.3</v>
      </c>
      <c r="G203" s="258">
        <f t="shared" si="106"/>
        <v>0.3</v>
      </c>
      <c r="H203" s="506">
        <v>279.06049999999999</v>
      </c>
      <c r="I203" s="507">
        <v>79.962900599999998</v>
      </c>
      <c r="J203" s="474">
        <f t="shared" si="92"/>
        <v>79.962900599999998</v>
      </c>
      <c r="K203" s="474">
        <f t="shared" si="93"/>
        <v>39.981450299999999</v>
      </c>
      <c r="L203" s="474">
        <f t="shared" si="81"/>
        <v>0.64253956655634092</v>
      </c>
      <c r="M203" s="474">
        <f t="shared" si="82"/>
        <v>179.30741271299578</v>
      </c>
      <c r="N203" s="474">
        <f t="shared" si="83"/>
        <v>358.61482542599157</v>
      </c>
      <c r="O203" s="474">
        <f>+C195+D196+D197+D198+D199+D200+D201+D202+(D203/2)</f>
        <v>0</v>
      </c>
      <c r="P203" s="474">
        <f t="shared" si="84"/>
        <v>0</v>
      </c>
      <c r="Q203" s="474">
        <f t="shared" si="85"/>
        <v>0</v>
      </c>
      <c r="R203" s="474">
        <f t="shared" si="94"/>
        <v>213.83080000000001</v>
      </c>
      <c r="S203" s="474">
        <f t="shared" si="107"/>
        <v>213.83080000000001</v>
      </c>
      <c r="T203" s="476">
        <f t="shared" si="86"/>
        <v>213.83080000000001</v>
      </c>
      <c r="V203" s="437">
        <f t="shared" si="87"/>
        <v>0</v>
      </c>
      <c r="W203" s="437"/>
      <c r="X203" s="437"/>
      <c r="Y203" s="437"/>
      <c r="Z203" s="437"/>
      <c r="AA203" s="437"/>
      <c r="AB203" s="477" t="str">
        <f t="shared" si="95"/>
        <v>use the locking pin</v>
      </c>
      <c r="AC203" s="514"/>
      <c r="AD203" s="514"/>
      <c r="AE203" s="514"/>
      <c r="AF203" s="437">
        <f>SUM(V203:V214)/($B$192-B202)</f>
        <v>0</v>
      </c>
      <c r="AG203" s="437"/>
      <c r="AH203" s="450">
        <f>SUM(D196:D203)+$C$195</f>
        <v>0</v>
      </c>
      <c r="AI203" s="516"/>
      <c r="AJ203" s="287">
        <f t="shared" si="96"/>
        <v>66.255548399999995</v>
      </c>
      <c r="AK203" s="441">
        <f t="shared" si="88"/>
        <v>0.91535047595051022</v>
      </c>
      <c r="AL203" s="289">
        <f t="shared" si="97"/>
        <v>278.56028065668761</v>
      </c>
      <c r="AM203" s="287">
        <f t="shared" si="98"/>
        <v>50.018549700000001</v>
      </c>
      <c r="AN203" s="442">
        <f t="shared" si="99"/>
        <v>0.76625250760411079</v>
      </c>
      <c r="AO203" s="291">
        <f t="shared" si="100"/>
        <v>213.83080789825695</v>
      </c>
      <c r="AP203" s="519"/>
      <c r="AQ203" s="291">
        <f t="shared" si="108"/>
        <v>-283.5</v>
      </c>
      <c r="AR203" s="443"/>
      <c r="AS203" s="444">
        <f t="shared" si="101"/>
        <v>492.39108855494453</v>
      </c>
      <c r="AT203" s="445">
        <f t="shared" si="110"/>
        <v>-213.83080789825695</v>
      </c>
      <c r="AU203" s="446"/>
      <c r="AV203" s="445">
        <f t="shared" si="109"/>
        <v>213.83080789825695</v>
      </c>
      <c r="AW203" s="447">
        <f t="shared" si="102"/>
        <v>-160.38438022494532</v>
      </c>
      <c r="AX203" s="447">
        <f t="shared" si="103"/>
        <v>-123.11561977505472</v>
      </c>
      <c r="AY203" s="448">
        <f t="shared" si="89"/>
        <v>-72.326245135159354</v>
      </c>
      <c r="AZ203" s="448">
        <f t="shared" si="90"/>
        <v>-81.224462162242773</v>
      </c>
      <c r="BA203" s="451">
        <f t="shared" si="104"/>
        <v>72.326245135159354</v>
      </c>
      <c r="BB203" s="451">
        <f t="shared" si="104"/>
        <v>81.224462162242773</v>
      </c>
      <c r="BC203">
        <f t="shared" si="105"/>
        <v>0.3</v>
      </c>
      <c r="BE203" s="298">
        <v>30</v>
      </c>
      <c r="BF203" s="299">
        <f t="shared" si="75"/>
        <v>774</v>
      </c>
      <c r="BG203" s="42">
        <f t="shared" si="76"/>
        <v>774</v>
      </c>
      <c r="BH203" s="301">
        <f t="shared" si="77"/>
        <v>559.90324687964676</v>
      </c>
      <c r="BI203" s="302">
        <f t="shared" si="78"/>
        <v>559.90324687964676</v>
      </c>
      <c r="BJ203" s="302">
        <f t="shared" si="79"/>
        <v>0.90324687964672989</v>
      </c>
      <c r="BK203" s="302" t="b">
        <f t="shared" si="80"/>
        <v>0</v>
      </c>
      <c r="BL203" s="304">
        <v>30</v>
      </c>
    </row>
    <row r="204" spans="1:109" ht="21" customHeight="1" thickBot="1" x14ac:dyDescent="0.35">
      <c r="B204" s="277">
        <v>10</v>
      </c>
      <c r="C204" s="278"/>
      <c r="D204" s="25">
        <v>0</v>
      </c>
      <c r="E204" s="279" t="s">
        <v>130</v>
      </c>
      <c r="F204" s="258">
        <f t="shared" si="91"/>
        <v>0.3</v>
      </c>
      <c r="G204" s="258">
        <f t="shared" si="106"/>
        <v>0.3</v>
      </c>
      <c r="H204" s="506">
        <v>279.06049999999999</v>
      </c>
      <c r="I204" s="507">
        <v>79.962900599999998</v>
      </c>
      <c r="J204" s="474">
        <f t="shared" si="92"/>
        <v>79.962900599999998</v>
      </c>
      <c r="K204" s="474">
        <f t="shared" si="93"/>
        <v>39.981450299999999</v>
      </c>
      <c r="L204" s="474">
        <f t="shared" si="81"/>
        <v>0.64253956655634092</v>
      </c>
      <c r="M204" s="474">
        <f t="shared" si="82"/>
        <v>179.30741271299578</v>
      </c>
      <c r="N204" s="474">
        <f t="shared" si="83"/>
        <v>358.61482542599157</v>
      </c>
      <c r="O204" s="474">
        <f>+C195+D196+D197+D198+D199+D200+D201+D202+D203+(D204/2)</f>
        <v>0</v>
      </c>
      <c r="P204" s="474">
        <f t="shared" si="84"/>
        <v>0</v>
      </c>
      <c r="Q204" s="474">
        <f t="shared" si="85"/>
        <v>0</v>
      </c>
      <c r="R204" s="474">
        <f t="shared" si="94"/>
        <v>213.83080000000001</v>
      </c>
      <c r="S204" s="474">
        <f t="shared" si="107"/>
        <v>213.83080000000001</v>
      </c>
      <c r="T204" s="476">
        <f t="shared" si="86"/>
        <v>213.83080000000001</v>
      </c>
      <c r="V204" s="437">
        <f t="shared" si="87"/>
        <v>0</v>
      </c>
      <c r="W204" s="437"/>
      <c r="X204" s="437"/>
      <c r="Y204" s="437"/>
      <c r="Z204" s="437"/>
      <c r="AA204" s="437"/>
      <c r="AB204" s="477" t="str">
        <f t="shared" si="95"/>
        <v>use the locking pin</v>
      </c>
      <c r="AC204" s="514"/>
      <c r="AD204" s="514"/>
      <c r="AE204" s="514"/>
      <c r="AF204" s="437">
        <f>SUM(V204:V214)/($B$192-B203)</f>
        <v>0</v>
      </c>
      <c r="AG204" s="437"/>
      <c r="AH204" s="450">
        <f>SUM(D196:D204)+$C$195</f>
        <v>0</v>
      </c>
      <c r="AI204" s="516"/>
      <c r="AJ204" s="287">
        <f t="shared" si="96"/>
        <v>66.255548399999995</v>
      </c>
      <c r="AK204" s="441">
        <f t="shared" si="88"/>
        <v>0.91535047595051022</v>
      </c>
      <c r="AL204" s="289">
        <f t="shared" si="97"/>
        <v>278.56028065668761</v>
      </c>
      <c r="AM204" s="287">
        <f t="shared" si="98"/>
        <v>50.018549700000001</v>
      </c>
      <c r="AN204" s="442">
        <f t="shared" si="99"/>
        <v>0.76625250760411079</v>
      </c>
      <c r="AO204" s="291">
        <f t="shared" si="100"/>
        <v>213.83080789825695</v>
      </c>
      <c r="AP204" s="519"/>
      <c r="AQ204" s="291">
        <f t="shared" si="108"/>
        <v>-324</v>
      </c>
      <c r="AR204" s="443"/>
      <c r="AS204" s="444">
        <f t="shared" si="101"/>
        <v>492.39108855494453</v>
      </c>
      <c r="AT204" s="445">
        <f t="shared" si="110"/>
        <v>-213.83080789825695</v>
      </c>
      <c r="AU204" s="446"/>
      <c r="AV204" s="445">
        <f t="shared" si="109"/>
        <v>213.83080789825695</v>
      </c>
      <c r="AW204" s="447">
        <f t="shared" si="102"/>
        <v>-183.29643454279463</v>
      </c>
      <c r="AX204" s="447">
        <f t="shared" si="103"/>
        <v>-140.7035654572054</v>
      </c>
      <c r="AY204" s="448">
        <f t="shared" si="89"/>
        <v>-63.285464493264442</v>
      </c>
      <c r="AZ204" s="448">
        <f t="shared" si="90"/>
        <v>-71.071404391962417</v>
      </c>
      <c r="BA204" s="451">
        <f t="shared" si="104"/>
        <v>63.285464493264442</v>
      </c>
      <c r="BB204" s="451">
        <f t="shared" si="104"/>
        <v>71.071404391962417</v>
      </c>
      <c r="BC204">
        <f t="shared" si="105"/>
        <v>0.3</v>
      </c>
      <c r="BE204" s="298">
        <v>31</v>
      </c>
      <c r="BF204" s="299">
        <f t="shared" si="75"/>
        <v>817</v>
      </c>
      <c r="BG204" s="42">
        <f t="shared" si="76"/>
        <v>817</v>
      </c>
      <c r="BH204" s="301">
        <f t="shared" si="77"/>
        <v>602.90324687964676</v>
      </c>
      <c r="BI204" s="302">
        <f t="shared" si="78"/>
        <v>602.90324687964676</v>
      </c>
      <c r="BJ204" s="302">
        <f t="shared" si="79"/>
        <v>0.90324687964672989</v>
      </c>
      <c r="BK204" s="302" t="b">
        <f t="shared" si="80"/>
        <v>0</v>
      </c>
      <c r="BL204" s="304">
        <v>31</v>
      </c>
    </row>
    <row r="205" spans="1:109" ht="21" customHeight="1" thickBot="1" x14ac:dyDescent="0.35">
      <c r="A205" s="296"/>
      <c r="B205" s="277">
        <v>11</v>
      </c>
      <c r="C205" s="278"/>
      <c r="D205" s="25">
        <v>0</v>
      </c>
      <c r="E205" s="279" t="s">
        <v>130</v>
      </c>
      <c r="F205" s="258">
        <f t="shared" si="91"/>
        <v>0.3</v>
      </c>
      <c r="G205" s="258">
        <f t="shared" si="106"/>
        <v>0.3</v>
      </c>
      <c r="H205" s="506">
        <v>279.06049999999999</v>
      </c>
      <c r="I205" s="507">
        <v>79.962900599999998</v>
      </c>
      <c r="J205" s="474">
        <f t="shared" si="92"/>
        <v>79.962900599999998</v>
      </c>
      <c r="K205" s="474">
        <f t="shared" si="93"/>
        <v>39.981450299999999</v>
      </c>
      <c r="L205" s="474">
        <f t="shared" si="81"/>
        <v>0.64253956655634092</v>
      </c>
      <c r="M205" s="474">
        <f t="shared" si="82"/>
        <v>179.30741271299578</v>
      </c>
      <c r="N205" s="474">
        <f t="shared" si="83"/>
        <v>358.61482542599157</v>
      </c>
      <c r="O205" s="474">
        <f>+C195+D196+D197+D198+D199+D200+D201+D202+D203+D204+(D205/2)</f>
        <v>0</v>
      </c>
      <c r="P205" s="474">
        <f t="shared" si="84"/>
        <v>0</v>
      </c>
      <c r="Q205" s="474">
        <f t="shared" si="85"/>
        <v>0</v>
      </c>
      <c r="R205" s="474">
        <f t="shared" si="94"/>
        <v>213.83080000000001</v>
      </c>
      <c r="S205" s="474">
        <f t="shared" si="107"/>
        <v>213.83080000000001</v>
      </c>
      <c r="T205" s="476">
        <f t="shared" si="86"/>
        <v>213.83080000000001</v>
      </c>
      <c r="V205" s="437">
        <f t="shared" si="87"/>
        <v>0</v>
      </c>
      <c r="W205" s="437"/>
      <c r="X205" s="437"/>
      <c r="Y205" s="437"/>
      <c r="Z205" s="437"/>
      <c r="AA205" s="437"/>
      <c r="AB205" s="477" t="str">
        <f t="shared" si="95"/>
        <v>use the locking pin</v>
      </c>
      <c r="AC205" s="514"/>
      <c r="AD205" s="514"/>
      <c r="AE205" s="514"/>
      <c r="AF205" s="437">
        <f>SUM(V205:V214)/($B$192-B204)</f>
        <v>0</v>
      </c>
      <c r="AG205" s="437"/>
      <c r="AH205" s="450">
        <f>SUM(D196:D205)+$C$195</f>
        <v>0</v>
      </c>
      <c r="AI205" s="516"/>
      <c r="AJ205" s="287">
        <f t="shared" si="96"/>
        <v>66.255548399999995</v>
      </c>
      <c r="AK205" s="441">
        <f t="shared" si="88"/>
        <v>0.91535047595051022</v>
      </c>
      <c r="AL205" s="289">
        <f t="shared" si="97"/>
        <v>278.56028065668761</v>
      </c>
      <c r="AM205" s="287">
        <f t="shared" si="98"/>
        <v>50.018549700000001</v>
      </c>
      <c r="AN205" s="442">
        <f t="shared" si="99"/>
        <v>0.76625250760411079</v>
      </c>
      <c r="AO205" s="291">
        <f t="shared" si="100"/>
        <v>213.83080789825695</v>
      </c>
      <c r="AP205" s="519"/>
      <c r="AQ205" s="291">
        <f t="shared" si="108"/>
        <v>-364.5</v>
      </c>
      <c r="AR205" s="443"/>
      <c r="AS205" s="444">
        <f t="shared" si="101"/>
        <v>492.39108855494453</v>
      </c>
      <c r="AT205" s="445">
        <f t="shared" si="110"/>
        <v>-213.83080789825695</v>
      </c>
      <c r="AU205" s="446"/>
      <c r="AV205" s="445">
        <f t="shared" si="109"/>
        <v>213.83080789825695</v>
      </c>
      <c r="AW205" s="447">
        <f t="shared" si="102"/>
        <v>-206.20848886064397</v>
      </c>
      <c r="AX205" s="447">
        <f t="shared" si="103"/>
        <v>-158.29151113935606</v>
      </c>
      <c r="AY205" s="448">
        <f t="shared" si="89"/>
        <v>-56.253746216235058</v>
      </c>
      <c r="AZ205" s="448">
        <f t="shared" si="90"/>
        <v>-63.174581681744378</v>
      </c>
      <c r="BA205" s="451">
        <f t="shared" si="104"/>
        <v>56.253746216235058</v>
      </c>
      <c r="BB205" s="451">
        <f t="shared" si="104"/>
        <v>63.174581681744378</v>
      </c>
      <c r="BC205">
        <f t="shared" si="105"/>
        <v>0.3</v>
      </c>
      <c r="BE205" s="298">
        <v>32</v>
      </c>
      <c r="BF205" s="299">
        <f t="shared" si="75"/>
        <v>860</v>
      </c>
      <c r="BG205" s="42">
        <f t="shared" si="76"/>
        <v>860</v>
      </c>
      <c r="BH205" s="301">
        <f t="shared" si="77"/>
        <v>645.90324687964676</v>
      </c>
      <c r="BI205" s="302">
        <f t="shared" si="78"/>
        <v>645.90324687964676</v>
      </c>
      <c r="BJ205" s="302">
        <f t="shared" si="79"/>
        <v>0.90324687964672989</v>
      </c>
      <c r="BK205" s="302" t="b">
        <f t="shared" si="80"/>
        <v>0</v>
      </c>
      <c r="BL205" s="304">
        <v>32</v>
      </c>
    </row>
    <row r="206" spans="1:109" ht="21" customHeight="1" thickBot="1" x14ac:dyDescent="0.35">
      <c r="A206" s="296"/>
      <c r="B206" s="277">
        <v>12</v>
      </c>
      <c r="C206" s="278"/>
      <c r="D206" s="25">
        <v>0</v>
      </c>
      <c r="E206" s="279" t="s">
        <v>130</v>
      </c>
      <c r="F206" s="258">
        <f t="shared" si="91"/>
        <v>0.3</v>
      </c>
      <c r="G206" s="258">
        <f t="shared" si="106"/>
        <v>0.3</v>
      </c>
      <c r="H206" s="506">
        <v>279.06049999999999</v>
      </c>
      <c r="I206" s="507">
        <v>79.962900599999998</v>
      </c>
      <c r="J206" s="474">
        <f t="shared" si="92"/>
        <v>79.962900599999998</v>
      </c>
      <c r="K206" s="474">
        <f t="shared" si="93"/>
        <v>39.981450299999999</v>
      </c>
      <c r="L206" s="474">
        <f t="shared" si="81"/>
        <v>0.64253956655634092</v>
      </c>
      <c r="M206" s="474">
        <f t="shared" si="82"/>
        <v>179.30741271299578</v>
      </c>
      <c r="N206" s="474">
        <f t="shared" si="83"/>
        <v>358.61482542599157</v>
      </c>
      <c r="O206" s="474">
        <f>+C195+D196+D197+D198+D199+D200+D201+D202+D203+D204+D205+(D206/2)</f>
        <v>0</v>
      </c>
      <c r="P206" s="474">
        <f t="shared" si="84"/>
        <v>0</v>
      </c>
      <c r="Q206" s="474">
        <f t="shared" si="85"/>
        <v>0</v>
      </c>
      <c r="R206" s="474">
        <f t="shared" si="94"/>
        <v>213.83080000000001</v>
      </c>
      <c r="S206" s="474">
        <f t="shared" si="107"/>
        <v>213.83080000000001</v>
      </c>
      <c r="T206" s="476">
        <f t="shared" si="86"/>
        <v>213.83080000000001</v>
      </c>
      <c r="V206" s="437">
        <f t="shared" si="87"/>
        <v>0</v>
      </c>
      <c r="W206" s="437"/>
      <c r="X206" s="437"/>
      <c r="Y206" s="437"/>
      <c r="Z206" s="437"/>
      <c r="AA206" s="437"/>
      <c r="AB206" s="477" t="str">
        <f t="shared" si="95"/>
        <v>use the locking pin</v>
      </c>
      <c r="AC206" s="514"/>
      <c r="AD206" s="514"/>
      <c r="AE206" s="514"/>
      <c r="AF206" s="437">
        <f>SUM(V206:V214)/($B$192-B205)</f>
        <v>0</v>
      </c>
      <c r="AG206" s="437"/>
      <c r="AH206" s="450">
        <f>SUM(D196:D206)+$C$195</f>
        <v>0</v>
      </c>
      <c r="AI206" s="516"/>
      <c r="AJ206" s="287">
        <f t="shared" si="96"/>
        <v>66.255548399999995</v>
      </c>
      <c r="AK206" s="441">
        <f t="shared" si="88"/>
        <v>0.91535047595051022</v>
      </c>
      <c r="AL206" s="289">
        <f t="shared" si="97"/>
        <v>278.56028065668761</v>
      </c>
      <c r="AM206" s="287">
        <f t="shared" si="98"/>
        <v>50.018549700000001</v>
      </c>
      <c r="AN206" s="442">
        <f t="shared" si="99"/>
        <v>0.76625250760411079</v>
      </c>
      <c r="AO206" s="291">
        <f t="shared" si="100"/>
        <v>213.83080789825695</v>
      </c>
      <c r="AP206" s="519"/>
      <c r="AQ206" s="291">
        <f t="shared" si="108"/>
        <v>-405</v>
      </c>
      <c r="AR206" s="443"/>
      <c r="AS206" s="444">
        <f t="shared" si="101"/>
        <v>492.39108855494453</v>
      </c>
      <c r="AT206" s="445">
        <f t="shared" si="110"/>
        <v>-213.83080789825695</v>
      </c>
      <c r="AU206" s="446"/>
      <c r="AV206" s="445">
        <f t="shared" si="109"/>
        <v>213.83080789825695</v>
      </c>
      <c r="AW206" s="447">
        <f t="shared" si="102"/>
        <v>-229.12054317849331</v>
      </c>
      <c r="AX206" s="447">
        <f t="shared" si="103"/>
        <v>-175.87945682150675</v>
      </c>
      <c r="AY206" s="448">
        <f t="shared" si="89"/>
        <v>-50.628371594611551</v>
      </c>
      <c r="AZ206" s="448">
        <f t="shared" si="90"/>
        <v>-56.857123513569938</v>
      </c>
      <c r="BA206" s="451">
        <f t="shared" si="104"/>
        <v>50.628371594611551</v>
      </c>
      <c r="BB206" s="451">
        <f t="shared" si="104"/>
        <v>56.857123513569938</v>
      </c>
      <c r="BC206">
        <f t="shared" si="105"/>
        <v>0.3</v>
      </c>
      <c r="BE206" s="298">
        <v>33</v>
      </c>
      <c r="BF206" s="299">
        <f t="shared" si="75"/>
        <v>903</v>
      </c>
      <c r="BG206" s="42">
        <f t="shared" si="76"/>
        <v>903</v>
      </c>
      <c r="BH206" s="301">
        <f t="shared" si="77"/>
        <v>688.90324687964676</v>
      </c>
      <c r="BI206" s="302">
        <f t="shared" si="78"/>
        <v>688.90324687964676</v>
      </c>
      <c r="BJ206" s="302">
        <f t="shared" si="79"/>
        <v>0.90324687964672989</v>
      </c>
      <c r="BK206" s="302" t="b">
        <f t="shared" si="80"/>
        <v>0</v>
      </c>
      <c r="BL206" s="304">
        <v>33</v>
      </c>
    </row>
    <row r="207" spans="1:109" ht="21" customHeight="1" thickBot="1" x14ac:dyDescent="0.35">
      <c r="B207" s="277">
        <v>13</v>
      </c>
      <c r="C207" s="278"/>
      <c r="D207" s="25">
        <v>0</v>
      </c>
      <c r="E207" s="279" t="s">
        <v>130</v>
      </c>
      <c r="F207" s="258">
        <f t="shared" si="91"/>
        <v>0.3</v>
      </c>
      <c r="G207" s="258">
        <f t="shared" si="106"/>
        <v>0.3</v>
      </c>
      <c r="H207" s="506">
        <v>279.06049999999999</v>
      </c>
      <c r="I207" s="507">
        <v>79.962900599999998</v>
      </c>
      <c r="J207" s="474">
        <f t="shared" si="92"/>
        <v>79.962900599999998</v>
      </c>
      <c r="K207" s="474">
        <f t="shared" si="93"/>
        <v>39.981450299999999</v>
      </c>
      <c r="L207" s="474">
        <f t="shared" si="81"/>
        <v>0.64253956655634092</v>
      </c>
      <c r="M207" s="474">
        <f t="shared" si="82"/>
        <v>179.30741271299578</v>
      </c>
      <c r="N207" s="474">
        <f t="shared" si="83"/>
        <v>358.61482542599157</v>
      </c>
      <c r="O207" s="474">
        <f>+C195+D196+D197+D198+D199+D200+D201+D202+D203+D204+D205+D206+(D207/2)</f>
        <v>0</v>
      </c>
      <c r="P207" s="474">
        <f t="shared" si="84"/>
        <v>0</v>
      </c>
      <c r="Q207" s="474">
        <f t="shared" si="85"/>
        <v>0</v>
      </c>
      <c r="R207" s="474">
        <f t="shared" si="94"/>
        <v>213.83080000000001</v>
      </c>
      <c r="S207" s="474">
        <f t="shared" si="107"/>
        <v>213.83080000000001</v>
      </c>
      <c r="T207" s="476">
        <f t="shared" si="86"/>
        <v>213.83080000000001</v>
      </c>
      <c r="V207" s="437">
        <f t="shared" si="87"/>
        <v>0</v>
      </c>
      <c r="W207" s="437"/>
      <c r="X207" s="437"/>
      <c r="Y207" s="437"/>
      <c r="Z207" s="437"/>
      <c r="AA207" s="437"/>
      <c r="AB207" s="477" t="str">
        <f t="shared" si="95"/>
        <v>use the locking pin</v>
      </c>
      <c r="AC207" s="514"/>
      <c r="AD207" s="514"/>
      <c r="AE207" s="514"/>
      <c r="AF207" s="437">
        <f>SUM(V207:V214)/($B$192-B206)</f>
        <v>0</v>
      </c>
      <c r="AG207" s="437"/>
      <c r="AH207" s="450">
        <f>SUM(D196:D207)+$C$195</f>
        <v>0</v>
      </c>
      <c r="AI207" s="516"/>
      <c r="AJ207" s="287">
        <f t="shared" si="96"/>
        <v>66.255548399999995</v>
      </c>
      <c r="AK207" s="441">
        <f t="shared" si="88"/>
        <v>0.91535047595051022</v>
      </c>
      <c r="AL207" s="289">
        <f t="shared" si="97"/>
        <v>278.56028065668761</v>
      </c>
      <c r="AM207" s="287">
        <f t="shared" si="98"/>
        <v>50.018549700000001</v>
      </c>
      <c r="AN207" s="442">
        <f t="shared" si="99"/>
        <v>0.76625250760411079</v>
      </c>
      <c r="AO207" s="291">
        <f t="shared" si="100"/>
        <v>213.83080789825695</v>
      </c>
      <c r="AP207" s="519"/>
      <c r="AQ207" s="291">
        <f t="shared" si="108"/>
        <v>-445.5</v>
      </c>
      <c r="AR207" s="443"/>
      <c r="AS207" s="444">
        <f t="shared" si="101"/>
        <v>492.39108855494453</v>
      </c>
      <c r="AT207" s="445">
        <f t="shared" si="110"/>
        <v>-213.83080789825695</v>
      </c>
      <c r="AU207" s="446"/>
      <c r="AV207" s="445">
        <f t="shared" si="109"/>
        <v>213.83080789825695</v>
      </c>
      <c r="AW207" s="447">
        <f t="shared" si="102"/>
        <v>-252.03259749634262</v>
      </c>
      <c r="AX207" s="447">
        <f t="shared" si="103"/>
        <v>-193.46740250365741</v>
      </c>
      <c r="AY207" s="448">
        <f t="shared" si="89"/>
        <v>-46.025792358737775</v>
      </c>
      <c r="AZ207" s="448">
        <f t="shared" si="90"/>
        <v>-51.688294103245404</v>
      </c>
      <c r="BA207" s="451">
        <f t="shared" si="104"/>
        <v>46.025792358737775</v>
      </c>
      <c r="BB207" s="451">
        <f t="shared" si="104"/>
        <v>51.688294103245404</v>
      </c>
      <c r="BC207">
        <f t="shared" si="105"/>
        <v>0.3</v>
      </c>
      <c r="BE207" s="298">
        <v>34</v>
      </c>
      <c r="BF207" s="299">
        <f t="shared" si="75"/>
        <v>946</v>
      </c>
      <c r="BG207" s="42">
        <f t="shared" si="76"/>
        <v>946</v>
      </c>
      <c r="BH207" s="301">
        <f t="shared" si="77"/>
        <v>731.90324687964676</v>
      </c>
      <c r="BI207" s="302">
        <f t="shared" si="78"/>
        <v>731.90324687964676</v>
      </c>
      <c r="BJ207" s="302">
        <f t="shared" si="79"/>
        <v>0.90324687964672989</v>
      </c>
      <c r="BK207" s="302" t="b">
        <f t="shared" si="80"/>
        <v>0</v>
      </c>
      <c r="BL207" s="304">
        <v>34</v>
      </c>
    </row>
    <row r="208" spans="1:109" ht="21" customHeight="1" thickBot="1" x14ac:dyDescent="0.35">
      <c r="B208" s="277">
        <v>14</v>
      </c>
      <c r="C208" s="278"/>
      <c r="D208" s="25">
        <v>0</v>
      </c>
      <c r="E208" s="279" t="s">
        <v>130</v>
      </c>
      <c r="F208" s="258">
        <f t="shared" si="91"/>
        <v>0.3</v>
      </c>
      <c r="G208" s="258">
        <f t="shared" si="106"/>
        <v>0.3</v>
      </c>
      <c r="H208" s="506">
        <v>279.06049999999999</v>
      </c>
      <c r="I208" s="507">
        <v>79.962900599999998</v>
      </c>
      <c r="J208" s="474">
        <f t="shared" si="92"/>
        <v>79.962900599999998</v>
      </c>
      <c r="K208" s="474">
        <f t="shared" si="93"/>
        <v>39.981450299999999</v>
      </c>
      <c r="L208" s="474">
        <f t="shared" si="81"/>
        <v>0.64253956655634092</v>
      </c>
      <c r="M208" s="474">
        <f t="shared" si="82"/>
        <v>179.30741271299578</v>
      </c>
      <c r="N208" s="474">
        <f t="shared" si="83"/>
        <v>358.61482542599157</v>
      </c>
      <c r="O208" s="474">
        <f>+C195+D196+D197+D198+D199+D200+D201+D202+D203+D204+D205+D206+D207+(D208/2)</f>
        <v>0</v>
      </c>
      <c r="P208" s="474">
        <f t="shared" si="84"/>
        <v>0</v>
      </c>
      <c r="Q208" s="474">
        <f t="shared" si="85"/>
        <v>0</v>
      </c>
      <c r="R208" s="474">
        <f t="shared" si="94"/>
        <v>213.83080000000001</v>
      </c>
      <c r="S208" s="474">
        <f t="shared" si="107"/>
        <v>213.83080000000001</v>
      </c>
      <c r="T208" s="476">
        <f t="shared" si="86"/>
        <v>213.83080000000001</v>
      </c>
      <c r="V208" s="437">
        <f t="shared" si="87"/>
        <v>0</v>
      </c>
      <c r="W208" s="437"/>
      <c r="X208" s="437"/>
      <c r="Y208" s="437"/>
      <c r="Z208" s="437"/>
      <c r="AA208" s="437"/>
      <c r="AB208" s="477" t="str">
        <f t="shared" si="95"/>
        <v>use the locking pin</v>
      </c>
      <c r="AC208" s="514"/>
      <c r="AD208" s="514"/>
      <c r="AE208" s="514"/>
      <c r="AF208" s="437">
        <f>SUM(V208:V214)/($B$192-B207)</f>
        <v>0</v>
      </c>
      <c r="AG208" s="437"/>
      <c r="AH208" s="450">
        <f>SUM(D196:D208)+$C$195</f>
        <v>0</v>
      </c>
      <c r="AI208" s="516"/>
      <c r="AJ208" s="287">
        <f t="shared" si="96"/>
        <v>66.255548399999995</v>
      </c>
      <c r="AK208" s="441">
        <f t="shared" si="88"/>
        <v>0.91535047595051022</v>
      </c>
      <c r="AL208" s="289">
        <f t="shared" si="97"/>
        <v>278.56028065668761</v>
      </c>
      <c r="AM208" s="287">
        <f t="shared" si="98"/>
        <v>50.018549700000001</v>
      </c>
      <c r="AN208" s="442">
        <f t="shared" si="99"/>
        <v>0.76625250760411079</v>
      </c>
      <c r="AO208" s="291">
        <f t="shared" si="100"/>
        <v>213.83080789825695</v>
      </c>
      <c r="AP208" s="519"/>
      <c r="AQ208" s="291">
        <f t="shared" si="108"/>
        <v>-486</v>
      </c>
      <c r="AR208" s="443"/>
      <c r="AS208" s="444">
        <f t="shared" si="101"/>
        <v>492.39108855494453</v>
      </c>
      <c r="AT208" s="445">
        <f t="shared" si="110"/>
        <v>-213.83080789825695</v>
      </c>
      <c r="AU208" s="446"/>
      <c r="AV208" s="445">
        <f t="shared" si="109"/>
        <v>213.83080789825695</v>
      </c>
      <c r="AW208" s="447">
        <f t="shared" si="102"/>
        <v>-274.94465181419196</v>
      </c>
      <c r="AX208" s="447">
        <f t="shared" si="103"/>
        <v>-211.0553481858081</v>
      </c>
      <c r="AY208" s="448">
        <f t="shared" si="89"/>
        <v>-42.190309662176297</v>
      </c>
      <c r="AZ208" s="448">
        <f t="shared" si="90"/>
        <v>-47.380936261308278</v>
      </c>
      <c r="BA208" s="451">
        <f t="shared" si="104"/>
        <v>42.190309662176297</v>
      </c>
      <c r="BB208" s="451">
        <f t="shared" si="104"/>
        <v>47.380936261308278</v>
      </c>
      <c r="BC208">
        <f t="shared" si="105"/>
        <v>0.3</v>
      </c>
      <c r="BE208" s="298">
        <v>35</v>
      </c>
      <c r="BF208" s="299">
        <f t="shared" si="75"/>
        <v>989</v>
      </c>
      <c r="BG208" s="42">
        <f t="shared" si="76"/>
        <v>989</v>
      </c>
      <c r="BH208" s="301">
        <f t="shared" si="77"/>
        <v>774.90324687964676</v>
      </c>
      <c r="BI208" s="302">
        <f t="shared" si="78"/>
        <v>774.90324687964676</v>
      </c>
      <c r="BJ208" s="302">
        <f t="shared" si="79"/>
        <v>0.90324687964672989</v>
      </c>
      <c r="BK208" s="302" t="b">
        <f t="shared" si="80"/>
        <v>0</v>
      </c>
      <c r="BL208" s="304">
        <v>35</v>
      </c>
    </row>
    <row r="209" spans="2:129" ht="21" customHeight="1" thickBot="1" x14ac:dyDescent="0.35">
      <c r="B209" s="277">
        <v>15</v>
      </c>
      <c r="C209" s="278"/>
      <c r="D209" s="25">
        <v>0</v>
      </c>
      <c r="E209" s="279" t="s">
        <v>130</v>
      </c>
      <c r="F209" s="258">
        <f t="shared" si="91"/>
        <v>0.3</v>
      </c>
      <c r="G209" s="258">
        <f t="shared" si="106"/>
        <v>0.3</v>
      </c>
      <c r="H209" s="506">
        <v>279.06049999999999</v>
      </c>
      <c r="I209" s="507">
        <v>79.962900599999998</v>
      </c>
      <c r="J209" s="474">
        <f t="shared" si="92"/>
        <v>79.962900599999998</v>
      </c>
      <c r="K209" s="474">
        <f t="shared" si="93"/>
        <v>39.981450299999999</v>
      </c>
      <c r="L209" s="474">
        <f t="shared" si="81"/>
        <v>0.64253956655634092</v>
      </c>
      <c r="M209" s="474">
        <f t="shared" si="82"/>
        <v>179.30741271299578</v>
      </c>
      <c r="N209" s="474">
        <f t="shared" si="83"/>
        <v>358.61482542599157</v>
      </c>
      <c r="O209" s="474">
        <f>+C195+D196+D197+D198+D199+D200+D201+D202+D203+D204+D205+D206+D207+D208+(D209/2)</f>
        <v>0</v>
      </c>
      <c r="P209" s="474">
        <f t="shared" si="84"/>
        <v>0</v>
      </c>
      <c r="Q209" s="474">
        <f t="shared" si="85"/>
        <v>0</v>
      </c>
      <c r="R209" s="474">
        <f t="shared" si="94"/>
        <v>213.83080000000001</v>
      </c>
      <c r="S209" s="474">
        <f t="shared" si="107"/>
        <v>213.83080000000001</v>
      </c>
      <c r="T209" s="476">
        <f t="shared" si="86"/>
        <v>213.83080000000001</v>
      </c>
      <c r="V209" s="437">
        <f t="shared" si="87"/>
        <v>0</v>
      </c>
      <c r="W209" s="437"/>
      <c r="X209" s="437"/>
      <c r="Y209" s="437"/>
      <c r="Z209" s="437"/>
      <c r="AA209" s="437"/>
      <c r="AB209" s="477" t="str">
        <f t="shared" si="95"/>
        <v>use the locking pin</v>
      </c>
      <c r="AC209" s="514"/>
      <c r="AD209" s="514"/>
      <c r="AE209" s="514"/>
      <c r="AF209" s="437">
        <f>SUM(V209:V214)/($B$192-B208)</f>
        <v>0</v>
      </c>
      <c r="AG209" s="437"/>
      <c r="AH209" s="450">
        <f>SUM(D196:D209)+$C$195</f>
        <v>0</v>
      </c>
      <c r="AI209" s="516"/>
      <c r="AJ209" s="287">
        <f t="shared" si="96"/>
        <v>66.255548399999995</v>
      </c>
      <c r="AK209" s="441">
        <f t="shared" si="88"/>
        <v>0.91535047595051022</v>
      </c>
      <c r="AL209" s="289">
        <f t="shared" si="97"/>
        <v>278.56028065668761</v>
      </c>
      <c r="AM209" s="287">
        <f t="shared" si="98"/>
        <v>50.018549700000001</v>
      </c>
      <c r="AN209" s="442">
        <f t="shared" si="99"/>
        <v>0.76625250760411079</v>
      </c>
      <c r="AO209" s="291">
        <f t="shared" si="100"/>
        <v>213.83080789825695</v>
      </c>
      <c r="AP209" s="519"/>
      <c r="AQ209" s="291">
        <f t="shared" si="108"/>
        <v>-526.5</v>
      </c>
      <c r="AR209" s="443"/>
      <c r="AS209" s="444">
        <f t="shared" si="101"/>
        <v>492.39108855494453</v>
      </c>
      <c r="AT209" s="445">
        <f t="shared" si="110"/>
        <v>-213.83080789825695</v>
      </c>
      <c r="AU209" s="446"/>
      <c r="AV209" s="445">
        <f t="shared" si="109"/>
        <v>213.83080789825695</v>
      </c>
      <c r="AW209" s="447">
        <f t="shared" si="102"/>
        <v>-297.85670613204127</v>
      </c>
      <c r="AX209" s="447">
        <f t="shared" si="103"/>
        <v>-228.64329386795876</v>
      </c>
      <c r="AY209" s="448">
        <f t="shared" si="89"/>
        <v>-38.944901226624275</v>
      </c>
      <c r="AZ209" s="448">
        <f t="shared" si="90"/>
        <v>-43.736248856592262</v>
      </c>
      <c r="BA209" s="451">
        <f t="shared" si="104"/>
        <v>38.944901226624275</v>
      </c>
      <c r="BB209" s="451">
        <f t="shared" si="104"/>
        <v>43.736248856592262</v>
      </c>
      <c r="BC209">
        <f t="shared" si="105"/>
        <v>0.3</v>
      </c>
      <c r="BE209" s="298">
        <v>36</v>
      </c>
      <c r="BF209" s="299">
        <f t="shared" si="75"/>
        <v>1032</v>
      </c>
      <c r="BG209" s="42">
        <f t="shared" si="76"/>
        <v>1032</v>
      </c>
      <c r="BH209" s="301">
        <f t="shared" si="77"/>
        <v>817.90324687964676</v>
      </c>
      <c r="BI209" s="302">
        <f t="shared" si="78"/>
        <v>817.90324687964676</v>
      </c>
      <c r="BJ209" s="302">
        <f t="shared" si="79"/>
        <v>0.90324687964672989</v>
      </c>
      <c r="BK209" s="302" t="b">
        <f t="shared" si="80"/>
        <v>0</v>
      </c>
      <c r="BL209" s="304">
        <v>36</v>
      </c>
    </row>
    <row r="210" spans="2:129" ht="21" customHeight="1" thickBot="1" x14ac:dyDescent="0.35">
      <c r="B210" s="277">
        <v>16</v>
      </c>
      <c r="C210" s="278"/>
      <c r="D210" s="25">
        <v>0</v>
      </c>
      <c r="E210" s="279" t="s">
        <v>130</v>
      </c>
      <c r="F210" s="258">
        <f t="shared" si="91"/>
        <v>0.3</v>
      </c>
      <c r="G210" s="258">
        <f t="shared" si="106"/>
        <v>0.3</v>
      </c>
      <c r="H210" s="506">
        <v>279.06049999999999</v>
      </c>
      <c r="I210" s="507">
        <v>79.962900599999998</v>
      </c>
      <c r="J210" s="474">
        <f t="shared" si="92"/>
        <v>79.962900599999998</v>
      </c>
      <c r="K210" s="474">
        <f t="shared" si="93"/>
        <v>39.981450299999999</v>
      </c>
      <c r="L210" s="474">
        <f t="shared" si="81"/>
        <v>0.64253956655634092</v>
      </c>
      <c r="M210" s="474">
        <f t="shared" si="82"/>
        <v>179.30741271299578</v>
      </c>
      <c r="N210" s="474">
        <f t="shared" si="83"/>
        <v>358.61482542599157</v>
      </c>
      <c r="O210" s="474">
        <f>+C195+D196+D197+D198+D199+D200+D201+D202+D203+D204+D205+D206+D207+D208+D209+(D210/2)</f>
        <v>0</v>
      </c>
      <c r="P210" s="474">
        <f t="shared" si="84"/>
        <v>0</v>
      </c>
      <c r="Q210" s="474">
        <f t="shared" si="85"/>
        <v>0</v>
      </c>
      <c r="R210" s="474">
        <f t="shared" si="94"/>
        <v>213.83080000000001</v>
      </c>
      <c r="S210" s="474">
        <f t="shared" si="107"/>
        <v>213.83080000000001</v>
      </c>
      <c r="T210" s="476">
        <f t="shared" si="86"/>
        <v>213.83080000000001</v>
      </c>
      <c r="V210" s="437">
        <f t="shared" si="87"/>
        <v>0</v>
      </c>
      <c r="W210" s="437"/>
      <c r="X210" s="437"/>
      <c r="Y210" s="437"/>
      <c r="Z210" s="437"/>
      <c r="AA210" s="437"/>
      <c r="AB210" s="477" t="str">
        <f t="shared" si="95"/>
        <v>use the locking pin</v>
      </c>
      <c r="AC210" s="514"/>
      <c r="AD210" s="514"/>
      <c r="AE210" s="514"/>
      <c r="AF210" s="437">
        <f>SUM(V210:V214)/($B$192-B209)</f>
        <v>0</v>
      </c>
      <c r="AG210" s="437"/>
      <c r="AH210" s="450">
        <f>SUM(D196:D210)+$C$195</f>
        <v>0</v>
      </c>
      <c r="AI210" s="516"/>
      <c r="AJ210" s="287">
        <f t="shared" si="96"/>
        <v>66.255548399999995</v>
      </c>
      <c r="AK210" s="441">
        <f t="shared" si="88"/>
        <v>0.91535047595051022</v>
      </c>
      <c r="AL210" s="289">
        <f t="shared" si="97"/>
        <v>278.56028065668761</v>
      </c>
      <c r="AM210" s="287">
        <f t="shared" si="98"/>
        <v>50.018549700000001</v>
      </c>
      <c r="AN210" s="442">
        <f t="shared" si="99"/>
        <v>0.76625250760411079</v>
      </c>
      <c r="AO210" s="291">
        <f t="shared" si="100"/>
        <v>213.83080789825695</v>
      </c>
      <c r="AP210" s="519"/>
      <c r="AQ210" s="291">
        <f t="shared" si="108"/>
        <v>-567</v>
      </c>
      <c r="AR210" s="443"/>
      <c r="AS210" s="444">
        <f t="shared" si="101"/>
        <v>492.39108855494453</v>
      </c>
      <c r="AT210" s="445">
        <f t="shared" si="110"/>
        <v>-213.83080789825695</v>
      </c>
      <c r="AU210" s="446"/>
      <c r="AV210" s="445">
        <f t="shared" si="109"/>
        <v>213.83080789825695</v>
      </c>
      <c r="AW210" s="447">
        <f t="shared" si="102"/>
        <v>-320.76876044989064</v>
      </c>
      <c r="AX210" s="447">
        <f t="shared" si="103"/>
        <v>-246.23123955010945</v>
      </c>
      <c r="AY210" s="448">
        <f t="shared" si="89"/>
        <v>-36.163122567579677</v>
      </c>
      <c r="AZ210" s="448">
        <f t="shared" si="90"/>
        <v>-40.612231081121386</v>
      </c>
      <c r="BA210" s="451">
        <f t="shared" si="104"/>
        <v>36.163122567579677</v>
      </c>
      <c r="BB210" s="451">
        <f t="shared" si="104"/>
        <v>40.612231081121386</v>
      </c>
      <c r="BC210">
        <f t="shared" si="105"/>
        <v>0.3</v>
      </c>
      <c r="BE210" s="308">
        <v>37</v>
      </c>
      <c r="BF210" s="309">
        <f t="shared" si="75"/>
        <v>1075</v>
      </c>
      <c r="BG210" s="42">
        <f t="shared" si="76"/>
        <v>1075</v>
      </c>
      <c r="BH210" s="301">
        <f t="shared" si="77"/>
        <v>860.90324687964676</v>
      </c>
      <c r="BI210" s="302">
        <f t="shared" si="78"/>
        <v>860.90324687964676</v>
      </c>
      <c r="BJ210" s="302">
        <f t="shared" si="79"/>
        <v>0.90324687964672989</v>
      </c>
      <c r="BK210" s="302" t="b">
        <f t="shared" si="80"/>
        <v>0</v>
      </c>
      <c r="BL210" s="310">
        <v>37</v>
      </c>
    </row>
    <row r="211" spans="2:129" ht="21" customHeight="1" thickBot="1" x14ac:dyDescent="0.25">
      <c r="B211" s="277">
        <v>17</v>
      </c>
      <c r="C211" s="278"/>
      <c r="D211" s="25">
        <v>0</v>
      </c>
      <c r="E211" s="279" t="s">
        <v>130</v>
      </c>
      <c r="F211" s="258">
        <f t="shared" si="91"/>
        <v>0.3</v>
      </c>
      <c r="G211" s="258">
        <f t="shared" si="106"/>
        <v>0.3</v>
      </c>
      <c r="H211" s="506">
        <v>279.06049999999999</v>
      </c>
      <c r="I211" s="507">
        <v>79.962900599999998</v>
      </c>
      <c r="J211" s="474">
        <f t="shared" si="92"/>
        <v>79.962900599999998</v>
      </c>
      <c r="K211" s="474">
        <f t="shared" si="93"/>
        <v>39.981450299999999</v>
      </c>
      <c r="L211" s="474">
        <f t="shared" si="81"/>
        <v>0.64253956655634092</v>
      </c>
      <c r="M211" s="474">
        <f t="shared" si="82"/>
        <v>179.30741271299578</v>
      </c>
      <c r="N211" s="474">
        <f t="shared" si="83"/>
        <v>358.61482542599157</v>
      </c>
      <c r="O211" s="474">
        <f>+C195+D196+D197+D198+D199+D200+D201+D202+D203+D204+D205+D206+D207+D208+D209+D210+(D211/2)</f>
        <v>0</v>
      </c>
      <c r="P211" s="474">
        <f t="shared" si="84"/>
        <v>0</v>
      </c>
      <c r="Q211" s="474">
        <f t="shared" si="85"/>
        <v>0</v>
      </c>
      <c r="R211" s="474">
        <f t="shared" si="94"/>
        <v>213.83080000000001</v>
      </c>
      <c r="S211" s="474">
        <f t="shared" si="107"/>
        <v>213.83080000000001</v>
      </c>
      <c r="T211" s="476">
        <f t="shared" si="86"/>
        <v>213.83080000000001</v>
      </c>
      <c r="V211" s="437">
        <f t="shared" si="87"/>
        <v>0</v>
      </c>
      <c r="W211" s="437"/>
      <c r="X211" s="437"/>
      <c r="Y211" s="437"/>
      <c r="Z211" s="437"/>
      <c r="AA211" s="437"/>
      <c r="AB211" s="477" t="str">
        <f t="shared" si="95"/>
        <v>use the locking pin</v>
      </c>
      <c r="AC211" s="514"/>
      <c r="AD211" s="514"/>
      <c r="AE211" s="514"/>
      <c r="AF211" s="437">
        <f>SUM(V211:V214)/($B$192-B210)</f>
        <v>0</v>
      </c>
      <c r="AG211" s="437"/>
      <c r="AH211" s="450">
        <f>SUM(D196:D211)+$C$195</f>
        <v>0</v>
      </c>
      <c r="AI211" s="516"/>
      <c r="AJ211" s="287">
        <f t="shared" si="96"/>
        <v>66.255548399999995</v>
      </c>
      <c r="AK211" s="441">
        <f t="shared" si="88"/>
        <v>0.91535047595051022</v>
      </c>
      <c r="AL211" s="289">
        <f t="shared" si="97"/>
        <v>278.56028065668761</v>
      </c>
      <c r="AM211" s="287">
        <f t="shared" si="98"/>
        <v>50.018549700000001</v>
      </c>
      <c r="AN211" s="442">
        <f t="shared" si="99"/>
        <v>0.76625250760411079</v>
      </c>
      <c r="AO211" s="291">
        <f t="shared" si="100"/>
        <v>213.83080789825695</v>
      </c>
      <c r="AP211" s="519"/>
      <c r="AQ211" s="291">
        <f t="shared" si="108"/>
        <v>-607.5</v>
      </c>
      <c r="AR211" s="443"/>
      <c r="AS211" s="444">
        <f t="shared" si="101"/>
        <v>492.39108855494453</v>
      </c>
      <c r="AT211" s="445">
        <f t="shared" si="110"/>
        <v>-213.83080789825695</v>
      </c>
      <c r="AU211" s="446"/>
      <c r="AV211" s="445">
        <f t="shared" si="109"/>
        <v>213.83080789825695</v>
      </c>
      <c r="AW211" s="447">
        <f t="shared" si="102"/>
        <v>-343.68081476773995</v>
      </c>
      <c r="AX211" s="447">
        <f t="shared" si="103"/>
        <v>-263.81918523226011</v>
      </c>
      <c r="AY211" s="448">
        <f t="shared" si="89"/>
        <v>-33.752247729741036</v>
      </c>
      <c r="AZ211" s="448">
        <f t="shared" si="90"/>
        <v>-37.904749009046625</v>
      </c>
      <c r="BA211" s="451">
        <f t="shared" si="104"/>
        <v>33.752247729741036</v>
      </c>
      <c r="BB211" s="451">
        <f t="shared" si="104"/>
        <v>37.904749009046625</v>
      </c>
      <c r="BC211">
        <f t="shared" si="105"/>
        <v>0.3</v>
      </c>
      <c r="BD211" s="136"/>
      <c r="BP211" s="126"/>
      <c r="BR211" s="126"/>
      <c r="BT211" s="126"/>
      <c r="DF211" s="126"/>
      <c r="DG211" s="126"/>
      <c r="DH211" s="126"/>
      <c r="DI211" s="126"/>
      <c r="DJ211" s="126"/>
      <c r="DK211" s="126"/>
      <c r="DL211" s="203"/>
      <c r="DM211" s="203"/>
      <c r="DN211" s="203"/>
      <c r="DO211" s="203"/>
      <c r="DP211" s="203"/>
      <c r="DQ211" s="203"/>
      <c r="DR211" s="203"/>
      <c r="DS211" s="203"/>
      <c r="DT211" s="203"/>
      <c r="DU211" s="203"/>
      <c r="DV211" s="203"/>
      <c r="DW211" s="203"/>
      <c r="DX211" s="203"/>
      <c r="DY211" s="203"/>
    </row>
    <row r="212" spans="2:129" ht="21" customHeight="1" thickBot="1" x14ac:dyDescent="0.25">
      <c r="B212" s="277">
        <v>18</v>
      </c>
      <c r="C212" s="278"/>
      <c r="D212" s="25">
        <v>0</v>
      </c>
      <c r="E212" s="279" t="s">
        <v>130</v>
      </c>
      <c r="F212" s="258">
        <f t="shared" si="91"/>
        <v>0.3</v>
      </c>
      <c r="G212" s="258">
        <f t="shared" si="106"/>
        <v>0.3</v>
      </c>
      <c r="H212" s="506">
        <v>279.06049999999999</v>
      </c>
      <c r="I212" s="507">
        <v>79.962900599999998</v>
      </c>
      <c r="J212" s="474">
        <f t="shared" si="92"/>
        <v>79.962900599999998</v>
      </c>
      <c r="K212" s="474">
        <f t="shared" si="93"/>
        <v>39.981450299999999</v>
      </c>
      <c r="L212" s="474">
        <f t="shared" si="81"/>
        <v>0.64253956655634092</v>
      </c>
      <c r="M212" s="474">
        <f t="shared" si="82"/>
        <v>179.30741271299578</v>
      </c>
      <c r="N212" s="474">
        <f t="shared" si="83"/>
        <v>358.61482542599157</v>
      </c>
      <c r="O212" s="474">
        <f>+C195+D196+D197+D198+D199+D200+D201+D202+D203+D204+D205+D206+D207+D208+D209+D210+D211+(D212/2)</f>
        <v>0</v>
      </c>
      <c r="P212" s="474">
        <f t="shared" si="84"/>
        <v>0</v>
      </c>
      <c r="Q212" s="474">
        <f t="shared" si="85"/>
        <v>0</v>
      </c>
      <c r="R212" s="474">
        <f t="shared" si="94"/>
        <v>213.83080000000001</v>
      </c>
      <c r="S212" s="474">
        <f t="shared" si="107"/>
        <v>213.83080000000001</v>
      </c>
      <c r="T212" s="476">
        <f t="shared" si="86"/>
        <v>213.83080000000001</v>
      </c>
      <c r="V212" s="437">
        <f t="shared" si="87"/>
        <v>0</v>
      </c>
      <c r="W212" s="437"/>
      <c r="X212" s="437"/>
      <c r="Y212" s="437"/>
      <c r="Z212" s="437"/>
      <c r="AA212" s="437"/>
      <c r="AB212" s="477" t="str">
        <f t="shared" si="95"/>
        <v>use the locking pin</v>
      </c>
      <c r="AC212" s="514"/>
      <c r="AD212" s="514"/>
      <c r="AE212" s="514"/>
      <c r="AF212" s="437">
        <f>SUM(V212:V214)/($B$192-B211)</f>
        <v>0</v>
      </c>
      <c r="AG212" s="437"/>
      <c r="AH212" s="450">
        <f>SUM(D196:D212)+$C$195</f>
        <v>0</v>
      </c>
      <c r="AI212" s="516"/>
      <c r="AJ212" s="287">
        <f t="shared" si="96"/>
        <v>66.255548399999995</v>
      </c>
      <c r="AK212" s="441">
        <f t="shared" si="88"/>
        <v>0.91535047595051022</v>
      </c>
      <c r="AL212" s="289">
        <f t="shared" si="97"/>
        <v>278.56028065668761</v>
      </c>
      <c r="AM212" s="287">
        <f t="shared" si="98"/>
        <v>50.018549700000001</v>
      </c>
      <c r="AN212" s="442">
        <f t="shared" si="99"/>
        <v>0.76625250760411079</v>
      </c>
      <c r="AO212" s="291">
        <f t="shared" si="100"/>
        <v>213.83080789825695</v>
      </c>
      <c r="AP212" s="519"/>
      <c r="AQ212" s="291">
        <f t="shared" si="108"/>
        <v>-648</v>
      </c>
      <c r="AR212" s="443"/>
      <c r="AS212" s="444">
        <f t="shared" si="101"/>
        <v>492.39108855494453</v>
      </c>
      <c r="AT212" s="445">
        <f t="shared" si="110"/>
        <v>-213.83080789825695</v>
      </c>
      <c r="AU212" s="446"/>
      <c r="AV212" s="445">
        <f t="shared" si="109"/>
        <v>213.83080789825695</v>
      </c>
      <c r="AW212" s="447">
        <f t="shared" si="102"/>
        <v>-366.59286908558926</v>
      </c>
      <c r="AX212" s="447">
        <f t="shared" si="103"/>
        <v>-281.4071309144108</v>
      </c>
      <c r="AY212" s="448">
        <f t="shared" si="89"/>
        <v>-31.642732246632221</v>
      </c>
      <c r="AZ212" s="448">
        <f t="shared" si="90"/>
        <v>-35.535702195981209</v>
      </c>
      <c r="BA212" s="451">
        <f t="shared" si="104"/>
        <v>31.642732246632221</v>
      </c>
      <c r="BB212" s="451">
        <f t="shared" si="104"/>
        <v>35.535702195981209</v>
      </c>
      <c r="BC212">
        <f t="shared" si="105"/>
        <v>0.3</v>
      </c>
      <c r="BD212" s="458"/>
      <c r="BP212" s="126"/>
      <c r="BT212" s="126"/>
      <c r="DF212" s="126"/>
      <c r="DG212" s="126"/>
      <c r="DH212" s="126"/>
      <c r="DI212" s="126"/>
      <c r="DJ212" s="126"/>
      <c r="DK212" s="126"/>
      <c r="DL212" s="203"/>
      <c r="DM212" s="203"/>
      <c r="DN212" s="203"/>
      <c r="DO212" s="203"/>
      <c r="DP212" s="203"/>
      <c r="DQ212" s="203"/>
      <c r="DR212" s="203"/>
      <c r="DS212" s="203"/>
      <c r="DT212" s="203"/>
      <c r="DU212" s="203"/>
      <c r="DV212" s="203"/>
      <c r="DW212" s="203"/>
      <c r="DX212" s="203"/>
      <c r="DY212" s="203"/>
    </row>
    <row r="213" spans="2:129" ht="21" customHeight="1" thickBot="1" x14ac:dyDescent="0.25">
      <c r="B213" s="277">
        <v>19</v>
      </c>
      <c r="C213" s="524"/>
      <c r="D213" s="29">
        <v>0</v>
      </c>
      <c r="E213" s="279" t="s">
        <v>130</v>
      </c>
      <c r="F213" s="525">
        <f t="shared" si="91"/>
        <v>0.3</v>
      </c>
      <c r="G213" s="525">
        <f t="shared" si="106"/>
        <v>0.3</v>
      </c>
      <c r="H213" s="506">
        <v>279.06049999999999</v>
      </c>
      <c r="I213" s="507">
        <v>79.962900599999998</v>
      </c>
      <c r="J213" s="526">
        <f t="shared" si="92"/>
        <v>79.962900599999998</v>
      </c>
      <c r="K213" s="526">
        <f t="shared" si="93"/>
        <v>39.981450299999999</v>
      </c>
      <c r="L213" s="526">
        <f t="shared" si="81"/>
        <v>0.64253956655634092</v>
      </c>
      <c r="M213" s="526">
        <f t="shared" si="82"/>
        <v>179.30741271299578</v>
      </c>
      <c r="N213" s="526">
        <f t="shared" si="83"/>
        <v>358.61482542599157</v>
      </c>
      <c r="O213" s="526">
        <f>+C195+D196+D197+D198+D199+D200+D201+D202+D203+D204+D205+D206+D207+D208+D209+D210+D211+D212+(D213/2)</f>
        <v>0</v>
      </c>
      <c r="P213" s="526">
        <f t="shared" si="84"/>
        <v>0</v>
      </c>
      <c r="Q213" s="526">
        <f t="shared" si="85"/>
        <v>0</v>
      </c>
      <c r="R213" s="526">
        <f t="shared" si="94"/>
        <v>213.83080000000001</v>
      </c>
      <c r="S213" s="526">
        <f t="shared" si="107"/>
        <v>213.83080000000001</v>
      </c>
      <c r="T213" s="527">
        <f t="shared" si="86"/>
        <v>213.83080000000001</v>
      </c>
      <c r="U213" s="528"/>
      <c r="V213" s="529">
        <f t="shared" si="87"/>
        <v>0</v>
      </c>
      <c r="W213" s="529"/>
      <c r="X213" s="529"/>
      <c r="Y213" s="529"/>
      <c r="Z213" s="529"/>
      <c r="AA213" s="529"/>
      <c r="AB213" s="530" t="str">
        <f t="shared" si="95"/>
        <v>use the locking pin</v>
      </c>
      <c r="AC213" s="531"/>
      <c r="AD213" s="531"/>
      <c r="AE213" s="531"/>
      <c r="AF213" s="529">
        <f>SUM(V213:V214)/($B$192-B212)</f>
        <v>0</v>
      </c>
      <c r="AG213" s="529"/>
      <c r="AH213" s="532">
        <f>SUM(D195:D213)+$C$195</f>
        <v>0</v>
      </c>
      <c r="AI213" s="533"/>
      <c r="AJ213" s="287">
        <f t="shared" si="96"/>
        <v>66.255548399999995</v>
      </c>
      <c r="AK213" s="534">
        <f t="shared" si="88"/>
        <v>0.91535047595051022</v>
      </c>
      <c r="AL213" s="289">
        <f t="shared" si="97"/>
        <v>278.56028065668761</v>
      </c>
      <c r="AM213" s="287">
        <f t="shared" si="98"/>
        <v>50.018549700000001</v>
      </c>
      <c r="AN213" s="535">
        <f t="shared" si="99"/>
        <v>0.76625250760411079</v>
      </c>
      <c r="AO213" s="291">
        <f t="shared" si="100"/>
        <v>213.83080789825695</v>
      </c>
      <c r="AP213" s="536"/>
      <c r="AQ213" s="291">
        <f t="shared" si="108"/>
        <v>-688.5</v>
      </c>
      <c r="AR213" s="537"/>
      <c r="AS213" s="538">
        <f t="shared" si="101"/>
        <v>492.39108855494453</v>
      </c>
      <c r="AT213" s="529">
        <f t="shared" si="110"/>
        <v>-213.83080789825695</v>
      </c>
      <c r="AU213" s="539"/>
      <c r="AV213" s="529">
        <f t="shared" si="109"/>
        <v>213.83080789825695</v>
      </c>
      <c r="AW213" s="540">
        <f t="shared" si="102"/>
        <v>-389.50492340343862</v>
      </c>
      <c r="AX213" s="540">
        <f t="shared" si="103"/>
        <v>-298.99507659656149</v>
      </c>
      <c r="AY213" s="541">
        <f t="shared" si="89"/>
        <v>-29.781395055653853</v>
      </c>
      <c r="AZ213" s="541">
        <f t="shared" si="90"/>
        <v>-33.445366772688196</v>
      </c>
      <c r="BA213" s="542">
        <f t="shared" si="104"/>
        <v>29.781395055653853</v>
      </c>
      <c r="BB213" s="542">
        <f t="shared" si="104"/>
        <v>33.445366772688196</v>
      </c>
      <c r="BC213">
        <f t="shared" si="105"/>
        <v>0.3</v>
      </c>
      <c r="BD213" s="144"/>
      <c r="BP213" s="126"/>
      <c r="BQ213" s="311"/>
      <c r="BR213" s="311"/>
      <c r="BS213" s="311"/>
      <c r="BT213" s="311"/>
      <c r="BU213" s="311"/>
      <c r="BV213" s="311"/>
      <c r="BW213" s="311"/>
      <c r="BX213" s="311"/>
      <c r="BY213" s="311"/>
      <c r="BZ213" s="311"/>
      <c r="CA213" s="311"/>
      <c r="CB213" s="311"/>
      <c r="CC213" s="311"/>
      <c r="CD213" s="311"/>
      <c r="CE213" s="311"/>
      <c r="CF213" s="311"/>
      <c r="CG213" s="311"/>
      <c r="CH213" s="311"/>
      <c r="CI213" s="311"/>
      <c r="CJ213" s="311"/>
      <c r="CK213" s="311"/>
      <c r="CL213" s="311"/>
      <c r="CM213" s="311"/>
      <c r="CN213" s="311"/>
      <c r="DF213" s="126"/>
      <c r="DG213" s="126"/>
      <c r="DH213" s="126"/>
      <c r="DI213" s="126"/>
      <c r="DJ213" s="126"/>
      <c r="DK213" s="126"/>
      <c r="DL213" s="203"/>
      <c r="DM213" s="203"/>
      <c r="DN213" s="203"/>
      <c r="DO213" s="203"/>
      <c r="DP213" s="203"/>
      <c r="DQ213" s="203"/>
      <c r="DR213" s="203"/>
      <c r="DS213" s="203"/>
      <c r="DT213" s="203"/>
      <c r="DU213" s="203"/>
      <c r="DV213" s="203"/>
      <c r="DW213" s="203"/>
      <c r="DX213" s="203"/>
      <c r="DY213" s="203"/>
    </row>
    <row r="214" spans="2:129" ht="21" customHeight="1" thickBot="1" x14ac:dyDescent="0.25">
      <c r="B214" s="277">
        <v>20</v>
      </c>
      <c r="C214" s="278"/>
      <c r="D214" s="25">
        <v>0</v>
      </c>
      <c r="E214" s="279" t="s">
        <v>130</v>
      </c>
      <c r="F214" s="258">
        <f t="shared" si="91"/>
        <v>0.3</v>
      </c>
      <c r="G214" s="258">
        <f t="shared" si="106"/>
        <v>0.3</v>
      </c>
      <c r="H214" s="506">
        <v>279.06049999999999</v>
      </c>
      <c r="I214" s="507">
        <v>79.962900599999998</v>
      </c>
      <c r="J214" s="474">
        <f t="shared" si="92"/>
        <v>79.962900599999998</v>
      </c>
      <c r="K214" s="474">
        <f t="shared" si="93"/>
        <v>39.981450299999999</v>
      </c>
      <c r="L214" s="474">
        <f t="shared" si="81"/>
        <v>0.64253956655634092</v>
      </c>
      <c r="M214" s="474">
        <f t="shared" si="82"/>
        <v>179.30741271299578</v>
      </c>
      <c r="N214" s="474">
        <f t="shared" si="83"/>
        <v>358.61482542599157</v>
      </c>
      <c r="O214" s="474">
        <f>+C195+D196+D197+D198+D199+D200+D201+D202+D203+D204+D205+D206+D207+D208+D209+D210+D211+D212+D213+(D214/2)</f>
        <v>0</v>
      </c>
      <c r="P214" s="474">
        <f t="shared" si="84"/>
        <v>0</v>
      </c>
      <c r="Q214" s="474">
        <f t="shared" si="85"/>
        <v>0</v>
      </c>
      <c r="R214" s="474">
        <f t="shared" si="94"/>
        <v>213.83080000000001</v>
      </c>
      <c r="S214" s="474">
        <f t="shared" si="107"/>
        <v>213.83080000000001</v>
      </c>
      <c r="T214" s="476">
        <f t="shared" si="86"/>
        <v>213.83080000000001</v>
      </c>
      <c r="V214" s="437">
        <f t="shared" si="87"/>
        <v>0</v>
      </c>
      <c r="W214" s="437"/>
      <c r="X214" s="437"/>
      <c r="Y214" s="437"/>
      <c r="Z214" s="437"/>
      <c r="AA214" s="437"/>
      <c r="AB214" s="477" t="str">
        <f t="shared" si="95"/>
        <v>use the locking pin</v>
      </c>
      <c r="AC214" s="514"/>
      <c r="AD214" s="514"/>
      <c r="AE214" s="514"/>
      <c r="AF214" s="437">
        <f>SUM(V214:V214)/($B$192-B213)</f>
        <v>0</v>
      </c>
      <c r="AG214" s="437"/>
      <c r="AH214" s="450">
        <f>SUM(D196:D214)+$C$195</f>
        <v>0</v>
      </c>
      <c r="AI214" s="516"/>
      <c r="AJ214" s="287">
        <f t="shared" si="96"/>
        <v>66.255548399999995</v>
      </c>
      <c r="AK214" s="441">
        <f t="shared" si="88"/>
        <v>0.91535047595051022</v>
      </c>
      <c r="AL214" s="289">
        <f t="shared" si="97"/>
        <v>278.56028065668761</v>
      </c>
      <c r="AM214" s="287">
        <f t="shared" si="98"/>
        <v>50.018549700000001</v>
      </c>
      <c r="AN214" s="442">
        <f t="shared" si="99"/>
        <v>0.76625250760411079</v>
      </c>
      <c r="AO214" s="291">
        <f t="shared" si="100"/>
        <v>213.83080789825695</v>
      </c>
      <c r="AP214" s="519"/>
      <c r="AQ214" s="291">
        <f t="shared" si="108"/>
        <v>-729</v>
      </c>
      <c r="AR214" s="443"/>
      <c r="AS214" s="444">
        <f t="shared" si="101"/>
        <v>492.39108855494453</v>
      </c>
      <c r="AT214" s="445">
        <f t="shared" si="110"/>
        <v>-213.83080789825695</v>
      </c>
      <c r="AU214" s="446"/>
      <c r="AV214" s="445">
        <f t="shared" si="109"/>
        <v>213.83080789825695</v>
      </c>
      <c r="AW214" s="447">
        <f t="shared" si="102"/>
        <v>-412.41697772128794</v>
      </c>
      <c r="AX214" s="447">
        <f t="shared" si="103"/>
        <v>-316.58302227871212</v>
      </c>
      <c r="AY214" s="448">
        <f t="shared" si="89"/>
        <v>-28.126873108117529</v>
      </c>
      <c r="AZ214" s="448">
        <f t="shared" si="90"/>
        <v>-31.587290840872189</v>
      </c>
      <c r="BA214" s="451">
        <f t="shared" si="104"/>
        <v>28.126873108117529</v>
      </c>
      <c r="BB214" s="451">
        <f t="shared" si="104"/>
        <v>31.587290840872189</v>
      </c>
      <c r="BC214">
        <f t="shared" si="105"/>
        <v>0.3</v>
      </c>
      <c r="BD214" s="144"/>
      <c r="BP214" s="126"/>
      <c r="DF214" s="126"/>
      <c r="DG214" s="126"/>
      <c r="DH214" s="126"/>
      <c r="DI214" s="126"/>
      <c r="DJ214" s="126"/>
      <c r="DK214" s="126"/>
      <c r="DL214" s="203"/>
      <c r="DM214" s="203"/>
      <c r="DN214" s="203"/>
      <c r="DO214" s="203"/>
      <c r="DP214" s="203"/>
      <c r="DQ214" s="203"/>
      <c r="DR214" s="203"/>
      <c r="DS214" s="203"/>
      <c r="DT214" s="203"/>
      <c r="DU214" s="203"/>
      <c r="DV214" s="203"/>
      <c r="DW214" s="203"/>
      <c r="DX214" s="203"/>
      <c r="DY214" s="203"/>
    </row>
    <row r="215" spans="2:129" x14ac:dyDescent="0.2">
      <c r="BD215" s="545"/>
      <c r="BQ215" s="236"/>
      <c r="BR215" s="236"/>
      <c r="BS215" s="236"/>
      <c r="BT215" s="236"/>
      <c r="BU215" s="236"/>
      <c r="BV215" s="236"/>
      <c r="CA215" s="236"/>
      <c r="CB215" s="236"/>
      <c r="CC215" s="236"/>
      <c r="CD215" s="236"/>
      <c r="CI215" s="236"/>
      <c r="CJ215" s="236"/>
      <c r="CK215" s="236"/>
      <c r="CL215" s="236"/>
      <c r="CM215" s="236"/>
      <c r="CN215" s="236"/>
      <c r="DE215" s="126"/>
    </row>
    <row r="216" spans="2:129" x14ac:dyDescent="0.2">
      <c r="BD216" s="545"/>
      <c r="DE216" s="126"/>
    </row>
    <row r="217" spans="2:129" x14ac:dyDescent="0.2">
      <c r="BD217" s="545"/>
      <c r="DE217" s="126"/>
    </row>
    <row r="218" spans="2:129" x14ac:dyDescent="0.2">
      <c r="BD218" s="545"/>
      <c r="DE218" s="235"/>
    </row>
    <row r="219" spans="2:129" x14ac:dyDescent="0.2">
      <c r="BD219" s="545"/>
      <c r="DE219" s="126"/>
    </row>
    <row r="220" spans="2:129" x14ac:dyDescent="0.2">
      <c r="BD220" s="545"/>
    </row>
    <row r="221" spans="2:129" x14ac:dyDescent="0.2">
      <c r="BD221" s="545"/>
    </row>
    <row r="222" spans="2:129" x14ac:dyDescent="0.2">
      <c r="BD222" s="545"/>
    </row>
    <row r="223" spans="2:129" x14ac:dyDescent="0.2">
      <c r="BD223" s="545"/>
    </row>
    <row r="257" spans="110:129" x14ac:dyDescent="0.2">
      <c r="DF257" s="305"/>
      <c r="DG257" s="305"/>
      <c r="DH257" s="305"/>
      <c r="DI257" s="305"/>
      <c r="DJ257" s="305"/>
      <c r="DK257" s="305"/>
      <c r="DL257" s="1818"/>
      <c r="DM257" s="1818"/>
      <c r="DN257" s="1818"/>
      <c r="DO257" s="126"/>
    </row>
    <row r="258" spans="110:129" x14ac:dyDescent="0.2">
      <c r="DL258" s="306"/>
      <c r="DY258" s="306"/>
    </row>
    <row r="259" spans="110:129" x14ac:dyDescent="0.2">
      <c r="DF259" s="307"/>
      <c r="DG259" s="307"/>
      <c r="DH259" s="307"/>
      <c r="DI259" s="307"/>
      <c r="DJ259" s="307"/>
      <c r="DK259" s="307"/>
      <c r="DL259" s="1819"/>
      <c r="DM259" s="1819"/>
      <c r="DX259" s="1813"/>
      <c r="DY259" s="1813"/>
    </row>
    <row r="276" spans="110:134" x14ac:dyDescent="0.2">
      <c r="DF276" s="126"/>
      <c r="DH276" s="126"/>
      <c r="DJ276" s="126"/>
    </row>
    <row r="277" spans="110:134" x14ac:dyDescent="0.2">
      <c r="DF277" s="126"/>
      <c r="DJ277" s="126"/>
    </row>
    <row r="278" spans="110:134" x14ac:dyDescent="0.2">
      <c r="DF278" s="126"/>
      <c r="DG278" s="311"/>
      <c r="DH278" s="311"/>
      <c r="DI278" s="311"/>
      <c r="DJ278" s="311"/>
      <c r="DK278" s="311"/>
      <c r="DL278" s="311"/>
      <c r="DM278" s="311"/>
      <c r="DN278" s="311"/>
      <c r="DO278" s="311"/>
      <c r="DP278" s="311"/>
      <c r="DQ278" s="311"/>
      <c r="DR278" s="311"/>
      <c r="DS278" s="311"/>
      <c r="DT278" s="311"/>
      <c r="DU278" s="311"/>
      <c r="DV278" s="311"/>
      <c r="DW278" s="311"/>
      <c r="DX278" s="311"/>
      <c r="DY278" s="311"/>
      <c r="DZ278" s="311"/>
      <c r="EA278" s="311"/>
      <c r="EB278" s="311"/>
      <c r="EC278" s="311"/>
      <c r="ED278" s="311"/>
    </row>
    <row r="279" spans="110:134" x14ac:dyDescent="0.2">
      <c r="DF279" s="126"/>
    </row>
    <row r="280" spans="110:134" x14ac:dyDescent="0.2">
      <c r="DF280" s="235"/>
      <c r="DG280" s="312"/>
      <c r="DH280" s="312"/>
      <c r="DI280" s="312"/>
      <c r="DJ280" s="312"/>
      <c r="DK280" s="312"/>
      <c r="DL280" s="312"/>
      <c r="DM280" s="312"/>
      <c r="DN280" s="312"/>
      <c r="DO280" s="312"/>
      <c r="DP280" s="312"/>
      <c r="DQ280" s="312"/>
      <c r="DR280" s="312"/>
      <c r="DS280" s="312"/>
      <c r="DT280" s="312"/>
      <c r="DU280" s="312"/>
      <c r="DV280" s="312"/>
      <c r="DW280" s="312"/>
      <c r="DX280" s="312"/>
      <c r="DY280" s="312"/>
      <c r="DZ280" s="312"/>
      <c r="EA280" s="312"/>
      <c r="EB280" s="312"/>
      <c r="EC280" s="312"/>
      <c r="ED280" s="312"/>
    </row>
    <row r="281" spans="110:134" x14ac:dyDescent="0.2">
      <c r="DF281" s="126"/>
      <c r="DG281" s="203"/>
      <c r="DH281" s="203"/>
      <c r="DI281" s="203"/>
      <c r="DJ281" s="203"/>
      <c r="DK281" s="203"/>
      <c r="DL281" s="203"/>
      <c r="DM281" s="203"/>
      <c r="DN281" s="203"/>
      <c r="DO281" s="203"/>
      <c r="DP281" s="203"/>
      <c r="DQ281" s="203"/>
      <c r="DR281" s="203"/>
      <c r="DS281" s="203"/>
      <c r="DT281" s="203"/>
      <c r="DU281" s="203"/>
      <c r="DV281" s="203"/>
      <c r="DW281" s="203"/>
      <c r="DX281" s="203"/>
      <c r="DY281" s="203"/>
      <c r="DZ281" s="203"/>
      <c r="EA281" s="203"/>
      <c r="EB281" s="203"/>
      <c r="EC281" s="203"/>
      <c r="ED281" s="203"/>
    </row>
    <row r="283" spans="110:134" x14ac:dyDescent="0.2">
      <c r="DG283" s="236"/>
      <c r="DH283" s="236"/>
      <c r="DI283" s="236"/>
      <c r="DJ283" s="236"/>
      <c r="DK283" s="236"/>
      <c r="DL283" s="236"/>
      <c r="DM283" s="126"/>
      <c r="DN283" s="126"/>
      <c r="DO283" s="126"/>
      <c r="DP283" s="126"/>
      <c r="DQ283" s="126"/>
      <c r="DR283" s="236"/>
      <c r="DS283" s="236"/>
      <c r="DT283" s="236"/>
      <c r="DU283" s="126"/>
      <c r="DV283" s="126"/>
      <c r="DW283" s="126"/>
      <c r="DX283" s="126"/>
      <c r="DY283" s="126"/>
      <c r="DZ283" s="126"/>
      <c r="EA283" s="126"/>
      <c r="EB283" s="126"/>
      <c r="EC283" s="126"/>
      <c r="ED283" s="126"/>
    </row>
    <row r="284" spans="110:134" x14ac:dyDescent="0.2">
      <c r="DG284" s="236"/>
      <c r="DH284" s="236"/>
      <c r="DI284" s="236"/>
      <c r="DJ284" s="236"/>
      <c r="DK284" s="236"/>
      <c r="DL284" s="236"/>
      <c r="DQ284" s="236"/>
      <c r="DR284" s="236"/>
      <c r="DS284" s="236"/>
      <c r="DT284" s="236"/>
      <c r="DY284" s="236"/>
      <c r="DZ284" s="236"/>
      <c r="EA284" s="236"/>
      <c r="EB284" s="236"/>
      <c r="EC284" s="236"/>
      <c r="ED284" s="236"/>
    </row>
  </sheetData>
  <sheetProtection algorithmName="SHA-512" hashValue="ToD9Lc7j4uiot7T5TehsJ1SKHf149HS73dU57jQtX+J3tYpKR/1HWJ26bhTW5eVJ2qtT4/q4REIeYDFWqJsQNg==" saltValue="dPAd17XkH6XNXpyHANrE0A==" spinCount="100000" sheet="1" objects="1" scenarios="1" selectLockedCells="1"/>
  <protectedRanges>
    <protectedRange sqref="B132:B133 B135 D138:D157 B168 D171:D182 B192 D195:D214" name="Range1"/>
    <protectedRange sqref="B165" name="Range1_3_1"/>
  </protectedRanges>
  <mergeCells count="25">
    <mergeCell ref="DL259:DM259"/>
    <mergeCell ref="DX259:DY259"/>
    <mergeCell ref="BA192:BB192"/>
    <mergeCell ref="DL257:DN257"/>
    <mergeCell ref="B159:B164"/>
    <mergeCell ref="BA168:BB168"/>
    <mergeCell ref="W168:AA168"/>
    <mergeCell ref="BV194:BW194"/>
    <mergeCell ref="CH194:CI194"/>
    <mergeCell ref="BV192:BX192"/>
    <mergeCell ref="DG67:DH67"/>
    <mergeCell ref="BA135:BB135"/>
    <mergeCell ref="B130:B131"/>
    <mergeCell ref="W135:AA135"/>
    <mergeCell ref="CQ61:CR61"/>
    <mergeCell ref="CB61:CC61"/>
    <mergeCell ref="BQ60:CA61"/>
    <mergeCell ref="CS60:DA61"/>
    <mergeCell ref="BQ53:BR53"/>
    <mergeCell ref="CQ54:DA55"/>
    <mergeCell ref="BQ57:CA58"/>
    <mergeCell ref="CZ58:DA58"/>
    <mergeCell ref="CB58:CC58"/>
    <mergeCell ref="CO55:CP55"/>
    <mergeCell ref="BQ55:BR55"/>
  </mergeCells>
  <conditionalFormatting sqref="B173:AQ173 AS173:BB173">
    <cfRule type="expression" dxfId="1270" priority="43" stopIfTrue="1">
      <formula>$B$168&lt;3</formula>
    </cfRule>
  </conditionalFormatting>
  <conditionalFormatting sqref="B174:AQ174 AS174:BB174">
    <cfRule type="expression" dxfId="1269" priority="42">
      <formula>$B$168&lt;4</formula>
    </cfRule>
  </conditionalFormatting>
  <conditionalFormatting sqref="B175:AQ175 AS175:BB175">
    <cfRule type="expression" dxfId="1268" priority="41">
      <formula>$B$168&lt;5</formula>
    </cfRule>
  </conditionalFormatting>
  <conditionalFormatting sqref="B176:AQ176 AS176:BB176">
    <cfRule type="expression" dxfId="1267" priority="40">
      <formula>$B$168&lt;6</formula>
    </cfRule>
  </conditionalFormatting>
  <conditionalFormatting sqref="B177:AQ177 AS177:BB177">
    <cfRule type="expression" dxfId="1266" priority="39">
      <formula>$B$168&lt;7</formula>
    </cfRule>
  </conditionalFormatting>
  <conditionalFormatting sqref="B178:AQ178 AS178:BB178">
    <cfRule type="expression" dxfId="1265" priority="38">
      <formula>$B$168&lt;8</formula>
    </cfRule>
  </conditionalFormatting>
  <conditionalFormatting sqref="B179:AQ179 AS179:BB179">
    <cfRule type="expression" dxfId="1264" priority="37">
      <formula>$B$168&lt;9</formula>
    </cfRule>
  </conditionalFormatting>
  <conditionalFormatting sqref="B180:AQ180 AS180:BB180">
    <cfRule type="expression" dxfId="1263" priority="36">
      <formula>$B$168&lt;10</formula>
    </cfRule>
  </conditionalFormatting>
  <conditionalFormatting sqref="B181:AQ181 AS181:BB181">
    <cfRule type="expression" dxfId="1262" priority="35">
      <formula>$B$168&lt;11</formula>
    </cfRule>
  </conditionalFormatting>
  <conditionalFormatting sqref="B182:AQ182 AS182:BB182">
    <cfRule type="expression" dxfId="1261" priority="32">
      <formula>$B$168&lt;12</formula>
    </cfRule>
  </conditionalFormatting>
  <conditionalFormatting sqref="B139:BB139">
    <cfRule type="expression" dxfId="1260" priority="65" stopIfTrue="1">
      <formula>$B$135&lt;2</formula>
    </cfRule>
  </conditionalFormatting>
  <conditionalFormatting sqref="B140:BB140">
    <cfRule type="expression" dxfId="1259" priority="64" stopIfTrue="1">
      <formula>$B$135&lt;3</formula>
    </cfRule>
  </conditionalFormatting>
  <conditionalFormatting sqref="B141:BB141">
    <cfRule type="expression" dxfId="1258" priority="63">
      <formula>$B$135&lt;4</formula>
    </cfRule>
  </conditionalFormatting>
  <conditionalFormatting sqref="B142:BB142">
    <cfRule type="expression" dxfId="1257" priority="62">
      <formula>$B$135&lt;5</formula>
    </cfRule>
  </conditionalFormatting>
  <conditionalFormatting sqref="B143:BB143">
    <cfRule type="expression" dxfId="1256" priority="61">
      <formula>$B$135&lt;6</formula>
    </cfRule>
  </conditionalFormatting>
  <conditionalFormatting sqref="B144:BB144">
    <cfRule type="expression" dxfId="1255" priority="60">
      <formula>$B$135&lt;7</formula>
    </cfRule>
  </conditionalFormatting>
  <conditionalFormatting sqref="B145:BB145">
    <cfRule type="expression" dxfId="1254" priority="59">
      <formula>$B$135&lt;8</formula>
    </cfRule>
  </conditionalFormatting>
  <conditionalFormatting sqref="B146:BB146">
    <cfRule type="expression" dxfId="1253" priority="58">
      <formula>$B$135&lt;9</formula>
    </cfRule>
  </conditionalFormatting>
  <conditionalFormatting sqref="B147:BB147">
    <cfRule type="expression" dxfId="1252" priority="57">
      <formula>$B$135&lt;10</formula>
    </cfRule>
  </conditionalFormatting>
  <conditionalFormatting sqref="B148:BB148">
    <cfRule type="expression" dxfId="1251" priority="56">
      <formula>$B$135&lt;11</formula>
    </cfRule>
  </conditionalFormatting>
  <conditionalFormatting sqref="B149:BB149">
    <cfRule type="expression" dxfId="1250" priority="55">
      <formula>$B$135&lt;12</formula>
    </cfRule>
  </conditionalFormatting>
  <conditionalFormatting sqref="B150:BB150">
    <cfRule type="expression" dxfId="1249" priority="54">
      <formula>$B$135&lt;13</formula>
    </cfRule>
  </conditionalFormatting>
  <conditionalFormatting sqref="B151:BB151">
    <cfRule type="expression" dxfId="1248" priority="53">
      <formula>$B$135&lt;14</formula>
    </cfRule>
  </conditionalFormatting>
  <conditionalFormatting sqref="B152:BB152">
    <cfRule type="expression" dxfId="1247" priority="52">
      <formula>$B$135&lt;15</formula>
    </cfRule>
  </conditionalFormatting>
  <conditionalFormatting sqref="B153:BB153">
    <cfRule type="expression" dxfId="1246" priority="51">
      <formula>$B$135&lt;16</formula>
    </cfRule>
  </conditionalFormatting>
  <conditionalFormatting sqref="B154:BB154">
    <cfRule type="expression" dxfId="1245" priority="50">
      <formula>$B$135&lt;17</formula>
    </cfRule>
  </conditionalFormatting>
  <conditionalFormatting sqref="B155:BB155">
    <cfRule type="expression" dxfId="1244" priority="49">
      <formula>$B$135&lt;18</formula>
    </cfRule>
  </conditionalFormatting>
  <conditionalFormatting sqref="B156:BB156">
    <cfRule type="expression" dxfId="1243" priority="48">
      <formula>$B$135&lt;19</formula>
    </cfRule>
  </conditionalFormatting>
  <conditionalFormatting sqref="B157:BB157">
    <cfRule type="expression" dxfId="1242" priority="45">
      <formula>$B$135&lt;20</formula>
    </cfRule>
  </conditionalFormatting>
  <conditionalFormatting sqref="B172:BB172 AR173:AR182">
    <cfRule type="expression" dxfId="1241" priority="44" stopIfTrue="1">
      <formula>$B$168&lt;2</formula>
    </cfRule>
  </conditionalFormatting>
  <conditionalFormatting sqref="B196:BB196">
    <cfRule type="expression" dxfId="1240" priority="31" stopIfTrue="1">
      <formula>$B$192&lt;2</formula>
    </cfRule>
  </conditionalFormatting>
  <conditionalFormatting sqref="B197:BB197">
    <cfRule type="expression" dxfId="1239" priority="30" stopIfTrue="1">
      <formula>$B$192&lt;3</formula>
    </cfRule>
  </conditionalFormatting>
  <conditionalFormatting sqref="B198:BB198">
    <cfRule type="expression" dxfId="1238" priority="29">
      <formula>$B$192&lt;4</formula>
    </cfRule>
  </conditionalFormatting>
  <conditionalFormatting sqref="B199:BB199">
    <cfRule type="expression" dxfId="1237" priority="28">
      <formula>$B$192&lt;5</formula>
    </cfRule>
  </conditionalFormatting>
  <conditionalFormatting sqref="B200:BB200">
    <cfRule type="expression" dxfId="1236" priority="27">
      <formula>$B$192&lt;6</formula>
    </cfRule>
  </conditionalFormatting>
  <conditionalFormatting sqref="B201:BB201">
    <cfRule type="expression" dxfId="1235" priority="26">
      <formula>$B$192&lt;7</formula>
    </cfRule>
  </conditionalFormatting>
  <conditionalFormatting sqref="B202:BB202">
    <cfRule type="expression" dxfId="1234" priority="25">
      <formula>$B$192&lt;8</formula>
    </cfRule>
  </conditionalFormatting>
  <conditionalFormatting sqref="B203:BB203">
    <cfRule type="expression" dxfId="1233" priority="24">
      <formula>$B$192&lt;9</formula>
    </cfRule>
  </conditionalFormatting>
  <conditionalFormatting sqref="B204:BB204">
    <cfRule type="expression" dxfId="1232" priority="23">
      <formula>$B$192&lt;10</formula>
    </cfRule>
  </conditionalFormatting>
  <conditionalFormatting sqref="B205:BB205">
    <cfRule type="expression" dxfId="1231" priority="22">
      <formula>$B$192&lt;11</formula>
    </cfRule>
  </conditionalFormatting>
  <conditionalFormatting sqref="B206:BB206">
    <cfRule type="expression" dxfId="1230" priority="21">
      <formula>$B$192&lt;12</formula>
    </cfRule>
  </conditionalFormatting>
  <conditionalFormatting sqref="B207:BB207">
    <cfRule type="expression" dxfId="1229" priority="20">
      <formula>$B$192&lt;13</formula>
    </cfRule>
  </conditionalFormatting>
  <conditionalFormatting sqref="B208:BB208">
    <cfRule type="expression" dxfId="1228" priority="19">
      <formula>$B$192&lt;14</formula>
    </cfRule>
  </conditionalFormatting>
  <conditionalFormatting sqref="B209:BB209">
    <cfRule type="expression" dxfId="1227" priority="18">
      <formula>$B$192&lt;15</formula>
    </cfRule>
  </conditionalFormatting>
  <conditionalFormatting sqref="B210:BB210">
    <cfRule type="expression" dxfId="1226" priority="17">
      <formula>$B$192&lt;16</formula>
    </cfRule>
  </conditionalFormatting>
  <conditionalFormatting sqref="B211:BB211">
    <cfRule type="expression" dxfId="1225" priority="16">
      <formula>$B$192&lt;17</formula>
    </cfRule>
  </conditionalFormatting>
  <conditionalFormatting sqref="B212:BB212">
    <cfRule type="expression" dxfId="1224" priority="15">
      <formula>$B$192&lt;18</formula>
    </cfRule>
  </conditionalFormatting>
  <conditionalFormatting sqref="B213:BB213">
    <cfRule type="expression" dxfId="1223" priority="14">
      <formula>$B$192&lt;19</formula>
    </cfRule>
  </conditionalFormatting>
  <conditionalFormatting sqref="B214:BB214">
    <cfRule type="expression" dxfId="1222" priority="13">
      <formula>$B$192&lt;20</formula>
    </cfRule>
  </conditionalFormatting>
  <conditionalFormatting sqref="D129:D130">
    <cfRule type="cellIs" dxfId="1221" priority="68" stopIfTrue="1" operator="equal">
      <formula>"change the angle of frame or of cabinets"</formula>
    </cfRule>
  </conditionalFormatting>
  <conditionalFormatting sqref="D131">
    <cfRule type="cellIs" dxfId="1220" priority="67" stopIfTrue="1" operator="equal">
      <formula>"USE EXBAR AR AT THE FRONT"</formula>
    </cfRule>
  </conditionalFormatting>
  <conditionalFormatting sqref="D132">
    <cfRule type="cellIs" dxfId="1219" priority="66" stopIfTrue="1" operator="equal">
      <formula>"USE EXBAR AR AT THE BACK"</formula>
    </cfRule>
  </conditionalFormatting>
  <conditionalFormatting sqref="D138:D157">
    <cfRule type="cellIs" dxfId="1218" priority="87" operator="notEqual">
      <formula>0</formula>
    </cfRule>
  </conditionalFormatting>
  <conditionalFormatting sqref="D171:D182">
    <cfRule type="cellIs" dxfId="1217" priority="47" operator="notEqual">
      <formula>0</formula>
    </cfRule>
  </conditionalFormatting>
  <conditionalFormatting sqref="D195:D214">
    <cfRule type="cellIs" dxfId="1216" priority="34" operator="notEqual">
      <formula>0</formula>
    </cfRule>
  </conditionalFormatting>
  <conditionalFormatting sqref="E138">
    <cfRule type="expression" dxfId="1215" priority="86" stopIfTrue="1">
      <formula>$B$142&lt;1</formula>
    </cfRule>
  </conditionalFormatting>
  <conditionalFormatting sqref="E171">
    <cfRule type="expression" dxfId="1214" priority="46" stopIfTrue="1">
      <formula>$B$168&lt;1</formula>
    </cfRule>
  </conditionalFormatting>
  <conditionalFormatting sqref="BA138:BB157 BA171:BB182 BA195:BB214">
    <cfRule type="cellIs" dxfId="1213" priority="85" operator="lessThan">
      <formula>10</formula>
    </cfRule>
  </conditionalFormatting>
  <conditionalFormatting sqref="BK174:BK210">
    <cfRule type="cellIs" dxfId="1212" priority="76" stopIfTrue="1" operator="equal">
      <formula>FALSE</formula>
    </cfRule>
  </conditionalFormatting>
  <conditionalFormatting sqref="BN54">
    <cfRule type="cellIs" dxfId="1211" priority="12" stopIfTrue="1" operator="equal">
      <formula>"negative force at the motor"</formula>
    </cfRule>
  </conditionalFormatting>
  <conditionalFormatting sqref="BN54:BN55">
    <cfRule type="cellIs" dxfId="1210" priority="11" operator="equal">
      <formula>"""OK"""</formula>
    </cfRule>
  </conditionalFormatting>
  <conditionalFormatting sqref="BN55">
    <cfRule type="cellIs" dxfId="1209" priority="72" stopIfTrue="1" operator="equal">
      <formula>"overload"</formula>
    </cfRule>
  </conditionalFormatting>
  <conditionalFormatting sqref="BN57">
    <cfRule type="cellIs" dxfId="1208" priority="10" stopIfTrue="1" operator="equal">
      <formula>"negative force at the motor"</formula>
    </cfRule>
  </conditionalFormatting>
  <conditionalFormatting sqref="BN57:BN58">
    <cfRule type="cellIs" dxfId="1207" priority="9" operator="equal">
      <formula>"""OK"""</formula>
    </cfRule>
  </conditionalFormatting>
  <conditionalFormatting sqref="BN60">
    <cfRule type="cellIs" dxfId="1206" priority="8" stopIfTrue="1" operator="equal">
      <formula>"negative force at the motor"</formula>
    </cfRule>
  </conditionalFormatting>
  <conditionalFormatting sqref="BN60:BN61">
    <cfRule type="cellIs" dxfId="1205" priority="7" operator="equal">
      <formula>"""OK"""</formula>
    </cfRule>
  </conditionalFormatting>
  <conditionalFormatting sqref="BN84 BN89 BN130">
    <cfRule type="cellIs" dxfId="1204" priority="69" operator="equal">
      <formula>"""OK"""</formula>
    </cfRule>
  </conditionalFormatting>
  <conditionalFormatting sqref="BN84 BN130 BN89 BN58 BN61">
    <cfRule type="cellIs" dxfId="1203" priority="377" stopIfTrue="1" operator="equal">
      <formula>"overload"</formula>
    </cfRule>
  </conditionalFormatting>
  <conditionalFormatting sqref="BN84 BN130 BO83:BO84">
    <cfRule type="expression" dxfId="1202" priority="70">
      <formula>$B$132&lt;&gt;0</formula>
    </cfRule>
  </conditionalFormatting>
  <conditionalFormatting sqref="BO129:BO130">
    <cfRule type="expression" dxfId="1201" priority="1">
      <formula>$B$132&lt;&gt;0</formula>
    </cfRule>
  </conditionalFormatting>
  <conditionalFormatting sqref="BQ129:CG129">
    <cfRule type="expression" dxfId="1200" priority="381">
      <formula>$B$132=0</formula>
    </cfRule>
  </conditionalFormatting>
  <conditionalFormatting sqref="BQ85:DB87 BV135:CI142">
    <cfRule type="cellIs" dxfId="1199" priority="79" stopIfTrue="1" operator="equal">
      <formula>FALSE</formula>
    </cfRule>
  </conditionalFormatting>
  <conditionalFormatting sqref="CB83:CR83">
    <cfRule type="cellIs" dxfId="1198" priority="375" operator="equal">
      <formula>0</formula>
    </cfRule>
    <cfRule type="expression" dxfId="1197" priority="376">
      <formula>$B$132=0</formula>
    </cfRule>
  </conditionalFormatting>
  <conditionalFormatting sqref="CK129:DA129">
    <cfRule type="expression" dxfId="1196" priority="382">
      <formula>$B$132=0</formula>
    </cfRule>
  </conditionalFormatting>
  <dataValidations count="9">
    <dataValidation type="whole" allowBlank="1" showInputMessage="1" showErrorMessage="1" errorTitle="Coda Audio" error="YOU HAVE ENTERED A WRONG NUMBER OF CABINETS" promptTitle="Coda Audio" prompt="ENTER THE NUMBER OF CABINETS FROM 1 UP TO 20" sqref="B192 B135" xr:uid="{00000000-0002-0000-0700-000000000000}">
      <formula1>1</formula1>
      <formula2>20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68" xr:uid="{00000000-0002-0000-0700-000001000000}">
      <formula1>1</formula1>
      <formula2>12</formula2>
    </dataValidation>
    <dataValidation type="decimal" allowBlank="1" showInputMessage="1" showErrorMessage="1" sqref="G172:G182 D166 D158:D163 G196:G214 F197:F214 F173:F182 G139:G166 F140:F164 F166" xr:uid="{00000000-0002-0000-0700-000002000000}">
      <formula1>0</formula1>
      <formula2>8</formula2>
    </dataValidation>
    <dataValidation type="decimal" allowBlank="1" showInputMessage="1" showErrorMessage="1" sqref="F171:G171 F138:G138 F195:G195" xr:uid="{00000000-0002-0000-0700-000003000000}">
      <formula1>0</formula1>
      <formula2>4</formula2>
    </dataValidation>
    <dataValidation type="whole" allowBlank="1" showInputMessage="1" showErrorMessage="1" sqref="D195 D138" xr:uid="{00000000-0002-0000-0700-000004000000}">
      <formula1>-2</formula1>
      <formula2>4</formula2>
    </dataValidation>
    <dataValidation type="custom" allowBlank="1" showInputMessage="1" showErrorMessage="1" sqref="D171:D182" xr:uid="{00000000-0002-0000-0700-000005000000}">
      <formula1>OR(D171=0,D171=2.5,D171=5)</formula1>
    </dataValidation>
    <dataValidation type="decimal" allowBlank="1" showInputMessage="1" showErrorMessage="1" sqref="B132:B133" xr:uid="{00000000-0002-0000-0700-000006000000}">
      <formula1>-89.9</formula1>
      <formula2>89.9</formula2>
    </dataValidation>
    <dataValidation type="custom" allowBlank="1" showInputMessage="1" showErrorMessage="1" sqref="D139:D157 D196:D214" xr:uid="{00000000-0002-0000-0700-000007000000}">
      <formula1>OR(D139=0,D139=0.5,D139=1,D139=2,D139=2.5,D139=3,D139=4,D139=5,D139=6,D139=7,D139=8)</formula1>
    </dataValidation>
    <dataValidation type="custom" allowBlank="1" showInputMessage="1" showErrorMessage="1" sqref="B165" xr:uid="{00000000-0002-0000-0700-000008000000}">
      <formula1>OR(B165=-6,B165=-5,B165=-4,B165=-3,B165=-2,B165=-1,B165=0,B165=0.5,B165=1,B165=2,B165=2.5,B165=3,B165=4)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ignoredErrors>
    <ignoredError sqref="BN56:BO56 BN54 BN59:BO59 BN57 BN61:BO62 BN60 BN63:BO82 BN84:BO87 BN83 BN89 BN88 BN55 BN58" unlockedFormula="1"/>
  </ignoredErrors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FFFF00"/>
  </sheetPr>
  <dimension ref="B1:EM227"/>
  <sheetViews>
    <sheetView topLeftCell="A51" zoomScale="50" zoomScaleNormal="50" workbookViewId="0">
      <selection activeCell="D138" sqref="D138"/>
    </sheetView>
  </sheetViews>
  <sheetFormatPr baseColWidth="10" defaultColWidth="9.1640625" defaultRowHeight="18" x14ac:dyDescent="0.2"/>
  <cols>
    <col min="1" max="1" width="1.5" customWidth="1"/>
    <col min="2" max="2" width="27.5" style="35" customWidth="1"/>
    <col min="3" max="3" width="19.5" style="35" hidden="1" customWidth="1"/>
    <col min="4" max="4" width="32.83203125" bestFit="1" customWidth="1"/>
    <col min="5" max="5" width="43" customWidth="1"/>
    <col min="6" max="6" width="17.1640625" hidden="1" customWidth="1"/>
    <col min="7" max="7" width="35.5" hidden="1" customWidth="1"/>
    <col min="8" max="8" width="19.6640625" style="64" hidden="1" customWidth="1"/>
    <col min="9" max="9" width="8.33203125" style="64" hidden="1" customWidth="1"/>
    <col min="10" max="10" width="18.5" style="64" hidden="1" customWidth="1"/>
    <col min="11" max="13" width="17.1640625" style="64" hidden="1" customWidth="1"/>
    <col min="14" max="14" width="7.1640625" style="64" hidden="1" customWidth="1"/>
    <col min="15" max="21" width="8.33203125" style="64" hidden="1" customWidth="1"/>
    <col min="22" max="22" width="17.1640625" style="64" hidden="1" customWidth="1"/>
    <col min="23" max="25" width="8.33203125" style="64" hidden="1" customWidth="1"/>
    <col min="26" max="26" width="15.5" style="64" hidden="1" customWidth="1"/>
    <col min="27" max="27" width="7.33203125" style="64" hidden="1" customWidth="1"/>
    <col min="28" max="28" width="29.5" style="64" customWidth="1"/>
    <col min="29" max="29" width="26.33203125" style="64" hidden="1" customWidth="1"/>
    <col min="30" max="31" width="17.83203125" style="64" hidden="1" customWidth="1"/>
    <col min="32" max="45" width="18.83203125" style="64" hidden="1" customWidth="1"/>
    <col min="46" max="46" width="34.83203125" style="64" hidden="1" customWidth="1"/>
    <col min="47" max="47" width="18.83203125" style="64" hidden="1" customWidth="1"/>
    <col min="48" max="48" width="31.6640625" style="64" hidden="1" customWidth="1"/>
    <col min="49" max="49" width="19.6640625" style="64" hidden="1" customWidth="1"/>
    <col min="50" max="50" width="29.1640625" style="64" hidden="1" customWidth="1"/>
    <col min="51" max="51" width="21.83203125" style="64" hidden="1" customWidth="1"/>
    <col min="52" max="53" width="14.5" style="64" customWidth="1"/>
    <col min="54" max="54" width="17" hidden="1" customWidth="1"/>
    <col min="55" max="55" width="14.5" hidden="1" customWidth="1"/>
    <col min="56" max="56" width="9.33203125" hidden="1" customWidth="1"/>
    <col min="57" max="57" width="4.83203125" hidden="1" customWidth="1"/>
    <col min="58" max="58" width="6.83203125" hidden="1" customWidth="1"/>
    <col min="59" max="59" width="136" hidden="1" customWidth="1"/>
    <col min="60" max="60" width="17" hidden="1" customWidth="1"/>
    <col min="61" max="62" width="16.33203125" hidden="1" customWidth="1"/>
    <col min="63" max="63" width="9.33203125" hidden="1" customWidth="1"/>
    <col min="64" max="64" width="5.6640625" hidden="1" customWidth="1"/>
    <col min="65" max="65" width="16.33203125" style="81" hidden="1" customWidth="1"/>
    <col min="66" max="66" width="35.6640625" customWidth="1"/>
    <col min="67" max="67" width="34.5" style="59" customWidth="1"/>
    <col min="68" max="68" width="45.83203125" customWidth="1"/>
    <col min="69" max="105" width="7.1640625" customWidth="1"/>
    <col min="106" max="106" width="7.6640625" hidden="1" customWidth="1"/>
    <col min="107" max="107" width="16" hidden="1" customWidth="1"/>
    <col min="108" max="108" width="41" hidden="1" customWidth="1"/>
    <col min="109" max="109" width="41.5" hidden="1" customWidth="1"/>
    <col min="110" max="133" width="6.5" hidden="1" customWidth="1"/>
    <col min="134" max="139" width="6.5" customWidth="1"/>
    <col min="143" max="143" width="11.5" customWidth="1"/>
    <col min="144" max="144" width="9.33203125" customWidth="1"/>
  </cols>
  <sheetData>
    <row r="1" spans="2:15" ht="20" hidden="1" x14ac:dyDescent="0.2">
      <c r="D1" s="36" t="s">
        <v>104</v>
      </c>
      <c r="E1" s="36" t="s">
        <v>105</v>
      </c>
      <c r="F1" s="36" t="s">
        <v>106</v>
      </c>
      <c r="G1" s="990" t="s">
        <v>220</v>
      </c>
      <c r="H1" s="1073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+COS(($B$132*-1)*3.14159265358979/180)*C2</f>
        <v>688</v>
      </c>
      <c r="E2" s="41">
        <f>+COS(($B$132*-1)*3.14159265358979/180)*43</f>
        <v>43</v>
      </c>
      <c r="F2" s="42">
        <f>+COS((($B$132*-1)+72.969997)*3.14159265358979/180)*162.1867</f>
        <v>47.500013702602963</v>
      </c>
      <c r="G2" s="994" t="s">
        <v>212</v>
      </c>
      <c r="H2" s="1074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257.51254640454056</v>
      </c>
      <c r="D3" s="40">
        <f>+C9-F2</f>
        <v>257.51253270193757</v>
      </c>
      <c r="G3" s="994" t="s">
        <v>213</v>
      </c>
      <c r="H3" s="1075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+COS(($B$132*-1)*3.14159265358979/180)*C4</f>
        <v>1075</v>
      </c>
      <c r="G4" s="996" t="s">
        <v>233</v>
      </c>
      <c r="H4" s="1076">
        <v>860</v>
      </c>
      <c r="I4" s="984">
        <v>1</v>
      </c>
      <c r="J4" s="1751" t="s">
        <v>228</v>
      </c>
      <c r="K4" s="1752"/>
      <c r="L4" s="1752"/>
      <c r="M4" s="1752"/>
      <c r="N4"/>
      <c r="O4" s="995"/>
    </row>
    <row r="5" spans="2:15" ht="57" hidden="1" x14ac:dyDescent="0.2">
      <c r="B5" s="44" t="s">
        <v>115</v>
      </c>
      <c r="C5" s="45">
        <f>+C9+425.5</f>
        <v>730.51254640454056</v>
      </c>
      <c r="D5" s="40">
        <f>+(COS(($B$132*-1)*3.14159265358979/180)*473)+$D$3</f>
        <v>730.51253270193752</v>
      </c>
      <c r="G5" s="996" t="s">
        <v>214</v>
      </c>
      <c r="H5" s="1076">
        <v>688</v>
      </c>
      <c r="I5"/>
      <c r="J5" s="1744" t="s">
        <v>217</v>
      </c>
      <c r="K5" s="1744" t="s">
        <v>225</v>
      </c>
      <c r="L5" s="1745" t="s">
        <v>224</v>
      </c>
      <c r="M5" s="1743"/>
      <c r="N5"/>
      <c r="O5" s="995"/>
    </row>
    <row r="6" spans="2:15" ht="20" hidden="1" x14ac:dyDescent="0.2">
      <c r="B6" s="187"/>
      <c r="C6" s="187"/>
      <c r="G6" s="996" t="s">
        <v>259</v>
      </c>
      <c r="H6" s="1076">
        <v>602</v>
      </c>
      <c r="I6"/>
      <c r="J6" s="1746">
        <f>+H9/H8*BQ53</f>
        <v>170.01978665084656</v>
      </c>
      <c r="K6" s="1746">
        <f>((H8-H9)/H8)*BQ53</f>
        <v>-116.88860332245702</v>
      </c>
      <c r="L6" s="1746">
        <f>+CO53</f>
        <v>112.66881667161047</v>
      </c>
      <c r="M6" s="1744" t="s">
        <v>223</v>
      </c>
      <c r="N6"/>
      <c r="O6" s="995"/>
    </row>
    <row r="7" spans="2:15" ht="20" hidden="1" x14ac:dyDescent="0.2">
      <c r="B7" s="393" t="s">
        <v>18</v>
      </c>
      <c r="C7" s="394">
        <f>+C11+C14+4.5+0.5+30</f>
        <v>165.8</v>
      </c>
      <c r="G7" s="997" t="s">
        <v>230</v>
      </c>
      <c r="H7" s="1077">
        <f>(+SIN(($B$132*-1)*3.14159265358979/180)*H2)</f>
        <v>0</v>
      </c>
      <c r="I7"/>
      <c r="J7" s="1747">
        <f>ABS($H$1/J6)</f>
        <v>105.87003050983051</v>
      </c>
      <c r="K7" s="1747">
        <f>ABS($H$1/K6)</f>
        <v>153.99277165066255</v>
      </c>
      <c r="L7" s="1747">
        <f>ABS($H$1/L6)</f>
        <v>159.76026492284549</v>
      </c>
      <c r="M7" s="1748" t="s">
        <v>222</v>
      </c>
      <c r="N7"/>
      <c r="O7" s="995"/>
    </row>
    <row r="8" spans="2:15" ht="20" hidden="1" x14ac:dyDescent="0.2">
      <c r="B8" s="393" t="s">
        <v>19</v>
      </c>
      <c r="C8" s="393">
        <f>+AR138</f>
        <v>747.0023123282715</v>
      </c>
      <c r="G8" s="997" t="s">
        <v>229</v>
      </c>
      <c r="H8" s="1077">
        <f>(+COS(($B$132*-1)*3.14159265358979/180)*H3)</f>
        <v>215</v>
      </c>
      <c r="I8"/>
      <c r="J8" s="1733">
        <f>ABS($E$20/BQ53)</f>
        <v>150.57071005842562</v>
      </c>
      <c r="K8" s="1733"/>
      <c r="L8" s="1733">
        <f>ABS($E$20/CO53)</f>
        <v>71.004562187931327</v>
      </c>
      <c r="M8" s="1734" t="s">
        <v>350</v>
      </c>
      <c r="N8"/>
      <c r="O8" s="995"/>
    </row>
    <row r="9" spans="2:15" ht="21" hidden="1" thickBot="1" x14ac:dyDescent="0.25">
      <c r="B9" s="393" t="s">
        <v>14</v>
      </c>
      <c r="C9" s="393">
        <f>+AO134</f>
        <v>305.01254640454056</v>
      </c>
      <c r="G9" s="994" t="s">
        <v>227</v>
      </c>
      <c r="H9" s="1077">
        <f>+D2+H7</f>
        <v>688</v>
      </c>
      <c r="I9"/>
      <c r="J9" s="1749"/>
      <c r="K9" s="1749"/>
      <c r="L9" s="1749"/>
      <c r="M9" s="1749"/>
      <c r="N9"/>
      <c r="O9" s="995"/>
    </row>
    <row r="10" spans="2:15" ht="21" hidden="1" thickBot="1" x14ac:dyDescent="0.25">
      <c r="G10" s="998"/>
      <c r="H10"/>
      <c r="I10" s="984">
        <v>2</v>
      </c>
      <c r="J10" s="1751" t="s">
        <v>235</v>
      </c>
      <c r="K10" s="1751"/>
      <c r="L10" s="1753"/>
      <c r="M10" s="1753"/>
      <c r="N10"/>
      <c r="O10" s="995"/>
    </row>
    <row r="11" spans="2:15" ht="20" hidden="1" x14ac:dyDescent="0.2">
      <c r="B11" s="395" t="s">
        <v>62</v>
      </c>
      <c r="C11" s="396">
        <f>+B135*57+31</f>
        <v>88</v>
      </c>
      <c r="G11" s="994" t="s">
        <v>226</v>
      </c>
      <c r="H11" s="1077">
        <f>+D2-H7</f>
        <v>688</v>
      </c>
      <c r="I11"/>
      <c r="J11" s="1750" t="s">
        <v>218</v>
      </c>
      <c r="K11" s="1744" t="s">
        <v>215</v>
      </c>
      <c r="L11" s="1744" t="s">
        <v>216</v>
      </c>
      <c r="M11" s="1743"/>
      <c r="N11"/>
      <c r="O11" s="995"/>
    </row>
    <row r="12" spans="2:15" ht="20" hidden="1" x14ac:dyDescent="0.2">
      <c r="B12" s="395" t="s">
        <v>63</v>
      </c>
      <c r="C12" s="396">
        <v>747</v>
      </c>
      <c r="D12" s="397"/>
      <c r="G12" s="998"/>
      <c r="H12" s="37"/>
      <c r="I12"/>
      <c r="J12" s="1746">
        <f>(CB56)</f>
        <v>126.08318332838955</v>
      </c>
      <c r="K12" s="1746">
        <f>((+H8-H11)/H8*CZ56)</f>
        <v>-87.376996677543033</v>
      </c>
      <c r="L12" s="1746">
        <f>(H11/H8*CZ56)</f>
        <v>127.09381334915349</v>
      </c>
      <c r="M12" s="1744" t="s">
        <v>223</v>
      </c>
      <c r="N12"/>
      <c r="O12" s="995"/>
    </row>
    <row r="13" spans="2:15" ht="20" hidden="1" x14ac:dyDescent="0.2">
      <c r="D13" s="397"/>
      <c r="G13" s="998"/>
      <c r="H13"/>
      <c r="I13"/>
      <c r="J13" s="1747">
        <f>ABS($H$1/J12)</f>
        <v>142.76289291584712</v>
      </c>
      <c r="K13" s="1747">
        <f>ABS($H$1/K12)</f>
        <v>206.00387612803155</v>
      </c>
      <c r="L13" s="1747">
        <f>ABS($H$1/L12)</f>
        <v>141.6276648380217</v>
      </c>
      <c r="M13" s="1748" t="s">
        <v>222</v>
      </c>
      <c r="N13"/>
      <c r="O13" s="995"/>
    </row>
    <row r="14" spans="2:15" ht="20" hidden="1" x14ac:dyDescent="0.2">
      <c r="B14" s="398" t="s">
        <v>132</v>
      </c>
      <c r="C14" s="396">
        <f>(+B156*40.5)+2.3</f>
        <v>42.8</v>
      </c>
      <c r="D14" s="397"/>
      <c r="G14" s="998"/>
      <c r="H14"/>
      <c r="I14"/>
      <c r="J14" s="1733">
        <f>ABS($E$20/CB56)</f>
        <v>63.450174629265391</v>
      </c>
      <c r="K14" s="1733"/>
      <c r="L14" s="1733">
        <f>ABS($E$20/CZ56)</f>
        <v>201.42601221407531</v>
      </c>
      <c r="M14" s="1734" t="s">
        <v>350</v>
      </c>
      <c r="N14"/>
      <c r="O14" s="995"/>
    </row>
    <row r="15" spans="2:15" ht="19" hidden="1" thickBot="1" x14ac:dyDescent="0.25">
      <c r="B15" s="398" t="s">
        <v>133</v>
      </c>
      <c r="C15" s="396">
        <v>492.4</v>
      </c>
      <c r="D15" s="397"/>
      <c r="G15" s="998"/>
      <c r="H15"/>
      <c r="I15"/>
      <c r="J15" s="1749"/>
      <c r="K15" s="1749"/>
      <c r="L15" s="1749"/>
      <c r="M15" s="1749"/>
      <c r="N15"/>
      <c r="O15" s="995"/>
    </row>
    <row r="16" spans="2:15" ht="21" hidden="1" thickBot="1" x14ac:dyDescent="0.25">
      <c r="B16" s="399"/>
      <c r="C16" s="399"/>
      <c r="D16" s="397"/>
      <c r="G16" s="994" t="s">
        <v>231</v>
      </c>
      <c r="H16" s="1077">
        <f>+D2+H7-BL131</f>
        <v>-42.512532701937516</v>
      </c>
      <c r="I16" s="984" t="s">
        <v>251</v>
      </c>
      <c r="J16" s="1751" t="s">
        <v>232</v>
      </c>
      <c r="K16" s="1752"/>
      <c r="L16" s="1752"/>
      <c r="M16" s="1752"/>
      <c r="N16"/>
      <c r="O16" s="995"/>
    </row>
    <row r="17" spans="2:15" ht="20" hidden="1" x14ac:dyDescent="0.2">
      <c r="B17" s="399"/>
      <c r="C17" s="399"/>
      <c r="D17" s="397"/>
      <c r="G17" s="998"/>
      <c r="H17" s="37"/>
      <c r="I17" s="999"/>
      <c r="J17" s="1744" t="s">
        <v>217</v>
      </c>
      <c r="K17" s="1744" t="s">
        <v>225</v>
      </c>
      <c r="L17" s="1744"/>
      <c r="M17" s="1743"/>
      <c r="N17"/>
      <c r="O17" s="995"/>
    </row>
    <row r="18" spans="2:15" ht="20" hidden="1" x14ac:dyDescent="0.2">
      <c r="B18" s="48" t="s">
        <v>74</v>
      </c>
      <c r="C18" s="204">
        <v>5800</v>
      </c>
      <c r="D18" s="204">
        <v>10000</v>
      </c>
      <c r="G18" s="998"/>
      <c r="H18"/>
      <c r="I18"/>
      <c r="J18" s="1746">
        <f>+H16/H8*BQ51</f>
        <v>-32.784083358052285</v>
      </c>
      <c r="K18" s="1746">
        <f>((H8-H16)/H8)*BQ51</f>
        <v>198.58408335805228</v>
      </c>
      <c r="L18" s="1746"/>
      <c r="M18" s="1744" t="s">
        <v>223</v>
      </c>
      <c r="N18"/>
      <c r="O18" s="995"/>
    </row>
    <row r="19" spans="2:15" ht="38" hidden="1" x14ac:dyDescent="0.2">
      <c r="B19" s="48" t="s">
        <v>75</v>
      </c>
      <c r="C19" s="204">
        <v>5800</v>
      </c>
      <c r="D19" s="204">
        <v>5800</v>
      </c>
      <c r="G19" s="998"/>
      <c r="H19"/>
      <c r="I19"/>
      <c r="J19" s="1747">
        <f>ABS($H$1/J18)</f>
        <v>549.046920220782</v>
      </c>
      <c r="K19" s="1747">
        <f>ABS($H$1/K18)</f>
        <v>90.641705496333913</v>
      </c>
      <c r="L19" s="1747"/>
      <c r="M19" s="1748" t="s">
        <v>222</v>
      </c>
      <c r="N19"/>
      <c r="O19" s="995"/>
    </row>
    <row r="20" spans="2:15" ht="20" hidden="1" x14ac:dyDescent="0.2">
      <c r="B20" s="48" t="s">
        <v>86</v>
      </c>
      <c r="C20" s="204">
        <v>8000</v>
      </c>
      <c r="D20" s="204">
        <v>8000</v>
      </c>
      <c r="E20" s="49">
        <v>8000</v>
      </c>
      <c r="G20" s="998"/>
      <c r="H20"/>
      <c r="I20"/>
      <c r="J20" s="1733">
        <f>ABS($E$20/BQ51)</f>
        <v>48.250904704463203</v>
      </c>
      <c r="K20" s="1733"/>
      <c r="L20" s="1733"/>
      <c r="M20" s="1734" t="s">
        <v>350</v>
      </c>
      <c r="N20"/>
      <c r="O20" s="995"/>
    </row>
    <row r="21" spans="2:15" ht="19" hidden="1" thickBot="1" x14ac:dyDescent="0.25">
      <c r="B21" s="204"/>
      <c r="C21" s="204" t="s">
        <v>20</v>
      </c>
      <c r="D21" s="204" t="s">
        <v>21</v>
      </c>
      <c r="G21" s="998"/>
      <c r="H21"/>
      <c r="I21"/>
      <c r="J21" s="1749"/>
      <c r="K21" s="1749"/>
      <c r="L21" s="1749"/>
      <c r="M21" s="1749"/>
      <c r="N21"/>
      <c r="O21" s="995"/>
    </row>
    <row r="22" spans="2:15" ht="21" hidden="1" thickBot="1" x14ac:dyDescent="0.25">
      <c r="B22" s="400" t="s">
        <v>64</v>
      </c>
      <c r="C22" s="204">
        <f>+((C8-C9)/C8)*C7</f>
        <v>98.101307025072131</v>
      </c>
      <c r="D22" s="204">
        <f>+(C9/C8)*C7</f>
        <v>67.698692974927866</v>
      </c>
      <c r="G22" s="994" t="s">
        <v>219</v>
      </c>
      <c r="H22" s="1077">
        <f>(+COS(($B$132*-1)*3.14159265358979/180)*(H4))</f>
        <v>860</v>
      </c>
      <c r="I22" s="984" t="s">
        <v>251</v>
      </c>
      <c r="J22" s="1751" t="s">
        <v>254</v>
      </c>
      <c r="K22" s="1752"/>
      <c r="L22" s="1752"/>
      <c r="M22" s="1752"/>
      <c r="N22"/>
      <c r="O22" s="995"/>
    </row>
    <row r="23" spans="2:15" ht="20" hidden="1" x14ac:dyDescent="0.2">
      <c r="G23" s="994" t="s">
        <v>234</v>
      </c>
      <c r="H23" s="1092">
        <f>+BL131-H22+H7</f>
        <v>-129.48746729806248</v>
      </c>
      <c r="I23" s="999"/>
      <c r="J23" s="1744"/>
      <c r="K23" s="1744" t="s">
        <v>215</v>
      </c>
      <c r="L23" s="1744" t="s">
        <v>216</v>
      </c>
      <c r="M23" s="1743"/>
      <c r="N23"/>
      <c r="O23" s="995"/>
    </row>
    <row r="24" spans="2:15" ht="20" hidden="1" x14ac:dyDescent="0.2">
      <c r="G24" s="998"/>
      <c r="H24"/>
      <c r="I24"/>
      <c r="J24" s="1746"/>
      <c r="K24" s="1746">
        <f>((+H8-H23)/H8*BQ51)</f>
        <v>265.65591664194773</v>
      </c>
      <c r="L24" s="1746">
        <f>(H23/H8*BQ51)</f>
        <v>-99.855916641947729</v>
      </c>
      <c r="M24" s="1744" t="s">
        <v>223</v>
      </c>
      <c r="N24"/>
      <c r="O24" s="995"/>
    </row>
    <row r="25" spans="2:15" ht="20" hidden="1" x14ac:dyDescent="0.2">
      <c r="G25" s="998"/>
      <c r="H25"/>
      <c r="I25"/>
      <c r="J25" s="1747"/>
      <c r="K25" s="1747">
        <f>ABS($H$1/K24)</f>
        <v>67.756819526291537</v>
      </c>
      <c r="L25" s="1747">
        <f>ABS($H$1/L24)</f>
        <v>180.25972426393525</v>
      </c>
      <c r="M25" s="1748" t="s">
        <v>222</v>
      </c>
      <c r="N25"/>
      <c r="O25" s="995"/>
    </row>
    <row r="26" spans="2:15" ht="20" hidden="1" x14ac:dyDescent="0.2">
      <c r="G26" s="998"/>
      <c r="H26"/>
      <c r="I26"/>
      <c r="J26" s="1733"/>
      <c r="K26" s="1733"/>
      <c r="L26" s="1733">
        <f>ABS($E$20/BQ51)</f>
        <v>48.250904704463203</v>
      </c>
      <c r="M26" s="1734" t="s">
        <v>350</v>
      </c>
      <c r="N26"/>
      <c r="O26" s="995"/>
    </row>
    <row r="27" spans="2:15" ht="19" hidden="1" thickBot="1" x14ac:dyDescent="0.25">
      <c r="G27" s="998"/>
      <c r="H27"/>
      <c r="I27"/>
      <c r="J27" s="1749"/>
      <c r="K27" s="1749"/>
      <c r="L27" s="1749"/>
      <c r="M27" s="1749"/>
      <c r="N27"/>
      <c r="O27" s="995"/>
    </row>
    <row r="28" spans="2:15" ht="21" hidden="1" thickBot="1" x14ac:dyDescent="0.25">
      <c r="G28" s="998"/>
      <c r="H28"/>
      <c r="I28" s="984">
        <v>60</v>
      </c>
      <c r="J28" s="1751" t="s">
        <v>241</v>
      </c>
      <c r="K28" s="1752"/>
      <c r="L28" s="1752"/>
      <c r="M28" s="1752"/>
      <c r="N28"/>
      <c r="O28" s="995"/>
    </row>
    <row r="29" spans="2:15" ht="20" hidden="1" x14ac:dyDescent="0.2">
      <c r="G29" s="998"/>
      <c r="H29"/>
      <c r="I29"/>
      <c r="J29" s="1744"/>
      <c r="K29" s="1744" t="s">
        <v>215</v>
      </c>
      <c r="L29" s="1744" t="s">
        <v>216</v>
      </c>
      <c r="M29" s="1743"/>
      <c r="N29"/>
      <c r="O29" s="995"/>
    </row>
    <row r="30" spans="2:15" ht="20" hidden="1" x14ac:dyDescent="0.2">
      <c r="G30" s="1000"/>
      <c r="H30" s="63"/>
      <c r="I30"/>
      <c r="J30" s="1746"/>
      <c r="K30" s="1746">
        <f>((+H8-H23)/H8*BQ51)</f>
        <v>265.65591664194773</v>
      </c>
      <c r="L30" s="1746">
        <f>(H23/H8*BQ51)</f>
        <v>-99.855916641947729</v>
      </c>
      <c r="M30" s="1744" t="s">
        <v>223</v>
      </c>
      <c r="N30"/>
      <c r="O30" s="995"/>
    </row>
    <row r="31" spans="2:15" ht="20" hidden="1" x14ac:dyDescent="0.2">
      <c r="G31" s="1000"/>
      <c r="H31" s="63"/>
      <c r="I31"/>
      <c r="J31" s="1747"/>
      <c r="K31" s="1747">
        <f>ABS($H$1/K30)</f>
        <v>67.756819526291537</v>
      </c>
      <c r="L31" s="1747">
        <f>ABS($H$1/L30)</f>
        <v>180.25972426393525</v>
      </c>
      <c r="M31" s="1748" t="s">
        <v>222</v>
      </c>
      <c r="N31"/>
      <c r="O31" s="995"/>
    </row>
    <row r="32" spans="2:15" ht="20" hidden="1" x14ac:dyDescent="0.2">
      <c r="G32" s="1000"/>
      <c r="H32" s="63"/>
      <c r="I32"/>
      <c r="J32" s="1733"/>
      <c r="K32" s="1733"/>
      <c r="L32" s="1733">
        <f>ABS($E$20/BQ51)*2</f>
        <v>96.501809408926405</v>
      </c>
      <c r="M32" s="1734" t="s">
        <v>350</v>
      </c>
      <c r="N32" s="1754" t="s">
        <v>352</v>
      </c>
      <c r="O32" s="995"/>
    </row>
    <row r="33" spans="7:15" ht="19" hidden="1" thickBot="1" x14ac:dyDescent="0.25">
      <c r="G33" s="1000"/>
      <c r="H33" s="63"/>
      <c r="I33"/>
      <c r="J33" s="1749"/>
      <c r="K33" s="1749"/>
      <c r="L33" s="1749"/>
      <c r="M33" s="1749"/>
      <c r="N33"/>
      <c r="O33" s="995"/>
    </row>
    <row r="34" spans="7:15" ht="21" hidden="1" thickBot="1" x14ac:dyDescent="0.25">
      <c r="G34" s="1000"/>
      <c r="H34" s="63"/>
      <c r="I34" s="984">
        <v>61</v>
      </c>
      <c r="J34" s="1751" t="s">
        <v>255</v>
      </c>
      <c r="K34" s="1752"/>
      <c r="L34" s="1752"/>
      <c r="M34" s="1752"/>
      <c r="N34"/>
      <c r="O34" s="995"/>
    </row>
    <row r="35" spans="7:15" ht="20" hidden="1" x14ac:dyDescent="0.2">
      <c r="G35" s="1000"/>
      <c r="H35" s="63"/>
      <c r="I35"/>
      <c r="J35" s="1744" t="s">
        <v>217</v>
      </c>
      <c r="K35" s="1744" t="s">
        <v>225</v>
      </c>
      <c r="L35" s="1744"/>
      <c r="M35" s="1743"/>
      <c r="N35"/>
      <c r="O35" s="995"/>
    </row>
    <row r="36" spans="7:15" ht="20" hidden="1" x14ac:dyDescent="0.2">
      <c r="G36" s="1000"/>
      <c r="H36" s="63"/>
      <c r="I36"/>
      <c r="J36" s="1746">
        <f>+H16/H8*BQ51</f>
        <v>-32.784083358052285</v>
      </c>
      <c r="K36" s="1746">
        <f>((H8-H16)/H8)*BQ51</f>
        <v>198.58408335805228</v>
      </c>
      <c r="L36" s="1746"/>
      <c r="M36" s="1744" t="s">
        <v>223</v>
      </c>
      <c r="N36"/>
      <c r="O36" s="995"/>
    </row>
    <row r="37" spans="7:15" ht="20" hidden="1" x14ac:dyDescent="0.2">
      <c r="G37" s="1000"/>
      <c r="H37" s="63"/>
      <c r="I37"/>
      <c r="J37" s="1747">
        <f>ABS($H$1/J36)</f>
        <v>549.046920220782</v>
      </c>
      <c r="K37" s="1747">
        <f>ABS($H$1/K36)</f>
        <v>90.641705496333913</v>
      </c>
      <c r="L37" s="1747"/>
      <c r="M37" s="1748" t="s">
        <v>222</v>
      </c>
      <c r="N37"/>
      <c r="O37" s="995"/>
    </row>
    <row r="38" spans="7:15" ht="20" hidden="1" x14ac:dyDescent="0.2">
      <c r="G38" s="1000"/>
      <c r="H38" s="63"/>
      <c r="I38"/>
      <c r="J38" s="1733">
        <f>ABS($E$20/BQ51)*2</f>
        <v>96.501809408926405</v>
      </c>
      <c r="K38" s="1733"/>
      <c r="L38" s="1733"/>
      <c r="M38" s="1734" t="s">
        <v>350</v>
      </c>
      <c r="N38" s="1730" t="s">
        <v>352</v>
      </c>
      <c r="O38" s="995"/>
    </row>
    <row r="39" spans="7:15" ht="19" hidden="1" thickBot="1" x14ac:dyDescent="0.25">
      <c r="G39" s="998"/>
      <c r="H39"/>
      <c r="I39"/>
      <c r="J39" s="1749"/>
      <c r="K39" s="1749"/>
      <c r="L39" s="1749"/>
      <c r="M39" s="1749"/>
      <c r="N39"/>
      <c r="O39" s="995"/>
    </row>
    <row r="40" spans="7:15" ht="24" hidden="1" thickBot="1" x14ac:dyDescent="0.3">
      <c r="G40" s="998"/>
      <c r="H40" s="1068" t="s">
        <v>262</v>
      </c>
      <c r="I40" s="984">
        <v>62</v>
      </c>
      <c r="J40" s="1751" t="s">
        <v>256</v>
      </c>
      <c r="K40" s="1752"/>
      <c r="L40" s="1752"/>
      <c r="M40" s="1752"/>
      <c r="N40"/>
      <c r="O40" s="995"/>
    </row>
    <row r="41" spans="7:15" ht="20" hidden="1" x14ac:dyDescent="0.2">
      <c r="G41" s="998"/>
      <c r="H41" s="1001" t="s">
        <v>250</v>
      </c>
      <c r="I41"/>
      <c r="J41" s="1744" t="s">
        <v>217</v>
      </c>
      <c r="K41" s="1744" t="s">
        <v>225</v>
      </c>
      <c r="L41" s="1745" t="s">
        <v>242</v>
      </c>
      <c r="M41" s="1743"/>
      <c r="N41"/>
      <c r="O41" s="995"/>
    </row>
    <row r="42" spans="7:15" ht="23" hidden="1" x14ac:dyDescent="0.25">
      <c r="G42" s="1002" t="s">
        <v>245</v>
      </c>
      <c r="H42" s="1078">
        <f>SUM(BQ125:CA125)</f>
        <v>10</v>
      </c>
      <c r="I42"/>
      <c r="J42" s="1746">
        <f>+H43/H8*BQ51/2</f>
        <v>116.06</v>
      </c>
      <c r="K42" s="1746">
        <f>((H8-H43)/H8)*BQ51/2</f>
        <v>-33.160000000000004</v>
      </c>
      <c r="L42" s="1746">
        <f>+BQ51/2</f>
        <v>82.9</v>
      </c>
      <c r="M42" s="1744" t="s">
        <v>223</v>
      </c>
      <c r="N42"/>
      <c r="O42" s="995"/>
    </row>
    <row r="43" spans="7:15" ht="20" hidden="1" x14ac:dyDescent="0.2">
      <c r="G43" s="994" t="s">
        <v>243</v>
      </c>
      <c r="H43" s="1077">
        <f>$H$5-((H42-1)*$E$2)</f>
        <v>301</v>
      </c>
      <c r="I43"/>
      <c r="J43" s="1747">
        <f>ABS($H$1/J42)</f>
        <v>155.09219369291745</v>
      </c>
      <c r="K43" s="1747">
        <f>ABS($H$1/K42)</f>
        <v>542.822677925211</v>
      </c>
      <c r="L43" s="1747">
        <f>ABS($H$1/L42)</f>
        <v>217.12907117008442</v>
      </c>
      <c r="M43" s="1748" t="s">
        <v>222</v>
      </c>
      <c r="N43"/>
      <c r="O43" s="995"/>
    </row>
    <row r="44" spans="7:15" ht="20" hidden="1" x14ac:dyDescent="0.2">
      <c r="G44" s="1000"/>
      <c r="H44" s="63"/>
      <c r="I44"/>
      <c r="J44" s="1733"/>
      <c r="K44" s="1733"/>
      <c r="L44" s="1733">
        <f>ABS($E$20/BQ51)*2</f>
        <v>96.501809408926405</v>
      </c>
      <c r="M44" s="1734" t="s">
        <v>350</v>
      </c>
      <c r="N44" s="1730" t="s">
        <v>352</v>
      </c>
      <c r="O44" s="995"/>
    </row>
    <row r="45" spans="7:15" ht="21" hidden="1" thickBot="1" x14ac:dyDescent="0.25">
      <c r="G45" s="998"/>
      <c r="H45" s="1069" t="s">
        <v>263</v>
      </c>
      <c r="I45"/>
      <c r="J45" s="1749"/>
      <c r="K45" s="1749"/>
      <c r="L45" s="1749"/>
      <c r="M45" s="1749"/>
      <c r="N45"/>
      <c r="O45" s="995"/>
    </row>
    <row r="46" spans="7:15" ht="21" hidden="1" thickBot="1" x14ac:dyDescent="0.25">
      <c r="G46" s="1004"/>
      <c r="H46" s="1005" t="s">
        <v>250</v>
      </c>
      <c r="I46" s="984">
        <v>63</v>
      </c>
      <c r="J46" s="1751" t="s">
        <v>257</v>
      </c>
      <c r="K46" s="1752"/>
      <c r="L46" s="1752"/>
      <c r="M46" s="1752"/>
      <c r="N46"/>
      <c r="O46" s="995"/>
    </row>
    <row r="47" spans="7:15" ht="23" hidden="1" x14ac:dyDescent="0.25">
      <c r="G47" s="1002" t="s">
        <v>245</v>
      </c>
      <c r="H47" s="1079">
        <f>SUM(CQ125:DA125)</f>
        <v>0</v>
      </c>
      <c r="I47"/>
      <c r="J47" s="1745" t="s">
        <v>244</v>
      </c>
      <c r="K47" s="1744" t="s">
        <v>215</v>
      </c>
      <c r="L47" s="1744" t="s">
        <v>216</v>
      </c>
      <c r="M47" s="1743"/>
      <c r="N47"/>
      <c r="O47" s="995"/>
    </row>
    <row r="48" spans="7:15" ht="20" hidden="1" x14ac:dyDescent="0.2">
      <c r="G48" s="994" t="s">
        <v>243</v>
      </c>
      <c r="H48" s="1077">
        <f>($E$2*(H47-1))-$H$4</f>
        <v>-903</v>
      </c>
      <c r="I48"/>
      <c r="J48" s="1746">
        <f>+BQ51/2</f>
        <v>82.9</v>
      </c>
      <c r="K48" s="1746">
        <f>((H8-H48)/H8)*BQ51/2</f>
        <v>431.08000000000004</v>
      </c>
      <c r="L48" s="1746">
        <f>+H48/H8*BQ51/2</f>
        <v>-348.18000000000006</v>
      </c>
      <c r="M48" s="1744" t="s">
        <v>223</v>
      </c>
      <c r="N48"/>
      <c r="O48" s="995"/>
    </row>
    <row r="49" spans="5:141" ht="20" hidden="1" x14ac:dyDescent="0.2">
      <c r="G49" s="998"/>
      <c r="H49"/>
      <c r="I49"/>
      <c r="J49" s="1747">
        <f>ABS($H$1/J48)</f>
        <v>217.12907117008442</v>
      </c>
      <c r="K49" s="1747">
        <f>ABS($H$1/K48)</f>
        <v>41.755590609631618</v>
      </c>
      <c r="L49" s="1747">
        <f>ABS($H$1/L48)</f>
        <v>51.697397897639142</v>
      </c>
      <c r="M49" s="1748" t="s">
        <v>222</v>
      </c>
      <c r="N49" s="74"/>
      <c r="O49" s="1010"/>
    </row>
    <row r="50" spans="5:141" ht="20" hidden="1" x14ac:dyDescent="0.2">
      <c r="E50" s="397"/>
      <c r="F50" s="397"/>
      <c r="G50" s="998"/>
      <c r="H50"/>
      <c r="I50"/>
      <c r="J50" s="1733">
        <f>ABS($E$20/BQ51)*2</f>
        <v>96.501809408926405</v>
      </c>
      <c r="K50" s="1733"/>
      <c r="L50" s="1733"/>
      <c r="M50" s="1734" t="s">
        <v>350</v>
      </c>
      <c r="N50" s="1730" t="s">
        <v>352</v>
      </c>
      <c r="O50" s="995"/>
    </row>
    <row r="51" spans="5:141" ht="32.25" customHeight="1" thickBot="1" x14ac:dyDescent="0.25">
      <c r="E51" s="397"/>
      <c r="F51" s="397"/>
      <c r="G51" s="998"/>
      <c r="H51"/>
      <c r="I51"/>
      <c r="J51" s="1749"/>
      <c r="K51" s="1749"/>
      <c r="L51" s="1749"/>
      <c r="M51" s="1749"/>
      <c r="N51"/>
      <c r="O51" s="995"/>
      <c r="BE51" s="74"/>
      <c r="BF51" s="74"/>
      <c r="BG51" s="74"/>
      <c r="BH51" s="74"/>
      <c r="BO51" s="64"/>
      <c r="BP51" s="75" t="s">
        <v>25</v>
      </c>
      <c r="BQ51" s="1814">
        <f>+C7</f>
        <v>165.8</v>
      </c>
      <c r="BR51" s="1814"/>
      <c r="BS51" s="76" t="s">
        <v>17</v>
      </c>
      <c r="BT51" s="76"/>
      <c r="BU51" s="77" t="s">
        <v>165</v>
      </c>
      <c r="BV51" s="78"/>
      <c r="BW51" s="78"/>
      <c r="BX51" s="78"/>
      <c r="BY51" s="78"/>
      <c r="BZ51" s="78"/>
      <c r="CA51" s="78"/>
      <c r="CB51" s="78"/>
      <c r="CC51" s="78"/>
      <c r="CD51" s="78"/>
      <c r="CE51" s="78"/>
      <c r="CF51" s="78"/>
      <c r="CG51" s="78"/>
      <c r="CH51" s="78"/>
      <c r="CI51" s="78"/>
      <c r="CJ51" s="78"/>
      <c r="CK51" s="78"/>
      <c r="CL51" s="78"/>
      <c r="CM51" s="78"/>
      <c r="CN51" s="78"/>
      <c r="CO51" s="78"/>
      <c r="CP51" s="78"/>
      <c r="CQ51" s="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</row>
    <row r="52" spans="5:141" ht="42" customHeight="1" thickBot="1" x14ac:dyDescent="0.3">
      <c r="E52" s="397"/>
      <c r="F52" s="397"/>
      <c r="G52" s="998"/>
      <c r="H52"/>
      <c r="I52" s="984">
        <v>64</v>
      </c>
      <c r="J52" s="1751" t="s">
        <v>258</v>
      </c>
      <c r="K52" s="1752"/>
      <c r="L52" s="1752"/>
      <c r="M52" s="1752"/>
      <c r="N52"/>
      <c r="O52" s="995"/>
      <c r="U52" s="114"/>
      <c r="AB52" s="114"/>
      <c r="AC52" s="114"/>
      <c r="AD52" s="114"/>
      <c r="AE52" s="114"/>
      <c r="BE52" s="85"/>
      <c r="BF52" s="85"/>
      <c r="BG52" s="85"/>
      <c r="BH52" s="85"/>
      <c r="BM52" s="81" t="b">
        <f>AND(BQ53&gt;0,CO53&gt;0)</f>
        <v>1</v>
      </c>
      <c r="BN52" s="952" t="str">
        <f>IF(BM52=TRUE,"","negative force at the motor")</f>
        <v/>
      </c>
      <c r="BO52" s="1095" t="s">
        <v>128</v>
      </c>
      <c r="BP52" s="740" t="s">
        <v>27</v>
      </c>
      <c r="BQ52" s="776" t="s">
        <v>28</v>
      </c>
      <c r="BR52" s="777"/>
      <c r="BS52" s="777"/>
      <c r="BT52" s="777"/>
      <c r="BU52" s="777"/>
      <c r="BV52" s="777"/>
      <c r="BW52" s="777"/>
      <c r="BX52" s="777"/>
      <c r="BY52" s="777"/>
      <c r="BZ52" s="777"/>
      <c r="CA52" s="777"/>
      <c r="CB52" s="777"/>
      <c r="CC52" s="777"/>
      <c r="CD52" s="777"/>
      <c r="CE52" s="777"/>
      <c r="CF52" s="777"/>
      <c r="CG52" s="777"/>
      <c r="CH52" s="777"/>
      <c r="CI52" s="884"/>
      <c r="CJ52" s="777"/>
      <c r="CK52" s="885"/>
      <c r="CL52" s="885"/>
      <c r="CM52" s="885"/>
      <c r="CN52" s="885"/>
      <c r="CO52" s="777"/>
      <c r="CP52" s="782" t="s">
        <v>29</v>
      </c>
      <c r="CQ52" s="1801"/>
      <c r="CR52" s="1801"/>
      <c r="CS52" s="1801"/>
      <c r="CT52" s="1801"/>
      <c r="CU52" s="1801"/>
      <c r="CV52" s="1801"/>
      <c r="CW52" s="1801"/>
      <c r="CX52" s="1801"/>
      <c r="CY52" s="1801"/>
      <c r="CZ52" s="1801"/>
      <c r="DA52" s="1802"/>
      <c r="DB52" s="78"/>
      <c r="DC52" s="78"/>
      <c r="DD52" s="78"/>
    </row>
    <row r="53" spans="5:141" ht="42" customHeight="1" thickBot="1" x14ac:dyDescent="0.3">
      <c r="E53" s="397"/>
      <c r="F53" s="397"/>
      <c r="G53" s="1002" t="s">
        <v>245</v>
      </c>
      <c r="H53" s="1007" t="s">
        <v>252</v>
      </c>
      <c r="I53"/>
      <c r="J53" s="1745" t="s">
        <v>244</v>
      </c>
      <c r="K53" s="1744"/>
      <c r="L53" s="1745" t="s">
        <v>242</v>
      </c>
      <c r="M53" s="1743"/>
      <c r="N53"/>
      <c r="O53" s="995"/>
      <c r="BE53" s="85"/>
      <c r="BF53" s="85"/>
      <c r="BG53" s="85"/>
      <c r="BH53" s="85"/>
      <c r="BL53" s="968">
        <v>1</v>
      </c>
      <c r="BM53" s="1762" t="b">
        <f>AND(BO53&gt;=10,$BA$138&gt;=10,$AZ$138&gt;=10,$AZ$159&gt;=10,$BA$159&gt;=10)</f>
        <v>1</v>
      </c>
      <c r="BN53" s="84" t="str">
        <f>IF(BM53=TRUE,"O K","OVERLOAD")</f>
        <v>O K</v>
      </c>
      <c r="BO53" s="982">
        <f>+MIN(J7:L8)</f>
        <v>71.004562187931327</v>
      </c>
      <c r="BP53" s="741" t="s">
        <v>180</v>
      </c>
      <c r="BQ53" s="1809">
        <f>+((D4-D5)/D4)*C7</f>
        <v>53.131183328389547</v>
      </c>
      <c r="BR53" s="1810"/>
      <c r="BS53" s="783"/>
      <c r="BT53" s="783"/>
      <c r="BU53" s="783"/>
      <c r="BV53" s="784"/>
      <c r="BW53" s="784"/>
      <c r="BX53" s="784"/>
      <c r="BY53" s="886"/>
      <c r="BZ53" s="886"/>
      <c r="CA53" s="886"/>
      <c r="CB53" s="886"/>
      <c r="CC53" s="886"/>
      <c r="CD53" s="886"/>
      <c r="CE53" s="886"/>
      <c r="CF53" s="886"/>
      <c r="CG53" s="886"/>
      <c r="CH53" s="886"/>
      <c r="CI53" s="887"/>
      <c r="CJ53" s="783"/>
      <c r="CK53" s="783"/>
      <c r="CL53" s="783"/>
      <c r="CM53" s="784"/>
      <c r="CN53" s="784"/>
      <c r="CO53" s="1799">
        <f>+(D5/D4)*C7</f>
        <v>112.66881667161047</v>
      </c>
      <c r="CP53" s="1800"/>
      <c r="CQ53" s="1803"/>
      <c r="CR53" s="1803"/>
      <c r="CS53" s="1803"/>
      <c r="CT53" s="1803"/>
      <c r="CU53" s="1803"/>
      <c r="CV53" s="1803"/>
      <c r="CW53" s="1803"/>
      <c r="CX53" s="1803"/>
      <c r="CY53" s="1803"/>
      <c r="CZ53" s="1803"/>
      <c r="DA53" s="1804"/>
      <c r="DB53" s="78"/>
      <c r="DC53" s="78"/>
      <c r="DD53" s="78"/>
    </row>
    <row r="54" spans="5:141" ht="14.25" customHeight="1" thickBot="1" x14ac:dyDescent="0.3">
      <c r="E54" s="397"/>
      <c r="F54" s="397"/>
      <c r="G54" s="994" t="s">
        <v>243</v>
      </c>
      <c r="H54" s="956"/>
      <c r="I54"/>
      <c r="J54" s="1746">
        <f>+((H6-D3)/H6)*BQ51</f>
        <v>94.877113086409892</v>
      </c>
      <c r="K54" s="1746"/>
      <c r="L54" s="1746">
        <f>+(D3/H6)*BQ51</f>
        <v>70.922886913590119</v>
      </c>
      <c r="M54" s="1744" t="s">
        <v>223</v>
      </c>
      <c r="N54"/>
      <c r="O54" s="995"/>
      <c r="T54" s="401"/>
      <c r="BE54" s="85"/>
      <c r="BF54" s="85"/>
      <c r="BG54" s="85"/>
      <c r="BH54" s="85"/>
      <c r="BN54" s="86"/>
      <c r="BO54" s="85"/>
      <c r="BP54" s="87"/>
      <c r="BQ54" s="88"/>
      <c r="BR54" s="88"/>
      <c r="BS54" s="87"/>
      <c r="BT54" s="87"/>
      <c r="BU54" s="87"/>
      <c r="BV54" s="87"/>
      <c r="BW54" s="87"/>
      <c r="BX54" s="87"/>
      <c r="BY54" s="87"/>
      <c r="BZ54" s="87"/>
      <c r="CA54" s="87"/>
      <c r="CB54" s="87"/>
      <c r="CC54" s="87"/>
      <c r="CD54" s="87"/>
      <c r="CE54" s="87"/>
      <c r="CF54" s="87"/>
      <c r="CG54" s="87"/>
      <c r="CH54" s="87"/>
      <c r="CJ54" s="76"/>
      <c r="CK54" s="76"/>
      <c r="CL54" s="88"/>
      <c r="CM54" s="89"/>
      <c r="CN54" s="89"/>
      <c r="CO54" s="89"/>
      <c r="CP54" s="89"/>
      <c r="CQ54" s="89"/>
      <c r="CR54" s="89"/>
      <c r="CS54" s="89"/>
      <c r="CT54" s="89"/>
      <c r="CU54" s="89"/>
      <c r="CV54" s="89"/>
      <c r="CW54" s="89"/>
      <c r="CX54" s="89"/>
      <c r="CY54" s="89"/>
      <c r="CZ54" s="89"/>
      <c r="DA54" s="89"/>
      <c r="DB54" s="89"/>
      <c r="DC54" s="78"/>
      <c r="DD54" s="78"/>
    </row>
    <row r="55" spans="5:141" ht="42" customHeight="1" thickBot="1" x14ac:dyDescent="0.3">
      <c r="E55" s="397"/>
      <c r="F55" s="397"/>
      <c r="G55" s="1000"/>
      <c r="H55" s="63"/>
      <c r="I55"/>
      <c r="J55" s="1747">
        <f>ABS($H$1/J54)</f>
        <v>189.71909467361633</v>
      </c>
      <c r="K55" s="1747"/>
      <c r="L55" s="1747">
        <f>ABS($H$1/L54)</f>
        <v>253.7967753897349</v>
      </c>
      <c r="M55" s="1748" t="s">
        <v>222</v>
      </c>
      <c r="N55"/>
      <c r="O55" s="995"/>
      <c r="U55" s="114"/>
      <c r="AB55" s="114"/>
      <c r="AC55" s="114"/>
      <c r="AD55" s="114"/>
      <c r="AE55" s="114"/>
      <c r="BE55" s="85"/>
      <c r="BF55" s="85"/>
      <c r="BG55" s="85"/>
      <c r="BH55" s="85"/>
      <c r="BM55" s="81" t="b">
        <f>AND(CB56&gt;0,CZ56&gt;0)</f>
        <v>1</v>
      </c>
      <c r="BN55" s="952" t="str">
        <f>IF(BM55=TRUE,"","negative force at the motor")</f>
        <v/>
      </c>
      <c r="BO55" s="1095" t="s">
        <v>128</v>
      </c>
      <c r="BP55" s="742" t="s">
        <v>27</v>
      </c>
      <c r="BQ55" s="1833"/>
      <c r="BR55" s="1834"/>
      <c r="BS55" s="1834"/>
      <c r="BT55" s="1834"/>
      <c r="BU55" s="1834"/>
      <c r="BV55" s="1834"/>
      <c r="BW55" s="1834"/>
      <c r="BX55" s="1834"/>
      <c r="BY55" s="1834"/>
      <c r="BZ55" s="1834"/>
      <c r="CA55" s="1834"/>
      <c r="CB55" s="772" t="s">
        <v>28</v>
      </c>
      <c r="CC55" s="774"/>
      <c r="CD55" s="774"/>
      <c r="CE55" s="774"/>
      <c r="CF55" s="774"/>
      <c r="CG55" s="774"/>
      <c r="CH55" s="774"/>
      <c r="CI55" s="774"/>
      <c r="CJ55" s="774"/>
      <c r="CK55" s="774"/>
      <c r="CL55" s="774"/>
      <c r="CM55" s="774"/>
      <c r="CN55" s="888"/>
      <c r="CO55" s="765"/>
      <c r="CP55" s="765"/>
      <c r="CQ55" s="765"/>
      <c r="CR55" s="765"/>
      <c r="CS55" s="889"/>
      <c r="CT55" s="889"/>
      <c r="CU55" s="888"/>
      <c r="CV55" s="888"/>
      <c r="CW55" s="888"/>
      <c r="CX55" s="888"/>
      <c r="CY55" s="888"/>
      <c r="CZ55" s="765"/>
      <c r="DA55" s="766" t="s">
        <v>29</v>
      </c>
      <c r="DB55" s="90"/>
      <c r="DC55" s="78"/>
      <c r="DD55" s="78"/>
    </row>
    <row r="56" spans="5:141" ht="42" customHeight="1" thickBot="1" x14ac:dyDescent="0.3">
      <c r="E56" s="397"/>
      <c r="F56" s="397"/>
      <c r="G56" s="1000"/>
      <c r="H56" s="63"/>
      <c r="I56" s="74"/>
      <c r="J56" s="1733">
        <f>ABS($E$20/BQ51)*2</f>
        <v>96.501809408926405</v>
      </c>
      <c r="K56" s="1733"/>
      <c r="L56" s="1733"/>
      <c r="M56" s="1734" t="s">
        <v>350</v>
      </c>
      <c r="N56" s="1730" t="s">
        <v>352</v>
      </c>
      <c r="O56" s="995"/>
      <c r="U56" s="114"/>
      <c r="AB56" s="114"/>
      <c r="AC56" s="114"/>
      <c r="AD56" s="114"/>
      <c r="AE56" s="114"/>
      <c r="BL56" s="968">
        <v>2</v>
      </c>
      <c r="BM56" s="1762" t="b">
        <f>AND(BO56&gt;=10,$BA$138&gt;=10,$AZ$138&gt;=10,$AZ$159&gt;=10,$BA$159&gt;=10)</f>
        <v>1</v>
      </c>
      <c r="BN56" s="84" t="str">
        <f>IF(BM56=TRUE,"O K","OVERLOAD")</f>
        <v>O K</v>
      </c>
      <c r="BO56" s="982">
        <f>+MIN(J13:L14)</f>
        <v>63.450174629265391</v>
      </c>
      <c r="BP56" s="743" t="s">
        <v>126</v>
      </c>
      <c r="BQ56" s="1835"/>
      <c r="BR56" s="1836"/>
      <c r="BS56" s="1836"/>
      <c r="BT56" s="1836"/>
      <c r="BU56" s="1836"/>
      <c r="BV56" s="1836"/>
      <c r="BW56" s="1836"/>
      <c r="BX56" s="1836"/>
      <c r="BY56" s="1836"/>
      <c r="BZ56" s="1836"/>
      <c r="CA56" s="1836"/>
      <c r="CB56" s="1840">
        <f>+((D4-D3)/D4)*C7</f>
        <v>126.08318332838955</v>
      </c>
      <c r="CC56" s="1841"/>
      <c r="CD56" s="890"/>
      <c r="CE56" s="890"/>
      <c r="CF56" s="890"/>
      <c r="CG56" s="890"/>
      <c r="CH56" s="890"/>
      <c r="CI56" s="890"/>
      <c r="CJ56" s="890"/>
      <c r="CK56" s="890"/>
      <c r="CL56" s="890"/>
      <c r="CM56" s="890"/>
      <c r="CN56" s="891"/>
      <c r="CO56" s="892"/>
      <c r="CP56" s="892"/>
      <c r="CQ56" s="892"/>
      <c r="CR56" s="892"/>
      <c r="CS56" s="893"/>
      <c r="CT56" s="893"/>
      <c r="CU56" s="883"/>
      <c r="CV56" s="883"/>
      <c r="CW56" s="883"/>
      <c r="CX56" s="883"/>
      <c r="CY56" s="883"/>
      <c r="CZ56" s="1797">
        <f>+(D3/D4)*C7</f>
        <v>39.716816671610466</v>
      </c>
      <c r="DA56" s="1798"/>
      <c r="DB56" s="92"/>
      <c r="DC56" s="78"/>
      <c r="DD56" s="78"/>
    </row>
    <row r="57" spans="5:141" ht="16" customHeight="1" thickBot="1" x14ac:dyDescent="0.3">
      <c r="E57" s="397"/>
      <c r="F57" s="397"/>
      <c r="G57" s="998"/>
      <c r="H57"/>
      <c r="I57"/>
      <c r="J57"/>
      <c r="K57"/>
      <c r="L57"/>
      <c r="M57"/>
      <c r="N57"/>
      <c r="O57" s="995"/>
      <c r="U57" s="114"/>
      <c r="AB57" s="114"/>
      <c r="AC57" s="114"/>
      <c r="AD57" s="114"/>
      <c r="AE57" s="114"/>
      <c r="BN57" s="86"/>
      <c r="BO57" s="18"/>
      <c r="BP57" s="93"/>
      <c r="BQ57" s="93"/>
      <c r="BR57" s="93"/>
      <c r="BS57" s="93"/>
      <c r="BT57" s="93"/>
      <c r="BU57" s="93"/>
      <c r="BV57" s="93"/>
      <c r="BW57" s="93"/>
      <c r="BX57" s="93"/>
      <c r="BY57" s="94"/>
      <c r="BZ57" s="94"/>
      <c r="CA57" s="89"/>
      <c r="CB57" s="89"/>
      <c r="CC57" s="89"/>
      <c r="CD57" s="89"/>
      <c r="CE57" s="89"/>
      <c r="CF57" s="89"/>
      <c r="CG57" s="89"/>
      <c r="CH57" s="89"/>
      <c r="CI57" s="89"/>
      <c r="CJ57" s="89"/>
      <c r="CK57" s="89"/>
      <c r="CL57" s="89"/>
      <c r="CM57" s="89"/>
      <c r="CN57" s="37"/>
      <c r="CO57" s="95"/>
      <c r="CP57" s="95"/>
      <c r="CQ57" s="95"/>
      <c r="CR57" s="95"/>
      <c r="CS57" s="92"/>
      <c r="CT57" s="92"/>
      <c r="CU57" s="92"/>
      <c r="CV57" s="92"/>
      <c r="CW57" s="92"/>
      <c r="CX57" s="92"/>
      <c r="CY57" s="92"/>
      <c r="CZ57" s="92"/>
      <c r="DA57" s="92"/>
      <c r="DB57" s="92"/>
      <c r="DC57" s="78"/>
      <c r="DD57" s="78"/>
    </row>
    <row r="58" spans="5:141" ht="42" customHeight="1" thickBot="1" x14ac:dyDescent="0.25">
      <c r="E58" s="397"/>
      <c r="F58" s="397"/>
      <c r="G58" s="998"/>
      <c r="H58"/>
      <c r="I58"/>
      <c r="J58"/>
      <c r="K58"/>
      <c r="L58"/>
      <c r="M58"/>
      <c r="N58"/>
      <c r="O58" s="995"/>
      <c r="U58" s="114"/>
      <c r="AB58" s="114"/>
      <c r="AC58" s="114"/>
      <c r="AD58" s="114"/>
      <c r="AE58" s="114"/>
      <c r="BM58" s="81" t="b">
        <f>AND(CB59&gt;0,CQ59&gt;0)</f>
        <v>1</v>
      </c>
      <c r="BN58" s="952" t="str">
        <f>IF(BM58=TRUE,"","negative force at the motor")</f>
        <v/>
      </c>
      <c r="BO58" s="1095" t="s">
        <v>128</v>
      </c>
      <c r="BP58" s="744" t="s">
        <v>27</v>
      </c>
      <c r="BQ58" s="1822"/>
      <c r="BR58" s="1823"/>
      <c r="BS58" s="1823"/>
      <c r="BT58" s="1823"/>
      <c r="BU58" s="1823"/>
      <c r="BV58" s="1823"/>
      <c r="BW58" s="1823"/>
      <c r="BX58" s="1823"/>
      <c r="BY58" s="1823"/>
      <c r="BZ58" s="1823"/>
      <c r="CA58" s="1823"/>
      <c r="CB58" s="894" t="s">
        <v>28</v>
      </c>
      <c r="CC58" s="895"/>
      <c r="CD58" s="895"/>
      <c r="CE58" s="895"/>
      <c r="CF58" s="895"/>
      <c r="CG58" s="895"/>
      <c r="CH58" s="895"/>
      <c r="CI58" s="896"/>
      <c r="CJ58" s="895"/>
      <c r="CK58" s="897"/>
      <c r="CL58" s="897"/>
      <c r="CM58" s="895"/>
      <c r="CN58" s="895"/>
      <c r="CO58" s="895"/>
      <c r="CP58" s="895"/>
      <c r="CQ58" s="895"/>
      <c r="CR58" s="898" t="s">
        <v>29</v>
      </c>
      <c r="CS58" s="1801"/>
      <c r="CT58" s="1801"/>
      <c r="CU58" s="1801"/>
      <c r="CV58" s="1801"/>
      <c r="CW58" s="1801"/>
      <c r="CX58" s="1801"/>
      <c r="CY58" s="1801"/>
      <c r="CZ58" s="1801"/>
      <c r="DA58" s="1802"/>
      <c r="DB58" s="89"/>
      <c r="DC58" s="78"/>
      <c r="DD58" s="78"/>
    </row>
    <row r="59" spans="5:141" ht="42" customHeight="1" thickBot="1" x14ac:dyDescent="0.3">
      <c r="E59" s="397"/>
      <c r="F59" s="397"/>
      <c r="G59" s="998"/>
      <c r="H59"/>
      <c r="I59"/>
      <c r="J59"/>
      <c r="K59"/>
      <c r="L59"/>
      <c r="M59"/>
      <c r="N59"/>
      <c r="O59" s="995"/>
      <c r="U59" s="114"/>
      <c r="AB59" s="114"/>
      <c r="AC59" s="114"/>
      <c r="AD59" s="114"/>
      <c r="AE59" s="114"/>
      <c r="BL59" s="968">
        <v>3</v>
      </c>
      <c r="BM59" s="1762" t="b">
        <f>AND(BO59&gt;=10,$BA$138&gt;=10,$AZ$138&gt;=10,$AZ$159&gt;=10,$BA$159&gt;=10)</f>
        <v>1</v>
      </c>
      <c r="BN59" s="84" t="str">
        <f>IF(BM59=TRUE,"O K","OVERLOAD")</f>
        <v>O K</v>
      </c>
      <c r="BO59" s="983">
        <f>+$E$20/(MAX(CB59,CQ59))</f>
        <v>77.114027604631488</v>
      </c>
      <c r="BP59" s="745" t="s">
        <v>123</v>
      </c>
      <c r="BQ59" s="1824"/>
      <c r="BR59" s="1825"/>
      <c r="BS59" s="1825"/>
      <c r="BT59" s="1825"/>
      <c r="BU59" s="1825"/>
      <c r="BV59" s="1825"/>
      <c r="BW59" s="1825"/>
      <c r="BX59" s="1825"/>
      <c r="BY59" s="1825"/>
      <c r="BZ59" s="1825"/>
      <c r="CA59" s="1825"/>
      <c r="CB59" s="1807">
        <f>+((D2-D3)/D2)*C7</f>
        <v>103.74247395060867</v>
      </c>
      <c r="CC59" s="1808"/>
      <c r="CD59" s="899"/>
      <c r="CE59" s="899"/>
      <c r="CF59" s="899"/>
      <c r="CG59" s="899"/>
      <c r="CH59" s="899"/>
      <c r="CI59" s="900"/>
      <c r="CJ59" s="899"/>
      <c r="CK59" s="901"/>
      <c r="CL59" s="901"/>
      <c r="CM59" s="902"/>
      <c r="CN59" s="902"/>
      <c r="CO59" s="902"/>
      <c r="CP59" s="902"/>
      <c r="CQ59" s="1795">
        <f>+(D3/D2)*C7</f>
        <v>62.057526049391356</v>
      </c>
      <c r="CR59" s="1796"/>
      <c r="CS59" s="1803"/>
      <c r="CT59" s="1803"/>
      <c r="CU59" s="1803"/>
      <c r="CV59" s="1803"/>
      <c r="CW59" s="1803"/>
      <c r="CX59" s="1803"/>
      <c r="CY59" s="1803"/>
      <c r="CZ59" s="1803"/>
      <c r="DA59" s="1804"/>
      <c r="DB59" s="89"/>
      <c r="DC59" s="78"/>
      <c r="DD59" s="78"/>
    </row>
    <row r="60" spans="5:141" ht="16" customHeight="1" thickBot="1" x14ac:dyDescent="0.3">
      <c r="E60" s="397"/>
      <c r="F60" s="397"/>
      <c r="G60" s="998"/>
      <c r="H60"/>
      <c r="I60"/>
      <c r="J60"/>
      <c r="K60"/>
      <c r="L60"/>
      <c r="M60"/>
      <c r="N60"/>
      <c r="O60" s="995"/>
      <c r="U60" s="114"/>
      <c r="AB60" s="114"/>
      <c r="AC60" s="114"/>
      <c r="AD60" s="114"/>
      <c r="AE60" s="114"/>
      <c r="BN60" s="86"/>
      <c r="BO60" s="18"/>
      <c r="BP60" s="93"/>
      <c r="BQ60" s="93"/>
      <c r="BR60" s="93"/>
      <c r="BS60" s="93"/>
      <c r="BT60" s="93"/>
      <c r="BU60" s="93"/>
      <c r="BV60" s="93"/>
      <c r="BW60" s="93"/>
      <c r="BX60" s="93"/>
      <c r="BY60" s="94"/>
      <c r="BZ60" s="94"/>
      <c r="CA60" s="89"/>
      <c r="CB60" s="89"/>
      <c r="CC60" s="89"/>
      <c r="CD60" s="89"/>
      <c r="CE60" s="89"/>
      <c r="CF60" s="89"/>
      <c r="CG60" s="89"/>
      <c r="CH60" s="89"/>
      <c r="CI60" s="89"/>
      <c r="CJ60" s="89"/>
      <c r="CK60" s="93"/>
      <c r="CL60" s="89"/>
      <c r="CM60" s="89"/>
      <c r="CN60" s="37"/>
      <c r="CO60" s="95"/>
      <c r="CP60" s="95"/>
      <c r="CQ60" s="95"/>
      <c r="CR60" s="95"/>
      <c r="CS60" s="92"/>
      <c r="CT60" s="92"/>
      <c r="CU60" s="92"/>
      <c r="CV60" s="92"/>
      <c r="CW60" s="92"/>
      <c r="CX60" s="92"/>
      <c r="CY60" s="92"/>
      <c r="CZ60" s="92"/>
      <c r="DA60" s="92"/>
      <c r="DB60" s="92"/>
      <c r="DC60" s="78"/>
      <c r="DD60" s="78"/>
    </row>
    <row r="61" spans="5:141" ht="47.25" hidden="1" customHeight="1" x14ac:dyDescent="0.2">
      <c r="G61" s="998"/>
      <c r="H61"/>
      <c r="I61"/>
      <c r="J61"/>
      <c r="K61"/>
      <c r="L61"/>
      <c r="M61"/>
      <c r="N61"/>
      <c r="O61" s="995"/>
      <c r="BN61" s="86"/>
      <c r="EJ61" s="78"/>
      <c r="EK61" s="78"/>
    </row>
    <row r="62" spans="5:141" ht="47.25" hidden="1" customHeight="1" x14ac:dyDescent="0.2">
      <c r="G62" s="998"/>
      <c r="H62"/>
      <c r="I62"/>
      <c r="J62"/>
      <c r="K62"/>
      <c r="L62"/>
      <c r="M62"/>
      <c r="N62"/>
      <c r="O62" s="995"/>
      <c r="BN62" s="86"/>
      <c r="EJ62" s="78"/>
      <c r="EK62" s="78"/>
    </row>
    <row r="63" spans="5:141" ht="23" hidden="1" x14ac:dyDescent="0.25">
      <c r="G63" s="998"/>
      <c r="H63"/>
      <c r="I63"/>
      <c r="J63"/>
      <c r="K63"/>
      <c r="L63"/>
      <c r="M63"/>
      <c r="N63"/>
      <c r="O63" s="995"/>
      <c r="BN63" s="86"/>
      <c r="BO63" s="17"/>
      <c r="BP63" s="177"/>
      <c r="BQ63" s="178"/>
      <c r="BR63" s="178"/>
      <c r="BS63" s="178"/>
      <c r="BT63" s="178"/>
      <c r="BU63" s="178"/>
      <c r="BV63" s="178"/>
      <c r="BW63" s="178"/>
      <c r="BX63" s="178"/>
      <c r="BY63" s="179"/>
      <c r="BZ63" s="179"/>
      <c r="CA63" s="180"/>
      <c r="CB63" s="180"/>
      <c r="CC63" s="180"/>
      <c r="CD63" s="180"/>
      <c r="CE63" s="180"/>
      <c r="CF63" s="180"/>
      <c r="CG63" s="180"/>
      <c r="CH63" s="180"/>
      <c r="CI63" s="37"/>
      <c r="CJ63" s="89"/>
      <c r="CK63" s="181"/>
      <c r="CL63" s="181"/>
      <c r="CM63" s="89"/>
      <c r="CN63" s="89"/>
      <c r="CO63" s="89"/>
      <c r="CP63" s="89"/>
      <c r="CQ63" s="89"/>
      <c r="CR63" s="89"/>
      <c r="CS63" s="89"/>
      <c r="CT63" s="89"/>
      <c r="CU63" s="89"/>
      <c r="CV63" s="89"/>
      <c r="CW63" s="178"/>
      <c r="CX63" s="178"/>
      <c r="CY63" s="178"/>
      <c r="CZ63" s="178"/>
      <c r="DA63" s="178"/>
      <c r="DB63" s="178"/>
      <c r="DC63" s="178"/>
      <c r="DD63" s="178"/>
      <c r="EJ63" s="78"/>
      <c r="EK63" s="78"/>
    </row>
    <row r="64" spans="5:141" ht="48" hidden="1" customHeight="1" thickBot="1" x14ac:dyDescent="0.3">
      <c r="G64" s="998"/>
      <c r="H64"/>
      <c r="I64"/>
      <c r="J64"/>
      <c r="K64"/>
      <c r="L64"/>
      <c r="M64"/>
      <c r="N64"/>
      <c r="O64" s="995"/>
      <c r="BN64" s="86"/>
      <c r="BO64" s="17"/>
      <c r="BP64" s="177"/>
      <c r="BQ64" s="178"/>
      <c r="BR64" s="178"/>
      <c r="BS64" s="178"/>
      <c r="BT64" s="178"/>
      <c r="BU64" s="178"/>
      <c r="BV64" s="178"/>
      <c r="BW64" s="178"/>
      <c r="BX64" s="178"/>
      <c r="BY64" s="179"/>
      <c r="BZ64" s="179"/>
      <c r="CA64" s="180"/>
      <c r="CB64" s="180"/>
      <c r="CC64" s="180"/>
      <c r="CD64" s="180"/>
      <c r="CE64" s="180"/>
      <c r="CF64" s="180"/>
      <c r="CG64" s="180"/>
      <c r="CH64" s="180"/>
      <c r="CI64" s="37"/>
      <c r="CJ64" s="89"/>
      <c r="CK64" s="181"/>
      <c r="CL64" s="181"/>
      <c r="CM64" s="89"/>
      <c r="CN64" s="89"/>
      <c r="CO64" s="89"/>
      <c r="CP64" s="89"/>
      <c r="CQ64" s="89"/>
      <c r="CR64" s="89"/>
      <c r="CS64" s="89"/>
      <c r="CT64" s="89"/>
      <c r="CU64" s="89"/>
      <c r="CV64" s="89"/>
      <c r="CW64" s="178"/>
      <c r="CX64" s="178"/>
      <c r="CY64" s="178"/>
      <c r="CZ64" s="178"/>
      <c r="DA64" s="178"/>
      <c r="DB64" s="178"/>
      <c r="DC64" s="178"/>
      <c r="DD64" s="178"/>
      <c r="EJ64" s="78"/>
      <c r="EK64" s="78"/>
    </row>
    <row r="65" spans="7:141" ht="36" hidden="1" customHeight="1" thickBot="1" x14ac:dyDescent="0.3">
      <c r="G65" s="998"/>
      <c r="H65"/>
      <c r="I65"/>
      <c r="J65"/>
      <c r="K65"/>
      <c r="L65"/>
      <c r="M65"/>
      <c r="N65"/>
      <c r="O65" s="995"/>
      <c r="BN65" s="86"/>
      <c r="BO65" s="17"/>
      <c r="BP65" s="177"/>
      <c r="BQ65" s="178"/>
      <c r="BR65" s="178"/>
      <c r="BS65" s="178"/>
      <c r="BT65" s="178"/>
      <c r="BU65" s="178"/>
      <c r="BV65" s="178"/>
      <c r="BW65" s="178"/>
      <c r="BX65" s="178"/>
      <c r="BY65" s="179"/>
      <c r="BZ65" s="179"/>
      <c r="CA65" s="182">
        <v>16</v>
      </c>
      <c r="CB65" s="180"/>
      <c r="CC65" s="180"/>
      <c r="CD65" s="180"/>
      <c r="CE65" s="180"/>
      <c r="CF65" s="180"/>
      <c r="CG65" s="180"/>
      <c r="CH65" s="180"/>
      <c r="CI65" s="37"/>
      <c r="CJ65" s="89"/>
      <c r="CK65" s="181"/>
      <c r="CL65" s="181"/>
      <c r="CM65" s="89"/>
      <c r="CN65" s="89"/>
      <c r="CO65" s="89"/>
      <c r="CP65" s="117" t="b">
        <f>IF(CQ83=27,15)</f>
        <v>0</v>
      </c>
      <c r="CQ65" s="183"/>
      <c r="CR65" s="103" t="b">
        <f>IF(CQ83=27,17)</f>
        <v>0</v>
      </c>
      <c r="CS65" s="89"/>
      <c r="CT65" s="89"/>
      <c r="CU65" s="89"/>
      <c r="CV65" s="89"/>
      <c r="CW65" s="178"/>
      <c r="CX65" s="178"/>
      <c r="CY65" s="178"/>
      <c r="CZ65" s="178"/>
      <c r="DA65" s="178"/>
      <c r="DB65" s="178"/>
      <c r="DC65" s="178"/>
      <c r="DD65" s="178"/>
      <c r="EJ65" s="78"/>
      <c r="EK65" s="78"/>
    </row>
    <row r="66" spans="7:141" ht="24" hidden="1" thickBot="1" x14ac:dyDescent="0.3">
      <c r="G66" s="998"/>
      <c r="H66"/>
      <c r="I66"/>
      <c r="J66"/>
      <c r="K66"/>
      <c r="L66"/>
      <c r="M66"/>
      <c r="N66"/>
      <c r="O66" s="995"/>
      <c r="BN66" s="86"/>
      <c r="BO66" s="17"/>
      <c r="BP66" s="177"/>
      <c r="BQ66" s="178"/>
      <c r="BR66" s="178"/>
      <c r="BS66" s="178"/>
      <c r="BT66" s="178"/>
      <c r="BU66" s="178"/>
      <c r="BV66" s="178"/>
      <c r="BW66" s="178"/>
      <c r="BX66" s="178"/>
      <c r="BY66" s="179"/>
      <c r="BZ66" s="179"/>
      <c r="CA66" s="182">
        <v>15</v>
      </c>
      <c r="CB66" s="180"/>
      <c r="CC66" s="180"/>
      <c r="CD66" s="180"/>
      <c r="CE66" s="180"/>
      <c r="CF66" s="180"/>
      <c r="CG66" s="180"/>
      <c r="CH66" s="180"/>
      <c r="CI66" s="37"/>
      <c r="CJ66" s="89"/>
      <c r="CK66" s="181"/>
      <c r="CL66" s="181"/>
      <c r="CM66" s="89"/>
      <c r="CN66" s="117" t="b">
        <f>IF(CP83=26,13)</f>
        <v>0</v>
      </c>
      <c r="CO66" s="183"/>
      <c r="CP66" s="183"/>
      <c r="CQ66" s="183"/>
      <c r="CR66" s="103" t="b">
        <f>IF(CP83=26,17)</f>
        <v>0</v>
      </c>
      <c r="CS66" s="89"/>
      <c r="CT66" s="89"/>
      <c r="CU66" s="89"/>
      <c r="CV66" s="89"/>
      <c r="CW66" s="178"/>
      <c r="CX66" s="178"/>
      <c r="CY66" s="178"/>
      <c r="CZ66" s="178"/>
      <c r="DA66" s="178"/>
      <c r="DB66" s="178"/>
      <c r="DC66" s="178"/>
      <c r="DD66" s="178"/>
      <c r="EJ66" s="78"/>
      <c r="EK66" s="78"/>
    </row>
    <row r="67" spans="7:141" ht="24" hidden="1" thickBot="1" x14ac:dyDescent="0.3">
      <c r="G67" s="998"/>
      <c r="H67"/>
      <c r="I67"/>
      <c r="J67"/>
      <c r="K67"/>
      <c r="L67"/>
      <c r="M67"/>
      <c r="N67"/>
      <c r="O67" s="995"/>
      <c r="BN67" s="86"/>
      <c r="BO67" s="17"/>
      <c r="BP67" s="177"/>
      <c r="BQ67" s="178"/>
      <c r="BR67" s="178"/>
      <c r="BS67" s="178"/>
      <c r="BT67" s="178"/>
      <c r="BU67" s="178"/>
      <c r="BV67" s="178"/>
      <c r="BW67" s="178"/>
      <c r="BX67" s="178"/>
      <c r="BY67" s="179"/>
      <c r="BZ67" s="179"/>
      <c r="CA67" s="182">
        <v>14</v>
      </c>
      <c r="CB67" s="180"/>
      <c r="CC67" s="180"/>
      <c r="CD67" s="180"/>
      <c r="CE67" s="180"/>
      <c r="CF67" s="180"/>
      <c r="CG67" s="180"/>
      <c r="CH67" s="180"/>
      <c r="CI67" s="37"/>
      <c r="CJ67" s="89"/>
      <c r="CK67" s="181"/>
      <c r="CL67" s="117" t="b">
        <f>IF(CO83=25,11)</f>
        <v>0</v>
      </c>
      <c r="CM67" s="183"/>
      <c r="CN67" s="184"/>
      <c r="CO67" s="184"/>
      <c r="CP67" s="184"/>
      <c r="CQ67" s="184"/>
      <c r="CR67" s="124" t="b">
        <f>IF(CO83=25,17)</f>
        <v>0</v>
      </c>
      <c r="CS67" s="89"/>
      <c r="CT67" s="89"/>
      <c r="CU67" s="89"/>
      <c r="CV67" s="89"/>
      <c r="CW67" s="178"/>
      <c r="CX67" s="178"/>
      <c r="CY67" s="178"/>
      <c r="CZ67" s="178"/>
      <c r="DA67" s="178"/>
      <c r="DB67" s="178"/>
      <c r="DC67" s="178"/>
      <c r="DD67" s="178"/>
      <c r="EJ67" s="78"/>
      <c r="EK67" s="78"/>
    </row>
    <row r="68" spans="7:141" ht="21" hidden="1" thickBot="1" x14ac:dyDescent="0.25">
      <c r="G68" s="998"/>
      <c r="H68"/>
      <c r="I68"/>
      <c r="J68"/>
      <c r="K68"/>
      <c r="L68"/>
      <c r="M68"/>
      <c r="N68"/>
      <c r="O68" s="995"/>
      <c r="BN68" s="86"/>
      <c r="BO68" s="1091"/>
      <c r="BP68" s="177"/>
      <c r="BQ68" s="178"/>
      <c r="BR68" s="178"/>
      <c r="BS68" s="178"/>
      <c r="BT68" s="178"/>
      <c r="BU68" s="178"/>
      <c r="BV68" s="178"/>
      <c r="BW68" s="178"/>
      <c r="BX68" s="178"/>
      <c r="CA68" s="182">
        <v>13</v>
      </c>
      <c r="CB68" s="178"/>
      <c r="CC68" s="177"/>
      <c r="CD68" s="177"/>
      <c r="CE68" s="177"/>
      <c r="CF68" s="177"/>
      <c r="CG68" s="177"/>
      <c r="CH68" s="177"/>
      <c r="CI68" s="177"/>
      <c r="CJ68" s="117" t="b">
        <f>IF(CN83=24,9)</f>
        <v>0</v>
      </c>
      <c r="CK68" s="185"/>
      <c r="CL68" s="186"/>
      <c r="CM68" s="122"/>
      <c r="CN68" s="186"/>
      <c r="CO68" s="122"/>
      <c r="CP68" s="122"/>
      <c r="CQ68" s="121"/>
      <c r="CR68" s="124" t="b">
        <f>IF(CN83=24,17)</f>
        <v>0</v>
      </c>
      <c r="CS68" s="78"/>
      <c r="CT68" s="78"/>
      <c r="CU68" s="78"/>
      <c r="CV68" s="78"/>
      <c r="CW68" s="78"/>
      <c r="CX68" s="78"/>
      <c r="CY68" s="78"/>
      <c r="CZ68" s="78"/>
      <c r="DA68" s="78"/>
      <c r="DB68" s="78"/>
      <c r="DC68" s="78"/>
      <c r="DD68" s="78"/>
      <c r="EJ68" s="78"/>
      <c r="EK68" s="78"/>
    </row>
    <row r="69" spans="7:141" ht="21" hidden="1" customHeight="1" thickBot="1" x14ac:dyDescent="0.25">
      <c r="G69" s="998"/>
      <c r="H69"/>
      <c r="I69"/>
      <c r="J69"/>
      <c r="K69"/>
      <c r="L69"/>
      <c r="M69"/>
      <c r="N69"/>
      <c r="O69" s="995"/>
      <c r="BN69" s="86"/>
      <c r="BO69" s="1091"/>
      <c r="BP69" s="177"/>
      <c r="BQ69" s="177"/>
      <c r="BR69" s="178"/>
      <c r="BS69" s="177"/>
      <c r="BT69" s="177"/>
      <c r="BU69" s="177"/>
      <c r="CA69" s="182">
        <v>12</v>
      </c>
      <c r="CB69" s="178"/>
      <c r="CC69" s="177"/>
      <c r="CD69" s="177"/>
      <c r="CE69" s="177"/>
      <c r="CF69" s="177"/>
      <c r="CG69" s="177"/>
      <c r="CH69" s="117" t="b">
        <f>IF(CM83=23,7)</f>
        <v>0</v>
      </c>
      <c r="CI69" s="185"/>
      <c r="CJ69" s="185"/>
      <c r="CK69" s="118"/>
      <c r="CL69" s="185"/>
      <c r="CM69" s="185"/>
      <c r="CN69" s="185"/>
      <c r="CO69" s="118"/>
      <c r="CP69" s="118"/>
      <c r="CQ69" s="111"/>
      <c r="CR69" s="103" t="b">
        <f>IF(CM83=23,17)</f>
        <v>0</v>
      </c>
      <c r="CS69" s="78"/>
      <c r="CT69" s="78"/>
      <c r="CU69" s="78"/>
      <c r="CV69" s="78"/>
      <c r="CW69" s="78"/>
      <c r="CX69" s="78"/>
      <c r="CY69" s="78"/>
      <c r="CZ69" s="78"/>
      <c r="DA69" s="78"/>
      <c r="DB69" s="78"/>
      <c r="DC69" s="78"/>
      <c r="DD69" s="78"/>
      <c r="EJ69" s="78"/>
      <c r="EK69" s="78"/>
    </row>
    <row r="70" spans="7:141" ht="21" hidden="1" customHeight="1" thickBot="1" x14ac:dyDescent="0.25">
      <c r="G70" s="998"/>
      <c r="H70"/>
      <c r="I70"/>
      <c r="J70"/>
      <c r="K70"/>
      <c r="L70"/>
      <c r="M70"/>
      <c r="N70"/>
      <c r="O70" s="995"/>
      <c r="BN70" s="86"/>
      <c r="BO70" s="1091"/>
      <c r="BP70" s="177"/>
      <c r="BQ70" s="177"/>
      <c r="BR70" s="178"/>
      <c r="BS70" s="177"/>
      <c r="BT70" s="177"/>
      <c r="BU70" s="177"/>
      <c r="CA70" s="182">
        <v>11</v>
      </c>
      <c r="CB70" s="178"/>
      <c r="CC70" s="177"/>
      <c r="CD70" s="177"/>
      <c r="CE70" s="177"/>
      <c r="CF70" s="117" t="b">
        <f>IF(CL83=22,5)</f>
        <v>0</v>
      </c>
      <c r="CG70" s="185"/>
      <c r="CH70" s="185"/>
      <c r="CI70" s="118"/>
      <c r="CJ70" s="185"/>
      <c r="CK70" s="118"/>
      <c r="CL70" s="185"/>
      <c r="CM70" s="118"/>
      <c r="CN70" s="185"/>
      <c r="CO70" s="118"/>
      <c r="CP70" s="118"/>
      <c r="CQ70" s="111"/>
      <c r="CR70" s="103" t="b">
        <f>IF(CL83=22,17)</f>
        <v>0</v>
      </c>
      <c r="CS70" s="78"/>
      <c r="CT70" s="78"/>
      <c r="CU70" s="78"/>
      <c r="CV70" s="78"/>
      <c r="CW70" s="78"/>
      <c r="CX70" s="78"/>
      <c r="CY70" s="78"/>
      <c r="CZ70" s="78"/>
      <c r="DA70" s="78"/>
      <c r="DB70" s="78"/>
      <c r="DC70" s="78"/>
      <c r="DD70" s="78"/>
      <c r="EJ70" s="78"/>
      <c r="EK70" s="78"/>
    </row>
    <row r="71" spans="7:141" ht="21" hidden="1" customHeight="1" thickBot="1" x14ac:dyDescent="0.25">
      <c r="G71" s="998"/>
      <c r="H71"/>
      <c r="I71"/>
      <c r="J71"/>
      <c r="K71"/>
      <c r="L71"/>
      <c r="M71"/>
      <c r="N71"/>
      <c r="O71" s="995"/>
      <c r="BN71" s="86"/>
      <c r="BO71" s="1091"/>
      <c r="BP71" s="177"/>
      <c r="BQ71" s="177"/>
      <c r="BR71" s="178"/>
      <c r="BS71" s="177"/>
      <c r="BT71" s="177"/>
      <c r="BU71" s="177"/>
      <c r="CA71" s="182">
        <v>10</v>
      </c>
      <c r="CB71" s="178"/>
      <c r="CC71" s="177"/>
      <c r="CD71" s="117" t="b">
        <f>IF(CK83=21,3)</f>
        <v>0</v>
      </c>
      <c r="CE71" s="185"/>
      <c r="CF71" s="185"/>
      <c r="CG71" s="118"/>
      <c r="CH71" s="118"/>
      <c r="CI71" s="118"/>
      <c r="CJ71" s="185"/>
      <c r="CK71" s="185"/>
      <c r="CL71" s="185"/>
      <c r="CM71" s="118"/>
      <c r="CN71" s="185"/>
      <c r="CO71" s="118"/>
      <c r="CP71" s="118"/>
      <c r="CQ71" s="111"/>
      <c r="CR71" s="103" t="b">
        <f>IF(CK83=21,17)</f>
        <v>0</v>
      </c>
      <c r="CS71" s="78"/>
      <c r="CT71" s="78"/>
      <c r="CU71" s="78"/>
      <c r="CV71" s="78"/>
      <c r="CW71" s="78"/>
      <c r="CX71" s="78"/>
      <c r="CY71" s="78"/>
      <c r="CZ71" s="78"/>
      <c r="DA71" s="78"/>
      <c r="DB71" s="78"/>
      <c r="DC71" s="78"/>
      <c r="DD71" s="78"/>
      <c r="EJ71" s="78"/>
      <c r="EK71" s="78"/>
    </row>
    <row r="72" spans="7:141" ht="21" hidden="1" customHeight="1" thickBot="1" x14ac:dyDescent="0.25">
      <c r="G72" s="998"/>
      <c r="H72"/>
      <c r="I72"/>
      <c r="J72"/>
      <c r="K72"/>
      <c r="L72"/>
      <c r="M72"/>
      <c r="N72"/>
      <c r="O72" s="995"/>
      <c r="BN72" s="86"/>
      <c r="BO72" s="1091"/>
      <c r="BP72" s="177"/>
      <c r="BQ72" s="177"/>
      <c r="BR72" s="178"/>
      <c r="BS72" s="177"/>
      <c r="BT72" s="177"/>
      <c r="BU72" s="177"/>
      <c r="CA72" s="182">
        <v>9</v>
      </c>
      <c r="CB72" s="117" t="b">
        <f>IF(CJ83=20,1)</f>
        <v>0</v>
      </c>
      <c r="CC72" s="185"/>
      <c r="CD72" s="185"/>
      <c r="CE72" s="118"/>
      <c r="CF72" s="185"/>
      <c r="CG72" s="185"/>
      <c r="CH72" s="185"/>
      <c r="CI72" s="185"/>
      <c r="CJ72" s="185"/>
      <c r="CK72" s="185"/>
      <c r="CL72" s="185"/>
      <c r="CM72" s="185"/>
      <c r="CN72" s="185"/>
      <c r="CO72" s="118"/>
      <c r="CP72" s="118"/>
      <c r="CQ72" s="111"/>
      <c r="CR72" s="103" t="b">
        <f>IF(CJ83=20,17)</f>
        <v>0</v>
      </c>
      <c r="CS72" s="78"/>
      <c r="CT72" s="78"/>
      <c r="CU72" s="78"/>
      <c r="CV72" s="78"/>
      <c r="CW72" s="78"/>
      <c r="CX72" s="78"/>
      <c r="CY72" s="78"/>
      <c r="CZ72" s="78"/>
      <c r="DA72" s="78"/>
      <c r="DB72" s="78"/>
      <c r="DC72" s="78"/>
      <c r="DD72" s="78"/>
      <c r="EJ72" s="78"/>
      <c r="EK72" s="78"/>
    </row>
    <row r="73" spans="7:141" ht="21" hidden="1" customHeight="1" thickBot="1" x14ac:dyDescent="0.25">
      <c r="G73" s="998"/>
      <c r="H73"/>
      <c r="I73"/>
      <c r="J73"/>
      <c r="K73"/>
      <c r="L73"/>
      <c r="M73"/>
      <c r="N73"/>
      <c r="O73" s="995"/>
      <c r="BN73" s="86"/>
      <c r="BO73" s="1091"/>
      <c r="BP73" s="177"/>
      <c r="BQ73" s="177"/>
      <c r="BR73" s="178"/>
      <c r="BS73" s="177"/>
      <c r="BT73" s="177"/>
      <c r="BU73" s="177"/>
      <c r="CA73" s="182">
        <v>8</v>
      </c>
      <c r="CB73" s="120" t="b">
        <f>IF(CI83=19,1)</f>
        <v>0</v>
      </c>
      <c r="CC73" s="122"/>
      <c r="CD73" s="186"/>
      <c r="CE73" s="186"/>
      <c r="CF73" s="186"/>
      <c r="CG73" s="186"/>
      <c r="CH73" s="186"/>
      <c r="CI73" s="186"/>
      <c r="CJ73" s="186"/>
      <c r="CK73" s="186"/>
      <c r="CL73" s="186"/>
      <c r="CM73" s="186"/>
      <c r="CN73" s="186"/>
      <c r="CO73" s="122"/>
      <c r="CP73" s="124" t="b">
        <f>IF(CI83=19,15)</f>
        <v>0</v>
      </c>
      <c r="CQ73" s="78"/>
      <c r="CR73" s="78"/>
      <c r="CS73" s="78"/>
      <c r="CT73" s="78"/>
      <c r="CU73" s="78"/>
      <c r="CV73" s="78"/>
      <c r="CW73" s="78"/>
      <c r="CX73" s="78"/>
      <c r="CY73" s="78"/>
      <c r="CZ73" s="78"/>
      <c r="DA73" s="78"/>
      <c r="DB73" s="78"/>
      <c r="DC73" s="78"/>
      <c r="DD73" s="78"/>
      <c r="EJ73" s="78"/>
      <c r="EK73" s="78"/>
    </row>
    <row r="74" spans="7:141" ht="21" hidden="1" customHeight="1" thickBot="1" x14ac:dyDescent="0.25">
      <c r="G74" s="998"/>
      <c r="H74"/>
      <c r="I74"/>
      <c r="J74"/>
      <c r="K74"/>
      <c r="L74"/>
      <c r="M74"/>
      <c r="N74"/>
      <c r="O74" s="995"/>
      <c r="BN74" s="86"/>
      <c r="BO74" s="1091"/>
      <c r="BP74" s="177"/>
      <c r="BQ74" s="177"/>
      <c r="BR74" s="178"/>
      <c r="BS74" s="177"/>
      <c r="BT74" s="177"/>
      <c r="BU74" s="177"/>
      <c r="CA74" s="182">
        <v>7</v>
      </c>
      <c r="CB74" s="120">
        <f>IF(CH83=18,1)</f>
        <v>1</v>
      </c>
      <c r="CC74" s="186"/>
      <c r="CD74" s="186"/>
      <c r="CE74" s="186"/>
      <c r="CF74" s="186"/>
      <c r="CG74" s="186"/>
      <c r="CH74" s="186"/>
      <c r="CI74" s="186"/>
      <c r="CJ74" s="186"/>
      <c r="CK74" s="186"/>
      <c r="CL74" s="186"/>
      <c r="CM74" s="186"/>
      <c r="CN74" s="124">
        <f>IF(CH83=18,13)</f>
        <v>13</v>
      </c>
      <c r="CO74" s="178"/>
      <c r="CQ74" s="78"/>
      <c r="CR74" s="78"/>
      <c r="CS74" s="78"/>
      <c r="CT74" s="78"/>
      <c r="CU74" s="78"/>
      <c r="CV74" s="78"/>
      <c r="CW74" s="78"/>
      <c r="CX74" s="78"/>
      <c r="CY74" s="78"/>
      <c r="CZ74" s="78"/>
      <c r="DA74" s="78"/>
      <c r="DB74" s="78"/>
      <c r="DC74" s="78"/>
      <c r="DD74" s="78"/>
      <c r="EJ74" s="78"/>
      <c r="EK74" s="78"/>
    </row>
    <row r="75" spans="7:141" ht="21" hidden="1" customHeight="1" thickBot="1" x14ac:dyDescent="0.25">
      <c r="G75" s="998"/>
      <c r="H75"/>
      <c r="I75"/>
      <c r="J75"/>
      <c r="K75"/>
      <c r="L75"/>
      <c r="M75"/>
      <c r="N75"/>
      <c r="O75" s="995"/>
      <c r="BN75" s="86"/>
      <c r="BO75" s="1091"/>
      <c r="BP75" s="177"/>
      <c r="BQ75" s="177"/>
      <c r="BR75" s="178"/>
      <c r="BS75" s="177"/>
      <c r="BT75" s="177"/>
      <c r="BU75" s="177"/>
      <c r="CA75" s="182">
        <v>6</v>
      </c>
      <c r="CB75" s="120" t="b">
        <f>IF(CG83=17,1)</f>
        <v>0</v>
      </c>
      <c r="CC75" s="186"/>
      <c r="CD75" s="186"/>
      <c r="CE75" s="186"/>
      <c r="CF75" s="186"/>
      <c r="CG75" s="186"/>
      <c r="CH75" s="186"/>
      <c r="CI75" s="186"/>
      <c r="CJ75" s="186"/>
      <c r="CK75" s="186"/>
      <c r="CL75" s="124" t="b">
        <f>IF(CG83=17,11)</f>
        <v>0</v>
      </c>
      <c r="CM75" s="177"/>
      <c r="CN75" s="177"/>
      <c r="CO75" s="178"/>
      <c r="CQ75" s="78"/>
      <c r="CR75" s="78"/>
      <c r="CS75" s="78"/>
      <c r="CT75" s="78"/>
      <c r="CU75" s="78"/>
      <c r="CV75" s="78"/>
      <c r="CW75" s="78"/>
      <c r="CX75" s="78"/>
      <c r="CY75" s="78"/>
      <c r="CZ75" s="78"/>
      <c r="DA75" s="78"/>
      <c r="DB75" s="78"/>
      <c r="DC75" s="78"/>
      <c r="DD75" s="78"/>
      <c r="EJ75" s="78"/>
      <c r="EK75" s="78"/>
    </row>
    <row r="76" spans="7:141" ht="21" hidden="1" customHeight="1" thickBot="1" x14ac:dyDescent="0.25">
      <c r="G76" s="998"/>
      <c r="H76"/>
      <c r="I76"/>
      <c r="J76"/>
      <c r="K76"/>
      <c r="L76"/>
      <c r="M76"/>
      <c r="N76"/>
      <c r="O76" s="995"/>
      <c r="BN76" s="86"/>
      <c r="BO76" s="1091"/>
      <c r="BP76" s="177"/>
      <c r="BQ76" s="177"/>
      <c r="BR76" s="178"/>
      <c r="BS76" s="177"/>
      <c r="BT76" s="177"/>
      <c r="BU76" s="177"/>
      <c r="CA76" s="182">
        <v>5</v>
      </c>
      <c r="CB76" s="117" t="b">
        <f>IF(CF83=16,1)</f>
        <v>0</v>
      </c>
      <c r="CC76" s="185"/>
      <c r="CD76" s="185"/>
      <c r="CE76" s="118"/>
      <c r="CF76" s="185"/>
      <c r="CG76" s="118"/>
      <c r="CH76" s="185"/>
      <c r="CI76" s="185"/>
      <c r="CJ76" s="103" t="b">
        <f>IF(CF83=16,9)</f>
        <v>0</v>
      </c>
      <c r="CK76" s="177"/>
      <c r="CL76" s="177"/>
      <c r="CM76" s="177"/>
      <c r="CN76" s="177"/>
      <c r="CO76" s="178"/>
      <c r="CQ76" s="78"/>
      <c r="CR76" s="78"/>
      <c r="CS76" s="78"/>
      <c r="CT76" s="78"/>
      <c r="CU76" s="78"/>
      <c r="CV76" s="78"/>
      <c r="CW76" s="78"/>
      <c r="CX76" s="78"/>
      <c r="CY76" s="78"/>
      <c r="CZ76" s="78"/>
      <c r="DA76" s="78"/>
      <c r="DB76" s="78"/>
      <c r="DC76" s="78"/>
      <c r="DD76" s="78"/>
      <c r="EJ76" s="78"/>
      <c r="EK76" s="78"/>
    </row>
    <row r="77" spans="7:141" ht="21" hidden="1" customHeight="1" thickBot="1" x14ac:dyDescent="0.25">
      <c r="G77" s="998"/>
      <c r="H77"/>
      <c r="I77"/>
      <c r="J77"/>
      <c r="K77"/>
      <c r="L77"/>
      <c r="M77"/>
      <c r="N77"/>
      <c r="O77" s="995"/>
      <c r="BN77" s="86"/>
      <c r="BO77" s="1091"/>
      <c r="BP77" s="177"/>
      <c r="BQ77" s="177"/>
      <c r="BR77" s="178"/>
      <c r="BS77" s="177"/>
      <c r="BT77" s="177"/>
      <c r="BU77" s="177"/>
      <c r="CA77" s="182">
        <v>4</v>
      </c>
      <c r="CB77" s="117" t="b">
        <f>IF(CE83=15,1)</f>
        <v>0</v>
      </c>
      <c r="CC77" s="118"/>
      <c r="CD77" s="118"/>
      <c r="CE77" s="185"/>
      <c r="CF77" s="118"/>
      <c r="CG77" s="118"/>
      <c r="CH77" s="103" t="b">
        <f>IF(CE83=15,7)</f>
        <v>0</v>
      </c>
      <c r="CI77" s="177"/>
      <c r="CJ77" s="177"/>
      <c r="CK77" s="177"/>
      <c r="CL77" s="177"/>
      <c r="CM77" s="177"/>
      <c r="CN77" s="177"/>
      <c r="CO77" s="178"/>
      <c r="CQ77" s="78"/>
      <c r="CR77" s="78"/>
      <c r="CS77" s="78"/>
      <c r="CT77" s="78"/>
      <c r="CU77" s="78"/>
      <c r="CV77" s="78"/>
      <c r="CW77" s="78"/>
      <c r="CX77" s="78"/>
      <c r="CY77" s="78"/>
      <c r="CZ77" s="78"/>
      <c r="DA77" s="78"/>
      <c r="DB77" s="78"/>
      <c r="DC77" s="78"/>
      <c r="DD77" s="78"/>
      <c r="EJ77" s="78"/>
      <c r="EK77" s="78"/>
    </row>
    <row r="78" spans="7:141" ht="21" hidden="1" customHeight="1" thickBot="1" x14ac:dyDescent="0.25">
      <c r="G78" s="998"/>
      <c r="H78"/>
      <c r="I78"/>
      <c r="J78"/>
      <c r="K78"/>
      <c r="L78"/>
      <c r="M78"/>
      <c r="N78"/>
      <c r="O78" s="995"/>
      <c r="BN78" s="86"/>
      <c r="BO78" s="1091"/>
      <c r="BP78" s="177"/>
      <c r="BQ78" s="177"/>
      <c r="BR78" s="178"/>
      <c r="BS78" s="177"/>
      <c r="BT78" s="177"/>
      <c r="BU78" s="177"/>
      <c r="CA78" s="182">
        <v>3</v>
      </c>
      <c r="CB78" s="120" t="b">
        <f>IF(CD83=14,1)</f>
        <v>0</v>
      </c>
      <c r="CC78" s="186"/>
      <c r="CD78" s="186"/>
      <c r="CE78" s="186"/>
      <c r="CF78" s="124" t="b">
        <f>IF(CD83=14,5)</f>
        <v>0</v>
      </c>
      <c r="CG78" s="177"/>
      <c r="CH78" s="177"/>
      <c r="CI78" s="177"/>
      <c r="CJ78" s="177"/>
      <c r="CK78" s="177"/>
      <c r="CL78" s="177"/>
      <c r="CM78" s="177"/>
      <c r="CN78" s="177"/>
      <c r="CO78" s="178"/>
      <c r="CQ78" s="78"/>
      <c r="CR78" s="78"/>
      <c r="CS78" s="78"/>
      <c r="CT78" s="78"/>
      <c r="CU78" s="78"/>
      <c r="CV78" s="78"/>
      <c r="CW78" s="78"/>
      <c r="CX78" s="78"/>
      <c r="CY78" s="78"/>
      <c r="CZ78" s="78"/>
      <c r="DA78" s="78"/>
      <c r="DB78" s="78"/>
      <c r="DC78" s="78"/>
      <c r="DD78" s="78"/>
      <c r="EJ78" s="78"/>
      <c r="EK78" s="78"/>
    </row>
    <row r="79" spans="7:141" ht="21" hidden="1" customHeight="1" thickBot="1" x14ac:dyDescent="0.25">
      <c r="G79" s="1008"/>
      <c r="H79"/>
      <c r="I79"/>
      <c r="J79"/>
      <c r="K79"/>
      <c r="L79"/>
      <c r="M79"/>
      <c r="N79"/>
      <c r="O79" s="995"/>
      <c r="BN79" s="86"/>
      <c r="BO79" s="1091"/>
      <c r="BP79" s="177"/>
      <c r="BQ79" s="177"/>
      <c r="BR79" s="178"/>
      <c r="BS79" s="177"/>
      <c r="BT79" s="177"/>
      <c r="BU79" s="177"/>
      <c r="CA79" s="182">
        <v>2</v>
      </c>
      <c r="CB79" s="120" t="b">
        <f>IF(CC83=13,1)</f>
        <v>0</v>
      </c>
      <c r="CC79" s="186"/>
      <c r="CD79" s="124" t="b">
        <f>IF(CC83=13,3)</f>
        <v>0</v>
      </c>
      <c r="CE79" s="177"/>
      <c r="CF79" s="177"/>
      <c r="CG79" s="177"/>
      <c r="CH79" s="177"/>
      <c r="CI79" s="177"/>
      <c r="CJ79" s="177"/>
      <c r="CK79" s="177"/>
      <c r="CL79" s="177"/>
      <c r="CM79" s="177"/>
      <c r="CN79" s="177"/>
      <c r="CO79" s="178"/>
      <c r="CQ79" s="78"/>
      <c r="CR79" s="78"/>
      <c r="CS79" s="78"/>
      <c r="CT79" s="78"/>
      <c r="CU79" s="78"/>
      <c r="CV79" s="78"/>
      <c r="CW79" s="78"/>
      <c r="CX79" s="78"/>
      <c r="CY79" s="78"/>
      <c r="CZ79" s="78"/>
      <c r="DA79" s="78"/>
      <c r="DB79" s="78"/>
      <c r="DC79" s="78"/>
      <c r="DD79" s="78"/>
      <c r="EJ79" s="78"/>
      <c r="EK79" s="78"/>
    </row>
    <row r="80" spans="7:141" ht="16" hidden="1" customHeight="1" thickBot="1" x14ac:dyDescent="0.25">
      <c r="G80" s="998"/>
      <c r="H80"/>
      <c r="I80"/>
      <c r="J80"/>
      <c r="K80"/>
      <c r="L80"/>
      <c r="M80"/>
      <c r="N80"/>
      <c r="O80" s="995"/>
      <c r="BN80" s="86"/>
      <c r="BO80" s="1091"/>
      <c r="BP80" s="177"/>
      <c r="BQ80" s="177"/>
      <c r="BR80" s="178"/>
      <c r="BS80" s="177"/>
      <c r="BT80" s="177"/>
      <c r="BU80" s="177"/>
      <c r="BV80" s="76"/>
      <c r="BW80" s="177"/>
      <c r="CA80" s="177"/>
      <c r="CB80" s="177"/>
      <c r="CC80" s="177"/>
      <c r="CD80" s="177"/>
      <c r="CE80" s="177"/>
      <c r="CF80" s="177"/>
      <c r="CG80" s="177"/>
      <c r="CH80" s="177"/>
      <c r="CI80" s="177"/>
      <c r="CJ80" s="177"/>
      <c r="CK80" s="177"/>
      <c r="CL80" s="178"/>
      <c r="CM80" s="107"/>
      <c r="CN80" s="107"/>
      <c r="CO80" s="107"/>
      <c r="CQ80" s="78"/>
      <c r="CR80" s="78"/>
      <c r="CS80" s="78"/>
      <c r="CT80" s="78"/>
      <c r="CU80" s="78"/>
      <c r="CV80" s="78"/>
      <c r="CW80" s="78"/>
      <c r="CX80" s="78"/>
      <c r="CY80" s="78"/>
      <c r="CZ80" s="78"/>
      <c r="DA80" s="78"/>
      <c r="DB80" s="78"/>
      <c r="DC80" s="78"/>
      <c r="DD80" s="78"/>
      <c r="EJ80" s="78"/>
      <c r="EK80" s="78"/>
    </row>
    <row r="81" spans="2:108" ht="42" customHeight="1" thickBot="1" x14ac:dyDescent="0.3">
      <c r="G81" s="998"/>
      <c r="H81"/>
      <c r="I81"/>
      <c r="J81"/>
      <c r="K81"/>
      <c r="L81"/>
      <c r="M81"/>
      <c r="N81"/>
      <c r="O81" s="995"/>
      <c r="BM81" s="402"/>
      <c r="BN81" s="188"/>
      <c r="BO81" s="1095" t="s">
        <v>128</v>
      </c>
      <c r="BP81" s="746" t="s">
        <v>125</v>
      </c>
      <c r="BQ81" s="190"/>
      <c r="BR81" s="191"/>
      <c r="BS81" s="191"/>
      <c r="BT81" s="191"/>
      <c r="BU81" s="191"/>
      <c r="BV81" s="191"/>
      <c r="BW81" s="191"/>
      <c r="BX81" s="191"/>
      <c r="BY81" s="191"/>
      <c r="BZ81" s="191"/>
      <c r="CA81" s="191"/>
      <c r="CB81" s="758">
        <f>SUM(CB65:CB80)</f>
        <v>1</v>
      </c>
      <c r="CC81" s="759">
        <f t="shared" ref="CC81:CR81" si="0">SUM(CC65:CC80)</f>
        <v>0</v>
      </c>
      <c r="CD81" s="759">
        <f t="shared" si="0"/>
        <v>0</v>
      </c>
      <c r="CE81" s="759">
        <f t="shared" si="0"/>
        <v>0</v>
      </c>
      <c r="CF81" s="759">
        <f t="shared" si="0"/>
        <v>0</v>
      </c>
      <c r="CG81" s="759">
        <f t="shared" si="0"/>
        <v>0</v>
      </c>
      <c r="CH81" s="759">
        <f t="shared" si="0"/>
        <v>0</v>
      </c>
      <c r="CI81" s="759">
        <f t="shared" si="0"/>
        <v>0</v>
      </c>
      <c r="CJ81" s="759">
        <f t="shared" si="0"/>
        <v>0</v>
      </c>
      <c r="CK81" s="759">
        <f t="shared" si="0"/>
        <v>0</v>
      </c>
      <c r="CL81" s="759">
        <f t="shared" si="0"/>
        <v>0</v>
      </c>
      <c r="CM81" s="759">
        <f t="shared" si="0"/>
        <v>0</v>
      </c>
      <c r="CN81" s="759">
        <f t="shared" si="0"/>
        <v>13</v>
      </c>
      <c r="CO81" s="759">
        <f t="shared" si="0"/>
        <v>0</v>
      </c>
      <c r="CP81" s="759">
        <f t="shared" si="0"/>
        <v>0</v>
      </c>
      <c r="CQ81" s="759">
        <f t="shared" si="0"/>
        <v>0</v>
      </c>
      <c r="CR81" s="760">
        <f t="shared" si="0"/>
        <v>0</v>
      </c>
      <c r="CS81" s="191"/>
      <c r="CT81" s="191"/>
      <c r="CU81" s="192"/>
      <c r="CV81" s="192"/>
      <c r="CW81" s="192"/>
      <c r="CX81" s="192"/>
      <c r="CY81" s="192"/>
      <c r="CZ81" s="192"/>
      <c r="DA81" s="193"/>
      <c r="DB81" s="89"/>
      <c r="DC81" s="78"/>
      <c r="DD81" s="78"/>
    </row>
    <row r="82" spans="2:108" ht="42" customHeight="1" thickBot="1" x14ac:dyDescent="0.3">
      <c r="G82" s="998"/>
      <c r="H82"/>
      <c r="I82"/>
      <c r="J82"/>
      <c r="K82"/>
      <c r="L82"/>
      <c r="M82"/>
      <c r="N82"/>
      <c r="O82" s="995"/>
      <c r="BL82" s="968">
        <v>4</v>
      </c>
      <c r="BM82" s="1762" t="b">
        <f>AND(BO82&gt;=10,$BA$138&gt;=10,$AZ$138&gt;=10,$AZ$159&gt;=10,$BA$159&gt;=10)</f>
        <v>1</v>
      </c>
      <c r="BN82" s="84" t="str">
        <f>IF(BM82=TRUE,"O K","OVERLOAD")</f>
        <v>O K</v>
      </c>
      <c r="BO82" s="982">
        <f>+$E$20/(BQ51/2)</f>
        <v>96.501809408926405</v>
      </c>
      <c r="BP82" s="194"/>
      <c r="BQ82" s="107"/>
      <c r="BR82" s="108"/>
      <c r="BS82" s="107"/>
      <c r="BT82" s="107"/>
      <c r="BU82" s="107"/>
      <c r="BV82" s="108"/>
      <c r="BW82" s="107"/>
      <c r="BX82" s="107"/>
      <c r="BY82" s="107"/>
      <c r="BZ82" s="107"/>
      <c r="CA82" s="107"/>
      <c r="CB82" s="107"/>
      <c r="CC82" s="107"/>
      <c r="CD82" s="107"/>
      <c r="CE82" s="107"/>
      <c r="CF82" s="107"/>
      <c r="CG82" s="107"/>
      <c r="CH82" s="107"/>
      <c r="CI82" s="107"/>
      <c r="CJ82" s="107"/>
      <c r="CK82" s="107"/>
      <c r="CL82" s="107"/>
      <c r="CM82" s="107"/>
      <c r="CN82" s="107"/>
      <c r="CO82" s="107"/>
      <c r="CP82" s="107"/>
      <c r="CQ82" s="107"/>
      <c r="CR82" s="107"/>
      <c r="CS82" s="78"/>
      <c r="CT82" s="78"/>
      <c r="CU82" s="78"/>
      <c r="CV82" s="78"/>
      <c r="CW82" s="78"/>
      <c r="CX82" s="78"/>
      <c r="CY82" s="78"/>
      <c r="CZ82" s="78"/>
      <c r="DA82" s="78"/>
      <c r="DB82" s="78"/>
      <c r="DC82" s="78"/>
      <c r="DD82" s="78"/>
    </row>
    <row r="83" spans="2:108" ht="21" hidden="1" thickBot="1" x14ac:dyDescent="0.25">
      <c r="G83" s="998"/>
      <c r="H83"/>
      <c r="I83"/>
      <c r="J83"/>
      <c r="K83" s="988">
        <v>5</v>
      </c>
      <c r="L83"/>
      <c r="M83" s="988">
        <v>51</v>
      </c>
      <c r="N83"/>
      <c r="O83" s="995"/>
      <c r="BM83" s="402"/>
      <c r="BN83" s="188"/>
      <c r="BO83" s="1091"/>
      <c r="BP83" s="76"/>
      <c r="BQ83" s="195" t="b">
        <f>+BK191</f>
        <v>0</v>
      </c>
      <c r="BR83" s="195" t="b">
        <f>+BK192</f>
        <v>0</v>
      </c>
      <c r="BS83" s="195" t="b">
        <f>+BK193</f>
        <v>0</v>
      </c>
      <c r="BT83" s="195" t="b">
        <f>+BK194</f>
        <v>0</v>
      </c>
      <c r="BU83" s="195" t="b">
        <f>+BK195</f>
        <v>0</v>
      </c>
      <c r="BV83" s="195" t="b">
        <f>+BK196</f>
        <v>0</v>
      </c>
      <c r="BW83" s="195" t="b">
        <f>+BK197</f>
        <v>0</v>
      </c>
      <c r="BX83" s="195" t="b">
        <f>+BK198</f>
        <v>0</v>
      </c>
      <c r="BY83" s="195" t="b">
        <f>+BK199</f>
        <v>0</v>
      </c>
      <c r="BZ83" s="195" t="b">
        <f>+BK200</f>
        <v>0</v>
      </c>
      <c r="CA83" s="195" t="b">
        <f>+BK201</f>
        <v>0</v>
      </c>
      <c r="CB83" s="195" t="b">
        <f>+BK202</f>
        <v>0</v>
      </c>
      <c r="CC83" s="195" t="b">
        <f>+BK203</f>
        <v>0</v>
      </c>
      <c r="CD83" s="195" t="b">
        <f>+BK204</f>
        <v>0</v>
      </c>
      <c r="CE83" s="195" t="b">
        <f>+BK205</f>
        <v>0</v>
      </c>
      <c r="CF83" s="195" t="b">
        <f>+BK206</f>
        <v>0</v>
      </c>
      <c r="CG83" s="195" t="b">
        <f>+BK207</f>
        <v>0</v>
      </c>
      <c r="CH83" s="195">
        <f>+BK208</f>
        <v>18</v>
      </c>
      <c r="CI83" s="195" t="b">
        <f>+BK209</f>
        <v>0</v>
      </c>
      <c r="CJ83" s="195" t="b">
        <f>+BK210</f>
        <v>0</v>
      </c>
      <c r="CK83" s="195" t="b">
        <f>+BK211</f>
        <v>0</v>
      </c>
      <c r="CL83" s="195" t="b">
        <f>+BK212</f>
        <v>0</v>
      </c>
      <c r="CM83" s="195" t="b">
        <f>+BK213</f>
        <v>0</v>
      </c>
      <c r="CN83" s="195" t="b">
        <f>+BK214</f>
        <v>0</v>
      </c>
      <c r="CO83" s="195" t="b">
        <f>+BK215</f>
        <v>0</v>
      </c>
      <c r="CP83" s="195" t="b">
        <f>+BK216</f>
        <v>0</v>
      </c>
      <c r="CQ83" s="195" t="b">
        <f>+BK217</f>
        <v>0</v>
      </c>
      <c r="CR83" s="195" t="b">
        <f>+BK218</f>
        <v>0</v>
      </c>
      <c r="CS83" s="195" t="b">
        <f>+BK219</f>
        <v>0</v>
      </c>
      <c r="CT83" s="195" t="b">
        <f>+BK220</f>
        <v>0</v>
      </c>
      <c r="CU83" s="195" t="b">
        <f>+BK221</f>
        <v>0</v>
      </c>
      <c r="CV83" s="195" t="b">
        <f>+BK222</f>
        <v>0</v>
      </c>
      <c r="CW83" s="195" t="b">
        <f>+BK223</f>
        <v>0</v>
      </c>
      <c r="CX83" s="195" t="b">
        <f>+BK224</f>
        <v>0</v>
      </c>
      <c r="CY83" s="195" t="b">
        <f>+BK225</f>
        <v>0</v>
      </c>
      <c r="CZ83" s="195" t="b">
        <f>+BK226</f>
        <v>0</v>
      </c>
      <c r="DA83" s="195" t="b">
        <f>+BK227</f>
        <v>0</v>
      </c>
      <c r="DB83" s="196"/>
      <c r="DC83" s="78"/>
      <c r="DD83" s="78"/>
    </row>
    <row r="84" spans="2:108" ht="55.5" hidden="1" customHeight="1" thickBot="1" x14ac:dyDescent="0.25"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BM84" s="402"/>
      <c r="BN84" s="188"/>
      <c r="BO84" s="1091"/>
      <c r="BP84" s="78"/>
      <c r="BQ84" s="196" t="b">
        <f>+BQ83</f>
        <v>0</v>
      </c>
      <c r="BR84" s="196" t="b">
        <f t="shared" ref="BR84:CI84" si="1">+BR83</f>
        <v>0</v>
      </c>
      <c r="BS84" s="196" t="b">
        <f t="shared" si="1"/>
        <v>0</v>
      </c>
      <c r="BT84" s="196" t="b">
        <f t="shared" si="1"/>
        <v>0</v>
      </c>
      <c r="BU84" s="196" t="b">
        <f t="shared" si="1"/>
        <v>0</v>
      </c>
      <c r="BV84" s="196" t="b">
        <f t="shared" si="1"/>
        <v>0</v>
      </c>
      <c r="BW84" s="196" t="b">
        <f>+BW83</f>
        <v>0</v>
      </c>
      <c r="BX84" s="196" t="b">
        <f t="shared" si="1"/>
        <v>0</v>
      </c>
      <c r="BY84" s="196" t="b">
        <f t="shared" si="1"/>
        <v>0</v>
      </c>
      <c r="BZ84" s="196" t="b">
        <f t="shared" si="1"/>
        <v>0</v>
      </c>
      <c r="CA84" s="196" t="b">
        <f t="shared" si="1"/>
        <v>0</v>
      </c>
      <c r="CB84" s="196" t="b">
        <f>+CB83</f>
        <v>0</v>
      </c>
      <c r="CC84" s="196" t="b">
        <f>+CC83</f>
        <v>0</v>
      </c>
      <c r="CD84" s="196" t="b">
        <f>+CD83</f>
        <v>0</v>
      </c>
      <c r="CE84" s="196" t="b">
        <f>+CE83</f>
        <v>0</v>
      </c>
      <c r="CF84" s="196" t="b">
        <f>+CF83</f>
        <v>0</v>
      </c>
      <c r="CG84" s="196" t="b">
        <f t="shared" si="1"/>
        <v>0</v>
      </c>
      <c r="CH84" s="196">
        <f t="shared" si="1"/>
        <v>18</v>
      </c>
      <c r="CI84" s="196" t="b">
        <f t="shared" si="1"/>
        <v>0</v>
      </c>
      <c r="CJ84" s="196" t="b">
        <f>+CJ83</f>
        <v>0</v>
      </c>
      <c r="CK84" s="196" t="b">
        <f>+CK83</f>
        <v>0</v>
      </c>
      <c r="CL84" s="196" t="b">
        <f t="shared" ref="CL84:DA84" si="2">+CL83</f>
        <v>0</v>
      </c>
      <c r="CM84" s="196" t="b">
        <f t="shared" si="2"/>
        <v>0</v>
      </c>
      <c r="CN84" s="196" t="b">
        <f t="shared" si="2"/>
        <v>0</v>
      </c>
      <c r="CO84" s="196" t="b">
        <f t="shared" si="2"/>
        <v>0</v>
      </c>
      <c r="CP84" s="196" t="b">
        <f t="shared" si="2"/>
        <v>0</v>
      </c>
      <c r="CQ84" s="196" t="b">
        <f t="shared" si="2"/>
        <v>0</v>
      </c>
      <c r="CR84" s="196" t="b">
        <f t="shared" si="2"/>
        <v>0</v>
      </c>
      <c r="CS84" s="196" t="b">
        <f t="shared" si="2"/>
        <v>0</v>
      </c>
      <c r="CT84" s="196" t="b">
        <f t="shared" si="2"/>
        <v>0</v>
      </c>
      <c r="CU84" s="196" t="b">
        <f t="shared" si="2"/>
        <v>0</v>
      </c>
      <c r="CV84" s="196" t="b">
        <f t="shared" si="2"/>
        <v>0</v>
      </c>
      <c r="CW84" s="196" t="b">
        <f t="shared" si="2"/>
        <v>0</v>
      </c>
      <c r="CX84" s="196" t="b">
        <f t="shared" si="2"/>
        <v>0</v>
      </c>
      <c r="CY84" s="196" t="b">
        <f t="shared" si="2"/>
        <v>0</v>
      </c>
      <c r="CZ84" s="196" t="b">
        <f t="shared" si="2"/>
        <v>0</v>
      </c>
      <c r="DA84" s="196" t="b">
        <f t="shared" si="2"/>
        <v>0</v>
      </c>
      <c r="DB84" s="196"/>
      <c r="DC84" s="78"/>
      <c r="DD84" s="78"/>
    </row>
    <row r="85" spans="2:108" ht="18" customHeight="1" thickBot="1" x14ac:dyDescent="0.3">
      <c r="G85" s="998"/>
      <c r="H85"/>
      <c r="I85"/>
      <c r="J85" s="1087" t="s">
        <v>264</v>
      </c>
      <c r="K85" s="1080">
        <f>+MIN(J19:K20)</f>
        <v>48.250904704463203</v>
      </c>
      <c r="L85" s="1081">
        <f>+$E$20/(BQ51)</f>
        <v>48.250904704463203</v>
      </c>
      <c r="M85" s="1081">
        <f>+MIN(K25:L26)</f>
        <v>48.250904704463203</v>
      </c>
      <c r="N85"/>
      <c r="O85" s="995"/>
      <c r="BM85" s="402"/>
      <c r="BN85" s="188"/>
      <c r="BO85" s="1091"/>
      <c r="BP85" s="78"/>
      <c r="BQ85" s="196"/>
      <c r="BR85" s="196"/>
      <c r="BS85" s="196"/>
      <c r="BT85" s="196"/>
      <c r="BU85" s="196"/>
      <c r="BV85" s="196"/>
      <c r="BW85" s="196"/>
      <c r="BX85" s="196"/>
      <c r="BY85" s="196"/>
      <c r="BZ85" s="196"/>
      <c r="CA85" s="196"/>
      <c r="CB85" s="196"/>
      <c r="CC85" s="196"/>
      <c r="CD85" s="196"/>
      <c r="CE85" s="196"/>
      <c r="CF85" s="196"/>
      <c r="CG85" s="196"/>
      <c r="CH85" s="196"/>
      <c r="CI85" s="196"/>
      <c r="CJ85" s="196"/>
      <c r="CK85" s="196"/>
      <c r="CL85" s="196"/>
      <c r="CM85" s="196"/>
      <c r="CN85" s="196"/>
      <c r="CO85" s="196"/>
      <c r="CP85" s="196"/>
      <c r="CQ85" s="196"/>
      <c r="CR85" s="196"/>
      <c r="CS85" s="196"/>
      <c r="CT85" s="196"/>
      <c r="CU85" s="196"/>
      <c r="CV85" s="196"/>
      <c r="CW85" s="196"/>
      <c r="CX85" s="196"/>
      <c r="CY85" s="196"/>
      <c r="CZ85" s="196"/>
      <c r="DA85" s="196"/>
      <c r="DB85" s="196"/>
      <c r="DC85" s="78"/>
      <c r="DD85" s="78"/>
    </row>
    <row r="86" spans="2:108" ht="42" customHeight="1" thickBot="1" x14ac:dyDescent="0.3"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BM86" s="402"/>
      <c r="BN86" s="188"/>
      <c r="BO86" s="1095" t="s">
        <v>128</v>
      </c>
      <c r="BP86" s="197" t="s">
        <v>129</v>
      </c>
      <c r="BQ86" s="748" t="str">
        <f>IF(BQ84=1,17,"")</f>
        <v/>
      </c>
      <c r="BR86" s="749" t="str">
        <f>IF(BR84=2,16,"")</f>
        <v/>
      </c>
      <c r="BS86" s="749" t="str">
        <f>IF(BS84=3,15,"")</f>
        <v/>
      </c>
      <c r="BT86" s="749" t="str">
        <f>IF(BT84=4,14,"")</f>
        <v/>
      </c>
      <c r="BU86" s="749" t="str">
        <f>IF(BU84=5,13,"")</f>
        <v/>
      </c>
      <c r="BV86" s="749" t="str">
        <f>IF(BV84=6,12,"")</f>
        <v/>
      </c>
      <c r="BW86" s="749" t="str">
        <f>IF(BW84=7,11,"")</f>
        <v/>
      </c>
      <c r="BX86" s="749" t="str">
        <f>IF(BX84=8,10,"")</f>
        <v/>
      </c>
      <c r="BY86" s="749" t="str">
        <f>IF(BY84=9,9,"")</f>
        <v/>
      </c>
      <c r="BZ86" s="749" t="str">
        <f>IF(BZ84=10,8,"")</f>
        <v/>
      </c>
      <c r="CA86" s="749" t="str">
        <f>IF(CA84=11,7,"")</f>
        <v/>
      </c>
      <c r="CB86" s="928" t="str">
        <f>IF(CB84=12,1,"")</f>
        <v/>
      </c>
      <c r="CC86" s="747" t="str">
        <f>IF(CC84=13,2,"")</f>
        <v/>
      </c>
      <c r="CD86" s="747" t="str">
        <f>IF(CD84=14,3,"")</f>
        <v/>
      </c>
      <c r="CE86" s="747" t="str">
        <f>IF(CE84=15,4,"")</f>
        <v/>
      </c>
      <c r="CF86" s="747" t="str">
        <f>IF(CF84=16,5,"")</f>
        <v/>
      </c>
      <c r="CG86" s="747" t="str">
        <f>IF(CG84=17,6,"")</f>
        <v/>
      </c>
      <c r="CH86" s="747">
        <f>IF(CH84=18,7,"")</f>
        <v>7</v>
      </c>
      <c r="CI86" s="747" t="str">
        <f>IF(CI84=19,8,"")</f>
        <v/>
      </c>
      <c r="CJ86" s="747" t="str">
        <f>IF(CJ84=20,9,"")</f>
        <v/>
      </c>
      <c r="CK86" s="747" t="str">
        <f>IF(CK84=21,10,"")</f>
        <v/>
      </c>
      <c r="CL86" s="747" t="str">
        <f>IF(CL84=22,11,"")</f>
        <v/>
      </c>
      <c r="CM86" s="747" t="str">
        <f>IF(CM84=23,12,"")</f>
        <v/>
      </c>
      <c r="CN86" s="747" t="str">
        <f>IF(CN84=24,13,"")</f>
        <v/>
      </c>
      <c r="CO86" s="747" t="str">
        <f>IF(CO84=25,14,"")</f>
        <v/>
      </c>
      <c r="CP86" s="747" t="str">
        <f>IF(CP84=26,15,"")</f>
        <v/>
      </c>
      <c r="CQ86" s="747" t="str">
        <f>IF(CQ84=27,16,"")</f>
        <v/>
      </c>
      <c r="CR86" s="929" t="str">
        <f>IF(CR84=28,17,"")</f>
        <v/>
      </c>
      <c r="CS86" s="756" t="str">
        <f>IF(CS84=29,9,"")</f>
        <v/>
      </c>
      <c r="CT86" s="756" t="str">
        <f>IF(CT84=30,10,"")</f>
        <v/>
      </c>
      <c r="CU86" s="756" t="str">
        <f>IF(CU84=31,11,"")</f>
        <v/>
      </c>
      <c r="CV86" s="756" t="str">
        <f>IF(CV84=32,12,"")</f>
        <v/>
      </c>
      <c r="CW86" s="756" t="str">
        <f>IF(CW84=33,13,"")</f>
        <v/>
      </c>
      <c r="CX86" s="756" t="str">
        <f>IF(CX84=34,14,"")</f>
        <v/>
      </c>
      <c r="CY86" s="756" t="str">
        <f>IF(CY84=35,15,"")</f>
        <v/>
      </c>
      <c r="CZ86" s="756" t="str">
        <f>IF(CZ84=36,16,"")</f>
        <v/>
      </c>
      <c r="DA86" s="757" t="str">
        <f>IF(DA84=37,17,"")</f>
        <v/>
      </c>
      <c r="DB86" s="198"/>
      <c r="DC86" s="78"/>
      <c r="DD86" s="78"/>
    </row>
    <row r="87" spans="2:108" ht="42" customHeight="1" thickBot="1" x14ac:dyDescent="0.3">
      <c r="G87" s="998"/>
      <c r="H87"/>
      <c r="I87"/>
      <c r="J87"/>
      <c r="K87"/>
      <c r="L87"/>
      <c r="M87"/>
      <c r="N87"/>
      <c r="O87" s="995"/>
      <c r="BL87" s="968">
        <v>5</v>
      </c>
      <c r="BM87" s="1762" t="b">
        <f>AND(BO87&gt;=10,$BA$138&gt;=10,$AZ$138&gt;=10,$AZ$159&gt;=10,$BA$159&gt;=10)</f>
        <v>1</v>
      </c>
      <c r="BN87" s="84" t="str">
        <f>IF(BM87=TRUE,"O K","OVERLOAD")</f>
        <v>O K</v>
      </c>
      <c r="BO87" s="982">
        <f>IF(SUM(BQ86:CA86)&gt;0,K85,0)+IF(SUM(CB86:CR86)&gt;0,L85,0)+IF(SUM(CS86:DA86)&gt;0,M85,0)</f>
        <v>48.250904704463203</v>
      </c>
      <c r="BP87" s="788" t="s">
        <v>185</v>
      </c>
      <c r="BQ87" s="789">
        <v>-10</v>
      </c>
      <c r="BR87" s="789">
        <v>-9</v>
      </c>
      <c r="BS87" s="789">
        <v>-8</v>
      </c>
      <c r="BT87" s="789">
        <v>-7</v>
      </c>
      <c r="BU87" s="789">
        <v>-6</v>
      </c>
      <c r="BV87" s="789">
        <v>-5</v>
      </c>
      <c r="BW87" s="789">
        <v>-4</v>
      </c>
      <c r="BX87" s="789">
        <v>-3</v>
      </c>
      <c r="BY87" s="789">
        <v>-2</v>
      </c>
      <c r="BZ87" s="789">
        <v>-1</v>
      </c>
      <c r="CA87" s="789">
        <v>0</v>
      </c>
      <c r="CB87" s="789">
        <v>1</v>
      </c>
      <c r="CC87" s="789">
        <v>2</v>
      </c>
      <c r="CD87" s="789">
        <v>3</v>
      </c>
      <c r="CE87" s="789">
        <v>4</v>
      </c>
      <c r="CF87" s="789">
        <v>5</v>
      </c>
      <c r="CG87" s="789">
        <v>6</v>
      </c>
      <c r="CH87" s="789">
        <v>7</v>
      </c>
      <c r="CI87" s="789">
        <v>8</v>
      </c>
      <c r="CJ87" s="789">
        <v>9</v>
      </c>
      <c r="CK87" s="789">
        <v>10</v>
      </c>
      <c r="CL87" s="789">
        <v>11</v>
      </c>
      <c r="CM87" s="789">
        <v>12</v>
      </c>
      <c r="CN87" s="789">
        <v>13</v>
      </c>
      <c r="CO87" s="789">
        <v>14</v>
      </c>
      <c r="CP87" s="789">
        <v>15</v>
      </c>
      <c r="CQ87" s="789">
        <v>16</v>
      </c>
      <c r="CR87" s="789">
        <v>17</v>
      </c>
      <c r="CS87" s="789">
        <v>18</v>
      </c>
      <c r="CT87" s="789">
        <v>19</v>
      </c>
      <c r="CU87" s="789">
        <v>20</v>
      </c>
      <c r="CV87" s="789">
        <v>21</v>
      </c>
      <c r="CW87" s="789">
        <v>22</v>
      </c>
      <c r="CX87" s="789">
        <v>23</v>
      </c>
      <c r="CY87" s="789">
        <v>24</v>
      </c>
      <c r="CZ87" s="789">
        <v>25</v>
      </c>
      <c r="DA87" s="791">
        <v>26</v>
      </c>
      <c r="DB87" s="198"/>
      <c r="DC87" s="78"/>
      <c r="DD87" s="78"/>
    </row>
    <row r="88" spans="2:108" ht="64.5" hidden="1" customHeight="1" x14ac:dyDescent="0.2">
      <c r="B88" s="406"/>
      <c r="C88" s="406"/>
      <c r="D88" s="407"/>
      <c r="E88" s="407"/>
      <c r="F88" s="407"/>
      <c r="G88" s="998"/>
      <c r="H88"/>
      <c r="I88"/>
      <c r="J88"/>
      <c r="K88"/>
      <c r="L88"/>
      <c r="M88"/>
      <c r="N88"/>
      <c r="O88" s="995"/>
      <c r="BE88" s="136"/>
      <c r="BF88" s="136"/>
      <c r="BG88" s="136"/>
      <c r="BH88" s="136"/>
      <c r="BM88" s="402"/>
      <c r="BN88" s="136"/>
      <c r="BP88" s="78"/>
      <c r="BQ88" s="199">
        <v>1</v>
      </c>
      <c r="BR88" s="199">
        <v>2</v>
      </c>
      <c r="BS88" s="199">
        <v>3</v>
      </c>
      <c r="BT88" s="199">
        <v>4</v>
      </c>
      <c r="BU88" s="199">
        <v>5</v>
      </c>
      <c r="BV88" s="199">
        <v>6</v>
      </c>
      <c r="BW88" s="199">
        <v>7</v>
      </c>
      <c r="BX88" s="199">
        <v>8</v>
      </c>
      <c r="BY88" s="199">
        <v>9</v>
      </c>
      <c r="BZ88" s="199">
        <v>10</v>
      </c>
      <c r="CA88" s="199">
        <v>11</v>
      </c>
      <c r="CB88" s="199">
        <v>12</v>
      </c>
      <c r="CC88" s="199">
        <v>13</v>
      </c>
      <c r="CD88" s="199">
        <v>14</v>
      </c>
      <c r="CE88" s="199">
        <v>15</v>
      </c>
      <c r="CF88" s="199">
        <v>16</v>
      </c>
      <c r="CG88" s="199">
        <v>17</v>
      </c>
      <c r="CH88" s="199">
        <v>18</v>
      </c>
      <c r="CI88" s="199">
        <v>19</v>
      </c>
      <c r="CJ88" s="199">
        <v>20</v>
      </c>
      <c r="CK88" s="199">
        <v>21</v>
      </c>
      <c r="CL88" s="199">
        <v>22</v>
      </c>
      <c r="CM88" s="199">
        <v>23</v>
      </c>
      <c r="CN88" s="199">
        <v>24</v>
      </c>
      <c r="CO88" s="199">
        <v>25</v>
      </c>
      <c r="CP88" s="199">
        <v>26</v>
      </c>
      <c r="CQ88" s="199">
        <v>27</v>
      </c>
      <c r="CR88" s="199">
        <v>28</v>
      </c>
      <c r="CS88" s="199">
        <v>29</v>
      </c>
      <c r="CT88" s="199">
        <v>30</v>
      </c>
      <c r="CU88" s="199">
        <v>31</v>
      </c>
      <c r="CV88" s="199">
        <v>32</v>
      </c>
      <c r="CW88" s="199">
        <v>33</v>
      </c>
      <c r="CX88" s="199">
        <v>34</v>
      </c>
      <c r="CY88" s="199">
        <v>35</v>
      </c>
      <c r="CZ88" s="199">
        <v>36</v>
      </c>
      <c r="DA88" s="199">
        <v>37</v>
      </c>
      <c r="DB88" s="199"/>
      <c r="DC88" s="78"/>
      <c r="DD88" s="78"/>
    </row>
    <row r="89" spans="2:108" ht="163.5" customHeight="1" thickBot="1" x14ac:dyDescent="0.3">
      <c r="E89" s="397"/>
      <c r="F89" s="397"/>
      <c r="G89" s="998"/>
      <c r="H89"/>
      <c r="I89"/>
      <c r="J89"/>
      <c r="K89"/>
      <c r="L89"/>
      <c r="M89"/>
      <c r="N89"/>
      <c r="O89" s="995"/>
      <c r="U89" s="114"/>
      <c r="AB89" s="114"/>
      <c r="AC89" s="114"/>
      <c r="AD89" s="114"/>
      <c r="AE89" s="114"/>
      <c r="BN89" s="86"/>
      <c r="BO89" s="18"/>
      <c r="BP89" s="96"/>
      <c r="BQ89" s="89"/>
      <c r="BR89" s="89"/>
      <c r="BS89" s="89"/>
      <c r="BT89" s="89"/>
      <c r="BU89" s="89"/>
      <c r="BV89" s="89"/>
      <c r="BW89" s="89"/>
      <c r="BX89" s="89"/>
      <c r="BY89" s="89"/>
      <c r="BZ89" s="94"/>
      <c r="CA89" s="89"/>
      <c r="CB89" s="89"/>
      <c r="CC89" s="89"/>
      <c r="CD89" s="89"/>
      <c r="CE89" s="89"/>
      <c r="CF89" s="89"/>
      <c r="CG89" s="89"/>
      <c r="CH89" s="89"/>
      <c r="CI89" s="89"/>
      <c r="CJ89" s="89"/>
      <c r="CK89" s="89"/>
      <c r="CL89" s="89"/>
      <c r="CM89" s="89"/>
      <c r="CN89" s="37"/>
      <c r="CO89" s="95"/>
      <c r="CP89" s="95"/>
      <c r="CQ89" s="95"/>
      <c r="CR89" s="95"/>
      <c r="CS89" s="92"/>
      <c r="CT89" s="92"/>
      <c r="CU89" s="92"/>
      <c r="CV89" s="92"/>
      <c r="CW89" s="92"/>
      <c r="CX89" s="92"/>
      <c r="CY89" s="92"/>
      <c r="CZ89" s="92"/>
      <c r="DA89" s="92"/>
      <c r="DB89" s="92"/>
      <c r="DC89" s="17"/>
      <c r="DD89" s="78"/>
    </row>
    <row r="90" spans="2:108" ht="24" hidden="1" thickBot="1" x14ac:dyDescent="0.3">
      <c r="D90" s="397"/>
      <c r="E90" s="397"/>
      <c r="F90" s="397"/>
      <c r="G90" s="998"/>
      <c r="H90"/>
      <c r="I90"/>
      <c r="J90"/>
      <c r="K90"/>
      <c r="L90"/>
      <c r="M90"/>
      <c r="N90"/>
      <c r="O90" s="995"/>
      <c r="U90" s="114"/>
      <c r="AB90" s="114"/>
      <c r="AC90" s="114"/>
      <c r="AD90" s="114"/>
      <c r="AE90" s="114"/>
      <c r="BN90" s="86"/>
      <c r="BO90" s="18"/>
      <c r="BP90" s="96">
        <v>36</v>
      </c>
      <c r="BQ90" s="97"/>
      <c r="BR90" s="97"/>
      <c r="BS90" s="97"/>
      <c r="BT90" s="97"/>
      <c r="BU90" s="97"/>
      <c r="BV90" s="97"/>
      <c r="BW90" s="97"/>
      <c r="BX90" s="97"/>
      <c r="BY90" s="94"/>
      <c r="BZ90" s="94"/>
      <c r="CA90" s="89"/>
      <c r="CB90" s="89"/>
      <c r="CC90" s="89"/>
      <c r="CD90" s="89"/>
      <c r="CE90" s="89"/>
      <c r="CF90" s="89"/>
      <c r="CG90" s="89"/>
      <c r="CH90" s="98"/>
      <c r="CI90" s="99"/>
      <c r="CJ90" s="100"/>
      <c r="CK90" s="89"/>
      <c r="CL90" s="89"/>
      <c r="CM90" s="89"/>
      <c r="CN90" s="37"/>
      <c r="CO90" s="95"/>
      <c r="CP90" s="95"/>
      <c r="CQ90" s="95"/>
      <c r="CR90" s="95"/>
      <c r="CS90" s="92"/>
      <c r="CT90" s="92"/>
      <c r="CU90" s="92"/>
      <c r="CV90" s="92"/>
      <c r="CW90" s="92"/>
      <c r="CX90" s="92"/>
      <c r="CY90" s="101" t="b">
        <f>IF(CZ83=36,35)</f>
        <v>0</v>
      </c>
      <c r="CZ90" s="102"/>
      <c r="DA90" s="103" t="b">
        <f>IF(CZ83=36,37)</f>
        <v>0</v>
      </c>
      <c r="DB90" s="92"/>
      <c r="DC90" s="17"/>
      <c r="DD90" s="78"/>
    </row>
    <row r="91" spans="2:108" ht="24" hidden="1" thickBot="1" x14ac:dyDescent="0.3">
      <c r="D91" s="397"/>
      <c r="E91" s="397"/>
      <c r="F91" s="397"/>
      <c r="G91" s="998"/>
      <c r="H91"/>
      <c r="I91"/>
      <c r="J91"/>
      <c r="K91"/>
      <c r="L91"/>
      <c r="M91"/>
      <c r="N91"/>
      <c r="O91" s="995"/>
      <c r="U91" s="114"/>
      <c r="AB91" s="114"/>
      <c r="AC91" s="114"/>
      <c r="AD91" s="114"/>
      <c r="AE91" s="114"/>
      <c r="BN91" s="86"/>
      <c r="BO91" s="18"/>
      <c r="BP91" s="96">
        <v>35</v>
      </c>
      <c r="BQ91" s="97"/>
      <c r="BR91" s="97"/>
      <c r="BS91" s="97"/>
      <c r="BT91" s="97"/>
      <c r="BU91" s="97"/>
      <c r="BV91" s="97"/>
      <c r="BW91" s="97"/>
      <c r="BX91" s="97"/>
      <c r="BY91" s="94"/>
      <c r="BZ91" s="94"/>
      <c r="CA91" s="89"/>
      <c r="CB91" s="89"/>
      <c r="CC91" s="89"/>
      <c r="CD91" s="89"/>
      <c r="CE91" s="89"/>
      <c r="CF91" s="89"/>
      <c r="CG91" s="89"/>
      <c r="CH91" s="104"/>
      <c r="CI91" s="89"/>
      <c r="CJ91" s="105"/>
      <c r="CK91" s="89"/>
      <c r="CL91" s="89"/>
      <c r="CM91" s="89"/>
      <c r="CN91" s="37"/>
      <c r="CO91" s="95"/>
      <c r="CP91" s="95"/>
      <c r="CQ91" s="95"/>
      <c r="CR91" s="95"/>
      <c r="CS91" s="92"/>
      <c r="CT91" s="92"/>
      <c r="CU91" s="92"/>
      <c r="CV91" s="92"/>
      <c r="CW91" s="101" t="b">
        <f>IF(CY83=35,33)</f>
        <v>0</v>
      </c>
      <c r="CX91" s="102"/>
      <c r="CY91" s="102"/>
      <c r="CZ91" s="102"/>
      <c r="DA91" s="103" t="b">
        <f>IF(CY83=35,37)</f>
        <v>0</v>
      </c>
      <c r="DB91" s="92"/>
      <c r="DC91" s="17"/>
      <c r="DD91" s="78"/>
    </row>
    <row r="92" spans="2:108" ht="24" hidden="1" thickBot="1" x14ac:dyDescent="0.3">
      <c r="B92" s="399"/>
      <c r="C92" s="399"/>
      <c r="D92" s="397"/>
      <c r="E92" s="397"/>
      <c r="F92" s="397"/>
      <c r="G92" s="998"/>
      <c r="H92"/>
      <c r="I92"/>
      <c r="J92"/>
      <c r="K92"/>
      <c r="L92"/>
      <c r="M92"/>
      <c r="N92"/>
      <c r="O92" s="995"/>
      <c r="U92" s="114"/>
      <c r="AB92" s="114"/>
      <c r="AC92" s="114"/>
      <c r="AD92" s="114"/>
      <c r="AE92" s="114"/>
      <c r="BN92" s="86"/>
      <c r="BO92" s="18"/>
      <c r="BP92" s="96">
        <v>34</v>
      </c>
      <c r="BQ92" s="97"/>
      <c r="BR92" s="97"/>
      <c r="BS92" s="97"/>
      <c r="BT92" s="97"/>
      <c r="BU92" s="97"/>
      <c r="BV92" s="97"/>
      <c r="BW92" s="97"/>
      <c r="BX92" s="97"/>
      <c r="BY92" s="94"/>
      <c r="BZ92" s="94"/>
      <c r="CA92" s="89"/>
      <c r="CB92" s="89"/>
      <c r="CC92" s="89"/>
      <c r="CD92" s="89"/>
      <c r="CE92" s="89"/>
      <c r="CF92" s="89"/>
      <c r="CG92" s="89"/>
      <c r="CH92" s="104"/>
      <c r="CI92" s="89"/>
      <c r="CJ92" s="105"/>
      <c r="CK92" s="89"/>
      <c r="CL92" s="89"/>
      <c r="CM92" s="89"/>
      <c r="CN92" s="37"/>
      <c r="CO92" s="95"/>
      <c r="CP92" s="95"/>
      <c r="CQ92" s="95"/>
      <c r="CR92" s="95"/>
      <c r="CS92" s="92"/>
      <c r="CT92" s="92"/>
      <c r="CU92" s="101" t="b">
        <f>IF(CX83=34,31)</f>
        <v>0</v>
      </c>
      <c r="CV92" s="102"/>
      <c r="CW92" s="102"/>
      <c r="CX92" s="102"/>
      <c r="CY92" s="102"/>
      <c r="CZ92" s="102"/>
      <c r="DA92" s="103" t="b">
        <f>IF(CX83=34,37)</f>
        <v>0</v>
      </c>
      <c r="DB92" s="92"/>
      <c r="DC92" s="17"/>
      <c r="DD92" s="78"/>
    </row>
    <row r="93" spans="2:108" ht="24" hidden="1" thickBot="1" x14ac:dyDescent="0.3">
      <c r="B93" s="399"/>
      <c r="C93" s="399"/>
      <c r="D93" s="397"/>
      <c r="E93" s="397"/>
      <c r="F93" s="397"/>
      <c r="G93" s="998"/>
      <c r="H93"/>
      <c r="I93"/>
      <c r="J93"/>
      <c r="K93"/>
      <c r="L93"/>
      <c r="M93"/>
      <c r="N93"/>
      <c r="O93" s="995"/>
      <c r="U93" s="114"/>
      <c r="AB93" s="114"/>
      <c r="AC93" s="114"/>
      <c r="AD93" s="114"/>
      <c r="AE93" s="114"/>
      <c r="BN93" s="86"/>
      <c r="BO93" s="18"/>
      <c r="BP93" s="96">
        <v>33</v>
      </c>
      <c r="BQ93" s="97"/>
      <c r="BR93" s="97"/>
      <c r="BS93" s="97"/>
      <c r="BT93" s="97"/>
      <c r="BU93" s="97"/>
      <c r="BV93" s="97"/>
      <c r="BW93" s="97"/>
      <c r="BX93" s="97"/>
      <c r="BY93" s="94"/>
      <c r="BZ93" s="94"/>
      <c r="CA93" s="89"/>
      <c r="CB93" s="89"/>
      <c r="CC93" s="89"/>
      <c r="CD93" s="89"/>
      <c r="CE93" s="89"/>
      <c r="CF93" s="89"/>
      <c r="CG93" s="89"/>
      <c r="CH93" s="104"/>
      <c r="CI93" s="89"/>
      <c r="CJ93" s="105"/>
      <c r="CK93" s="89"/>
      <c r="CL93" s="89"/>
      <c r="CM93" s="89"/>
      <c r="CN93" s="37"/>
      <c r="CO93" s="95"/>
      <c r="CP93" s="95"/>
      <c r="CQ93" s="95"/>
      <c r="CR93" s="95"/>
      <c r="CS93" s="101" t="b">
        <f>IF(CW83=33,29)</f>
        <v>0</v>
      </c>
      <c r="CT93" s="102"/>
      <c r="CU93" s="102"/>
      <c r="CV93" s="102"/>
      <c r="CW93" s="102"/>
      <c r="CX93" s="102"/>
      <c r="CY93" s="102"/>
      <c r="CZ93" s="102"/>
      <c r="DA93" s="103" t="b">
        <f>IF(CW83=33,37)</f>
        <v>0</v>
      </c>
      <c r="DB93" s="92"/>
      <c r="DC93" s="17"/>
      <c r="DD93" s="78"/>
    </row>
    <row r="94" spans="2:108" ht="21" hidden="1" thickBot="1" x14ac:dyDescent="0.25">
      <c r="B94" s="401"/>
      <c r="E94" s="397"/>
      <c r="F94" s="397"/>
      <c r="G94" s="998"/>
      <c r="H94"/>
      <c r="I94"/>
      <c r="J94"/>
      <c r="K94"/>
      <c r="L94"/>
      <c r="M94"/>
      <c r="N94"/>
      <c r="O94" s="995"/>
      <c r="U94" s="114"/>
      <c r="AB94" s="114"/>
      <c r="AC94" s="114"/>
      <c r="AD94" s="114"/>
      <c r="AE94" s="114"/>
      <c r="BN94" s="86"/>
      <c r="BP94" s="96">
        <v>32</v>
      </c>
      <c r="BQ94" s="107"/>
      <c r="BR94" s="107"/>
      <c r="BS94" s="107"/>
      <c r="BT94" s="107"/>
      <c r="BU94" s="107"/>
      <c r="BV94" s="108"/>
      <c r="BW94" s="107"/>
      <c r="BX94" s="107"/>
      <c r="BY94" s="107"/>
      <c r="BZ94" s="107"/>
      <c r="CA94" s="107"/>
      <c r="CB94" s="107"/>
      <c r="CC94" s="107"/>
      <c r="CD94" s="107"/>
      <c r="CE94" s="107"/>
      <c r="CF94" s="107"/>
      <c r="CG94" s="107"/>
      <c r="CH94" s="109"/>
      <c r="CI94" s="107"/>
      <c r="CJ94" s="110"/>
      <c r="CK94" s="107"/>
      <c r="CL94" s="107"/>
      <c r="CM94" s="107"/>
      <c r="CN94" s="108"/>
      <c r="CO94" s="78"/>
      <c r="CP94" s="78"/>
      <c r="CQ94" s="101" t="b">
        <f>IF(CV83=32,27)</f>
        <v>0</v>
      </c>
      <c r="CR94" s="111"/>
      <c r="CS94" s="111"/>
      <c r="CT94" s="111"/>
      <c r="CU94" s="111"/>
      <c r="CV94" s="111"/>
      <c r="CW94" s="111"/>
      <c r="CX94" s="111"/>
      <c r="CY94" s="111"/>
      <c r="CZ94" s="111"/>
      <c r="DA94" s="103" t="b">
        <f>IF(CV83=32,37)</f>
        <v>0</v>
      </c>
      <c r="DB94" s="78"/>
      <c r="DC94" s="78"/>
      <c r="DD94" s="78"/>
    </row>
    <row r="95" spans="2:108" ht="21" hidden="1" thickBot="1" x14ac:dyDescent="0.25">
      <c r="B95" s="64"/>
      <c r="C95" s="399"/>
      <c r="D95" s="397"/>
      <c r="E95" s="64"/>
      <c r="G95" s="998"/>
      <c r="H95"/>
      <c r="I95"/>
      <c r="J95"/>
      <c r="K95"/>
      <c r="L95"/>
      <c r="M95"/>
      <c r="N95"/>
      <c r="O95" s="995"/>
      <c r="U95" s="114"/>
      <c r="AB95" s="114"/>
      <c r="AC95" s="114"/>
      <c r="AD95" s="114"/>
      <c r="AE95" s="114"/>
      <c r="BN95" s="86"/>
      <c r="BP95" s="96">
        <v>31</v>
      </c>
      <c r="BQ95" s="107"/>
      <c r="BR95" s="107"/>
      <c r="BS95" s="107"/>
      <c r="BT95" s="107"/>
      <c r="BU95" s="107"/>
      <c r="BV95" s="108"/>
      <c r="BW95" s="107"/>
      <c r="BX95" s="107"/>
      <c r="BY95" s="107"/>
      <c r="BZ95" s="107"/>
      <c r="CA95" s="107"/>
      <c r="CB95" s="107"/>
      <c r="CC95" s="107"/>
      <c r="CD95" s="107"/>
      <c r="CE95" s="107"/>
      <c r="CF95" s="107"/>
      <c r="CG95" s="107"/>
      <c r="CH95" s="109"/>
      <c r="CI95" s="107"/>
      <c r="CJ95" s="110"/>
      <c r="CK95" s="107"/>
      <c r="CL95" s="107"/>
      <c r="CM95" s="107"/>
      <c r="CN95" s="108"/>
      <c r="CO95" s="101" t="b">
        <f>IF(CU83=31,25)</f>
        <v>0</v>
      </c>
      <c r="CP95" s="111"/>
      <c r="CQ95" s="111"/>
      <c r="CR95" s="111"/>
      <c r="CS95" s="111"/>
      <c r="CT95" s="111"/>
      <c r="CU95" s="111"/>
      <c r="CV95" s="111"/>
      <c r="CW95" s="111"/>
      <c r="CX95" s="111"/>
      <c r="CY95" s="111"/>
      <c r="CZ95" s="111"/>
      <c r="DA95" s="103" t="b">
        <f>IF(CU83=31,37)</f>
        <v>0</v>
      </c>
      <c r="DB95" s="78"/>
      <c r="DC95" s="78"/>
      <c r="DD95" s="78"/>
    </row>
    <row r="96" spans="2:108" ht="21" hidden="1" thickBot="1" x14ac:dyDescent="0.25">
      <c r="B96" s="399"/>
      <c r="C96" s="399"/>
      <c r="D96" s="397"/>
      <c r="E96" s="397"/>
      <c r="F96" s="397"/>
      <c r="G96" s="998"/>
      <c r="H96"/>
      <c r="I96"/>
      <c r="J96"/>
      <c r="K96"/>
      <c r="L96"/>
      <c r="M96"/>
      <c r="N96"/>
      <c r="O96" s="995"/>
      <c r="U96" s="114"/>
      <c r="AB96" s="114"/>
      <c r="AC96" s="114"/>
      <c r="AD96" s="114"/>
      <c r="AE96" s="114"/>
      <c r="BN96" s="86"/>
      <c r="BP96" s="96">
        <v>30</v>
      </c>
      <c r="BQ96" s="107"/>
      <c r="BR96" s="107"/>
      <c r="BS96" s="107"/>
      <c r="BT96" s="107"/>
      <c r="BU96" s="107"/>
      <c r="BV96" s="108"/>
      <c r="BW96" s="107"/>
      <c r="BX96" s="107"/>
      <c r="BY96" s="107"/>
      <c r="BZ96" s="107"/>
      <c r="CA96" s="107"/>
      <c r="CB96" s="107"/>
      <c r="CC96" s="107"/>
      <c r="CD96" s="107"/>
      <c r="CE96" s="107"/>
      <c r="CF96" s="107"/>
      <c r="CG96" s="107"/>
      <c r="CH96" s="109"/>
      <c r="CI96" s="107"/>
      <c r="CJ96" s="110"/>
      <c r="CK96" s="107"/>
      <c r="CL96" s="107"/>
      <c r="CM96" s="101" t="b">
        <f>IF(CT83=30,23)</f>
        <v>0</v>
      </c>
      <c r="CN96" s="112"/>
      <c r="CO96" s="111"/>
      <c r="CP96" s="111"/>
      <c r="CQ96" s="111"/>
      <c r="CR96" s="111"/>
      <c r="CS96" s="111"/>
      <c r="CT96" s="111"/>
      <c r="CU96" s="111"/>
      <c r="CV96" s="111"/>
      <c r="CW96" s="111"/>
      <c r="CX96" s="111"/>
      <c r="CY96" s="111"/>
      <c r="CZ96" s="111"/>
      <c r="DA96" s="103" t="b">
        <f>IF(CT83=30,37)</f>
        <v>0</v>
      </c>
      <c r="DB96" s="78"/>
      <c r="DC96" s="78"/>
      <c r="DD96" s="78"/>
    </row>
    <row r="97" spans="2:143" ht="21" hidden="1" thickBot="1" x14ac:dyDescent="0.25">
      <c r="B97" s="19"/>
      <c r="C97" s="399"/>
      <c r="E97" s="19"/>
      <c r="G97" s="998"/>
      <c r="H97"/>
      <c r="I97"/>
      <c r="J97"/>
      <c r="K97"/>
      <c r="L97"/>
      <c r="M97"/>
      <c r="N97"/>
      <c r="O97" s="995"/>
      <c r="U97" s="114"/>
      <c r="AB97" s="114"/>
      <c r="AC97" s="114"/>
      <c r="AD97" s="114"/>
      <c r="AE97" s="114"/>
      <c r="BE97" s="114"/>
      <c r="BF97" s="114"/>
      <c r="BG97" s="114"/>
      <c r="BH97" s="114"/>
      <c r="BN97" s="86"/>
      <c r="BO97" s="114"/>
      <c r="BP97" s="96">
        <v>29</v>
      </c>
      <c r="BQ97" s="78"/>
      <c r="BR97" s="78"/>
      <c r="BS97" s="78"/>
      <c r="BT97" s="78"/>
      <c r="BU97" s="78"/>
      <c r="BV97" s="78"/>
      <c r="BW97" s="78"/>
      <c r="BX97" s="78"/>
      <c r="BY97" s="78"/>
      <c r="BZ97" s="78"/>
      <c r="CA97" s="78"/>
      <c r="CB97" s="78"/>
      <c r="CC97" s="78"/>
      <c r="CD97" s="78"/>
      <c r="CE97" s="78"/>
      <c r="CF97" s="78"/>
      <c r="CG97" s="78"/>
      <c r="CH97" s="115"/>
      <c r="CI97" s="78"/>
      <c r="CJ97" s="116"/>
      <c r="CK97" s="117" t="b">
        <f>IF(CS83=29,21)</f>
        <v>0</v>
      </c>
      <c r="CL97" s="111"/>
      <c r="CM97" s="111"/>
      <c r="CN97" s="111"/>
      <c r="CO97" s="111"/>
      <c r="CP97" s="111"/>
      <c r="CQ97" s="111"/>
      <c r="CR97" s="118"/>
      <c r="CS97" s="111"/>
      <c r="CT97" s="118"/>
      <c r="CU97" s="119"/>
      <c r="CV97" s="119"/>
      <c r="CW97" s="119"/>
      <c r="CX97" s="119"/>
      <c r="CY97" s="119"/>
      <c r="CZ97" s="119"/>
      <c r="DA97" s="103" t="b">
        <f>IF(CS83=29,37)</f>
        <v>0</v>
      </c>
      <c r="DB97" s="76"/>
      <c r="DC97" s="78"/>
      <c r="DD97" s="78"/>
    </row>
    <row r="98" spans="2:143" ht="31" hidden="1" thickBot="1" x14ac:dyDescent="0.35">
      <c r="B98" s="67"/>
      <c r="C98" s="399"/>
      <c r="E98" s="68"/>
      <c r="G98" s="998"/>
      <c r="H98"/>
      <c r="I98"/>
      <c r="J98"/>
      <c r="K98"/>
      <c r="L98"/>
      <c r="M98"/>
      <c r="N98"/>
      <c r="O98" s="995"/>
      <c r="U98" s="114"/>
      <c r="AB98" s="114"/>
      <c r="AC98" s="114"/>
      <c r="AD98" s="114"/>
      <c r="AE98" s="114"/>
      <c r="BE98" s="114"/>
      <c r="BF98" s="114"/>
      <c r="BG98" s="114"/>
      <c r="BH98" s="114"/>
      <c r="BN98" s="86"/>
      <c r="BO98" s="114"/>
      <c r="BP98" s="96">
        <v>28</v>
      </c>
      <c r="BQ98" s="78"/>
      <c r="BR98" s="78"/>
      <c r="BS98" s="78"/>
      <c r="BT98" s="78"/>
      <c r="BU98" s="78"/>
      <c r="BV98" s="78"/>
      <c r="BW98" s="78"/>
      <c r="BX98" s="78"/>
      <c r="BY98" s="78"/>
      <c r="BZ98" s="78"/>
      <c r="CA98" s="78"/>
      <c r="CB98" s="78"/>
      <c r="CC98" s="78"/>
      <c r="CD98" s="78"/>
      <c r="CE98" s="78"/>
      <c r="CF98" s="78"/>
      <c r="CG98" s="78"/>
      <c r="CH98" s="115"/>
      <c r="CI98" s="78"/>
      <c r="CJ98" s="116"/>
      <c r="CK98" s="120" t="b">
        <f>IF(CR83=28,21)</f>
        <v>0</v>
      </c>
      <c r="CL98" s="121"/>
      <c r="CM98" s="121"/>
      <c r="CN98" s="121"/>
      <c r="CO98" s="121"/>
      <c r="CP98" s="122"/>
      <c r="CQ98" s="121"/>
      <c r="CR98" s="121"/>
      <c r="CS98" s="121"/>
      <c r="CT98" s="122"/>
      <c r="CU98" s="123"/>
      <c r="CV98" s="123"/>
      <c r="CW98" s="123"/>
      <c r="CX98" s="123"/>
      <c r="CY98" s="124" t="b">
        <f>IF(CR83=28,35)</f>
        <v>0</v>
      </c>
      <c r="CZ98" s="76"/>
      <c r="DA98" s="76"/>
      <c r="DB98" s="76"/>
      <c r="DC98" s="78"/>
      <c r="DD98" s="78"/>
    </row>
    <row r="99" spans="2:143" ht="21" hidden="1" thickBot="1" x14ac:dyDescent="0.25">
      <c r="B99" s="399"/>
      <c r="C99" s="399"/>
      <c r="D99" s="397"/>
      <c r="E99" s="397"/>
      <c r="F99" s="397"/>
      <c r="G99" s="998"/>
      <c r="H99"/>
      <c r="I99"/>
      <c r="J99"/>
      <c r="K99"/>
      <c r="L99"/>
      <c r="M99"/>
      <c r="N99"/>
      <c r="O99" s="995"/>
      <c r="U99" s="114"/>
      <c r="AB99" s="114"/>
      <c r="AC99" s="114"/>
      <c r="AD99" s="114"/>
      <c r="AE99" s="114"/>
      <c r="BE99" s="114"/>
      <c r="BF99" s="114"/>
      <c r="BG99" s="114"/>
      <c r="BH99" s="114"/>
      <c r="BN99" s="86"/>
      <c r="BO99" s="114"/>
      <c r="BP99" s="96">
        <v>27</v>
      </c>
      <c r="BQ99" s="78"/>
      <c r="BR99" s="78"/>
      <c r="BS99" s="78"/>
      <c r="BT99" s="78"/>
      <c r="BU99" s="78"/>
      <c r="BV99" s="78"/>
      <c r="BW99" s="78"/>
      <c r="BX99" s="78"/>
      <c r="BY99" s="78"/>
      <c r="BZ99" s="78"/>
      <c r="CA99" s="78"/>
      <c r="CB99" s="78"/>
      <c r="CC99" s="78"/>
      <c r="CD99" s="78"/>
      <c r="CE99" s="78"/>
      <c r="CF99" s="78"/>
      <c r="CG99" s="78"/>
      <c r="CH99" s="115"/>
      <c r="CI99" s="78"/>
      <c r="CJ99" s="116"/>
      <c r="CK99" s="120" t="b">
        <f>IF(CQ83=27,21)</f>
        <v>0</v>
      </c>
      <c r="CL99" s="121"/>
      <c r="CM99" s="121"/>
      <c r="CN99" s="122"/>
      <c r="CO99" s="121"/>
      <c r="CP99" s="121"/>
      <c r="CQ99" s="121"/>
      <c r="CR99" s="121"/>
      <c r="CS99" s="121"/>
      <c r="CT99" s="122"/>
      <c r="CU99" s="123"/>
      <c r="CV99" s="123"/>
      <c r="CW99" s="124" t="b">
        <f>IF(CQ83=27,33)</f>
        <v>0</v>
      </c>
      <c r="CX99" s="76"/>
      <c r="CY99" s="76"/>
      <c r="CZ99" s="76"/>
      <c r="DA99" s="76"/>
      <c r="DB99" s="76"/>
      <c r="DC99" s="78"/>
      <c r="DD99" s="78"/>
    </row>
    <row r="100" spans="2:143" ht="21" hidden="1" thickBot="1" x14ac:dyDescent="0.25">
      <c r="B100" s="399"/>
      <c r="C100" s="399"/>
      <c r="D100" s="397"/>
      <c r="E100" s="397"/>
      <c r="F100" s="397"/>
      <c r="G100" s="998"/>
      <c r="H100"/>
      <c r="I100"/>
      <c r="J100"/>
      <c r="K100"/>
      <c r="L100"/>
      <c r="M100"/>
      <c r="N100"/>
      <c r="O100" s="995"/>
      <c r="U100" s="114"/>
      <c r="AB100" s="114"/>
      <c r="AC100" s="114"/>
      <c r="AD100" s="114"/>
      <c r="AE100" s="114"/>
      <c r="BN100" s="86"/>
      <c r="BP100" s="96">
        <v>26</v>
      </c>
      <c r="BQ100" s="78"/>
      <c r="BR100" s="78"/>
      <c r="BS100" s="78"/>
      <c r="BT100" s="78"/>
      <c r="BU100" s="78"/>
      <c r="BV100" s="78"/>
      <c r="BW100" s="78"/>
      <c r="BX100" s="78"/>
      <c r="BY100" s="78"/>
      <c r="BZ100" s="78"/>
      <c r="CA100" s="78"/>
      <c r="CB100" s="78"/>
      <c r="CC100" s="78"/>
      <c r="CD100" s="78"/>
      <c r="CE100" s="78"/>
      <c r="CF100" s="78"/>
      <c r="CG100" s="78"/>
      <c r="CH100" s="115"/>
      <c r="CI100" s="78"/>
      <c r="CJ100" s="116"/>
      <c r="CK100" s="120" t="b">
        <f>IF(CP83=26,21)</f>
        <v>0</v>
      </c>
      <c r="CL100" s="122"/>
      <c r="CM100" s="121"/>
      <c r="CN100" s="121"/>
      <c r="CO100" s="121"/>
      <c r="CP100" s="121"/>
      <c r="CQ100" s="121"/>
      <c r="CR100" s="121"/>
      <c r="CS100" s="121"/>
      <c r="CT100" s="122"/>
      <c r="CU100" s="124" t="b">
        <f>IF(CP83=26,31)</f>
        <v>0</v>
      </c>
      <c r="CV100" s="76"/>
      <c r="CW100" s="76"/>
      <c r="CX100" s="76"/>
      <c r="CY100" s="76"/>
      <c r="CZ100" s="76"/>
      <c r="DA100" s="76"/>
      <c r="DB100" s="76"/>
      <c r="DC100" s="78"/>
      <c r="DD100" s="78"/>
    </row>
    <row r="101" spans="2:143" ht="21" hidden="1" thickBot="1" x14ac:dyDescent="0.25">
      <c r="B101" s="399"/>
      <c r="C101" s="399"/>
      <c r="D101" s="397"/>
      <c r="E101" s="397"/>
      <c r="F101" s="397"/>
      <c r="G101" s="998"/>
      <c r="H101"/>
      <c r="I101"/>
      <c r="J101"/>
      <c r="K101"/>
      <c r="L101"/>
      <c r="M101"/>
      <c r="N101"/>
      <c r="O101" s="995"/>
      <c r="U101" s="114"/>
      <c r="AB101" s="114"/>
      <c r="AC101" s="114"/>
      <c r="AD101" s="114"/>
      <c r="AE101" s="114"/>
      <c r="BE101" s="126"/>
      <c r="BF101" s="126"/>
      <c r="BG101" s="126"/>
      <c r="BH101" s="126"/>
      <c r="BN101" s="86"/>
      <c r="BO101" s="126"/>
      <c r="BP101" s="96">
        <v>25</v>
      </c>
      <c r="BQ101" s="78"/>
      <c r="BR101" s="78"/>
      <c r="BS101" s="78"/>
      <c r="BT101" s="78"/>
      <c r="BU101" s="78"/>
      <c r="BV101" s="78"/>
      <c r="BW101" s="78"/>
      <c r="BX101" s="78"/>
      <c r="BY101" s="78"/>
      <c r="BZ101" s="78"/>
      <c r="CA101" s="78"/>
      <c r="CC101" s="78"/>
      <c r="CD101" s="78"/>
      <c r="CE101" s="78"/>
      <c r="CF101" s="78"/>
      <c r="CG101" s="78"/>
      <c r="CH101" s="115"/>
      <c r="CI101" s="78"/>
      <c r="CK101" s="128" t="b">
        <f>IF(CO83=25,21)</f>
        <v>0</v>
      </c>
      <c r="CL101" s="121"/>
      <c r="CM101" s="121"/>
      <c r="CN101" s="121"/>
      <c r="CO101" s="121"/>
      <c r="CP101" s="121"/>
      <c r="CQ101" s="121"/>
      <c r="CR101" s="121"/>
      <c r="CS101" s="124" t="b">
        <f>IF(CO83=25,29)</f>
        <v>0</v>
      </c>
      <c r="CU101" s="76"/>
      <c r="CV101" s="76"/>
      <c r="CW101" s="76"/>
      <c r="CX101" s="76"/>
      <c r="CY101" s="76"/>
      <c r="CZ101" s="76"/>
      <c r="DA101" s="76"/>
      <c r="DB101" s="76"/>
      <c r="DC101" s="78"/>
      <c r="DD101" s="78"/>
    </row>
    <row r="102" spans="2:143" ht="21" hidden="1" thickBot="1" x14ac:dyDescent="0.25">
      <c r="B102" s="399"/>
      <c r="C102" s="399"/>
      <c r="D102" s="397"/>
      <c r="E102" s="397"/>
      <c r="F102" s="397"/>
      <c r="G102" s="998"/>
      <c r="H102"/>
      <c r="I102"/>
      <c r="J102"/>
      <c r="K102"/>
      <c r="L102"/>
      <c r="M102"/>
      <c r="N102"/>
      <c r="O102" s="995"/>
      <c r="U102" s="114"/>
      <c r="AB102" s="114"/>
      <c r="AC102" s="114"/>
      <c r="AD102" s="114"/>
      <c r="AE102" s="114"/>
      <c r="BE102" s="126"/>
      <c r="BF102" s="126"/>
      <c r="BG102" s="126"/>
      <c r="BH102" s="126"/>
      <c r="BN102" s="86"/>
      <c r="BO102" s="126"/>
      <c r="BP102" s="96">
        <v>24</v>
      </c>
      <c r="BQ102" s="78"/>
      <c r="BR102" s="78"/>
      <c r="BS102" s="78"/>
      <c r="BT102" s="78"/>
      <c r="BU102" s="78"/>
      <c r="BV102" s="78"/>
      <c r="BW102" s="78"/>
      <c r="BX102" s="78"/>
      <c r="BY102" s="78"/>
      <c r="BZ102" s="78"/>
      <c r="CA102" s="78"/>
      <c r="CB102" s="117" t="b">
        <f>IF(CN83=24,12)</f>
        <v>0</v>
      </c>
      <c r="CC102" s="111"/>
      <c r="CD102" s="111"/>
      <c r="CE102" s="111"/>
      <c r="CF102" s="111"/>
      <c r="CG102" s="111"/>
      <c r="CH102" s="118"/>
      <c r="CI102" s="111"/>
      <c r="CJ102" s="129"/>
      <c r="CK102" s="111"/>
      <c r="CL102" s="111"/>
      <c r="CM102" s="111"/>
      <c r="CN102" s="111"/>
      <c r="CO102" s="111"/>
      <c r="CP102" s="111"/>
      <c r="CQ102" s="111"/>
      <c r="CR102" s="111"/>
      <c r="CS102" s="111"/>
      <c r="CT102" s="118"/>
      <c r="CU102" s="119"/>
      <c r="CV102" s="119"/>
      <c r="CW102" s="119"/>
      <c r="CX102" s="119"/>
      <c r="CY102" s="119"/>
      <c r="CZ102" s="103" t="b">
        <f>IF(CN83=24,36)</f>
        <v>0</v>
      </c>
      <c r="DA102" s="76"/>
      <c r="DB102" s="76"/>
      <c r="DC102" s="78"/>
      <c r="DD102" s="78"/>
    </row>
    <row r="103" spans="2:143" ht="21" hidden="1" thickBot="1" x14ac:dyDescent="0.25">
      <c r="B103" s="399"/>
      <c r="C103" s="399"/>
      <c r="D103" s="397"/>
      <c r="E103" s="397"/>
      <c r="F103" s="397"/>
      <c r="G103" s="998"/>
      <c r="H103"/>
      <c r="I103"/>
      <c r="J103"/>
      <c r="K103"/>
      <c r="L103"/>
      <c r="M103"/>
      <c r="N103"/>
      <c r="O103" s="995"/>
      <c r="U103" s="114"/>
      <c r="AB103" s="114"/>
      <c r="AC103" s="114"/>
      <c r="AD103" s="114"/>
      <c r="AE103" s="114"/>
      <c r="BE103" s="126"/>
      <c r="BF103" s="126"/>
      <c r="BG103" s="126"/>
      <c r="BH103" s="126"/>
      <c r="BN103" s="86"/>
      <c r="BO103" s="126"/>
      <c r="BP103" s="96">
        <v>23</v>
      </c>
      <c r="BQ103" s="78"/>
      <c r="BR103" s="78"/>
      <c r="BS103" s="78"/>
      <c r="BT103" s="78"/>
      <c r="BU103" s="78"/>
      <c r="BV103" s="78"/>
      <c r="BW103" s="78"/>
      <c r="BX103" s="78"/>
      <c r="BY103" s="78"/>
      <c r="BZ103" s="78"/>
      <c r="CA103" s="78"/>
      <c r="CB103" s="120" t="b">
        <f>IF(CM83=23,12)</f>
        <v>0</v>
      </c>
      <c r="CC103" s="121"/>
      <c r="CD103" s="121"/>
      <c r="CE103" s="121"/>
      <c r="CF103" s="122"/>
      <c r="CG103" s="121"/>
      <c r="CH103" s="132"/>
      <c r="CI103" s="121"/>
      <c r="CJ103" s="133"/>
      <c r="CK103" s="121"/>
      <c r="CL103" s="121"/>
      <c r="CM103" s="121"/>
      <c r="CN103" s="121"/>
      <c r="CO103" s="121"/>
      <c r="CP103" s="121"/>
      <c r="CQ103" s="121"/>
      <c r="CR103" s="121"/>
      <c r="CS103" s="121"/>
      <c r="CT103" s="122"/>
      <c r="CU103" s="123"/>
      <c r="CV103" s="123"/>
      <c r="CW103" s="123"/>
      <c r="CX103" s="124" t="b">
        <f>IF(CM83=23,34)</f>
        <v>0</v>
      </c>
      <c r="CY103" s="76"/>
      <c r="CZ103" s="76"/>
      <c r="DA103" s="76"/>
      <c r="DB103" s="76"/>
      <c r="DC103" s="78"/>
      <c r="DD103" s="78"/>
    </row>
    <row r="104" spans="2:143" ht="21" hidden="1" thickBot="1" x14ac:dyDescent="0.25">
      <c r="B104" s="399"/>
      <c r="C104" s="399"/>
      <c r="D104" s="397"/>
      <c r="E104" s="397"/>
      <c r="F104" s="397"/>
      <c r="G104" s="998"/>
      <c r="H104"/>
      <c r="I104"/>
      <c r="J104"/>
      <c r="K104"/>
      <c r="L104"/>
      <c r="M104"/>
      <c r="N104"/>
      <c r="O104" s="995"/>
      <c r="U104" s="114"/>
      <c r="AB104" s="114"/>
      <c r="AC104" s="114"/>
      <c r="AD104" s="114"/>
      <c r="AE104" s="114"/>
      <c r="BE104" s="126"/>
      <c r="BF104" s="126"/>
      <c r="BG104" s="126"/>
      <c r="BH104" s="126"/>
      <c r="BN104" s="86"/>
      <c r="BO104" s="126"/>
      <c r="BP104" s="96">
        <v>22</v>
      </c>
      <c r="BQ104" s="76"/>
      <c r="BR104" s="76"/>
      <c r="BS104" s="76"/>
      <c r="BT104" s="76"/>
      <c r="BU104" s="76"/>
      <c r="BV104" s="76"/>
      <c r="BW104" s="76"/>
      <c r="BX104" s="76"/>
      <c r="BY104" s="76"/>
      <c r="BZ104" s="76"/>
      <c r="CA104" s="76"/>
      <c r="CB104" s="120" t="b">
        <f>IF(CL83=22,12)</f>
        <v>0</v>
      </c>
      <c r="CC104" s="123"/>
      <c r="CD104" s="123"/>
      <c r="CE104" s="123"/>
      <c r="CF104" s="122"/>
      <c r="CG104" s="123"/>
      <c r="CH104" s="134"/>
      <c r="CI104" s="123"/>
      <c r="CJ104" s="135"/>
      <c r="CK104" s="123"/>
      <c r="CL104" s="123"/>
      <c r="CM104" s="123"/>
      <c r="CN104" s="123"/>
      <c r="CO104" s="121"/>
      <c r="CP104" s="121"/>
      <c r="CQ104" s="122"/>
      <c r="CR104" s="121"/>
      <c r="CS104" s="121"/>
      <c r="CT104" s="121"/>
      <c r="CU104" s="121"/>
      <c r="CV104" s="124" t="b">
        <f>IF(CL83=22,32)</f>
        <v>0</v>
      </c>
      <c r="CW104" s="78"/>
      <c r="CX104" s="78"/>
      <c r="CY104" s="78"/>
      <c r="CZ104" s="78"/>
      <c r="DA104" s="78"/>
      <c r="DB104" s="78"/>
      <c r="DC104" s="78"/>
      <c r="DD104" s="78"/>
    </row>
    <row r="105" spans="2:143" ht="21" hidden="1" thickBot="1" x14ac:dyDescent="0.25">
      <c r="B105" s="399"/>
      <c r="C105" s="399"/>
      <c r="D105" s="397"/>
      <c r="E105" s="397"/>
      <c r="F105" s="397"/>
      <c r="G105" s="998"/>
      <c r="H105"/>
      <c r="I105"/>
      <c r="J105"/>
      <c r="K105"/>
      <c r="L105"/>
      <c r="M105"/>
      <c r="N105"/>
      <c r="O105" s="995"/>
      <c r="U105" s="114"/>
      <c r="AB105" s="114"/>
      <c r="AC105" s="114"/>
      <c r="AD105" s="114"/>
      <c r="AE105" s="114"/>
      <c r="BE105" s="126"/>
      <c r="BF105" s="126"/>
      <c r="BG105" s="126"/>
      <c r="BH105" s="126"/>
      <c r="BN105" s="86"/>
      <c r="BO105" s="126"/>
      <c r="BP105" s="96">
        <v>21</v>
      </c>
      <c r="BQ105" s="78"/>
      <c r="BR105" s="78"/>
      <c r="BS105" s="78"/>
      <c r="BT105" s="78"/>
      <c r="BU105" s="78"/>
      <c r="BV105" s="78"/>
      <c r="BW105" s="78"/>
      <c r="BX105" s="78"/>
      <c r="BY105" s="78"/>
      <c r="BZ105" s="78"/>
      <c r="CA105" s="78"/>
      <c r="CB105" s="120" t="b">
        <f>IF(CK83=21,12)</f>
        <v>0</v>
      </c>
      <c r="CC105" s="121"/>
      <c r="CD105" s="121"/>
      <c r="CE105" s="121"/>
      <c r="CF105" s="121"/>
      <c r="CG105" s="121"/>
      <c r="CH105" s="132"/>
      <c r="CI105" s="121"/>
      <c r="CJ105" s="133"/>
      <c r="CK105" s="121"/>
      <c r="CL105" s="121"/>
      <c r="CM105" s="121"/>
      <c r="CN105" s="121"/>
      <c r="CO105" s="121"/>
      <c r="CP105" s="121"/>
      <c r="CQ105" s="121"/>
      <c r="CR105" s="121"/>
      <c r="CS105" s="121"/>
      <c r="CT105" s="124" t="b">
        <f>IF(CK83=21,30)</f>
        <v>0</v>
      </c>
      <c r="CU105" s="76"/>
      <c r="CV105" s="76"/>
      <c r="CW105" s="76"/>
      <c r="CX105" s="76"/>
      <c r="CY105" s="76"/>
      <c r="CZ105" s="76"/>
      <c r="DA105" s="76"/>
      <c r="DB105" s="76"/>
      <c r="DC105" s="78"/>
      <c r="DD105" s="78"/>
    </row>
    <row r="106" spans="2:143" ht="21" hidden="1" thickBot="1" x14ac:dyDescent="0.25">
      <c r="B106" s="399"/>
      <c r="C106" s="399"/>
      <c r="D106" s="397"/>
      <c r="E106" s="397"/>
      <c r="F106" s="397"/>
      <c r="G106" s="998"/>
      <c r="H106"/>
      <c r="I106"/>
      <c r="J106"/>
      <c r="K106"/>
      <c r="L106"/>
      <c r="M106"/>
      <c r="N106"/>
      <c r="O106" s="995"/>
      <c r="U106" s="114"/>
      <c r="AB106" s="114"/>
      <c r="AC106" s="114"/>
      <c r="AD106" s="114"/>
      <c r="AE106" s="114"/>
      <c r="BE106" s="136"/>
      <c r="BF106" s="136"/>
      <c r="BG106" s="136"/>
      <c r="BH106" s="136"/>
      <c r="BN106" s="86"/>
      <c r="BO106" s="1091"/>
      <c r="BP106" s="96">
        <v>20</v>
      </c>
      <c r="BQ106" s="78"/>
      <c r="BR106" s="78"/>
      <c r="BS106" s="78"/>
      <c r="BT106" s="78"/>
      <c r="BU106" s="78"/>
      <c r="BV106" s="78"/>
      <c r="BW106" s="78"/>
      <c r="BX106" s="78"/>
      <c r="CA106" s="137"/>
      <c r="CB106" s="117" t="b">
        <f>IF(CJ83=20,12)</f>
        <v>0</v>
      </c>
      <c r="CC106" s="111"/>
      <c r="CD106" s="111"/>
      <c r="CE106" s="111"/>
      <c r="CF106" s="111"/>
      <c r="CG106" s="111"/>
      <c r="CH106" s="138"/>
      <c r="CI106" s="111"/>
      <c r="CJ106" s="129"/>
      <c r="CK106" s="111"/>
      <c r="CL106" s="111"/>
      <c r="CM106" s="111"/>
      <c r="CN106" s="111"/>
      <c r="CO106" s="111"/>
      <c r="CP106" s="111"/>
      <c r="CQ106" s="111"/>
      <c r="CR106" s="103" t="b">
        <f>IF(CJ83=20,28)</f>
        <v>0</v>
      </c>
      <c r="CS106" s="137"/>
      <c r="CU106" s="76"/>
      <c r="CV106" s="76"/>
      <c r="CW106" s="76"/>
      <c r="CX106" s="76"/>
      <c r="CY106" s="76"/>
      <c r="CZ106" s="76"/>
      <c r="DA106" s="76"/>
      <c r="DB106" s="76"/>
      <c r="DC106" s="78"/>
      <c r="DD106" s="78"/>
    </row>
    <row r="107" spans="2:143" ht="21" hidden="1" thickBot="1" x14ac:dyDescent="0.25">
      <c r="B107" s="399"/>
      <c r="C107" s="399"/>
      <c r="D107" s="397"/>
      <c r="E107" s="397"/>
      <c r="F107" s="397"/>
      <c r="G107" s="998"/>
      <c r="H107"/>
      <c r="I107"/>
      <c r="J107"/>
      <c r="K107"/>
      <c r="L107"/>
      <c r="M107"/>
      <c r="N107"/>
      <c r="O107" s="995"/>
      <c r="U107" s="114"/>
      <c r="AB107" s="114"/>
      <c r="AC107" s="114"/>
      <c r="AD107" s="114"/>
      <c r="AE107" s="114"/>
      <c r="BE107" s="136"/>
      <c r="BF107" s="136"/>
      <c r="BG107" s="136"/>
      <c r="BH107" s="136"/>
      <c r="BN107" s="86"/>
      <c r="BO107" s="1091"/>
      <c r="BP107" s="96">
        <v>19</v>
      </c>
      <c r="BQ107" s="78"/>
      <c r="BR107" s="78"/>
      <c r="BS107" s="78"/>
      <c r="BT107" s="78"/>
      <c r="BU107" s="78"/>
      <c r="BV107" s="78"/>
      <c r="BW107" s="78"/>
      <c r="BX107" s="78"/>
      <c r="BZ107" s="139"/>
      <c r="CA107" s="139"/>
      <c r="CB107" s="117" t="b">
        <f>IF(CI83=19,12)</f>
        <v>0</v>
      </c>
      <c r="CC107" s="119"/>
      <c r="CD107" s="119"/>
      <c r="CE107" s="118"/>
      <c r="CF107" s="119"/>
      <c r="CG107" s="119"/>
      <c r="CH107" s="140"/>
      <c r="CI107" s="119"/>
      <c r="CJ107" s="141"/>
      <c r="CK107" s="118"/>
      <c r="CL107" s="119"/>
      <c r="CM107" s="119"/>
      <c r="CN107" s="119"/>
      <c r="CO107" s="111"/>
      <c r="CP107" s="103" t="b">
        <f>IF(CI83=19,26)</f>
        <v>0</v>
      </c>
      <c r="CQ107" s="142"/>
      <c r="CR107" s="137"/>
      <c r="CT107" s="78"/>
      <c r="CU107" s="78"/>
      <c r="CV107" s="78"/>
      <c r="CW107" s="78"/>
      <c r="CX107" s="78"/>
      <c r="CY107" s="78"/>
      <c r="CZ107" s="78"/>
      <c r="DA107" s="78"/>
      <c r="DB107" s="78"/>
      <c r="DC107" s="78"/>
      <c r="DD107" s="78"/>
    </row>
    <row r="108" spans="2:143" ht="21" hidden="1" thickBot="1" x14ac:dyDescent="0.25">
      <c r="B108" s="399"/>
      <c r="C108" s="399"/>
      <c r="D108" s="397"/>
      <c r="E108" s="397"/>
      <c r="F108" s="397"/>
      <c r="G108" s="998"/>
      <c r="H108"/>
      <c r="I108"/>
      <c r="J108"/>
      <c r="K108"/>
      <c r="L108"/>
      <c r="M108"/>
      <c r="N108"/>
      <c r="O108" s="995"/>
      <c r="U108" s="114"/>
      <c r="AB108" s="114"/>
      <c r="AC108" s="114"/>
      <c r="AD108" s="114"/>
      <c r="AE108" s="114"/>
      <c r="BE108" s="136"/>
      <c r="BF108" s="136"/>
      <c r="BG108" s="136"/>
      <c r="BH108" s="136"/>
      <c r="BN108" s="86"/>
      <c r="BO108" s="1091"/>
      <c r="BP108" s="96">
        <v>18</v>
      </c>
      <c r="BQ108" s="76"/>
      <c r="BR108" s="76"/>
      <c r="BS108" s="76"/>
      <c r="BT108" s="76"/>
      <c r="BU108" s="76"/>
      <c r="BV108" s="76"/>
      <c r="BW108" s="76"/>
      <c r="BX108" s="76"/>
      <c r="BZ108" s="117">
        <f>IF(CH83=18,10)</f>
        <v>10</v>
      </c>
      <c r="CA108" s="119"/>
      <c r="CB108" s="119"/>
      <c r="CC108" s="119"/>
      <c r="CD108" s="119"/>
      <c r="CE108" s="118"/>
      <c r="CF108" s="119"/>
      <c r="CG108" s="119"/>
      <c r="CH108" s="140"/>
      <c r="CI108" s="119"/>
      <c r="CJ108" s="141"/>
      <c r="CK108" s="118"/>
      <c r="CL108" s="119"/>
      <c r="CM108" s="119"/>
      <c r="CN108" s="119"/>
      <c r="CO108" s="111"/>
      <c r="CP108" s="103">
        <f>IF(CH83=18,26)</f>
        <v>26</v>
      </c>
      <c r="CR108" s="78"/>
      <c r="CS108" s="78"/>
      <c r="CT108" s="78"/>
      <c r="CU108" s="78"/>
      <c r="CV108" s="78"/>
      <c r="CW108" s="78"/>
      <c r="CX108" s="78"/>
      <c r="CY108" s="78"/>
      <c r="CZ108" s="78"/>
      <c r="DA108" s="78"/>
      <c r="DB108" s="78"/>
      <c r="DC108" s="78"/>
      <c r="DD108" s="78"/>
    </row>
    <row r="109" spans="2:143" ht="21" hidden="1" thickBot="1" x14ac:dyDescent="0.25">
      <c r="B109" s="399"/>
      <c r="C109" s="399"/>
      <c r="D109" s="397"/>
      <c r="E109" s="397"/>
      <c r="F109" s="397"/>
      <c r="G109" s="998"/>
      <c r="H109"/>
      <c r="I109"/>
      <c r="J109"/>
      <c r="K109"/>
      <c r="L109"/>
      <c r="M109"/>
      <c r="N109"/>
      <c r="O109" s="995"/>
      <c r="U109" s="114"/>
      <c r="AB109" s="114"/>
      <c r="AC109" s="114"/>
      <c r="AD109" s="114"/>
      <c r="AE109" s="114"/>
      <c r="BE109" s="136"/>
      <c r="BF109" s="136"/>
      <c r="BG109" s="136"/>
      <c r="BH109" s="136"/>
      <c r="BN109" s="86"/>
      <c r="BO109" s="1091"/>
      <c r="BP109" s="96">
        <v>17</v>
      </c>
      <c r="BQ109" s="76"/>
      <c r="BR109" s="76"/>
      <c r="BS109" s="76"/>
      <c r="BT109" s="76"/>
      <c r="BU109" s="76"/>
      <c r="BV109" s="76"/>
      <c r="BW109" s="76"/>
      <c r="BX109" s="117" t="b">
        <f>IF(CG83=17,8)</f>
        <v>0</v>
      </c>
      <c r="BY109" s="118"/>
      <c r="BZ109" s="118"/>
      <c r="CA109" s="119"/>
      <c r="CB109" s="119"/>
      <c r="CC109" s="119"/>
      <c r="CD109" s="119"/>
      <c r="CE109" s="119"/>
      <c r="CF109" s="119"/>
      <c r="CG109" s="119"/>
      <c r="CH109" s="140"/>
      <c r="CI109" s="119"/>
      <c r="CJ109" s="141"/>
      <c r="CK109" s="119"/>
      <c r="CL109" s="119"/>
      <c r="CM109" s="119"/>
      <c r="CN109" s="118"/>
      <c r="CO109" s="118"/>
      <c r="CP109" s="103" t="b">
        <f>IF(CG83=17,26)</f>
        <v>0</v>
      </c>
      <c r="CQ109" s="78"/>
      <c r="CR109" s="78"/>
      <c r="CS109" s="78"/>
      <c r="CT109" s="78"/>
      <c r="CU109" s="78"/>
      <c r="CV109" s="78"/>
      <c r="CW109" s="78"/>
      <c r="CX109" s="78"/>
      <c r="CY109" s="78"/>
      <c r="CZ109" s="78"/>
      <c r="DA109" s="78"/>
      <c r="DB109" s="78"/>
      <c r="DC109" s="78"/>
      <c r="DD109" s="78"/>
      <c r="DF109" s="1814"/>
      <c r="DG109" s="1814"/>
      <c r="DH109" s="76"/>
      <c r="DI109" s="76"/>
      <c r="DJ109" s="77"/>
      <c r="DK109" s="78"/>
      <c r="DL109" s="78"/>
      <c r="DM109" s="78"/>
      <c r="DN109" s="78"/>
      <c r="DO109" s="78"/>
      <c r="DP109" s="78"/>
      <c r="DQ109" s="78"/>
      <c r="DR109" s="78"/>
      <c r="DS109" s="78"/>
      <c r="DT109" s="78"/>
      <c r="DU109" s="78"/>
      <c r="DV109" s="78"/>
      <c r="DW109" s="78"/>
      <c r="DX109" s="78"/>
      <c r="DY109" s="78"/>
      <c r="DZ109" s="78"/>
      <c r="EA109" s="78"/>
      <c r="EB109" s="78"/>
      <c r="EC109" s="78"/>
      <c r="ED109" s="78"/>
      <c r="EE109" s="78"/>
      <c r="EF109" s="78"/>
      <c r="EG109" s="78"/>
      <c r="EH109" s="78"/>
      <c r="EI109" s="78"/>
      <c r="EJ109" s="78"/>
      <c r="EK109" s="78"/>
      <c r="EL109" s="74"/>
      <c r="EM109" s="74"/>
    </row>
    <row r="110" spans="2:143" ht="21" hidden="1" thickBot="1" x14ac:dyDescent="0.25">
      <c r="B110" s="399"/>
      <c r="C110" s="399"/>
      <c r="D110" s="397"/>
      <c r="E110" s="397"/>
      <c r="F110" s="397"/>
      <c r="G110" s="998"/>
      <c r="H110"/>
      <c r="I110"/>
      <c r="J110"/>
      <c r="K110"/>
      <c r="L110"/>
      <c r="M110"/>
      <c r="N110"/>
      <c r="O110" s="995"/>
      <c r="U110" s="114"/>
      <c r="AB110" s="114"/>
      <c r="AC110" s="114"/>
      <c r="AD110" s="114"/>
      <c r="AE110" s="114"/>
      <c r="BE110" s="136"/>
      <c r="BF110" s="136"/>
      <c r="BG110" s="136"/>
      <c r="BH110" s="136"/>
      <c r="BN110" s="86"/>
      <c r="BO110" s="1091"/>
      <c r="BP110" s="96">
        <v>16</v>
      </c>
      <c r="BQ110" s="76"/>
      <c r="BR110" s="76"/>
      <c r="BS110" s="76"/>
      <c r="BT110" s="76"/>
      <c r="BU110" s="76"/>
      <c r="BV110" s="145" t="b">
        <f>IF(CF83=16,6)</f>
        <v>0</v>
      </c>
      <c r="BW110" s="146"/>
      <c r="BX110" s="147"/>
      <c r="BY110" s="147"/>
      <c r="BZ110" s="146"/>
      <c r="CA110" s="146"/>
      <c r="CB110" s="146"/>
      <c r="CC110" s="146"/>
      <c r="CD110" s="146"/>
      <c r="CE110" s="146"/>
      <c r="CF110" s="146"/>
      <c r="CG110" s="146"/>
      <c r="CH110" s="148"/>
      <c r="CI110" s="146"/>
      <c r="CJ110" s="149"/>
      <c r="CK110" s="146"/>
      <c r="CL110" s="146"/>
      <c r="CM110" s="147"/>
      <c r="CN110" s="147"/>
      <c r="CO110" s="150"/>
      <c r="CP110" s="151" t="b">
        <f>IF(CF83=16,26)</f>
        <v>0</v>
      </c>
      <c r="CQ110" s="78"/>
      <c r="CR110" s="78"/>
      <c r="CS110" s="78"/>
      <c r="CT110" s="78"/>
      <c r="CU110" s="78"/>
      <c r="CV110" s="78"/>
      <c r="CW110" s="78"/>
      <c r="CX110" s="78"/>
      <c r="CY110" s="78"/>
      <c r="CZ110" s="78"/>
      <c r="DA110" s="78"/>
      <c r="DB110" s="78"/>
      <c r="DC110" s="78"/>
      <c r="DD110" s="78"/>
      <c r="EJ110" s="78"/>
      <c r="EK110" s="78"/>
    </row>
    <row r="111" spans="2:143" ht="21" hidden="1" thickBot="1" x14ac:dyDescent="0.25">
      <c r="C111" s="399"/>
      <c r="G111" s="998"/>
      <c r="H111"/>
      <c r="I111"/>
      <c r="J111"/>
      <c r="K111"/>
      <c r="L111"/>
      <c r="M111"/>
      <c r="N111"/>
      <c r="O111" s="995"/>
      <c r="U111" s="114"/>
      <c r="AB111" s="114"/>
      <c r="AC111" s="114"/>
      <c r="AD111" s="114"/>
      <c r="AE111" s="114"/>
      <c r="BE111" s="136"/>
      <c r="BF111" s="136"/>
      <c r="BG111" s="136"/>
      <c r="BH111" s="136"/>
      <c r="BN111" s="86"/>
      <c r="BO111" s="1091"/>
      <c r="BP111" s="96">
        <v>15</v>
      </c>
      <c r="BQ111" s="76"/>
      <c r="BR111" s="76"/>
      <c r="BS111" s="76"/>
      <c r="BT111" s="117" t="b">
        <f>IF(CE83=15,4)</f>
        <v>0</v>
      </c>
      <c r="BU111" s="119"/>
      <c r="BV111" s="119"/>
      <c r="BW111" s="119"/>
      <c r="BX111" s="118"/>
      <c r="BY111" s="119"/>
      <c r="BZ111" s="119"/>
      <c r="CA111" s="118"/>
      <c r="CB111" s="119"/>
      <c r="CC111" s="119"/>
      <c r="CD111" s="119"/>
      <c r="CE111" s="119"/>
      <c r="CF111" s="119"/>
      <c r="CG111" s="119"/>
      <c r="CH111" s="140"/>
      <c r="CI111" s="118"/>
      <c r="CJ111" s="141"/>
      <c r="CK111" s="119"/>
      <c r="CL111" s="118"/>
      <c r="CM111" s="119"/>
      <c r="CN111" s="119"/>
      <c r="CO111" s="111"/>
      <c r="CP111" s="103" t="b">
        <f>IF(CE83=15,26)</f>
        <v>0</v>
      </c>
      <c r="CQ111" s="78"/>
      <c r="CR111" s="78"/>
      <c r="CS111" s="78"/>
      <c r="CT111" s="78"/>
      <c r="CU111" s="78"/>
      <c r="CV111" s="78"/>
      <c r="CW111" s="78"/>
      <c r="CX111" s="78"/>
      <c r="CY111" s="78"/>
      <c r="CZ111" s="78"/>
      <c r="DA111" s="78"/>
      <c r="DB111" s="78"/>
      <c r="DC111" s="78"/>
      <c r="DD111" s="78"/>
      <c r="EJ111" s="78"/>
      <c r="EK111" s="78"/>
    </row>
    <row r="112" spans="2:143" ht="21" hidden="1" thickBot="1" x14ac:dyDescent="0.25">
      <c r="B112" s="1851"/>
      <c r="C112" s="1851"/>
      <c r="D112" s="1851"/>
      <c r="E112" s="1851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E112" s="136"/>
      <c r="BF112" s="136"/>
      <c r="BG112" s="136"/>
      <c r="BH112" s="136"/>
      <c r="BN112" s="86"/>
      <c r="BO112" s="1091"/>
      <c r="BP112" s="96">
        <v>14</v>
      </c>
      <c r="BQ112" s="76"/>
      <c r="BR112" s="117" t="b">
        <f>IF(CD83=14,2)</f>
        <v>0</v>
      </c>
      <c r="BS112" s="119"/>
      <c r="BT112" s="119"/>
      <c r="BU112" s="119"/>
      <c r="BV112" s="118"/>
      <c r="BW112" s="119"/>
      <c r="BX112" s="119"/>
      <c r="BY112" s="118"/>
      <c r="BZ112" s="119"/>
      <c r="CA112" s="119"/>
      <c r="CB112" s="119"/>
      <c r="CC112" s="119"/>
      <c r="CD112" s="119"/>
      <c r="CE112" s="119"/>
      <c r="CF112" s="119"/>
      <c r="CG112" s="119"/>
      <c r="CH112" s="140"/>
      <c r="CI112" s="118"/>
      <c r="CJ112" s="141"/>
      <c r="CK112" s="119"/>
      <c r="CL112" s="118"/>
      <c r="CM112" s="119"/>
      <c r="CN112" s="119"/>
      <c r="CO112" s="111"/>
      <c r="CP112" s="103" t="b">
        <f>IF(CD83=14,26)</f>
        <v>0</v>
      </c>
      <c r="CQ112" s="78"/>
      <c r="CR112" s="78"/>
      <c r="CS112" s="78"/>
      <c r="CT112" s="78"/>
      <c r="CU112" s="78"/>
      <c r="CV112" s="78"/>
      <c r="CW112" s="78"/>
      <c r="CX112" s="78"/>
      <c r="CY112" s="78"/>
      <c r="CZ112" s="78"/>
      <c r="DA112" s="78"/>
      <c r="DB112" s="78"/>
      <c r="DC112" s="78"/>
      <c r="DD112" s="78"/>
      <c r="EJ112" s="78"/>
      <c r="EK112" s="78"/>
    </row>
    <row r="113" spans="2:141" ht="21" hidden="1" thickBot="1" x14ac:dyDescent="0.25">
      <c r="B113" s="334"/>
      <c r="C113" s="403"/>
      <c r="D113" s="334"/>
      <c r="E113" s="334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E113" s="136"/>
      <c r="BF113" s="136"/>
      <c r="BG113" s="136"/>
      <c r="BH113" s="136"/>
      <c r="BN113" s="86"/>
      <c r="BO113" s="1091"/>
      <c r="BP113" s="96">
        <v>13</v>
      </c>
      <c r="BQ113" s="76"/>
      <c r="BR113" s="76"/>
      <c r="BS113" s="76"/>
      <c r="BU113" s="152"/>
      <c r="BV113" s="152"/>
      <c r="BW113" s="91"/>
      <c r="BX113" s="152"/>
      <c r="BY113" s="120" t="b">
        <f>IF(CC83=13,9)</f>
        <v>0</v>
      </c>
      <c r="BZ113" s="123"/>
      <c r="CA113" s="123"/>
      <c r="CB113" s="123"/>
      <c r="CC113" s="123"/>
      <c r="CD113" s="123"/>
      <c r="CE113" s="123"/>
      <c r="CF113" s="123"/>
      <c r="CG113" s="124" t="b">
        <f>IF(CC83=13,17)</f>
        <v>0</v>
      </c>
      <c r="CH113" s="153"/>
      <c r="CI113" s="91"/>
      <c r="CJ113" s="154"/>
      <c r="CK113" s="152"/>
      <c r="CM113" s="76"/>
      <c r="CN113" s="76"/>
      <c r="CO113" s="78"/>
      <c r="CP113" s="78"/>
      <c r="CQ113" s="78"/>
      <c r="CR113" s="78"/>
      <c r="CS113" s="78"/>
      <c r="CT113" s="78"/>
      <c r="CU113" s="78"/>
      <c r="CV113" s="78"/>
      <c r="CW113" s="78"/>
      <c r="CX113" s="78"/>
      <c r="CY113" s="78"/>
      <c r="CZ113" s="78"/>
      <c r="DA113" s="78"/>
      <c r="DB113" s="78"/>
      <c r="DC113" s="78"/>
      <c r="DD113" s="78"/>
      <c r="EJ113" s="78"/>
      <c r="EK113" s="78"/>
    </row>
    <row r="114" spans="2:141" ht="21" hidden="1" thickBot="1" x14ac:dyDescent="0.25">
      <c r="B114" s="404"/>
      <c r="C114" s="403"/>
      <c r="D114" s="405"/>
      <c r="E114" s="339"/>
      <c r="F114" s="397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E114" s="136"/>
      <c r="BF114" s="136"/>
      <c r="BG114" s="136"/>
      <c r="BH114" s="136"/>
      <c r="BN114" s="86"/>
      <c r="BO114" s="1091"/>
      <c r="BP114" s="96">
        <v>12</v>
      </c>
      <c r="BQ114" s="76"/>
      <c r="BS114" s="139"/>
      <c r="BT114" s="139"/>
      <c r="BU114" s="142"/>
      <c r="BV114" s="139"/>
      <c r="BW114" s="117" t="b">
        <f>IF(CB83=12,7)</f>
        <v>0</v>
      </c>
      <c r="BX114" s="119"/>
      <c r="BY114" s="119"/>
      <c r="BZ114" s="119"/>
      <c r="CA114" s="119"/>
      <c r="CB114" s="119"/>
      <c r="CC114" s="119"/>
      <c r="CD114" s="119"/>
      <c r="CE114" s="119"/>
      <c r="CF114" s="119"/>
      <c r="CG114" s="103" t="b">
        <f>IF(CB83=12,17)</f>
        <v>0</v>
      </c>
      <c r="CH114" s="155"/>
      <c r="CI114" s="142"/>
      <c r="CJ114" s="156"/>
      <c r="CK114" s="139"/>
      <c r="CM114" s="76"/>
      <c r="CN114" s="76"/>
      <c r="CO114" s="78"/>
      <c r="CP114" s="78"/>
      <c r="CQ114" s="78"/>
      <c r="CR114" s="78"/>
      <c r="CS114" s="78"/>
      <c r="CT114" s="78"/>
      <c r="CU114" s="78"/>
      <c r="CV114" s="78"/>
      <c r="CW114" s="78"/>
      <c r="CX114" s="78"/>
      <c r="CY114" s="78"/>
      <c r="CZ114" s="78"/>
      <c r="DA114" s="78"/>
      <c r="DB114" s="78"/>
      <c r="DC114" s="78"/>
      <c r="DD114" s="78"/>
      <c r="DF114" s="107"/>
      <c r="DG114" s="107"/>
      <c r="DH114" s="107"/>
      <c r="DI114" s="107"/>
      <c r="DJ114" s="107"/>
      <c r="DK114" s="108"/>
      <c r="DL114" s="107"/>
      <c r="DM114" s="107"/>
      <c r="DN114" s="107"/>
      <c r="DO114" s="107"/>
      <c r="DP114" s="107"/>
      <c r="DQ114" s="107"/>
      <c r="DR114" s="107"/>
      <c r="DS114" s="107"/>
      <c r="DT114" s="107"/>
      <c r="DU114" s="107"/>
      <c r="DV114" s="107"/>
      <c r="DW114" s="107"/>
      <c r="DX114" s="107"/>
      <c r="DY114" s="107"/>
      <c r="DZ114" s="107"/>
      <c r="EA114" s="107"/>
      <c r="EB114" s="107"/>
      <c r="EC114" s="108"/>
      <c r="ED114" s="78"/>
      <c r="EE114" s="78"/>
      <c r="EF114" s="78"/>
      <c r="EG114" s="78"/>
      <c r="EH114" s="78"/>
      <c r="EI114" s="78"/>
      <c r="EJ114" s="78"/>
      <c r="EK114" s="78"/>
    </row>
    <row r="115" spans="2:141" ht="21" hidden="1" thickBot="1" x14ac:dyDescent="0.25">
      <c r="B115" s="403"/>
      <c r="C115" s="403"/>
      <c r="D115" s="86"/>
      <c r="E115" s="86"/>
      <c r="F115" s="397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36"/>
      <c r="BF115" s="136"/>
      <c r="BG115" s="136"/>
      <c r="BH115" s="136"/>
      <c r="BN115" s="86"/>
      <c r="BO115" s="1091"/>
      <c r="BP115" s="96">
        <v>11</v>
      </c>
      <c r="BR115" s="152"/>
      <c r="BS115" s="91"/>
      <c r="BT115" s="152"/>
      <c r="BU115" s="117" t="b">
        <f>IF(CA83=11,5)</f>
        <v>0</v>
      </c>
      <c r="BV115" s="119"/>
      <c r="BW115" s="119"/>
      <c r="BX115" s="119"/>
      <c r="BY115" s="119"/>
      <c r="BZ115" s="119"/>
      <c r="CA115" s="119"/>
      <c r="CB115" s="119"/>
      <c r="CC115" s="119"/>
      <c r="CD115" s="119"/>
      <c r="CE115" s="119"/>
      <c r="CF115" s="119"/>
      <c r="CG115" s="103" t="b">
        <f>IF(CA83=11,17)</f>
        <v>0</v>
      </c>
      <c r="CH115" s="153"/>
      <c r="CI115" s="91"/>
      <c r="CJ115" s="154"/>
      <c r="CL115" s="76"/>
      <c r="CM115" s="76"/>
      <c r="CN115" s="76"/>
      <c r="CO115" s="78"/>
      <c r="CP115" s="78"/>
      <c r="CQ115" s="78"/>
      <c r="CR115" s="78"/>
      <c r="CS115" s="78"/>
      <c r="CT115" s="78"/>
      <c r="CU115" s="78"/>
      <c r="CV115" s="78"/>
      <c r="CW115" s="78"/>
      <c r="CX115" s="78"/>
      <c r="CY115" s="78"/>
      <c r="CZ115" s="78"/>
      <c r="DA115" s="78"/>
      <c r="DB115" s="78"/>
      <c r="DC115" s="78"/>
      <c r="DD115" s="78"/>
      <c r="DF115" s="107"/>
      <c r="DG115" s="107"/>
      <c r="DH115" s="107"/>
      <c r="DI115" s="107"/>
      <c r="DJ115" s="107"/>
      <c r="DK115" s="108"/>
      <c r="DL115" s="107"/>
      <c r="DM115" s="107"/>
      <c r="DN115" s="107"/>
      <c r="DO115" s="107"/>
      <c r="DP115" s="107"/>
      <c r="DQ115" s="107"/>
      <c r="DR115" s="107"/>
      <c r="DS115" s="107"/>
      <c r="DT115" s="107"/>
      <c r="DU115" s="107"/>
      <c r="DV115" s="107"/>
      <c r="DW115" s="107"/>
      <c r="DX115" s="107"/>
      <c r="DY115" s="107"/>
      <c r="DZ115" s="107"/>
      <c r="EA115" s="107"/>
      <c r="EB115" s="107"/>
      <c r="EC115" s="108"/>
      <c r="ED115" s="78"/>
      <c r="EE115" s="78"/>
      <c r="EF115" s="78"/>
      <c r="EG115" s="78"/>
      <c r="EH115" s="78"/>
      <c r="EI115" s="78"/>
      <c r="EJ115" s="78"/>
      <c r="EK115" s="78"/>
    </row>
    <row r="116" spans="2:141" ht="21" hidden="1" thickBot="1" x14ac:dyDescent="0.25">
      <c r="B116" s="334"/>
      <c r="C116" s="403"/>
      <c r="D116" s="334"/>
      <c r="E116" s="20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E116" s="136"/>
      <c r="BF116" s="136"/>
      <c r="BG116" s="136"/>
      <c r="BH116" s="136"/>
      <c r="BN116" s="86"/>
      <c r="BO116" s="1091"/>
      <c r="BP116" s="96">
        <v>10</v>
      </c>
      <c r="BR116" s="152"/>
      <c r="BS116" s="117" t="b">
        <f>IF(BZ83=10,3)</f>
        <v>0</v>
      </c>
      <c r="BT116" s="119"/>
      <c r="BU116" s="119"/>
      <c r="BV116" s="119"/>
      <c r="BW116" s="119"/>
      <c r="BX116" s="119"/>
      <c r="BY116" s="119"/>
      <c r="BZ116" s="119"/>
      <c r="CA116" s="119"/>
      <c r="CB116" s="119"/>
      <c r="CC116" s="119"/>
      <c r="CD116" s="119"/>
      <c r="CE116" s="119"/>
      <c r="CF116" s="119"/>
      <c r="CG116" s="103" t="b">
        <f>IF(BZ83=10,17)</f>
        <v>0</v>
      </c>
      <c r="CH116" s="153"/>
      <c r="CJ116" s="157"/>
      <c r="CK116" s="76"/>
      <c r="CL116" s="76"/>
      <c r="CM116" s="76"/>
      <c r="CN116" s="76"/>
      <c r="CO116" s="78"/>
      <c r="CP116" s="78"/>
      <c r="CQ116" s="78"/>
      <c r="CR116" s="78"/>
      <c r="CS116" s="78"/>
      <c r="CT116" s="78"/>
      <c r="CU116" s="78"/>
      <c r="CV116" s="78"/>
      <c r="CW116" s="78"/>
      <c r="CX116" s="78"/>
      <c r="CY116" s="78"/>
      <c r="CZ116" s="78"/>
      <c r="DA116" s="78"/>
      <c r="DB116" s="78"/>
      <c r="DC116" s="78"/>
      <c r="DD116" s="78"/>
      <c r="EJ116" s="78"/>
      <c r="EK116" s="78"/>
    </row>
    <row r="117" spans="2:141" ht="21" hidden="1" thickBot="1" x14ac:dyDescent="0.25">
      <c r="B117" s="399"/>
      <c r="C117" s="399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F117" s="136"/>
      <c r="BG117" s="136"/>
      <c r="BH117" s="136"/>
      <c r="BN117" s="86"/>
      <c r="BO117" s="1091"/>
      <c r="BP117" s="96">
        <v>9</v>
      </c>
      <c r="BQ117" s="117" t="b">
        <f>IF(BY83=9,1)</f>
        <v>0</v>
      </c>
      <c r="BR117" s="119"/>
      <c r="BS117" s="119"/>
      <c r="BT117" s="119"/>
      <c r="BU117" s="119"/>
      <c r="BV117" s="119"/>
      <c r="BW117" s="119"/>
      <c r="BX117" s="119"/>
      <c r="BY117" s="119"/>
      <c r="BZ117" s="119"/>
      <c r="CA117" s="119"/>
      <c r="CB117" s="119"/>
      <c r="CC117" s="119"/>
      <c r="CD117" s="119"/>
      <c r="CE117" s="119"/>
      <c r="CF117" s="119"/>
      <c r="CG117" s="103" t="b">
        <f>IF(BY83=9,17)</f>
        <v>0</v>
      </c>
      <c r="CH117" s="76"/>
      <c r="CI117" s="76"/>
      <c r="CJ117" s="157"/>
      <c r="CK117" s="76"/>
      <c r="CL117" s="76"/>
      <c r="CM117" s="76"/>
      <c r="CN117" s="76"/>
      <c r="CO117" s="78"/>
      <c r="CP117" s="78"/>
      <c r="CQ117" s="78"/>
      <c r="CR117" s="78"/>
      <c r="CS117" s="78"/>
      <c r="CT117" s="78"/>
      <c r="CU117" s="78"/>
      <c r="CV117" s="78"/>
      <c r="CW117" s="78"/>
      <c r="CX117" s="78"/>
      <c r="CY117" s="78"/>
      <c r="CZ117" s="78"/>
      <c r="DA117" s="78"/>
      <c r="DB117" s="78"/>
      <c r="DC117" s="78"/>
      <c r="DD117" s="78"/>
      <c r="EJ117" s="78"/>
      <c r="EK117" s="78"/>
    </row>
    <row r="118" spans="2:141" ht="21" hidden="1" thickBot="1" x14ac:dyDescent="0.25">
      <c r="B118" s="399"/>
      <c r="C118" s="399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E118" s="136"/>
      <c r="BF118" s="136"/>
      <c r="BG118" s="136"/>
      <c r="BH118" s="136"/>
      <c r="BN118" s="86"/>
      <c r="BO118" s="1091"/>
      <c r="BP118" s="96">
        <v>8</v>
      </c>
      <c r="BQ118" s="117" t="b">
        <f>IF(BX83=8,1)</f>
        <v>0</v>
      </c>
      <c r="BR118" s="119"/>
      <c r="BS118" s="118"/>
      <c r="BT118" s="119"/>
      <c r="BU118" s="119"/>
      <c r="BV118" s="119"/>
      <c r="BW118" s="119"/>
      <c r="BX118" s="119"/>
      <c r="BY118" s="119"/>
      <c r="BZ118" s="119"/>
      <c r="CA118" s="119"/>
      <c r="CB118" s="119"/>
      <c r="CC118" s="118"/>
      <c r="CD118" s="119"/>
      <c r="CE118" s="103" t="b">
        <f>IF(BX83=8,15)</f>
        <v>0</v>
      </c>
      <c r="CF118" s="76"/>
      <c r="CG118" s="76"/>
      <c r="CH118" s="158"/>
      <c r="CI118" s="76"/>
      <c r="CJ118" s="157"/>
      <c r="CK118" s="76"/>
      <c r="CL118" s="76"/>
      <c r="CM118" s="76"/>
      <c r="CN118" s="76"/>
      <c r="CO118" s="78"/>
      <c r="CP118" s="78"/>
      <c r="CQ118" s="78"/>
      <c r="CR118" s="78"/>
      <c r="CS118" s="78"/>
      <c r="CT118" s="78"/>
      <c r="CU118" s="78"/>
      <c r="CV118" s="78"/>
      <c r="CW118" s="78"/>
      <c r="CX118" s="78"/>
      <c r="CY118" s="78"/>
      <c r="CZ118" s="78"/>
      <c r="DA118" s="78"/>
      <c r="DB118" s="78"/>
      <c r="DC118" s="78"/>
      <c r="DD118" s="78"/>
      <c r="EJ118" s="78"/>
      <c r="EK118" s="78"/>
    </row>
    <row r="119" spans="2:141" ht="21" hidden="1" thickBot="1" x14ac:dyDescent="0.25">
      <c r="B119" s="399"/>
      <c r="C119" s="399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F119" s="136"/>
      <c r="BG119" s="136"/>
      <c r="BH119" s="136"/>
      <c r="BN119" s="86"/>
      <c r="BO119" s="1091"/>
      <c r="BP119" s="96">
        <v>7</v>
      </c>
      <c r="BQ119" s="117" t="b">
        <f>IF(BW83=7,1)</f>
        <v>0</v>
      </c>
      <c r="BR119" s="118"/>
      <c r="BS119" s="119"/>
      <c r="BT119" s="119"/>
      <c r="BU119" s="119"/>
      <c r="BV119" s="119"/>
      <c r="BW119" s="119"/>
      <c r="BX119" s="119"/>
      <c r="BY119" s="119"/>
      <c r="BZ119" s="119"/>
      <c r="CA119" s="118"/>
      <c r="CB119" s="118"/>
      <c r="CC119" s="103" t="b">
        <f>IF(BW83=7,13)</f>
        <v>0</v>
      </c>
      <c r="CD119" s="76"/>
      <c r="CE119" s="76"/>
      <c r="CF119" s="76"/>
      <c r="CG119" s="76"/>
      <c r="CH119" s="158"/>
      <c r="CI119" s="76"/>
      <c r="CJ119" s="157"/>
      <c r="CK119" s="76"/>
      <c r="CL119" s="76"/>
      <c r="CM119" s="76"/>
      <c r="CN119" s="76"/>
      <c r="CO119" s="78"/>
      <c r="CP119" s="78"/>
      <c r="CQ119" s="78"/>
      <c r="CR119" s="78"/>
      <c r="CS119" s="78"/>
      <c r="CT119" s="78"/>
      <c r="CU119" s="78"/>
      <c r="CV119" s="78"/>
      <c r="CW119" s="78"/>
      <c r="CX119" s="78"/>
      <c r="CY119" s="78"/>
      <c r="CZ119" s="78"/>
      <c r="DA119" s="78"/>
      <c r="DB119" s="78"/>
      <c r="DC119" s="78"/>
      <c r="DD119" s="78"/>
      <c r="EJ119" s="78"/>
      <c r="EK119" s="78"/>
    </row>
    <row r="120" spans="2:141" ht="21" hidden="1" thickBot="1" x14ac:dyDescent="0.25">
      <c r="C120" s="114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F120" s="136"/>
      <c r="BG120" s="136"/>
      <c r="BH120" s="136"/>
      <c r="BN120" s="86"/>
      <c r="BO120" s="1091"/>
      <c r="BP120" s="96">
        <v>6</v>
      </c>
      <c r="BQ120" s="120" t="b">
        <f>IF(BV83=6,1)</f>
        <v>0</v>
      </c>
      <c r="BR120" s="123"/>
      <c r="BS120" s="123"/>
      <c r="BT120" s="123"/>
      <c r="BU120" s="123"/>
      <c r="BV120" s="123"/>
      <c r="BW120" s="123"/>
      <c r="BX120" s="123"/>
      <c r="BY120" s="123"/>
      <c r="BZ120" s="123"/>
      <c r="CA120" s="124" t="b">
        <f>IF(BV83=6,11)</f>
        <v>0</v>
      </c>
      <c r="CB120" s="76"/>
      <c r="CC120" s="76"/>
      <c r="CD120" s="76"/>
      <c r="CE120" s="76"/>
      <c r="CF120" s="76"/>
      <c r="CG120" s="76"/>
      <c r="CH120" s="158"/>
      <c r="CI120" s="76"/>
      <c r="CJ120" s="157"/>
      <c r="CK120" s="76"/>
      <c r="CL120" s="76"/>
      <c r="CM120" s="76"/>
      <c r="CN120" s="76"/>
      <c r="CO120" s="78"/>
      <c r="CP120" s="78"/>
      <c r="CQ120" s="78"/>
      <c r="CR120" s="78"/>
      <c r="CS120" s="78"/>
      <c r="CT120" s="78"/>
      <c r="CU120" s="78"/>
      <c r="CV120" s="78"/>
      <c r="CW120" s="78"/>
      <c r="CX120" s="78"/>
      <c r="CY120" s="78"/>
      <c r="CZ120" s="78"/>
      <c r="DA120" s="78"/>
      <c r="DB120" s="78"/>
      <c r="DC120" s="78"/>
      <c r="DD120" s="78"/>
      <c r="EJ120" s="78"/>
      <c r="EK120" s="78"/>
    </row>
    <row r="121" spans="2:141" ht="21" hidden="1" thickBot="1" x14ac:dyDescent="0.25">
      <c r="B121" s="406"/>
      <c r="C121" s="406"/>
      <c r="D121" s="407"/>
      <c r="E121" s="407"/>
      <c r="F121" s="407"/>
      <c r="G121" s="998"/>
      <c r="H121"/>
      <c r="I121"/>
      <c r="J121"/>
      <c r="K121"/>
      <c r="L121"/>
      <c r="M121"/>
      <c r="N121"/>
      <c r="O121" s="995"/>
      <c r="BE121" s="136"/>
      <c r="BF121" s="136"/>
      <c r="BG121" s="136"/>
      <c r="BH121" s="136"/>
      <c r="BN121" s="86"/>
      <c r="BO121" s="1091"/>
      <c r="BP121" s="96">
        <v>5</v>
      </c>
      <c r="BQ121" s="120" t="b">
        <f>IF(BU83=5,1)</f>
        <v>0</v>
      </c>
      <c r="BR121" s="122"/>
      <c r="BS121" s="123"/>
      <c r="BT121" s="123"/>
      <c r="BU121" s="123"/>
      <c r="BV121" s="123"/>
      <c r="BW121" s="123"/>
      <c r="BX121" s="122"/>
      <c r="BY121" s="124" t="b">
        <f>IF(BU83=5,9)</f>
        <v>0</v>
      </c>
      <c r="BZ121" s="76"/>
      <c r="CA121" s="76"/>
      <c r="CB121" s="76"/>
      <c r="CC121" s="76"/>
      <c r="CD121" s="76"/>
      <c r="CE121" s="76"/>
      <c r="CF121" s="76"/>
      <c r="CG121" s="76"/>
      <c r="CH121" s="158"/>
      <c r="CI121" s="76"/>
      <c r="CJ121" s="157"/>
      <c r="CK121" s="76"/>
      <c r="CL121" s="76"/>
      <c r="CM121" s="76"/>
      <c r="CN121" s="76"/>
      <c r="CO121" s="78"/>
      <c r="CP121" s="78"/>
      <c r="CQ121" s="78"/>
      <c r="CR121" s="78"/>
      <c r="CS121" s="78"/>
      <c r="CT121" s="78"/>
      <c r="CU121" s="78"/>
      <c r="CV121" s="78"/>
      <c r="CW121" s="78"/>
      <c r="CX121" s="78"/>
      <c r="CY121" s="78"/>
      <c r="CZ121" s="78"/>
      <c r="DA121" s="78"/>
      <c r="DB121" s="78"/>
      <c r="DC121" s="78"/>
      <c r="DD121" s="78"/>
      <c r="EJ121" s="78"/>
      <c r="EK121" s="78"/>
    </row>
    <row r="122" spans="2:141" ht="21" hidden="1" thickBot="1" x14ac:dyDescent="0.25">
      <c r="G122" s="998"/>
      <c r="H122"/>
      <c r="I122"/>
      <c r="J122"/>
      <c r="K122"/>
      <c r="L122"/>
      <c r="M122"/>
      <c r="N122"/>
      <c r="O122" s="995"/>
      <c r="BF122" s="136"/>
      <c r="BG122" s="136"/>
      <c r="BH122" s="136"/>
      <c r="BN122" s="86"/>
      <c r="BO122" s="1091"/>
      <c r="BP122" s="96">
        <v>4</v>
      </c>
      <c r="BQ122" s="120" t="b">
        <f>IF(BT83=4,1)</f>
        <v>0</v>
      </c>
      <c r="BR122" s="123"/>
      <c r="BS122" s="123"/>
      <c r="BT122" s="123"/>
      <c r="BU122" s="123"/>
      <c r="BV122" s="123"/>
      <c r="BW122" s="124" t="b">
        <f>IF(BT83=4,7)</f>
        <v>0</v>
      </c>
      <c r="BX122" s="76"/>
      <c r="BY122" s="159"/>
      <c r="BZ122" s="159"/>
      <c r="CA122" s="76"/>
      <c r="CB122" s="159"/>
      <c r="CC122" s="76"/>
      <c r="CD122" s="76"/>
      <c r="CE122" s="76"/>
      <c r="CF122" s="76"/>
      <c r="CG122" s="76"/>
      <c r="CH122" s="158"/>
      <c r="CI122" s="76"/>
      <c r="CJ122" s="157"/>
      <c r="CK122" s="76"/>
      <c r="CL122" s="76"/>
      <c r="CM122" s="76"/>
      <c r="CN122" s="76"/>
      <c r="CO122" s="78"/>
      <c r="CP122" s="78"/>
      <c r="CQ122" s="78"/>
      <c r="CR122" s="78"/>
      <c r="CS122" s="78"/>
      <c r="CT122" s="78"/>
      <c r="CU122" s="78"/>
      <c r="CV122" s="78"/>
      <c r="CW122" s="78"/>
      <c r="CX122" s="78"/>
      <c r="CY122" s="78"/>
      <c r="CZ122" s="78"/>
      <c r="DA122" s="78"/>
      <c r="DB122" s="78"/>
      <c r="DC122" s="78"/>
      <c r="DD122" s="78"/>
      <c r="EJ122" s="78"/>
      <c r="EK122" s="78"/>
    </row>
    <row r="123" spans="2:141" ht="21" hidden="1" thickBot="1" x14ac:dyDescent="0.25">
      <c r="B123"/>
      <c r="G123" s="998"/>
      <c r="H123"/>
      <c r="I123"/>
      <c r="J123"/>
      <c r="K123"/>
      <c r="L123"/>
      <c r="M123"/>
      <c r="N123"/>
      <c r="O123" s="995"/>
      <c r="BE123" s="136"/>
      <c r="BF123" s="136"/>
      <c r="BG123" s="136"/>
      <c r="BH123" s="136"/>
      <c r="BN123" s="86"/>
      <c r="BO123" s="1091"/>
      <c r="BP123" s="96">
        <v>3</v>
      </c>
      <c r="BQ123" s="120" t="b">
        <f>IF(BS83=3,1)</f>
        <v>0</v>
      </c>
      <c r="BR123" s="123"/>
      <c r="BS123" s="123"/>
      <c r="BT123" s="123"/>
      <c r="BU123" s="124" t="b">
        <f>IF(BS83=3,5)</f>
        <v>0</v>
      </c>
      <c r="BV123" s="76"/>
      <c r="BW123" s="76"/>
      <c r="BX123" s="76"/>
      <c r="BY123" s="76"/>
      <c r="BZ123" s="76"/>
      <c r="CA123" s="76"/>
      <c r="CB123" s="76"/>
      <c r="CC123" s="76"/>
      <c r="CD123" s="76"/>
      <c r="CE123" s="76"/>
      <c r="CF123" s="76"/>
      <c r="CG123" s="76"/>
      <c r="CH123" s="158"/>
      <c r="CI123" s="76"/>
      <c r="CJ123" s="157"/>
      <c r="CK123" s="76"/>
      <c r="CL123" s="76"/>
      <c r="CM123" s="76"/>
      <c r="CN123" s="76"/>
      <c r="CO123" s="78"/>
      <c r="CP123" s="78"/>
      <c r="CQ123" s="78"/>
      <c r="CR123" s="78"/>
      <c r="CS123" s="78"/>
      <c r="CT123" s="78"/>
      <c r="CU123" s="78"/>
      <c r="CV123" s="78"/>
      <c r="CW123" s="78"/>
      <c r="CX123" s="78"/>
      <c r="CY123" s="78"/>
      <c r="CZ123" s="78"/>
      <c r="DA123" s="78"/>
      <c r="DB123" s="78"/>
      <c r="DC123" s="78"/>
      <c r="DD123" s="78"/>
      <c r="EJ123" s="78"/>
      <c r="EK123" s="78"/>
    </row>
    <row r="124" spans="2:141" ht="43.5" hidden="1" customHeight="1" x14ac:dyDescent="0.2">
      <c r="B124" s="406"/>
      <c r="C124" s="406"/>
      <c r="D124" s="407"/>
      <c r="E124" s="407"/>
      <c r="F124" s="40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BE124" s="136"/>
      <c r="BF124" s="136"/>
      <c r="BG124" s="136"/>
      <c r="BH124" s="136"/>
      <c r="BN124" s="86"/>
      <c r="BO124" s="1091"/>
      <c r="BP124" s="96">
        <v>2</v>
      </c>
      <c r="BQ124" s="160" t="b">
        <f>IF(BR83=2,1)</f>
        <v>0</v>
      </c>
      <c r="BR124" s="161"/>
      <c r="BS124" s="162" t="b">
        <f>IF(BR83=2,3)</f>
        <v>0</v>
      </c>
      <c r="BT124" s="76"/>
      <c r="BU124" s="76"/>
      <c r="BV124" s="76"/>
      <c r="BW124" s="76"/>
      <c r="BX124" s="76"/>
      <c r="BY124" s="76"/>
      <c r="BZ124" s="76"/>
      <c r="CA124" s="76"/>
      <c r="CB124" s="76"/>
      <c r="CC124" s="76"/>
      <c r="CD124" s="76"/>
      <c r="CE124" s="76"/>
      <c r="CF124" s="76"/>
      <c r="CG124" s="76"/>
      <c r="CH124" s="158"/>
      <c r="CI124" s="76"/>
      <c r="CJ124" s="157"/>
      <c r="CK124" s="76"/>
      <c r="CL124" s="76"/>
      <c r="CM124" s="76"/>
      <c r="CN124" s="76"/>
      <c r="CO124" s="78"/>
      <c r="CP124" s="78"/>
      <c r="CQ124" s="78"/>
      <c r="CR124" s="78"/>
      <c r="CS124" s="78"/>
      <c r="CT124" s="78"/>
      <c r="CU124" s="78"/>
      <c r="CV124" s="78"/>
      <c r="CW124" s="78"/>
      <c r="CX124" s="78"/>
      <c r="CY124" s="78"/>
      <c r="CZ124" s="78"/>
      <c r="DA124" s="78"/>
      <c r="DB124" s="78"/>
      <c r="DC124" s="78"/>
      <c r="DD124" s="78"/>
      <c r="EJ124" s="78"/>
      <c r="EK124" s="78"/>
    </row>
    <row r="125" spans="2:141" ht="45.75" hidden="1" customHeight="1" thickBot="1" x14ac:dyDescent="0.25">
      <c r="B125" s="406"/>
      <c r="C125" s="406"/>
      <c r="D125" s="407"/>
      <c r="E125" s="407"/>
      <c r="F125" s="40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BE125" s="136"/>
      <c r="BF125" s="136"/>
      <c r="BG125" s="136"/>
      <c r="BH125" s="136"/>
      <c r="BN125" s="86"/>
      <c r="BO125" s="1091"/>
      <c r="BP125" s="163"/>
      <c r="BQ125" s="164">
        <f>SUM(BQ90:BQ124)</f>
        <v>0</v>
      </c>
      <c r="BR125" s="164">
        <f t="shared" ref="BR125:DA125" si="3">SUM(BR90:BR124)</f>
        <v>0</v>
      </c>
      <c r="BS125" s="164">
        <f t="shared" si="3"/>
        <v>0</v>
      </c>
      <c r="BT125" s="164">
        <f t="shared" si="3"/>
        <v>0</v>
      </c>
      <c r="BU125" s="164">
        <f t="shared" si="3"/>
        <v>0</v>
      </c>
      <c r="BV125" s="164">
        <f t="shared" si="3"/>
        <v>0</v>
      </c>
      <c r="BW125" s="164">
        <f t="shared" si="3"/>
        <v>0</v>
      </c>
      <c r="BX125" s="164">
        <f t="shared" si="3"/>
        <v>0</v>
      </c>
      <c r="BY125" s="164">
        <f t="shared" si="3"/>
        <v>0</v>
      </c>
      <c r="BZ125" s="164">
        <f t="shared" si="3"/>
        <v>10</v>
      </c>
      <c r="CA125" s="164">
        <f t="shared" si="3"/>
        <v>0</v>
      </c>
      <c r="CB125" s="164">
        <f t="shared" si="3"/>
        <v>0</v>
      </c>
      <c r="CC125" s="164">
        <f t="shared" si="3"/>
        <v>0</v>
      </c>
      <c r="CD125" s="164">
        <f t="shared" si="3"/>
        <v>0</v>
      </c>
      <c r="CE125" s="164">
        <f t="shared" si="3"/>
        <v>0</v>
      </c>
      <c r="CF125" s="164">
        <f t="shared" si="3"/>
        <v>0</v>
      </c>
      <c r="CG125" s="165">
        <f t="shared" si="3"/>
        <v>0</v>
      </c>
      <c r="CH125" s="166"/>
      <c r="CI125" s="167"/>
      <c r="CJ125" s="168"/>
      <c r="CK125" s="169">
        <f t="shared" si="3"/>
        <v>0</v>
      </c>
      <c r="CL125" s="164">
        <f t="shared" si="3"/>
        <v>0</v>
      </c>
      <c r="CM125" s="164">
        <f t="shared" si="3"/>
        <v>0</v>
      </c>
      <c r="CN125" s="164">
        <f t="shared" si="3"/>
        <v>0</v>
      </c>
      <c r="CO125" s="164">
        <f t="shared" si="3"/>
        <v>0</v>
      </c>
      <c r="CP125" s="164">
        <f t="shared" si="3"/>
        <v>26</v>
      </c>
      <c r="CQ125" s="164">
        <f t="shared" si="3"/>
        <v>0</v>
      </c>
      <c r="CR125" s="164">
        <f t="shared" si="3"/>
        <v>0</v>
      </c>
      <c r="CS125" s="164">
        <f t="shared" si="3"/>
        <v>0</v>
      </c>
      <c r="CT125" s="164">
        <f t="shared" si="3"/>
        <v>0</v>
      </c>
      <c r="CU125" s="164">
        <f t="shared" si="3"/>
        <v>0</v>
      </c>
      <c r="CV125" s="164">
        <f t="shared" si="3"/>
        <v>0</v>
      </c>
      <c r="CW125" s="164">
        <f t="shared" si="3"/>
        <v>0</v>
      </c>
      <c r="CX125" s="164">
        <f t="shared" si="3"/>
        <v>0</v>
      </c>
      <c r="CY125" s="164">
        <f t="shared" si="3"/>
        <v>0</v>
      </c>
      <c r="CZ125" s="164">
        <f t="shared" si="3"/>
        <v>0</v>
      </c>
      <c r="DA125" s="164">
        <f t="shared" si="3"/>
        <v>0</v>
      </c>
      <c r="DB125" s="78"/>
      <c r="DC125" s="78"/>
      <c r="DD125" s="78"/>
      <c r="EJ125" s="78"/>
      <c r="EK125" s="78"/>
    </row>
    <row r="126" spans="2:141" ht="63" hidden="1" customHeight="1" thickBot="1" x14ac:dyDescent="0.3">
      <c r="G126" s="998"/>
      <c r="H126" s="1087" t="s">
        <v>265</v>
      </c>
      <c r="I126" s="1080">
        <f>+MIN(K31:L32)</f>
        <v>67.756819526291537</v>
      </c>
      <c r="J126" s="1080">
        <f>+MIN(J37:K38)</f>
        <v>90.641705496333913</v>
      </c>
      <c r="K126" s="1082">
        <f>+MIN(J43:L44)</f>
        <v>96.501809408926405</v>
      </c>
      <c r="L126" s="1083">
        <f>+MIN(J49:L50)</f>
        <v>41.755590609631618</v>
      </c>
      <c r="M126" s="1084">
        <f>+MIN(J55:L56)</f>
        <v>96.501809408926405</v>
      </c>
      <c r="N126"/>
      <c r="O126" s="995"/>
      <c r="BN126" s="86"/>
      <c r="BO126" s="1091"/>
      <c r="BP126" s="163"/>
      <c r="BQ126" s="170"/>
      <c r="BR126" s="170"/>
      <c r="BS126" s="170"/>
      <c r="BT126" s="170"/>
      <c r="BU126" s="170"/>
      <c r="BV126" s="170"/>
      <c r="BW126" s="170"/>
      <c r="BX126" s="170"/>
      <c r="BY126" s="170"/>
      <c r="BZ126" s="170"/>
      <c r="CA126" s="170"/>
      <c r="CB126" s="170"/>
      <c r="CC126" s="170"/>
      <c r="CD126" s="170"/>
      <c r="CE126" s="170"/>
      <c r="CF126" s="170"/>
      <c r="CG126" s="170"/>
      <c r="CH126" s="170"/>
      <c r="CI126" s="170"/>
      <c r="CJ126" s="170"/>
      <c r="CK126" s="171"/>
      <c r="CL126" s="170"/>
      <c r="CM126" s="170"/>
      <c r="CN126" s="170"/>
      <c r="CO126" s="170"/>
      <c r="CP126" s="170"/>
      <c r="CQ126" s="170"/>
      <c r="CR126" s="170"/>
      <c r="CS126" s="170"/>
      <c r="CT126" s="170"/>
      <c r="CU126" s="170"/>
      <c r="CV126" s="170"/>
      <c r="CW126" s="170"/>
      <c r="CX126" s="170"/>
      <c r="CY126" s="170"/>
      <c r="CZ126" s="170"/>
      <c r="DA126" s="170"/>
      <c r="DB126" s="78"/>
      <c r="DC126" s="78"/>
      <c r="DD126" s="78"/>
      <c r="EJ126" s="78"/>
      <c r="EK126" s="78"/>
    </row>
    <row r="127" spans="2:141" ht="42" customHeight="1" thickBot="1" x14ac:dyDescent="0.3">
      <c r="G127" s="1011"/>
      <c r="H127" s="131"/>
      <c r="I127" s="131"/>
      <c r="J127" s="131"/>
      <c r="K127" s="131"/>
      <c r="L127" s="131"/>
      <c r="M127" s="131"/>
      <c r="N127" s="131"/>
      <c r="O127" s="1012"/>
      <c r="BN127" s="86"/>
      <c r="BO127" s="1095" t="s">
        <v>128</v>
      </c>
      <c r="BP127" s="172" t="s">
        <v>124</v>
      </c>
      <c r="BQ127" s="750" t="str">
        <f>IF(BQ125=1,17,"")</f>
        <v/>
      </c>
      <c r="BR127" s="751" t="str">
        <f>IF(BR125=2,16,"")</f>
        <v/>
      </c>
      <c r="BS127" s="751" t="str">
        <f>IF(BS125=3,15,"")</f>
        <v/>
      </c>
      <c r="BT127" s="751" t="str">
        <f>IF(BT125=4,14,"")</f>
        <v/>
      </c>
      <c r="BU127" s="751" t="str">
        <f>IF(BU125=5,13,"")</f>
        <v/>
      </c>
      <c r="BV127" s="751" t="str">
        <f>IF(BV125=6,12,"")</f>
        <v/>
      </c>
      <c r="BW127" s="751" t="str">
        <f>IF(BW125=7,11,"")</f>
        <v/>
      </c>
      <c r="BX127" s="751" t="str">
        <f>IF(BX125=8,10,"")</f>
        <v/>
      </c>
      <c r="BY127" s="751" t="str">
        <f>IF(BY125=9,9,"")</f>
        <v/>
      </c>
      <c r="BZ127" s="751">
        <f>IF(BZ125=10,8,"")</f>
        <v>8</v>
      </c>
      <c r="CA127" s="751" t="str">
        <f>IF(CA125=11,7,"")</f>
        <v/>
      </c>
      <c r="CB127" s="752" t="str">
        <f>IF(CB125=12,"6  ADS ","")</f>
        <v/>
      </c>
      <c r="CC127" s="751" t="str">
        <f>IF(CC125=13,5,"")</f>
        <v/>
      </c>
      <c r="CD127" s="751" t="str">
        <f>IF(CD125=14,4,"")</f>
        <v/>
      </c>
      <c r="CE127" s="751" t="str">
        <f>IF(CE125=15,3,"")</f>
        <v/>
      </c>
      <c r="CF127" s="751" t="str">
        <f>IF(CF125=16,2,"")</f>
        <v/>
      </c>
      <c r="CG127" s="751" t="str">
        <f>IF(CG125=17,1,"")</f>
        <v/>
      </c>
      <c r="CH127" s="173"/>
      <c r="CI127" s="174"/>
      <c r="CJ127" s="175"/>
      <c r="CK127" s="753" t="str">
        <f>IF(CK125=21,1,"")</f>
        <v/>
      </c>
      <c r="CL127" s="753" t="str">
        <f>IF(CL125=22,2,"")</f>
        <v/>
      </c>
      <c r="CM127" s="753" t="str">
        <f>IF(CM125=23,3,"")</f>
        <v/>
      </c>
      <c r="CN127" s="753" t="str">
        <f>IF(CN125=24,4,"")</f>
        <v/>
      </c>
      <c r="CO127" s="753" t="str">
        <f>IF(CO125=25,5,"")</f>
        <v/>
      </c>
      <c r="CP127" s="904" t="str">
        <f>IF(CP125=26,"6  ADS ","")</f>
        <v xml:space="preserve">6  ADS </v>
      </c>
      <c r="CQ127" s="753" t="str">
        <f>IF(CQ125=27,7,"")</f>
        <v/>
      </c>
      <c r="CR127" s="753" t="str">
        <f>IF(CR125=28,8,"")</f>
        <v/>
      </c>
      <c r="CS127" s="753" t="str">
        <f>IF(CS125=29,9,"")</f>
        <v/>
      </c>
      <c r="CT127" s="753" t="str">
        <f>IF(CT125=30,10,"")</f>
        <v/>
      </c>
      <c r="CU127" s="753" t="str">
        <f>IF(CU125=31,11,"")</f>
        <v/>
      </c>
      <c r="CV127" s="753" t="str">
        <f>IF(CV125=32,12,"")</f>
        <v/>
      </c>
      <c r="CW127" s="753" t="str">
        <f>IF(CW125=33,13,"")</f>
        <v/>
      </c>
      <c r="CX127" s="753" t="str">
        <f>IF(CX125=34,14,"")</f>
        <v/>
      </c>
      <c r="CY127" s="753" t="str">
        <f>IF(CY125=35,15,"")</f>
        <v/>
      </c>
      <c r="CZ127" s="753" t="str">
        <f>IF(CZ125=36,16,"")</f>
        <v/>
      </c>
      <c r="DA127" s="755" t="str">
        <f>IF(DA125=37,17,"")</f>
        <v/>
      </c>
      <c r="DB127" s="340"/>
      <c r="DC127" s="78"/>
      <c r="DD127" s="78"/>
      <c r="EJ127" s="78"/>
      <c r="EK127" s="78"/>
    </row>
    <row r="128" spans="2:141" ht="42" customHeight="1" thickBot="1" x14ac:dyDescent="0.3">
      <c r="G128" s="998"/>
      <c r="H128" s="201"/>
      <c r="I128" s="201"/>
      <c r="J128" s="201"/>
      <c r="K128" s="201"/>
      <c r="L128" s="201"/>
      <c r="M128" s="201"/>
      <c r="N128" s="201"/>
      <c r="O128" s="1013"/>
      <c r="BL128" s="968">
        <v>6</v>
      </c>
      <c r="BM128" s="1762" t="b">
        <f>AND(BO128&gt;=10,$BA$138&gt;=10,$AZ$138&gt;=10,$AZ$159&gt;=10,$BA$159&gt;=10)</f>
        <v>1</v>
      </c>
      <c r="BN128" s="84" t="str">
        <f>IF(BM128=TRUE,"O K","OVERLOAD")</f>
        <v>O K</v>
      </c>
      <c r="BO128" s="982">
        <f>SUM(I132:M132)</f>
        <v>96.501809408926405</v>
      </c>
      <c r="BP128" s="788" t="s">
        <v>185</v>
      </c>
      <c r="BQ128" s="789">
        <v>-10</v>
      </c>
      <c r="BR128" s="789">
        <v>-9</v>
      </c>
      <c r="BS128" s="789">
        <v>-8</v>
      </c>
      <c r="BT128" s="789">
        <v>-7</v>
      </c>
      <c r="BU128" s="789">
        <v>-6</v>
      </c>
      <c r="BV128" s="789">
        <v>-5</v>
      </c>
      <c r="BW128" s="789">
        <v>-4</v>
      </c>
      <c r="BX128" s="789">
        <v>-3</v>
      </c>
      <c r="BY128" s="789">
        <v>-2</v>
      </c>
      <c r="BZ128" s="789">
        <v>-1</v>
      </c>
      <c r="CA128" s="789">
        <v>0</v>
      </c>
      <c r="CB128" s="789">
        <v>1</v>
      </c>
      <c r="CC128" s="789">
        <v>2</v>
      </c>
      <c r="CD128" s="789">
        <v>3</v>
      </c>
      <c r="CE128" s="789">
        <v>4</v>
      </c>
      <c r="CF128" s="789">
        <v>5</v>
      </c>
      <c r="CG128" s="789">
        <v>6</v>
      </c>
      <c r="CH128" s="789">
        <v>7</v>
      </c>
      <c r="CI128" s="789">
        <v>8</v>
      </c>
      <c r="CJ128" s="789">
        <v>9</v>
      </c>
      <c r="CK128" s="789">
        <v>10</v>
      </c>
      <c r="CL128" s="789">
        <v>11</v>
      </c>
      <c r="CM128" s="789">
        <v>12</v>
      </c>
      <c r="CN128" s="789">
        <v>13</v>
      </c>
      <c r="CO128" s="789">
        <v>14</v>
      </c>
      <c r="CP128" s="789">
        <v>15</v>
      </c>
      <c r="CQ128" s="789">
        <v>16</v>
      </c>
      <c r="CR128" s="789">
        <v>17</v>
      </c>
      <c r="CS128" s="789">
        <v>18</v>
      </c>
      <c r="CT128" s="789">
        <v>19</v>
      </c>
      <c r="CU128" s="789">
        <v>20</v>
      </c>
      <c r="CV128" s="789">
        <v>21</v>
      </c>
      <c r="CW128" s="789">
        <v>22</v>
      </c>
      <c r="CX128" s="789">
        <v>23</v>
      </c>
      <c r="CY128" s="789">
        <v>24</v>
      </c>
      <c r="CZ128" s="789">
        <v>25</v>
      </c>
      <c r="DA128" s="791">
        <v>26</v>
      </c>
      <c r="DB128" s="78"/>
      <c r="DC128" s="78"/>
      <c r="DD128" s="78"/>
      <c r="EJ128" s="78"/>
      <c r="EK128" s="78"/>
    </row>
    <row r="129" spans="2:108" ht="51" customHeight="1" thickBot="1" x14ac:dyDescent="0.25">
      <c r="B129" s="408"/>
      <c r="D129" s="409" t="str">
        <f>IF(BL131&gt;0," ","change the angle of frame or of cabinets")</f>
        <v xml:space="preserve"> </v>
      </c>
      <c r="E129" s="208"/>
      <c r="F129" s="208"/>
      <c r="G129" s="998"/>
      <c r="H129"/>
      <c r="I129"/>
      <c r="J129"/>
      <c r="K129"/>
      <c r="L129"/>
      <c r="M129"/>
      <c r="N129"/>
      <c r="O129" s="995"/>
      <c r="BE129" s="136"/>
      <c r="BF129" s="136"/>
      <c r="BG129" s="136"/>
      <c r="BH129" s="136"/>
      <c r="BM129" s="402"/>
      <c r="BN129" s="136"/>
      <c r="BO129" s="1091"/>
      <c r="BP129" s="78"/>
      <c r="BQ129" s="199"/>
      <c r="BR129" s="199"/>
      <c r="BS129" s="199"/>
      <c r="BT129" s="199"/>
      <c r="BU129" s="199"/>
      <c r="BV129" s="199"/>
      <c r="BW129" s="199"/>
      <c r="BX129" s="199"/>
      <c r="BY129" s="199"/>
      <c r="BZ129" s="199"/>
      <c r="CA129" s="199"/>
      <c r="CB129" s="199"/>
      <c r="CC129" s="199"/>
      <c r="CD129" s="199"/>
      <c r="CE129" s="199"/>
      <c r="CF129" s="199"/>
      <c r="CG129" s="199"/>
      <c r="CH129" s="199"/>
      <c r="CI129" s="199"/>
      <c r="CJ129" s="199"/>
      <c r="CK129" s="199"/>
      <c r="CL129" s="199"/>
      <c r="CM129" s="199"/>
      <c r="CN129" s="199"/>
      <c r="CO129" s="199"/>
      <c r="CP129" s="199"/>
      <c r="CQ129" s="199"/>
      <c r="CR129" s="199"/>
      <c r="CS129" s="199"/>
      <c r="CT129" s="199"/>
      <c r="CU129" s="199"/>
      <c r="CV129" s="199"/>
      <c r="CW129" s="199"/>
      <c r="CX129" s="199"/>
      <c r="CY129" s="199"/>
      <c r="CZ129" s="199"/>
      <c r="DA129" s="199"/>
      <c r="DB129" s="199"/>
    </row>
    <row r="130" spans="2:108" ht="51" customHeight="1" thickBot="1" x14ac:dyDescent="0.3">
      <c r="B130" s="1846" t="s">
        <v>116</v>
      </c>
      <c r="D130" s="409" t="str">
        <f>IF(DD133&lt;0," ","change the angle of frame or of cabinets")</f>
        <v xml:space="preserve"> </v>
      </c>
      <c r="E130" s="208"/>
      <c r="F130" s="208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V130" s="410"/>
      <c r="W130" s="410"/>
      <c r="X130" s="410"/>
      <c r="Y130" s="410"/>
      <c r="Z130" s="410"/>
      <c r="AA130" s="410"/>
      <c r="AF130" s="401"/>
      <c r="AG130" s="401"/>
      <c r="AH130" s="401"/>
      <c r="AI130" s="401"/>
      <c r="AJ130" s="401"/>
      <c r="AK130" s="401"/>
      <c r="AL130" s="401"/>
      <c r="AM130" s="401"/>
      <c r="AN130" s="401"/>
      <c r="AO130" s="401"/>
      <c r="AP130" s="401"/>
      <c r="AQ130" s="401"/>
      <c r="AR130" s="401"/>
      <c r="AS130" s="401"/>
      <c r="AT130" s="401"/>
      <c r="AU130" s="401"/>
      <c r="AV130" s="401"/>
      <c r="AW130" s="401"/>
      <c r="AX130" s="401"/>
      <c r="AY130" s="401"/>
      <c r="AZ130" s="401"/>
      <c r="BA130" s="401"/>
      <c r="BB130" s="143"/>
      <c r="BE130" s="136"/>
      <c r="BF130" s="136"/>
      <c r="BG130" s="136"/>
      <c r="BH130" s="136"/>
      <c r="BL130" s="204" t="s">
        <v>59</v>
      </c>
      <c r="BM130" s="402"/>
      <c r="BN130" s="136"/>
      <c r="BO130" s="1091"/>
      <c r="BP130" s="76"/>
      <c r="BQ130" s="76"/>
      <c r="BR130" s="76"/>
      <c r="BS130" s="76"/>
      <c r="BT130" s="76"/>
      <c r="BU130" s="76"/>
      <c r="BV130" s="202"/>
      <c r="BW130" s="202"/>
      <c r="BX130" s="202"/>
      <c r="BY130" s="202"/>
      <c r="BZ130" s="202"/>
      <c r="CA130" s="202"/>
      <c r="CB130" s="202"/>
      <c r="CC130" s="202"/>
      <c r="CD130" s="202"/>
      <c r="CE130" s="202"/>
      <c r="CF130" s="202"/>
      <c r="CG130" s="202"/>
      <c r="CH130" s="202"/>
      <c r="CI130" s="202"/>
      <c r="CJ130" s="78"/>
      <c r="CK130" s="78"/>
      <c r="CL130" s="78"/>
      <c r="CM130" s="78"/>
      <c r="CN130" s="78"/>
      <c r="CO130" s="78"/>
      <c r="CP130" s="78"/>
      <c r="CQ130" s="78"/>
      <c r="CR130" s="78"/>
      <c r="CS130" s="78"/>
      <c r="CT130" s="78"/>
      <c r="CU130" s="78"/>
      <c r="CV130" s="78"/>
      <c r="CW130" s="78"/>
      <c r="CX130" s="78"/>
      <c r="CY130" s="78"/>
      <c r="CZ130" s="78"/>
      <c r="DA130" s="78"/>
      <c r="DB130" s="78"/>
      <c r="DC130" s="78"/>
      <c r="DD130" s="78"/>
    </row>
    <row r="131" spans="2:108" ht="51" customHeight="1" thickBot="1" x14ac:dyDescent="0.3">
      <c r="B131" s="1847"/>
      <c r="C131" s="213"/>
      <c r="D131" s="409" t="str">
        <f>IF(BL131&gt;(+COS(($B$132*-1)*3.14159265358979/180)*451.5)," ","USE EXBAR AR AT THE FRONT")</f>
        <v xml:space="preserve"> </v>
      </c>
      <c r="E131" s="208"/>
      <c r="F131" s="208"/>
      <c r="G131" s="1014"/>
      <c r="H131" s="209"/>
      <c r="I131" s="1085">
        <f>COUNTIF(CK125:DA125,"&gt;0")</f>
        <v>1</v>
      </c>
      <c r="J131" s="1085">
        <f>COUNTIF(BQ125:CG125,"&gt;0")</f>
        <v>1</v>
      </c>
      <c r="K131" s="1085" t="b">
        <f>AND(IF(SUM(BQ127:CA127)&gt;0,1,0),IF(CP127="6  ADS ",1,0))</f>
        <v>1</v>
      </c>
      <c r="L131" s="1085" t="b">
        <f>AND(IF(SUM(CQ127:DA127)&gt;0,1,0),IF(CB127="6  ADS ",1,0))</f>
        <v>0</v>
      </c>
      <c r="M131" s="1085" t="b">
        <f>AND(IF(CP127="6  ADS ",1,0),IF(CB127="6  ADS ",1,0))</f>
        <v>0</v>
      </c>
      <c r="N131" s="209"/>
      <c r="O131" s="1015"/>
      <c r="BE131" s="136"/>
      <c r="BF131" s="136"/>
      <c r="BG131" s="136"/>
      <c r="BH131" s="136"/>
      <c r="BL131" s="204">
        <f>-+BH191</f>
        <v>730.51253270193752</v>
      </c>
      <c r="BM131" s="402"/>
      <c r="BN131" s="136"/>
      <c r="BO131" s="1091"/>
      <c r="BP131" s="126"/>
      <c r="BQ131" s="126"/>
      <c r="BR131" s="126"/>
      <c r="BS131" s="126"/>
      <c r="BT131" s="126"/>
      <c r="BU131" s="126"/>
      <c r="BV131" s="203"/>
      <c r="BW131" s="203"/>
      <c r="BX131" s="203"/>
      <c r="BY131" s="203"/>
      <c r="BZ131" s="203"/>
      <c r="CA131" s="203"/>
      <c r="CB131" s="203"/>
      <c r="CC131" s="203"/>
      <c r="CD131" s="203"/>
      <c r="CE131" s="203"/>
      <c r="CF131" s="203"/>
      <c r="CG131" s="203"/>
      <c r="CH131" s="203"/>
      <c r="CI131" s="203"/>
    </row>
    <row r="132" spans="2:108" ht="51" customHeight="1" thickBot="1" x14ac:dyDescent="0.3">
      <c r="B132" s="4">
        <v>0</v>
      </c>
      <c r="C132" s="213"/>
      <c r="D132" s="341" t="str">
        <f>IF(DD133&lt;-(+COS(($B$132*-1)*3.14159265358979/180)*365.5)," ","USE EXBAR AR AT THE BACK")</f>
        <v xml:space="preserve"> </v>
      </c>
      <c r="E132" s="208"/>
      <c r="F132" s="208"/>
      <c r="G132" s="1016"/>
      <c r="H132" s="1017"/>
      <c r="I132" s="1086">
        <f>IF(I131=2,I126,0)</f>
        <v>0</v>
      </c>
      <c r="J132" s="1086">
        <f>IF(J131=2,J126,0)</f>
        <v>0</v>
      </c>
      <c r="K132" s="1086">
        <f t="shared" ref="K132:M132" si="4">IF(K131=TRUE,K126,0)</f>
        <v>96.501809408926405</v>
      </c>
      <c r="L132" s="1086">
        <f t="shared" si="4"/>
        <v>0</v>
      </c>
      <c r="M132" s="1086">
        <f t="shared" si="4"/>
        <v>0</v>
      </c>
      <c r="N132" s="1017"/>
      <c r="O132" s="1018"/>
      <c r="AK132" s="835" t="s">
        <v>174</v>
      </c>
      <c r="AL132" s="836"/>
      <c r="AM132" s="836"/>
      <c r="AN132" s="836"/>
      <c r="AO132" s="837" t="s">
        <v>178</v>
      </c>
      <c r="BE132" s="136"/>
      <c r="BF132" s="136"/>
      <c r="BG132" s="136"/>
      <c r="BH132" s="136"/>
      <c r="BM132" s="402"/>
      <c r="BN132" s="187"/>
      <c r="BO132" s="1091"/>
      <c r="BP132" s="64"/>
      <c r="BS132" s="126"/>
      <c r="BT132" s="126"/>
      <c r="BU132" s="126"/>
      <c r="BV132" s="203"/>
      <c r="BW132" s="203"/>
      <c r="BX132" s="203"/>
      <c r="BY132" s="203"/>
      <c r="BZ132" s="203"/>
      <c r="CA132" s="203"/>
      <c r="CB132" s="203"/>
      <c r="CC132" s="203"/>
      <c r="CD132" s="203"/>
      <c r="CE132" s="203"/>
      <c r="CF132" s="203"/>
      <c r="CG132" s="203"/>
      <c r="CH132" s="203"/>
      <c r="CI132" s="203"/>
      <c r="CR132" s="64"/>
      <c r="DD132" s="204" t="s">
        <v>58</v>
      </c>
    </row>
    <row r="133" spans="2:108" ht="21" customHeight="1" thickBot="1" x14ac:dyDescent="0.3">
      <c r="AK133" s="838" t="s">
        <v>175</v>
      </c>
      <c r="AL133" s="835" t="s">
        <v>176</v>
      </c>
      <c r="AM133" s="835" t="s">
        <v>177</v>
      </c>
      <c r="AN133" s="839" t="s">
        <v>181</v>
      </c>
      <c r="AO133" s="840" t="s">
        <v>179</v>
      </c>
      <c r="BE133" s="136"/>
      <c r="BF133" s="136"/>
      <c r="BG133" s="136"/>
      <c r="BH133" s="136"/>
      <c r="BM133" s="402"/>
      <c r="BN133" s="187"/>
      <c r="BO133" s="1091"/>
      <c r="BP133" s="64"/>
      <c r="BS133" s="126"/>
      <c r="BT133" s="126"/>
      <c r="BU133" s="126"/>
      <c r="BV133" s="203"/>
      <c r="BW133" s="203"/>
      <c r="BX133" s="203"/>
      <c r="BY133" s="203"/>
      <c r="BZ133" s="203"/>
      <c r="CA133" s="203"/>
      <c r="CB133" s="203"/>
      <c r="CC133" s="203"/>
      <c r="CD133" s="203"/>
      <c r="CE133" s="203"/>
      <c r="CF133" s="203"/>
      <c r="CG133" s="203"/>
      <c r="CH133" s="203"/>
      <c r="CI133" s="203"/>
      <c r="CP133" s="212"/>
      <c r="CR133" s="64"/>
      <c r="DD133" s="204">
        <f>+-BH227</f>
        <v>-817.48746729806248</v>
      </c>
    </row>
    <row r="134" spans="2:108" ht="71.25" customHeight="1" thickBot="1" x14ac:dyDescent="0.3">
      <c r="B134" s="411" t="s">
        <v>30</v>
      </c>
      <c r="C134" s="412"/>
      <c r="D134" s="37"/>
      <c r="E134" s="37"/>
      <c r="F134" s="37"/>
      <c r="G134" s="37"/>
      <c r="T134" s="187"/>
      <c r="AK134" s="838">
        <v>6.8623010000000004</v>
      </c>
      <c r="AL134" s="835">
        <f>+$B$132-AK134</f>
        <v>-6.8623010000000004</v>
      </c>
      <c r="AM134" s="841">
        <f>COS(AL134*3.14159265358979/180)</f>
        <v>0.99283617366519983</v>
      </c>
      <c r="AN134" s="842">
        <f>+AM134*378.71303</f>
        <v>375.99999562235405</v>
      </c>
      <c r="AO134" s="813">
        <f>+((AO138*AQ138)+(AN134*31))/(AQ138+31)</f>
        <v>305.01254640454056</v>
      </c>
      <c r="BE134" s="136"/>
      <c r="BF134" s="136"/>
      <c r="BG134" s="136"/>
      <c r="BH134" s="136"/>
      <c r="BM134" s="402"/>
      <c r="BN134" s="136"/>
      <c r="BO134" s="1091"/>
      <c r="BP134" s="126"/>
      <c r="BQ134" s="126"/>
      <c r="BR134" s="126"/>
      <c r="BS134" s="126"/>
      <c r="BT134" s="126"/>
      <c r="BU134" s="126"/>
      <c r="BV134" s="203"/>
      <c r="BW134" s="203"/>
      <c r="BX134" s="203"/>
      <c r="BY134" s="203"/>
      <c r="BZ134" s="203"/>
      <c r="CA134" s="203"/>
      <c r="CB134" s="203"/>
      <c r="CC134" s="203"/>
      <c r="CD134" s="203"/>
      <c r="CE134" s="203"/>
      <c r="CF134" s="203"/>
      <c r="CG134" s="203"/>
      <c r="CH134" s="203"/>
      <c r="CI134" s="203"/>
    </row>
    <row r="135" spans="2:108" ht="32.25" customHeight="1" thickBot="1" x14ac:dyDescent="0.35">
      <c r="B135" s="28">
        <v>1</v>
      </c>
      <c r="C135" s="216"/>
      <c r="D135" s="413" t="s">
        <v>65</v>
      </c>
      <c r="E135" s="330"/>
      <c r="F135" s="330"/>
      <c r="G135" s="330"/>
      <c r="H135" s="342" t="s">
        <v>87</v>
      </c>
      <c r="I135" s="342" t="s">
        <v>88</v>
      </c>
      <c r="J135" s="342" t="s">
        <v>89</v>
      </c>
      <c r="K135"/>
      <c r="L135"/>
      <c r="M135"/>
      <c r="N135"/>
      <c r="O135"/>
      <c r="P135" s="342" t="s">
        <v>90</v>
      </c>
      <c r="Q135" s="342" t="s">
        <v>91</v>
      </c>
      <c r="R135" s="330"/>
      <c r="S135" s="342" t="s">
        <v>92</v>
      </c>
      <c r="T135" s="414"/>
      <c r="W135" s="1850" t="s">
        <v>93</v>
      </c>
      <c r="X135" s="1850"/>
      <c r="Y135" s="1850"/>
      <c r="Z135" s="1850"/>
      <c r="AA135" s="1850"/>
      <c r="AY135" s="415"/>
      <c r="AZ135" s="1848" t="s">
        <v>52</v>
      </c>
      <c r="BA135" s="1849"/>
      <c r="BE135" s="136"/>
      <c r="BF135" s="136"/>
      <c r="BG135" s="136"/>
      <c r="BH135" s="136"/>
      <c r="BM135" s="214"/>
      <c r="BN135" s="214"/>
      <c r="BO135" s="214"/>
    </row>
    <row r="136" spans="2:108" ht="79" hidden="1" thickBot="1" x14ac:dyDescent="0.35">
      <c r="C136" s="416"/>
      <c r="D136" s="417" t="s">
        <v>13</v>
      </c>
      <c r="H136" s="356" t="s">
        <v>4</v>
      </c>
      <c r="I136" s="356" t="s">
        <v>1</v>
      </c>
      <c r="J136" s="377" t="s">
        <v>73</v>
      </c>
      <c r="K136" s="316" t="s">
        <v>2</v>
      </c>
      <c r="L136" s="316" t="s">
        <v>3</v>
      </c>
      <c r="M136" s="316" t="s">
        <v>8</v>
      </c>
      <c r="N136" s="316" t="s">
        <v>5</v>
      </c>
      <c r="O136" s="316" t="s">
        <v>6</v>
      </c>
      <c r="P136" s="316" t="s">
        <v>7</v>
      </c>
      <c r="Q136" s="316" t="s">
        <v>9</v>
      </c>
      <c r="R136" s="356" t="s">
        <v>10</v>
      </c>
      <c r="S136" s="316" t="s">
        <v>11</v>
      </c>
      <c r="T136" s="418" t="s">
        <v>12</v>
      </c>
      <c r="W136" s="356" t="s">
        <v>97</v>
      </c>
      <c r="X136" s="316" t="s">
        <v>94</v>
      </c>
      <c r="Y136" s="356" t="s">
        <v>98</v>
      </c>
      <c r="Z136" s="419" t="s">
        <v>95</v>
      </c>
      <c r="AA136" s="419" t="s">
        <v>96</v>
      </c>
      <c r="AC136" s="316" t="s">
        <v>99</v>
      </c>
      <c r="AD136" s="316"/>
      <c r="AE136" s="316"/>
      <c r="AF136" s="420"/>
      <c r="AG136" s="420"/>
      <c r="AH136" s="420"/>
      <c r="AI136" s="420"/>
      <c r="AJ136" s="420"/>
      <c r="AK136" s="420"/>
      <c r="AL136" s="420"/>
      <c r="AM136" s="420"/>
      <c r="AN136" s="420"/>
      <c r="AO136" s="420" t="s">
        <v>135</v>
      </c>
      <c r="AP136" s="420"/>
      <c r="AQ136" s="420" t="s">
        <v>135</v>
      </c>
      <c r="AR136" s="420"/>
      <c r="AS136" s="420"/>
      <c r="AT136" s="420" t="s">
        <v>135</v>
      </c>
      <c r="AU136" s="420"/>
      <c r="AV136" s="420"/>
      <c r="AW136" s="420"/>
      <c r="AX136" s="415"/>
      <c r="AY136" s="415"/>
      <c r="AZ136" s="420"/>
      <c r="BA136" s="420"/>
      <c r="BB136" s="231"/>
      <c r="BE136" s="136"/>
      <c r="BF136" s="136"/>
      <c r="BG136" s="136"/>
      <c r="BH136" s="136"/>
      <c r="BM136" s="214"/>
      <c r="BN136" s="214"/>
      <c r="BO136" s="214"/>
    </row>
    <row r="137" spans="2:108" ht="52" customHeight="1" thickBot="1" x14ac:dyDescent="0.35">
      <c r="B137" s="421"/>
      <c r="C137" s="422"/>
      <c r="D137" s="348" t="s">
        <v>22</v>
      </c>
      <c r="E137" s="330"/>
      <c r="F137" s="330"/>
      <c r="G137" s="240"/>
      <c r="H137" s="356"/>
      <c r="I137" s="356"/>
      <c r="J137" s="377"/>
      <c r="K137" s="316"/>
      <c r="L137" s="316"/>
      <c r="M137" s="316"/>
      <c r="N137" s="316"/>
      <c r="O137" s="316"/>
      <c r="P137" s="316"/>
      <c r="Q137" s="316"/>
      <c r="R137" s="356"/>
      <c r="S137" s="316"/>
      <c r="T137" s="418"/>
      <c r="V137" s="420"/>
      <c r="W137" s="420"/>
      <c r="X137" s="420"/>
      <c r="Y137" s="420"/>
      <c r="Z137" s="420"/>
      <c r="AA137" s="420"/>
      <c r="AB137" s="420"/>
      <c r="AC137" s="423">
        <f>SUM(AC138:AC149)</f>
        <v>343.49989132317432</v>
      </c>
      <c r="AD137" s="424"/>
      <c r="AE137" s="424"/>
      <c r="AF137" s="420" t="s">
        <v>38</v>
      </c>
      <c r="AG137" s="425" t="s">
        <v>31</v>
      </c>
      <c r="AH137" s="425"/>
      <c r="AI137" s="367" t="s">
        <v>67</v>
      </c>
      <c r="AJ137" s="426" t="s">
        <v>32</v>
      </c>
      <c r="AK137" s="367" t="s">
        <v>33</v>
      </c>
      <c r="AL137" s="368" t="s">
        <v>68</v>
      </c>
      <c r="AM137" s="427" t="s">
        <v>34</v>
      </c>
      <c r="AN137" s="367" t="s">
        <v>35</v>
      </c>
      <c r="AO137" s="428" t="s">
        <v>48</v>
      </c>
      <c r="AP137" s="367" t="s">
        <v>47</v>
      </c>
      <c r="AQ137" s="428" t="s">
        <v>136</v>
      </c>
      <c r="AR137" s="420" t="s">
        <v>46</v>
      </c>
      <c r="AS137" s="420" t="s">
        <v>39</v>
      </c>
      <c r="AT137" s="428" t="s">
        <v>50</v>
      </c>
      <c r="AU137" s="420" t="s">
        <v>49</v>
      </c>
      <c r="AV137" s="429" t="s">
        <v>41</v>
      </c>
      <c r="AW137" s="429" t="s">
        <v>42</v>
      </c>
      <c r="AX137" s="430" t="s">
        <v>23</v>
      </c>
      <c r="AY137" s="430" t="s">
        <v>24</v>
      </c>
      <c r="AZ137" s="431" t="s">
        <v>23</v>
      </c>
      <c r="BA137" s="431" t="s">
        <v>24</v>
      </c>
      <c r="BC137" s="276"/>
      <c r="BE137" s="136"/>
      <c r="BF137" s="136"/>
      <c r="BG137" s="136"/>
      <c r="BH137" s="136"/>
      <c r="BM137" s="214"/>
      <c r="BN137" s="214"/>
      <c r="BO137" s="214"/>
    </row>
    <row r="138" spans="2:108" ht="21" thickBot="1" x14ac:dyDescent="0.35">
      <c r="B138" s="255">
        <v>1</v>
      </c>
      <c r="C138" s="256">
        <f>+(B132*-1)+D138</f>
        <v>0</v>
      </c>
      <c r="D138" s="25">
        <v>0</v>
      </c>
      <c r="E138" s="432" t="s">
        <v>80</v>
      </c>
      <c r="F138" s="280"/>
      <c r="G138" s="280"/>
      <c r="H138" s="342">
        <v>421.92079999999999</v>
      </c>
      <c r="I138" s="342">
        <v>35.4982179</v>
      </c>
      <c r="J138" s="342">
        <f>+I138-C138</f>
        <v>35.4982179</v>
      </c>
      <c r="K138" s="280"/>
      <c r="L138" s="280"/>
      <c r="M138" s="280"/>
      <c r="N138" s="280"/>
      <c r="O138" s="280"/>
      <c r="P138" s="342">
        <f>COS(J138*3.14159265358979/180)</f>
        <v>0.81413357986421708</v>
      </c>
      <c r="Q138" s="342">
        <f>+P138*H138</f>
        <v>343.49989132317432</v>
      </c>
      <c r="R138" s="433">
        <v>343.5</v>
      </c>
      <c r="S138" s="342">
        <f>+Q138</f>
        <v>343.49989132317432</v>
      </c>
      <c r="T138" s="280">
        <f t="shared" ref="T138:T149" si="5">+S138</f>
        <v>343.49989132317432</v>
      </c>
      <c r="U138" s="280"/>
      <c r="V138" s="280">
        <f t="shared" ref="V138:V149" si="6">IF(B138&lt;($B$135+1),T138,0)</f>
        <v>343.49989132317432</v>
      </c>
      <c r="W138" s="433">
        <v>35.4982179</v>
      </c>
      <c r="X138" s="280">
        <f>+W138+AH150</f>
        <v>35.4982179</v>
      </c>
      <c r="Y138" s="280">
        <v>421.92079999999999</v>
      </c>
      <c r="Z138" s="434">
        <f>+COS(X138*3.14159265358979/180)*Y138</f>
        <v>343.49989132317432</v>
      </c>
      <c r="AA138" s="435">
        <f>+AC137-Z138</f>
        <v>0</v>
      </c>
      <c r="AB138" s="280"/>
      <c r="AC138" s="436">
        <f>IF(AD138=1,AF138)</f>
        <v>343.49989132317432</v>
      </c>
      <c r="AD138" s="436">
        <f t="shared" ref="AD138:AD149" si="7">MAX(AE$138:AE$149)</f>
        <v>1</v>
      </c>
      <c r="AE138" s="436">
        <f>IF(V138=0,0,1)</f>
        <v>1</v>
      </c>
      <c r="AF138" s="437">
        <f>SUM(V138:V149)/($B$135)</f>
        <v>343.49989132317432</v>
      </c>
      <c r="AG138" s="438">
        <f>+D138+C138</f>
        <v>0</v>
      </c>
      <c r="AH138" s="439">
        <f t="shared" ref="AH138:AH149" si="8">IF(B138&lt;($B$135+1),AG138)</f>
        <v>0</v>
      </c>
      <c r="AI138" s="440">
        <f>54.5017821+AG138</f>
        <v>54.5017821</v>
      </c>
      <c r="AJ138" s="441">
        <f>SIN(AI138*3.14159265358979/180)</f>
        <v>0.81413357986421619</v>
      </c>
      <c r="AK138" s="382">
        <f>+AJ138*421.92</f>
        <v>343.49924001631013</v>
      </c>
      <c r="AL138" s="440">
        <f>58.7344156-AG138</f>
        <v>58.734415599999998</v>
      </c>
      <c r="AM138" s="442">
        <f>SIN(AL138*3.14159265358979/180)</f>
        <v>0.85477073319485097</v>
      </c>
      <c r="AN138" s="382">
        <f>+AM138*472.06</f>
        <v>403.50307231196138</v>
      </c>
      <c r="AO138" s="443">
        <f t="shared" ref="AO138:AO149" si="9">+((AF138*AP138)+($AP$159*($AF$159+$AA$138)))/AQ138</f>
        <v>282.96233672766471</v>
      </c>
      <c r="AP138" s="382">
        <f>57*B135</f>
        <v>57</v>
      </c>
      <c r="AQ138" s="443">
        <f t="shared" ref="AQ138:AQ149" si="10">+AP138+$AP$159+2.3</f>
        <v>99.8</v>
      </c>
      <c r="AR138" s="444">
        <f>+AN138+AK138</f>
        <v>747.0023123282715</v>
      </c>
      <c r="AS138" s="445">
        <f>+V138-AN138</f>
        <v>-60.003180988787051</v>
      </c>
      <c r="AT138" s="446">
        <f>+AO138-AS138</f>
        <v>342.96551771645176</v>
      </c>
      <c r="AU138" s="445">
        <f>+AF138-AS138</f>
        <v>403.50307231196138</v>
      </c>
      <c r="AV138" s="447">
        <f>+((AR138-AT138)/AR138)*AQ138</f>
        <v>53.979581370478613</v>
      </c>
      <c r="AW138" s="447">
        <f>+(AT138/AR138)*AQ138</f>
        <v>45.820418629521384</v>
      </c>
      <c r="AX138" s="448">
        <f t="shared" ref="AX138:AX149" si="11">2*$C$19/AV138</f>
        <v>214.89607191255524</v>
      </c>
      <c r="AY138" s="448">
        <f t="shared" ref="AY138:AY149" si="12">2*$D$19/AW138</f>
        <v>253.16224397230408</v>
      </c>
      <c r="AZ138" s="449">
        <f>ABS(AX138)</f>
        <v>214.89607191255524</v>
      </c>
      <c r="BA138" s="449">
        <f>ABS(AY138)</f>
        <v>253.16224397230408</v>
      </c>
      <c r="BB138" s="91"/>
      <c r="BC138" s="276"/>
      <c r="BE138" s="136"/>
      <c r="BF138" s="136"/>
      <c r="BG138" s="136"/>
      <c r="BH138" s="136"/>
      <c r="BM138" s="214"/>
      <c r="BN138" s="214"/>
      <c r="BO138" s="214"/>
    </row>
    <row r="139" spans="2:108" ht="21" thickBot="1" x14ac:dyDescent="0.35">
      <c r="B139" s="277">
        <v>2</v>
      </c>
      <c r="C139" s="278"/>
      <c r="D139" s="25">
        <v>0</v>
      </c>
      <c r="E139" s="257" t="s">
        <v>80</v>
      </c>
      <c r="F139" s="258"/>
      <c r="G139" s="258"/>
      <c r="H139" s="258">
        <v>472.06</v>
      </c>
      <c r="I139" s="258">
        <v>62.531168700000002</v>
      </c>
      <c r="J139" s="258">
        <f>+I139+D139</f>
        <v>62.531168700000002</v>
      </c>
      <c r="K139" s="258">
        <f t="shared" ref="K139:K149" si="13">+J139/2</f>
        <v>31.265584350000001</v>
      </c>
      <c r="L139" s="258">
        <f t="shared" ref="L139:L149" si="14">SIN(K139*3.14159265358979/180)</f>
        <v>0.51900577347391186</v>
      </c>
      <c r="M139" s="258">
        <f t="shared" ref="M139:M149" si="15">+L139*H139</f>
        <v>245.00186542609484</v>
      </c>
      <c r="N139" s="258">
        <f t="shared" ref="N139:N149" si="16">+M139*2</f>
        <v>490.00373085218968</v>
      </c>
      <c r="O139" s="258">
        <f>+C138+(D139/2)</f>
        <v>0</v>
      </c>
      <c r="P139" s="258">
        <f t="shared" ref="P139:P149" si="17">SIN(O139*3.14159265358979/180)</f>
        <v>0</v>
      </c>
      <c r="Q139" s="258">
        <f t="shared" ref="Q139:Q149" si="18">+P139*N139</f>
        <v>0</v>
      </c>
      <c r="R139" s="258">
        <f t="shared" ref="R139:R149" si="19">+T138</f>
        <v>343.49989132317432</v>
      </c>
      <c r="S139" s="258">
        <f>+R139+Q139</f>
        <v>343.49989132317432</v>
      </c>
      <c r="T139" s="258">
        <f t="shared" si="5"/>
        <v>343.49989132317432</v>
      </c>
      <c r="U139" s="258"/>
      <c r="V139" s="258">
        <f t="shared" si="6"/>
        <v>0</v>
      </c>
      <c r="W139" s="258"/>
      <c r="X139" s="258"/>
      <c r="Y139" s="258"/>
      <c r="Z139" s="258"/>
      <c r="AA139" s="258"/>
      <c r="AB139" s="258"/>
      <c r="AC139" s="436" t="b">
        <f>IF(AD139=2,AF139)</f>
        <v>0</v>
      </c>
      <c r="AD139" s="436">
        <f t="shared" si="7"/>
        <v>1</v>
      </c>
      <c r="AE139" s="436">
        <f>IF(V139=0,0,2)</f>
        <v>0</v>
      </c>
      <c r="AF139" s="437" t="e">
        <f>SUM(V139:V149)/($B$135-B138)</f>
        <v>#DIV/0!</v>
      </c>
      <c r="AG139" s="450">
        <f>SUM(D139)+$C$138</f>
        <v>0</v>
      </c>
      <c r="AH139" s="439" t="b">
        <f t="shared" si="8"/>
        <v>0</v>
      </c>
      <c r="AI139" s="440">
        <f t="shared" ref="AI139:AI149" si="20">54.5017821+AG139</f>
        <v>54.5017821</v>
      </c>
      <c r="AJ139" s="441">
        <f>SIN(AI139*3.14159265358979/180)</f>
        <v>0.81413357986421619</v>
      </c>
      <c r="AK139" s="382">
        <f t="shared" ref="AK139:AK149" si="21">+AJ139*421.92</f>
        <v>343.49924001631013</v>
      </c>
      <c r="AL139" s="440">
        <f t="shared" ref="AL139:AL149" si="22">58.7344156-AG139</f>
        <v>58.734415599999998</v>
      </c>
      <c r="AM139" s="442">
        <f t="shared" ref="AM139:AM149" si="23">SIN(AL139*3.14159265358979/180)</f>
        <v>0.85477073319485097</v>
      </c>
      <c r="AN139" s="382">
        <f t="shared" ref="AN139:AN149" si="24">+AM139*472.06</f>
        <v>403.50307231196138</v>
      </c>
      <c r="AO139" s="443" t="e">
        <f t="shared" si="9"/>
        <v>#DIV/0!</v>
      </c>
      <c r="AP139" s="382">
        <f t="shared" ref="AP139:AP149" si="25">57*($B$135-B138)</f>
        <v>0</v>
      </c>
      <c r="AQ139" s="443">
        <f t="shared" si="10"/>
        <v>42.8</v>
      </c>
      <c r="AR139" s="444">
        <f t="shared" ref="AR139:AR149" si="26">+AN139+AK139</f>
        <v>747.0023123282715</v>
      </c>
      <c r="AS139" s="445">
        <f>+V139-AN139</f>
        <v>-403.50307231196138</v>
      </c>
      <c r="AT139" s="446" t="e">
        <f t="shared" ref="AT139:AT149" si="27">+AO139-AS139</f>
        <v>#DIV/0!</v>
      </c>
      <c r="AU139" s="445" t="e">
        <f>+AF139-AS139</f>
        <v>#DIV/0!</v>
      </c>
      <c r="AV139" s="447" t="e">
        <f t="shared" ref="AV139:AV149" si="28">+((AR139-AT139)/AR139)*AQ139</f>
        <v>#DIV/0!</v>
      </c>
      <c r="AW139" s="447" t="e">
        <f t="shared" ref="AW139:AW149" si="29">+(AT139/AR139)*AQ139</f>
        <v>#DIV/0!</v>
      </c>
      <c r="AX139" s="448" t="e">
        <f t="shared" si="11"/>
        <v>#DIV/0!</v>
      </c>
      <c r="AY139" s="448" t="e">
        <f t="shared" si="12"/>
        <v>#DIV/0!</v>
      </c>
      <c r="AZ139" s="451" t="e">
        <f t="shared" ref="AZ139:BA149" si="30">ABS(AX139)</f>
        <v>#DIV/0!</v>
      </c>
      <c r="BA139" s="451" t="e">
        <f t="shared" si="30"/>
        <v>#DIV/0!</v>
      </c>
      <c r="BC139" s="276"/>
      <c r="BE139" s="136"/>
      <c r="BF139" s="136"/>
      <c r="BG139" s="136"/>
      <c r="BH139" s="136"/>
      <c r="BM139" s="214"/>
      <c r="BN139" s="214"/>
      <c r="BO139" s="214"/>
    </row>
    <row r="140" spans="2:108" ht="21" thickBot="1" x14ac:dyDescent="0.35">
      <c r="B140" s="277">
        <v>3</v>
      </c>
      <c r="C140" s="278"/>
      <c r="D140" s="25">
        <v>0</v>
      </c>
      <c r="E140" s="257" t="s">
        <v>80</v>
      </c>
      <c r="F140" s="258"/>
      <c r="G140" s="258"/>
      <c r="H140" s="258">
        <v>472.06</v>
      </c>
      <c r="I140" s="258">
        <v>62.531168700000002</v>
      </c>
      <c r="J140" s="258">
        <f t="shared" ref="J140:J149" si="31">+I140+D140</f>
        <v>62.531168700000002</v>
      </c>
      <c r="K140" s="258">
        <f t="shared" si="13"/>
        <v>31.265584350000001</v>
      </c>
      <c r="L140" s="258">
        <f t="shared" si="14"/>
        <v>0.51900577347391186</v>
      </c>
      <c r="M140" s="258">
        <f t="shared" si="15"/>
        <v>245.00186542609484</v>
      </c>
      <c r="N140" s="258">
        <f t="shared" si="16"/>
        <v>490.00373085218968</v>
      </c>
      <c r="O140" s="258">
        <f>+C138+D139+(D140/2)</f>
        <v>0</v>
      </c>
      <c r="P140" s="258">
        <f t="shared" si="17"/>
        <v>0</v>
      </c>
      <c r="Q140" s="258">
        <f t="shared" si="18"/>
        <v>0</v>
      </c>
      <c r="R140" s="258">
        <f t="shared" si="19"/>
        <v>343.49989132317432</v>
      </c>
      <c r="S140" s="258">
        <f t="shared" ref="S140:S149" si="32">+S139+Q140</f>
        <v>343.49989132317432</v>
      </c>
      <c r="T140" s="258">
        <f t="shared" si="5"/>
        <v>343.49989132317432</v>
      </c>
      <c r="U140" s="258"/>
      <c r="V140" s="258">
        <f t="shared" si="6"/>
        <v>0</v>
      </c>
      <c r="W140" s="258"/>
      <c r="X140" s="258"/>
      <c r="Y140" s="258"/>
      <c r="Z140" s="258"/>
      <c r="AA140" s="258"/>
      <c r="AB140" s="258"/>
      <c r="AC140" s="436" t="b">
        <f>IF(AD140=3,AF140)</f>
        <v>0</v>
      </c>
      <c r="AD140" s="436">
        <f t="shared" si="7"/>
        <v>1</v>
      </c>
      <c r="AE140" s="436">
        <f>IF(V140=0,0,3)</f>
        <v>0</v>
      </c>
      <c r="AF140" s="437">
        <f>SUM(V140:V149)/($B$135-B139)</f>
        <v>0</v>
      </c>
      <c r="AG140" s="450">
        <f>SUM(D139:D140)+$C$138</f>
        <v>0</v>
      </c>
      <c r="AH140" s="439" t="b">
        <f t="shared" si="8"/>
        <v>0</v>
      </c>
      <c r="AI140" s="440">
        <f t="shared" si="20"/>
        <v>54.5017821</v>
      </c>
      <c r="AJ140" s="441">
        <f t="shared" ref="AJ140:AJ149" si="33">SIN(AI140*3.14159265358979/180)</f>
        <v>0.81413357986421619</v>
      </c>
      <c r="AK140" s="382">
        <f t="shared" si="21"/>
        <v>343.49924001631013</v>
      </c>
      <c r="AL140" s="440">
        <f t="shared" si="22"/>
        <v>58.734415599999998</v>
      </c>
      <c r="AM140" s="442">
        <f t="shared" si="23"/>
        <v>0.85477073319485097</v>
      </c>
      <c r="AN140" s="382">
        <f t="shared" si="24"/>
        <v>403.50307231196138</v>
      </c>
      <c r="AO140" s="443">
        <f t="shared" si="9"/>
        <v>-609.86953521126759</v>
      </c>
      <c r="AP140" s="382">
        <f t="shared" si="25"/>
        <v>-57</v>
      </c>
      <c r="AQ140" s="443">
        <f t="shared" si="10"/>
        <v>-14.2</v>
      </c>
      <c r="AR140" s="444">
        <f t="shared" si="26"/>
        <v>747.0023123282715</v>
      </c>
      <c r="AS140" s="445">
        <f>+V140-AN140</f>
        <v>-403.50307231196138</v>
      </c>
      <c r="AT140" s="446">
        <f t="shared" si="27"/>
        <v>-206.36646289930621</v>
      </c>
      <c r="AU140" s="445">
        <f>+AF140-AS140</f>
        <v>403.50307231196138</v>
      </c>
      <c r="AV140" s="447">
        <f t="shared" si="28"/>
        <v>-18.122884474127808</v>
      </c>
      <c r="AW140" s="447">
        <f t="shared" si="29"/>
        <v>3.9228844741278079</v>
      </c>
      <c r="AX140" s="448">
        <f t="shared" si="11"/>
        <v>-640.07470866793506</v>
      </c>
      <c r="AY140" s="448">
        <f t="shared" si="12"/>
        <v>2957.0078029328351</v>
      </c>
      <c r="AZ140" s="451">
        <f t="shared" si="30"/>
        <v>640.07470866793506</v>
      </c>
      <c r="BA140" s="451">
        <f t="shared" si="30"/>
        <v>2957.0078029328351</v>
      </c>
      <c r="BC140" s="276"/>
      <c r="BE140" s="136"/>
      <c r="BF140" s="136"/>
      <c r="BG140" s="136"/>
      <c r="BH140" s="136"/>
      <c r="BM140" s="214"/>
      <c r="BN140" s="214"/>
      <c r="BO140" s="214"/>
    </row>
    <row r="141" spans="2:108" ht="21" thickBot="1" x14ac:dyDescent="0.35">
      <c r="B141" s="277">
        <v>4</v>
      </c>
      <c r="C141" s="278"/>
      <c r="D141" s="25">
        <v>0</v>
      </c>
      <c r="E141" s="257" t="s">
        <v>80</v>
      </c>
      <c r="F141" s="258"/>
      <c r="G141" s="258"/>
      <c r="H141" s="258">
        <v>472.06</v>
      </c>
      <c r="I141" s="258">
        <v>62.531168700000002</v>
      </c>
      <c r="J141" s="258">
        <f t="shared" si="31"/>
        <v>62.531168700000002</v>
      </c>
      <c r="K141" s="258">
        <f t="shared" si="13"/>
        <v>31.265584350000001</v>
      </c>
      <c r="L141" s="258">
        <f t="shared" si="14"/>
        <v>0.51900577347391186</v>
      </c>
      <c r="M141" s="258">
        <f t="shared" si="15"/>
        <v>245.00186542609484</v>
      </c>
      <c r="N141" s="258">
        <f t="shared" si="16"/>
        <v>490.00373085218968</v>
      </c>
      <c r="O141" s="258">
        <f>+C138+D139+D140+(D141/2)</f>
        <v>0</v>
      </c>
      <c r="P141" s="258">
        <f t="shared" si="17"/>
        <v>0</v>
      </c>
      <c r="Q141" s="258">
        <f t="shared" si="18"/>
        <v>0</v>
      </c>
      <c r="R141" s="258">
        <f t="shared" si="19"/>
        <v>343.49989132317432</v>
      </c>
      <c r="S141" s="258">
        <f t="shared" si="32"/>
        <v>343.49989132317432</v>
      </c>
      <c r="T141" s="258">
        <f t="shared" si="5"/>
        <v>343.49989132317432</v>
      </c>
      <c r="U141" s="258"/>
      <c r="V141" s="258">
        <f t="shared" si="6"/>
        <v>0</v>
      </c>
      <c r="W141" s="258"/>
      <c r="X141" s="258"/>
      <c r="Y141" s="258"/>
      <c r="Z141" s="258"/>
      <c r="AA141" s="258"/>
      <c r="AB141" s="258"/>
      <c r="AC141" s="436" t="b">
        <f>IF(AD141=4,AF141)</f>
        <v>0</v>
      </c>
      <c r="AD141" s="436">
        <f t="shared" si="7"/>
        <v>1</v>
      </c>
      <c r="AE141" s="436">
        <f>IF(V141=0,0,4)</f>
        <v>0</v>
      </c>
      <c r="AF141" s="437">
        <f>SUM(V141:V149)/($B$135-B140)</f>
        <v>0</v>
      </c>
      <c r="AG141" s="450">
        <f>SUM(D139:D141)+$C$138</f>
        <v>0</v>
      </c>
      <c r="AH141" s="439" t="b">
        <f t="shared" si="8"/>
        <v>0</v>
      </c>
      <c r="AI141" s="440">
        <f t="shared" si="20"/>
        <v>54.5017821</v>
      </c>
      <c r="AJ141" s="441">
        <f t="shared" si="33"/>
        <v>0.81413357986421619</v>
      </c>
      <c r="AK141" s="382">
        <f t="shared" si="21"/>
        <v>343.49924001631013</v>
      </c>
      <c r="AL141" s="440">
        <f t="shared" si="22"/>
        <v>58.734415599999998</v>
      </c>
      <c r="AM141" s="442">
        <f t="shared" si="23"/>
        <v>0.85477073319485097</v>
      </c>
      <c r="AN141" s="382">
        <f t="shared" si="24"/>
        <v>403.50307231196138</v>
      </c>
      <c r="AO141" s="443">
        <f t="shared" si="9"/>
        <v>-121.63128370786517</v>
      </c>
      <c r="AP141" s="382">
        <f t="shared" si="25"/>
        <v>-114</v>
      </c>
      <c r="AQ141" s="443">
        <f t="shared" si="10"/>
        <v>-71.2</v>
      </c>
      <c r="AR141" s="444">
        <f t="shared" si="26"/>
        <v>747.0023123282715</v>
      </c>
      <c r="AS141" s="445">
        <f>+V141-AN141</f>
        <v>-403.50307231196138</v>
      </c>
      <c r="AT141" s="446">
        <f t="shared" si="27"/>
        <v>281.8717886040962</v>
      </c>
      <c r="AU141" s="445">
        <f t="shared" ref="AU141:AU149" si="34">+AF141-AS141</f>
        <v>403.50307231196138</v>
      </c>
      <c r="AV141" s="447">
        <f t="shared" si="28"/>
        <v>-44.333588722022355</v>
      </c>
      <c r="AW141" s="447">
        <f t="shared" si="29"/>
        <v>-26.86641127797764</v>
      </c>
      <c r="AX141" s="448">
        <f t="shared" si="11"/>
        <v>-261.65262804988743</v>
      </c>
      <c r="AY141" s="448">
        <f t="shared" si="12"/>
        <v>-431.76589087313289</v>
      </c>
      <c r="AZ141" s="451">
        <f t="shared" si="30"/>
        <v>261.65262804988743</v>
      </c>
      <c r="BA141" s="451">
        <f t="shared" si="30"/>
        <v>431.76589087313289</v>
      </c>
      <c r="BC141" s="276"/>
      <c r="BE141" s="136"/>
      <c r="BF141" s="136"/>
      <c r="BG141" s="136"/>
      <c r="BH141" s="136"/>
      <c r="BM141" s="214"/>
      <c r="BN141" s="214"/>
      <c r="BO141" s="214"/>
    </row>
    <row r="142" spans="2:108" ht="21" thickBot="1" x14ac:dyDescent="0.35">
      <c r="B142" s="277">
        <v>5</v>
      </c>
      <c r="C142" s="278"/>
      <c r="D142" s="25">
        <v>0</v>
      </c>
      <c r="E142" s="257" t="s">
        <v>80</v>
      </c>
      <c r="F142" s="258"/>
      <c r="G142" s="258"/>
      <c r="H142" s="258">
        <v>472.06</v>
      </c>
      <c r="I142" s="258">
        <v>62.531168700000002</v>
      </c>
      <c r="J142" s="258">
        <f t="shared" si="31"/>
        <v>62.531168700000002</v>
      </c>
      <c r="K142" s="258">
        <f t="shared" si="13"/>
        <v>31.265584350000001</v>
      </c>
      <c r="L142" s="258">
        <f t="shared" si="14"/>
        <v>0.51900577347391186</v>
      </c>
      <c r="M142" s="258">
        <f t="shared" si="15"/>
        <v>245.00186542609484</v>
      </c>
      <c r="N142" s="258">
        <f t="shared" si="16"/>
        <v>490.00373085218968</v>
      </c>
      <c r="O142" s="258">
        <f>+C138+D139+D140+D141+(D142/2)</f>
        <v>0</v>
      </c>
      <c r="P142" s="258">
        <f t="shared" si="17"/>
        <v>0</v>
      </c>
      <c r="Q142" s="258">
        <f t="shared" si="18"/>
        <v>0</v>
      </c>
      <c r="R142" s="258">
        <f t="shared" si="19"/>
        <v>343.49989132317432</v>
      </c>
      <c r="S142" s="258">
        <f t="shared" si="32"/>
        <v>343.49989132317432</v>
      </c>
      <c r="T142" s="258">
        <f t="shared" si="5"/>
        <v>343.49989132317432</v>
      </c>
      <c r="U142" s="258"/>
      <c r="V142" s="258">
        <f t="shared" si="6"/>
        <v>0</v>
      </c>
      <c r="W142" s="258"/>
      <c r="X142" s="258"/>
      <c r="Y142" s="258"/>
      <c r="Z142" s="258"/>
      <c r="AA142" s="258"/>
      <c r="AB142" s="258"/>
      <c r="AC142" s="436" t="b">
        <f>IF(AD142=5,AF142)</f>
        <v>0</v>
      </c>
      <c r="AD142" s="436">
        <f t="shared" si="7"/>
        <v>1</v>
      </c>
      <c r="AE142" s="436">
        <f>IF(V142=0,0,5)</f>
        <v>0</v>
      </c>
      <c r="AF142" s="437">
        <f>SUM(V142:V149)/($B$135-B141)</f>
        <v>0</v>
      </c>
      <c r="AG142" s="450">
        <f>SUM(D139:D142)+$C$138</f>
        <v>0</v>
      </c>
      <c r="AH142" s="439" t="b">
        <f t="shared" si="8"/>
        <v>0</v>
      </c>
      <c r="AI142" s="440">
        <f t="shared" si="20"/>
        <v>54.5017821</v>
      </c>
      <c r="AJ142" s="441">
        <f t="shared" si="33"/>
        <v>0.81413357986421619</v>
      </c>
      <c r="AK142" s="382">
        <f t="shared" si="21"/>
        <v>343.49924001631013</v>
      </c>
      <c r="AL142" s="440">
        <f t="shared" si="22"/>
        <v>58.734415599999998</v>
      </c>
      <c r="AM142" s="442">
        <f t="shared" si="23"/>
        <v>0.85477073319485097</v>
      </c>
      <c r="AN142" s="382">
        <f t="shared" si="24"/>
        <v>403.50307231196138</v>
      </c>
      <c r="AO142" s="443">
        <f t="shared" si="9"/>
        <v>-67.551851794071766</v>
      </c>
      <c r="AP142" s="382">
        <f t="shared" si="25"/>
        <v>-171</v>
      </c>
      <c r="AQ142" s="443">
        <f t="shared" si="10"/>
        <v>-128.19999999999999</v>
      </c>
      <c r="AR142" s="444">
        <f t="shared" si="26"/>
        <v>747.0023123282715</v>
      </c>
      <c r="AS142" s="445">
        <f t="shared" ref="AS142:AS149" si="35">+V142-AN142</f>
        <v>-403.50307231196138</v>
      </c>
      <c r="AT142" s="446">
        <f t="shared" si="27"/>
        <v>335.95122051788962</v>
      </c>
      <c r="AU142" s="445">
        <f t="shared" si="34"/>
        <v>403.50307231196138</v>
      </c>
      <c r="AV142" s="447">
        <f t="shared" si="28"/>
        <v>-70.54429296991691</v>
      </c>
      <c r="AW142" s="447">
        <f t="shared" si="29"/>
        <v>-57.655707030083086</v>
      </c>
      <c r="AX142" s="448">
        <f t="shared" si="11"/>
        <v>-164.43569722850202</v>
      </c>
      <c r="AY142" s="448">
        <f t="shared" si="12"/>
        <v>-201.19430664422265</v>
      </c>
      <c r="AZ142" s="451">
        <f t="shared" si="30"/>
        <v>164.43569722850202</v>
      </c>
      <c r="BA142" s="451">
        <f t="shared" si="30"/>
        <v>201.19430664422265</v>
      </c>
      <c r="BC142" s="276"/>
      <c r="BE142" s="136"/>
      <c r="BF142" s="136"/>
      <c r="BG142" s="136"/>
      <c r="BH142" s="136"/>
      <c r="BM142" s="214"/>
      <c r="BN142" s="214"/>
      <c r="BO142" s="214"/>
    </row>
    <row r="143" spans="2:108" ht="21" thickBot="1" x14ac:dyDescent="0.35">
      <c r="B143" s="277">
        <v>6</v>
      </c>
      <c r="C143" s="278"/>
      <c r="D143" s="25">
        <v>0</v>
      </c>
      <c r="E143" s="257" t="s">
        <v>80</v>
      </c>
      <c r="F143" s="258"/>
      <c r="G143" s="258"/>
      <c r="H143" s="258">
        <v>472.06</v>
      </c>
      <c r="I143" s="258">
        <v>62.531168700000002</v>
      </c>
      <c r="J143" s="258">
        <f t="shared" si="31"/>
        <v>62.531168700000002</v>
      </c>
      <c r="K143" s="258">
        <f t="shared" si="13"/>
        <v>31.265584350000001</v>
      </c>
      <c r="L143" s="258">
        <f t="shared" si="14"/>
        <v>0.51900577347391186</v>
      </c>
      <c r="M143" s="258">
        <f t="shared" si="15"/>
        <v>245.00186542609484</v>
      </c>
      <c r="N143" s="258">
        <f t="shared" si="16"/>
        <v>490.00373085218968</v>
      </c>
      <c r="O143" s="258">
        <f>+C138+D139+D140+D141+D142+(D143/2)</f>
        <v>0</v>
      </c>
      <c r="P143" s="258">
        <f t="shared" si="17"/>
        <v>0</v>
      </c>
      <c r="Q143" s="258">
        <f t="shared" si="18"/>
        <v>0</v>
      </c>
      <c r="R143" s="258">
        <f t="shared" si="19"/>
        <v>343.49989132317432</v>
      </c>
      <c r="S143" s="258">
        <f t="shared" si="32"/>
        <v>343.49989132317432</v>
      </c>
      <c r="T143" s="258">
        <f t="shared" si="5"/>
        <v>343.49989132317432</v>
      </c>
      <c r="U143" s="258"/>
      <c r="V143" s="258">
        <f t="shared" si="6"/>
        <v>0</v>
      </c>
      <c r="W143" s="258"/>
      <c r="X143" s="258"/>
      <c r="Y143" s="258"/>
      <c r="Z143" s="258"/>
      <c r="AA143" s="258"/>
      <c r="AB143" s="258"/>
      <c r="AC143" s="436" t="b">
        <f>IF(AD143=6,AF143)</f>
        <v>0</v>
      </c>
      <c r="AD143" s="436">
        <f t="shared" si="7"/>
        <v>1</v>
      </c>
      <c r="AE143" s="436">
        <f>IF(V143=0,0,6)</f>
        <v>0</v>
      </c>
      <c r="AF143" s="437">
        <f>SUM(V143:V149)/($B$135-B142)</f>
        <v>0</v>
      </c>
      <c r="AG143" s="450">
        <f>SUM(D139:D143)+$C$138</f>
        <v>0</v>
      </c>
      <c r="AH143" s="439" t="b">
        <f t="shared" si="8"/>
        <v>0</v>
      </c>
      <c r="AI143" s="440">
        <f t="shared" si="20"/>
        <v>54.5017821</v>
      </c>
      <c r="AJ143" s="441">
        <f t="shared" si="33"/>
        <v>0.81413357986421619</v>
      </c>
      <c r="AK143" s="382">
        <f t="shared" si="21"/>
        <v>343.49924001631013</v>
      </c>
      <c r="AL143" s="440">
        <f t="shared" si="22"/>
        <v>58.734415599999998</v>
      </c>
      <c r="AM143" s="442">
        <f t="shared" si="23"/>
        <v>0.85477073319485097</v>
      </c>
      <c r="AN143" s="382">
        <f t="shared" si="24"/>
        <v>403.50307231196138</v>
      </c>
      <c r="AO143" s="443">
        <f t="shared" si="9"/>
        <v>-46.761055075593951</v>
      </c>
      <c r="AP143" s="382">
        <f t="shared" si="25"/>
        <v>-228</v>
      </c>
      <c r="AQ143" s="443">
        <f t="shared" si="10"/>
        <v>-185.2</v>
      </c>
      <c r="AR143" s="444">
        <f t="shared" si="26"/>
        <v>747.0023123282715</v>
      </c>
      <c r="AS143" s="445">
        <f t="shared" si="35"/>
        <v>-403.50307231196138</v>
      </c>
      <c r="AT143" s="446">
        <f t="shared" si="27"/>
        <v>356.74201723636742</v>
      </c>
      <c r="AU143" s="445">
        <f t="shared" si="34"/>
        <v>403.50307231196138</v>
      </c>
      <c r="AV143" s="447">
        <f t="shared" si="28"/>
        <v>-96.75499721781145</v>
      </c>
      <c r="AW143" s="447">
        <f t="shared" si="29"/>
        <v>-88.445002782188539</v>
      </c>
      <c r="AX143" s="448">
        <f t="shared" si="11"/>
        <v>-119.8904483856941</v>
      </c>
      <c r="AY143" s="448">
        <f t="shared" si="12"/>
        <v>-131.15495093111198</v>
      </c>
      <c r="AZ143" s="451">
        <f t="shared" si="30"/>
        <v>119.8904483856941</v>
      </c>
      <c r="BA143" s="451">
        <f t="shared" si="30"/>
        <v>131.15495093111198</v>
      </c>
      <c r="BC143" s="276"/>
      <c r="BE143" s="136"/>
      <c r="BF143" s="136"/>
      <c r="BG143" s="136"/>
      <c r="BH143" s="136"/>
      <c r="BM143" s="214"/>
      <c r="BN143" s="214"/>
      <c r="BO143" s="214"/>
    </row>
    <row r="144" spans="2:108" ht="21" thickBot="1" x14ac:dyDescent="0.35">
      <c r="B144" s="277">
        <v>7</v>
      </c>
      <c r="C144" s="278"/>
      <c r="D144" s="25">
        <v>0</v>
      </c>
      <c r="E144" s="257" t="s">
        <v>80</v>
      </c>
      <c r="F144" s="258"/>
      <c r="G144" s="258"/>
      <c r="H144" s="258">
        <v>472.06</v>
      </c>
      <c r="I144" s="258">
        <v>62.531168700000002</v>
      </c>
      <c r="J144" s="258">
        <f t="shared" si="31"/>
        <v>62.531168700000002</v>
      </c>
      <c r="K144" s="258">
        <f t="shared" si="13"/>
        <v>31.265584350000001</v>
      </c>
      <c r="L144" s="258">
        <f t="shared" si="14"/>
        <v>0.51900577347391186</v>
      </c>
      <c r="M144" s="258">
        <f t="shared" si="15"/>
        <v>245.00186542609484</v>
      </c>
      <c r="N144" s="258">
        <f t="shared" si="16"/>
        <v>490.00373085218968</v>
      </c>
      <c r="O144" s="258">
        <f>+C138+D139+D140+D141+D142+D143+(D144/2)</f>
        <v>0</v>
      </c>
      <c r="P144" s="258">
        <f t="shared" si="17"/>
        <v>0</v>
      </c>
      <c r="Q144" s="258">
        <f t="shared" si="18"/>
        <v>0</v>
      </c>
      <c r="R144" s="258">
        <f t="shared" si="19"/>
        <v>343.49989132317432</v>
      </c>
      <c r="S144" s="258">
        <f t="shared" si="32"/>
        <v>343.49989132317432</v>
      </c>
      <c r="T144" s="258">
        <f t="shared" si="5"/>
        <v>343.49989132317432</v>
      </c>
      <c r="U144" s="258"/>
      <c r="V144" s="258">
        <f t="shared" si="6"/>
        <v>0</v>
      </c>
      <c r="W144" s="258"/>
      <c r="X144" s="258"/>
      <c r="Y144" s="258"/>
      <c r="Z144" s="258"/>
      <c r="AA144" s="258"/>
      <c r="AB144" s="258"/>
      <c r="AC144" s="436" t="b">
        <f>IF(AD144=7,AF144)</f>
        <v>0</v>
      </c>
      <c r="AD144" s="436">
        <f t="shared" si="7"/>
        <v>1</v>
      </c>
      <c r="AE144" s="436">
        <f>IF(V144=0,0,7)</f>
        <v>0</v>
      </c>
      <c r="AF144" s="437">
        <f>SUM(V144:V149)/($B$135-B143)</f>
        <v>0</v>
      </c>
      <c r="AG144" s="450">
        <f>SUM(D139:D144)+$C$138</f>
        <v>0</v>
      </c>
      <c r="AH144" s="439" t="b">
        <f t="shared" si="8"/>
        <v>0</v>
      </c>
      <c r="AI144" s="440">
        <f t="shared" si="20"/>
        <v>54.5017821</v>
      </c>
      <c r="AJ144" s="441">
        <f t="shared" si="33"/>
        <v>0.81413357986421619</v>
      </c>
      <c r="AK144" s="382">
        <f t="shared" si="21"/>
        <v>343.49924001631013</v>
      </c>
      <c r="AL144" s="440">
        <f t="shared" si="22"/>
        <v>58.734415599999998</v>
      </c>
      <c r="AM144" s="442">
        <f t="shared" si="23"/>
        <v>0.85477073319485097</v>
      </c>
      <c r="AN144" s="382">
        <f t="shared" si="24"/>
        <v>403.50307231196138</v>
      </c>
      <c r="AO144" s="443">
        <f t="shared" si="9"/>
        <v>-35.756182493806769</v>
      </c>
      <c r="AP144" s="382">
        <f t="shared" si="25"/>
        <v>-285</v>
      </c>
      <c r="AQ144" s="443">
        <f t="shared" si="10"/>
        <v>-242.2</v>
      </c>
      <c r="AR144" s="444">
        <f t="shared" si="26"/>
        <v>747.0023123282715</v>
      </c>
      <c r="AS144" s="445">
        <f t="shared" si="35"/>
        <v>-403.50307231196138</v>
      </c>
      <c r="AT144" s="446">
        <f t="shared" si="27"/>
        <v>367.74688981815461</v>
      </c>
      <c r="AU144" s="445">
        <f t="shared" si="34"/>
        <v>403.50307231196138</v>
      </c>
      <c r="AV144" s="447">
        <f t="shared" si="28"/>
        <v>-122.965701465706</v>
      </c>
      <c r="AW144" s="447">
        <f t="shared" si="29"/>
        <v>-119.23429853429398</v>
      </c>
      <c r="AX144" s="448">
        <f t="shared" si="11"/>
        <v>-94.335248461418587</v>
      </c>
      <c r="AY144" s="448">
        <f t="shared" si="12"/>
        <v>-97.287442812972358</v>
      </c>
      <c r="AZ144" s="451">
        <f t="shared" si="30"/>
        <v>94.335248461418587</v>
      </c>
      <c r="BA144" s="451">
        <f t="shared" si="30"/>
        <v>97.287442812972358</v>
      </c>
      <c r="BC144" s="276"/>
      <c r="BE144" s="136"/>
      <c r="BF144" s="136"/>
      <c r="BG144" s="136"/>
      <c r="BH144" s="136"/>
      <c r="BM144" s="214"/>
      <c r="BN144" s="214"/>
      <c r="BO144" s="214"/>
    </row>
    <row r="145" spans="2:67" ht="21" thickBot="1" x14ac:dyDescent="0.35">
      <c r="B145" s="277">
        <v>8</v>
      </c>
      <c r="C145" s="278"/>
      <c r="D145" s="25">
        <v>0</v>
      </c>
      <c r="E145" s="257" t="s">
        <v>80</v>
      </c>
      <c r="F145" s="258"/>
      <c r="G145" s="258"/>
      <c r="H145" s="258">
        <v>472.06</v>
      </c>
      <c r="I145" s="258">
        <v>62.531168700000002</v>
      </c>
      <c r="J145" s="258">
        <f t="shared" si="31"/>
        <v>62.531168700000002</v>
      </c>
      <c r="K145" s="258">
        <f t="shared" si="13"/>
        <v>31.265584350000001</v>
      </c>
      <c r="L145" s="258">
        <f t="shared" si="14"/>
        <v>0.51900577347391186</v>
      </c>
      <c r="M145" s="258">
        <f t="shared" si="15"/>
        <v>245.00186542609484</v>
      </c>
      <c r="N145" s="258">
        <f t="shared" si="16"/>
        <v>490.00373085218968</v>
      </c>
      <c r="O145" s="258">
        <f>+C138+D139+D140+D141+D142+D143+D144+(D145/2)</f>
        <v>0</v>
      </c>
      <c r="P145" s="258">
        <f t="shared" si="17"/>
        <v>0</v>
      </c>
      <c r="Q145" s="258">
        <f t="shared" si="18"/>
        <v>0</v>
      </c>
      <c r="R145" s="258">
        <f t="shared" si="19"/>
        <v>343.49989132317432</v>
      </c>
      <c r="S145" s="258">
        <f t="shared" si="32"/>
        <v>343.49989132317432</v>
      </c>
      <c r="T145" s="258">
        <f t="shared" si="5"/>
        <v>343.49989132317432</v>
      </c>
      <c r="U145" s="258"/>
      <c r="V145" s="258">
        <f t="shared" si="6"/>
        <v>0</v>
      </c>
      <c r="W145" s="258"/>
      <c r="X145" s="258"/>
      <c r="Y145" s="258"/>
      <c r="Z145" s="258"/>
      <c r="AA145" s="258"/>
      <c r="AB145" s="258"/>
      <c r="AC145" s="436" t="b">
        <f>IF(AD145=8,AF145)</f>
        <v>0</v>
      </c>
      <c r="AD145" s="436">
        <f t="shared" si="7"/>
        <v>1</v>
      </c>
      <c r="AE145" s="436">
        <f>IF(V145=0,0,8)</f>
        <v>0</v>
      </c>
      <c r="AF145" s="437">
        <f>SUM(V145:V149)/($B$135-B144)</f>
        <v>0</v>
      </c>
      <c r="AG145" s="450">
        <f>SUM(D139:D145)+$C$138</f>
        <v>0</v>
      </c>
      <c r="AH145" s="439" t="b">
        <f t="shared" si="8"/>
        <v>0</v>
      </c>
      <c r="AI145" s="440">
        <f t="shared" si="20"/>
        <v>54.5017821</v>
      </c>
      <c r="AJ145" s="441">
        <f t="shared" si="33"/>
        <v>0.81413357986421619</v>
      </c>
      <c r="AK145" s="382">
        <f t="shared" si="21"/>
        <v>343.49924001631013</v>
      </c>
      <c r="AL145" s="440">
        <f t="shared" si="22"/>
        <v>58.734415599999998</v>
      </c>
      <c r="AM145" s="442">
        <f t="shared" si="23"/>
        <v>0.85477073319485097</v>
      </c>
      <c r="AN145" s="382">
        <f t="shared" si="24"/>
        <v>403.50307231196138</v>
      </c>
      <c r="AO145" s="443">
        <f t="shared" si="9"/>
        <v>-28.944342914438504</v>
      </c>
      <c r="AP145" s="382">
        <f t="shared" si="25"/>
        <v>-342</v>
      </c>
      <c r="AQ145" s="443">
        <f t="shared" si="10"/>
        <v>-299.2</v>
      </c>
      <c r="AR145" s="444">
        <f t="shared" si="26"/>
        <v>747.0023123282715</v>
      </c>
      <c r="AS145" s="445">
        <f t="shared" si="35"/>
        <v>-403.50307231196138</v>
      </c>
      <c r="AT145" s="446">
        <f t="shared" si="27"/>
        <v>374.55872939752288</v>
      </c>
      <c r="AU145" s="445">
        <f t="shared" si="34"/>
        <v>403.50307231196138</v>
      </c>
      <c r="AV145" s="447">
        <f t="shared" si="28"/>
        <v>-149.17640571360053</v>
      </c>
      <c r="AW145" s="447">
        <f t="shared" si="29"/>
        <v>-150.02359428639943</v>
      </c>
      <c r="AX145" s="448">
        <f t="shared" si="11"/>
        <v>-77.760286182725878</v>
      </c>
      <c r="AY145" s="448">
        <f t="shared" si="12"/>
        <v>-77.321171080965172</v>
      </c>
      <c r="AZ145" s="451">
        <f t="shared" si="30"/>
        <v>77.760286182725878</v>
      </c>
      <c r="BA145" s="451">
        <f t="shared" si="30"/>
        <v>77.321171080965172</v>
      </c>
      <c r="BC145" s="276"/>
      <c r="BE145" s="136"/>
      <c r="BF145" s="136"/>
      <c r="BG145" s="136"/>
      <c r="BH145" s="136"/>
      <c r="BM145" s="214"/>
      <c r="BN145" s="214"/>
      <c r="BO145" s="214"/>
    </row>
    <row r="146" spans="2:67" ht="21" thickBot="1" x14ac:dyDescent="0.35">
      <c r="B146" s="277">
        <v>9</v>
      </c>
      <c r="C146" s="278"/>
      <c r="D146" s="25">
        <v>0</v>
      </c>
      <c r="E146" s="257" t="s">
        <v>80</v>
      </c>
      <c r="F146" s="258"/>
      <c r="G146" s="258"/>
      <c r="H146" s="258">
        <v>472.06</v>
      </c>
      <c r="I146" s="258">
        <v>62.531168700000002</v>
      </c>
      <c r="J146" s="258">
        <f t="shared" si="31"/>
        <v>62.531168700000002</v>
      </c>
      <c r="K146" s="258">
        <f t="shared" si="13"/>
        <v>31.265584350000001</v>
      </c>
      <c r="L146" s="258">
        <f t="shared" si="14"/>
        <v>0.51900577347391186</v>
      </c>
      <c r="M146" s="258">
        <f t="shared" si="15"/>
        <v>245.00186542609484</v>
      </c>
      <c r="N146" s="258">
        <f t="shared" si="16"/>
        <v>490.00373085218968</v>
      </c>
      <c r="O146" s="258">
        <f>+C138+D139+D140+D141+D142+D143+D144+D145+(D146/2)</f>
        <v>0</v>
      </c>
      <c r="P146" s="258">
        <f t="shared" si="17"/>
        <v>0</v>
      </c>
      <c r="Q146" s="258">
        <f t="shared" si="18"/>
        <v>0</v>
      </c>
      <c r="R146" s="258">
        <f t="shared" si="19"/>
        <v>343.49989132317432</v>
      </c>
      <c r="S146" s="258">
        <f t="shared" si="32"/>
        <v>343.49989132317432</v>
      </c>
      <c r="T146" s="258">
        <f t="shared" si="5"/>
        <v>343.49989132317432</v>
      </c>
      <c r="U146" s="258"/>
      <c r="V146" s="258">
        <f t="shared" si="6"/>
        <v>0</v>
      </c>
      <c r="W146" s="258"/>
      <c r="X146" s="258"/>
      <c r="Y146" s="258"/>
      <c r="Z146" s="258"/>
      <c r="AA146" s="258"/>
      <c r="AB146" s="258"/>
      <c r="AC146" s="436" t="b">
        <f>IF(AD146=9,AF146)</f>
        <v>0</v>
      </c>
      <c r="AD146" s="436">
        <f t="shared" si="7"/>
        <v>1</v>
      </c>
      <c r="AE146" s="436">
        <f>IF(V146=0,0,9)</f>
        <v>0</v>
      </c>
      <c r="AF146" s="437">
        <f>SUM(V146:V149)/($B$135-B145)</f>
        <v>0</v>
      </c>
      <c r="AG146" s="450">
        <f>SUM(D139:D146)+$C$138</f>
        <v>0</v>
      </c>
      <c r="AH146" s="439" t="b">
        <f t="shared" si="8"/>
        <v>0</v>
      </c>
      <c r="AI146" s="440">
        <f t="shared" si="20"/>
        <v>54.5017821</v>
      </c>
      <c r="AJ146" s="441">
        <f t="shared" si="33"/>
        <v>0.81413357986421619</v>
      </c>
      <c r="AK146" s="382">
        <f t="shared" si="21"/>
        <v>343.49924001631013</v>
      </c>
      <c r="AL146" s="440">
        <f t="shared" si="22"/>
        <v>58.734415599999998</v>
      </c>
      <c r="AM146" s="442">
        <f t="shared" si="23"/>
        <v>0.85477073319485097</v>
      </c>
      <c r="AN146" s="382">
        <f t="shared" si="24"/>
        <v>403.50307231196138</v>
      </c>
      <c r="AO146" s="443">
        <f t="shared" si="9"/>
        <v>-24.312597978663671</v>
      </c>
      <c r="AP146" s="382">
        <f t="shared" si="25"/>
        <v>-399</v>
      </c>
      <c r="AQ146" s="443">
        <f t="shared" si="10"/>
        <v>-356.2</v>
      </c>
      <c r="AR146" s="444">
        <f t="shared" si="26"/>
        <v>747.0023123282715</v>
      </c>
      <c r="AS146" s="445">
        <f t="shared" si="35"/>
        <v>-403.50307231196138</v>
      </c>
      <c r="AT146" s="446">
        <f t="shared" si="27"/>
        <v>379.19047433329769</v>
      </c>
      <c r="AU146" s="445">
        <f t="shared" si="34"/>
        <v>403.50307231196138</v>
      </c>
      <c r="AV146" s="447">
        <f t="shared" si="28"/>
        <v>-175.3871099614951</v>
      </c>
      <c r="AW146" s="447">
        <f t="shared" si="29"/>
        <v>-180.81289003850486</v>
      </c>
      <c r="AX146" s="448">
        <f t="shared" si="11"/>
        <v>-66.13941014562981</v>
      </c>
      <c r="AY146" s="448">
        <f t="shared" si="12"/>
        <v>-64.154718159362048</v>
      </c>
      <c r="AZ146" s="451">
        <f t="shared" si="30"/>
        <v>66.13941014562981</v>
      </c>
      <c r="BA146" s="451">
        <f t="shared" si="30"/>
        <v>64.154718159362048</v>
      </c>
      <c r="BC146" s="276"/>
      <c r="BE146" s="136"/>
      <c r="BF146" s="136"/>
      <c r="BG146" s="136"/>
      <c r="BH146" s="136"/>
      <c r="BM146" s="214"/>
      <c r="BN146" s="214"/>
      <c r="BO146" s="214"/>
    </row>
    <row r="147" spans="2:67" ht="21" thickBot="1" x14ac:dyDescent="0.35">
      <c r="B147" s="277">
        <v>10</v>
      </c>
      <c r="C147" s="278"/>
      <c r="D147" s="25">
        <v>0</v>
      </c>
      <c r="E147" s="257" t="s">
        <v>80</v>
      </c>
      <c r="F147" s="258"/>
      <c r="G147" s="258"/>
      <c r="H147" s="258">
        <v>472.06</v>
      </c>
      <c r="I147" s="258">
        <v>62.531168700000002</v>
      </c>
      <c r="J147" s="258">
        <f t="shared" si="31"/>
        <v>62.531168700000002</v>
      </c>
      <c r="K147" s="258">
        <f t="shared" si="13"/>
        <v>31.265584350000001</v>
      </c>
      <c r="L147" s="258">
        <f t="shared" si="14"/>
        <v>0.51900577347391186</v>
      </c>
      <c r="M147" s="258">
        <f t="shared" si="15"/>
        <v>245.00186542609484</v>
      </c>
      <c r="N147" s="258">
        <f t="shared" si="16"/>
        <v>490.00373085218968</v>
      </c>
      <c r="O147" s="258">
        <f>+C138+D139+D140+D141+D142+D143+D144+D145+D146+(D147/2)</f>
        <v>0</v>
      </c>
      <c r="P147" s="258">
        <f t="shared" si="17"/>
        <v>0</v>
      </c>
      <c r="Q147" s="258">
        <f t="shared" si="18"/>
        <v>0</v>
      </c>
      <c r="R147" s="258">
        <f t="shared" si="19"/>
        <v>343.49989132317432</v>
      </c>
      <c r="S147" s="258">
        <f t="shared" si="32"/>
        <v>343.49989132317432</v>
      </c>
      <c r="T147" s="258">
        <f t="shared" si="5"/>
        <v>343.49989132317432</v>
      </c>
      <c r="U147" s="258"/>
      <c r="V147" s="258">
        <f t="shared" si="6"/>
        <v>0</v>
      </c>
      <c r="W147" s="258"/>
      <c r="X147" s="258"/>
      <c r="Y147" s="258"/>
      <c r="Z147" s="258"/>
      <c r="AA147" s="258"/>
      <c r="AB147" s="258"/>
      <c r="AC147" s="436" t="b">
        <f>IF(AD147=10,AF147)</f>
        <v>0</v>
      </c>
      <c r="AD147" s="436">
        <f t="shared" si="7"/>
        <v>1</v>
      </c>
      <c r="AE147" s="436">
        <f>IF(V147=0,0,10)</f>
        <v>0</v>
      </c>
      <c r="AF147" s="437">
        <f>SUM(V147:V149)/($B$135-B146)</f>
        <v>0</v>
      </c>
      <c r="AG147" s="450">
        <f>SUM(D139:D147)+$C$138</f>
        <v>0</v>
      </c>
      <c r="AH147" s="439" t="b">
        <f t="shared" si="8"/>
        <v>0</v>
      </c>
      <c r="AI147" s="440">
        <f t="shared" si="20"/>
        <v>54.5017821</v>
      </c>
      <c r="AJ147" s="441">
        <f t="shared" si="33"/>
        <v>0.81413357986421619</v>
      </c>
      <c r="AK147" s="382">
        <f t="shared" si="21"/>
        <v>343.49924001631013</v>
      </c>
      <c r="AL147" s="440">
        <f t="shared" si="22"/>
        <v>58.734415599999998</v>
      </c>
      <c r="AM147" s="442">
        <f t="shared" si="23"/>
        <v>0.85477073319485097</v>
      </c>
      <c r="AN147" s="382">
        <f t="shared" si="24"/>
        <v>403.50307231196138</v>
      </c>
      <c r="AO147" s="443">
        <f t="shared" si="9"/>
        <v>-20.958730396902226</v>
      </c>
      <c r="AP147" s="382">
        <f t="shared" si="25"/>
        <v>-456</v>
      </c>
      <c r="AQ147" s="443">
        <f t="shared" si="10"/>
        <v>-413.2</v>
      </c>
      <c r="AR147" s="444">
        <f t="shared" si="26"/>
        <v>747.0023123282715</v>
      </c>
      <c r="AS147" s="445">
        <f t="shared" si="35"/>
        <v>-403.50307231196138</v>
      </c>
      <c r="AT147" s="446">
        <f t="shared" si="27"/>
        <v>382.54434191505914</v>
      </c>
      <c r="AU147" s="445">
        <f t="shared" si="34"/>
        <v>403.50307231196138</v>
      </c>
      <c r="AV147" s="447">
        <f t="shared" si="28"/>
        <v>-201.59781420938964</v>
      </c>
      <c r="AW147" s="447">
        <f t="shared" si="29"/>
        <v>-211.60218579061032</v>
      </c>
      <c r="AX147" s="448">
        <f t="shared" si="11"/>
        <v>-57.540306404074677</v>
      </c>
      <c r="AY147" s="448">
        <f t="shared" si="12"/>
        <v>-54.819849599657303</v>
      </c>
      <c r="AZ147" s="451">
        <f t="shared" si="30"/>
        <v>57.540306404074677</v>
      </c>
      <c r="BA147" s="451">
        <f t="shared" si="30"/>
        <v>54.819849599657303</v>
      </c>
      <c r="BC147" s="276"/>
      <c r="BE147" s="136"/>
      <c r="BF147" s="136"/>
      <c r="BG147" s="136"/>
      <c r="BH147" s="136"/>
      <c r="BM147" s="214"/>
      <c r="BN147" s="214"/>
      <c r="BO147" s="214"/>
    </row>
    <row r="148" spans="2:67" ht="21" thickBot="1" x14ac:dyDescent="0.35">
      <c r="B148" s="277">
        <v>11</v>
      </c>
      <c r="C148" s="278"/>
      <c r="D148" s="25">
        <v>0</v>
      </c>
      <c r="E148" s="257" t="s">
        <v>80</v>
      </c>
      <c r="F148" s="258"/>
      <c r="G148" s="258"/>
      <c r="H148" s="258">
        <v>472.06</v>
      </c>
      <c r="I148" s="258">
        <v>62.531168700000002</v>
      </c>
      <c r="J148" s="258">
        <f t="shared" si="31"/>
        <v>62.531168700000002</v>
      </c>
      <c r="K148" s="258">
        <f t="shared" si="13"/>
        <v>31.265584350000001</v>
      </c>
      <c r="L148" s="258">
        <f t="shared" si="14"/>
        <v>0.51900577347391186</v>
      </c>
      <c r="M148" s="258">
        <f t="shared" si="15"/>
        <v>245.00186542609484</v>
      </c>
      <c r="N148" s="258">
        <f t="shared" si="16"/>
        <v>490.00373085218968</v>
      </c>
      <c r="O148" s="258">
        <f>+C138+D139+D140+D141+D142+D143+D144+D145+D146+D147+(D148/2)</f>
        <v>0</v>
      </c>
      <c r="P148" s="258">
        <f t="shared" si="17"/>
        <v>0</v>
      </c>
      <c r="Q148" s="258">
        <f t="shared" si="18"/>
        <v>0</v>
      </c>
      <c r="R148" s="258">
        <f t="shared" si="19"/>
        <v>343.49989132317432</v>
      </c>
      <c r="S148" s="258">
        <f t="shared" si="32"/>
        <v>343.49989132317432</v>
      </c>
      <c r="T148" s="258">
        <f t="shared" si="5"/>
        <v>343.49989132317432</v>
      </c>
      <c r="U148" s="258"/>
      <c r="V148" s="258">
        <f t="shared" si="6"/>
        <v>0</v>
      </c>
      <c r="W148" s="258"/>
      <c r="X148" s="258"/>
      <c r="Y148" s="258"/>
      <c r="Z148" s="258"/>
      <c r="AA148" s="258"/>
      <c r="AB148" s="258"/>
      <c r="AC148" s="436" t="b">
        <f>IF(AD148=11,AF148)</f>
        <v>0</v>
      </c>
      <c r="AD148" s="436">
        <f t="shared" si="7"/>
        <v>1</v>
      </c>
      <c r="AE148" s="436">
        <f>IF(V148=0,0,11)</f>
        <v>0</v>
      </c>
      <c r="AF148" s="437">
        <f>SUM(V148:V149)/($B$135-B147)</f>
        <v>0</v>
      </c>
      <c r="AG148" s="450">
        <f>SUM(D139:D148)+$C$138</f>
        <v>0</v>
      </c>
      <c r="AH148" s="439" t="b">
        <f t="shared" si="8"/>
        <v>0</v>
      </c>
      <c r="AI148" s="440">
        <f t="shared" si="20"/>
        <v>54.5017821</v>
      </c>
      <c r="AJ148" s="441">
        <f t="shared" si="33"/>
        <v>0.81413357986421619</v>
      </c>
      <c r="AK148" s="382">
        <f t="shared" si="21"/>
        <v>343.49924001631013</v>
      </c>
      <c r="AL148" s="440">
        <f t="shared" si="22"/>
        <v>58.734415599999998</v>
      </c>
      <c r="AM148" s="442">
        <f t="shared" si="23"/>
        <v>0.85477073319485097</v>
      </c>
      <c r="AN148" s="382">
        <f t="shared" si="24"/>
        <v>403.50307231196138</v>
      </c>
      <c r="AO148" s="443">
        <f t="shared" si="9"/>
        <v>-18.418008081667377</v>
      </c>
      <c r="AP148" s="382">
        <f t="shared" si="25"/>
        <v>-513</v>
      </c>
      <c r="AQ148" s="443">
        <f t="shared" si="10"/>
        <v>-470.2</v>
      </c>
      <c r="AR148" s="444">
        <f t="shared" si="26"/>
        <v>747.0023123282715</v>
      </c>
      <c r="AS148" s="445">
        <f t="shared" si="35"/>
        <v>-403.50307231196138</v>
      </c>
      <c r="AT148" s="446">
        <f t="shared" si="27"/>
        <v>385.08506423029399</v>
      </c>
      <c r="AU148" s="445">
        <f t="shared" si="34"/>
        <v>403.50307231196138</v>
      </c>
      <c r="AV148" s="447">
        <f t="shared" si="28"/>
        <v>-227.80851845728421</v>
      </c>
      <c r="AW148" s="447">
        <f t="shared" si="29"/>
        <v>-242.39148154271578</v>
      </c>
      <c r="AX148" s="448">
        <f t="shared" si="11"/>
        <v>-50.919957157682347</v>
      </c>
      <c r="AY148" s="448">
        <f t="shared" si="12"/>
        <v>-47.856467257723217</v>
      </c>
      <c r="AZ148" s="451">
        <f t="shared" si="30"/>
        <v>50.919957157682347</v>
      </c>
      <c r="BA148" s="451">
        <f t="shared" si="30"/>
        <v>47.856467257723217</v>
      </c>
      <c r="BC148" s="276"/>
      <c r="BE148" s="136"/>
      <c r="BF148" s="136"/>
      <c r="BG148" s="136"/>
      <c r="BH148" s="136"/>
      <c r="BM148" s="214"/>
      <c r="BN148" s="214"/>
      <c r="BO148" s="214"/>
    </row>
    <row r="149" spans="2:67" ht="21" thickBot="1" x14ac:dyDescent="0.35">
      <c r="B149" s="277">
        <v>12</v>
      </c>
      <c r="C149" s="278"/>
      <c r="D149" s="25">
        <v>0</v>
      </c>
      <c r="E149" s="257" t="s">
        <v>80</v>
      </c>
      <c r="F149" s="258"/>
      <c r="G149" s="258"/>
      <c r="H149" s="258">
        <v>472.06</v>
      </c>
      <c r="I149" s="258">
        <v>62.531168700000002</v>
      </c>
      <c r="J149" s="258">
        <f t="shared" si="31"/>
        <v>62.531168700000002</v>
      </c>
      <c r="K149" s="258">
        <f t="shared" si="13"/>
        <v>31.265584350000001</v>
      </c>
      <c r="L149" s="258">
        <f t="shared" si="14"/>
        <v>0.51900577347391186</v>
      </c>
      <c r="M149" s="258">
        <f t="shared" si="15"/>
        <v>245.00186542609484</v>
      </c>
      <c r="N149" s="258">
        <f t="shared" si="16"/>
        <v>490.00373085218968</v>
      </c>
      <c r="O149" s="258">
        <f>+C138+D139+D140+D141+D142+D143+D144+D145+D146+D147+D148+(D149/2)</f>
        <v>0</v>
      </c>
      <c r="P149" s="258">
        <f t="shared" si="17"/>
        <v>0</v>
      </c>
      <c r="Q149" s="258">
        <f t="shared" si="18"/>
        <v>0</v>
      </c>
      <c r="R149" s="258">
        <f t="shared" si="19"/>
        <v>343.49989132317432</v>
      </c>
      <c r="S149" s="258">
        <f t="shared" si="32"/>
        <v>343.49989132317432</v>
      </c>
      <c r="T149" s="258">
        <f t="shared" si="5"/>
        <v>343.49989132317432</v>
      </c>
      <c r="U149" s="258"/>
      <c r="V149" s="258">
        <f t="shared" si="6"/>
        <v>0</v>
      </c>
      <c r="W149" s="258"/>
      <c r="X149" s="258"/>
      <c r="Y149" s="258"/>
      <c r="Z149" s="258"/>
      <c r="AA149" s="258"/>
      <c r="AB149" s="258"/>
      <c r="AC149" s="436" t="b">
        <f>IF(AD149=12,AF149)</f>
        <v>0</v>
      </c>
      <c r="AD149" s="436">
        <f t="shared" si="7"/>
        <v>1</v>
      </c>
      <c r="AE149" s="436">
        <f>IF(V149=0,0,12)</f>
        <v>0</v>
      </c>
      <c r="AF149" s="437">
        <f>SUM(V149)/($B$135-B148)</f>
        <v>0</v>
      </c>
      <c r="AG149" s="450">
        <f>SUM(D139:D149)+$C$138</f>
        <v>0</v>
      </c>
      <c r="AH149" s="439" t="b">
        <f t="shared" si="8"/>
        <v>0</v>
      </c>
      <c r="AI149" s="440">
        <f t="shared" si="20"/>
        <v>54.5017821</v>
      </c>
      <c r="AJ149" s="441">
        <f t="shared" si="33"/>
        <v>0.81413357986421619</v>
      </c>
      <c r="AK149" s="382">
        <f t="shared" si="21"/>
        <v>343.49924001631013</v>
      </c>
      <c r="AL149" s="440">
        <f t="shared" si="22"/>
        <v>58.734415599999998</v>
      </c>
      <c r="AM149" s="442">
        <f t="shared" si="23"/>
        <v>0.85477073319485097</v>
      </c>
      <c r="AN149" s="382">
        <f t="shared" si="24"/>
        <v>403.50307231196138</v>
      </c>
      <c r="AO149" s="443">
        <f t="shared" si="9"/>
        <v>-16.426683232169953</v>
      </c>
      <c r="AP149" s="382">
        <f t="shared" si="25"/>
        <v>-570</v>
      </c>
      <c r="AQ149" s="443">
        <f t="shared" si="10"/>
        <v>-527.20000000000005</v>
      </c>
      <c r="AR149" s="444">
        <f t="shared" si="26"/>
        <v>747.0023123282715</v>
      </c>
      <c r="AS149" s="445">
        <f t="shared" si="35"/>
        <v>-403.50307231196138</v>
      </c>
      <c r="AT149" s="446">
        <f t="shared" si="27"/>
        <v>387.0763890797914</v>
      </c>
      <c r="AU149" s="445">
        <f t="shared" si="34"/>
        <v>403.50307231196138</v>
      </c>
      <c r="AV149" s="447">
        <f t="shared" si="28"/>
        <v>-254.01922270517881</v>
      </c>
      <c r="AW149" s="447">
        <f t="shared" si="29"/>
        <v>-273.18077729482127</v>
      </c>
      <c r="AX149" s="448">
        <f t="shared" si="11"/>
        <v>-45.665835350827983</v>
      </c>
      <c r="AY149" s="448">
        <f t="shared" si="12"/>
        <v>-42.462724188975734</v>
      </c>
      <c r="AZ149" s="451">
        <f t="shared" si="30"/>
        <v>45.665835350827983</v>
      </c>
      <c r="BA149" s="451">
        <f t="shared" si="30"/>
        <v>42.462724188975734</v>
      </c>
      <c r="BC149" s="276"/>
      <c r="BE149" s="136"/>
      <c r="BF149" s="136"/>
      <c r="BG149" s="136"/>
      <c r="BH149" s="136"/>
      <c r="BM149" s="214"/>
      <c r="BN149" s="214"/>
      <c r="BO149" s="214"/>
    </row>
    <row r="150" spans="2:67" ht="21" hidden="1" thickBot="1" x14ac:dyDescent="0.35">
      <c r="U150" s="276"/>
      <c r="AG150" s="452" t="s">
        <v>79</v>
      </c>
      <c r="AH150" s="453">
        <f>MAX(AH138:AH149)</f>
        <v>0</v>
      </c>
      <c r="BC150" s="276"/>
      <c r="BE150" s="136"/>
      <c r="BF150" s="136"/>
      <c r="BG150" s="136"/>
      <c r="BH150" s="136"/>
      <c r="BM150" s="214"/>
      <c r="BN150" s="214"/>
      <c r="BO150" s="214"/>
    </row>
    <row r="151" spans="2:67" ht="20" hidden="1" x14ac:dyDescent="0.3">
      <c r="B151" s="350"/>
      <c r="U151" s="276"/>
      <c r="AV151" s="457" t="s">
        <v>356</v>
      </c>
      <c r="AW151" s="457"/>
      <c r="AX151" s="457"/>
      <c r="AY151" s="457"/>
      <c r="BC151" s="276"/>
      <c r="BE151" s="136"/>
      <c r="BF151" s="136"/>
      <c r="BG151" s="136"/>
      <c r="BH151" s="136"/>
      <c r="BI151" s="136"/>
      <c r="BK151" s="136"/>
      <c r="BL151" s="136"/>
      <c r="BM151" s="214"/>
      <c r="BN151" s="214"/>
      <c r="BO151" s="214"/>
    </row>
    <row r="152" spans="2:67" ht="20" hidden="1" x14ac:dyDescent="0.3">
      <c r="B152" s="350"/>
      <c r="AB152" s="415"/>
      <c r="AC152" s="415"/>
      <c r="AD152" s="415"/>
      <c r="AE152" s="415"/>
      <c r="AV152" s="1767" t="s">
        <v>355</v>
      </c>
      <c r="AW152" s="1767" t="s">
        <v>357</v>
      </c>
      <c r="AX152" s="1767" t="s">
        <v>358</v>
      </c>
      <c r="AY152" s="457"/>
      <c r="BE152" s="136"/>
      <c r="BF152" s="136"/>
      <c r="BG152" s="136"/>
      <c r="BH152" s="136"/>
      <c r="BI152" s="136"/>
      <c r="BJ152" s="136"/>
      <c r="BK152" s="136"/>
      <c r="BL152" s="136"/>
      <c r="BM152" s="214"/>
      <c r="BN152" s="214"/>
      <c r="BO152" s="214"/>
    </row>
    <row r="153" spans="2:67" ht="20" hidden="1" x14ac:dyDescent="0.3">
      <c r="V153" s="187"/>
      <c r="W153" s="187"/>
      <c r="X153" s="187"/>
      <c r="Y153" s="187"/>
      <c r="Z153" s="187"/>
      <c r="AA153" s="187"/>
      <c r="AB153" s="187"/>
      <c r="AC153" s="187"/>
      <c r="AD153" s="187"/>
      <c r="AE153" s="187"/>
      <c r="AF153" s="187"/>
      <c r="AG153" s="187"/>
      <c r="AH153" s="187"/>
      <c r="AI153" s="187"/>
      <c r="AJ153" s="187"/>
      <c r="AK153" s="187"/>
      <c r="AL153" s="187"/>
      <c r="AM153" s="187"/>
      <c r="AN153" s="187"/>
      <c r="AO153" s="187"/>
      <c r="AP153" s="187"/>
      <c r="AQ153" s="187"/>
      <c r="AR153" s="187"/>
      <c r="AS153" s="187"/>
      <c r="AT153" s="187"/>
      <c r="AU153" s="187"/>
      <c r="AV153" s="1767">
        <v>41.231000000000002</v>
      </c>
      <c r="AW153" s="1767">
        <f>+SIN((AV153+AH150)*3.14159265358979/180)</f>
        <v>0.65909645932986105</v>
      </c>
      <c r="AX153" s="1767">
        <f>+AW159/AW153</f>
        <v>26.684934250797355</v>
      </c>
      <c r="AY153" s="1579"/>
      <c r="AZ153" s="187"/>
      <c r="BA153" s="187"/>
      <c r="BB153" s="126"/>
      <c r="BE153" s="136"/>
      <c r="BF153" s="136"/>
      <c r="BG153" s="136"/>
      <c r="BH153" s="136"/>
      <c r="BI153" s="136"/>
      <c r="BJ153" s="136"/>
      <c r="BK153" s="136"/>
      <c r="BL153" s="136"/>
      <c r="BM153" s="214"/>
      <c r="BN153" s="214"/>
      <c r="BO153" s="214"/>
    </row>
    <row r="154" spans="2:67" ht="21" thickBot="1" x14ac:dyDescent="0.35">
      <c r="V154" s="187"/>
      <c r="W154" s="187"/>
      <c r="X154" s="187"/>
      <c r="Y154" s="187"/>
      <c r="Z154" s="187"/>
      <c r="AA154" s="187"/>
      <c r="AB154" s="187"/>
      <c r="AC154" s="187"/>
      <c r="AD154" s="187"/>
      <c r="AE154" s="187"/>
      <c r="AF154" s="187"/>
      <c r="AG154" s="187"/>
      <c r="AH154" s="187"/>
      <c r="AI154" s="187"/>
      <c r="AJ154" s="187"/>
      <c r="AK154" s="187"/>
      <c r="AL154" s="187"/>
      <c r="AM154" s="187"/>
      <c r="AN154" s="187"/>
      <c r="AO154" s="187"/>
      <c r="AP154" s="187"/>
      <c r="AQ154" s="187"/>
      <c r="AR154" s="187"/>
      <c r="AS154" s="187"/>
      <c r="AT154" s="187"/>
      <c r="AU154" s="187"/>
      <c r="AV154" s="1579"/>
      <c r="AW154" s="457"/>
      <c r="AX154" s="1579"/>
      <c r="AY154" s="1579"/>
      <c r="AZ154" s="187"/>
      <c r="BA154" s="187"/>
      <c r="BB154" s="126"/>
      <c r="BE154" s="136"/>
      <c r="BF154" s="136"/>
      <c r="BG154" s="136"/>
      <c r="BH154" s="136"/>
      <c r="BI154" s="136"/>
      <c r="BJ154" s="136"/>
      <c r="BK154" s="136"/>
      <c r="BL154" s="136"/>
      <c r="BM154" s="214"/>
      <c r="BN154" s="214"/>
      <c r="BO154" s="214"/>
    </row>
    <row r="155" spans="2:67" ht="70.5" customHeight="1" thickBot="1" x14ac:dyDescent="0.35">
      <c r="B155" s="345" t="s">
        <v>157</v>
      </c>
      <c r="C155" s="454"/>
      <c r="D155" s="455"/>
      <c r="E155" s="37"/>
      <c r="F155" s="37"/>
      <c r="G155" s="37"/>
      <c r="H155" s="456"/>
      <c r="I155" s="456"/>
      <c r="J155" s="456"/>
      <c r="K155" s="456"/>
      <c r="L155" s="456"/>
      <c r="M155" s="456"/>
      <c r="N155" s="456"/>
      <c r="O155" s="456"/>
      <c r="P155" s="456"/>
      <c r="Q155" s="456"/>
      <c r="R155" s="456"/>
      <c r="S155" s="457" t="s">
        <v>134</v>
      </c>
      <c r="T155" s="457">
        <f>SUM(V159:V164)/B156</f>
        <v>213.83080000000001</v>
      </c>
      <c r="U155" s="212"/>
      <c r="V155" s="187"/>
      <c r="W155" s="187"/>
      <c r="X155" s="187"/>
      <c r="Y155" s="187"/>
      <c r="Z155" s="187"/>
      <c r="AA155" s="187"/>
      <c r="AB155" s="187"/>
      <c r="AC155" s="187"/>
      <c r="AD155" s="187"/>
      <c r="AE155" s="187"/>
      <c r="AF155" s="187"/>
      <c r="AG155" s="187"/>
      <c r="AH155" s="187"/>
      <c r="AI155" s="187"/>
      <c r="AJ155" s="187"/>
      <c r="AK155" s="187"/>
      <c r="AL155" s="187"/>
      <c r="AM155" s="187"/>
      <c r="AN155" s="187"/>
      <c r="AO155" s="187"/>
      <c r="AP155" s="187"/>
      <c r="AQ155" s="187"/>
      <c r="AR155" s="187"/>
      <c r="AS155" s="187"/>
      <c r="AT155" s="187"/>
      <c r="AU155" s="187"/>
      <c r="AV155" s="1579"/>
      <c r="AW155" s="1579"/>
      <c r="AX155" s="1763" t="s">
        <v>359</v>
      </c>
      <c r="AY155" s="1764">
        <v>3200</v>
      </c>
      <c r="AZ155" s="187"/>
      <c r="BA155" s="187"/>
      <c r="BB155" s="126"/>
      <c r="BC155" s="458"/>
      <c r="BD155" s="458"/>
      <c r="BE155" s="136"/>
      <c r="BF155" s="136"/>
      <c r="BG155" s="136"/>
      <c r="BH155" s="136"/>
      <c r="BI155" s="136"/>
      <c r="BJ155" s="136"/>
      <c r="BK155" s="136"/>
      <c r="BL155" s="136"/>
      <c r="BM155" s="214"/>
      <c r="BN155" s="214"/>
      <c r="BO155" s="214"/>
    </row>
    <row r="156" spans="2:67" ht="28" thickBot="1" x14ac:dyDescent="0.35">
      <c r="B156" s="27">
        <v>1</v>
      </c>
      <c r="C156" s="216"/>
      <c r="D156" s="459" t="s">
        <v>117</v>
      </c>
      <c r="E156" s="330"/>
      <c r="F156" s="330"/>
      <c r="G156" s="330"/>
      <c r="H156" s="460"/>
      <c r="I156" s="461"/>
      <c r="J156" s="461"/>
      <c r="K156" s="461"/>
      <c r="L156" s="461"/>
      <c r="M156" s="461"/>
      <c r="N156" s="461"/>
      <c r="O156" s="461"/>
      <c r="P156" s="461"/>
      <c r="Q156" s="461"/>
      <c r="R156" s="461"/>
      <c r="S156" s="462"/>
      <c r="T156" s="463"/>
      <c r="U156" s="401"/>
      <c r="V156" s="464"/>
      <c r="W156" s="464"/>
      <c r="X156" s="464"/>
      <c r="Y156" s="464"/>
      <c r="Z156" s="464"/>
      <c r="AA156" s="464"/>
      <c r="AB156" s="464"/>
      <c r="AC156" s="464"/>
      <c r="AD156" s="464"/>
      <c r="AE156" s="464"/>
      <c r="AF156" s="464"/>
      <c r="AG156" s="464"/>
      <c r="AH156" s="464"/>
      <c r="AI156" s="464"/>
      <c r="AJ156" s="464"/>
      <c r="AK156" s="464"/>
      <c r="AL156" s="464"/>
      <c r="AM156" s="464"/>
      <c r="AN156" s="464"/>
      <c r="AO156" s="464"/>
      <c r="AP156" s="464"/>
      <c r="AQ156" s="464"/>
      <c r="AR156" s="464"/>
      <c r="AS156" s="464"/>
      <c r="AT156" s="464"/>
      <c r="AU156" s="464"/>
      <c r="AV156" s="1765"/>
      <c r="AW156" s="1765"/>
      <c r="AX156" s="1763" t="s">
        <v>360</v>
      </c>
      <c r="AY156" s="1794">
        <f>+AY155/SIN((AV153)*3.14159265358979/180)</f>
        <v>4855.1315284770499</v>
      </c>
      <c r="AZ156" s="1848" t="s">
        <v>52</v>
      </c>
      <c r="BA156" s="1849"/>
      <c r="BB156" s="218"/>
      <c r="BC156" s="144"/>
      <c r="BD156" s="144"/>
      <c r="BE156" s="136"/>
      <c r="BF156" s="136"/>
      <c r="BG156" s="136"/>
      <c r="BH156" s="136"/>
      <c r="BI156" s="136"/>
      <c r="BJ156" s="136"/>
      <c r="BK156" s="136"/>
      <c r="BL156" s="136"/>
      <c r="BM156" s="214"/>
      <c r="BN156" s="214"/>
      <c r="BO156" s="214"/>
    </row>
    <row r="157" spans="2:67" ht="75" hidden="1" customHeight="1" thickBot="1" x14ac:dyDescent="0.35">
      <c r="C157" s="416"/>
      <c r="D157" s="354" t="s">
        <v>13</v>
      </c>
      <c r="H157" s="465" t="s">
        <v>4</v>
      </c>
      <c r="I157" s="465" t="s">
        <v>1</v>
      </c>
      <c r="J157" s="456" t="s">
        <v>0</v>
      </c>
      <c r="K157" s="456" t="s">
        <v>2</v>
      </c>
      <c r="L157" s="456" t="s">
        <v>3</v>
      </c>
      <c r="M157" s="456" t="s">
        <v>8</v>
      </c>
      <c r="N157" s="456" t="s">
        <v>5</v>
      </c>
      <c r="O157" s="456" t="s">
        <v>6</v>
      </c>
      <c r="P157" s="456" t="s">
        <v>7</v>
      </c>
      <c r="Q157" s="456" t="s">
        <v>9</v>
      </c>
      <c r="R157" s="466" t="s">
        <v>10</v>
      </c>
      <c r="S157" s="456" t="s">
        <v>11</v>
      </c>
      <c r="T157" s="467" t="s">
        <v>12</v>
      </c>
      <c r="V157" s="420"/>
      <c r="W157" s="420"/>
      <c r="X157" s="420"/>
      <c r="Y157" s="420"/>
      <c r="Z157" s="420"/>
      <c r="AA157" s="420"/>
      <c r="AB157" s="420"/>
      <c r="AC157" s="420"/>
      <c r="AD157" s="420"/>
      <c r="AE157" s="420"/>
      <c r="AF157" s="420"/>
      <c r="AG157" s="420"/>
      <c r="AH157" s="420"/>
      <c r="AI157" s="420"/>
      <c r="AJ157" s="420"/>
      <c r="AK157" s="420"/>
      <c r="AL157" s="420"/>
      <c r="AM157" s="420"/>
      <c r="AN157" s="420"/>
      <c r="AO157" s="420"/>
      <c r="AP157" s="420"/>
      <c r="AQ157" s="420"/>
      <c r="AR157" s="420"/>
      <c r="AS157" s="420"/>
      <c r="AT157" s="420"/>
      <c r="AU157" s="420"/>
      <c r="AV157" s="420"/>
      <c r="AW157" s="420"/>
      <c r="AX157" s="415"/>
      <c r="AY157" s="420"/>
      <c r="AZ157" s="420"/>
      <c r="BA157" s="420"/>
      <c r="BB157" s="231"/>
      <c r="BC157" s="228"/>
      <c r="BE157" s="136"/>
      <c r="BF157" s="136"/>
      <c r="BG157" s="136"/>
      <c r="BH157" s="136"/>
      <c r="BI157" s="136"/>
      <c r="BJ157" s="136"/>
      <c r="BK157" s="136"/>
      <c r="BL157" s="136"/>
      <c r="BM157" s="214"/>
      <c r="BN157" s="214"/>
      <c r="BO157" s="214"/>
    </row>
    <row r="158" spans="2:67" ht="52" customHeight="1" thickBot="1" x14ac:dyDescent="0.25">
      <c r="B158" s="421"/>
      <c r="C158" s="422"/>
      <c r="D158" s="348" t="s">
        <v>22</v>
      </c>
      <c r="E158" s="330"/>
      <c r="F158" s="468"/>
      <c r="G158" s="240"/>
      <c r="H158" s="469"/>
      <c r="I158" s="470"/>
      <c r="R158" s="466"/>
      <c r="T158" s="471"/>
      <c r="V158" s="420"/>
      <c r="W158" s="420"/>
      <c r="X158" s="420"/>
      <c r="Y158" s="420"/>
      <c r="Z158" s="420"/>
      <c r="AA158" s="420"/>
      <c r="AB158" s="420"/>
      <c r="AC158" s="420"/>
      <c r="AD158" s="420"/>
      <c r="AE158" s="420"/>
      <c r="AF158" s="420" t="s">
        <v>38</v>
      </c>
      <c r="AG158" s="425" t="s">
        <v>31</v>
      </c>
      <c r="AH158" s="425"/>
      <c r="AI158" s="368" t="s">
        <v>120</v>
      </c>
      <c r="AJ158" s="426" t="s">
        <v>32</v>
      </c>
      <c r="AK158" s="472" t="s">
        <v>142</v>
      </c>
      <c r="AL158" s="368" t="s">
        <v>121</v>
      </c>
      <c r="AM158" s="427" t="s">
        <v>34</v>
      </c>
      <c r="AN158" s="472" t="s">
        <v>143</v>
      </c>
      <c r="AO158" s="427"/>
      <c r="AP158" s="473" t="s">
        <v>36</v>
      </c>
      <c r="AQ158" s="420"/>
      <c r="AR158" s="420" t="s">
        <v>37</v>
      </c>
      <c r="AS158" s="420" t="s">
        <v>39</v>
      </c>
      <c r="AT158" s="420"/>
      <c r="AU158" s="420" t="s">
        <v>40</v>
      </c>
      <c r="AV158" s="429" t="s">
        <v>41</v>
      </c>
      <c r="AW158" s="429" t="s">
        <v>42</v>
      </c>
      <c r="AX158" s="430" t="s">
        <v>23</v>
      </c>
      <c r="AY158" s="430" t="s">
        <v>24</v>
      </c>
      <c r="AZ158" s="431" t="s">
        <v>23</v>
      </c>
      <c r="BA158" s="431" t="s">
        <v>24</v>
      </c>
      <c r="BC158" s="228"/>
      <c r="BE158" s="136"/>
      <c r="BF158" s="136"/>
      <c r="BG158" s="136"/>
      <c r="BH158" s="136"/>
      <c r="BI158" s="136"/>
      <c r="BJ158" s="136"/>
      <c r="BK158" s="136"/>
      <c r="BL158" s="136"/>
    </row>
    <row r="159" spans="2:67" ht="19" thickBot="1" x14ac:dyDescent="0.25">
      <c r="B159" s="255">
        <v>1</v>
      </c>
      <c r="C159" s="256">
        <f>+AH150+D159</f>
        <v>0</v>
      </c>
      <c r="D159" s="30">
        <v>0</v>
      </c>
      <c r="E159" s="257" t="s">
        <v>163</v>
      </c>
      <c r="F159" s="258"/>
      <c r="G159" s="258">
        <f>+D159</f>
        <v>0</v>
      </c>
      <c r="H159" s="282">
        <v>279.06049999999999</v>
      </c>
      <c r="I159" s="283">
        <v>79.962900599999998</v>
      </c>
      <c r="J159" s="474">
        <f>+I159-C159</f>
        <v>79.962900599999998</v>
      </c>
      <c r="K159" s="474">
        <f>+J159/2</f>
        <v>39.981450299999999</v>
      </c>
      <c r="L159" s="474">
        <f t="shared" ref="L159:L164" si="36">SIN(K159*3.14159265358979/180)</f>
        <v>0.64253956655634092</v>
      </c>
      <c r="M159" s="474">
        <f t="shared" ref="M159:M164" si="37">+L159*H159</f>
        <v>179.30741271299578</v>
      </c>
      <c r="N159" s="474">
        <f t="shared" ref="N159:N164" si="38">+M159*2</f>
        <v>358.61482542599157</v>
      </c>
      <c r="O159" s="474">
        <f>+C159/2</f>
        <v>0</v>
      </c>
      <c r="P159" s="474">
        <f t="shared" ref="P159:P164" si="39">SIN(O159*3.14159265358979/180)</f>
        <v>0</v>
      </c>
      <c r="Q159" s="474">
        <f t="shared" ref="Q159:Q164" si="40">+P159*N159</f>
        <v>0</v>
      </c>
      <c r="R159" s="475">
        <v>213.83080000000001</v>
      </c>
      <c r="S159" s="474">
        <f>+R159+Q159</f>
        <v>213.83080000000001</v>
      </c>
      <c r="T159" s="476">
        <f t="shared" ref="T159:T164" si="41">+S159</f>
        <v>213.83080000000001</v>
      </c>
      <c r="V159" s="437">
        <f t="shared" ref="V159:V164" si="42">IF(B159&lt;($B$156+1),T159,0)</f>
        <v>213.83080000000001</v>
      </c>
      <c r="W159" s="437"/>
      <c r="X159" s="437"/>
      <c r="Y159" s="437"/>
      <c r="Z159" s="437"/>
      <c r="AA159" s="437"/>
      <c r="AB159" s="477" t="str">
        <f>IF(AY159&lt;0,"use the locking pin"," ")</f>
        <v xml:space="preserve"> </v>
      </c>
      <c r="AC159" s="478"/>
      <c r="AD159" s="478"/>
      <c r="AE159" s="478"/>
      <c r="AF159" s="437">
        <f>SUM(V159:V166)/($B$156)</f>
        <v>213.83080000000001</v>
      </c>
      <c r="AG159" s="450">
        <f>C159</f>
        <v>0</v>
      </c>
      <c r="AH159" s="450"/>
      <c r="AI159" s="287">
        <f>66.2555484-AG159</f>
        <v>66.255548399999995</v>
      </c>
      <c r="AJ159" s="441">
        <f t="shared" ref="AJ159:AJ164" si="43">SIN(AI159*3.14159265358979/180)</f>
        <v>0.91535047595051022</v>
      </c>
      <c r="AK159" s="289">
        <f>+AJ159*304.3209</f>
        <v>278.56028065668761</v>
      </c>
      <c r="AL159" s="287">
        <f>50.0185497+AG159</f>
        <v>50.018549700000001</v>
      </c>
      <c r="AM159" s="442">
        <f>SIN(AL159*3.14159265358979/180)</f>
        <v>0.76625250760411079</v>
      </c>
      <c r="AN159" s="291">
        <f>+AM159*279.0605</f>
        <v>213.83080789825695</v>
      </c>
      <c r="AO159" s="479"/>
      <c r="AP159" s="480">
        <f>40.5*B156</f>
        <v>40.5</v>
      </c>
      <c r="AQ159" s="444"/>
      <c r="AR159" s="444">
        <f>+AN159+AK159</f>
        <v>492.39108855494453</v>
      </c>
      <c r="AS159" s="445">
        <f>+V159-AN159</f>
        <v>-7.8982569391428115E-6</v>
      </c>
      <c r="AT159" s="445"/>
      <c r="AU159" s="445">
        <f>+AF159-AS159</f>
        <v>213.83080789825695</v>
      </c>
      <c r="AV159" s="447">
        <f>+((AR159-AU159)/AR159)*AP159</f>
        <v>22.912054317849329</v>
      </c>
      <c r="AW159" s="447">
        <f>+(AU159/AR159)*AP159</f>
        <v>17.587945682150675</v>
      </c>
      <c r="AX159" s="448">
        <f>2*$C$18/AV159</f>
        <v>506.28371594611554</v>
      </c>
      <c r="AY159" s="1768">
        <f>AY156/AX153</f>
        <v>181.9427952434238</v>
      </c>
      <c r="AZ159" s="451">
        <f>ABS(AX159)</f>
        <v>506.28371594611554</v>
      </c>
      <c r="BA159" s="451">
        <f>ABS(AY159)</f>
        <v>181.9427952434238</v>
      </c>
      <c r="BB159" s="91"/>
      <c r="BC159" s="481"/>
      <c r="BE159" s="136"/>
      <c r="BF159" s="136"/>
      <c r="BG159" s="136"/>
      <c r="BH159" s="136"/>
      <c r="BI159" s="136"/>
      <c r="BJ159" s="136"/>
      <c r="BK159" s="136"/>
      <c r="BL159" s="136"/>
    </row>
    <row r="160" spans="2:67" ht="19" thickBot="1" x14ac:dyDescent="0.25">
      <c r="B160" s="277">
        <v>2</v>
      </c>
      <c r="C160" s="278"/>
      <c r="D160" s="25">
        <v>0</v>
      </c>
      <c r="E160" s="279" t="s">
        <v>130</v>
      </c>
      <c r="F160" s="258"/>
      <c r="G160" s="258">
        <f t="shared" ref="G160:G164" si="44">+D160+BB160</f>
        <v>0</v>
      </c>
      <c r="H160" s="282">
        <v>279.06049999999999</v>
      </c>
      <c r="I160" s="283">
        <v>79.962900599999998</v>
      </c>
      <c r="J160" s="474">
        <f t="shared" ref="J160:J164" si="45">+I160-D160</f>
        <v>79.962900599999998</v>
      </c>
      <c r="K160" s="474">
        <f t="shared" ref="K160:K164" si="46">+J160/2</f>
        <v>39.981450299999999</v>
      </c>
      <c r="L160" s="474">
        <f t="shared" si="36"/>
        <v>0.64253956655634092</v>
      </c>
      <c r="M160" s="474">
        <f t="shared" si="37"/>
        <v>179.30741271299578</v>
      </c>
      <c r="N160" s="474">
        <f t="shared" si="38"/>
        <v>358.61482542599157</v>
      </c>
      <c r="O160" s="474">
        <f>+C159+(D160/2)</f>
        <v>0</v>
      </c>
      <c r="P160" s="474">
        <f t="shared" si="39"/>
        <v>0</v>
      </c>
      <c r="Q160" s="474">
        <f t="shared" si="40"/>
        <v>0</v>
      </c>
      <c r="R160" s="474">
        <f t="shared" ref="R160:R164" si="47">+T159</f>
        <v>213.83080000000001</v>
      </c>
      <c r="S160" s="474">
        <f>+R160+Q160</f>
        <v>213.83080000000001</v>
      </c>
      <c r="T160" s="476">
        <f t="shared" si="41"/>
        <v>213.83080000000001</v>
      </c>
      <c r="V160" s="437">
        <f t="shared" si="42"/>
        <v>0</v>
      </c>
      <c r="W160" s="437"/>
      <c r="X160" s="437"/>
      <c r="Y160" s="437"/>
      <c r="Z160" s="437"/>
      <c r="AA160" s="437"/>
      <c r="AB160" s="477" t="e">
        <f t="shared" ref="AB160:AB164" si="48">IF(AY160&lt;0,"use the locking pin"," ")</f>
        <v>#DIV/0!</v>
      </c>
      <c r="AC160" s="478"/>
      <c r="AD160" s="478"/>
      <c r="AE160" s="478"/>
      <c r="AF160" s="437" t="e">
        <f>SUM(V160:V166)/($B$156-B159)</f>
        <v>#DIV/0!</v>
      </c>
      <c r="AG160" s="450">
        <f>SUM(D160)+$C$159</f>
        <v>0</v>
      </c>
      <c r="AH160" s="450"/>
      <c r="AI160" s="287">
        <f t="shared" ref="AI160:AI164" si="49">66.2555484-AG160</f>
        <v>66.255548399999995</v>
      </c>
      <c r="AJ160" s="441">
        <f t="shared" si="43"/>
        <v>0.91535047595051022</v>
      </c>
      <c r="AK160" s="289">
        <f t="shared" ref="AK160:AK164" si="50">+AJ160*304.3209</f>
        <v>278.56028065668761</v>
      </c>
      <c r="AL160" s="287">
        <f t="shared" ref="AL160:AL164" si="51">50.0185497+AG160</f>
        <v>50.018549700000001</v>
      </c>
      <c r="AM160" s="442">
        <f t="shared" ref="AM160:AM164" si="52">SIN(AL160*3.14159265358979/180)</f>
        <v>0.76625250760411079</v>
      </c>
      <c r="AN160" s="291">
        <f t="shared" ref="AN160:AN164" si="53">+AM160*279.0605</f>
        <v>213.83080789825695</v>
      </c>
      <c r="AO160" s="479"/>
      <c r="AP160" s="291">
        <f>40.5*($B$156-B159)</f>
        <v>0</v>
      </c>
      <c r="AQ160" s="444"/>
      <c r="AR160" s="444">
        <f t="shared" ref="AR160:AR164" si="54">+AN160+AK160</f>
        <v>492.39108855494453</v>
      </c>
      <c r="AS160" s="445">
        <f>+V160-AN160</f>
        <v>-213.83080789825695</v>
      </c>
      <c r="AT160" s="445"/>
      <c r="AU160" s="445" t="e">
        <f>+AF160-AS160</f>
        <v>#DIV/0!</v>
      </c>
      <c r="AV160" s="447" t="e">
        <f t="shared" ref="AV160:AV164" si="55">+((AR160-AU160)/AR160)*AP160</f>
        <v>#DIV/0!</v>
      </c>
      <c r="AW160" s="447" t="e">
        <f t="shared" ref="AW160:AW164" si="56">+(AU160/AR160)*AP160</f>
        <v>#DIV/0!</v>
      </c>
      <c r="AX160" s="448" t="e">
        <f t="shared" ref="AX160:AX164" si="57">2*$C$18/AV160</f>
        <v>#DIV/0!</v>
      </c>
      <c r="AY160" s="448" t="e">
        <f t="shared" ref="AY160:AY164" si="58">$D$18/AW160</f>
        <v>#DIV/0!</v>
      </c>
      <c r="AZ160" s="451" t="e">
        <f t="shared" ref="AZ160:BA164" si="59">ABS(AX160)</f>
        <v>#DIV/0!</v>
      </c>
      <c r="BA160" s="451" t="e">
        <f t="shared" si="59"/>
        <v>#DIV/0!</v>
      </c>
      <c r="BE160" s="136"/>
      <c r="BF160" s="136"/>
      <c r="BG160" s="136"/>
      <c r="BH160" s="136"/>
      <c r="BI160" s="136"/>
      <c r="BJ160" s="136"/>
      <c r="BK160" s="136"/>
      <c r="BL160" s="136"/>
    </row>
    <row r="161" spans="2:87" ht="19" thickBot="1" x14ac:dyDescent="0.25">
      <c r="B161" s="277">
        <v>3</v>
      </c>
      <c r="C161" s="278"/>
      <c r="D161" s="25">
        <v>0</v>
      </c>
      <c r="E161" s="279" t="s">
        <v>130</v>
      </c>
      <c r="F161" s="258"/>
      <c r="G161" s="258">
        <f t="shared" si="44"/>
        <v>0</v>
      </c>
      <c r="H161" s="282">
        <v>279.06049999999999</v>
      </c>
      <c r="I161" s="283">
        <v>79.962900599999998</v>
      </c>
      <c r="J161" s="474">
        <f t="shared" si="45"/>
        <v>79.962900599999998</v>
      </c>
      <c r="K161" s="474">
        <f t="shared" si="46"/>
        <v>39.981450299999999</v>
      </c>
      <c r="L161" s="474">
        <f t="shared" si="36"/>
        <v>0.64253956655634092</v>
      </c>
      <c r="M161" s="474">
        <f t="shared" si="37"/>
        <v>179.30741271299578</v>
      </c>
      <c r="N161" s="474">
        <f t="shared" si="38"/>
        <v>358.61482542599157</v>
      </c>
      <c r="O161" s="474">
        <f>+C159+D160+(D161/2)</f>
        <v>0</v>
      </c>
      <c r="P161" s="474">
        <f t="shared" si="39"/>
        <v>0</v>
      </c>
      <c r="Q161" s="474">
        <f t="shared" si="40"/>
        <v>0</v>
      </c>
      <c r="R161" s="474">
        <f t="shared" si="47"/>
        <v>213.83080000000001</v>
      </c>
      <c r="S161" s="474">
        <f t="shared" ref="S161:S164" si="60">+S160+Q161</f>
        <v>213.83080000000001</v>
      </c>
      <c r="T161" s="476">
        <f t="shared" si="41"/>
        <v>213.83080000000001</v>
      </c>
      <c r="V161" s="437">
        <f t="shared" si="42"/>
        <v>0</v>
      </c>
      <c r="W161" s="437"/>
      <c r="X161" s="437"/>
      <c r="Y161" s="437"/>
      <c r="Z161" s="437"/>
      <c r="AA161" s="437"/>
      <c r="AB161" s="477" t="str">
        <f t="shared" si="48"/>
        <v>use the locking pin</v>
      </c>
      <c r="AC161" s="478"/>
      <c r="AD161" s="478"/>
      <c r="AE161" s="478"/>
      <c r="AF161" s="437">
        <f>SUM(V161:V166)/($B$156-B160)</f>
        <v>0</v>
      </c>
      <c r="AG161" s="450">
        <f>SUM(D160:D161)+$C$159</f>
        <v>0</v>
      </c>
      <c r="AH161" s="450"/>
      <c r="AI161" s="287">
        <f t="shared" si="49"/>
        <v>66.255548399999995</v>
      </c>
      <c r="AJ161" s="441">
        <f t="shared" si="43"/>
        <v>0.91535047595051022</v>
      </c>
      <c r="AK161" s="289">
        <f t="shared" si="50"/>
        <v>278.56028065668761</v>
      </c>
      <c r="AL161" s="287">
        <f t="shared" si="51"/>
        <v>50.018549700000001</v>
      </c>
      <c r="AM161" s="442">
        <f t="shared" si="52"/>
        <v>0.76625250760411079</v>
      </c>
      <c r="AN161" s="291">
        <f t="shared" si="53"/>
        <v>213.83080789825695</v>
      </c>
      <c r="AO161" s="479"/>
      <c r="AP161" s="291">
        <f>40.5*($B$156-B160)</f>
        <v>-40.5</v>
      </c>
      <c r="AQ161" s="444"/>
      <c r="AR161" s="444">
        <f t="shared" si="54"/>
        <v>492.39108855494453</v>
      </c>
      <c r="AS161" s="445">
        <f>+V161-AN161</f>
        <v>-213.83080789825695</v>
      </c>
      <c r="AT161" s="445"/>
      <c r="AU161" s="445">
        <f>+AF161-AS161</f>
        <v>213.83080789825695</v>
      </c>
      <c r="AV161" s="447">
        <f t="shared" si="55"/>
        <v>-22.912054317849329</v>
      </c>
      <c r="AW161" s="447">
        <f t="shared" si="56"/>
        <v>-17.587945682150675</v>
      </c>
      <c r="AX161" s="448">
        <f t="shared" si="57"/>
        <v>-506.28371594611554</v>
      </c>
      <c r="AY161" s="448">
        <f t="shared" si="58"/>
        <v>-568.57123513569934</v>
      </c>
      <c r="AZ161" s="451">
        <f t="shared" si="59"/>
        <v>506.28371594611554</v>
      </c>
      <c r="BA161" s="451">
        <f t="shared" si="59"/>
        <v>568.57123513569934</v>
      </c>
      <c r="BE161" s="136"/>
      <c r="BF161" s="136"/>
      <c r="BG161" s="136"/>
      <c r="BH161" s="136"/>
      <c r="BI161" s="136"/>
      <c r="BJ161" s="136"/>
      <c r="BK161" s="136"/>
      <c r="BL161" s="136"/>
    </row>
    <row r="162" spans="2:87" ht="19" thickBot="1" x14ac:dyDescent="0.25">
      <c r="B162" s="277">
        <v>4</v>
      </c>
      <c r="C162" s="278"/>
      <c r="D162" s="25">
        <v>0</v>
      </c>
      <c r="E162" s="279" t="s">
        <v>130</v>
      </c>
      <c r="F162" s="258"/>
      <c r="G162" s="258">
        <f t="shared" si="44"/>
        <v>0</v>
      </c>
      <c r="H162" s="282">
        <v>279.06049999999999</v>
      </c>
      <c r="I162" s="283">
        <v>79.962900599999998</v>
      </c>
      <c r="J162" s="474">
        <f t="shared" si="45"/>
        <v>79.962900599999998</v>
      </c>
      <c r="K162" s="474">
        <f t="shared" si="46"/>
        <v>39.981450299999999</v>
      </c>
      <c r="L162" s="474">
        <f t="shared" si="36"/>
        <v>0.64253956655634092</v>
      </c>
      <c r="M162" s="474">
        <f t="shared" si="37"/>
        <v>179.30741271299578</v>
      </c>
      <c r="N162" s="474">
        <f t="shared" si="38"/>
        <v>358.61482542599157</v>
      </c>
      <c r="O162" s="474">
        <f>+C159+D160+D161+(D162/2)</f>
        <v>0</v>
      </c>
      <c r="P162" s="474">
        <f t="shared" si="39"/>
        <v>0</v>
      </c>
      <c r="Q162" s="474">
        <f t="shared" si="40"/>
        <v>0</v>
      </c>
      <c r="R162" s="474">
        <f t="shared" si="47"/>
        <v>213.83080000000001</v>
      </c>
      <c r="S162" s="474">
        <f t="shared" si="60"/>
        <v>213.83080000000001</v>
      </c>
      <c r="T162" s="476">
        <f t="shared" si="41"/>
        <v>213.83080000000001</v>
      </c>
      <c r="V162" s="437">
        <f t="shared" si="42"/>
        <v>0</v>
      </c>
      <c r="W162" s="437"/>
      <c r="X162" s="437"/>
      <c r="Y162" s="437"/>
      <c r="Z162" s="437"/>
      <c r="AA162" s="437"/>
      <c r="AB162" s="477" t="str">
        <f t="shared" si="48"/>
        <v>use the locking pin</v>
      </c>
      <c r="AC162" s="478"/>
      <c r="AD162" s="478"/>
      <c r="AE162" s="478"/>
      <c r="AF162" s="437">
        <f>SUM(V162:V167)/($B$156-B161)</f>
        <v>0</v>
      </c>
      <c r="AG162" s="450">
        <f>SUM(D160:D162)+$C$159</f>
        <v>0</v>
      </c>
      <c r="AH162" s="450"/>
      <c r="AI162" s="287">
        <f t="shared" si="49"/>
        <v>66.255548399999995</v>
      </c>
      <c r="AJ162" s="441">
        <f t="shared" si="43"/>
        <v>0.91535047595051022</v>
      </c>
      <c r="AK162" s="289">
        <f t="shared" si="50"/>
        <v>278.56028065668761</v>
      </c>
      <c r="AL162" s="287">
        <f t="shared" si="51"/>
        <v>50.018549700000001</v>
      </c>
      <c r="AM162" s="442">
        <f t="shared" si="52"/>
        <v>0.76625250760411079</v>
      </c>
      <c r="AN162" s="291">
        <f t="shared" si="53"/>
        <v>213.83080789825695</v>
      </c>
      <c r="AO162" s="479"/>
      <c r="AP162" s="291">
        <f>40.5*($B$156-B161)</f>
        <v>-81</v>
      </c>
      <c r="AQ162" s="444"/>
      <c r="AR162" s="444">
        <f t="shared" si="54"/>
        <v>492.39108855494453</v>
      </c>
      <c r="AS162" s="445">
        <f>+V162-AN162</f>
        <v>-213.83080789825695</v>
      </c>
      <c r="AT162" s="445"/>
      <c r="AU162" s="445">
        <f t="shared" ref="AU162:AU164" si="61">+AF162-AS162</f>
        <v>213.83080789825695</v>
      </c>
      <c r="AV162" s="447">
        <f t="shared" si="55"/>
        <v>-45.824108635698657</v>
      </c>
      <c r="AW162" s="447">
        <f t="shared" si="56"/>
        <v>-35.17589136430135</v>
      </c>
      <c r="AX162" s="448">
        <f t="shared" si="57"/>
        <v>-253.14185797305777</v>
      </c>
      <c r="AY162" s="448">
        <f t="shared" si="58"/>
        <v>-284.28561756784967</v>
      </c>
      <c r="AZ162" s="451">
        <f t="shared" si="59"/>
        <v>253.14185797305777</v>
      </c>
      <c r="BA162" s="451">
        <f t="shared" si="59"/>
        <v>284.28561756784967</v>
      </c>
    </row>
    <row r="163" spans="2:87" ht="19" thickBot="1" x14ac:dyDescent="0.25">
      <c r="B163" s="277">
        <v>5</v>
      </c>
      <c r="C163" s="278"/>
      <c r="D163" s="25">
        <v>0</v>
      </c>
      <c r="E163" s="279" t="s">
        <v>130</v>
      </c>
      <c r="F163" s="258"/>
      <c r="G163" s="258">
        <f t="shared" si="44"/>
        <v>0</v>
      </c>
      <c r="H163" s="282">
        <v>279.06049999999999</v>
      </c>
      <c r="I163" s="283">
        <v>79.962900599999998</v>
      </c>
      <c r="J163" s="474">
        <f t="shared" si="45"/>
        <v>79.962900599999998</v>
      </c>
      <c r="K163" s="474">
        <f t="shared" si="46"/>
        <v>39.981450299999999</v>
      </c>
      <c r="L163" s="474">
        <f t="shared" si="36"/>
        <v>0.64253956655634092</v>
      </c>
      <c r="M163" s="474">
        <f t="shared" si="37"/>
        <v>179.30741271299578</v>
      </c>
      <c r="N163" s="474">
        <f t="shared" si="38"/>
        <v>358.61482542599157</v>
      </c>
      <c r="O163" s="474">
        <f>+C159+D160+D161+D162+(D163/2)</f>
        <v>0</v>
      </c>
      <c r="P163" s="474">
        <f t="shared" si="39"/>
        <v>0</v>
      </c>
      <c r="Q163" s="474">
        <f t="shared" si="40"/>
        <v>0</v>
      </c>
      <c r="R163" s="474">
        <f t="shared" si="47"/>
        <v>213.83080000000001</v>
      </c>
      <c r="S163" s="474">
        <f t="shared" si="60"/>
        <v>213.83080000000001</v>
      </c>
      <c r="T163" s="476">
        <f t="shared" si="41"/>
        <v>213.83080000000001</v>
      </c>
      <c r="V163" s="437">
        <f t="shared" si="42"/>
        <v>0</v>
      </c>
      <c r="W163" s="437"/>
      <c r="X163" s="437"/>
      <c r="Y163" s="437"/>
      <c r="Z163" s="437"/>
      <c r="AA163" s="437"/>
      <c r="AB163" s="477" t="str">
        <f t="shared" si="48"/>
        <v>use the locking pin</v>
      </c>
      <c r="AC163" s="478"/>
      <c r="AD163" s="478"/>
      <c r="AE163" s="478"/>
      <c r="AF163" s="437">
        <f>SUM(V163:V168)/($B$156-B162)</f>
        <v>0</v>
      </c>
      <c r="AG163" s="450">
        <f>SUM(D160:D163)+$C$159</f>
        <v>0</v>
      </c>
      <c r="AH163" s="450"/>
      <c r="AI163" s="287">
        <f t="shared" si="49"/>
        <v>66.255548399999995</v>
      </c>
      <c r="AJ163" s="441">
        <f t="shared" si="43"/>
        <v>0.91535047595051022</v>
      </c>
      <c r="AK163" s="289">
        <f t="shared" si="50"/>
        <v>278.56028065668761</v>
      </c>
      <c r="AL163" s="287">
        <f t="shared" si="51"/>
        <v>50.018549700000001</v>
      </c>
      <c r="AM163" s="442">
        <f t="shared" si="52"/>
        <v>0.76625250760411079</v>
      </c>
      <c r="AN163" s="291">
        <f t="shared" si="53"/>
        <v>213.83080789825695</v>
      </c>
      <c r="AO163" s="479"/>
      <c r="AP163" s="291">
        <f>40.5*($B$156-B162)</f>
        <v>-121.5</v>
      </c>
      <c r="AQ163" s="444"/>
      <c r="AR163" s="444">
        <f t="shared" si="54"/>
        <v>492.39108855494453</v>
      </c>
      <c r="AS163" s="445">
        <f t="shared" ref="AS163:AS164" si="62">+V163-AN163</f>
        <v>-213.83080789825695</v>
      </c>
      <c r="AT163" s="445"/>
      <c r="AU163" s="445">
        <f t="shared" si="61"/>
        <v>213.83080789825695</v>
      </c>
      <c r="AV163" s="447">
        <f t="shared" si="55"/>
        <v>-68.736162953547989</v>
      </c>
      <c r="AW163" s="447">
        <f t="shared" si="56"/>
        <v>-52.763837046452025</v>
      </c>
      <c r="AX163" s="448">
        <f t="shared" si="57"/>
        <v>-168.76123864870519</v>
      </c>
      <c r="AY163" s="448">
        <f t="shared" si="58"/>
        <v>-189.52374504523311</v>
      </c>
      <c r="AZ163" s="451">
        <f t="shared" si="59"/>
        <v>168.76123864870519</v>
      </c>
      <c r="BA163" s="451">
        <f t="shared" si="59"/>
        <v>189.52374504523311</v>
      </c>
      <c r="BC163" s="126"/>
      <c r="BD163" s="126"/>
    </row>
    <row r="164" spans="2:87" ht="19" thickBot="1" x14ac:dyDescent="0.25">
      <c r="B164" s="277">
        <v>6</v>
      </c>
      <c r="C164" s="278"/>
      <c r="D164" s="25">
        <v>0</v>
      </c>
      <c r="E164" s="279" t="s">
        <v>130</v>
      </c>
      <c r="F164" s="258"/>
      <c r="G164" s="258">
        <f t="shared" si="44"/>
        <v>0</v>
      </c>
      <c r="H164" s="282">
        <v>279.06049999999999</v>
      </c>
      <c r="I164" s="283">
        <v>79.962900599999998</v>
      </c>
      <c r="J164" s="474">
        <f t="shared" si="45"/>
        <v>79.962900599999998</v>
      </c>
      <c r="K164" s="474">
        <f t="shared" si="46"/>
        <v>39.981450299999999</v>
      </c>
      <c r="L164" s="474">
        <f t="shared" si="36"/>
        <v>0.64253956655634092</v>
      </c>
      <c r="M164" s="474">
        <f t="shared" si="37"/>
        <v>179.30741271299578</v>
      </c>
      <c r="N164" s="474">
        <f t="shared" si="38"/>
        <v>358.61482542599157</v>
      </c>
      <c r="O164" s="474">
        <f>+C159+D160+D161+D162+D163+(D164/2)</f>
        <v>0</v>
      </c>
      <c r="P164" s="474">
        <f t="shared" si="39"/>
        <v>0</v>
      </c>
      <c r="Q164" s="474">
        <f t="shared" si="40"/>
        <v>0</v>
      </c>
      <c r="R164" s="474">
        <f t="shared" si="47"/>
        <v>213.83080000000001</v>
      </c>
      <c r="S164" s="474">
        <f t="shared" si="60"/>
        <v>213.83080000000001</v>
      </c>
      <c r="T164" s="476">
        <f t="shared" si="41"/>
        <v>213.83080000000001</v>
      </c>
      <c r="V164" s="437">
        <f t="shared" si="42"/>
        <v>0</v>
      </c>
      <c r="W164" s="437"/>
      <c r="X164" s="437"/>
      <c r="Y164" s="437"/>
      <c r="Z164" s="437"/>
      <c r="AA164" s="437"/>
      <c r="AB164" s="477" t="str">
        <f t="shared" si="48"/>
        <v>use the locking pin</v>
      </c>
      <c r="AC164" s="478"/>
      <c r="AD164" s="478"/>
      <c r="AE164" s="478"/>
      <c r="AF164" s="437">
        <f>SUM(V164:V169)/($B$156-B163)</f>
        <v>0</v>
      </c>
      <c r="AG164" s="450">
        <f>SUM(D160:D164)+$C$159</f>
        <v>0</v>
      </c>
      <c r="AH164" s="450"/>
      <c r="AI164" s="287">
        <f t="shared" si="49"/>
        <v>66.255548399999995</v>
      </c>
      <c r="AJ164" s="441">
        <f t="shared" si="43"/>
        <v>0.91535047595051022</v>
      </c>
      <c r="AK164" s="289">
        <f t="shared" si="50"/>
        <v>278.56028065668761</v>
      </c>
      <c r="AL164" s="287">
        <f t="shared" si="51"/>
        <v>50.018549700000001</v>
      </c>
      <c r="AM164" s="442">
        <f t="shared" si="52"/>
        <v>0.76625250760411079</v>
      </c>
      <c r="AN164" s="291">
        <f t="shared" si="53"/>
        <v>213.83080789825695</v>
      </c>
      <c r="AO164" s="479"/>
      <c r="AP164" s="291">
        <f>40.5*($B$156-B163)</f>
        <v>-162</v>
      </c>
      <c r="AQ164" s="444"/>
      <c r="AR164" s="444">
        <f t="shared" si="54"/>
        <v>492.39108855494453</v>
      </c>
      <c r="AS164" s="445">
        <f t="shared" si="62"/>
        <v>-213.83080789825695</v>
      </c>
      <c r="AT164" s="445"/>
      <c r="AU164" s="445">
        <f t="shared" si="61"/>
        <v>213.83080789825695</v>
      </c>
      <c r="AV164" s="447">
        <f t="shared" si="55"/>
        <v>-91.648217271397314</v>
      </c>
      <c r="AW164" s="447">
        <f t="shared" si="56"/>
        <v>-70.3517827286027</v>
      </c>
      <c r="AX164" s="448">
        <f t="shared" si="57"/>
        <v>-126.57092898652888</v>
      </c>
      <c r="AY164" s="448">
        <f t="shared" si="58"/>
        <v>-142.14280878392483</v>
      </c>
      <c r="AZ164" s="451">
        <f t="shared" si="59"/>
        <v>126.57092898652888</v>
      </c>
      <c r="BA164" s="451">
        <f t="shared" si="59"/>
        <v>142.14280878392483</v>
      </c>
      <c r="BC164" s="126"/>
      <c r="BD164" s="126"/>
    </row>
    <row r="165" spans="2:87" ht="19" thickBot="1" x14ac:dyDescent="0.25">
      <c r="B165" s="277">
        <v>7</v>
      </c>
      <c r="C165" s="278"/>
      <c r="D165" s="25">
        <v>0</v>
      </c>
      <c r="E165" s="279" t="s">
        <v>130</v>
      </c>
      <c r="F165" s="258"/>
      <c r="G165" s="258">
        <f t="shared" ref="G165:G166" si="63">+D165+BB165</f>
        <v>0</v>
      </c>
      <c r="H165" s="282">
        <v>279.06049999999999</v>
      </c>
      <c r="I165" s="283">
        <v>79.962900599999998</v>
      </c>
      <c r="J165" s="474">
        <f t="shared" ref="J165:J166" si="64">+I165-D165</f>
        <v>79.962900599999998</v>
      </c>
      <c r="K165" s="474">
        <f t="shared" ref="K165:K166" si="65">+J165/2</f>
        <v>39.981450299999999</v>
      </c>
      <c r="L165" s="474">
        <f t="shared" ref="L165:L166" si="66">SIN(K165*3.14159265358979/180)</f>
        <v>0.64253956655634092</v>
      </c>
      <c r="M165" s="474">
        <f t="shared" ref="M165:M166" si="67">+L165*H165</f>
        <v>179.30741271299578</v>
      </c>
      <c r="N165" s="474">
        <f t="shared" ref="N165:N166" si="68">+M165*2</f>
        <v>358.61482542599157</v>
      </c>
      <c r="O165" s="474">
        <f>+C159+D161+D162+D163+D164+D160+(D165/2)</f>
        <v>0</v>
      </c>
      <c r="P165" s="474">
        <f t="shared" ref="P165:P166" si="69">SIN(O165*3.14159265358979/180)</f>
        <v>0</v>
      </c>
      <c r="Q165" s="474">
        <f t="shared" ref="Q165:Q166" si="70">+P165*N165</f>
        <v>0</v>
      </c>
      <c r="R165" s="474">
        <f t="shared" ref="R165:R166" si="71">+T164</f>
        <v>213.83080000000001</v>
      </c>
      <c r="S165" s="474">
        <f t="shared" ref="S165:S166" si="72">+S164+Q165</f>
        <v>213.83080000000001</v>
      </c>
      <c r="T165" s="476">
        <f t="shared" ref="T165:T166" si="73">+S165</f>
        <v>213.83080000000001</v>
      </c>
      <c r="V165" s="437">
        <f t="shared" ref="V165:V166" si="74">IF(B165&lt;($B$156+1),T165,0)</f>
        <v>0</v>
      </c>
      <c r="W165" s="437"/>
      <c r="X165" s="437"/>
      <c r="Y165" s="437"/>
      <c r="Z165" s="437"/>
      <c r="AA165" s="437"/>
      <c r="AB165" s="477" t="str">
        <f t="shared" ref="AB165:AB166" si="75">IF(AY165&lt;0,"use the locking pin"," ")</f>
        <v>use the locking pin</v>
      </c>
      <c r="AC165" s="478"/>
      <c r="AD165" s="478"/>
      <c r="AE165" s="478"/>
      <c r="AF165" s="437">
        <f t="shared" ref="AF165:AF166" si="76">SUM(V165:V170)/($B$156-B164)</f>
        <v>0</v>
      </c>
      <c r="AG165" s="450">
        <f>SUM(D160:D165)+$C$159</f>
        <v>0</v>
      </c>
      <c r="AH165" s="450"/>
      <c r="AI165" s="287">
        <f t="shared" ref="AI165:AI166" si="77">66.2555484-AG165</f>
        <v>66.255548399999995</v>
      </c>
      <c r="AJ165" s="441">
        <f t="shared" ref="AJ165:AJ166" si="78">SIN(AI165*3.14159265358979/180)</f>
        <v>0.91535047595051022</v>
      </c>
      <c r="AK165" s="289">
        <f t="shared" ref="AK165:AK166" si="79">+AJ165*304.3209</f>
        <v>278.56028065668761</v>
      </c>
      <c r="AL165" s="287">
        <f t="shared" ref="AL165:AL166" si="80">50.0185497+AG165</f>
        <v>50.018549700000001</v>
      </c>
      <c r="AM165" s="442">
        <f t="shared" ref="AM165:AM166" si="81">SIN(AL165*3.14159265358979/180)</f>
        <v>0.76625250760411079</v>
      </c>
      <c r="AN165" s="291">
        <f t="shared" ref="AN165:AN166" si="82">+AM165*279.0605</f>
        <v>213.83080789825695</v>
      </c>
      <c r="AO165" s="479"/>
      <c r="AP165" s="291">
        <f t="shared" ref="AP165:AP166" si="83">40.5*($B$156-B164)</f>
        <v>-202.5</v>
      </c>
      <c r="AQ165" s="444"/>
      <c r="AR165" s="444">
        <f t="shared" ref="AR165:AR166" si="84">+AN165+AK165</f>
        <v>492.39108855494453</v>
      </c>
      <c r="AS165" s="445">
        <f t="shared" ref="AS165:AS166" si="85">+V165-AN165</f>
        <v>-213.83080789825695</v>
      </c>
      <c r="AT165" s="445"/>
      <c r="AU165" s="445">
        <f t="shared" ref="AU165:AU166" si="86">+AF165-AS165</f>
        <v>213.83080789825695</v>
      </c>
      <c r="AV165" s="447">
        <f t="shared" ref="AV165:AV166" si="87">+((AR165-AU165)/AR165)*AP165</f>
        <v>-114.56027158924665</v>
      </c>
      <c r="AW165" s="447">
        <f t="shared" ref="AW165:AW166" si="88">+(AU165/AR165)*AP165</f>
        <v>-87.939728410753375</v>
      </c>
      <c r="AX165" s="448">
        <f t="shared" ref="AX165:AX166" si="89">2*$C$18/AV165</f>
        <v>-101.2567431892231</v>
      </c>
      <c r="AY165" s="448">
        <f t="shared" ref="AY165:AY166" si="90">$D$18/AW165</f>
        <v>-113.71424702713988</v>
      </c>
      <c r="AZ165" s="451">
        <f t="shared" ref="AZ165:AZ166" si="91">ABS(AX165)</f>
        <v>101.2567431892231</v>
      </c>
      <c r="BA165" s="451">
        <f t="shared" ref="BA165:BA166" si="92">ABS(AY165)</f>
        <v>113.71424702713988</v>
      </c>
    </row>
    <row r="166" spans="2:87" ht="19" thickBot="1" x14ac:dyDescent="0.25">
      <c r="B166" s="277">
        <v>8</v>
      </c>
      <c r="C166" s="278"/>
      <c r="D166" s="25">
        <v>0</v>
      </c>
      <c r="E166" s="279" t="s">
        <v>130</v>
      </c>
      <c r="F166" s="258"/>
      <c r="G166" s="258">
        <f t="shared" si="63"/>
        <v>0</v>
      </c>
      <c r="H166" s="282">
        <v>279.06049999999999</v>
      </c>
      <c r="I166" s="283">
        <v>79.962900599999998</v>
      </c>
      <c r="J166" s="474">
        <f t="shared" si="64"/>
        <v>79.962900599999998</v>
      </c>
      <c r="K166" s="474">
        <f t="shared" si="65"/>
        <v>39.981450299999999</v>
      </c>
      <c r="L166" s="474">
        <f t="shared" si="66"/>
        <v>0.64253956655634092</v>
      </c>
      <c r="M166" s="474">
        <f t="shared" si="67"/>
        <v>179.30741271299578</v>
      </c>
      <c r="N166" s="474">
        <f t="shared" si="68"/>
        <v>358.61482542599157</v>
      </c>
      <c r="O166" s="474">
        <f>+C159+D162+D163+D164+D165+D161+D160+(D166/2)</f>
        <v>0</v>
      </c>
      <c r="P166" s="474">
        <f t="shared" si="69"/>
        <v>0</v>
      </c>
      <c r="Q166" s="474">
        <f t="shared" si="70"/>
        <v>0</v>
      </c>
      <c r="R166" s="474">
        <f t="shared" si="71"/>
        <v>213.83080000000001</v>
      </c>
      <c r="S166" s="474">
        <f t="shared" si="72"/>
        <v>213.83080000000001</v>
      </c>
      <c r="T166" s="476">
        <f t="shared" si="73"/>
        <v>213.83080000000001</v>
      </c>
      <c r="V166" s="437">
        <f t="shared" si="74"/>
        <v>0</v>
      </c>
      <c r="W166" s="437"/>
      <c r="X166" s="437"/>
      <c r="Y166" s="437"/>
      <c r="Z166" s="437"/>
      <c r="AA166" s="437"/>
      <c r="AB166" s="477" t="str">
        <f t="shared" si="75"/>
        <v>use the locking pin</v>
      </c>
      <c r="AC166" s="478"/>
      <c r="AD166" s="478"/>
      <c r="AE166" s="478"/>
      <c r="AF166" s="437">
        <f t="shared" si="76"/>
        <v>0</v>
      </c>
      <c r="AG166" s="450">
        <f>SUM(D160:D166)+$C$159</f>
        <v>0</v>
      </c>
      <c r="AH166" s="450"/>
      <c r="AI166" s="287">
        <f t="shared" si="77"/>
        <v>66.255548399999995</v>
      </c>
      <c r="AJ166" s="441">
        <f t="shared" si="78"/>
        <v>0.91535047595051022</v>
      </c>
      <c r="AK166" s="289">
        <f t="shared" si="79"/>
        <v>278.56028065668761</v>
      </c>
      <c r="AL166" s="287">
        <f t="shared" si="80"/>
        <v>50.018549700000001</v>
      </c>
      <c r="AM166" s="442">
        <f t="shared" si="81"/>
        <v>0.76625250760411079</v>
      </c>
      <c r="AN166" s="291">
        <f t="shared" si="82"/>
        <v>213.83080789825695</v>
      </c>
      <c r="AO166" s="479"/>
      <c r="AP166" s="291">
        <f t="shared" si="83"/>
        <v>-243</v>
      </c>
      <c r="AQ166" s="444"/>
      <c r="AR166" s="444">
        <f t="shared" si="84"/>
        <v>492.39108855494453</v>
      </c>
      <c r="AS166" s="445">
        <f t="shared" si="85"/>
        <v>-213.83080789825695</v>
      </c>
      <c r="AT166" s="445"/>
      <c r="AU166" s="445">
        <f t="shared" si="86"/>
        <v>213.83080789825695</v>
      </c>
      <c r="AV166" s="447">
        <f t="shared" si="87"/>
        <v>-137.47232590709598</v>
      </c>
      <c r="AW166" s="447">
        <f t="shared" si="88"/>
        <v>-105.52767409290405</v>
      </c>
      <c r="AX166" s="448">
        <f t="shared" si="89"/>
        <v>-84.380619324352594</v>
      </c>
      <c r="AY166" s="448">
        <f t="shared" si="90"/>
        <v>-94.761872522616557</v>
      </c>
      <c r="AZ166" s="451">
        <f t="shared" si="91"/>
        <v>84.380619324352594</v>
      </c>
      <c r="BA166" s="451">
        <f t="shared" si="92"/>
        <v>94.761872522616557</v>
      </c>
    </row>
    <row r="170" spans="2:87" x14ac:dyDescent="0.2">
      <c r="BP170" s="305"/>
      <c r="BQ170" s="305"/>
      <c r="BR170" s="305"/>
      <c r="BS170" s="305"/>
      <c r="BT170" s="305"/>
      <c r="BU170" s="305"/>
      <c r="BV170" s="1818"/>
      <c r="BW170" s="1818"/>
      <c r="BX170" s="1818"/>
      <c r="BY170" s="126"/>
    </row>
    <row r="171" spans="2:87" x14ac:dyDescent="0.2">
      <c r="BV171" s="306"/>
      <c r="CI171" s="306"/>
    </row>
    <row r="172" spans="2:87" x14ac:dyDescent="0.2">
      <c r="BP172" s="307"/>
      <c r="BQ172" s="307"/>
      <c r="BR172" s="307"/>
      <c r="BS172" s="307"/>
      <c r="BT172" s="307"/>
      <c r="BU172" s="307"/>
      <c r="BV172" s="1819"/>
      <c r="BW172" s="1819"/>
      <c r="CH172" s="1813"/>
      <c r="CI172" s="1813"/>
    </row>
    <row r="177" spans="57:128" x14ac:dyDescent="0.2">
      <c r="DE177" s="305"/>
      <c r="DF177" s="305"/>
      <c r="DG177" s="305"/>
      <c r="DH177" s="305"/>
      <c r="DI177" s="305"/>
      <c r="DJ177" s="305"/>
      <c r="DK177" s="1818"/>
      <c r="DL177" s="1818"/>
      <c r="DM177" s="1818"/>
      <c r="DN177" s="126"/>
    </row>
    <row r="178" spans="57:128" x14ac:dyDescent="0.2">
      <c r="DK178" s="306"/>
      <c r="DX178" s="306"/>
    </row>
    <row r="179" spans="57:128" x14ac:dyDescent="0.2">
      <c r="DE179" s="307"/>
      <c r="DF179" s="307"/>
      <c r="DG179" s="307"/>
      <c r="DH179" s="307"/>
      <c r="DI179" s="307"/>
      <c r="DJ179" s="307"/>
      <c r="DK179" s="1819"/>
      <c r="DL179" s="1819"/>
      <c r="DW179" s="1813"/>
      <c r="DX179" s="1813"/>
    </row>
    <row r="188" spans="57:128" x14ac:dyDescent="0.2">
      <c r="BE188" s="136"/>
      <c r="BF188" s="136"/>
      <c r="BG188" s="136"/>
      <c r="BH188" s="136"/>
      <c r="BI188" s="136"/>
      <c r="BJ188" s="136"/>
    </row>
    <row r="189" spans="57:128" x14ac:dyDescent="0.2">
      <c r="BE189" s="136"/>
      <c r="BF189" s="136"/>
      <c r="BG189" s="136"/>
      <c r="BH189" s="136"/>
      <c r="BI189" s="136"/>
      <c r="BJ189" s="136"/>
      <c r="BK189" s="212"/>
      <c r="BP189" s="126"/>
      <c r="BR189" s="126"/>
      <c r="BT189" s="126"/>
    </row>
    <row r="190" spans="57:128" x14ac:dyDescent="0.2">
      <c r="BE190" s="136"/>
      <c r="BF190" s="136"/>
      <c r="BG190" s="297" t="s">
        <v>122</v>
      </c>
      <c r="BH190" s="136"/>
      <c r="BI190" s="136"/>
      <c r="BJ190" s="136"/>
      <c r="BK190" s="136"/>
      <c r="BL190" s="136"/>
      <c r="BP190" s="126"/>
      <c r="BT190" s="126"/>
    </row>
    <row r="191" spans="57:128" ht="20" x14ac:dyDescent="0.3">
      <c r="BE191" s="298">
        <v>1</v>
      </c>
      <c r="BF191" s="299">
        <v>-473</v>
      </c>
      <c r="BG191" s="300">
        <f>+COS(($B$132*-1)*3.14159265358979/180)*BF191</f>
        <v>-473</v>
      </c>
      <c r="BH191" s="301">
        <f t="shared" ref="BH191:BH227" si="93">+BG191-D$3</f>
        <v>-730.51253270193752</v>
      </c>
      <c r="BI191" s="302">
        <f t="shared" ref="BI191:BI227" si="94">ABS(BH191)</f>
        <v>730.51253270193752</v>
      </c>
      <c r="BJ191" s="303">
        <f>MIN(BI191:BI227)</f>
        <v>0.48746729806242683</v>
      </c>
      <c r="BK191" s="302" t="b">
        <f>IF(BJ191=BI191,BE191)</f>
        <v>0</v>
      </c>
      <c r="BL191" s="304">
        <v>1</v>
      </c>
      <c r="BP191" s="126"/>
      <c r="BQ191" s="311"/>
      <c r="BR191" s="311"/>
      <c r="BS191" s="311"/>
      <c r="BT191" s="311"/>
      <c r="BU191" s="311"/>
      <c r="BV191" s="311"/>
      <c r="BW191" s="311"/>
      <c r="BX191" s="311"/>
      <c r="BY191" s="311"/>
      <c r="BZ191" s="311"/>
      <c r="CA191" s="311"/>
      <c r="CB191" s="311"/>
      <c r="CC191" s="311"/>
      <c r="CD191" s="311"/>
      <c r="CE191" s="311"/>
      <c r="CF191" s="311"/>
      <c r="CG191" s="311"/>
      <c r="CH191" s="311"/>
      <c r="CI191" s="311"/>
      <c r="CJ191" s="311"/>
      <c r="CK191" s="311"/>
      <c r="CL191" s="311"/>
      <c r="CM191" s="311"/>
      <c r="CN191" s="311"/>
    </row>
    <row r="192" spans="57:128" ht="20" x14ac:dyDescent="0.3">
      <c r="BE192" s="298">
        <v>2</v>
      </c>
      <c r="BF192" s="299">
        <f>+BF191+43</f>
        <v>-430</v>
      </c>
      <c r="BG192" s="42">
        <f>+BG191+$E$2</f>
        <v>-430</v>
      </c>
      <c r="BH192" s="301">
        <f t="shared" si="93"/>
        <v>-687.51253270193752</v>
      </c>
      <c r="BI192" s="302">
        <f t="shared" si="94"/>
        <v>687.51253270193752</v>
      </c>
      <c r="BJ192" s="302">
        <f>+BJ191</f>
        <v>0.48746729806242683</v>
      </c>
      <c r="BK192" s="302" t="b">
        <f t="shared" ref="BK192:BK227" si="95">IF(BJ192=BI192,BE192)</f>
        <v>0</v>
      </c>
      <c r="BL192" s="304">
        <v>2</v>
      </c>
      <c r="BP192" s="126"/>
    </row>
    <row r="193" spans="57:133" ht="20" x14ac:dyDescent="0.3">
      <c r="BE193" s="298">
        <v>3</v>
      </c>
      <c r="BF193" s="299">
        <f t="shared" ref="BF193:BF227" si="96">+BF192+43</f>
        <v>-387</v>
      </c>
      <c r="BG193" s="42">
        <f t="shared" ref="BG193:BG227" si="97">+BG192+$E$2</f>
        <v>-387</v>
      </c>
      <c r="BH193" s="301">
        <f t="shared" si="93"/>
        <v>-644.51253270193752</v>
      </c>
      <c r="BI193" s="302">
        <f t="shared" si="94"/>
        <v>644.51253270193752</v>
      </c>
      <c r="BJ193" s="302">
        <f t="shared" ref="BJ193:BJ227" si="98">+BJ192</f>
        <v>0.48746729806242683</v>
      </c>
      <c r="BK193" s="302" t="b">
        <f t="shared" si="95"/>
        <v>0</v>
      </c>
      <c r="BL193" s="304">
        <v>3</v>
      </c>
      <c r="BP193" s="235"/>
      <c r="BQ193" s="312"/>
      <c r="BR193" s="312"/>
      <c r="BS193" s="312"/>
      <c r="BT193" s="312"/>
      <c r="BU193" s="312"/>
      <c r="BV193" s="312"/>
      <c r="BW193" s="312"/>
      <c r="BX193" s="312"/>
      <c r="BY193" s="312"/>
      <c r="BZ193" s="312"/>
      <c r="CA193" s="312"/>
      <c r="CB193" s="312"/>
      <c r="CC193" s="312"/>
      <c r="CD193" s="312"/>
      <c r="CE193" s="312"/>
      <c r="CF193" s="312"/>
      <c r="CG193" s="312"/>
      <c r="CH193" s="312"/>
      <c r="CI193" s="312"/>
      <c r="CJ193" s="312"/>
      <c r="CK193" s="312"/>
      <c r="CL193" s="312"/>
      <c r="CM193" s="312"/>
      <c r="CN193" s="312"/>
    </row>
    <row r="194" spans="57:133" ht="20" x14ac:dyDescent="0.3">
      <c r="BE194" s="298">
        <v>4</v>
      </c>
      <c r="BF194" s="299">
        <f t="shared" si="96"/>
        <v>-344</v>
      </c>
      <c r="BG194" s="42">
        <f t="shared" si="97"/>
        <v>-344</v>
      </c>
      <c r="BH194" s="301">
        <f t="shared" si="93"/>
        <v>-601.51253270193752</v>
      </c>
      <c r="BI194" s="302">
        <f t="shared" si="94"/>
        <v>601.51253270193752</v>
      </c>
      <c r="BJ194" s="302">
        <f t="shared" si="98"/>
        <v>0.48746729806242683</v>
      </c>
      <c r="BK194" s="302" t="b">
        <f t="shared" si="95"/>
        <v>0</v>
      </c>
      <c r="BL194" s="304">
        <v>4</v>
      </c>
      <c r="BP194" s="126"/>
      <c r="BQ194" s="203"/>
      <c r="BR194" s="203"/>
      <c r="BS194" s="203"/>
      <c r="BT194" s="203"/>
      <c r="BU194" s="203"/>
      <c r="BV194" s="203"/>
      <c r="BW194" s="203"/>
      <c r="BX194" s="203"/>
      <c r="BY194" s="203"/>
      <c r="BZ194" s="203"/>
      <c r="CA194" s="203"/>
      <c r="CB194" s="203"/>
      <c r="CC194" s="203"/>
      <c r="CD194" s="203"/>
      <c r="CE194" s="203"/>
      <c r="CF194" s="203"/>
      <c r="CG194" s="203"/>
      <c r="CH194" s="203"/>
      <c r="CI194" s="203"/>
      <c r="CJ194" s="203"/>
      <c r="CK194" s="203"/>
      <c r="CL194" s="203"/>
      <c r="CM194" s="203"/>
      <c r="CN194" s="203"/>
    </row>
    <row r="195" spans="57:133" ht="20" x14ac:dyDescent="0.3">
      <c r="BE195" s="298">
        <v>5</v>
      </c>
      <c r="BF195" s="299">
        <f t="shared" si="96"/>
        <v>-301</v>
      </c>
      <c r="BG195" s="42">
        <f t="shared" si="97"/>
        <v>-301</v>
      </c>
      <c r="BH195" s="301">
        <f t="shared" si="93"/>
        <v>-558.51253270193752</v>
      </c>
      <c r="BI195" s="302">
        <f t="shared" si="94"/>
        <v>558.51253270193752</v>
      </c>
      <c r="BJ195" s="302">
        <f t="shared" si="98"/>
        <v>0.48746729806242683</v>
      </c>
      <c r="BK195" s="302" t="b">
        <f t="shared" si="95"/>
        <v>0</v>
      </c>
      <c r="BL195" s="304">
        <v>5</v>
      </c>
    </row>
    <row r="196" spans="57:133" ht="20" x14ac:dyDescent="0.3">
      <c r="BE196" s="298">
        <v>6</v>
      </c>
      <c r="BF196" s="299">
        <f t="shared" si="96"/>
        <v>-258</v>
      </c>
      <c r="BG196" s="42">
        <f t="shared" si="97"/>
        <v>-258</v>
      </c>
      <c r="BH196" s="301">
        <f t="shared" si="93"/>
        <v>-515.51253270193752</v>
      </c>
      <c r="BI196" s="302">
        <f t="shared" si="94"/>
        <v>515.51253270193752</v>
      </c>
      <c r="BJ196" s="302">
        <f t="shared" si="98"/>
        <v>0.48746729806242683</v>
      </c>
      <c r="BK196" s="302" t="b">
        <f t="shared" si="95"/>
        <v>0</v>
      </c>
      <c r="BL196" s="304">
        <v>6</v>
      </c>
      <c r="BQ196" s="236"/>
      <c r="BR196" s="236"/>
      <c r="BS196" s="236"/>
      <c r="BT196" s="236"/>
      <c r="BU196" s="236"/>
      <c r="BV196" s="236"/>
      <c r="BW196" s="126"/>
      <c r="BX196" s="126"/>
      <c r="BY196" s="126"/>
      <c r="BZ196" s="126"/>
      <c r="CA196" s="126"/>
      <c r="CB196" s="236"/>
      <c r="CC196" s="236"/>
      <c r="CD196" s="236"/>
      <c r="CE196" s="126"/>
      <c r="CF196" s="126"/>
      <c r="CG196" s="126"/>
      <c r="CH196" s="126"/>
      <c r="CI196" s="126"/>
      <c r="CJ196" s="126"/>
      <c r="CK196" s="126"/>
      <c r="CL196" s="126"/>
      <c r="CM196" s="126"/>
      <c r="CN196" s="126"/>
      <c r="DE196" s="126"/>
      <c r="DG196" s="126"/>
      <c r="DI196" s="126"/>
    </row>
    <row r="197" spans="57:133" ht="20" x14ac:dyDescent="0.3">
      <c r="BE197" s="298">
        <v>7</v>
      </c>
      <c r="BF197" s="299">
        <f t="shared" si="96"/>
        <v>-215</v>
      </c>
      <c r="BG197" s="42">
        <f t="shared" si="97"/>
        <v>-215</v>
      </c>
      <c r="BH197" s="301">
        <f t="shared" si="93"/>
        <v>-472.51253270193757</v>
      </c>
      <c r="BI197" s="302">
        <f t="shared" si="94"/>
        <v>472.51253270193757</v>
      </c>
      <c r="BJ197" s="302">
        <f t="shared" si="98"/>
        <v>0.48746729806242683</v>
      </c>
      <c r="BK197" s="302" t="b">
        <f t="shared" si="95"/>
        <v>0</v>
      </c>
      <c r="BL197" s="304">
        <v>7</v>
      </c>
      <c r="BQ197" s="236"/>
      <c r="BR197" s="236"/>
      <c r="BS197" s="236"/>
      <c r="BT197" s="236"/>
      <c r="BU197" s="236"/>
      <c r="BV197" s="236"/>
      <c r="CA197" s="236"/>
      <c r="CB197" s="236"/>
      <c r="CC197" s="236"/>
      <c r="CD197" s="236"/>
      <c r="CI197" s="236"/>
      <c r="CJ197" s="236"/>
      <c r="CK197" s="236"/>
      <c r="CL197" s="236"/>
      <c r="CM197" s="236"/>
      <c r="CN197" s="236"/>
      <c r="DE197" s="126"/>
      <c r="DI197" s="126"/>
    </row>
    <row r="198" spans="57:133" ht="20" x14ac:dyDescent="0.3">
      <c r="BE198" s="298">
        <v>8</v>
      </c>
      <c r="BF198" s="299">
        <f t="shared" si="96"/>
        <v>-172</v>
      </c>
      <c r="BG198" s="42">
        <f t="shared" si="97"/>
        <v>-172</v>
      </c>
      <c r="BH198" s="301">
        <f t="shared" si="93"/>
        <v>-429.51253270193757</v>
      </c>
      <c r="BI198" s="302">
        <f t="shared" si="94"/>
        <v>429.51253270193757</v>
      </c>
      <c r="BJ198" s="302">
        <f t="shared" si="98"/>
        <v>0.48746729806242683</v>
      </c>
      <c r="BK198" s="302" t="b">
        <f t="shared" si="95"/>
        <v>0</v>
      </c>
      <c r="BL198" s="304">
        <v>8</v>
      </c>
      <c r="DE198" s="126"/>
      <c r="DF198" s="311"/>
      <c r="DG198" s="311"/>
      <c r="DH198" s="311"/>
      <c r="DI198" s="311"/>
      <c r="DJ198" s="311"/>
      <c r="DK198" s="311"/>
      <c r="DL198" s="311"/>
      <c r="DM198" s="311"/>
      <c r="DN198" s="311"/>
      <c r="DO198" s="311"/>
      <c r="DP198" s="311"/>
      <c r="DQ198" s="311"/>
      <c r="DR198" s="311"/>
      <c r="DS198" s="311"/>
      <c r="DT198" s="311"/>
      <c r="DU198" s="311"/>
      <c r="DV198" s="311"/>
      <c r="DW198" s="311"/>
      <c r="DX198" s="311"/>
      <c r="DY198" s="311"/>
      <c r="DZ198" s="311"/>
      <c r="EA198" s="311"/>
      <c r="EB198" s="311"/>
      <c r="EC198" s="311"/>
    </row>
    <row r="199" spans="57:133" ht="20" x14ac:dyDescent="0.3">
      <c r="BE199" s="298">
        <v>9</v>
      </c>
      <c r="BF199" s="299">
        <f t="shared" si="96"/>
        <v>-129</v>
      </c>
      <c r="BG199" s="42">
        <f t="shared" si="97"/>
        <v>-129</v>
      </c>
      <c r="BH199" s="301">
        <f t="shared" si="93"/>
        <v>-386.51253270193757</v>
      </c>
      <c r="BI199" s="302">
        <f t="shared" si="94"/>
        <v>386.51253270193757</v>
      </c>
      <c r="BJ199" s="302">
        <f t="shared" si="98"/>
        <v>0.48746729806242683</v>
      </c>
      <c r="BK199" s="302" t="b">
        <f t="shared" si="95"/>
        <v>0</v>
      </c>
      <c r="BL199" s="304">
        <v>9</v>
      </c>
      <c r="DE199" s="126"/>
    </row>
    <row r="200" spans="57:133" ht="20" x14ac:dyDescent="0.3">
      <c r="BE200" s="298">
        <v>10</v>
      </c>
      <c r="BF200" s="299">
        <f t="shared" si="96"/>
        <v>-86</v>
      </c>
      <c r="BG200" s="42">
        <f t="shared" si="97"/>
        <v>-86</v>
      </c>
      <c r="BH200" s="301">
        <f t="shared" si="93"/>
        <v>-343.51253270193757</v>
      </c>
      <c r="BI200" s="302">
        <f t="shared" si="94"/>
        <v>343.51253270193757</v>
      </c>
      <c r="BJ200" s="302">
        <f t="shared" si="98"/>
        <v>0.48746729806242683</v>
      </c>
      <c r="BK200" s="302" t="b">
        <f t="shared" si="95"/>
        <v>0</v>
      </c>
      <c r="BL200" s="304">
        <v>10</v>
      </c>
      <c r="DE200" s="235"/>
      <c r="DF200" s="312"/>
      <c r="DG200" s="312"/>
      <c r="DH200" s="312"/>
      <c r="DI200" s="312"/>
      <c r="DJ200" s="312"/>
      <c r="DK200" s="312"/>
      <c r="DL200" s="312"/>
      <c r="DM200" s="312"/>
      <c r="DN200" s="312"/>
      <c r="DO200" s="312"/>
      <c r="DP200" s="312"/>
      <c r="DQ200" s="312"/>
      <c r="DR200" s="312"/>
      <c r="DS200" s="312"/>
      <c r="DT200" s="312"/>
      <c r="DU200" s="312"/>
      <c r="DV200" s="312"/>
      <c r="DW200" s="312"/>
      <c r="DX200" s="312"/>
      <c r="DY200" s="312"/>
      <c r="DZ200" s="312"/>
      <c r="EA200" s="312"/>
      <c r="EB200" s="312"/>
      <c r="EC200" s="312"/>
    </row>
    <row r="201" spans="57:133" ht="20" x14ac:dyDescent="0.3">
      <c r="BE201" s="298">
        <v>11</v>
      </c>
      <c r="BF201" s="299">
        <f t="shared" si="96"/>
        <v>-43</v>
      </c>
      <c r="BG201" s="42">
        <f t="shared" si="97"/>
        <v>-43</v>
      </c>
      <c r="BH201" s="301">
        <f t="shared" si="93"/>
        <v>-300.51253270193757</v>
      </c>
      <c r="BI201" s="302">
        <f t="shared" si="94"/>
        <v>300.51253270193757</v>
      </c>
      <c r="BJ201" s="302">
        <f t="shared" si="98"/>
        <v>0.48746729806242683</v>
      </c>
      <c r="BK201" s="302" t="b">
        <f t="shared" si="95"/>
        <v>0</v>
      </c>
      <c r="BL201" s="304">
        <v>11</v>
      </c>
      <c r="DE201" s="126"/>
      <c r="DF201" s="203"/>
      <c r="DG201" s="203"/>
      <c r="DH201" s="203"/>
      <c r="DI201" s="203"/>
      <c r="DJ201" s="203"/>
      <c r="DK201" s="203"/>
      <c r="DL201" s="203"/>
      <c r="DM201" s="203"/>
      <c r="DN201" s="203"/>
      <c r="DO201" s="203"/>
      <c r="DP201" s="203"/>
      <c r="DQ201" s="203"/>
      <c r="DR201" s="203"/>
      <c r="DS201" s="203"/>
      <c r="DT201" s="203"/>
      <c r="DU201" s="203"/>
      <c r="DV201" s="203"/>
      <c r="DW201" s="203"/>
      <c r="DX201" s="203"/>
      <c r="DY201" s="203"/>
      <c r="DZ201" s="203"/>
      <c r="EA201" s="203"/>
      <c r="EB201" s="203"/>
      <c r="EC201" s="203"/>
    </row>
    <row r="202" spans="57:133" ht="20" x14ac:dyDescent="0.3">
      <c r="BE202" s="298">
        <v>12</v>
      </c>
      <c r="BF202" s="299">
        <f t="shared" si="96"/>
        <v>0</v>
      </c>
      <c r="BG202" s="42">
        <f t="shared" si="97"/>
        <v>0</v>
      </c>
      <c r="BH202" s="301">
        <f t="shared" si="93"/>
        <v>-257.51253270193757</v>
      </c>
      <c r="BI202" s="302">
        <f t="shared" si="94"/>
        <v>257.51253270193757</v>
      </c>
      <c r="BJ202" s="302">
        <f t="shared" si="98"/>
        <v>0.48746729806242683</v>
      </c>
      <c r="BK202" s="302" t="b">
        <f t="shared" si="95"/>
        <v>0</v>
      </c>
      <c r="BL202" s="304">
        <v>12</v>
      </c>
    </row>
    <row r="203" spans="57:133" ht="20" x14ac:dyDescent="0.3">
      <c r="BE203" s="298">
        <v>13</v>
      </c>
      <c r="BF203" s="299">
        <f t="shared" si="96"/>
        <v>43</v>
      </c>
      <c r="BG203" s="42">
        <f t="shared" si="97"/>
        <v>43</v>
      </c>
      <c r="BH203" s="301">
        <f t="shared" si="93"/>
        <v>-214.51253270193757</v>
      </c>
      <c r="BI203" s="302">
        <f t="shared" si="94"/>
        <v>214.51253270193757</v>
      </c>
      <c r="BJ203" s="302">
        <f t="shared" si="98"/>
        <v>0.48746729806242683</v>
      </c>
      <c r="BK203" s="302" t="b">
        <f t="shared" si="95"/>
        <v>0</v>
      </c>
      <c r="BL203" s="304">
        <v>13</v>
      </c>
      <c r="DF203" s="236"/>
      <c r="DG203" s="236"/>
      <c r="DH203" s="236"/>
      <c r="DI203" s="236"/>
      <c r="DJ203" s="236"/>
      <c r="DK203" s="236"/>
      <c r="DL203" s="126"/>
      <c r="DM203" s="126"/>
      <c r="DN203" s="126"/>
      <c r="DO203" s="126"/>
      <c r="DP203" s="126"/>
      <c r="DQ203" s="236"/>
      <c r="DR203" s="236"/>
      <c r="DS203" s="236"/>
      <c r="DT203" s="126"/>
      <c r="DU203" s="126"/>
      <c r="DV203" s="126"/>
      <c r="DW203" s="126"/>
      <c r="DX203" s="126"/>
      <c r="DY203" s="126"/>
      <c r="DZ203" s="126"/>
      <c r="EA203" s="126"/>
      <c r="EB203" s="126"/>
      <c r="EC203" s="126"/>
    </row>
    <row r="204" spans="57:133" ht="20" x14ac:dyDescent="0.3">
      <c r="BE204" s="298">
        <v>14</v>
      </c>
      <c r="BF204" s="299">
        <f t="shared" si="96"/>
        <v>86</v>
      </c>
      <c r="BG204" s="42">
        <f t="shared" si="97"/>
        <v>86</v>
      </c>
      <c r="BH204" s="301">
        <f t="shared" si="93"/>
        <v>-171.51253270193757</v>
      </c>
      <c r="BI204" s="302">
        <f t="shared" si="94"/>
        <v>171.51253270193757</v>
      </c>
      <c r="BJ204" s="302">
        <f t="shared" si="98"/>
        <v>0.48746729806242683</v>
      </c>
      <c r="BK204" s="302" t="b">
        <f t="shared" si="95"/>
        <v>0</v>
      </c>
      <c r="BL204" s="304">
        <v>14</v>
      </c>
      <c r="DF204" s="236"/>
      <c r="DG204" s="236"/>
      <c r="DH204" s="236"/>
      <c r="DI204" s="236"/>
      <c r="DJ204" s="236"/>
      <c r="DK204" s="236"/>
      <c r="DP204" s="236"/>
      <c r="DQ204" s="236"/>
      <c r="DR204" s="236"/>
      <c r="DS204" s="236"/>
      <c r="DX204" s="236"/>
      <c r="DY204" s="236"/>
      <c r="DZ204" s="236"/>
      <c r="EA204" s="236"/>
      <c r="EB204" s="236"/>
      <c r="EC204" s="236"/>
    </row>
    <row r="205" spans="57:133" ht="20" x14ac:dyDescent="0.3">
      <c r="BE205" s="298">
        <v>15</v>
      </c>
      <c r="BF205" s="299">
        <f t="shared" si="96"/>
        <v>129</v>
      </c>
      <c r="BG205" s="42">
        <f t="shared" si="97"/>
        <v>129</v>
      </c>
      <c r="BH205" s="301">
        <f t="shared" si="93"/>
        <v>-128.51253270193757</v>
      </c>
      <c r="BI205" s="302">
        <f t="shared" si="94"/>
        <v>128.51253270193757</v>
      </c>
      <c r="BJ205" s="302">
        <f t="shared" si="98"/>
        <v>0.48746729806242683</v>
      </c>
      <c r="BK205" s="302" t="b">
        <f t="shared" si="95"/>
        <v>0</v>
      </c>
      <c r="BL205" s="304">
        <v>15</v>
      </c>
    </row>
    <row r="206" spans="57:133" ht="20" x14ac:dyDescent="0.3">
      <c r="BE206" s="298">
        <v>16</v>
      </c>
      <c r="BF206" s="299">
        <f t="shared" si="96"/>
        <v>172</v>
      </c>
      <c r="BG206" s="42">
        <f t="shared" si="97"/>
        <v>172</v>
      </c>
      <c r="BH206" s="301">
        <f t="shared" si="93"/>
        <v>-85.512532701937573</v>
      </c>
      <c r="BI206" s="302">
        <f t="shared" si="94"/>
        <v>85.512532701937573</v>
      </c>
      <c r="BJ206" s="302">
        <f t="shared" si="98"/>
        <v>0.48746729806242683</v>
      </c>
      <c r="BK206" s="302" t="b">
        <f t="shared" si="95"/>
        <v>0</v>
      </c>
      <c r="BL206" s="304">
        <v>16</v>
      </c>
    </row>
    <row r="207" spans="57:133" ht="20" x14ac:dyDescent="0.3">
      <c r="BE207" s="298">
        <v>17</v>
      </c>
      <c r="BF207" s="299">
        <f t="shared" si="96"/>
        <v>215</v>
      </c>
      <c r="BG207" s="42">
        <f t="shared" si="97"/>
        <v>215</v>
      </c>
      <c r="BH207" s="301">
        <f t="shared" si="93"/>
        <v>-42.512532701937573</v>
      </c>
      <c r="BI207" s="302">
        <f t="shared" si="94"/>
        <v>42.512532701937573</v>
      </c>
      <c r="BJ207" s="302">
        <f t="shared" si="98"/>
        <v>0.48746729806242683</v>
      </c>
      <c r="BK207" s="302" t="b">
        <f t="shared" si="95"/>
        <v>0</v>
      </c>
      <c r="BL207" s="304">
        <v>17</v>
      </c>
    </row>
    <row r="208" spans="57:133" ht="20" x14ac:dyDescent="0.3">
      <c r="BE208" s="298">
        <v>18</v>
      </c>
      <c r="BF208" s="299">
        <f t="shared" si="96"/>
        <v>258</v>
      </c>
      <c r="BG208" s="42">
        <f t="shared" si="97"/>
        <v>258</v>
      </c>
      <c r="BH208" s="301">
        <f t="shared" si="93"/>
        <v>0.48746729806242683</v>
      </c>
      <c r="BI208" s="302">
        <f t="shared" si="94"/>
        <v>0.48746729806242683</v>
      </c>
      <c r="BJ208" s="302">
        <f t="shared" si="98"/>
        <v>0.48746729806242683</v>
      </c>
      <c r="BK208" s="302">
        <f t="shared" si="95"/>
        <v>18</v>
      </c>
      <c r="BL208" s="304">
        <v>18</v>
      </c>
    </row>
    <row r="209" spans="57:64" ht="20" x14ac:dyDescent="0.3">
      <c r="BE209" s="298">
        <v>19</v>
      </c>
      <c r="BF209" s="299">
        <f t="shared" si="96"/>
        <v>301</v>
      </c>
      <c r="BG209" s="42">
        <f t="shared" si="97"/>
        <v>301</v>
      </c>
      <c r="BH209" s="301">
        <f t="shared" si="93"/>
        <v>43.487467298062427</v>
      </c>
      <c r="BI209" s="302">
        <f t="shared" si="94"/>
        <v>43.487467298062427</v>
      </c>
      <c r="BJ209" s="302">
        <f t="shared" si="98"/>
        <v>0.48746729806242683</v>
      </c>
      <c r="BK209" s="302" t="b">
        <f t="shared" si="95"/>
        <v>0</v>
      </c>
      <c r="BL209" s="304">
        <v>19</v>
      </c>
    </row>
    <row r="210" spans="57:64" ht="20" x14ac:dyDescent="0.3">
      <c r="BE210" s="298">
        <v>20</v>
      </c>
      <c r="BF210" s="299">
        <f t="shared" si="96"/>
        <v>344</v>
      </c>
      <c r="BG210" s="42">
        <f t="shared" si="97"/>
        <v>344</v>
      </c>
      <c r="BH210" s="301">
        <f t="shared" si="93"/>
        <v>86.487467298062427</v>
      </c>
      <c r="BI210" s="302">
        <f t="shared" si="94"/>
        <v>86.487467298062427</v>
      </c>
      <c r="BJ210" s="302">
        <f t="shared" si="98"/>
        <v>0.48746729806242683</v>
      </c>
      <c r="BK210" s="302" t="b">
        <f t="shared" si="95"/>
        <v>0</v>
      </c>
      <c r="BL210" s="304">
        <v>20</v>
      </c>
    </row>
    <row r="211" spans="57:64" ht="20" x14ac:dyDescent="0.3">
      <c r="BE211" s="298">
        <v>21</v>
      </c>
      <c r="BF211" s="299">
        <f t="shared" si="96"/>
        <v>387</v>
      </c>
      <c r="BG211" s="42">
        <f t="shared" si="97"/>
        <v>387</v>
      </c>
      <c r="BH211" s="301">
        <f t="shared" si="93"/>
        <v>129.48746729806243</v>
      </c>
      <c r="BI211" s="302">
        <f t="shared" si="94"/>
        <v>129.48746729806243</v>
      </c>
      <c r="BJ211" s="302">
        <f t="shared" si="98"/>
        <v>0.48746729806242683</v>
      </c>
      <c r="BK211" s="302" t="b">
        <f t="shared" si="95"/>
        <v>0</v>
      </c>
      <c r="BL211" s="304">
        <v>21</v>
      </c>
    </row>
    <row r="212" spans="57:64" ht="20" x14ac:dyDescent="0.3">
      <c r="BE212" s="298">
        <v>22</v>
      </c>
      <c r="BF212" s="299">
        <f t="shared" si="96"/>
        <v>430</v>
      </c>
      <c r="BG212" s="42">
        <f t="shared" si="97"/>
        <v>430</v>
      </c>
      <c r="BH212" s="301">
        <f t="shared" si="93"/>
        <v>172.48746729806243</v>
      </c>
      <c r="BI212" s="302">
        <f t="shared" si="94"/>
        <v>172.48746729806243</v>
      </c>
      <c r="BJ212" s="302">
        <f t="shared" si="98"/>
        <v>0.48746729806242683</v>
      </c>
      <c r="BK212" s="302" t="b">
        <f t="shared" si="95"/>
        <v>0</v>
      </c>
      <c r="BL212" s="304">
        <v>22</v>
      </c>
    </row>
    <row r="213" spans="57:64" ht="20" x14ac:dyDescent="0.3">
      <c r="BE213" s="298">
        <v>23</v>
      </c>
      <c r="BF213" s="299">
        <f t="shared" si="96"/>
        <v>473</v>
      </c>
      <c r="BG213" s="42">
        <f t="shared" si="97"/>
        <v>473</v>
      </c>
      <c r="BH213" s="301">
        <f t="shared" si="93"/>
        <v>215.48746729806243</v>
      </c>
      <c r="BI213" s="302">
        <f t="shared" si="94"/>
        <v>215.48746729806243</v>
      </c>
      <c r="BJ213" s="302">
        <f t="shared" si="98"/>
        <v>0.48746729806242683</v>
      </c>
      <c r="BK213" s="302" t="b">
        <f t="shared" si="95"/>
        <v>0</v>
      </c>
      <c r="BL213" s="304">
        <v>23</v>
      </c>
    </row>
    <row r="214" spans="57:64" ht="20" x14ac:dyDescent="0.3">
      <c r="BE214" s="298">
        <v>24</v>
      </c>
      <c r="BF214" s="299">
        <f t="shared" si="96"/>
        <v>516</v>
      </c>
      <c r="BG214" s="42">
        <f t="shared" si="97"/>
        <v>516</v>
      </c>
      <c r="BH214" s="301">
        <f t="shared" si="93"/>
        <v>258.48746729806243</v>
      </c>
      <c r="BI214" s="302">
        <f t="shared" si="94"/>
        <v>258.48746729806243</v>
      </c>
      <c r="BJ214" s="302">
        <f t="shared" si="98"/>
        <v>0.48746729806242683</v>
      </c>
      <c r="BK214" s="302" t="b">
        <f t="shared" si="95"/>
        <v>0</v>
      </c>
      <c r="BL214" s="304">
        <v>24</v>
      </c>
    </row>
    <row r="215" spans="57:64" ht="20" x14ac:dyDescent="0.3">
      <c r="BE215" s="298">
        <v>25</v>
      </c>
      <c r="BF215" s="299">
        <f t="shared" si="96"/>
        <v>559</v>
      </c>
      <c r="BG215" s="42">
        <f t="shared" si="97"/>
        <v>559</v>
      </c>
      <c r="BH215" s="301">
        <f t="shared" si="93"/>
        <v>301.48746729806243</v>
      </c>
      <c r="BI215" s="302">
        <f t="shared" si="94"/>
        <v>301.48746729806243</v>
      </c>
      <c r="BJ215" s="302">
        <f t="shared" si="98"/>
        <v>0.48746729806242683</v>
      </c>
      <c r="BK215" s="302" t="b">
        <f t="shared" si="95"/>
        <v>0</v>
      </c>
      <c r="BL215" s="304">
        <v>25</v>
      </c>
    </row>
    <row r="216" spans="57:64" ht="20" x14ac:dyDescent="0.3">
      <c r="BE216" s="298">
        <v>26</v>
      </c>
      <c r="BF216" s="299">
        <f t="shared" si="96"/>
        <v>602</v>
      </c>
      <c r="BG216" s="42">
        <f t="shared" si="97"/>
        <v>602</v>
      </c>
      <c r="BH216" s="301">
        <f t="shared" si="93"/>
        <v>344.48746729806243</v>
      </c>
      <c r="BI216" s="302">
        <f t="shared" si="94"/>
        <v>344.48746729806243</v>
      </c>
      <c r="BJ216" s="302">
        <f t="shared" si="98"/>
        <v>0.48746729806242683</v>
      </c>
      <c r="BK216" s="302" t="b">
        <f t="shared" si="95"/>
        <v>0</v>
      </c>
      <c r="BL216" s="304">
        <v>26</v>
      </c>
    </row>
    <row r="217" spans="57:64" ht="20" x14ac:dyDescent="0.3">
      <c r="BE217" s="298">
        <v>27</v>
      </c>
      <c r="BF217" s="299">
        <f t="shared" si="96"/>
        <v>645</v>
      </c>
      <c r="BG217" s="42">
        <f t="shared" si="97"/>
        <v>645</v>
      </c>
      <c r="BH217" s="301">
        <f t="shared" si="93"/>
        <v>387.48746729806243</v>
      </c>
      <c r="BI217" s="302">
        <f t="shared" si="94"/>
        <v>387.48746729806243</v>
      </c>
      <c r="BJ217" s="302">
        <f t="shared" si="98"/>
        <v>0.48746729806242683</v>
      </c>
      <c r="BK217" s="302" t="b">
        <f t="shared" si="95"/>
        <v>0</v>
      </c>
      <c r="BL217" s="304">
        <v>27</v>
      </c>
    </row>
    <row r="218" spans="57:64" ht="20" x14ac:dyDescent="0.3">
      <c r="BE218" s="298">
        <v>28</v>
      </c>
      <c r="BF218" s="299">
        <f t="shared" si="96"/>
        <v>688</v>
      </c>
      <c r="BG218" s="42">
        <f t="shared" si="97"/>
        <v>688</v>
      </c>
      <c r="BH218" s="301">
        <f t="shared" si="93"/>
        <v>430.48746729806243</v>
      </c>
      <c r="BI218" s="302">
        <f t="shared" si="94"/>
        <v>430.48746729806243</v>
      </c>
      <c r="BJ218" s="302">
        <f t="shared" si="98"/>
        <v>0.48746729806242683</v>
      </c>
      <c r="BK218" s="302" t="b">
        <f t="shared" si="95"/>
        <v>0</v>
      </c>
      <c r="BL218" s="304">
        <v>28</v>
      </c>
    </row>
    <row r="219" spans="57:64" ht="20" x14ac:dyDescent="0.3">
      <c r="BE219" s="298">
        <v>29</v>
      </c>
      <c r="BF219" s="299">
        <f t="shared" si="96"/>
        <v>731</v>
      </c>
      <c r="BG219" s="42">
        <f t="shared" si="97"/>
        <v>731</v>
      </c>
      <c r="BH219" s="301">
        <f t="shared" si="93"/>
        <v>473.48746729806243</v>
      </c>
      <c r="BI219" s="302">
        <f t="shared" si="94"/>
        <v>473.48746729806243</v>
      </c>
      <c r="BJ219" s="302">
        <f t="shared" si="98"/>
        <v>0.48746729806242683</v>
      </c>
      <c r="BK219" s="302" t="b">
        <f t="shared" si="95"/>
        <v>0</v>
      </c>
      <c r="BL219" s="304">
        <v>29</v>
      </c>
    </row>
    <row r="220" spans="57:64" ht="20" x14ac:dyDescent="0.3">
      <c r="BE220" s="298">
        <v>30</v>
      </c>
      <c r="BF220" s="299">
        <f t="shared" si="96"/>
        <v>774</v>
      </c>
      <c r="BG220" s="42">
        <f t="shared" si="97"/>
        <v>774</v>
      </c>
      <c r="BH220" s="301">
        <f t="shared" si="93"/>
        <v>516.48746729806248</v>
      </c>
      <c r="BI220" s="302">
        <f t="shared" si="94"/>
        <v>516.48746729806248</v>
      </c>
      <c r="BJ220" s="302">
        <f t="shared" si="98"/>
        <v>0.48746729806242683</v>
      </c>
      <c r="BK220" s="302" t="b">
        <f t="shared" si="95"/>
        <v>0</v>
      </c>
      <c r="BL220" s="304">
        <v>30</v>
      </c>
    </row>
    <row r="221" spans="57:64" ht="20" x14ac:dyDescent="0.3">
      <c r="BE221" s="298">
        <v>31</v>
      </c>
      <c r="BF221" s="299">
        <f t="shared" si="96"/>
        <v>817</v>
      </c>
      <c r="BG221" s="42">
        <f t="shared" si="97"/>
        <v>817</v>
      </c>
      <c r="BH221" s="301">
        <f t="shared" si="93"/>
        <v>559.48746729806248</v>
      </c>
      <c r="BI221" s="302">
        <f t="shared" si="94"/>
        <v>559.48746729806248</v>
      </c>
      <c r="BJ221" s="302">
        <f t="shared" si="98"/>
        <v>0.48746729806242683</v>
      </c>
      <c r="BK221" s="302" t="b">
        <f t="shared" si="95"/>
        <v>0</v>
      </c>
      <c r="BL221" s="304">
        <v>31</v>
      </c>
    </row>
    <row r="222" spans="57:64" ht="20" x14ac:dyDescent="0.3">
      <c r="BE222" s="298">
        <v>32</v>
      </c>
      <c r="BF222" s="299">
        <f t="shared" si="96"/>
        <v>860</v>
      </c>
      <c r="BG222" s="42">
        <f t="shared" si="97"/>
        <v>860</v>
      </c>
      <c r="BH222" s="301">
        <f t="shared" si="93"/>
        <v>602.48746729806248</v>
      </c>
      <c r="BI222" s="302">
        <f t="shared" si="94"/>
        <v>602.48746729806248</v>
      </c>
      <c r="BJ222" s="302">
        <f t="shared" si="98"/>
        <v>0.48746729806242683</v>
      </c>
      <c r="BK222" s="302" t="b">
        <f t="shared" si="95"/>
        <v>0</v>
      </c>
      <c r="BL222" s="304">
        <v>32</v>
      </c>
    </row>
    <row r="223" spans="57:64" ht="20" x14ac:dyDescent="0.3">
      <c r="BE223" s="298">
        <v>33</v>
      </c>
      <c r="BF223" s="299">
        <f t="shared" si="96"/>
        <v>903</v>
      </c>
      <c r="BG223" s="42">
        <f t="shared" si="97"/>
        <v>903</v>
      </c>
      <c r="BH223" s="301">
        <f t="shared" si="93"/>
        <v>645.48746729806248</v>
      </c>
      <c r="BI223" s="302">
        <f t="shared" si="94"/>
        <v>645.48746729806248</v>
      </c>
      <c r="BJ223" s="302">
        <f t="shared" si="98"/>
        <v>0.48746729806242683</v>
      </c>
      <c r="BK223" s="302" t="b">
        <f t="shared" si="95"/>
        <v>0</v>
      </c>
      <c r="BL223" s="304">
        <v>33</v>
      </c>
    </row>
    <row r="224" spans="57:64" ht="20" x14ac:dyDescent="0.3">
      <c r="BE224" s="298">
        <v>34</v>
      </c>
      <c r="BF224" s="299">
        <f t="shared" si="96"/>
        <v>946</v>
      </c>
      <c r="BG224" s="42">
        <f t="shared" si="97"/>
        <v>946</v>
      </c>
      <c r="BH224" s="301">
        <f t="shared" si="93"/>
        <v>688.48746729806248</v>
      </c>
      <c r="BI224" s="302">
        <f t="shared" si="94"/>
        <v>688.48746729806248</v>
      </c>
      <c r="BJ224" s="302">
        <f t="shared" si="98"/>
        <v>0.48746729806242683</v>
      </c>
      <c r="BK224" s="302" t="b">
        <f t="shared" si="95"/>
        <v>0</v>
      </c>
      <c r="BL224" s="304">
        <v>34</v>
      </c>
    </row>
    <row r="225" spans="57:64" ht="20" x14ac:dyDescent="0.3">
      <c r="BE225" s="298">
        <v>35</v>
      </c>
      <c r="BF225" s="299">
        <f t="shared" si="96"/>
        <v>989</v>
      </c>
      <c r="BG225" s="42">
        <f t="shared" si="97"/>
        <v>989</v>
      </c>
      <c r="BH225" s="301">
        <f t="shared" si="93"/>
        <v>731.48746729806248</v>
      </c>
      <c r="BI225" s="302">
        <f t="shared" si="94"/>
        <v>731.48746729806248</v>
      </c>
      <c r="BJ225" s="302">
        <f t="shared" si="98"/>
        <v>0.48746729806242683</v>
      </c>
      <c r="BK225" s="302" t="b">
        <f t="shared" si="95"/>
        <v>0</v>
      </c>
      <c r="BL225" s="304">
        <v>35</v>
      </c>
    </row>
    <row r="226" spans="57:64" ht="20" x14ac:dyDescent="0.3">
      <c r="BE226" s="298">
        <v>36</v>
      </c>
      <c r="BF226" s="299">
        <f t="shared" si="96"/>
        <v>1032</v>
      </c>
      <c r="BG226" s="42">
        <f t="shared" si="97"/>
        <v>1032</v>
      </c>
      <c r="BH226" s="301">
        <f t="shared" si="93"/>
        <v>774.48746729806248</v>
      </c>
      <c r="BI226" s="302">
        <f t="shared" si="94"/>
        <v>774.48746729806248</v>
      </c>
      <c r="BJ226" s="302">
        <f t="shared" si="98"/>
        <v>0.48746729806242683</v>
      </c>
      <c r="BK226" s="302" t="b">
        <f t="shared" si="95"/>
        <v>0</v>
      </c>
      <c r="BL226" s="304">
        <v>36</v>
      </c>
    </row>
    <row r="227" spans="57:64" ht="20" x14ac:dyDescent="0.3">
      <c r="BE227" s="308">
        <v>37</v>
      </c>
      <c r="BF227" s="309">
        <f t="shared" si="96"/>
        <v>1075</v>
      </c>
      <c r="BG227" s="42">
        <f t="shared" si="97"/>
        <v>1075</v>
      </c>
      <c r="BH227" s="301">
        <f t="shared" si="93"/>
        <v>817.48746729806248</v>
      </c>
      <c r="BI227" s="302">
        <f t="shared" si="94"/>
        <v>817.48746729806248</v>
      </c>
      <c r="BJ227" s="302">
        <f t="shared" si="98"/>
        <v>0.48746729806242683</v>
      </c>
      <c r="BK227" s="302" t="b">
        <f t="shared" si="95"/>
        <v>0</v>
      </c>
      <c r="BL227" s="310">
        <v>37</v>
      </c>
    </row>
  </sheetData>
  <sheetProtection algorithmName="SHA-512" hashValue="PpsgZOVxbu2QDxAj9+QlCdHO84eZPd0NZaLjDh1p2As8SZbBUCzwXgeC2q5gW3K6NRFUGXoSUhkXT6PAl7jLDw==" saltValue="YCm62zxngsHpXtMRVHRKXA==" spinCount="100000" sheet="1" objects="1" scenarios="1" selectLockedCells="1"/>
  <protectedRanges>
    <protectedRange sqref="B132 B135 D138:D149 B156 D159:D166" name="Range1"/>
  </protectedRanges>
  <mergeCells count="23">
    <mergeCell ref="BV172:BW172"/>
    <mergeCell ref="B130:B131"/>
    <mergeCell ref="W135:AA135"/>
    <mergeCell ref="AZ135:BA135"/>
    <mergeCell ref="AZ156:BA156"/>
    <mergeCell ref="BV170:BX170"/>
    <mergeCell ref="DF109:DG109"/>
    <mergeCell ref="CH172:CI172"/>
    <mergeCell ref="DK177:DM177"/>
    <mergeCell ref="DK179:DL179"/>
    <mergeCell ref="DW179:DX179"/>
    <mergeCell ref="B112:E112"/>
    <mergeCell ref="BQ51:BR51"/>
    <mergeCell ref="CQ52:DA53"/>
    <mergeCell ref="BQ53:BR53"/>
    <mergeCell ref="CO53:CP53"/>
    <mergeCell ref="BQ55:CA56"/>
    <mergeCell ref="CB56:CC56"/>
    <mergeCell ref="CZ56:DA56"/>
    <mergeCell ref="BQ58:CA59"/>
    <mergeCell ref="CS58:DA59"/>
    <mergeCell ref="CB59:CC59"/>
    <mergeCell ref="CQ59:CR59"/>
  </mergeCells>
  <conditionalFormatting sqref="B138:B149">
    <cfRule type="cellIs" dxfId="1195" priority="108" stopIfTrue="1" operator="greaterThan">
      <formula>$B$135</formula>
    </cfRule>
  </conditionalFormatting>
  <conditionalFormatting sqref="B160:BA160">
    <cfRule type="expression" dxfId="1194" priority="93" stopIfTrue="1">
      <formula>$B$156&lt;2</formula>
    </cfRule>
  </conditionalFormatting>
  <conditionalFormatting sqref="B161:BA161">
    <cfRule type="expression" dxfId="1193" priority="92" stopIfTrue="1">
      <formula>$B$156&lt;3</formula>
    </cfRule>
  </conditionalFormatting>
  <conditionalFormatting sqref="B162:BA162">
    <cfRule type="expression" dxfId="1192" priority="91" stopIfTrue="1">
      <formula>$B$156&lt;4</formula>
    </cfRule>
  </conditionalFormatting>
  <conditionalFormatting sqref="B163:BA163">
    <cfRule type="expression" dxfId="1191" priority="90" stopIfTrue="1">
      <formula>$B$156&lt;5</formula>
    </cfRule>
  </conditionalFormatting>
  <conditionalFormatting sqref="B164:BA164">
    <cfRule type="expression" dxfId="1190" priority="89">
      <formula>$B$156&lt;6</formula>
    </cfRule>
  </conditionalFormatting>
  <conditionalFormatting sqref="B165:BA165">
    <cfRule type="expression" dxfId="1189" priority="2">
      <formula>$B$156&lt;7</formula>
    </cfRule>
  </conditionalFormatting>
  <conditionalFormatting sqref="B166:BA166">
    <cfRule type="expression" dxfId="1188" priority="3">
      <formula>$B$156&lt;8</formula>
    </cfRule>
  </conditionalFormatting>
  <conditionalFormatting sqref="C120">
    <cfRule type="cellIs" dxfId="1187" priority="38" stopIfTrue="1" operator="between">
      <formula>"OVERLOAD"</formula>
      <formula>"OVERLOAD"</formula>
    </cfRule>
  </conditionalFormatting>
  <conditionalFormatting sqref="D131">
    <cfRule type="cellIs" dxfId="1186" priority="18" stopIfTrue="1" operator="equal">
      <formula>"USE EXBAR AR AT THE FRONT"</formula>
    </cfRule>
  </conditionalFormatting>
  <conditionalFormatting sqref="D132">
    <cfRule type="cellIs" dxfId="1185" priority="17" stopIfTrue="1" operator="equal">
      <formula>"USE EXBAR AR AT THE BACK"</formula>
    </cfRule>
  </conditionalFormatting>
  <conditionalFormatting sqref="D138:D149">
    <cfRule type="cellIs" dxfId="1184" priority="109" stopIfTrue="1" operator="notEqual">
      <formula>0</formula>
    </cfRule>
  </conditionalFormatting>
  <conditionalFormatting sqref="D159:D164">
    <cfRule type="cellIs" dxfId="1183" priority="97" stopIfTrue="1" operator="notEqual">
      <formula>0</formula>
    </cfRule>
  </conditionalFormatting>
  <conditionalFormatting sqref="D165:D166">
    <cfRule type="cellIs" dxfId="1182" priority="5" stopIfTrue="1" operator="notEqual">
      <formula>0</formula>
    </cfRule>
  </conditionalFormatting>
  <conditionalFormatting sqref="D129:F130">
    <cfRule type="cellIs" dxfId="1181" priority="19" stopIfTrue="1" operator="equal">
      <formula>"change the angle of frame or of cabinets"</formula>
    </cfRule>
  </conditionalFormatting>
  <conditionalFormatting sqref="D138:G138 R138 T138:Y138 AB138">
    <cfRule type="expression" dxfId="1180" priority="60" stopIfTrue="1">
      <formula>$B$135&lt;1</formula>
    </cfRule>
  </conditionalFormatting>
  <conditionalFormatting sqref="D139:AB139">
    <cfRule type="expression" dxfId="1179" priority="59" stopIfTrue="1">
      <formula>$B$135&lt;2</formula>
    </cfRule>
  </conditionalFormatting>
  <conditionalFormatting sqref="D140:AB140">
    <cfRule type="expression" dxfId="1178" priority="58" stopIfTrue="1">
      <formula>$B$135&lt;3</formula>
    </cfRule>
  </conditionalFormatting>
  <conditionalFormatting sqref="D141:AB141">
    <cfRule type="expression" dxfId="1177" priority="57" stopIfTrue="1">
      <formula>$B$135&lt;4</formula>
    </cfRule>
  </conditionalFormatting>
  <conditionalFormatting sqref="D142:AB142">
    <cfRule type="expression" dxfId="1176" priority="56" stopIfTrue="1">
      <formula>$B$135&lt;5</formula>
    </cfRule>
  </conditionalFormatting>
  <conditionalFormatting sqref="D143:AB143">
    <cfRule type="expression" dxfId="1175" priority="55" stopIfTrue="1">
      <formula>$B$135&lt;6</formula>
    </cfRule>
  </conditionalFormatting>
  <conditionalFormatting sqref="D144:AB144">
    <cfRule type="expression" dxfId="1174" priority="54" stopIfTrue="1">
      <formula>$B$135&lt;7</formula>
    </cfRule>
  </conditionalFormatting>
  <conditionalFormatting sqref="D145:AB145">
    <cfRule type="expression" dxfId="1173" priority="53" stopIfTrue="1">
      <formula>$B$135&lt;8</formula>
    </cfRule>
  </conditionalFormatting>
  <conditionalFormatting sqref="D146:AB146">
    <cfRule type="expression" dxfId="1172" priority="52" stopIfTrue="1">
      <formula>$B$135&lt;9</formula>
    </cfRule>
  </conditionalFormatting>
  <conditionalFormatting sqref="D147:AB147">
    <cfRule type="expression" dxfId="1171" priority="51" stopIfTrue="1">
      <formula>$B$135&lt;10</formula>
    </cfRule>
  </conditionalFormatting>
  <conditionalFormatting sqref="D148:AB148">
    <cfRule type="expression" dxfId="1170" priority="50" stopIfTrue="1">
      <formula>$B$135&lt;11</formula>
    </cfRule>
  </conditionalFormatting>
  <conditionalFormatting sqref="D149:AB149 AX149:BA149">
    <cfRule type="expression" dxfId="1169" priority="48" stopIfTrue="1">
      <formula>$B$135&lt;12</formula>
    </cfRule>
  </conditionalFormatting>
  <conditionalFormatting sqref="E132 E131:F131">
    <cfRule type="cellIs" dxfId="1168" priority="112" stopIfTrue="1" operator="equal">
      <formula>"USE EXBAR VR AT THE FRONT"</formula>
    </cfRule>
  </conditionalFormatting>
  <conditionalFormatting sqref="E132:F132">
    <cfRule type="cellIs" dxfId="1167" priority="111" stopIfTrue="1" operator="equal">
      <formula>"USE EXBAR VR AT THE BACK"</formula>
    </cfRule>
  </conditionalFormatting>
  <conditionalFormatting sqref="K138:O138">
    <cfRule type="expression" dxfId="1166" priority="107" stopIfTrue="1">
      <formula>$B$135&lt;1</formula>
    </cfRule>
  </conditionalFormatting>
  <conditionalFormatting sqref="U52 AB52:AE52 U55:U60 AB55:AE60 U89:U120 AB89:AE120">
    <cfRule type="cellIs" dxfId="1165" priority="114" stopIfTrue="1" operator="between">
      <formula>"OVERLOAD"</formula>
      <formula>"OVERLOAD"</formula>
    </cfRule>
  </conditionalFormatting>
  <conditionalFormatting sqref="Z138:AA138">
    <cfRule type="expression" dxfId="1164" priority="47" stopIfTrue="1">
      <formula>$B$138&lt;1</formula>
    </cfRule>
  </conditionalFormatting>
  <conditionalFormatting sqref="AC139:AC149">
    <cfRule type="expression" dxfId="1163" priority="43" stopIfTrue="1">
      <formula>$B$138&lt;1</formula>
    </cfRule>
  </conditionalFormatting>
  <conditionalFormatting sqref="AC138:AD138">
    <cfRule type="expression" dxfId="1162" priority="46" stopIfTrue="1">
      <formula>$B$138&lt;1</formula>
    </cfRule>
  </conditionalFormatting>
  <conditionalFormatting sqref="AD138:AE149">
    <cfRule type="expression" dxfId="1161" priority="39" stopIfTrue="1">
      <formula>$B$138&lt;1</formula>
    </cfRule>
  </conditionalFormatting>
  <conditionalFormatting sqref="AX139:BA139">
    <cfRule type="expression" dxfId="1160" priority="105" stopIfTrue="1">
      <formula>$B$135&lt;2</formula>
    </cfRule>
  </conditionalFormatting>
  <conditionalFormatting sqref="AX140:BA140">
    <cfRule type="expression" dxfId="1159" priority="104" stopIfTrue="1">
      <formula>$B$135&lt;3</formula>
    </cfRule>
  </conditionalFormatting>
  <conditionalFormatting sqref="AX141:BA141">
    <cfRule type="expression" dxfId="1158" priority="103" stopIfTrue="1">
      <formula>$B$135&lt;4</formula>
    </cfRule>
  </conditionalFormatting>
  <conditionalFormatting sqref="AX142:BA142">
    <cfRule type="expression" dxfId="1157" priority="102" stopIfTrue="1">
      <formula>$B$135&lt;5</formula>
    </cfRule>
  </conditionalFormatting>
  <conditionalFormatting sqref="AX143:BA143">
    <cfRule type="expression" dxfId="1156" priority="101" stopIfTrue="1">
      <formula>$B$135&lt;6</formula>
    </cfRule>
  </conditionalFormatting>
  <conditionalFormatting sqref="AX144:BA144">
    <cfRule type="expression" dxfId="1155" priority="100" stopIfTrue="1">
      <formula>$B$135&lt;7</formula>
    </cfRule>
  </conditionalFormatting>
  <conditionalFormatting sqref="AX145:BA145">
    <cfRule type="expression" dxfId="1154" priority="99" stopIfTrue="1">
      <formula>$B$135&lt;8</formula>
    </cfRule>
  </conditionalFormatting>
  <conditionalFormatting sqref="AX146:BA146">
    <cfRule type="expression" dxfId="1153" priority="98" stopIfTrue="1">
      <formula>$B$135&lt;9</formula>
    </cfRule>
  </conditionalFormatting>
  <conditionalFormatting sqref="AX147:BA147">
    <cfRule type="expression" dxfId="1152" priority="74" stopIfTrue="1">
      <formula>$B$135&lt;10</formula>
    </cfRule>
  </conditionalFormatting>
  <conditionalFormatting sqref="AX148:BA148">
    <cfRule type="expression" dxfId="1151" priority="61" stopIfTrue="1">
      <formula>$B$135&lt;11</formula>
    </cfRule>
  </conditionalFormatting>
  <conditionalFormatting sqref="AZ138:BA149">
    <cfRule type="cellIs" dxfId="1150" priority="106" stopIfTrue="1" operator="lessThan">
      <formula>10</formula>
    </cfRule>
  </conditionalFormatting>
  <conditionalFormatting sqref="AZ159:BA164">
    <cfRule type="cellIs" dxfId="1149" priority="95" stopIfTrue="1" operator="lessThan">
      <formula>10</formula>
    </cfRule>
  </conditionalFormatting>
  <conditionalFormatting sqref="AZ165:BA166">
    <cfRule type="cellIs" dxfId="1148" priority="4" stopIfTrue="1" operator="lessThan">
      <formula>10</formula>
    </cfRule>
  </conditionalFormatting>
  <conditionalFormatting sqref="BK191:BK227">
    <cfRule type="cellIs" dxfId="1147" priority="27" stopIfTrue="1" operator="equal">
      <formula>FALSE</formula>
    </cfRule>
  </conditionalFormatting>
  <conditionalFormatting sqref="BN52">
    <cfRule type="cellIs" dxfId="1146" priority="16" stopIfTrue="1" operator="equal">
      <formula>"negative force at the motor"</formula>
    </cfRule>
  </conditionalFormatting>
  <conditionalFormatting sqref="BN52:BN53">
    <cfRule type="cellIs" dxfId="1145" priority="15" operator="equal">
      <formula>"""OK"""</formula>
    </cfRule>
  </conditionalFormatting>
  <conditionalFormatting sqref="BN53">
    <cfRule type="cellIs" dxfId="1144" priority="23" stopIfTrue="1" operator="equal">
      <formula>"overload"</formula>
    </cfRule>
  </conditionalFormatting>
  <conditionalFormatting sqref="BN55">
    <cfRule type="cellIs" dxfId="1143" priority="14" stopIfTrue="1" operator="equal">
      <formula>"negative force at the motor"</formula>
    </cfRule>
  </conditionalFormatting>
  <conditionalFormatting sqref="BN55:BN56">
    <cfRule type="cellIs" dxfId="1142" priority="13" operator="equal">
      <formula>"""OK"""</formula>
    </cfRule>
  </conditionalFormatting>
  <conditionalFormatting sqref="BN58">
    <cfRule type="cellIs" dxfId="1141" priority="12" stopIfTrue="1" operator="equal">
      <formula>"negative force at the motor"</formula>
    </cfRule>
  </conditionalFormatting>
  <conditionalFormatting sqref="BN58:BN59">
    <cfRule type="cellIs" dxfId="1140" priority="11" operator="equal">
      <formula>"""OK"""</formula>
    </cfRule>
  </conditionalFormatting>
  <conditionalFormatting sqref="BN82 BN87 BN128 BN56 BN59">
    <cfRule type="cellIs" dxfId="1139" priority="21" stopIfTrue="1" operator="equal">
      <formula>"overload"</formula>
    </cfRule>
  </conditionalFormatting>
  <conditionalFormatting sqref="BN82 BN128 BN87">
    <cfRule type="cellIs" dxfId="1138" priority="20" operator="equal">
      <formula>"""OK"""</formula>
    </cfRule>
  </conditionalFormatting>
  <conditionalFormatting sqref="BO81:BO82 BN82 BN128">
    <cfRule type="expression" dxfId="1137" priority="8">
      <formula>$B$132&lt;&gt;0</formula>
    </cfRule>
  </conditionalFormatting>
  <conditionalFormatting sqref="BO127:BO128">
    <cfRule type="expression" dxfId="1136" priority="1">
      <formula>$B$132&lt;&gt;0</formula>
    </cfRule>
  </conditionalFormatting>
  <conditionalFormatting sqref="BQ127:CG127">
    <cfRule type="expression" dxfId="1135" priority="7">
      <formula>$B$132=0</formula>
    </cfRule>
  </conditionalFormatting>
  <conditionalFormatting sqref="BQ83:DB85 BV130:CI134 BQ193:CN194">
    <cfRule type="cellIs" dxfId="1134" priority="30" stopIfTrue="1" operator="equal">
      <formula>FALSE</formula>
    </cfRule>
  </conditionalFormatting>
  <conditionalFormatting sqref="CB81:CR81">
    <cfRule type="cellIs" dxfId="1133" priority="9" operator="equal">
      <formula>0</formula>
    </cfRule>
    <cfRule type="expression" dxfId="1132" priority="10">
      <formula>$B$132=0</formula>
    </cfRule>
  </conditionalFormatting>
  <conditionalFormatting sqref="CK127:DA127">
    <cfRule type="expression" dxfId="1131" priority="6">
      <formula>$B$132=0</formula>
    </cfRule>
  </conditionalFormatting>
  <conditionalFormatting sqref="DF198:EC198">
    <cfRule type="cellIs" dxfId="1130" priority="35" stopIfTrue="1" operator="equal">
      <formula>0</formula>
    </cfRule>
  </conditionalFormatting>
  <conditionalFormatting sqref="DF200:EC201">
    <cfRule type="cellIs" dxfId="1129" priority="113" stopIfTrue="1" operator="equal">
      <formula>FALSE</formula>
    </cfRule>
  </conditionalFormatting>
  <dataValidations count="8">
    <dataValidation type="decimal" allowBlank="1" showInputMessage="1" showErrorMessage="1" sqref="B132" xr:uid="{00000000-0002-0000-0800-000000000000}">
      <formula1>-89.9</formula1>
      <formula2>89.9</formula2>
    </dataValidation>
    <dataValidation type="custom" allowBlank="1" showInputMessage="1" showErrorMessage="1" sqref="D138:D149" xr:uid="{00000000-0002-0000-0800-000001000000}">
      <formula1>OR(D138=0,D138=2.5,D138=5)</formula1>
    </dataValidation>
    <dataValidation type="list" allowBlank="1" showInputMessage="1" showErrorMessage="1" sqref="D159" xr:uid="{00000000-0002-0000-0800-000002000000}">
      <formula1>"0"</formula1>
    </dataValidation>
    <dataValidation type="whole" allowBlank="1" showInputMessage="1" showErrorMessage="1" errorTitle="Coda Audio" error="YOU HAVE ENTERED A WRONG NUMBER OF CABINETS" promptTitle="Coda Audio" prompt="ENTER THE NUMBER OF CABINETS FROM 1 UP TO 8" sqref="B156" xr:uid="{00000000-0002-0000-0800-000003000000}">
      <formula1>1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35" xr:uid="{00000000-0002-0000-0800-000004000000}">
      <formula1>1</formula1>
      <formula2>12</formula2>
    </dataValidation>
    <dataValidation type="decimal" allowBlank="1" showInputMessage="1" showErrorMessage="1" sqref="G139:G149 G160:G166 F140:F149 F161:F166" xr:uid="{00000000-0002-0000-0800-000005000000}">
      <formula1>0</formula1>
      <formula2>8</formula2>
    </dataValidation>
    <dataValidation type="decimal" allowBlank="1" showInputMessage="1" showErrorMessage="1" sqref="F138:G138 F159:G159" xr:uid="{00000000-0002-0000-0800-000006000000}">
      <formula1>0</formula1>
      <formula2>4</formula2>
    </dataValidation>
    <dataValidation type="custom" allowBlank="1" showInputMessage="1" showErrorMessage="1" sqref="D160:D166" xr:uid="{00000000-0002-0000-0800-000007000000}">
      <formula1>OR(D160=0,D160=0.5,D160=1,D160=2,D160=2.5,D160=3,D160=4,D160=5,D160=6,D160=7,D160=8)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ignoredErrors>
    <ignoredError sqref="BN52:BO52 BN61:BO86 BN54:BO55 BN53 BN57:BO60 BN56 BN87" unlockedFormula="1"/>
  </ignoredErrors>
  <drawing r:id="rId2"/>
  <legacy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FFFF00"/>
  </sheetPr>
  <dimension ref="B1:EM217"/>
  <sheetViews>
    <sheetView topLeftCell="A25" zoomScale="50" zoomScaleNormal="50" workbookViewId="0">
      <selection activeCell="D150" sqref="D150"/>
    </sheetView>
  </sheetViews>
  <sheetFormatPr baseColWidth="10" defaultColWidth="9.1640625" defaultRowHeight="18" x14ac:dyDescent="0.2"/>
  <cols>
    <col min="1" max="1" width="1.5" customWidth="1"/>
    <col min="2" max="2" width="30" style="35" customWidth="1"/>
    <col min="3" max="3" width="24.5" style="35" hidden="1" customWidth="1"/>
    <col min="4" max="4" width="27.5" customWidth="1"/>
    <col min="5" max="5" width="40.5" customWidth="1"/>
    <col min="6" max="6" width="39.1640625" hidden="1" customWidth="1"/>
    <col min="7" max="7" width="39.5" hidden="1" customWidth="1"/>
    <col min="8" max="8" width="16.5" style="64" hidden="1" customWidth="1"/>
    <col min="9" max="12" width="13.83203125" style="64" hidden="1" customWidth="1"/>
    <col min="13" max="13" width="25.33203125" style="64" hidden="1" customWidth="1"/>
    <col min="14" max="14" width="8" style="64" hidden="1" customWidth="1"/>
    <col min="15" max="15" width="8.1640625" style="64" hidden="1" customWidth="1"/>
    <col min="16" max="16" width="19.1640625" style="64" hidden="1" customWidth="1"/>
    <col min="17" max="17" width="20.83203125" style="64" hidden="1" customWidth="1"/>
    <col min="18" max="18" width="29.33203125" style="64" hidden="1" customWidth="1"/>
    <col min="19" max="19" width="19.83203125" style="64" hidden="1" customWidth="1"/>
    <col min="20" max="20" width="20.5" style="64" hidden="1" customWidth="1"/>
    <col min="21" max="21" width="11.6640625" style="64" hidden="1" customWidth="1"/>
    <col min="22" max="22" width="19.83203125" style="64" hidden="1" customWidth="1"/>
    <col min="23" max="24" width="18" style="64" hidden="1" customWidth="1"/>
    <col min="25" max="25" width="15" style="64" hidden="1" customWidth="1"/>
    <col min="26" max="26" width="18" style="64" hidden="1" customWidth="1"/>
    <col min="27" max="27" width="20.83203125" style="64" hidden="1" customWidth="1"/>
    <col min="28" max="28" width="28" style="64" customWidth="1"/>
    <col min="29" max="29" width="26.33203125" style="64" hidden="1" customWidth="1"/>
    <col min="30" max="31" width="5.33203125" style="64" hidden="1" customWidth="1"/>
    <col min="32" max="32" width="33.6640625" style="64" hidden="1" customWidth="1"/>
    <col min="33" max="33" width="16.83203125" style="64" hidden="1" customWidth="1"/>
    <col min="34" max="45" width="11.33203125" style="64" hidden="1" customWidth="1"/>
    <col min="46" max="46" width="32.1640625" style="64" hidden="1" customWidth="1"/>
    <col min="47" max="47" width="19.83203125" style="64" hidden="1" customWidth="1"/>
    <col min="48" max="48" width="22.33203125" style="64" hidden="1" customWidth="1"/>
    <col min="49" max="49" width="20.83203125" style="64" hidden="1" customWidth="1"/>
    <col min="50" max="51" width="25.1640625" style="64" hidden="1" customWidth="1"/>
    <col min="52" max="53" width="12.6640625" style="64" customWidth="1"/>
    <col min="54" max="54" width="17" hidden="1" customWidth="1"/>
    <col min="55" max="55" width="14.5" hidden="1" customWidth="1"/>
    <col min="56" max="56" width="9.33203125" hidden="1" customWidth="1"/>
    <col min="57" max="57" width="5.33203125" hidden="1" customWidth="1"/>
    <col min="58" max="58" width="8.5" hidden="1" customWidth="1"/>
    <col min="59" max="59" width="136" hidden="1" customWidth="1"/>
    <col min="60" max="60" width="17" hidden="1" customWidth="1"/>
    <col min="61" max="62" width="16.33203125" hidden="1" customWidth="1"/>
    <col min="63" max="63" width="9.5" hidden="1" customWidth="1"/>
    <col min="64" max="64" width="9.6640625" hidden="1" customWidth="1"/>
    <col min="65" max="65" width="14.33203125" style="81" hidden="1" customWidth="1"/>
    <col min="66" max="66" width="28.5" customWidth="1"/>
    <col min="67" max="67" width="35.33203125" style="59" customWidth="1"/>
    <col min="68" max="68" width="44.6640625" customWidth="1"/>
    <col min="69" max="105" width="7.1640625" customWidth="1"/>
    <col min="106" max="106" width="7.6640625" hidden="1" customWidth="1"/>
    <col min="107" max="107" width="16" hidden="1" customWidth="1"/>
    <col min="108" max="108" width="41" hidden="1" customWidth="1"/>
    <col min="109" max="109" width="41.5" hidden="1" customWidth="1"/>
    <col min="110" max="133" width="6.5" hidden="1" customWidth="1"/>
    <col min="134" max="139" width="6.5" customWidth="1"/>
    <col min="143" max="143" width="11.5" customWidth="1"/>
    <col min="144" max="144" width="9.33203125" customWidth="1"/>
  </cols>
  <sheetData>
    <row r="1" spans="2:15" ht="20" hidden="1" x14ac:dyDescent="0.2">
      <c r="D1" s="36" t="s">
        <v>104</v>
      </c>
      <c r="E1" s="36" t="s">
        <v>105</v>
      </c>
      <c r="F1" s="36" t="s">
        <v>106</v>
      </c>
      <c r="G1" s="990" t="s">
        <v>220</v>
      </c>
      <c r="H1" s="1073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+COS(($B$144*-1)*3.14159265358979/180)*C2</f>
        <v>688</v>
      </c>
      <c r="E2" s="41">
        <f>+COS(($B$144*-1)*3.14159265358979/180)*43</f>
        <v>43</v>
      </c>
      <c r="F2" s="42">
        <f>+COS((($B$144*-1)+72.969997)*3.14159265358979/180)*162.1867</f>
        <v>47.500013702602963</v>
      </c>
      <c r="G2" s="994" t="s">
        <v>212</v>
      </c>
      <c r="H2" s="1074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257.02772435684403</v>
      </c>
      <c r="D3" s="40">
        <f>+C9-F2</f>
        <v>257.02771065424105</v>
      </c>
      <c r="G3" s="994" t="s">
        <v>213</v>
      </c>
      <c r="H3" s="1075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+COS(($B$144*-1)*3.14159265358979/180)*C4</f>
        <v>1075</v>
      </c>
      <c r="G4" s="996" t="s">
        <v>233</v>
      </c>
      <c r="H4" s="1076">
        <v>860</v>
      </c>
      <c r="I4" s="984">
        <v>1</v>
      </c>
      <c r="J4" s="1721" t="s">
        <v>228</v>
      </c>
      <c r="K4" s="1727"/>
      <c r="L4" s="1727"/>
      <c r="M4" s="1727"/>
      <c r="N4"/>
      <c r="O4" s="995"/>
    </row>
    <row r="5" spans="2:15" ht="38" hidden="1" x14ac:dyDescent="0.2">
      <c r="B5" s="44" t="s">
        <v>115</v>
      </c>
      <c r="C5" s="45">
        <f>+C9+425.5</f>
        <v>730.02772435684403</v>
      </c>
      <c r="D5" s="40">
        <f>+(COS(($B$144*-1)*3.14159265358979/180)*473)+$D$3</f>
        <v>730.02771065424099</v>
      </c>
      <c r="G5" s="996" t="s">
        <v>214</v>
      </c>
      <c r="H5" s="1076">
        <v>688</v>
      </c>
      <c r="I5" s="59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0" hidden="1" x14ac:dyDescent="0.2">
      <c r="B6" s="187"/>
      <c r="C6" s="187"/>
      <c r="G6" s="996" t="s">
        <v>259</v>
      </c>
      <c r="H6" s="1076">
        <v>602</v>
      </c>
      <c r="I6" s="59"/>
      <c r="J6" s="963">
        <f>+H9/H8*BQ27</f>
        <v>185.66248160361147</v>
      </c>
      <c r="K6" s="963">
        <f>((H8-H9)/H8)*BQ27</f>
        <v>-127.6429561024829</v>
      </c>
      <c r="L6" s="963">
        <f>+CO27</f>
        <v>122.78047449887141</v>
      </c>
      <c r="M6" s="961" t="s">
        <v>223</v>
      </c>
      <c r="N6"/>
      <c r="O6" s="995"/>
    </row>
    <row r="7" spans="2:15" ht="20" hidden="1" x14ac:dyDescent="0.2">
      <c r="B7" s="393" t="s">
        <v>18</v>
      </c>
      <c r="C7" s="394">
        <f>+C11+C14+4.5+0.5+30</f>
        <v>180.8</v>
      </c>
      <c r="G7" s="997" t="s">
        <v>230</v>
      </c>
      <c r="H7" s="1077">
        <f>(+SIN(($B$144*-1)*3.14159265358979/180)*H2)</f>
        <v>0</v>
      </c>
      <c r="I7" s="59"/>
      <c r="J7" s="965">
        <f>ABS($H$1/J6)</f>
        <v>96.950120694981962</v>
      </c>
      <c r="K7" s="965">
        <f>ABS($H$1/K6)</f>
        <v>141.01835737451921</v>
      </c>
      <c r="L7" s="965">
        <f>ABS($H$1/L6)</f>
        <v>146.60311481501446</v>
      </c>
      <c r="M7" s="967" t="s">
        <v>222</v>
      </c>
      <c r="N7"/>
      <c r="O7" s="995"/>
    </row>
    <row r="8" spans="2:15" ht="20" hidden="1" x14ac:dyDescent="0.2">
      <c r="B8" s="393" t="s">
        <v>19</v>
      </c>
      <c r="C8" s="393">
        <f>+AR150</f>
        <v>746.99500648721551</v>
      </c>
      <c r="G8" s="997" t="s">
        <v>229</v>
      </c>
      <c r="H8" s="1077">
        <f>(+COS(($B$144*-1)*3.14159265358979/180)*H3)</f>
        <v>215</v>
      </c>
      <c r="I8" s="59"/>
      <c r="J8" s="1733">
        <f>ABS($E$20/BQ27)</f>
        <v>137.88461609952989</v>
      </c>
      <c r="K8" s="1733"/>
      <c r="L8" s="1733">
        <f>ABS($E$20/CO27)</f>
        <v>65.1569399177842</v>
      </c>
      <c r="M8" s="1734" t="s">
        <v>350</v>
      </c>
      <c r="N8"/>
      <c r="O8" s="995"/>
    </row>
    <row r="9" spans="2:15" ht="21" hidden="1" thickBot="1" x14ac:dyDescent="0.25">
      <c r="B9" s="393" t="s">
        <v>14</v>
      </c>
      <c r="C9" s="393">
        <f>+AO146</f>
        <v>304.52772435684403</v>
      </c>
      <c r="G9" s="994" t="s">
        <v>227</v>
      </c>
      <c r="H9" s="1077">
        <f>+D2+H7</f>
        <v>688</v>
      </c>
      <c r="I9" s="59"/>
      <c r="J9" s="59"/>
      <c r="K9" s="59"/>
      <c r="L9" s="59"/>
      <c r="M9" s="59"/>
      <c r="N9"/>
      <c r="O9" s="995"/>
    </row>
    <row r="10" spans="2:15" ht="21" hidden="1" thickBot="1" x14ac:dyDescent="0.25"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398" t="s">
        <v>149</v>
      </c>
      <c r="C11" s="396">
        <f>+B147*72+31</f>
        <v>103</v>
      </c>
      <c r="G11" s="994" t="s">
        <v>226</v>
      </c>
      <c r="H11" s="1077">
        <f>+D2-H7</f>
        <v>688</v>
      </c>
      <c r="I11" s="59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0" hidden="1" x14ac:dyDescent="0.2">
      <c r="B12" s="398" t="s">
        <v>150</v>
      </c>
      <c r="C12" s="396">
        <v>747</v>
      </c>
      <c r="D12" s="397"/>
      <c r="G12" s="998"/>
      <c r="H12" s="37"/>
      <c r="I12" s="59"/>
      <c r="J12" s="963">
        <f>(CB30)</f>
        <v>137.5715255011286</v>
      </c>
      <c r="K12" s="963">
        <f>((+H8-H11)/H8*CZ30)</f>
        <v>-95.102643897517154</v>
      </c>
      <c r="L12" s="963">
        <f>(H11/H8*CZ30)</f>
        <v>138.33111839638858</v>
      </c>
      <c r="M12" s="961" t="s">
        <v>223</v>
      </c>
      <c r="N12"/>
      <c r="O12" s="995"/>
    </row>
    <row r="13" spans="2:15" ht="20" hidden="1" x14ac:dyDescent="0.2">
      <c r="D13" s="397"/>
      <c r="G13" s="998"/>
      <c r="H13"/>
      <c r="I13" s="59"/>
      <c r="J13" s="965">
        <f>ABS($H$1/J12)</f>
        <v>130.84102930771334</v>
      </c>
      <c r="K13" s="965">
        <f>ABS($H$1/K12)</f>
        <v>189.26918603227102</v>
      </c>
      <c r="L13" s="965">
        <f>ABS($H$1/L12)</f>
        <v>130.12256539718635</v>
      </c>
      <c r="M13" s="967" t="s">
        <v>222</v>
      </c>
      <c r="N13"/>
      <c r="O13" s="995"/>
    </row>
    <row r="14" spans="2:15" ht="20" hidden="1" x14ac:dyDescent="0.2">
      <c r="B14" s="398" t="s">
        <v>132</v>
      </c>
      <c r="C14" s="396">
        <f>(+B168*40.5)+2.3</f>
        <v>42.8</v>
      </c>
      <c r="D14" s="397"/>
      <c r="G14" s="998"/>
      <c r="H14"/>
      <c r="I14" s="59"/>
      <c r="J14" s="1733">
        <f>ABS($E$20/CB30)</f>
        <v>58.151568581205929</v>
      </c>
      <c r="K14" s="1733"/>
      <c r="L14" s="1733">
        <f>ABS($E$20/CZ30)</f>
        <v>185.0632041204428</v>
      </c>
      <c r="M14" s="1734" t="s">
        <v>350</v>
      </c>
      <c r="N14"/>
      <c r="O14" s="995"/>
    </row>
    <row r="15" spans="2:15" ht="19" hidden="1" thickBot="1" x14ac:dyDescent="0.25">
      <c r="B15" s="398" t="s">
        <v>133</v>
      </c>
      <c r="C15" s="396">
        <v>492.4</v>
      </c>
      <c r="D15" s="397"/>
      <c r="G15" s="998"/>
      <c r="H15"/>
      <c r="I15" s="59"/>
      <c r="J15" s="59"/>
      <c r="K15" s="59"/>
      <c r="L15" s="59"/>
      <c r="M15" s="59"/>
      <c r="N15"/>
      <c r="O15" s="995"/>
    </row>
    <row r="16" spans="2:15" ht="21" hidden="1" thickBot="1" x14ac:dyDescent="0.25">
      <c r="B16" s="399"/>
      <c r="C16" s="399"/>
      <c r="D16" s="397"/>
      <c r="G16" s="994" t="s">
        <v>231</v>
      </c>
      <c r="H16" s="1077">
        <f>+D2+H7-BL179</f>
        <v>-42.027710654240991</v>
      </c>
      <c r="I16" s="984" t="s">
        <v>251</v>
      </c>
      <c r="J16" s="1721" t="s">
        <v>232</v>
      </c>
      <c r="K16" s="1727"/>
      <c r="L16" s="1727"/>
      <c r="M16" s="1727"/>
      <c r="N16"/>
      <c r="O16" s="995"/>
    </row>
    <row r="17" spans="2:108" ht="20" hidden="1" x14ac:dyDescent="0.2">
      <c r="B17" s="399"/>
      <c r="C17" s="399"/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08" ht="20" hidden="1" x14ac:dyDescent="0.2">
      <c r="B18" s="48" t="s">
        <v>74</v>
      </c>
      <c r="C18" s="204">
        <v>5800</v>
      </c>
      <c r="D18" s="204">
        <v>10000</v>
      </c>
      <c r="G18" s="998"/>
      <c r="H18"/>
      <c r="I18" s="59"/>
      <c r="J18" s="963">
        <f>+H16/H8*BQ25</f>
        <v>-35.342372494357079</v>
      </c>
      <c r="K18" s="963">
        <f>((H8-H16)/H8)*BQ25</f>
        <v>216.14237249435709</v>
      </c>
      <c r="L18" s="963"/>
      <c r="M18" s="961" t="s">
        <v>223</v>
      </c>
      <c r="N18"/>
      <c r="O18" s="995"/>
    </row>
    <row r="19" spans="2:108" ht="38" hidden="1" x14ac:dyDescent="0.2">
      <c r="B19" s="48" t="s">
        <v>75</v>
      </c>
      <c r="C19" s="204">
        <v>5800</v>
      </c>
      <c r="D19" s="204">
        <v>5800</v>
      </c>
      <c r="G19" s="998"/>
      <c r="H19"/>
      <c r="I19" s="59"/>
      <c r="J19" s="965">
        <f>ABS($H$1/J18)</f>
        <v>509.30366949400354</v>
      </c>
      <c r="K19" s="965">
        <f>ABS($H$1/K18)</f>
        <v>83.278441854199286</v>
      </c>
      <c r="L19" s="965"/>
      <c r="M19" s="967" t="s">
        <v>222</v>
      </c>
      <c r="N19"/>
      <c r="O19" s="995"/>
    </row>
    <row r="20" spans="2:108" ht="20" hidden="1" x14ac:dyDescent="0.2">
      <c r="B20" s="48" t="s">
        <v>86</v>
      </c>
      <c r="C20" s="204">
        <v>8000</v>
      </c>
      <c r="D20" s="204">
        <v>8000</v>
      </c>
      <c r="E20" s="49">
        <v>8000</v>
      </c>
      <c r="G20" s="998"/>
      <c r="H20"/>
      <c r="I20" s="59"/>
      <c r="J20" s="1733">
        <f>ABS($E$20/BQ25)</f>
        <v>44.247787610619469</v>
      </c>
      <c r="K20" s="1733"/>
      <c r="L20" s="1733"/>
      <c r="M20" s="1734" t="s">
        <v>350</v>
      </c>
      <c r="N20"/>
      <c r="O20" s="995"/>
    </row>
    <row r="21" spans="2:108" ht="19" hidden="1" thickBot="1" x14ac:dyDescent="0.25">
      <c r="B21" s="204"/>
      <c r="C21" s="204" t="s">
        <v>20</v>
      </c>
      <c r="D21" s="204" t="s">
        <v>21</v>
      </c>
      <c r="G21" s="998"/>
      <c r="H21"/>
      <c r="I21" s="59"/>
      <c r="J21" s="59"/>
      <c r="K21" s="59"/>
      <c r="L21" s="59"/>
      <c r="M21" s="59"/>
      <c r="N21"/>
      <c r="O21" s="995"/>
    </row>
    <row r="22" spans="2:108" ht="21" hidden="1" thickBot="1" x14ac:dyDescent="0.25">
      <c r="B22" s="400" t="s">
        <v>64</v>
      </c>
      <c r="C22" s="204">
        <f>+((C8-C9)/C8)*C7</f>
        <v>107.09319863511068</v>
      </c>
      <c r="D22" s="204">
        <f>+(C9/C8)*C7</f>
        <v>73.706801364889316</v>
      </c>
      <c r="G22" s="994" t="s">
        <v>219</v>
      </c>
      <c r="H22" s="1077">
        <f>(+COS(($B$144*-1)*3.14159265358979/180)*(H4))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</row>
    <row r="23" spans="2:108" ht="20" hidden="1" x14ac:dyDescent="0.2">
      <c r="G23" s="994" t="s">
        <v>234</v>
      </c>
      <c r="H23" s="1092">
        <f>+BL179-H22+H7</f>
        <v>-129.97228934575901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08" ht="20" hidden="1" x14ac:dyDescent="0.2">
      <c r="E24" s="397"/>
      <c r="F24" s="397"/>
      <c r="G24" s="998"/>
      <c r="H24"/>
      <c r="I24" s="59"/>
      <c r="J24" s="963"/>
      <c r="K24" s="963">
        <f>((+H8-H23)/H8*BQ25)</f>
        <v>290.09762750564295</v>
      </c>
      <c r="L24" s="963">
        <f>(H23/H8*BQ25)</f>
        <v>-109.29762750564294</v>
      </c>
      <c r="M24" s="961" t="s">
        <v>223</v>
      </c>
      <c r="N24"/>
      <c r="O24" s="995"/>
    </row>
    <row r="25" spans="2:108" ht="32.25" customHeight="1" thickBot="1" x14ac:dyDescent="0.25">
      <c r="E25" s="397"/>
      <c r="F25" s="397"/>
      <c r="G25" s="998"/>
      <c r="H25"/>
      <c r="I25" s="59"/>
      <c r="J25" s="965"/>
      <c r="K25" s="965">
        <f>ABS($H$1/K24)</f>
        <v>62.048077244788452</v>
      </c>
      <c r="L25" s="965">
        <f>ABS($H$1/L24)</f>
        <v>164.68792974550774</v>
      </c>
      <c r="M25" s="967" t="s">
        <v>222</v>
      </c>
      <c r="N25"/>
      <c r="O25" s="995"/>
      <c r="BE25" s="74"/>
      <c r="BF25" s="74"/>
      <c r="BG25" s="74"/>
      <c r="BH25" s="74"/>
      <c r="BO25" s="64"/>
      <c r="BP25" s="75" t="s">
        <v>25</v>
      </c>
      <c r="BQ25" s="1814">
        <f>+C7</f>
        <v>180.8</v>
      </c>
      <c r="BR25" s="1814"/>
      <c r="BS25" s="76" t="s">
        <v>17</v>
      </c>
      <c r="BT25" s="76"/>
      <c r="BU25" s="77" t="s">
        <v>164</v>
      </c>
      <c r="BV25" s="78"/>
      <c r="BW25" s="78"/>
      <c r="BX25" s="78"/>
      <c r="BY25" s="78"/>
      <c r="BZ25" s="78"/>
      <c r="CA25" s="78"/>
      <c r="CB25" s="78"/>
      <c r="CC25" s="78"/>
      <c r="CD25" s="78"/>
      <c r="CE25" s="78"/>
      <c r="CF25" s="78"/>
      <c r="CG25" s="78"/>
      <c r="CH25" s="78"/>
      <c r="CI25" s="78"/>
      <c r="CJ25" s="78"/>
      <c r="CK25" s="78"/>
      <c r="CL25" s="78"/>
      <c r="CM25" s="78"/>
      <c r="CN25" s="78"/>
      <c r="CO25" s="78"/>
      <c r="CP25" s="78"/>
      <c r="CQ25" s="78"/>
      <c r="CR25" s="78"/>
      <c r="CS25" s="78"/>
      <c r="CT25" s="78"/>
      <c r="CU25" s="78"/>
      <c r="CV25" s="78"/>
      <c r="CW25" s="78"/>
      <c r="CX25" s="78"/>
      <c r="CY25" s="78"/>
      <c r="CZ25" s="78"/>
      <c r="DA25" s="78"/>
      <c r="DB25" s="78"/>
      <c r="DC25" s="78"/>
      <c r="DD25" s="78"/>
    </row>
    <row r="26" spans="2:108" ht="43" customHeight="1" thickBot="1" x14ac:dyDescent="0.3">
      <c r="E26" s="397"/>
      <c r="F26" s="397"/>
      <c r="G26" s="998"/>
      <c r="H26"/>
      <c r="I26" s="59"/>
      <c r="J26" s="1733"/>
      <c r="K26" s="1733"/>
      <c r="L26" s="1733">
        <f>ABS($E$20/BQ25)</f>
        <v>44.247787610619469</v>
      </c>
      <c r="M26" s="1734" t="s">
        <v>350</v>
      </c>
      <c r="N26"/>
      <c r="O26" s="995"/>
      <c r="U26" s="114"/>
      <c r="AB26" s="114"/>
      <c r="AC26" s="114"/>
      <c r="AD26" s="114"/>
      <c r="AE26" s="114"/>
      <c r="BE26" s="85"/>
      <c r="BF26" s="85"/>
      <c r="BG26" s="85"/>
      <c r="BH26" s="85"/>
      <c r="BM26" s="81" t="b">
        <f>AND(BQ27&gt;0,CO27&gt;0)</f>
        <v>1</v>
      </c>
      <c r="BN26" s="952" t="str">
        <f>IF(BM26=TRUE,"","negative force at the motor")</f>
        <v/>
      </c>
      <c r="BO26" s="1095" t="s">
        <v>128</v>
      </c>
      <c r="BP26" s="740" t="s">
        <v>27</v>
      </c>
      <c r="BQ26" s="776" t="s">
        <v>28</v>
      </c>
      <c r="BR26" s="777"/>
      <c r="BS26" s="777"/>
      <c r="BT26" s="777"/>
      <c r="BU26" s="777"/>
      <c r="BV26" s="777"/>
      <c r="BW26" s="777"/>
      <c r="BX26" s="777"/>
      <c r="BY26" s="777"/>
      <c r="BZ26" s="777"/>
      <c r="CA26" s="777"/>
      <c r="CB26" s="777"/>
      <c r="CC26" s="777"/>
      <c r="CD26" s="777"/>
      <c r="CE26" s="777"/>
      <c r="CF26" s="777"/>
      <c r="CG26" s="777"/>
      <c r="CH26" s="777"/>
      <c r="CI26" s="884"/>
      <c r="CJ26" s="777"/>
      <c r="CK26" s="885"/>
      <c r="CL26" s="885"/>
      <c r="CM26" s="885"/>
      <c r="CN26" s="885"/>
      <c r="CO26" s="777"/>
      <c r="CP26" s="782" t="s">
        <v>29</v>
      </c>
      <c r="CQ26" s="1801"/>
      <c r="CR26" s="1801"/>
      <c r="CS26" s="1801"/>
      <c r="CT26" s="1801"/>
      <c r="CU26" s="1801"/>
      <c r="CV26" s="1801"/>
      <c r="CW26" s="1801"/>
      <c r="CX26" s="1801"/>
      <c r="CY26" s="1801"/>
      <c r="CZ26" s="1801"/>
      <c r="DA26" s="1802"/>
      <c r="DB26" s="78"/>
      <c r="DC26" s="78"/>
      <c r="DD26" s="78"/>
    </row>
    <row r="27" spans="2:108" ht="44" thickBot="1" x14ac:dyDescent="0.3">
      <c r="E27" s="397"/>
      <c r="F27" s="397"/>
      <c r="G27" s="998"/>
      <c r="H27"/>
      <c r="I27" s="59"/>
      <c r="J27" s="59"/>
      <c r="K27" s="59"/>
      <c r="L27" s="59"/>
      <c r="M27" s="59"/>
      <c r="N27"/>
      <c r="O27" s="995"/>
      <c r="BE27" s="85"/>
      <c r="BF27" s="85"/>
      <c r="BG27" s="85"/>
      <c r="BH27" s="85"/>
      <c r="BL27" s="968">
        <v>1</v>
      </c>
      <c r="BM27" s="1762" t="b">
        <f>AND(BO27&gt;=10,$BA$150&gt;=10,$AZ$150&gt;=10,$AZ$171&gt;=10,$BA$171&gt;=10)</f>
        <v>1</v>
      </c>
      <c r="BN27" s="84" t="str">
        <f>IF(BM27=TRUE,"O K","OVERLOAD")</f>
        <v>O K</v>
      </c>
      <c r="BO27" s="982">
        <f>+MIN(J7:L8)</f>
        <v>65.1569399177842</v>
      </c>
      <c r="BP27" s="741" t="s">
        <v>180</v>
      </c>
      <c r="BQ27" s="1809">
        <f>+((D4-D5)/D4)*C7</f>
        <v>58.019525501128584</v>
      </c>
      <c r="BR27" s="1810"/>
      <c r="BS27" s="783"/>
      <c r="BT27" s="783"/>
      <c r="BU27" s="783"/>
      <c r="BV27" s="784"/>
      <c r="BW27" s="784"/>
      <c r="BX27" s="784"/>
      <c r="BY27" s="886"/>
      <c r="BZ27" s="886"/>
      <c r="CA27" s="886"/>
      <c r="CB27" s="886"/>
      <c r="CC27" s="886"/>
      <c r="CD27" s="886"/>
      <c r="CE27" s="886"/>
      <c r="CF27" s="886"/>
      <c r="CG27" s="886"/>
      <c r="CH27" s="886"/>
      <c r="CI27" s="887"/>
      <c r="CJ27" s="783"/>
      <c r="CK27" s="783"/>
      <c r="CL27" s="783"/>
      <c r="CM27" s="784"/>
      <c r="CN27" s="784"/>
      <c r="CO27" s="1799">
        <f>+(D5/D4)*C7</f>
        <v>122.78047449887141</v>
      </c>
      <c r="CP27" s="1800"/>
      <c r="CQ27" s="1803"/>
      <c r="CR27" s="1803"/>
      <c r="CS27" s="1803"/>
      <c r="CT27" s="1803"/>
      <c r="CU27" s="1803"/>
      <c r="CV27" s="1803"/>
      <c r="CW27" s="1803"/>
      <c r="CX27" s="1803"/>
      <c r="CY27" s="1803"/>
      <c r="CZ27" s="1803"/>
      <c r="DA27" s="1804"/>
      <c r="DB27" s="78"/>
      <c r="DC27" s="78"/>
      <c r="DD27" s="78"/>
    </row>
    <row r="28" spans="2:108" ht="26" thickBot="1" x14ac:dyDescent="0.3">
      <c r="E28" s="397"/>
      <c r="F28" s="397"/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  <c r="T28" s="401"/>
      <c r="BE28" s="85"/>
      <c r="BF28" s="85"/>
      <c r="BG28" s="85"/>
      <c r="BH28" s="85"/>
      <c r="BN28" s="86"/>
      <c r="BO28" s="85"/>
      <c r="BP28" s="87"/>
      <c r="BQ28" s="88"/>
      <c r="BR28" s="88"/>
      <c r="BS28" s="87"/>
      <c r="BT28" s="87"/>
      <c r="BU28" s="87"/>
      <c r="BV28" s="87"/>
      <c r="BW28" s="87"/>
      <c r="BX28" s="87"/>
      <c r="BY28" s="87"/>
      <c r="BZ28" s="87"/>
      <c r="CA28" s="87"/>
      <c r="CB28" s="87"/>
      <c r="CC28" s="87"/>
      <c r="CD28" s="87"/>
      <c r="CE28" s="87"/>
      <c r="CF28" s="87"/>
      <c r="CG28" s="87"/>
      <c r="CH28" s="87"/>
      <c r="CJ28" s="76"/>
      <c r="CK28" s="76"/>
      <c r="CL28" s="88"/>
      <c r="CM28" s="89"/>
      <c r="CN28" s="89"/>
      <c r="CO28" s="89"/>
      <c r="CP28" s="89"/>
      <c r="CQ28" s="89"/>
      <c r="CR28" s="89"/>
      <c r="CS28" s="89"/>
      <c r="CT28" s="89"/>
      <c r="CU28" s="89"/>
      <c r="CV28" s="89"/>
      <c r="CW28" s="89"/>
      <c r="CX28" s="89"/>
      <c r="CY28" s="89"/>
      <c r="CZ28" s="89"/>
      <c r="DA28" s="89"/>
      <c r="DB28" s="89"/>
      <c r="DC28" s="78"/>
      <c r="DD28" s="78"/>
    </row>
    <row r="29" spans="2:108" ht="43" customHeight="1" thickBot="1" x14ac:dyDescent="0.3">
      <c r="E29" s="397"/>
      <c r="F29" s="397"/>
      <c r="G29" s="998"/>
      <c r="H29"/>
      <c r="I29" s="59"/>
      <c r="J29" s="961"/>
      <c r="K29" s="961" t="s">
        <v>215</v>
      </c>
      <c r="L29" s="961" t="s">
        <v>216</v>
      </c>
      <c r="M29" s="1724"/>
      <c r="N29"/>
      <c r="O29" s="995"/>
      <c r="U29" s="114"/>
      <c r="AB29" s="114"/>
      <c r="AC29" s="114"/>
      <c r="AD29" s="114"/>
      <c r="AE29" s="114"/>
      <c r="BE29" s="85"/>
      <c r="BF29" s="85"/>
      <c r="BG29" s="85"/>
      <c r="BH29" s="85"/>
      <c r="BM29" s="81" t="b">
        <f>AND(CB30&gt;0,CZ30&gt;0)</f>
        <v>1</v>
      </c>
      <c r="BN29" s="952" t="str">
        <f>IF(BM29=TRUE,"","negative force at the motor")</f>
        <v/>
      </c>
      <c r="BO29" s="1095" t="s">
        <v>128</v>
      </c>
      <c r="BP29" s="742" t="s">
        <v>27</v>
      </c>
      <c r="BQ29" s="1833"/>
      <c r="BR29" s="1834"/>
      <c r="BS29" s="1834"/>
      <c r="BT29" s="1834"/>
      <c r="BU29" s="1834"/>
      <c r="BV29" s="1834"/>
      <c r="BW29" s="1834"/>
      <c r="BX29" s="1834"/>
      <c r="BY29" s="1834"/>
      <c r="BZ29" s="1834"/>
      <c r="CA29" s="1834"/>
      <c r="CB29" s="772" t="s">
        <v>28</v>
      </c>
      <c r="CC29" s="774"/>
      <c r="CD29" s="774"/>
      <c r="CE29" s="774"/>
      <c r="CF29" s="774"/>
      <c r="CG29" s="774"/>
      <c r="CH29" s="774"/>
      <c r="CI29" s="774"/>
      <c r="CJ29" s="774"/>
      <c r="CK29" s="774"/>
      <c r="CL29" s="774"/>
      <c r="CM29" s="774"/>
      <c r="CN29" s="888"/>
      <c r="CO29" s="765"/>
      <c r="CP29" s="765"/>
      <c r="CQ29" s="765"/>
      <c r="CR29" s="765"/>
      <c r="CS29" s="889"/>
      <c r="CT29" s="889"/>
      <c r="CU29" s="888"/>
      <c r="CV29" s="888"/>
      <c r="CW29" s="888"/>
      <c r="CX29" s="888"/>
      <c r="CY29" s="888"/>
      <c r="CZ29" s="765"/>
      <c r="DA29" s="766" t="s">
        <v>29</v>
      </c>
      <c r="DB29" s="90"/>
      <c r="DC29" s="78"/>
      <c r="DD29" s="78"/>
    </row>
    <row r="30" spans="2:108" ht="44" thickBot="1" x14ac:dyDescent="0.3">
      <c r="E30" s="397"/>
      <c r="F30" s="397"/>
      <c r="G30" s="1000"/>
      <c r="H30" s="63"/>
      <c r="I30" s="59"/>
      <c r="J30" s="963"/>
      <c r="K30" s="963">
        <f>((+H8-H23)/H8*BQ25)</f>
        <v>290.09762750564295</v>
      </c>
      <c r="L30" s="963">
        <f>(H23/H8*BQ25)</f>
        <v>-109.29762750564294</v>
      </c>
      <c r="M30" s="961" t="s">
        <v>223</v>
      </c>
      <c r="N30"/>
      <c r="O30" s="995"/>
      <c r="U30" s="114"/>
      <c r="AB30" s="114"/>
      <c r="AC30" s="114"/>
      <c r="AD30" s="114"/>
      <c r="AE30" s="114"/>
      <c r="BL30" s="968">
        <v>2</v>
      </c>
      <c r="BM30" s="1762" t="b">
        <f>AND(BO30&gt;=10,$BA$150&gt;=10,$AZ$150&gt;=10,$AZ$171&gt;=10,$BA$171&gt;=10)</f>
        <v>1</v>
      </c>
      <c r="BN30" s="84" t="str">
        <f>IF(BM30=TRUE,"O K","OVERLOAD")</f>
        <v>O K</v>
      </c>
      <c r="BO30" s="982">
        <f>+MIN(J13:L14)</f>
        <v>58.151568581205929</v>
      </c>
      <c r="BP30" s="743" t="s">
        <v>126</v>
      </c>
      <c r="BQ30" s="1835"/>
      <c r="BR30" s="1836"/>
      <c r="BS30" s="1836"/>
      <c r="BT30" s="1836"/>
      <c r="BU30" s="1836"/>
      <c r="BV30" s="1836"/>
      <c r="BW30" s="1836"/>
      <c r="BX30" s="1836"/>
      <c r="BY30" s="1836"/>
      <c r="BZ30" s="1836"/>
      <c r="CA30" s="1836"/>
      <c r="CB30" s="1840">
        <f>+((D4-D3)/D4)*C7</f>
        <v>137.5715255011286</v>
      </c>
      <c r="CC30" s="1841"/>
      <c r="CD30" s="890"/>
      <c r="CE30" s="890"/>
      <c r="CF30" s="890"/>
      <c r="CG30" s="890"/>
      <c r="CH30" s="890"/>
      <c r="CI30" s="890"/>
      <c r="CJ30" s="890"/>
      <c r="CK30" s="890"/>
      <c r="CL30" s="890"/>
      <c r="CM30" s="890"/>
      <c r="CN30" s="891"/>
      <c r="CO30" s="892"/>
      <c r="CP30" s="892"/>
      <c r="CQ30" s="892"/>
      <c r="CR30" s="892"/>
      <c r="CS30" s="893"/>
      <c r="CT30" s="893"/>
      <c r="CU30" s="883"/>
      <c r="CV30" s="883"/>
      <c r="CW30" s="883"/>
      <c r="CX30" s="883"/>
      <c r="CY30" s="883"/>
      <c r="CZ30" s="1797">
        <f>+(D3/D4)*C7</f>
        <v>43.228474498871428</v>
      </c>
      <c r="DA30" s="1798"/>
      <c r="DB30" s="92"/>
      <c r="DC30" s="78"/>
      <c r="DD30" s="78"/>
    </row>
    <row r="31" spans="2:108" ht="24" thickBot="1" x14ac:dyDescent="0.3">
      <c r="E31" s="397"/>
      <c r="F31" s="397"/>
      <c r="G31" s="1000"/>
      <c r="H31" s="63"/>
      <c r="I31" s="59"/>
      <c r="J31" s="965"/>
      <c r="K31" s="965">
        <f>ABS($H$1/K30)</f>
        <v>62.048077244788452</v>
      </c>
      <c r="L31" s="965">
        <f>ABS($H$1/L30)</f>
        <v>164.68792974550774</v>
      </c>
      <c r="M31" s="967" t="s">
        <v>222</v>
      </c>
      <c r="N31"/>
      <c r="O31" s="995"/>
      <c r="U31" s="114"/>
      <c r="AB31" s="114"/>
      <c r="AC31" s="114"/>
      <c r="AD31" s="114"/>
      <c r="AE31" s="114"/>
      <c r="BN31" s="86"/>
      <c r="BO31" s="18"/>
      <c r="BP31" s="93"/>
      <c r="BQ31" s="93"/>
      <c r="BR31" s="93"/>
      <c r="BS31" s="93"/>
      <c r="BT31" s="93"/>
      <c r="BU31" s="93"/>
      <c r="BV31" s="93"/>
      <c r="BW31" s="93"/>
      <c r="BX31" s="93"/>
      <c r="BY31" s="94"/>
      <c r="BZ31" s="94"/>
      <c r="CA31" s="89"/>
      <c r="CB31" s="89"/>
      <c r="CC31" s="89"/>
      <c r="CD31" s="89"/>
      <c r="CE31" s="89"/>
      <c r="CF31" s="89"/>
      <c r="CG31" s="89"/>
      <c r="CH31" s="89"/>
      <c r="CI31" s="89"/>
      <c r="CJ31" s="89"/>
      <c r="CK31" s="89"/>
      <c r="CL31" s="89"/>
      <c r="CM31" s="89"/>
      <c r="CN31" s="37"/>
      <c r="CO31" s="95"/>
      <c r="CP31" s="95"/>
      <c r="CQ31" s="95"/>
      <c r="CR31" s="95"/>
      <c r="CS31" s="92"/>
      <c r="CT31" s="92"/>
      <c r="CU31" s="92"/>
      <c r="CV31" s="92"/>
      <c r="CW31" s="92"/>
      <c r="CX31" s="92"/>
      <c r="CY31" s="92"/>
      <c r="CZ31" s="92"/>
      <c r="DA31" s="92"/>
      <c r="DB31" s="92"/>
      <c r="DC31" s="78"/>
      <c r="DD31" s="78"/>
    </row>
    <row r="32" spans="2:108" ht="43" customHeight="1" thickBot="1" x14ac:dyDescent="0.25">
      <c r="E32" s="397"/>
      <c r="F32" s="397"/>
      <c r="G32" s="1000"/>
      <c r="H32" s="63"/>
      <c r="I32" s="59"/>
      <c r="J32" s="1733"/>
      <c r="K32" s="1733"/>
      <c r="L32" s="1733">
        <f>ABS($E$20/BQ25)*2</f>
        <v>88.495575221238937</v>
      </c>
      <c r="M32" s="1734" t="s">
        <v>350</v>
      </c>
      <c r="N32" s="1730" t="s">
        <v>352</v>
      </c>
      <c r="O32" s="995"/>
      <c r="U32" s="114"/>
      <c r="AB32" s="114"/>
      <c r="AC32" s="114"/>
      <c r="AD32" s="114"/>
      <c r="AE32" s="114"/>
      <c r="BM32" s="81" t="b">
        <f>AND(CB33&gt;0,CQ33&gt;0)</f>
        <v>1</v>
      </c>
      <c r="BN32" s="952" t="str">
        <f>IF(BM32=TRUE,"","negative force at the motor")</f>
        <v/>
      </c>
      <c r="BO32" s="1095" t="s">
        <v>128</v>
      </c>
      <c r="BP32" s="744" t="s">
        <v>27</v>
      </c>
      <c r="BQ32" s="1822"/>
      <c r="BR32" s="1823"/>
      <c r="BS32" s="1823"/>
      <c r="BT32" s="1823"/>
      <c r="BU32" s="1823"/>
      <c r="BV32" s="1823"/>
      <c r="BW32" s="1823"/>
      <c r="BX32" s="1823"/>
      <c r="BY32" s="1823"/>
      <c r="BZ32" s="1823"/>
      <c r="CA32" s="1823"/>
      <c r="CB32" s="894" t="s">
        <v>28</v>
      </c>
      <c r="CC32" s="895"/>
      <c r="CD32" s="895"/>
      <c r="CE32" s="895"/>
      <c r="CF32" s="895"/>
      <c r="CG32" s="895"/>
      <c r="CH32" s="895"/>
      <c r="CI32" s="896"/>
      <c r="CJ32" s="895"/>
      <c r="CK32" s="897"/>
      <c r="CL32" s="897"/>
      <c r="CM32" s="895"/>
      <c r="CN32" s="895"/>
      <c r="CO32" s="895"/>
      <c r="CP32" s="895"/>
      <c r="CQ32" s="895"/>
      <c r="CR32" s="898" t="s">
        <v>29</v>
      </c>
      <c r="CS32" s="1801"/>
      <c r="CT32" s="1801"/>
      <c r="CU32" s="1801"/>
      <c r="CV32" s="1801"/>
      <c r="CW32" s="1801"/>
      <c r="CX32" s="1801"/>
      <c r="CY32" s="1801"/>
      <c r="CZ32" s="1801"/>
      <c r="DA32" s="1802"/>
      <c r="DB32" s="89"/>
      <c r="DC32" s="78"/>
      <c r="DD32" s="78"/>
    </row>
    <row r="33" spans="5:141" ht="31" thickBot="1" x14ac:dyDescent="0.3">
      <c r="E33" s="397"/>
      <c r="F33" s="397"/>
      <c r="G33" s="1000"/>
      <c r="H33" s="63"/>
      <c r="I33" s="59"/>
      <c r="J33" s="59"/>
      <c r="K33" s="59"/>
      <c r="L33" s="59"/>
      <c r="M33" s="59"/>
      <c r="N33"/>
      <c r="O33" s="995"/>
      <c r="U33" s="114"/>
      <c r="AB33" s="114"/>
      <c r="AC33" s="114"/>
      <c r="AD33" s="114"/>
      <c r="AE33" s="114"/>
      <c r="BL33" s="968">
        <v>3</v>
      </c>
      <c r="BM33" s="1762" t="b">
        <f>AND(BO33&gt;=10,$BA$150&gt;=10,$AZ$150&gt;=10,$AZ$171&gt;=10,$BA$171&gt;=10)</f>
        <v>1</v>
      </c>
      <c r="BN33" s="84" t="str">
        <f>IF(BM33=TRUE,"O K","OVERLOAD")</f>
        <v>O K</v>
      </c>
      <c r="BO33" s="983">
        <f>+$E$20/(MAX(CB33,CQ33))</f>
        <v>70.636740757322585</v>
      </c>
      <c r="BP33" s="745" t="s">
        <v>123</v>
      </c>
      <c r="BQ33" s="1824"/>
      <c r="BR33" s="1825"/>
      <c r="BS33" s="1825"/>
      <c r="BT33" s="1825"/>
      <c r="BU33" s="1825"/>
      <c r="BV33" s="1825"/>
      <c r="BW33" s="1825"/>
      <c r="BX33" s="1825"/>
      <c r="BY33" s="1825"/>
      <c r="BZ33" s="1825"/>
      <c r="CA33" s="1825"/>
      <c r="CB33" s="1807">
        <f>+((D2-D3)/D2)*C7</f>
        <v>113.2555085955134</v>
      </c>
      <c r="CC33" s="1808"/>
      <c r="CD33" s="899"/>
      <c r="CE33" s="899"/>
      <c r="CF33" s="899"/>
      <c r="CG33" s="899"/>
      <c r="CH33" s="899"/>
      <c r="CI33" s="900"/>
      <c r="CJ33" s="899"/>
      <c r="CK33" s="901"/>
      <c r="CL33" s="901"/>
      <c r="CM33" s="902"/>
      <c r="CN33" s="902"/>
      <c r="CO33" s="902"/>
      <c r="CP33" s="902"/>
      <c r="CQ33" s="1795">
        <f>+(D3/D2)*C7</f>
        <v>67.544491404486607</v>
      </c>
      <c r="CR33" s="1796"/>
      <c r="CS33" s="1803"/>
      <c r="CT33" s="1803"/>
      <c r="CU33" s="1803"/>
      <c r="CV33" s="1803"/>
      <c r="CW33" s="1803"/>
      <c r="CX33" s="1803"/>
      <c r="CY33" s="1803"/>
      <c r="CZ33" s="1803"/>
      <c r="DA33" s="1804"/>
      <c r="DB33" s="89"/>
      <c r="DC33" s="78"/>
      <c r="DD33" s="78"/>
    </row>
    <row r="34" spans="5:141" ht="24" hidden="1" thickBot="1" x14ac:dyDescent="0.3"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  <c r="BN34" s="86"/>
      <c r="BO34" s="18"/>
      <c r="BP34" s="93"/>
      <c r="BQ34" s="93"/>
      <c r="BR34" s="93"/>
      <c r="BS34" s="93"/>
      <c r="BT34" s="93"/>
      <c r="BU34" s="93"/>
      <c r="BV34" s="93"/>
      <c r="BW34" s="93"/>
      <c r="BX34" s="93"/>
      <c r="BY34" s="94"/>
      <c r="BZ34" s="94"/>
      <c r="CA34" s="89"/>
      <c r="CB34" s="89"/>
      <c r="CC34" s="89"/>
      <c r="CD34" s="89"/>
      <c r="CE34" s="89"/>
      <c r="CF34" s="89"/>
      <c r="CG34" s="89"/>
      <c r="CH34" s="89"/>
      <c r="CI34" s="89"/>
      <c r="CJ34" s="89"/>
      <c r="CK34" s="93"/>
      <c r="CL34" s="89"/>
      <c r="CM34" s="89"/>
      <c r="CN34" s="37"/>
      <c r="CO34" s="95"/>
      <c r="CP34" s="95"/>
      <c r="CQ34" s="95"/>
      <c r="CR34" s="95"/>
      <c r="CS34" s="92"/>
      <c r="CT34" s="92"/>
      <c r="CU34" s="92"/>
      <c r="CV34" s="92"/>
      <c r="CW34" s="92"/>
      <c r="CX34" s="92"/>
      <c r="CY34" s="92"/>
      <c r="CZ34" s="92"/>
      <c r="DA34" s="92"/>
      <c r="DB34" s="92"/>
      <c r="DC34" s="78"/>
      <c r="DD34" s="78"/>
    </row>
    <row r="35" spans="5:141" ht="20" hidden="1" x14ac:dyDescent="0.2">
      <c r="G35" s="1000"/>
      <c r="H35" s="63"/>
      <c r="I35" s="59"/>
      <c r="J35" s="961" t="s">
        <v>217</v>
      </c>
      <c r="K35" s="961" t="s">
        <v>225</v>
      </c>
      <c r="L35" s="961"/>
      <c r="M35" s="1724"/>
      <c r="N35"/>
      <c r="O35" s="995"/>
      <c r="BN35" s="86"/>
      <c r="EJ35" s="78"/>
      <c r="EK35" s="78"/>
    </row>
    <row r="36" spans="5:141" ht="20" hidden="1" x14ac:dyDescent="0.2">
      <c r="G36" s="1000"/>
      <c r="H36" s="63"/>
      <c r="I36" s="59"/>
      <c r="J36" s="963">
        <f>+H16/H8*BQ25</f>
        <v>-35.342372494357079</v>
      </c>
      <c r="K36" s="963">
        <f>((H8-H16)/H8)*BQ25</f>
        <v>216.14237249435709</v>
      </c>
      <c r="L36" s="963"/>
      <c r="M36" s="961" t="s">
        <v>223</v>
      </c>
      <c r="N36"/>
      <c r="O36" s="995"/>
      <c r="BN36" s="86"/>
      <c r="EJ36" s="78"/>
      <c r="EK36" s="78"/>
    </row>
    <row r="37" spans="5:141" ht="23" hidden="1" x14ac:dyDescent="0.25">
      <c r="G37" s="1000"/>
      <c r="H37" s="63"/>
      <c r="I37" s="59"/>
      <c r="J37" s="965">
        <f>ABS($H$1/J36)</f>
        <v>509.30366949400354</v>
      </c>
      <c r="K37" s="965">
        <f>ABS($H$1/K36)</f>
        <v>83.278441854199286</v>
      </c>
      <c r="L37" s="965"/>
      <c r="M37" s="967" t="s">
        <v>222</v>
      </c>
      <c r="N37"/>
      <c r="O37" s="995"/>
      <c r="BN37" s="86"/>
      <c r="BO37" s="17"/>
      <c r="BP37" s="177"/>
      <c r="BQ37" s="178"/>
      <c r="BR37" s="178"/>
      <c r="BS37" s="178"/>
      <c r="BT37" s="178"/>
      <c r="BU37" s="178"/>
      <c r="BV37" s="178"/>
      <c r="BW37" s="178"/>
      <c r="BX37" s="178"/>
      <c r="BY37" s="179"/>
      <c r="BZ37" s="179"/>
      <c r="CA37" s="180"/>
      <c r="CB37" s="180"/>
      <c r="CC37" s="180"/>
      <c r="CD37" s="180"/>
      <c r="CE37" s="180"/>
      <c r="CF37" s="180"/>
      <c r="CG37" s="180"/>
      <c r="CH37" s="180"/>
      <c r="CI37" s="37"/>
      <c r="CJ37" s="89"/>
      <c r="CK37" s="181"/>
      <c r="CL37" s="181"/>
      <c r="CM37" s="89"/>
      <c r="CN37" s="89"/>
      <c r="CO37" s="89"/>
      <c r="CP37" s="89"/>
      <c r="CQ37" s="89"/>
      <c r="CR37" s="89"/>
      <c r="CS37" s="89"/>
      <c r="CT37" s="89"/>
      <c r="CU37" s="89"/>
      <c r="CV37" s="89"/>
      <c r="CW37" s="178"/>
      <c r="CX37" s="178"/>
      <c r="CY37" s="178"/>
      <c r="CZ37" s="178"/>
      <c r="DA37" s="178"/>
      <c r="DB37" s="178"/>
      <c r="DC37" s="178"/>
      <c r="DD37" s="178"/>
      <c r="EJ37" s="78"/>
      <c r="EK37" s="78"/>
    </row>
    <row r="38" spans="5:141" ht="24" hidden="1" thickBot="1" x14ac:dyDescent="0.3">
      <c r="G38" s="1000"/>
      <c r="H38" s="63"/>
      <c r="I38" s="59"/>
      <c r="J38" s="1733">
        <f>ABS($E$20/BQ25)*2</f>
        <v>88.495575221238937</v>
      </c>
      <c r="K38" s="1733"/>
      <c r="L38" s="1733"/>
      <c r="M38" s="1734" t="s">
        <v>350</v>
      </c>
      <c r="N38" s="1730" t="s">
        <v>352</v>
      </c>
      <c r="O38" s="995"/>
      <c r="BN38" s="86"/>
      <c r="BO38" s="17"/>
      <c r="BP38" s="177"/>
      <c r="BQ38" s="178"/>
      <c r="BR38" s="178"/>
      <c r="BS38" s="178"/>
      <c r="BT38" s="178"/>
      <c r="BU38" s="178"/>
      <c r="BV38" s="178"/>
      <c r="BW38" s="178"/>
      <c r="BX38" s="178"/>
      <c r="BY38" s="179"/>
      <c r="BZ38" s="179"/>
      <c r="CA38" s="180"/>
      <c r="CB38" s="180"/>
      <c r="CC38" s="180"/>
      <c r="CD38" s="180"/>
      <c r="CE38" s="180"/>
      <c r="CF38" s="180"/>
      <c r="CG38" s="180"/>
      <c r="CH38" s="180"/>
      <c r="CI38" s="37"/>
      <c r="CJ38" s="89"/>
      <c r="CK38" s="181"/>
      <c r="CL38" s="181"/>
      <c r="CM38" s="89"/>
      <c r="CN38" s="89"/>
      <c r="CO38" s="89"/>
      <c r="CP38" s="89"/>
      <c r="CQ38" s="89"/>
      <c r="CR38" s="89"/>
      <c r="CS38" s="89"/>
      <c r="CT38" s="89"/>
      <c r="CU38" s="89"/>
      <c r="CV38" s="89"/>
      <c r="CW38" s="178"/>
      <c r="CX38" s="178"/>
      <c r="CY38" s="178"/>
      <c r="CZ38" s="178"/>
      <c r="DA38" s="178"/>
      <c r="DB38" s="178"/>
      <c r="DC38" s="178"/>
      <c r="DD38" s="178"/>
      <c r="EJ38" s="78"/>
      <c r="EK38" s="78"/>
    </row>
    <row r="39" spans="5:141" ht="24" hidden="1" thickBot="1" x14ac:dyDescent="0.3">
      <c r="G39" s="998"/>
      <c r="H39"/>
      <c r="I39" s="59"/>
      <c r="J39" s="59"/>
      <c r="K39" s="59"/>
      <c r="L39" s="59"/>
      <c r="M39" s="59"/>
      <c r="N39"/>
      <c r="O39" s="995"/>
      <c r="BN39" s="86"/>
      <c r="BO39" s="17"/>
      <c r="BP39" s="177"/>
      <c r="BQ39" s="178"/>
      <c r="BR39" s="178"/>
      <c r="BS39" s="178"/>
      <c r="BT39" s="178"/>
      <c r="BU39" s="178"/>
      <c r="BV39" s="178"/>
      <c r="BW39" s="178"/>
      <c r="BX39" s="178"/>
      <c r="BY39" s="179"/>
      <c r="BZ39" s="179"/>
      <c r="CA39" s="182">
        <v>16</v>
      </c>
      <c r="CB39" s="180"/>
      <c r="CC39" s="180"/>
      <c r="CD39" s="180"/>
      <c r="CE39" s="180"/>
      <c r="CF39" s="180"/>
      <c r="CG39" s="180"/>
      <c r="CH39" s="180"/>
      <c r="CI39" s="37"/>
      <c r="CJ39" s="89"/>
      <c r="CK39" s="181"/>
      <c r="CL39" s="181"/>
      <c r="CM39" s="89"/>
      <c r="CN39" s="89"/>
      <c r="CO39" s="89"/>
      <c r="CP39" s="117" t="b">
        <f>IF(CQ57=27,15)</f>
        <v>0</v>
      </c>
      <c r="CQ39" s="183"/>
      <c r="CR39" s="103" t="b">
        <f>IF(CQ57=27,17)</f>
        <v>0</v>
      </c>
      <c r="CS39" s="89"/>
      <c r="CT39" s="89"/>
      <c r="CU39" s="89"/>
      <c r="CV39" s="89"/>
      <c r="CW39" s="178"/>
      <c r="CX39" s="178"/>
      <c r="CY39" s="178"/>
      <c r="CZ39" s="178"/>
      <c r="DA39" s="178"/>
      <c r="DB39" s="178"/>
      <c r="DC39" s="178"/>
      <c r="DD39" s="178"/>
      <c r="EJ39" s="78"/>
      <c r="EK39" s="78"/>
    </row>
    <row r="40" spans="5:141" ht="24" hidden="1" thickBot="1" x14ac:dyDescent="0.3"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/>
      <c r="O40" s="995"/>
      <c r="BN40" s="86"/>
      <c r="BO40" s="17"/>
      <c r="BP40" s="177"/>
      <c r="BQ40" s="178"/>
      <c r="BR40" s="178"/>
      <c r="BS40" s="178"/>
      <c r="BT40" s="178"/>
      <c r="BU40" s="178"/>
      <c r="BV40" s="178"/>
      <c r="BW40" s="178"/>
      <c r="BX40" s="178"/>
      <c r="BY40" s="179"/>
      <c r="BZ40" s="179"/>
      <c r="CA40" s="182">
        <v>15</v>
      </c>
      <c r="CB40" s="180"/>
      <c r="CC40" s="180"/>
      <c r="CD40" s="180"/>
      <c r="CE40" s="180"/>
      <c r="CF40" s="180"/>
      <c r="CG40" s="180"/>
      <c r="CH40" s="180"/>
      <c r="CI40" s="37"/>
      <c r="CJ40" s="89"/>
      <c r="CK40" s="181"/>
      <c r="CL40" s="181"/>
      <c r="CM40" s="89"/>
      <c r="CN40" s="117" t="b">
        <f>IF(CP57=26,13)</f>
        <v>0</v>
      </c>
      <c r="CO40" s="183"/>
      <c r="CP40" s="183"/>
      <c r="CQ40" s="183"/>
      <c r="CR40" s="103" t="b">
        <f>IF(CP57=26,17)</f>
        <v>0</v>
      </c>
      <c r="CS40" s="89"/>
      <c r="CT40" s="89"/>
      <c r="CU40" s="89"/>
      <c r="CV40" s="89"/>
      <c r="CW40" s="178"/>
      <c r="CX40" s="178"/>
      <c r="CY40" s="178"/>
      <c r="CZ40" s="178"/>
      <c r="DA40" s="178"/>
      <c r="DB40" s="178"/>
      <c r="DC40" s="178"/>
      <c r="DD40" s="178"/>
      <c r="EJ40" s="78"/>
      <c r="EK40" s="78"/>
    </row>
    <row r="41" spans="5:141" ht="24" hidden="1" thickBot="1" x14ac:dyDescent="0.3">
      <c r="G41" s="998"/>
      <c r="H41" s="1001" t="s">
        <v>250</v>
      </c>
      <c r="I41" s="59"/>
      <c r="J41" s="961" t="s">
        <v>217</v>
      </c>
      <c r="K41" s="961" t="s">
        <v>225</v>
      </c>
      <c r="L41" s="972" t="s">
        <v>242</v>
      </c>
      <c r="M41" s="1724"/>
      <c r="N41"/>
      <c r="O41" s="995"/>
      <c r="BN41" s="86"/>
      <c r="BO41" s="17"/>
      <c r="BP41" s="177"/>
      <c r="BQ41" s="178"/>
      <c r="BR41" s="178"/>
      <c r="BS41" s="178"/>
      <c r="BT41" s="178"/>
      <c r="BU41" s="178"/>
      <c r="BV41" s="178"/>
      <c r="BW41" s="178"/>
      <c r="BX41" s="178"/>
      <c r="BY41" s="179"/>
      <c r="BZ41" s="179"/>
      <c r="CA41" s="182">
        <v>14</v>
      </c>
      <c r="CB41" s="180"/>
      <c r="CC41" s="180"/>
      <c r="CD41" s="180"/>
      <c r="CE41" s="180"/>
      <c r="CF41" s="180"/>
      <c r="CG41" s="180"/>
      <c r="CH41" s="180"/>
      <c r="CI41" s="37"/>
      <c r="CJ41" s="89"/>
      <c r="CK41" s="181"/>
      <c r="CL41" s="117" t="b">
        <f>IF(CO57=25,11)</f>
        <v>0</v>
      </c>
      <c r="CM41" s="183"/>
      <c r="CN41" s="184"/>
      <c r="CO41" s="184"/>
      <c r="CP41" s="184"/>
      <c r="CQ41" s="184"/>
      <c r="CR41" s="124" t="b">
        <f>IF(CO57=25,17)</f>
        <v>0</v>
      </c>
      <c r="CS41" s="89"/>
      <c r="CT41" s="89"/>
      <c r="CU41" s="89"/>
      <c r="CV41" s="89"/>
      <c r="CW41" s="178"/>
      <c r="CX41" s="178"/>
      <c r="CY41" s="178"/>
      <c r="CZ41" s="178"/>
      <c r="DA41" s="178"/>
      <c r="DB41" s="178"/>
      <c r="DC41" s="178"/>
      <c r="DD41" s="178"/>
      <c r="EJ41" s="78"/>
      <c r="EK41" s="78"/>
    </row>
    <row r="42" spans="5:141" ht="24" hidden="1" thickBot="1" x14ac:dyDescent="0.3">
      <c r="G42" s="1002" t="s">
        <v>245</v>
      </c>
      <c r="H42" s="1078">
        <f>SUM(BQ138:CA138)</f>
        <v>10</v>
      </c>
      <c r="I42" s="59"/>
      <c r="J42" s="963">
        <f>+H43/H8*BQ25/2</f>
        <v>126.56</v>
      </c>
      <c r="K42" s="963">
        <f>((H8-H43)/H8)*BQ25/2</f>
        <v>-36.160000000000004</v>
      </c>
      <c r="L42" s="963">
        <f>+BQ25/2</f>
        <v>90.4</v>
      </c>
      <c r="M42" s="961" t="s">
        <v>223</v>
      </c>
      <c r="N42"/>
      <c r="O42" s="995"/>
      <c r="BN42" s="86"/>
      <c r="BO42" s="1091"/>
      <c r="BP42" s="177"/>
      <c r="BQ42" s="178"/>
      <c r="BR42" s="178"/>
      <c r="BS42" s="178"/>
      <c r="BT42" s="178"/>
      <c r="BU42" s="178"/>
      <c r="BV42" s="178"/>
      <c r="BW42" s="178"/>
      <c r="BX42" s="178"/>
      <c r="CA42" s="182">
        <v>13</v>
      </c>
      <c r="CB42" s="178"/>
      <c r="CC42" s="177"/>
      <c r="CD42" s="177"/>
      <c r="CE42" s="177"/>
      <c r="CF42" s="177"/>
      <c r="CG42" s="177"/>
      <c r="CH42" s="177"/>
      <c r="CI42" s="177"/>
      <c r="CJ42" s="117" t="b">
        <f>IF(CN57=24,9)</f>
        <v>0</v>
      </c>
      <c r="CK42" s="185"/>
      <c r="CL42" s="186"/>
      <c r="CM42" s="122"/>
      <c r="CN42" s="186"/>
      <c r="CO42" s="122"/>
      <c r="CP42" s="122"/>
      <c r="CQ42" s="121"/>
      <c r="CR42" s="124" t="b">
        <f>IF(CN57=24,17)</f>
        <v>0</v>
      </c>
      <c r="CS42" s="78"/>
      <c r="CT42" s="78"/>
      <c r="CU42" s="78"/>
      <c r="CV42" s="78"/>
      <c r="CW42" s="78"/>
      <c r="CX42" s="78"/>
      <c r="CY42" s="78"/>
      <c r="CZ42" s="78"/>
      <c r="DA42" s="78"/>
      <c r="DB42" s="78"/>
      <c r="DC42" s="78"/>
      <c r="DD42" s="78"/>
      <c r="EJ42" s="78"/>
      <c r="EK42" s="78"/>
    </row>
    <row r="43" spans="5:141" ht="21" hidden="1" thickBot="1" x14ac:dyDescent="0.25">
      <c r="G43" s="994" t="s">
        <v>243</v>
      </c>
      <c r="H43" s="1077">
        <f>$H$5-((H42-1)*$E$2)</f>
        <v>301</v>
      </c>
      <c r="I43" s="59"/>
      <c r="J43" s="965">
        <f>ABS($H$1/J42)</f>
        <v>142.22503160556258</v>
      </c>
      <c r="K43" s="965">
        <f>ABS($H$1/K42)</f>
        <v>497.78761061946898</v>
      </c>
      <c r="L43" s="965">
        <f>ABS($H$1/L42)</f>
        <v>199.11504424778761</v>
      </c>
      <c r="M43" s="967" t="s">
        <v>222</v>
      </c>
      <c r="N43"/>
      <c r="O43" s="995"/>
      <c r="BN43" s="86"/>
      <c r="BO43" s="1091"/>
      <c r="BP43" s="177"/>
      <c r="BQ43" s="177"/>
      <c r="BR43" s="178"/>
      <c r="BS43" s="177"/>
      <c r="BT43" s="177"/>
      <c r="BU43" s="177"/>
      <c r="CA43" s="182">
        <v>12</v>
      </c>
      <c r="CB43" s="178"/>
      <c r="CC43" s="177"/>
      <c r="CD43" s="177"/>
      <c r="CE43" s="177"/>
      <c r="CF43" s="177"/>
      <c r="CG43" s="177"/>
      <c r="CH43" s="117" t="b">
        <f>IF(CM57=23,7)</f>
        <v>0</v>
      </c>
      <c r="CI43" s="185"/>
      <c r="CJ43" s="185"/>
      <c r="CK43" s="118"/>
      <c r="CL43" s="185"/>
      <c r="CM43" s="185"/>
      <c r="CN43" s="185"/>
      <c r="CO43" s="118"/>
      <c r="CP43" s="118"/>
      <c r="CQ43" s="111"/>
      <c r="CR43" s="103" t="b">
        <f>IF(CM57=23,17)</f>
        <v>0</v>
      </c>
      <c r="CS43" s="78"/>
      <c r="CT43" s="78"/>
      <c r="CU43" s="78"/>
      <c r="CV43" s="78"/>
      <c r="CW43" s="78"/>
      <c r="CX43" s="78"/>
      <c r="CY43" s="78"/>
      <c r="CZ43" s="78"/>
      <c r="DA43" s="78"/>
      <c r="DB43" s="78"/>
      <c r="DC43" s="78"/>
      <c r="DD43" s="78"/>
      <c r="EJ43" s="78"/>
      <c r="EK43" s="78"/>
    </row>
    <row r="44" spans="5:141" ht="24.75" hidden="1" customHeight="1" thickBot="1" x14ac:dyDescent="0.25">
      <c r="G44" s="1000"/>
      <c r="H44" s="63"/>
      <c r="I44" s="59"/>
      <c r="J44" s="1739"/>
      <c r="K44" s="1739"/>
      <c r="L44" s="1739">
        <f>ABS($E$20/BQ25)*2</f>
        <v>88.495575221238937</v>
      </c>
      <c r="M44" s="1734" t="s">
        <v>350</v>
      </c>
      <c r="N44" s="1730" t="s">
        <v>352</v>
      </c>
      <c r="O44" s="995"/>
      <c r="BN44" s="86"/>
      <c r="BO44" s="1091"/>
      <c r="BP44" s="177"/>
      <c r="BQ44" s="177"/>
      <c r="BR44" s="178"/>
      <c r="BS44" s="177"/>
      <c r="BT44" s="177"/>
      <c r="BU44" s="177"/>
      <c r="CA44" s="182">
        <v>11</v>
      </c>
      <c r="CB44" s="178"/>
      <c r="CC44" s="177"/>
      <c r="CD44" s="177"/>
      <c r="CE44" s="177"/>
      <c r="CF44" s="117" t="b">
        <f>IF(CL57=22,5)</f>
        <v>0</v>
      </c>
      <c r="CG44" s="185"/>
      <c r="CH44" s="185"/>
      <c r="CI44" s="118"/>
      <c r="CJ44" s="185"/>
      <c r="CK44" s="118"/>
      <c r="CL44" s="185"/>
      <c r="CM44" s="118"/>
      <c r="CN44" s="185"/>
      <c r="CO44" s="118"/>
      <c r="CP44" s="118"/>
      <c r="CQ44" s="111"/>
      <c r="CR44" s="103" t="b">
        <f>IF(CL57=22,17)</f>
        <v>0</v>
      </c>
      <c r="CS44" s="78"/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EJ44" s="78"/>
      <c r="EK44" s="78"/>
    </row>
    <row r="45" spans="5:141" ht="21" hidden="1" thickBot="1" x14ac:dyDescent="0.25">
      <c r="G45" s="998"/>
      <c r="H45" s="1069" t="s">
        <v>263</v>
      </c>
      <c r="I45" s="59"/>
      <c r="J45" s="59"/>
      <c r="K45" s="59"/>
      <c r="L45" s="59"/>
      <c r="M45" s="59"/>
      <c r="N45"/>
      <c r="O45" s="995"/>
      <c r="BN45" s="86"/>
      <c r="BO45" s="1091"/>
      <c r="BP45" s="177"/>
      <c r="BQ45" s="177"/>
      <c r="BR45" s="178"/>
      <c r="BS45" s="177"/>
      <c r="BT45" s="177"/>
      <c r="BU45" s="177"/>
      <c r="CA45" s="182">
        <v>10</v>
      </c>
      <c r="CB45" s="178"/>
      <c r="CC45" s="177"/>
      <c r="CD45" s="117" t="b">
        <f>IF(CK57=21,3)</f>
        <v>0</v>
      </c>
      <c r="CE45" s="185"/>
      <c r="CF45" s="185"/>
      <c r="CG45" s="118"/>
      <c r="CH45" s="118"/>
      <c r="CI45" s="118"/>
      <c r="CJ45" s="185"/>
      <c r="CK45" s="185"/>
      <c r="CL45" s="185"/>
      <c r="CM45" s="118"/>
      <c r="CN45" s="185"/>
      <c r="CO45" s="118"/>
      <c r="CP45" s="118"/>
      <c r="CQ45" s="111"/>
      <c r="CR45" s="103" t="b">
        <f>IF(CK57=21,17)</f>
        <v>0</v>
      </c>
      <c r="CS45" s="78"/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EJ45" s="78"/>
      <c r="EK45" s="78"/>
    </row>
    <row r="46" spans="5:141" ht="21" hidden="1" thickBot="1" x14ac:dyDescent="0.25"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  <c r="BN46" s="86"/>
      <c r="BO46" s="1091"/>
      <c r="BP46" s="177"/>
      <c r="BQ46" s="177"/>
      <c r="BR46" s="178"/>
      <c r="BS46" s="177"/>
      <c r="BT46" s="177"/>
      <c r="BU46" s="177"/>
      <c r="CA46" s="182">
        <v>9</v>
      </c>
      <c r="CB46" s="117" t="b">
        <f>IF(CJ57=20,1)</f>
        <v>0</v>
      </c>
      <c r="CC46" s="185"/>
      <c r="CD46" s="185"/>
      <c r="CE46" s="118"/>
      <c r="CF46" s="185"/>
      <c r="CG46" s="185"/>
      <c r="CH46" s="185"/>
      <c r="CI46" s="185"/>
      <c r="CJ46" s="185"/>
      <c r="CK46" s="185"/>
      <c r="CL46" s="185"/>
      <c r="CM46" s="185"/>
      <c r="CN46" s="185"/>
      <c r="CO46" s="118"/>
      <c r="CP46" s="118"/>
      <c r="CQ46" s="111"/>
      <c r="CR46" s="103" t="b">
        <f>IF(CJ57=20,17)</f>
        <v>0</v>
      </c>
      <c r="CS46" s="78"/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EJ46" s="78"/>
      <c r="EK46" s="78"/>
    </row>
    <row r="47" spans="5:141" ht="24" hidden="1" thickBot="1" x14ac:dyDescent="0.3">
      <c r="G47" s="1002" t="s">
        <v>245</v>
      </c>
      <c r="H47" s="1079">
        <f>SUM(CQ138:DA138)</f>
        <v>0</v>
      </c>
      <c r="I47" s="59"/>
      <c r="J47" s="972" t="s">
        <v>244</v>
      </c>
      <c r="K47" s="961" t="s">
        <v>215</v>
      </c>
      <c r="L47" s="961" t="s">
        <v>216</v>
      </c>
      <c r="M47" s="1724"/>
      <c r="N47"/>
      <c r="O47" s="995"/>
      <c r="BN47" s="86"/>
      <c r="BO47" s="1091"/>
      <c r="BP47" s="177"/>
      <c r="BQ47" s="177"/>
      <c r="BR47" s="178"/>
      <c r="BS47" s="177"/>
      <c r="BT47" s="177"/>
      <c r="BU47" s="177"/>
      <c r="CA47" s="182">
        <v>8</v>
      </c>
      <c r="CB47" s="120" t="b">
        <f>IF(CI57=19,1)</f>
        <v>0</v>
      </c>
      <c r="CC47" s="122"/>
      <c r="CD47" s="186"/>
      <c r="CE47" s="186"/>
      <c r="CF47" s="186"/>
      <c r="CG47" s="186"/>
      <c r="CH47" s="186"/>
      <c r="CI47" s="186"/>
      <c r="CJ47" s="186"/>
      <c r="CK47" s="186"/>
      <c r="CL47" s="186"/>
      <c r="CM47" s="186"/>
      <c r="CN47" s="186"/>
      <c r="CO47" s="122"/>
      <c r="CP47" s="124" t="b">
        <f>IF(CI57=19,15)</f>
        <v>0</v>
      </c>
      <c r="CQ47" s="78"/>
      <c r="CR47" s="78"/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EJ47" s="78"/>
      <c r="EK47" s="78"/>
    </row>
    <row r="48" spans="5:141" ht="21" hidden="1" thickBot="1" x14ac:dyDescent="0.25">
      <c r="G48" s="994" t="s">
        <v>243</v>
      </c>
      <c r="H48" s="1077">
        <f>($E$2*(H47-1))-$H$4</f>
        <v>-903</v>
      </c>
      <c r="I48" s="59"/>
      <c r="J48" s="963">
        <f>+BQ25/2</f>
        <v>90.4</v>
      </c>
      <c r="K48" s="963">
        <f>((H8-H48)/H8)*BQ25/2</f>
        <v>470.08000000000004</v>
      </c>
      <c r="L48" s="963">
        <f>+H48/H8*BQ25/2</f>
        <v>-379.68000000000006</v>
      </c>
      <c r="M48" s="961" t="s">
        <v>223</v>
      </c>
      <c r="N48"/>
      <c r="O48" s="995"/>
      <c r="BN48" s="86"/>
      <c r="BO48" s="1091"/>
      <c r="BP48" s="177"/>
      <c r="BQ48" s="177"/>
      <c r="BR48" s="178"/>
      <c r="BS48" s="177"/>
      <c r="BT48" s="177"/>
      <c r="BU48" s="177"/>
      <c r="CA48" s="182">
        <v>7</v>
      </c>
      <c r="CB48" s="120">
        <f>IF(CH57=18,1)</f>
        <v>1</v>
      </c>
      <c r="CC48" s="186"/>
      <c r="CD48" s="186"/>
      <c r="CE48" s="186"/>
      <c r="CF48" s="186"/>
      <c r="CG48" s="186"/>
      <c r="CH48" s="186"/>
      <c r="CI48" s="186"/>
      <c r="CJ48" s="186"/>
      <c r="CK48" s="186"/>
      <c r="CL48" s="186"/>
      <c r="CM48" s="186"/>
      <c r="CN48" s="124">
        <f>IF(CH57=18,13)</f>
        <v>13</v>
      </c>
      <c r="CO48" s="178"/>
      <c r="CQ48" s="78"/>
      <c r="CR48" s="78"/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EJ48" s="78"/>
      <c r="EK48" s="78"/>
    </row>
    <row r="49" spans="4:141" ht="21" hidden="1" thickBot="1" x14ac:dyDescent="0.25">
      <c r="G49" s="998"/>
      <c r="H49"/>
      <c r="I49" s="59"/>
      <c r="J49" s="965">
        <f>ABS($H$1/J48)</f>
        <v>199.11504424778761</v>
      </c>
      <c r="K49" s="965">
        <f>ABS($H$1/K48)</f>
        <v>38.291354663036074</v>
      </c>
      <c r="L49" s="965">
        <f>ABS($H$1/L48)</f>
        <v>47.408343868520852</v>
      </c>
      <c r="M49" s="967" t="s">
        <v>222</v>
      </c>
      <c r="N49" s="74"/>
      <c r="O49" s="1010"/>
      <c r="BN49" s="86"/>
      <c r="BO49" s="1091"/>
      <c r="BP49" s="177"/>
      <c r="BQ49" s="177"/>
      <c r="BR49" s="178"/>
      <c r="BS49" s="177"/>
      <c r="BT49" s="177"/>
      <c r="BU49" s="177"/>
      <c r="CA49" s="182">
        <v>6</v>
      </c>
      <c r="CB49" s="120" t="b">
        <f>IF(CG57=17,1)</f>
        <v>0</v>
      </c>
      <c r="CC49" s="186"/>
      <c r="CD49" s="186"/>
      <c r="CE49" s="186"/>
      <c r="CF49" s="186"/>
      <c r="CG49" s="186"/>
      <c r="CH49" s="186"/>
      <c r="CI49" s="186"/>
      <c r="CJ49" s="186"/>
      <c r="CK49" s="186"/>
      <c r="CL49" s="124" t="b">
        <f>IF(CG57=17,11)</f>
        <v>0</v>
      </c>
      <c r="CM49" s="177"/>
      <c r="CN49" s="177"/>
      <c r="CO49" s="178"/>
      <c r="CQ49" s="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EJ49" s="78"/>
      <c r="EK49" s="78"/>
    </row>
    <row r="50" spans="4:141" ht="24" hidden="1" customHeight="1" thickBot="1" x14ac:dyDescent="0.25">
      <c r="G50" s="998"/>
      <c r="H50"/>
      <c r="I50" s="59"/>
      <c r="J50" s="1733">
        <f>ABS($E$20/BQ25)*2</f>
        <v>88.495575221238937</v>
      </c>
      <c r="K50" s="1733"/>
      <c r="L50" s="1733"/>
      <c r="M50" s="1734" t="s">
        <v>350</v>
      </c>
      <c r="N50" s="1730" t="s">
        <v>352</v>
      </c>
      <c r="O50" s="995"/>
      <c r="BN50" s="86"/>
      <c r="BO50" s="1091"/>
      <c r="BP50" s="177"/>
      <c r="BQ50" s="177"/>
      <c r="BR50" s="178"/>
      <c r="BS50" s="177"/>
      <c r="BT50" s="177"/>
      <c r="BU50" s="177"/>
      <c r="CA50" s="182">
        <v>5</v>
      </c>
      <c r="CB50" s="117" t="b">
        <f>IF(CF57=16,1)</f>
        <v>0</v>
      </c>
      <c r="CC50" s="185"/>
      <c r="CD50" s="185"/>
      <c r="CE50" s="118"/>
      <c r="CF50" s="185"/>
      <c r="CG50" s="118"/>
      <c r="CH50" s="185"/>
      <c r="CI50" s="185"/>
      <c r="CJ50" s="103" t="b">
        <f>IF(CF57=16,9)</f>
        <v>0</v>
      </c>
      <c r="CK50" s="177"/>
      <c r="CL50" s="177"/>
      <c r="CM50" s="177"/>
      <c r="CN50" s="177"/>
      <c r="CO50" s="178"/>
      <c r="CQ50" s="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EJ50" s="78"/>
      <c r="EK50" s="78"/>
    </row>
    <row r="51" spans="4:141" ht="21" hidden="1" thickBot="1" x14ac:dyDescent="0.25">
      <c r="G51" s="998"/>
      <c r="H51"/>
      <c r="I51" s="59"/>
      <c r="J51" s="59"/>
      <c r="K51" s="59"/>
      <c r="L51" s="59"/>
      <c r="M51" s="59"/>
      <c r="N51"/>
      <c r="O51" s="995"/>
      <c r="BN51" s="86"/>
      <c r="BO51" s="1091"/>
      <c r="BP51" s="177"/>
      <c r="BQ51" s="177"/>
      <c r="BR51" s="178"/>
      <c r="BS51" s="177"/>
      <c r="BT51" s="177"/>
      <c r="BU51" s="177"/>
      <c r="CA51" s="182">
        <v>4</v>
      </c>
      <c r="CB51" s="117" t="b">
        <f>IF(CE57=15,1)</f>
        <v>0</v>
      </c>
      <c r="CC51" s="118"/>
      <c r="CD51" s="118"/>
      <c r="CE51" s="185"/>
      <c r="CF51" s="118"/>
      <c r="CG51" s="118"/>
      <c r="CH51" s="103" t="b">
        <f>IF(CE57=15,7)</f>
        <v>0</v>
      </c>
      <c r="CI51" s="177"/>
      <c r="CJ51" s="177"/>
      <c r="CK51" s="177"/>
      <c r="CL51" s="177"/>
      <c r="CM51" s="177"/>
      <c r="CN51" s="177"/>
      <c r="CO51" s="178"/>
      <c r="CQ51" s="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EJ51" s="78"/>
      <c r="EK51" s="78"/>
    </row>
    <row r="52" spans="4:141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  <c r="BN52" s="86"/>
      <c r="BO52" s="1091"/>
      <c r="BP52" s="177"/>
      <c r="BQ52" s="177"/>
      <c r="BR52" s="178"/>
      <c r="BS52" s="177"/>
      <c r="BT52" s="177"/>
      <c r="BU52" s="177"/>
      <c r="CA52" s="182">
        <v>3</v>
      </c>
      <c r="CB52" s="120" t="b">
        <f>IF(CD57=14,1)</f>
        <v>0</v>
      </c>
      <c r="CC52" s="186"/>
      <c r="CD52" s="186"/>
      <c r="CE52" s="186"/>
      <c r="CF52" s="124" t="b">
        <f>IF(CD57=14,5)</f>
        <v>0</v>
      </c>
      <c r="CG52" s="177"/>
      <c r="CH52" s="177"/>
      <c r="CI52" s="177"/>
      <c r="CJ52" s="177"/>
      <c r="CK52" s="177"/>
      <c r="CL52" s="177"/>
      <c r="CM52" s="177"/>
      <c r="CN52" s="177"/>
      <c r="CO52" s="178"/>
      <c r="CQ52" s="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EJ52" s="78"/>
      <c r="EK52" s="78"/>
    </row>
    <row r="53" spans="4:141" ht="24" hidden="1" thickBot="1" x14ac:dyDescent="0.3">
      <c r="G53" s="1002" t="s">
        <v>245</v>
      </c>
      <c r="H53" s="1007" t="s">
        <v>252</v>
      </c>
      <c r="I53" s="59"/>
      <c r="J53" s="972" t="s">
        <v>244</v>
      </c>
      <c r="K53" s="961"/>
      <c r="L53" s="972" t="s">
        <v>242</v>
      </c>
      <c r="M53" s="1724"/>
      <c r="N53"/>
      <c r="O53" s="995"/>
      <c r="BN53" s="86"/>
      <c r="BO53" s="1091"/>
      <c r="BP53" s="177"/>
      <c r="BQ53" s="177"/>
      <c r="BR53" s="178"/>
      <c r="BS53" s="177"/>
      <c r="BT53" s="177"/>
      <c r="BU53" s="177"/>
      <c r="CA53" s="182">
        <v>2</v>
      </c>
      <c r="CB53" s="120" t="b">
        <f>IF(CC57=13,1)</f>
        <v>0</v>
      </c>
      <c r="CC53" s="186"/>
      <c r="CD53" s="124" t="b">
        <f>IF(CC57=13,3)</f>
        <v>0</v>
      </c>
      <c r="CE53" s="177"/>
      <c r="CF53" s="177"/>
      <c r="CG53" s="177"/>
      <c r="CH53" s="177"/>
      <c r="CI53" s="177"/>
      <c r="CJ53" s="177"/>
      <c r="CK53" s="177"/>
      <c r="CL53" s="177"/>
      <c r="CM53" s="177"/>
      <c r="CN53" s="177"/>
      <c r="CO53" s="1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EJ53" s="78"/>
      <c r="EK53" s="78"/>
    </row>
    <row r="54" spans="4:141" ht="21" thickBot="1" x14ac:dyDescent="0.25">
      <c r="G54" s="994" t="s">
        <v>243</v>
      </c>
      <c r="H54" s="956"/>
      <c r="I54" s="59"/>
      <c r="J54" s="963">
        <f>+((H6-D3)/H6)*BQ25</f>
        <v>103.60629553772961</v>
      </c>
      <c r="K54" s="963"/>
      <c r="L54" s="963">
        <f>+(D3/H6)*BQ25</f>
        <v>77.193704462270404</v>
      </c>
      <c r="M54" s="961" t="s">
        <v>223</v>
      </c>
      <c r="N54"/>
      <c r="O54" s="995"/>
      <c r="BN54" s="86"/>
      <c r="BO54" s="1091"/>
      <c r="BP54" s="177"/>
      <c r="BQ54" s="177"/>
      <c r="BR54" s="178"/>
      <c r="BS54" s="177"/>
      <c r="BT54" s="177"/>
      <c r="BU54" s="177"/>
      <c r="BV54" s="76"/>
      <c r="BW54" s="177"/>
      <c r="CA54" s="177"/>
      <c r="CB54" s="177"/>
      <c r="CC54" s="177"/>
      <c r="CD54" s="177"/>
      <c r="CE54" s="177"/>
      <c r="CF54" s="177"/>
      <c r="CG54" s="177"/>
      <c r="CH54" s="177"/>
      <c r="CI54" s="177"/>
      <c r="CJ54" s="177"/>
      <c r="CK54" s="177"/>
      <c r="CL54" s="178"/>
      <c r="CM54" s="107"/>
      <c r="CN54" s="107"/>
      <c r="CO54" s="107"/>
      <c r="CQ54" s="78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EJ54" s="78"/>
      <c r="EK54" s="78"/>
    </row>
    <row r="55" spans="4:141" ht="44" thickBot="1" x14ac:dyDescent="0.3">
      <c r="G55" s="1000"/>
      <c r="H55" s="63"/>
      <c r="I55" s="59"/>
      <c r="J55" s="965">
        <f>ABS($H$1/J54)</f>
        <v>173.7346162854077</v>
      </c>
      <c r="K55" s="965"/>
      <c r="L55" s="965">
        <f>ABS($H$1/L54)</f>
        <v>233.17963719175796</v>
      </c>
      <c r="M55" s="967" t="s">
        <v>222</v>
      </c>
      <c r="N55"/>
      <c r="O55" s="995"/>
      <c r="BM55" s="402"/>
      <c r="BN55" s="188"/>
      <c r="BO55" s="1095" t="s">
        <v>128</v>
      </c>
      <c r="BP55" s="746" t="s">
        <v>125</v>
      </c>
      <c r="BQ55" s="190"/>
      <c r="BR55" s="191"/>
      <c r="BS55" s="191"/>
      <c r="BT55" s="191"/>
      <c r="BU55" s="191"/>
      <c r="BV55" s="191"/>
      <c r="BW55" s="191"/>
      <c r="BX55" s="191"/>
      <c r="BY55" s="191"/>
      <c r="BZ55" s="191"/>
      <c r="CA55" s="191"/>
      <c r="CB55" s="758">
        <f>SUM(CB39:CB54)</f>
        <v>1</v>
      </c>
      <c r="CC55" s="759">
        <f t="shared" ref="CC55:CR55" si="0">SUM(CC39:CC54)</f>
        <v>0</v>
      </c>
      <c r="CD55" s="759">
        <f t="shared" si="0"/>
        <v>0</v>
      </c>
      <c r="CE55" s="759">
        <f t="shared" si="0"/>
        <v>0</v>
      </c>
      <c r="CF55" s="759">
        <f t="shared" si="0"/>
        <v>0</v>
      </c>
      <c r="CG55" s="759">
        <f t="shared" si="0"/>
        <v>0</v>
      </c>
      <c r="CH55" s="759">
        <f t="shared" si="0"/>
        <v>0</v>
      </c>
      <c r="CI55" s="759">
        <f t="shared" si="0"/>
        <v>0</v>
      </c>
      <c r="CJ55" s="759">
        <f t="shared" si="0"/>
        <v>0</v>
      </c>
      <c r="CK55" s="759">
        <f t="shared" si="0"/>
        <v>0</v>
      </c>
      <c r="CL55" s="759">
        <f t="shared" si="0"/>
        <v>0</v>
      </c>
      <c r="CM55" s="759">
        <f t="shared" si="0"/>
        <v>0</v>
      </c>
      <c r="CN55" s="759">
        <f t="shared" si="0"/>
        <v>13</v>
      </c>
      <c r="CO55" s="759">
        <f t="shared" si="0"/>
        <v>0</v>
      </c>
      <c r="CP55" s="759">
        <f t="shared" si="0"/>
        <v>0</v>
      </c>
      <c r="CQ55" s="759">
        <f t="shared" si="0"/>
        <v>0</v>
      </c>
      <c r="CR55" s="760">
        <f t="shared" si="0"/>
        <v>0</v>
      </c>
      <c r="CS55" s="191"/>
      <c r="CT55" s="191"/>
      <c r="CU55" s="192"/>
      <c r="CV55" s="192"/>
      <c r="CW55" s="192"/>
      <c r="CX55" s="192"/>
      <c r="CY55" s="192"/>
      <c r="CZ55" s="192"/>
      <c r="DA55" s="193"/>
      <c r="DB55" s="89"/>
      <c r="DC55" s="78"/>
      <c r="DD55" s="78"/>
    </row>
    <row r="56" spans="4:141" ht="31" thickBot="1" x14ac:dyDescent="0.3">
      <c r="G56" s="1000"/>
      <c r="H56" s="63"/>
      <c r="I56" s="1722"/>
      <c r="J56" s="1733">
        <f>ABS($E$20/BQ25)*2</f>
        <v>88.495575221238937</v>
      </c>
      <c r="K56" s="1733"/>
      <c r="L56" s="1733"/>
      <c r="M56" s="1734" t="s">
        <v>350</v>
      </c>
      <c r="N56" s="1730" t="s">
        <v>352</v>
      </c>
      <c r="O56" s="995"/>
      <c r="BL56" s="968">
        <v>4</v>
      </c>
      <c r="BM56" s="1762" t="b">
        <f>AND(BO56&gt;=10,$BA$150&gt;=10,$AZ$150&gt;=10,$AZ$171&gt;=10,$BA$171&gt;=10)</f>
        <v>1</v>
      </c>
      <c r="BN56" s="84" t="str">
        <f>IF(BM56=TRUE,"O K","OVERLOAD")</f>
        <v>O K</v>
      </c>
      <c r="BO56" s="982">
        <f>+$E$20/(BQ25/2)</f>
        <v>88.495575221238937</v>
      </c>
      <c r="BP56" s="194"/>
      <c r="BQ56" s="107"/>
      <c r="BR56" s="108"/>
      <c r="BS56" s="107"/>
      <c r="BT56" s="107"/>
      <c r="BU56" s="107"/>
      <c r="BV56" s="108"/>
      <c r="BW56" s="107"/>
      <c r="BX56" s="107"/>
      <c r="BY56" s="107"/>
      <c r="BZ56" s="107"/>
      <c r="CA56" s="107"/>
      <c r="CB56" s="107"/>
      <c r="CC56" s="107"/>
      <c r="CD56" s="107"/>
      <c r="CE56" s="107"/>
      <c r="CF56" s="107"/>
      <c r="CG56" s="107"/>
      <c r="CH56" s="107"/>
      <c r="CI56" s="107"/>
      <c r="CJ56" s="107"/>
      <c r="CK56" s="107"/>
      <c r="CL56" s="107"/>
      <c r="CM56" s="107"/>
      <c r="CN56" s="107"/>
      <c r="CO56" s="107"/>
      <c r="CP56" s="107"/>
      <c r="CQ56" s="107"/>
      <c r="CR56" s="107"/>
      <c r="CS56" s="78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</row>
    <row r="57" spans="4:141" ht="20" hidden="1" x14ac:dyDescent="0.2">
      <c r="G57" s="998"/>
      <c r="H57"/>
      <c r="I57"/>
      <c r="J57"/>
      <c r="K57"/>
      <c r="L57"/>
      <c r="M57"/>
      <c r="N57"/>
      <c r="O57" s="995"/>
      <c r="BM57" s="402"/>
      <c r="BN57" s="188"/>
      <c r="BO57" s="1091"/>
      <c r="BP57" s="76"/>
      <c r="BQ57" s="195" t="b">
        <f>+BK181</f>
        <v>0</v>
      </c>
      <c r="BR57" s="195" t="b">
        <f>+BK182</f>
        <v>0</v>
      </c>
      <c r="BS57" s="195" t="b">
        <f>+BK183</f>
        <v>0</v>
      </c>
      <c r="BT57" s="195" t="b">
        <f>+BK184</f>
        <v>0</v>
      </c>
      <c r="BU57" s="195" t="b">
        <f>+BK185</f>
        <v>0</v>
      </c>
      <c r="BV57" s="195" t="b">
        <f>+BK186</f>
        <v>0</v>
      </c>
      <c r="BW57" s="195" t="b">
        <f>+BK187</f>
        <v>0</v>
      </c>
      <c r="BX57" s="195" t="b">
        <f>+BK188</f>
        <v>0</v>
      </c>
      <c r="BY57" s="195" t="b">
        <f>+BK189</f>
        <v>0</v>
      </c>
      <c r="BZ57" s="195" t="b">
        <f>+BK190</f>
        <v>0</v>
      </c>
      <c r="CA57" s="195" t="b">
        <f>+BK191</f>
        <v>0</v>
      </c>
      <c r="CB57" s="195" t="b">
        <f>+BK192</f>
        <v>0</v>
      </c>
      <c r="CC57" s="195" t="b">
        <f>+BK193</f>
        <v>0</v>
      </c>
      <c r="CD57" s="195" t="b">
        <f>+BK194</f>
        <v>0</v>
      </c>
      <c r="CE57" s="195" t="b">
        <f>+BK195</f>
        <v>0</v>
      </c>
      <c r="CF57" s="195" t="b">
        <f>+BK196</f>
        <v>0</v>
      </c>
      <c r="CG57" s="195" t="b">
        <f>+BK197</f>
        <v>0</v>
      </c>
      <c r="CH57" s="195">
        <f>+BK198</f>
        <v>18</v>
      </c>
      <c r="CI57" s="195" t="b">
        <f>+BK199</f>
        <v>0</v>
      </c>
      <c r="CJ57" s="195" t="b">
        <f>+BK200</f>
        <v>0</v>
      </c>
      <c r="CK57" s="195" t="b">
        <f>+BK201</f>
        <v>0</v>
      </c>
      <c r="CL57" s="195" t="b">
        <f>+BK202</f>
        <v>0</v>
      </c>
      <c r="CM57" s="195" t="b">
        <f>+BK203</f>
        <v>0</v>
      </c>
      <c r="CN57" s="195" t="b">
        <f>+BK204</f>
        <v>0</v>
      </c>
      <c r="CO57" s="195" t="b">
        <f>+BK205</f>
        <v>0</v>
      </c>
      <c r="CP57" s="195" t="b">
        <f>+BK206</f>
        <v>0</v>
      </c>
      <c r="CQ57" s="195" t="b">
        <f>+BK207</f>
        <v>0</v>
      </c>
      <c r="CR57" s="195" t="b">
        <f>+BK208</f>
        <v>0</v>
      </c>
      <c r="CS57" s="195" t="b">
        <f>+BK209</f>
        <v>0</v>
      </c>
      <c r="CT57" s="195" t="b">
        <f>+BK210</f>
        <v>0</v>
      </c>
      <c r="CU57" s="195" t="b">
        <f>+BK211</f>
        <v>0</v>
      </c>
      <c r="CV57" s="195" t="b">
        <f>+BK212</f>
        <v>0</v>
      </c>
      <c r="CW57" s="195" t="b">
        <f>+BK213</f>
        <v>0</v>
      </c>
      <c r="CX57" s="195" t="b">
        <f>+BK214</f>
        <v>0</v>
      </c>
      <c r="CY57" s="195" t="b">
        <f>+BK215</f>
        <v>0</v>
      </c>
      <c r="CZ57" s="195" t="b">
        <f>+BK216</f>
        <v>0</v>
      </c>
      <c r="DA57" s="195" t="b">
        <f>+BK217</f>
        <v>0</v>
      </c>
      <c r="DB57" s="196"/>
      <c r="DC57" s="78"/>
      <c r="DD57" s="78"/>
    </row>
    <row r="58" spans="4:141" ht="20" hidden="1" x14ac:dyDescent="0.2">
      <c r="G58" s="998"/>
      <c r="H58"/>
      <c r="I58"/>
      <c r="J58"/>
      <c r="K58"/>
      <c r="L58"/>
      <c r="M58"/>
      <c r="N58"/>
      <c r="O58" s="995"/>
      <c r="BM58" s="402"/>
      <c r="BN58" s="188"/>
      <c r="BO58" s="1091"/>
      <c r="BP58" s="78"/>
      <c r="BQ58" s="196" t="b">
        <f>+BQ57</f>
        <v>0</v>
      </c>
      <c r="BR58" s="196" t="b">
        <f t="shared" ref="BR58:CI58" si="1">+BR57</f>
        <v>0</v>
      </c>
      <c r="BS58" s="196" t="b">
        <f t="shared" si="1"/>
        <v>0</v>
      </c>
      <c r="BT58" s="196" t="b">
        <f t="shared" si="1"/>
        <v>0</v>
      </c>
      <c r="BU58" s="196" t="b">
        <f t="shared" si="1"/>
        <v>0</v>
      </c>
      <c r="BV58" s="196" t="b">
        <f t="shared" si="1"/>
        <v>0</v>
      </c>
      <c r="BW58" s="196" t="b">
        <f>+BW57</f>
        <v>0</v>
      </c>
      <c r="BX58" s="196" t="b">
        <f t="shared" si="1"/>
        <v>0</v>
      </c>
      <c r="BY58" s="196" t="b">
        <f t="shared" si="1"/>
        <v>0</v>
      </c>
      <c r="BZ58" s="196" t="b">
        <f t="shared" si="1"/>
        <v>0</v>
      </c>
      <c r="CA58" s="196" t="b">
        <f t="shared" si="1"/>
        <v>0</v>
      </c>
      <c r="CB58" s="196" t="b">
        <f>+CB57</f>
        <v>0</v>
      </c>
      <c r="CC58" s="196" t="b">
        <f>+CC57</f>
        <v>0</v>
      </c>
      <c r="CD58" s="196" t="b">
        <f>+CD57</f>
        <v>0</v>
      </c>
      <c r="CE58" s="196" t="b">
        <f>+CE57</f>
        <v>0</v>
      </c>
      <c r="CF58" s="196" t="b">
        <f>+CF57</f>
        <v>0</v>
      </c>
      <c r="CG58" s="196" t="b">
        <f t="shared" si="1"/>
        <v>0</v>
      </c>
      <c r="CH58" s="196">
        <f t="shared" si="1"/>
        <v>18</v>
      </c>
      <c r="CI58" s="196" t="b">
        <f t="shared" si="1"/>
        <v>0</v>
      </c>
      <c r="CJ58" s="196" t="b">
        <f>+CJ57</f>
        <v>0</v>
      </c>
      <c r="CK58" s="196" t="b">
        <f>+CK57</f>
        <v>0</v>
      </c>
      <c r="CL58" s="196" t="b">
        <f t="shared" ref="CL58:DA58" si="2">+CL57</f>
        <v>0</v>
      </c>
      <c r="CM58" s="196" t="b">
        <f t="shared" si="2"/>
        <v>0</v>
      </c>
      <c r="CN58" s="196" t="b">
        <f t="shared" si="2"/>
        <v>0</v>
      </c>
      <c r="CO58" s="196" t="b">
        <f t="shared" si="2"/>
        <v>0</v>
      </c>
      <c r="CP58" s="196" t="b">
        <f t="shared" si="2"/>
        <v>0</v>
      </c>
      <c r="CQ58" s="196" t="b">
        <f t="shared" si="2"/>
        <v>0</v>
      </c>
      <c r="CR58" s="196" t="b">
        <f t="shared" si="2"/>
        <v>0</v>
      </c>
      <c r="CS58" s="196" t="b">
        <f t="shared" si="2"/>
        <v>0</v>
      </c>
      <c r="CT58" s="196" t="b">
        <f t="shared" si="2"/>
        <v>0</v>
      </c>
      <c r="CU58" s="196" t="b">
        <f t="shared" si="2"/>
        <v>0</v>
      </c>
      <c r="CV58" s="196" t="b">
        <f t="shared" si="2"/>
        <v>0</v>
      </c>
      <c r="CW58" s="196" t="b">
        <f t="shared" si="2"/>
        <v>0</v>
      </c>
      <c r="CX58" s="196" t="b">
        <f t="shared" si="2"/>
        <v>0</v>
      </c>
      <c r="CY58" s="196" t="b">
        <f t="shared" si="2"/>
        <v>0</v>
      </c>
      <c r="CZ58" s="196" t="b">
        <f t="shared" si="2"/>
        <v>0</v>
      </c>
      <c r="DA58" s="196" t="b">
        <f t="shared" si="2"/>
        <v>0</v>
      </c>
      <c r="DB58" s="196"/>
      <c r="DC58" s="78"/>
      <c r="DD58" s="78"/>
    </row>
    <row r="59" spans="4:141" ht="21" thickBot="1" x14ac:dyDescent="0.25">
      <c r="G59" s="998"/>
      <c r="H59"/>
      <c r="I59"/>
      <c r="J59"/>
      <c r="K59"/>
      <c r="L59"/>
      <c r="M59"/>
      <c r="N59"/>
      <c r="O59" s="995"/>
      <c r="BM59" s="402"/>
      <c r="BN59" s="188"/>
      <c r="BO59" s="1091"/>
      <c r="BP59" s="78"/>
      <c r="BQ59" s="196"/>
      <c r="BR59" s="196"/>
      <c r="BS59" s="196"/>
      <c r="BT59" s="196"/>
      <c r="BU59" s="196"/>
      <c r="BV59" s="196"/>
      <c r="BW59" s="196"/>
      <c r="BX59" s="196"/>
      <c r="BY59" s="196"/>
      <c r="BZ59" s="196"/>
      <c r="CA59" s="196"/>
      <c r="CB59" s="196"/>
      <c r="CC59" s="196"/>
      <c r="CD59" s="196"/>
      <c r="CE59" s="196"/>
      <c r="CF59" s="196"/>
      <c r="CG59" s="196"/>
      <c r="CH59" s="196"/>
      <c r="CI59" s="196"/>
      <c r="CJ59" s="196"/>
      <c r="CK59" s="196"/>
      <c r="CL59" s="196"/>
      <c r="CM59" s="196"/>
      <c r="CN59" s="196"/>
      <c r="CO59" s="196"/>
      <c r="CP59" s="196"/>
      <c r="CQ59" s="196"/>
      <c r="CR59" s="196"/>
      <c r="CS59" s="196"/>
      <c r="CT59" s="196"/>
      <c r="CU59" s="196"/>
      <c r="CV59" s="196"/>
      <c r="CW59" s="196"/>
      <c r="CX59" s="196"/>
      <c r="CY59" s="196"/>
      <c r="CZ59" s="196"/>
      <c r="DA59" s="196"/>
      <c r="DB59" s="196"/>
      <c r="DC59" s="78"/>
      <c r="DD59" s="78"/>
    </row>
    <row r="60" spans="4:141" ht="32.25" customHeight="1" thickBot="1" x14ac:dyDescent="0.3">
      <c r="G60" s="998"/>
      <c r="H60"/>
      <c r="I60"/>
      <c r="J60"/>
      <c r="K60"/>
      <c r="L60"/>
      <c r="M60"/>
      <c r="N60"/>
      <c r="O60" s="995"/>
      <c r="BM60" s="402"/>
      <c r="BN60" s="188"/>
      <c r="BO60" s="1095" t="s">
        <v>128</v>
      </c>
      <c r="BP60" s="197" t="s">
        <v>129</v>
      </c>
      <c r="BQ60" s="748" t="str">
        <f>IF(BQ58=1,17,"")</f>
        <v/>
      </c>
      <c r="BR60" s="749" t="str">
        <f>IF(BR58=2,16,"")</f>
        <v/>
      </c>
      <c r="BS60" s="749" t="str">
        <f>IF(BS58=3,15,"")</f>
        <v/>
      </c>
      <c r="BT60" s="749" t="str">
        <f>IF(BT58=4,14,"")</f>
        <v/>
      </c>
      <c r="BU60" s="749" t="str">
        <f>IF(BU58=5,13,"")</f>
        <v/>
      </c>
      <c r="BV60" s="749" t="str">
        <f>IF(BV58=6,12,"")</f>
        <v/>
      </c>
      <c r="BW60" s="749" t="str">
        <f>IF(BW58=7,11,"")</f>
        <v/>
      </c>
      <c r="BX60" s="749" t="str">
        <f>IF(BX58=8,10,"")</f>
        <v/>
      </c>
      <c r="BY60" s="749" t="str">
        <f>IF(BY58=9,9,"")</f>
        <v/>
      </c>
      <c r="BZ60" s="749" t="str">
        <f>IF(BZ58=10,8,"")</f>
        <v/>
      </c>
      <c r="CA60" s="749" t="str">
        <f>IF(CA58=11,7,"")</f>
        <v/>
      </c>
      <c r="CB60" s="928" t="str">
        <f>IF(CB58=12,1,"")</f>
        <v/>
      </c>
      <c r="CC60" s="747" t="str">
        <f>IF(CC58=13,2,"")</f>
        <v/>
      </c>
      <c r="CD60" s="747" t="str">
        <f>IF(CD58=14,3,"")</f>
        <v/>
      </c>
      <c r="CE60" s="747" t="str">
        <f>IF(CE58=15,4,"")</f>
        <v/>
      </c>
      <c r="CF60" s="747" t="str">
        <f>IF(CF58=16,5,"")</f>
        <v/>
      </c>
      <c r="CG60" s="747" t="str">
        <f>IF(CG58=17,6,"")</f>
        <v/>
      </c>
      <c r="CH60" s="747">
        <f>IF(CH58=18,7,"")</f>
        <v>7</v>
      </c>
      <c r="CI60" s="747" t="str">
        <f>IF(CI58=19,8,"")</f>
        <v/>
      </c>
      <c r="CJ60" s="747" t="str">
        <f>IF(CJ58=20,9,"")</f>
        <v/>
      </c>
      <c r="CK60" s="747" t="str">
        <f>IF(CK58=21,10,"")</f>
        <v/>
      </c>
      <c r="CL60" s="747" t="str">
        <f>IF(CL58=22,11,"")</f>
        <v/>
      </c>
      <c r="CM60" s="747" t="str">
        <f>IF(CM58=23,12,"")</f>
        <v/>
      </c>
      <c r="CN60" s="747" t="str">
        <f>IF(CN58=24,13,"")</f>
        <v/>
      </c>
      <c r="CO60" s="747" t="str">
        <f>IF(CO58=25,14,"")</f>
        <v/>
      </c>
      <c r="CP60" s="747" t="str">
        <f>IF(CP58=26,15,"")</f>
        <v/>
      </c>
      <c r="CQ60" s="747" t="str">
        <f>IF(CQ58=27,16,"")</f>
        <v/>
      </c>
      <c r="CR60" s="929" t="str">
        <f>IF(CR58=28,17,"")</f>
        <v/>
      </c>
      <c r="CS60" s="756" t="str">
        <f>IF(CS58=29,9,"")</f>
        <v/>
      </c>
      <c r="CT60" s="756" t="str">
        <f>IF(CT58=30,10,"")</f>
        <v/>
      </c>
      <c r="CU60" s="756" t="str">
        <f>IF(CU58=31,11,"")</f>
        <v/>
      </c>
      <c r="CV60" s="756" t="str">
        <f>IF(CV58=32,12,"")</f>
        <v/>
      </c>
      <c r="CW60" s="756" t="str">
        <f>IF(CW58=33,13,"")</f>
        <v/>
      </c>
      <c r="CX60" s="756" t="str">
        <f>IF(CX58=34,14,"")</f>
        <v/>
      </c>
      <c r="CY60" s="756" t="str">
        <f>IF(CY58=35,15,"")</f>
        <v/>
      </c>
      <c r="CZ60" s="756" t="str">
        <f>IF(CZ58=36,16,"")</f>
        <v/>
      </c>
      <c r="DA60" s="757" t="str">
        <f>IF(DA58=37,17,"")</f>
        <v/>
      </c>
      <c r="DB60" s="198"/>
      <c r="DC60" s="78"/>
      <c r="DD60" s="78"/>
    </row>
    <row r="61" spans="4:141" ht="31" thickBot="1" x14ac:dyDescent="0.3">
      <c r="G61" s="998"/>
      <c r="H61"/>
      <c r="I61"/>
      <c r="J61"/>
      <c r="K61"/>
      <c r="L61"/>
      <c r="M61"/>
      <c r="N61"/>
      <c r="O61" s="995"/>
      <c r="BL61" s="968">
        <v>5</v>
      </c>
      <c r="BM61" s="1762" t="b">
        <f>AND(BO61&gt;=10,$BA$150&gt;=10,$AZ$150&gt;=10,$AZ$171&gt;=10,$BA$171&gt;=10)</f>
        <v>1</v>
      </c>
      <c r="BN61" s="84" t="str">
        <f>IF(BM61=TRUE,"O K","OVERLOAD")</f>
        <v>O K</v>
      </c>
      <c r="BO61" s="982">
        <f>IF(SUM(BQ60:CA60)&gt;0,K85,0)+IF(SUM(CB60:CR60)&gt;0,L85,0)+IF(SUM(CS60:DA60)&gt;0,M85,0)</f>
        <v>44.247787610619469</v>
      </c>
      <c r="BP61" s="788" t="s">
        <v>185</v>
      </c>
      <c r="BQ61" s="789">
        <v>-10</v>
      </c>
      <c r="BR61" s="789">
        <v>-9</v>
      </c>
      <c r="BS61" s="789">
        <v>-8</v>
      </c>
      <c r="BT61" s="789">
        <v>-7</v>
      </c>
      <c r="BU61" s="789">
        <v>-6</v>
      </c>
      <c r="BV61" s="789">
        <v>-5</v>
      </c>
      <c r="BW61" s="789">
        <v>-4</v>
      </c>
      <c r="BX61" s="789">
        <v>-3</v>
      </c>
      <c r="BY61" s="789">
        <v>-2</v>
      </c>
      <c r="BZ61" s="789">
        <v>-1</v>
      </c>
      <c r="CA61" s="789">
        <v>0</v>
      </c>
      <c r="CB61" s="789">
        <v>1</v>
      </c>
      <c r="CC61" s="789">
        <v>2</v>
      </c>
      <c r="CD61" s="789">
        <v>3</v>
      </c>
      <c r="CE61" s="789">
        <v>4</v>
      </c>
      <c r="CF61" s="789">
        <v>5</v>
      </c>
      <c r="CG61" s="789">
        <v>6</v>
      </c>
      <c r="CH61" s="789">
        <v>7</v>
      </c>
      <c r="CI61" s="789">
        <v>8</v>
      </c>
      <c r="CJ61" s="789">
        <v>9</v>
      </c>
      <c r="CK61" s="789">
        <v>10</v>
      </c>
      <c r="CL61" s="789">
        <v>11</v>
      </c>
      <c r="CM61" s="789">
        <v>12</v>
      </c>
      <c r="CN61" s="789">
        <v>13</v>
      </c>
      <c r="CO61" s="789">
        <v>14</v>
      </c>
      <c r="CP61" s="789">
        <v>15</v>
      </c>
      <c r="CQ61" s="789">
        <v>16</v>
      </c>
      <c r="CR61" s="789">
        <v>17</v>
      </c>
      <c r="CS61" s="789">
        <v>18</v>
      </c>
      <c r="CT61" s="789">
        <v>19</v>
      </c>
      <c r="CU61" s="789">
        <v>20</v>
      </c>
      <c r="CV61" s="789">
        <v>21</v>
      </c>
      <c r="CW61" s="789">
        <v>22</v>
      </c>
      <c r="CX61" s="789">
        <v>23</v>
      </c>
      <c r="CY61" s="789">
        <v>24</v>
      </c>
      <c r="CZ61" s="789">
        <v>25</v>
      </c>
      <c r="DA61" s="791">
        <v>26</v>
      </c>
      <c r="DB61" s="198"/>
      <c r="DC61" s="78"/>
      <c r="DD61" s="78"/>
    </row>
    <row r="62" spans="4:141" ht="20" hidden="1" x14ac:dyDescent="0.2">
      <c r="E62" s="397"/>
      <c r="F62" s="397"/>
      <c r="G62" s="998"/>
      <c r="H62"/>
      <c r="I62"/>
      <c r="J62"/>
      <c r="K62"/>
      <c r="L62"/>
      <c r="M62"/>
      <c r="N62"/>
      <c r="O62" s="995"/>
      <c r="U62" s="114"/>
      <c r="AB62" s="114"/>
      <c r="AC62" s="114"/>
      <c r="AD62" s="114"/>
      <c r="AE62" s="114"/>
      <c r="BM62" s="402"/>
      <c r="BN62" s="136"/>
      <c r="BP62" s="78"/>
      <c r="BQ62" s="199">
        <v>1</v>
      </c>
      <c r="BR62" s="199">
        <v>2</v>
      </c>
      <c r="BS62" s="199">
        <v>3</v>
      </c>
      <c r="BT62" s="199">
        <v>4</v>
      </c>
      <c r="BU62" s="199">
        <v>5</v>
      </c>
      <c r="BV62" s="199">
        <v>6</v>
      </c>
      <c r="BW62" s="199">
        <v>7</v>
      </c>
      <c r="BX62" s="199">
        <v>8</v>
      </c>
      <c r="BY62" s="199">
        <v>9</v>
      </c>
      <c r="BZ62" s="199">
        <v>10</v>
      </c>
      <c r="CA62" s="199">
        <v>11</v>
      </c>
      <c r="CB62" s="199">
        <v>12</v>
      </c>
      <c r="CC62" s="199">
        <v>13</v>
      </c>
      <c r="CD62" s="199">
        <v>14</v>
      </c>
      <c r="CE62" s="199">
        <v>15</v>
      </c>
      <c r="CF62" s="199">
        <v>16</v>
      </c>
      <c r="CG62" s="199">
        <v>17</v>
      </c>
      <c r="CH62" s="199">
        <v>18</v>
      </c>
      <c r="CI62" s="199">
        <v>19</v>
      </c>
      <c r="CJ62" s="199">
        <v>20</v>
      </c>
      <c r="CK62" s="199">
        <v>21</v>
      </c>
      <c r="CL62" s="199">
        <v>22</v>
      </c>
      <c r="CM62" s="199">
        <v>23</v>
      </c>
      <c r="CN62" s="199">
        <v>24</v>
      </c>
      <c r="CO62" s="199">
        <v>25</v>
      </c>
      <c r="CP62" s="199">
        <v>26</v>
      </c>
      <c r="CQ62" s="199">
        <v>27</v>
      </c>
      <c r="CR62" s="199">
        <v>28</v>
      </c>
      <c r="CS62" s="199">
        <v>29</v>
      </c>
      <c r="CT62" s="199">
        <v>30</v>
      </c>
      <c r="CU62" s="199">
        <v>31</v>
      </c>
      <c r="CV62" s="199">
        <v>32</v>
      </c>
      <c r="CW62" s="199">
        <v>33</v>
      </c>
      <c r="CX62" s="199">
        <v>34</v>
      </c>
      <c r="CY62" s="199">
        <v>35</v>
      </c>
      <c r="CZ62" s="199">
        <v>36</v>
      </c>
      <c r="DA62" s="199">
        <v>37</v>
      </c>
      <c r="DB62" s="199"/>
      <c r="DC62" s="78"/>
      <c r="DD62" s="78"/>
    </row>
    <row r="63" spans="4:141" ht="20" hidden="1" x14ac:dyDescent="0.2">
      <c r="E63" s="397"/>
      <c r="F63" s="397"/>
      <c r="G63" s="998"/>
      <c r="H63"/>
      <c r="I63"/>
      <c r="J63"/>
      <c r="K63"/>
      <c r="L63"/>
      <c r="M63"/>
      <c r="N63"/>
      <c r="O63" s="995"/>
      <c r="U63" s="114"/>
      <c r="AB63" s="114"/>
      <c r="AC63" s="114"/>
      <c r="AD63" s="114"/>
      <c r="AE63" s="114"/>
      <c r="BM63" s="402"/>
      <c r="BN63" s="136"/>
      <c r="BO63" s="1091"/>
      <c r="BP63" s="78"/>
      <c r="BQ63" s="199"/>
      <c r="BR63" s="199"/>
      <c r="BS63" s="199"/>
      <c r="BT63" s="199"/>
      <c r="BU63" s="199"/>
      <c r="BV63" s="199"/>
      <c r="BW63" s="199"/>
      <c r="BX63" s="199"/>
      <c r="BY63" s="199"/>
      <c r="BZ63" s="199"/>
      <c r="CA63" s="199"/>
      <c r="CB63" s="199"/>
      <c r="CC63" s="199"/>
      <c r="CD63" s="199"/>
      <c r="CE63" s="199"/>
      <c r="CF63" s="199"/>
      <c r="CG63" s="199"/>
      <c r="CH63" s="199"/>
      <c r="CI63" s="199"/>
      <c r="CJ63" s="199"/>
      <c r="CK63" s="199"/>
      <c r="CL63" s="199"/>
      <c r="CM63" s="199"/>
      <c r="CN63" s="199"/>
      <c r="CO63" s="199"/>
      <c r="CP63" s="199"/>
      <c r="CQ63" s="199"/>
      <c r="CR63" s="199"/>
      <c r="CS63" s="199"/>
      <c r="CT63" s="199"/>
      <c r="CU63" s="199"/>
      <c r="CV63" s="199"/>
      <c r="CW63" s="199"/>
      <c r="CX63" s="199"/>
      <c r="CY63" s="199"/>
      <c r="CZ63" s="199"/>
      <c r="DA63" s="199"/>
      <c r="DB63" s="199"/>
    </row>
    <row r="64" spans="4:141" ht="20" hidden="1" x14ac:dyDescent="0.2">
      <c r="D64" s="397"/>
      <c r="E64" s="397"/>
      <c r="F64" s="397"/>
      <c r="G64" s="998"/>
      <c r="H64"/>
      <c r="I64"/>
      <c r="J64"/>
      <c r="K64"/>
      <c r="L64"/>
      <c r="M64"/>
      <c r="N64"/>
      <c r="O64" s="995"/>
      <c r="U64" s="114"/>
      <c r="AB64" s="114"/>
      <c r="AC64" s="114"/>
      <c r="AD64" s="114"/>
      <c r="AE64" s="114"/>
      <c r="BM64" s="402"/>
      <c r="BN64" s="136"/>
      <c r="BO64" s="1091"/>
      <c r="BP64" s="76"/>
      <c r="BQ64" s="76"/>
      <c r="BR64" s="76"/>
      <c r="BS64" s="76"/>
      <c r="BT64" s="76"/>
      <c r="BU64" s="76"/>
      <c r="BV64" s="202"/>
      <c r="BW64" s="202"/>
      <c r="BX64" s="202"/>
      <c r="BY64" s="202"/>
      <c r="BZ64" s="202"/>
      <c r="CA64" s="202"/>
      <c r="CB64" s="202"/>
      <c r="CC64" s="202"/>
      <c r="CD64" s="202"/>
      <c r="CE64" s="202"/>
      <c r="CF64" s="202"/>
      <c r="CG64" s="202"/>
      <c r="CH64" s="202"/>
      <c r="CI64" s="202"/>
      <c r="CJ64" s="78"/>
      <c r="CK64" s="78"/>
      <c r="CL64" s="78"/>
      <c r="CM64" s="78"/>
      <c r="CN64" s="78"/>
      <c r="CO64" s="78"/>
      <c r="CP64" s="78"/>
      <c r="CQ64" s="78"/>
      <c r="CR64" s="78"/>
      <c r="CS64" s="78"/>
      <c r="CT64" s="78"/>
      <c r="CU64" s="78"/>
      <c r="CV64" s="78"/>
      <c r="CW64" s="78"/>
      <c r="CX64" s="78"/>
      <c r="CY64" s="78"/>
      <c r="CZ64" s="78"/>
      <c r="DA64" s="78"/>
      <c r="DB64" s="78"/>
      <c r="DC64" s="78"/>
      <c r="DD64" s="78"/>
    </row>
    <row r="65" spans="2:96" hidden="1" x14ac:dyDescent="0.2">
      <c r="D65" s="397"/>
      <c r="E65" s="397"/>
      <c r="F65" s="397"/>
      <c r="G65" s="998"/>
      <c r="H65"/>
      <c r="I65"/>
      <c r="J65"/>
      <c r="K65"/>
      <c r="L65"/>
      <c r="M65"/>
      <c r="N65"/>
      <c r="O65" s="995"/>
      <c r="U65" s="114"/>
      <c r="AB65" s="114"/>
      <c r="AC65" s="114"/>
      <c r="AD65" s="114"/>
      <c r="AE65" s="114"/>
      <c r="BM65" s="402"/>
      <c r="BN65" s="136"/>
      <c r="BO65" s="1091"/>
      <c r="BP65" s="126"/>
      <c r="BQ65" s="126"/>
      <c r="BR65" s="126"/>
      <c r="BS65" s="126"/>
      <c r="BT65" s="126"/>
      <c r="BU65" s="126"/>
      <c r="BV65" s="203"/>
      <c r="BW65" s="203"/>
      <c r="BX65" s="203"/>
      <c r="BY65" s="203"/>
      <c r="BZ65" s="203"/>
      <c r="CA65" s="203"/>
      <c r="CB65" s="203"/>
      <c r="CC65" s="203"/>
      <c r="CD65" s="203"/>
      <c r="CE65" s="203"/>
      <c r="CF65" s="203"/>
      <c r="CG65" s="203"/>
      <c r="CH65" s="203"/>
      <c r="CI65" s="203"/>
    </row>
    <row r="66" spans="2:96" hidden="1" x14ac:dyDescent="0.2">
      <c r="B66" s="399"/>
      <c r="C66" s="399"/>
      <c r="D66" s="397"/>
      <c r="E66" s="397"/>
      <c r="F66" s="397"/>
      <c r="G66" s="998"/>
      <c r="H66"/>
      <c r="I66"/>
      <c r="J66"/>
      <c r="K66"/>
      <c r="L66"/>
      <c r="M66"/>
      <c r="N66"/>
      <c r="O66" s="995"/>
      <c r="U66" s="114"/>
      <c r="AB66" s="114"/>
      <c r="AC66" s="114"/>
      <c r="AD66" s="114"/>
      <c r="AE66" s="114"/>
      <c r="BM66" s="402"/>
      <c r="BN66" s="187"/>
      <c r="BO66" s="1091"/>
      <c r="BP66" s="64"/>
      <c r="BS66" s="126"/>
      <c r="BT66" s="126"/>
      <c r="BU66" s="126"/>
      <c r="BV66" s="203"/>
      <c r="BW66" s="203"/>
      <c r="BX66" s="203"/>
      <c r="BY66" s="203"/>
      <c r="BZ66" s="203"/>
      <c r="CA66" s="203"/>
      <c r="CB66" s="203"/>
      <c r="CC66" s="203"/>
      <c r="CD66" s="203"/>
      <c r="CE66" s="203"/>
      <c r="CF66" s="203"/>
      <c r="CG66" s="203"/>
      <c r="CH66" s="203"/>
      <c r="CI66" s="203"/>
      <c r="CR66" s="64"/>
    </row>
    <row r="67" spans="2:96" hidden="1" x14ac:dyDescent="0.2">
      <c r="B67" s="399"/>
      <c r="C67" s="399"/>
      <c r="D67" s="397"/>
      <c r="E67" s="397"/>
      <c r="F67" s="397"/>
      <c r="G67" s="998"/>
      <c r="H67"/>
      <c r="I67"/>
      <c r="J67"/>
      <c r="K67"/>
      <c r="L67"/>
      <c r="M67"/>
      <c r="N67"/>
      <c r="O67" s="995"/>
      <c r="U67" s="114"/>
      <c r="AB67" s="114"/>
      <c r="AC67" s="114"/>
      <c r="AD67" s="114"/>
      <c r="AE67" s="114"/>
      <c r="BM67" s="402"/>
      <c r="BN67" s="187"/>
      <c r="BO67" s="1091"/>
      <c r="BP67" s="64"/>
      <c r="BS67" s="126"/>
      <c r="BT67" s="126"/>
      <c r="BU67" s="126"/>
      <c r="BV67" s="203"/>
      <c r="BW67" s="203"/>
      <c r="BX67" s="203"/>
      <c r="BY67" s="203"/>
      <c r="BZ67" s="203"/>
      <c r="CA67" s="203"/>
      <c r="CB67" s="203"/>
      <c r="CC67" s="203"/>
      <c r="CD67" s="203"/>
      <c r="CE67" s="203"/>
      <c r="CF67" s="203"/>
      <c r="CG67" s="203"/>
      <c r="CH67" s="203"/>
      <c r="CI67" s="203"/>
      <c r="CP67" s="212"/>
      <c r="CR67" s="64"/>
    </row>
    <row r="68" spans="2:96" hidden="1" x14ac:dyDescent="0.2">
      <c r="B68" s="401"/>
      <c r="E68" s="397"/>
      <c r="F68" s="397"/>
      <c r="G68" s="998"/>
      <c r="H68"/>
      <c r="I68"/>
      <c r="J68"/>
      <c r="K68"/>
      <c r="L68"/>
      <c r="M68"/>
      <c r="N68"/>
      <c r="O68" s="995"/>
      <c r="U68" s="114"/>
      <c r="AB68" s="114"/>
      <c r="AC68" s="114"/>
      <c r="AD68" s="114"/>
      <c r="AE68" s="114"/>
      <c r="BM68" s="402"/>
      <c r="BN68" s="136"/>
      <c r="BO68" s="1091"/>
      <c r="BP68" s="126"/>
      <c r="BQ68" s="126"/>
      <c r="BR68" s="126"/>
      <c r="BS68" s="126"/>
      <c r="BT68" s="126"/>
      <c r="BU68" s="126"/>
      <c r="BV68" s="203"/>
      <c r="BW68" s="203"/>
      <c r="BX68" s="203"/>
      <c r="BY68" s="203"/>
      <c r="BZ68" s="203"/>
      <c r="CA68" s="203"/>
      <c r="CB68" s="203"/>
      <c r="CC68" s="203"/>
      <c r="CD68" s="203"/>
      <c r="CE68" s="203"/>
      <c r="CF68" s="203"/>
      <c r="CG68" s="203"/>
      <c r="CH68" s="203"/>
      <c r="CI68" s="203"/>
    </row>
    <row r="69" spans="2:96" ht="20" hidden="1" x14ac:dyDescent="0.3">
      <c r="B69" s="64"/>
      <c r="C69" s="399"/>
      <c r="D69" s="397"/>
      <c r="E69" s="64"/>
      <c r="G69" s="998"/>
      <c r="H69"/>
      <c r="I69"/>
      <c r="J69"/>
      <c r="K69"/>
      <c r="L69"/>
      <c r="M69"/>
      <c r="N69"/>
      <c r="O69" s="995"/>
      <c r="U69" s="114"/>
      <c r="AB69" s="114"/>
      <c r="AC69" s="114"/>
      <c r="AD69" s="114"/>
      <c r="AE69" s="114"/>
      <c r="BM69" s="214"/>
      <c r="BN69" s="214"/>
      <c r="BO69" s="214"/>
    </row>
    <row r="70" spans="2:96" ht="20" hidden="1" x14ac:dyDescent="0.3">
      <c r="B70" s="399"/>
      <c r="C70" s="399"/>
      <c r="D70" s="397"/>
      <c r="E70" s="397"/>
      <c r="F70" s="397"/>
      <c r="G70" s="998"/>
      <c r="H70"/>
      <c r="I70"/>
      <c r="J70"/>
      <c r="K70"/>
      <c r="L70"/>
      <c r="M70"/>
      <c r="N70"/>
      <c r="O70" s="995"/>
      <c r="U70" s="114"/>
      <c r="AB70" s="114"/>
      <c r="AC70" s="114"/>
      <c r="AD70" s="114"/>
      <c r="AE70" s="114"/>
      <c r="BM70" s="214"/>
      <c r="BN70" s="214"/>
      <c r="BO70" s="214"/>
    </row>
    <row r="71" spans="2:96" ht="20" hidden="1" x14ac:dyDescent="0.3">
      <c r="B71" s="19"/>
      <c r="C71" s="399"/>
      <c r="E71" s="19"/>
      <c r="G71" s="998"/>
      <c r="H71"/>
      <c r="I71"/>
      <c r="J71"/>
      <c r="K71"/>
      <c r="L71"/>
      <c r="M71"/>
      <c r="N71"/>
      <c r="O71" s="995"/>
      <c r="U71" s="114"/>
      <c r="AB71" s="114"/>
      <c r="AC71" s="114"/>
      <c r="AD71" s="114"/>
      <c r="AE71" s="114"/>
      <c r="BE71" s="114"/>
      <c r="BF71" s="114"/>
      <c r="BG71" s="114"/>
      <c r="BH71" s="114"/>
      <c r="BM71" s="214"/>
      <c r="BN71" s="214"/>
      <c r="BO71" s="214"/>
    </row>
    <row r="72" spans="2:96" ht="30" hidden="1" x14ac:dyDescent="0.3">
      <c r="B72" s="67"/>
      <c r="C72" s="399"/>
      <c r="E72" s="68"/>
      <c r="G72" s="998"/>
      <c r="H72"/>
      <c r="I72"/>
      <c r="J72"/>
      <c r="K72"/>
      <c r="L72"/>
      <c r="M72"/>
      <c r="N72"/>
      <c r="O72" s="995"/>
      <c r="U72" s="114"/>
      <c r="AB72" s="114"/>
      <c r="AC72" s="114"/>
      <c r="AD72" s="114"/>
      <c r="AE72" s="114"/>
      <c r="BE72" s="114"/>
      <c r="BF72" s="114"/>
      <c r="BG72" s="114"/>
      <c r="BH72" s="114"/>
      <c r="BM72" s="214"/>
      <c r="BN72" s="214"/>
      <c r="BO72" s="214"/>
    </row>
    <row r="73" spans="2:96" ht="20" hidden="1" x14ac:dyDescent="0.3">
      <c r="B73" s="399"/>
      <c r="C73" s="399"/>
      <c r="D73" s="397"/>
      <c r="E73" s="397"/>
      <c r="F73" s="397"/>
      <c r="G73" s="998"/>
      <c r="H73"/>
      <c r="I73"/>
      <c r="J73"/>
      <c r="K73"/>
      <c r="L73"/>
      <c r="M73"/>
      <c r="N73"/>
      <c r="O73" s="995"/>
      <c r="U73" s="114"/>
      <c r="AB73" s="114"/>
      <c r="AC73" s="114"/>
      <c r="AD73" s="114"/>
      <c r="AE73" s="114"/>
      <c r="BE73" s="114"/>
      <c r="BF73" s="114"/>
      <c r="BG73" s="114"/>
      <c r="BH73" s="114"/>
      <c r="BM73" s="214"/>
      <c r="BN73" s="214"/>
      <c r="BO73" s="214"/>
    </row>
    <row r="74" spans="2:96" ht="20" hidden="1" x14ac:dyDescent="0.3">
      <c r="B74" s="399"/>
      <c r="C74" s="399"/>
      <c r="D74" s="397"/>
      <c r="E74" s="397"/>
      <c r="F74" s="397"/>
      <c r="G74" s="998"/>
      <c r="H74"/>
      <c r="I74"/>
      <c r="J74"/>
      <c r="K74"/>
      <c r="L74"/>
      <c r="M74"/>
      <c r="N74"/>
      <c r="O74" s="995"/>
      <c r="U74" s="114"/>
      <c r="AB74" s="114"/>
      <c r="AC74" s="114"/>
      <c r="AD74" s="114"/>
      <c r="AE74" s="114"/>
      <c r="BM74" s="214"/>
      <c r="BN74" s="214"/>
      <c r="BO74" s="214"/>
    </row>
    <row r="75" spans="2:96" ht="20" hidden="1" x14ac:dyDescent="0.3">
      <c r="B75" s="399"/>
      <c r="C75" s="399"/>
      <c r="D75" s="397"/>
      <c r="E75" s="397"/>
      <c r="F75" s="397"/>
      <c r="G75" s="998"/>
      <c r="H75"/>
      <c r="I75"/>
      <c r="J75"/>
      <c r="K75"/>
      <c r="L75"/>
      <c r="M75"/>
      <c r="N75"/>
      <c r="O75" s="995"/>
      <c r="U75" s="114"/>
      <c r="AB75" s="114"/>
      <c r="AC75" s="114"/>
      <c r="AD75" s="114"/>
      <c r="AE75" s="114"/>
      <c r="BE75" s="126"/>
      <c r="BF75" s="126"/>
      <c r="BG75" s="126"/>
      <c r="BH75" s="126"/>
      <c r="BM75" s="214"/>
      <c r="BN75" s="214"/>
      <c r="BO75" s="214"/>
    </row>
    <row r="76" spans="2:96" ht="20" hidden="1" x14ac:dyDescent="0.3">
      <c r="B76" s="399"/>
      <c r="C76" s="399"/>
      <c r="D76" s="397"/>
      <c r="E76" s="397"/>
      <c r="F76" s="397"/>
      <c r="G76" s="998"/>
      <c r="H76"/>
      <c r="I76"/>
      <c r="J76"/>
      <c r="K76"/>
      <c r="L76"/>
      <c r="M76"/>
      <c r="N76"/>
      <c r="O76" s="995"/>
      <c r="U76" s="114"/>
      <c r="AB76" s="114"/>
      <c r="AC76" s="114"/>
      <c r="AD76" s="114"/>
      <c r="AE76" s="114"/>
      <c r="BE76" s="126"/>
      <c r="BF76" s="126"/>
      <c r="BG76" s="126"/>
      <c r="BH76" s="126"/>
      <c r="BM76" s="214"/>
      <c r="BN76" s="214"/>
      <c r="BO76" s="214"/>
    </row>
    <row r="77" spans="2:96" ht="20" hidden="1" x14ac:dyDescent="0.3">
      <c r="B77" s="399"/>
      <c r="C77" s="399"/>
      <c r="D77" s="397"/>
      <c r="E77" s="397"/>
      <c r="F77" s="397"/>
      <c r="G77" s="998"/>
      <c r="H77"/>
      <c r="I77"/>
      <c r="J77"/>
      <c r="K77"/>
      <c r="L77"/>
      <c r="M77"/>
      <c r="N77"/>
      <c r="O77" s="995"/>
      <c r="U77" s="114"/>
      <c r="AB77" s="114"/>
      <c r="AC77" s="114"/>
      <c r="AD77" s="114"/>
      <c r="AE77" s="114"/>
      <c r="BE77" s="126"/>
      <c r="BF77" s="126"/>
      <c r="BG77" s="126"/>
      <c r="BH77" s="126"/>
      <c r="BM77" s="214"/>
      <c r="BN77" s="214"/>
      <c r="BO77" s="214"/>
    </row>
    <row r="78" spans="2:96" ht="20" hidden="1" x14ac:dyDescent="0.3">
      <c r="B78" s="399"/>
      <c r="C78" s="399"/>
      <c r="D78" s="397"/>
      <c r="E78" s="397"/>
      <c r="F78" s="397"/>
      <c r="G78" s="998"/>
      <c r="H78"/>
      <c r="I78"/>
      <c r="J78"/>
      <c r="K78"/>
      <c r="L78"/>
      <c r="M78"/>
      <c r="N78"/>
      <c r="O78" s="995"/>
      <c r="U78" s="114"/>
      <c r="AB78" s="114"/>
      <c r="AC78" s="114"/>
      <c r="AD78" s="114"/>
      <c r="AE78" s="114"/>
      <c r="BE78" s="126"/>
      <c r="BF78" s="126"/>
      <c r="BG78" s="126"/>
      <c r="BH78" s="126"/>
      <c r="BM78" s="214"/>
      <c r="BN78" s="214"/>
      <c r="BO78" s="214"/>
    </row>
    <row r="79" spans="2:96" ht="20" hidden="1" x14ac:dyDescent="0.3">
      <c r="B79" s="399"/>
      <c r="C79" s="399"/>
      <c r="D79" s="397"/>
      <c r="E79" s="397"/>
      <c r="F79" s="397"/>
      <c r="G79" s="1008"/>
      <c r="H79"/>
      <c r="I79"/>
      <c r="J79"/>
      <c r="K79"/>
      <c r="L79"/>
      <c r="M79"/>
      <c r="N79"/>
      <c r="O79" s="995"/>
      <c r="U79" s="114"/>
      <c r="AB79" s="114"/>
      <c r="AC79" s="114"/>
      <c r="AD79" s="114"/>
      <c r="AE79" s="114"/>
      <c r="BE79" s="126"/>
      <c r="BF79" s="126"/>
      <c r="BG79" s="126"/>
      <c r="BH79" s="126"/>
      <c r="BM79" s="214"/>
      <c r="BN79" s="214"/>
      <c r="BO79" s="214"/>
    </row>
    <row r="80" spans="2:96" ht="20" hidden="1" x14ac:dyDescent="0.3">
      <c r="B80" s="399"/>
      <c r="C80" s="399"/>
      <c r="D80" s="397"/>
      <c r="E80" s="397"/>
      <c r="F80" s="397"/>
      <c r="G80" s="998"/>
      <c r="H80"/>
      <c r="I80"/>
      <c r="J80"/>
      <c r="K80"/>
      <c r="L80"/>
      <c r="M80"/>
      <c r="N80"/>
      <c r="O80" s="995"/>
      <c r="U80" s="114"/>
      <c r="AB80" s="114"/>
      <c r="AC80" s="114"/>
      <c r="AD80" s="114"/>
      <c r="AE80" s="114"/>
      <c r="BE80" s="136"/>
      <c r="BF80" s="136"/>
      <c r="BG80" s="136"/>
      <c r="BH80" s="136"/>
      <c r="BM80" s="214"/>
      <c r="BN80" s="214"/>
      <c r="BO80" s="214"/>
    </row>
    <row r="81" spans="2:67" ht="20" hidden="1" x14ac:dyDescent="0.3">
      <c r="B81" s="399"/>
      <c r="C81" s="399"/>
      <c r="D81" s="397"/>
      <c r="E81" s="397"/>
      <c r="F81" s="397"/>
      <c r="G81" s="998"/>
      <c r="H81"/>
      <c r="I81"/>
      <c r="J81"/>
      <c r="K81"/>
      <c r="L81"/>
      <c r="M81"/>
      <c r="N81"/>
      <c r="O81" s="995"/>
      <c r="U81" s="114"/>
      <c r="AB81" s="114"/>
      <c r="AC81" s="114"/>
      <c r="AD81" s="114"/>
      <c r="AE81" s="114"/>
      <c r="BE81" s="136"/>
      <c r="BF81" s="136"/>
      <c r="BG81" s="136"/>
      <c r="BH81" s="136"/>
      <c r="BM81" s="214"/>
      <c r="BN81" s="214"/>
      <c r="BO81" s="214"/>
    </row>
    <row r="82" spans="2:67" ht="21" hidden="1" thickBot="1" x14ac:dyDescent="0.35">
      <c r="B82" s="399"/>
      <c r="C82" s="399"/>
      <c r="D82" s="397"/>
      <c r="E82" s="397"/>
      <c r="F82" s="397"/>
      <c r="G82" s="998"/>
      <c r="H82"/>
      <c r="I82"/>
      <c r="J82"/>
      <c r="K82"/>
      <c r="L82"/>
      <c r="M82"/>
      <c r="N82"/>
      <c r="O82" s="995"/>
      <c r="U82" s="114"/>
      <c r="AB82" s="114"/>
      <c r="AC82" s="114"/>
      <c r="AD82" s="114"/>
      <c r="AE82" s="114"/>
      <c r="BE82" s="136"/>
      <c r="BF82" s="136"/>
      <c r="BG82" s="136"/>
      <c r="BH82" s="136"/>
      <c r="BM82" s="214"/>
      <c r="BN82" s="214"/>
      <c r="BO82" s="214"/>
    </row>
    <row r="83" spans="2:67" ht="21" hidden="1" thickBot="1" x14ac:dyDescent="0.35">
      <c r="B83" s="399"/>
      <c r="C83" s="399"/>
      <c r="D83" s="397"/>
      <c r="E83" s="397"/>
      <c r="F83" s="397"/>
      <c r="G83" s="998"/>
      <c r="H83"/>
      <c r="I83"/>
      <c r="J83"/>
      <c r="K83" s="988">
        <v>5</v>
      </c>
      <c r="L83"/>
      <c r="M83" s="988">
        <v>51</v>
      </c>
      <c r="N83"/>
      <c r="O83" s="995"/>
      <c r="U83" s="114"/>
      <c r="AB83" s="114"/>
      <c r="AC83" s="114"/>
      <c r="AD83" s="114"/>
      <c r="AE83" s="114"/>
      <c r="BE83" s="136"/>
      <c r="BF83" s="136"/>
      <c r="BG83" s="136"/>
      <c r="BH83" s="136"/>
      <c r="BM83" s="214"/>
      <c r="BN83" s="214"/>
      <c r="BO83" s="214"/>
    </row>
    <row r="84" spans="2:67" ht="155.25" customHeight="1" thickBot="1" x14ac:dyDescent="0.35">
      <c r="B84" s="399"/>
      <c r="C84" s="399"/>
      <c r="D84" s="397"/>
      <c r="E84" s="397"/>
      <c r="F84" s="397"/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U84" s="114"/>
      <c r="AB84" s="114"/>
      <c r="AC84" s="114"/>
      <c r="AD84" s="114"/>
      <c r="AE84" s="114"/>
      <c r="BE84" s="136"/>
      <c r="BF84" s="136"/>
      <c r="BG84" s="136"/>
      <c r="BH84" s="136"/>
      <c r="BM84" s="214"/>
      <c r="BN84" s="214"/>
      <c r="BO84" s="214"/>
    </row>
    <row r="85" spans="2:67" ht="146" hidden="1" thickBot="1" x14ac:dyDescent="0.35">
      <c r="C85" s="399"/>
      <c r="G85" s="998"/>
      <c r="H85"/>
      <c r="I85"/>
      <c r="J85" s="1087" t="s">
        <v>264</v>
      </c>
      <c r="K85" s="1080">
        <f>+MIN(J19:K20)</f>
        <v>44.247787610619469</v>
      </c>
      <c r="L85" s="1081">
        <f>+$E$20/(BQ25)</f>
        <v>44.247787610619469</v>
      </c>
      <c r="M85" s="1081">
        <f>+MIN(K25:L26)</f>
        <v>44.247787610619469</v>
      </c>
      <c r="N85"/>
      <c r="O85" s="995"/>
      <c r="U85" s="114"/>
      <c r="AB85" s="114"/>
      <c r="AC85" s="114"/>
      <c r="AD85" s="114"/>
      <c r="AE85" s="114"/>
      <c r="BE85" s="136"/>
      <c r="BF85" s="136"/>
      <c r="BG85" s="136"/>
      <c r="BH85" s="136"/>
      <c r="BM85" s="214"/>
      <c r="BN85" s="214"/>
      <c r="BO85" s="214"/>
    </row>
    <row r="86" spans="2:67" ht="23" hidden="1" thickBot="1" x14ac:dyDescent="0.35">
      <c r="B86" s="1851"/>
      <c r="C86" s="1851"/>
      <c r="D86" s="1851"/>
      <c r="E86" s="1851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U86" s="114"/>
      <c r="AB86" s="114"/>
      <c r="AC86" s="114"/>
      <c r="AD86" s="114"/>
      <c r="AE86" s="114"/>
      <c r="BE86" s="136"/>
      <c r="BF86" s="136"/>
      <c r="BG86" s="136"/>
      <c r="BH86" s="136"/>
      <c r="BM86" s="214"/>
      <c r="BN86" s="214"/>
      <c r="BO86" s="214"/>
    </row>
    <row r="87" spans="2:67" ht="20" hidden="1" x14ac:dyDescent="0.3">
      <c r="B87" s="334"/>
      <c r="C87" s="403"/>
      <c r="D87" s="334"/>
      <c r="E87" s="334"/>
      <c r="F87" s="397"/>
      <c r="G87" s="998"/>
      <c r="H87"/>
      <c r="I87"/>
      <c r="J87"/>
      <c r="K87"/>
      <c r="L87"/>
      <c r="M87"/>
      <c r="N87"/>
      <c r="O87" s="995"/>
      <c r="U87" s="114"/>
      <c r="AB87" s="114"/>
      <c r="AC87" s="114"/>
      <c r="AD87" s="114"/>
      <c r="AE87" s="114"/>
      <c r="BE87" s="136"/>
      <c r="BF87" s="136"/>
      <c r="BG87" s="136"/>
      <c r="BH87" s="136"/>
      <c r="BM87" s="214"/>
      <c r="BN87" s="214"/>
      <c r="BO87" s="214"/>
    </row>
    <row r="88" spans="2:67" ht="20" hidden="1" x14ac:dyDescent="0.3">
      <c r="B88" s="404"/>
      <c r="C88" s="403"/>
      <c r="D88" s="405"/>
      <c r="E88" s="339"/>
      <c r="F88" s="397"/>
      <c r="G88" s="998"/>
      <c r="H88"/>
      <c r="I88"/>
      <c r="J88"/>
      <c r="K88"/>
      <c r="L88"/>
      <c r="M88"/>
      <c r="N88"/>
      <c r="O88" s="995"/>
      <c r="U88" s="114"/>
      <c r="AB88" s="114"/>
      <c r="AC88" s="114"/>
      <c r="AD88" s="114"/>
      <c r="AE88" s="114"/>
      <c r="BE88" s="136"/>
      <c r="BF88" s="136"/>
      <c r="BG88" s="136"/>
      <c r="BH88" s="136"/>
      <c r="BM88" s="214"/>
      <c r="BN88" s="214"/>
      <c r="BO88" s="214"/>
    </row>
    <row r="89" spans="2:67" ht="20" hidden="1" x14ac:dyDescent="0.3">
      <c r="B89" s="403"/>
      <c r="C89" s="403"/>
      <c r="D89" s="86"/>
      <c r="E89" s="86"/>
      <c r="F89" s="397"/>
      <c r="G89" s="998"/>
      <c r="H89"/>
      <c r="I89"/>
      <c r="J89"/>
      <c r="K89"/>
      <c r="L89"/>
      <c r="M89"/>
      <c r="N89"/>
      <c r="O89" s="995"/>
      <c r="U89" s="114"/>
      <c r="AB89" s="114"/>
      <c r="AC89" s="114"/>
      <c r="AD89" s="114"/>
      <c r="AE89" s="114"/>
      <c r="BE89" s="136"/>
      <c r="BF89" s="136"/>
      <c r="BG89" s="136"/>
      <c r="BH89" s="136"/>
      <c r="BM89" s="214"/>
      <c r="BN89" s="214"/>
      <c r="BO89" s="214"/>
    </row>
    <row r="90" spans="2:67" ht="20" hidden="1" x14ac:dyDescent="0.3">
      <c r="B90" s="334"/>
      <c r="C90" s="403"/>
      <c r="D90" s="334"/>
      <c r="E90" s="20"/>
      <c r="F90" s="397"/>
      <c r="G90" s="998"/>
      <c r="H90"/>
      <c r="I90"/>
      <c r="J90"/>
      <c r="K90"/>
      <c r="L90"/>
      <c r="M90"/>
      <c r="N90"/>
      <c r="O90" s="995"/>
      <c r="U90" s="114"/>
      <c r="AB90" s="114"/>
      <c r="AC90" s="114"/>
      <c r="AD90" s="114"/>
      <c r="AE90" s="114"/>
      <c r="BE90" s="136"/>
      <c r="BF90" s="136"/>
      <c r="BG90" s="136"/>
      <c r="BH90" s="136"/>
      <c r="BM90" s="214"/>
      <c r="BN90" s="214"/>
      <c r="BO90" s="214"/>
    </row>
    <row r="91" spans="2:67" ht="20" hidden="1" x14ac:dyDescent="0.3">
      <c r="B91" s="399"/>
      <c r="C91" s="399"/>
      <c r="F91" s="397"/>
      <c r="G91" s="998"/>
      <c r="H91"/>
      <c r="I91"/>
      <c r="J91"/>
      <c r="K91"/>
      <c r="L91"/>
      <c r="M91"/>
      <c r="N91"/>
      <c r="O91" s="995"/>
      <c r="U91" s="114"/>
      <c r="AB91" s="114"/>
      <c r="AC91" s="114"/>
      <c r="AD91" s="114"/>
      <c r="AE91" s="114"/>
      <c r="BF91" s="136"/>
      <c r="BG91" s="136"/>
      <c r="BH91" s="136"/>
      <c r="BM91" s="214"/>
      <c r="BN91" s="214"/>
      <c r="BO91" s="214"/>
    </row>
    <row r="92" spans="2:67" hidden="1" x14ac:dyDescent="0.2">
      <c r="B92" s="399"/>
      <c r="C92" s="399"/>
      <c r="G92" s="998"/>
      <c r="H92"/>
      <c r="I92"/>
      <c r="J92"/>
      <c r="K92"/>
      <c r="L92"/>
      <c r="M92"/>
      <c r="N92"/>
      <c r="O92" s="995"/>
      <c r="U92" s="114"/>
      <c r="AB92" s="114"/>
      <c r="AC92" s="114"/>
      <c r="AD92" s="114"/>
      <c r="AE92" s="114"/>
      <c r="BE92" s="136"/>
      <c r="BF92" s="136"/>
      <c r="BG92" s="136"/>
      <c r="BH92" s="136"/>
    </row>
    <row r="93" spans="2:67" hidden="1" x14ac:dyDescent="0.2">
      <c r="B93" s="399"/>
      <c r="C93" s="399"/>
      <c r="G93" s="998"/>
      <c r="H93"/>
      <c r="I93"/>
      <c r="J93"/>
      <c r="K93"/>
      <c r="L93"/>
      <c r="M93"/>
      <c r="N93"/>
      <c r="O93" s="995"/>
      <c r="U93" s="114"/>
      <c r="AB93" s="114"/>
      <c r="AC93" s="114"/>
      <c r="AD93" s="114"/>
      <c r="AE93" s="114"/>
      <c r="BF93" s="136"/>
      <c r="BG93" s="136"/>
      <c r="BH93" s="136"/>
    </row>
    <row r="94" spans="2:67" hidden="1" x14ac:dyDescent="0.2">
      <c r="C94" s="114"/>
      <c r="G94" s="998"/>
      <c r="H94"/>
      <c r="I94"/>
      <c r="J94"/>
      <c r="K94"/>
      <c r="L94"/>
      <c r="M94"/>
      <c r="N94"/>
      <c r="O94" s="995"/>
      <c r="U94" s="114"/>
      <c r="AB94" s="114"/>
      <c r="AC94" s="114"/>
      <c r="AD94" s="114"/>
      <c r="AE94" s="114"/>
      <c r="BF94" s="136"/>
      <c r="BG94" s="136"/>
      <c r="BH94" s="136"/>
    </row>
    <row r="95" spans="2:67" hidden="1" x14ac:dyDescent="0.2">
      <c r="B95" s="406"/>
      <c r="C95" s="406"/>
      <c r="D95" s="407"/>
      <c r="E95" s="407"/>
      <c r="F95" s="407"/>
      <c r="G95" s="998"/>
      <c r="H95"/>
      <c r="I95"/>
      <c r="J95"/>
      <c r="K95"/>
      <c r="L95"/>
      <c r="M95"/>
      <c r="N95"/>
      <c r="O95" s="995"/>
      <c r="BE95" s="136"/>
      <c r="BF95" s="136"/>
      <c r="BG95" s="136"/>
      <c r="BH95" s="136"/>
    </row>
    <row r="96" spans="2:67" hidden="1" x14ac:dyDescent="0.2">
      <c r="G96" s="998"/>
      <c r="H96"/>
      <c r="I96"/>
      <c r="J96"/>
      <c r="K96"/>
      <c r="L96"/>
      <c r="M96"/>
      <c r="N96"/>
      <c r="O96" s="995"/>
      <c r="BF96" s="136"/>
      <c r="BG96" s="136"/>
      <c r="BH96" s="136"/>
    </row>
    <row r="97" spans="2:108" hidden="1" x14ac:dyDescent="0.2">
      <c r="B97"/>
      <c r="G97" s="998"/>
      <c r="H97"/>
      <c r="I97"/>
      <c r="J97"/>
      <c r="K97"/>
      <c r="L97"/>
      <c r="M97"/>
      <c r="N97"/>
      <c r="O97" s="995"/>
      <c r="BE97" s="136"/>
      <c r="BF97" s="136"/>
      <c r="BG97" s="136"/>
      <c r="BH97" s="136"/>
    </row>
    <row r="98" spans="2:108" hidden="1" x14ac:dyDescent="0.2">
      <c r="B98" s="406"/>
      <c r="C98" s="406"/>
      <c r="D98" s="407"/>
      <c r="E98" s="407"/>
      <c r="F98" s="407"/>
      <c r="G98" s="998"/>
      <c r="H98"/>
      <c r="I98"/>
      <c r="J98"/>
      <c r="K98"/>
      <c r="L98"/>
      <c r="M98"/>
      <c r="N98"/>
      <c r="O98" s="995"/>
      <c r="BE98" s="136"/>
      <c r="BF98" s="136"/>
      <c r="BG98" s="136"/>
      <c r="BH98" s="136"/>
    </row>
    <row r="99" spans="2:108" hidden="1" x14ac:dyDescent="0.2">
      <c r="B99" s="406"/>
      <c r="C99" s="406"/>
      <c r="D99" s="407"/>
      <c r="E99" s="407"/>
      <c r="F99" s="407"/>
      <c r="G99" s="998"/>
      <c r="H99"/>
      <c r="I99"/>
      <c r="J99"/>
      <c r="K99"/>
      <c r="L99"/>
      <c r="M99"/>
      <c r="N99"/>
      <c r="O99" s="995"/>
      <c r="BE99" s="136"/>
      <c r="BF99" s="136"/>
      <c r="BG99" s="136"/>
      <c r="BH99" s="136"/>
    </row>
    <row r="100" spans="2:108" hidden="1" x14ac:dyDescent="0.2">
      <c r="B100" s="406"/>
      <c r="C100" s="406"/>
      <c r="D100" s="407"/>
      <c r="E100" s="407"/>
      <c r="F100" s="407"/>
      <c r="G100" s="998"/>
      <c r="H100"/>
      <c r="I100"/>
      <c r="J100"/>
      <c r="K100"/>
      <c r="L100"/>
      <c r="M100"/>
      <c r="N100"/>
      <c r="O100" s="995"/>
      <c r="BE100" s="136"/>
      <c r="BF100" s="136"/>
      <c r="BG100" s="136"/>
      <c r="BH100" s="136"/>
    </row>
    <row r="101" spans="2:108" ht="20" hidden="1" x14ac:dyDescent="0.2">
      <c r="B101" s="408"/>
      <c r="E101" s="208"/>
      <c r="F101" s="208"/>
      <c r="G101" s="998"/>
      <c r="H101"/>
      <c r="I101"/>
      <c r="J101"/>
      <c r="K101"/>
      <c r="L101"/>
      <c r="M101"/>
      <c r="N101"/>
      <c r="O101" s="995"/>
      <c r="BE101" s="136"/>
      <c r="BF101" s="136"/>
      <c r="BG101" s="136"/>
      <c r="BH101" s="136"/>
    </row>
    <row r="102" spans="2:108" ht="24" hidden="1" thickBot="1" x14ac:dyDescent="0.3">
      <c r="G102" s="998"/>
      <c r="H102"/>
      <c r="I102"/>
      <c r="J102"/>
      <c r="K102"/>
      <c r="L102"/>
      <c r="M102"/>
      <c r="N102"/>
      <c r="O102" s="995"/>
      <c r="BN102" s="86"/>
      <c r="BO102" s="18"/>
      <c r="BP102" s="96"/>
      <c r="BQ102" s="97"/>
      <c r="BR102" s="97"/>
      <c r="BS102" s="97"/>
      <c r="BT102" s="97"/>
      <c r="BU102" s="97"/>
      <c r="BV102" s="97"/>
      <c r="BW102" s="97"/>
      <c r="BX102" s="97"/>
      <c r="BY102" s="94"/>
      <c r="BZ102" s="94"/>
      <c r="CA102" s="89"/>
      <c r="CB102" s="89"/>
      <c r="CC102" s="89"/>
      <c r="CD102" s="89"/>
      <c r="CE102" s="89"/>
      <c r="CF102" s="89"/>
      <c r="CG102" s="89"/>
      <c r="CH102" s="89"/>
      <c r="CI102" s="89"/>
      <c r="CJ102" s="89"/>
      <c r="CK102" s="89"/>
      <c r="CL102" s="89"/>
      <c r="CM102" s="89"/>
      <c r="CN102" s="37"/>
      <c r="CO102" s="95"/>
      <c r="CP102" s="95"/>
      <c r="CQ102" s="95"/>
      <c r="CR102" s="95"/>
      <c r="CS102" s="92"/>
      <c r="CT102" s="92"/>
      <c r="CU102" s="92"/>
      <c r="CV102" s="92"/>
      <c r="CW102" s="92"/>
      <c r="CX102" s="92"/>
      <c r="CY102" s="92"/>
      <c r="CZ102" s="92"/>
      <c r="DA102" s="92"/>
      <c r="DB102" s="92"/>
      <c r="DC102" s="17"/>
      <c r="DD102" s="78"/>
    </row>
    <row r="103" spans="2:108" ht="24" hidden="1" thickBot="1" x14ac:dyDescent="0.3">
      <c r="G103" s="998"/>
      <c r="H103"/>
      <c r="I103"/>
      <c r="J103"/>
      <c r="K103"/>
      <c r="L103"/>
      <c r="M103"/>
      <c r="N103"/>
      <c r="O103" s="995"/>
      <c r="BN103" s="86"/>
      <c r="BO103" s="18"/>
      <c r="BP103" s="96">
        <v>36</v>
      </c>
      <c r="BQ103" s="97"/>
      <c r="BR103" s="97"/>
      <c r="BS103" s="97"/>
      <c r="BT103" s="97"/>
      <c r="BU103" s="97"/>
      <c r="BV103" s="97"/>
      <c r="BW103" s="97"/>
      <c r="BX103" s="97"/>
      <c r="BY103" s="94"/>
      <c r="BZ103" s="94"/>
      <c r="CA103" s="89"/>
      <c r="CB103" s="89"/>
      <c r="CC103" s="89"/>
      <c r="CD103" s="89"/>
      <c r="CE103" s="89"/>
      <c r="CF103" s="89"/>
      <c r="CG103" s="89"/>
      <c r="CH103" s="98"/>
      <c r="CI103" s="99"/>
      <c r="CJ103" s="100"/>
      <c r="CK103" s="89"/>
      <c r="CL103" s="89"/>
      <c r="CM103" s="89"/>
      <c r="CN103" s="37"/>
      <c r="CO103" s="95"/>
      <c r="CP103" s="95"/>
      <c r="CQ103" s="95"/>
      <c r="CR103" s="95"/>
      <c r="CS103" s="92"/>
      <c r="CT103" s="92"/>
      <c r="CU103" s="92"/>
      <c r="CV103" s="92"/>
      <c r="CW103" s="92"/>
      <c r="CX103" s="92"/>
      <c r="CY103" s="101" t="b">
        <f>IF(CZ57=36,35)</f>
        <v>0</v>
      </c>
      <c r="CZ103" s="102"/>
      <c r="DA103" s="103" t="b">
        <f>IF(CZ57=36,37)</f>
        <v>0</v>
      </c>
      <c r="DB103" s="92"/>
      <c r="DC103" s="17"/>
      <c r="DD103" s="78"/>
    </row>
    <row r="104" spans="2:108" ht="24" hidden="1" thickBot="1" x14ac:dyDescent="0.3">
      <c r="G104" s="998"/>
      <c r="H104"/>
      <c r="I104"/>
      <c r="J104"/>
      <c r="K104"/>
      <c r="L104"/>
      <c r="M104"/>
      <c r="N104"/>
      <c r="O104" s="995"/>
      <c r="BN104" s="86"/>
      <c r="BO104" s="18"/>
      <c r="BP104" s="96">
        <v>35</v>
      </c>
      <c r="BQ104" s="97"/>
      <c r="BR104" s="97"/>
      <c r="BS104" s="97"/>
      <c r="BT104" s="97"/>
      <c r="BU104" s="97"/>
      <c r="BV104" s="97"/>
      <c r="BW104" s="97"/>
      <c r="BX104" s="97"/>
      <c r="BY104" s="94"/>
      <c r="BZ104" s="94"/>
      <c r="CA104" s="89"/>
      <c r="CB104" s="89"/>
      <c r="CC104" s="89"/>
      <c r="CD104" s="89"/>
      <c r="CE104" s="89"/>
      <c r="CF104" s="89"/>
      <c r="CG104" s="89"/>
      <c r="CH104" s="104"/>
      <c r="CI104" s="89"/>
      <c r="CJ104" s="105"/>
      <c r="CK104" s="89"/>
      <c r="CL104" s="89"/>
      <c r="CM104" s="89"/>
      <c r="CN104" s="37"/>
      <c r="CO104" s="95"/>
      <c r="CP104" s="95"/>
      <c r="CQ104" s="95"/>
      <c r="CR104" s="95"/>
      <c r="CS104" s="92"/>
      <c r="CT104" s="92"/>
      <c r="CU104" s="92"/>
      <c r="CV104" s="92"/>
      <c r="CW104" s="101" t="b">
        <f>IF(CY57=35,33)</f>
        <v>0</v>
      </c>
      <c r="CX104" s="102"/>
      <c r="CY104" s="102"/>
      <c r="CZ104" s="102"/>
      <c r="DA104" s="103" t="b">
        <f>IF(CY57=35,37)</f>
        <v>0</v>
      </c>
      <c r="DB104" s="92"/>
      <c r="DC104" s="17"/>
      <c r="DD104" s="78"/>
    </row>
    <row r="105" spans="2:108" ht="24" hidden="1" thickBot="1" x14ac:dyDescent="0.3">
      <c r="G105" s="998"/>
      <c r="H105"/>
      <c r="I105"/>
      <c r="J105"/>
      <c r="K105"/>
      <c r="L105"/>
      <c r="M105"/>
      <c r="N105"/>
      <c r="O105" s="995"/>
      <c r="BN105" s="86"/>
      <c r="BO105" s="18"/>
      <c r="BP105" s="96">
        <v>34</v>
      </c>
      <c r="BQ105" s="97"/>
      <c r="BR105" s="97"/>
      <c r="BS105" s="97"/>
      <c r="BT105" s="97"/>
      <c r="BU105" s="97"/>
      <c r="BV105" s="97"/>
      <c r="BW105" s="97"/>
      <c r="BX105" s="97"/>
      <c r="BY105" s="94"/>
      <c r="BZ105" s="94"/>
      <c r="CA105" s="89"/>
      <c r="CB105" s="89"/>
      <c r="CC105" s="89"/>
      <c r="CD105" s="89"/>
      <c r="CE105" s="89"/>
      <c r="CF105" s="89"/>
      <c r="CG105" s="89"/>
      <c r="CH105" s="104"/>
      <c r="CI105" s="89"/>
      <c r="CJ105" s="105"/>
      <c r="CK105" s="89"/>
      <c r="CL105" s="89"/>
      <c r="CM105" s="89"/>
      <c r="CN105" s="37"/>
      <c r="CO105" s="95"/>
      <c r="CP105" s="95"/>
      <c r="CQ105" s="95"/>
      <c r="CR105" s="95"/>
      <c r="CS105" s="92"/>
      <c r="CT105" s="92"/>
      <c r="CU105" s="101" t="b">
        <f>IF(CX57=34,31)</f>
        <v>0</v>
      </c>
      <c r="CV105" s="102"/>
      <c r="CW105" s="102"/>
      <c r="CX105" s="102"/>
      <c r="CY105" s="102"/>
      <c r="CZ105" s="102"/>
      <c r="DA105" s="103" t="b">
        <f>IF(CX57=34,37)</f>
        <v>0</v>
      </c>
      <c r="DB105" s="92"/>
      <c r="DC105" s="17"/>
      <c r="DD105" s="78"/>
    </row>
    <row r="106" spans="2:108" ht="24" hidden="1" thickBot="1" x14ac:dyDescent="0.3">
      <c r="G106" s="998"/>
      <c r="H106"/>
      <c r="I106"/>
      <c r="J106"/>
      <c r="K106"/>
      <c r="L106"/>
      <c r="M106"/>
      <c r="N106"/>
      <c r="O106" s="995"/>
      <c r="BN106" s="86"/>
      <c r="BO106" s="18"/>
      <c r="BP106" s="96">
        <v>33</v>
      </c>
      <c r="BQ106" s="97"/>
      <c r="BR106" s="97"/>
      <c r="BS106" s="97"/>
      <c r="BT106" s="97"/>
      <c r="BU106" s="97"/>
      <c r="BV106" s="97"/>
      <c r="BW106" s="97"/>
      <c r="BX106" s="97"/>
      <c r="BY106" s="94"/>
      <c r="BZ106" s="94"/>
      <c r="CA106" s="89"/>
      <c r="CB106" s="89"/>
      <c r="CC106" s="89"/>
      <c r="CD106" s="89"/>
      <c r="CE106" s="89"/>
      <c r="CF106" s="89"/>
      <c r="CG106" s="89"/>
      <c r="CH106" s="104"/>
      <c r="CI106" s="89"/>
      <c r="CJ106" s="105"/>
      <c r="CK106" s="89"/>
      <c r="CL106" s="89"/>
      <c r="CM106" s="89"/>
      <c r="CN106" s="37"/>
      <c r="CO106" s="95"/>
      <c r="CP106" s="95"/>
      <c r="CQ106" s="95"/>
      <c r="CR106" s="95"/>
      <c r="CS106" s="101" t="b">
        <f>IF(CW57=33,29)</f>
        <v>0</v>
      </c>
      <c r="CT106" s="102"/>
      <c r="CU106" s="102"/>
      <c r="CV106" s="102"/>
      <c r="CW106" s="102"/>
      <c r="CX106" s="102"/>
      <c r="CY106" s="102"/>
      <c r="CZ106" s="102"/>
      <c r="DA106" s="103" t="b">
        <f>IF(CW57=33,37)</f>
        <v>0</v>
      </c>
      <c r="DB106" s="92"/>
      <c r="DC106" s="17"/>
      <c r="DD106" s="78"/>
    </row>
    <row r="107" spans="2:108" ht="21" hidden="1" thickBot="1" x14ac:dyDescent="0.25">
      <c r="G107" s="998"/>
      <c r="H107"/>
      <c r="I107"/>
      <c r="J107"/>
      <c r="K107"/>
      <c r="L107"/>
      <c r="M107"/>
      <c r="N107"/>
      <c r="O107" s="995"/>
      <c r="BN107" s="86"/>
      <c r="BP107" s="96">
        <v>32</v>
      </c>
      <c r="BQ107" s="107"/>
      <c r="BR107" s="107"/>
      <c r="BS107" s="107"/>
      <c r="BT107" s="107"/>
      <c r="BU107" s="107"/>
      <c r="BV107" s="108"/>
      <c r="BW107" s="107"/>
      <c r="BX107" s="107"/>
      <c r="BY107" s="107"/>
      <c r="BZ107" s="107"/>
      <c r="CA107" s="107"/>
      <c r="CB107" s="107"/>
      <c r="CC107" s="107"/>
      <c r="CD107" s="107"/>
      <c r="CE107" s="107"/>
      <c r="CF107" s="107"/>
      <c r="CG107" s="107"/>
      <c r="CH107" s="109"/>
      <c r="CI107" s="107"/>
      <c r="CJ107" s="110"/>
      <c r="CK107" s="107"/>
      <c r="CL107" s="107"/>
      <c r="CM107" s="107"/>
      <c r="CN107" s="108"/>
      <c r="CO107" s="78"/>
      <c r="CP107" s="78"/>
      <c r="CQ107" s="101" t="b">
        <f>IF(CV57=32,27)</f>
        <v>0</v>
      </c>
      <c r="CR107" s="111"/>
      <c r="CS107" s="111"/>
      <c r="CT107" s="111"/>
      <c r="CU107" s="111"/>
      <c r="CV107" s="111"/>
      <c r="CW107" s="111"/>
      <c r="CX107" s="111"/>
      <c r="CY107" s="111"/>
      <c r="CZ107" s="111"/>
      <c r="DA107" s="103" t="b">
        <f>IF(CV57=32,37)</f>
        <v>0</v>
      </c>
      <c r="DB107" s="78"/>
      <c r="DC107" s="78"/>
      <c r="DD107" s="78"/>
    </row>
    <row r="108" spans="2:108" ht="21" hidden="1" thickBot="1" x14ac:dyDescent="0.25">
      <c r="G108" s="998"/>
      <c r="H108"/>
      <c r="I108"/>
      <c r="J108"/>
      <c r="K108"/>
      <c r="L108"/>
      <c r="M108"/>
      <c r="N108"/>
      <c r="O108" s="995"/>
      <c r="BN108" s="86"/>
      <c r="BP108" s="96">
        <v>31</v>
      </c>
      <c r="BQ108" s="107"/>
      <c r="BR108" s="107"/>
      <c r="BS108" s="107"/>
      <c r="BT108" s="107"/>
      <c r="BU108" s="107"/>
      <c r="BV108" s="108"/>
      <c r="BW108" s="107"/>
      <c r="BX108" s="107"/>
      <c r="BY108" s="107"/>
      <c r="BZ108" s="107"/>
      <c r="CA108" s="107"/>
      <c r="CB108" s="107"/>
      <c r="CC108" s="107"/>
      <c r="CD108" s="107"/>
      <c r="CE108" s="107"/>
      <c r="CF108" s="107"/>
      <c r="CG108" s="107"/>
      <c r="CH108" s="109"/>
      <c r="CI108" s="107"/>
      <c r="CJ108" s="110"/>
      <c r="CK108" s="107"/>
      <c r="CL108" s="107"/>
      <c r="CM108" s="107"/>
      <c r="CN108" s="108"/>
      <c r="CO108" s="101" t="b">
        <f>IF(CU57=31,25)</f>
        <v>0</v>
      </c>
      <c r="CP108" s="111"/>
      <c r="CQ108" s="111"/>
      <c r="CR108" s="111"/>
      <c r="CS108" s="111"/>
      <c r="CT108" s="111"/>
      <c r="CU108" s="111"/>
      <c r="CV108" s="111"/>
      <c r="CW108" s="111"/>
      <c r="CX108" s="111"/>
      <c r="CY108" s="111"/>
      <c r="CZ108" s="111"/>
      <c r="DA108" s="103" t="b">
        <f>IF(CU57=31,37)</f>
        <v>0</v>
      </c>
      <c r="DB108" s="78"/>
      <c r="DC108" s="78"/>
      <c r="DD108" s="78"/>
    </row>
    <row r="109" spans="2:108" ht="21" hidden="1" thickBot="1" x14ac:dyDescent="0.25">
      <c r="G109" s="998"/>
      <c r="H109"/>
      <c r="I109"/>
      <c r="J109"/>
      <c r="K109"/>
      <c r="L109"/>
      <c r="M109"/>
      <c r="N109"/>
      <c r="O109" s="995"/>
      <c r="BN109" s="86"/>
      <c r="BP109" s="96">
        <v>30</v>
      </c>
      <c r="BQ109" s="107"/>
      <c r="BR109" s="107"/>
      <c r="BS109" s="107"/>
      <c r="BT109" s="107"/>
      <c r="BU109" s="107"/>
      <c r="BV109" s="108"/>
      <c r="BW109" s="107"/>
      <c r="BX109" s="107"/>
      <c r="BY109" s="107"/>
      <c r="BZ109" s="107"/>
      <c r="CA109" s="107"/>
      <c r="CB109" s="107"/>
      <c r="CC109" s="107"/>
      <c r="CD109" s="107"/>
      <c r="CE109" s="107"/>
      <c r="CF109" s="107"/>
      <c r="CG109" s="107"/>
      <c r="CH109" s="109"/>
      <c r="CI109" s="107"/>
      <c r="CJ109" s="110"/>
      <c r="CK109" s="107"/>
      <c r="CL109" s="107"/>
      <c r="CM109" s="101" t="b">
        <f>IF(CT57=30,23)</f>
        <v>0</v>
      </c>
      <c r="CN109" s="112"/>
      <c r="CO109" s="111"/>
      <c r="CP109" s="111"/>
      <c r="CQ109" s="111"/>
      <c r="CR109" s="111"/>
      <c r="CS109" s="111"/>
      <c r="CT109" s="111"/>
      <c r="CU109" s="111"/>
      <c r="CV109" s="111"/>
      <c r="CW109" s="111"/>
      <c r="CX109" s="111"/>
      <c r="CY109" s="111"/>
      <c r="CZ109" s="111"/>
      <c r="DA109" s="103" t="b">
        <f>IF(CT57=30,37)</f>
        <v>0</v>
      </c>
      <c r="DB109" s="78"/>
      <c r="DC109" s="78"/>
      <c r="DD109" s="78"/>
    </row>
    <row r="110" spans="2:108" ht="21" hidden="1" thickBot="1" x14ac:dyDescent="0.25">
      <c r="G110" s="998"/>
      <c r="H110"/>
      <c r="I110"/>
      <c r="J110"/>
      <c r="K110"/>
      <c r="L110"/>
      <c r="M110"/>
      <c r="N110"/>
      <c r="O110" s="995"/>
      <c r="BN110" s="86"/>
      <c r="BO110" s="114"/>
      <c r="BP110" s="96">
        <v>29</v>
      </c>
      <c r="BQ110" s="78"/>
      <c r="BR110" s="78"/>
      <c r="BS110" s="78"/>
      <c r="BT110" s="78"/>
      <c r="BU110" s="78"/>
      <c r="BV110" s="78"/>
      <c r="BW110" s="78"/>
      <c r="BX110" s="78"/>
      <c r="BY110" s="78"/>
      <c r="BZ110" s="78"/>
      <c r="CA110" s="78"/>
      <c r="CB110" s="78"/>
      <c r="CC110" s="78"/>
      <c r="CD110" s="78"/>
      <c r="CE110" s="78"/>
      <c r="CF110" s="78"/>
      <c r="CG110" s="78"/>
      <c r="CH110" s="115"/>
      <c r="CI110" s="78"/>
      <c r="CJ110" s="116"/>
      <c r="CK110" s="117" t="b">
        <f>IF(CS57=29,21)</f>
        <v>0</v>
      </c>
      <c r="CL110" s="111"/>
      <c r="CM110" s="111"/>
      <c r="CN110" s="111"/>
      <c r="CO110" s="111"/>
      <c r="CP110" s="111"/>
      <c r="CQ110" s="111"/>
      <c r="CR110" s="118"/>
      <c r="CS110" s="111"/>
      <c r="CT110" s="118"/>
      <c r="CU110" s="119"/>
      <c r="CV110" s="119"/>
      <c r="CW110" s="119"/>
      <c r="CX110" s="119"/>
      <c r="CY110" s="119"/>
      <c r="CZ110" s="119"/>
      <c r="DA110" s="103" t="b">
        <f>IF(CS57=29,37)</f>
        <v>0</v>
      </c>
      <c r="DB110" s="76"/>
      <c r="DC110" s="78"/>
      <c r="DD110" s="78"/>
    </row>
    <row r="111" spans="2:108" ht="21" hidden="1" thickBot="1" x14ac:dyDescent="0.25">
      <c r="G111" s="998"/>
      <c r="H111"/>
      <c r="I111"/>
      <c r="J111"/>
      <c r="K111"/>
      <c r="L111"/>
      <c r="M111"/>
      <c r="N111"/>
      <c r="O111" s="995"/>
      <c r="BN111" s="86"/>
      <c r="BO111" s="114"/>
      <c r="BP111" s="96">
        <v>28</v>
      </c>
      <c r="BQ111" s="78"/>
      <c r="BR111" s="78"/>
      <c r="BS111" s="78"/>
      <c r="BT111" s="78"/>
      <c r="BU111" s="78"/>
      <c r="BV111" s="78"/>
      <c r="BW111" s="78"/>
      <c r="BX111" s="78"/>
      <c r="BY111" s="78"/>
      <c r="BZ111" s="78"/>
      <c r="CA111" s="78"/>
      <c r="CB111" s="78"/>
      <c r="CC111" s="78"/>
      <c r="CD111" s="78"/>
      <c r="CE111" s="78"/>
      <c r="CF111" s="78"/>
      <c r="CG111" s="78"/>
      <c r="CH111" s="115"/>
      <c r="CI111" s="78"/>
      <c r="CJ111" s="116"/>
      <c r="CK111" s="120" t="b">
        <f>IF(CR57=28,21)</f>
        <v>0</v>
      </c>
      <c r="CL111" s="121"/>
      <c r="CM111" s="121"/>
      <c r="CN111" s="121"/>
      <c r="CO111" s="121"/>
      <c r="CP111" s="122"/>
      <c r="CQ111" s="121"/>
      <c r="CR111" s="121"/>
      <c r="CS111" s="121"/>
      <c r="CT111" s="122"/>
      <c r="CU111" s="123"/>
      <c r="CV111" s="123"/>
      <c r="CW111" s="123"/>
      <c r="CX111" s="123"/>
      <c r="CY111" s="124" t="b">
        <f>IF(CR57=28,35)</f>
        <v>0</v>
      </c>
      <c r="CZ111" s="76"/>
      <c r="DA111" s="76"/>
      <c r="DB111" s="76"/>
      <c r="DC111" s="78"/>
      <c r="DD111" s="78"/>
    </row>
    <row r="112" spans="2:108" ht="21" hidden="1" thickBot="1" x14ac:dyDescent="0.25">
      <c r="G112" s="998"/>
      <c r="H112"/>
      <c r="I112"/>
      <c r="J112"/>
      <c r="K112"/>
      <c r="L112"/>
      <c r="M112"/>
      <c r="N112"/>
      <c r="O112" s="995"/>
      <c r="BN112" s="86"/>
      <c r="BO112" s="114"/>
      <c r="BP112" s="96">
        <v>27</v>
      </c>
      <c r="BQ112" s="78"/>
      <c r="BR112" s="78"/>
      <c r="BS112" s="78"/>
      <c r="BT112" s="78"/>
      <c r="BU112" s="78"/>
      <c r="BV112" s="78"/>
      <c r="BW112" s="78"/>
      <c r="BX112" s="78"/>
      <c r="BY112" s="78"/>
      <c r="BZ112" s="78"/>
      <c r="CA112" s="78"/>
      <c r="CB112" s="78"/>
      <c r="CC112" s="78"/>
      <c r="CD112" s="78"/>
      <c r="CE112" s="78"/>
      <c r="CF112" s="78"/>
      <c r="CG112" s="78"/>
      <c r="CH112" s="115"/>
      <c r="CI112" s="78"/>
      <c r="CJ112" s="116"/>
      <c r="CK112" s="120" t="b">
        <f>IF(CQ57=27,21)</f>
        <v>0</v>
      </c>
      <c r="CL112" s="121"/>
      <c r="CM112" s="121"/>
      <c r="CN112" s="122"/>
      <c r="CO112" s="121"/>
      <c r="CP112" s="121"/>
      <c r="CQ112" s="121"/>
      <c r="CR112" s="121"/>
      <c r="CS112" s="121"/>
      <c r="CT112" s="122"/>
      <c r="CU112" s="123"/>
      <c r="CV112" s="123"/>
      <c r="CW112" s="124" t="b">
        <f>IF(CQ57=27,33)</f>
        <v>0</v>
      </c>
      <c r="CX112" s="76"/>
      <c r="CY112" s="76"/>
      <c r="CZ112" s="76"/>
      <c r="DA112" s="76"/>
      <c r="DB112" s="76"/>
      <c r="DC112" s="78"/>
      <c r="DD112" s="78"/>
    </row>
    <row r="113" spans="7:143" ht="21" hidden="1" thickBot="1" x14ac:dyDescent="0.25">
      <c r="G113" s="998"/>
      <c r="H113"/>
      <c r="I113"/>
      <c r="J113"/>
      <c r="K113"/>
      <c r="L113"/>
      <c r="M113"/>
      <c r="N113"/>
      <c r="O113" s="995"/>
      <c r="BN113" s="86"/>
      <c r="BP113" s="96">
        <v>26</v>
      </c>
      <c r="BQ113" s="78"/>
      <c r="BR113" s="78"/>
      <c r="BS113" s="78"/>
      <c r="BT113" s="78"/>
      <c r="BU113" s="78"/>
      <c r="BV113" s="78"/>
      <c r="BW113" s="78"/>
      <c r="BX113" s="78"/>
      <c r="BY113" s="78"/>
      <c r="BZ113" s="78"/>
      <c r="CA113" s="78"/>
      <c r="CB113" s="78"/>
      <c r="CC113" s="78"/>
      <c r="CD113" s="78"/>
      <c r="CE113" s="78"/>
      <c r="CF113" s="78"/>
      <c r="CG113" s="78"/>
      <c r="CH113" s="115"/>
      <c r="CI113" s="78"/>
      <c r="CJ113" s="116"/>
      <c r="CK113" s="120" t="b">
        <f>IF(CP57=26,21)</f>
        <v>0</v>
      </c>
      <c r="CL113" s="122"/>
      <c r="CM113" s="121"/>
      <c r="CN113" s="121"/>
      <c r="CO113" s="121"/>
      <c r="CP113" s="121"/>
      <c r="CQ113" s="121"/>
      <c r="CR113" s="121"/>
      <c r="CS113" s="121"/>
      <c r="CT113" s="122"/>
      <c r="CU113" s="124" t="b">
        <f>IF(CP57=26,31)</f>
        <v>0</v>
      </c>
      <c r="CV113" s="76"/>
      <c r="CW113" s="76"/>
      <c r="CX113" s="76"/>
      <c r="CY113" s="76"/>
      <c r="CZ113" s="76"/>
      <c r="DA113" s="76"/>
      <c r="DB113" s="76"/>
      <c r="DC113" s="78"/>
      <c r="DD113" s="78"/>
    </row>
    <row r="114" spans="7:143" ht="21" hidden="1" thickBot="1" x14ac:dyDescent="0.25">
      <c r="G114" s="998"/>
      <c r="H114"/>
      <c r="I114"/>
      <c r="J114"/>
      <c r="K114"/>
      <c r="L114"/>
      <c r="M114"/>
      <c r="N114"/>
      <c r="O114" s="995"/>
      <c r="BN114" s="86"/>
      <c r="BO114" s="126"/>
      <c r="BP114" s="96">
        <v>25</v>
      </c>
      <c r="BQ114" s="78"/>
      <c r="BR114" s="78"/>
      <c r="BS114" s="78"/>
      <c r="BT114" s="78"/>
      <c r="BU114" s="78"/>
      <c r="BV114" s="78"/>
      <c r="BW114" s="78"/>
      <c r="BX114" s="78"/>
      <c r="BY114" s="78"/>
      <c r="BZ114" s="78"/>
      <c r="CA114" s="78"/>
      <c r="CC114" s="78"/>
      <c r="CD114" s="78"/>
      <c r="CE114" s="78"/>
      <c r="CF114" s="78"/>
      <c r="CG114" s="78"/>
      <c r="CH114" s="115"/>
      <c r="CI114" s="78"/>
      <c r="CK114" s="128" t="b">
        <f>IF(CO57=25,21)</f>
        <v>0</v>
      </c>
      <c r="CL114" s="121"/>
      <c r="CM114" s="121"/>
      <c r="CN114" s="121"/>
      <c r="CO114" s="121"/>
      <c r="CP114" s="121"/>
      <c r="CQ114" s="121"/>
      <c r="CR114" s="121"/>
      <c r="CS114" s="124" t="b">
        <f>IF(CO57=25,29)</f>
        <v>0</v>
      </c>
      <c r="CU114" s="76"/>
      <c r="CV114" s="76"/>
      <c r="CW114" s="76"/>
      <c r="CX114" s="76"/>
      <c r="CY114" s="76"/>
      <c r="CZ114" s="76"/>
      <c r="DA114" s="76"/>
      <c r="DB114" s="76"/>
      <c r="DC114" s="78"/>
      <c r="DD114" s="78"/>
    </row>
    <row r="115" spans="7:143" ht="21" hidden="1" thickBot="1" x14ac:dyDescent="0.25">
      <c r="G115" s="998"/>
      <c r="H115"/>
      <c r="I115"/>
      <c r="J115"/>
      <c r="K115"/>
      <c r="L115"/>
      <c r="M115"/>
      <c r="N115"/>
      <c r="O115" s="995"/>
      <c r="BN115" s="86"/>
      <c r="BO115" s="126"/>
      <c r="BP115" s="96">
        <v>24</v>
      </c>
      <c r="BQ115" s="78"/>
      <c r="BR115" s="78"/>
      <c r="BS115" s="78"/>
      <c r="BT115" s="78"/>
      <c r="BU115" s="78"/>
      <c r="BV115" s="78"/>
      <c r="BW115" s="78"/>
      <c r="BX115" s="78"/>
      <c r="BY115" s="78"/>
      <c r="BZ115" s="78"/>
      <c r="CA115" s="78"/>
      <c r="CB115" s="117" t="b">
        <f>IF(CN57=24,12)</f>
        <v>0</v>
      </c>
      <c r="CC115" s="111"/>
      <c r="CD115" s="111"/>
      <c r="CE115" s="111"/>
      <c r="CF115" s="111"/>
      <c r="CG115" s="111"/>
      <c r="CH115" s="118"/>
      <c r="CI115" s="111"/>
      <c r="CJ115" s="129"/>
      <c r="CK115" s="111"/>
      <c r="CL115" s="111"/>
      <c r="CM115" s="111"/>
      <c r="CN115" s="111"/>
      <c r="CO115" s="111"/>
      <c r="CP115" s="111"/>
      <c r="CQ115" s="111"/>
      <c r="CR115" s="111"/>
      <c r="CS115" s="111"/>
      <c r="CT115" s="118"/>
      <c r="CU115" s="119"/>
      <c r="CV115" s="119"/>
      <c r="CW115" s="119"/>
      <c r="CX115" s="119"/>
      <c r="CY115" s="119"/>
      <c r="CZ115" s="103" t="b">
        <f>IF(CN57=24,36)</f>
        <v>0</v>
      </c>
      <c r="DA115" s="76"/>
      <c r="DB115" s="76"/>
      <c r="DC115" s="78"/>
      <c r="DD115" s="78"/>
    </row>
    <row r="116" spans="7:143" ht="21" hidden="1" thickBot="1" x14ac:dyDescent="0.25">
      <c r="G116" s="998"/>
      <c r="H116"/>
      <c r="I116"/>
      <c r="J116"/>
      <c r="K116"/>
      <c r="L116"/>
      <c r="M116"/>
      <c r="N116"/>
      <c r="O116" s="995"/>
      <c r="BN116" s="86"/>
      <c r="BO116" s="126"/>
      <c r="BP116" s="96">
        <v>23</v>
      </c>
      <c r="BQ116" s="78"/>
      <c r="BR116" s="78"/>
      <c r="BS116" s="78"/>
      <c r="BT116" s="78"/>
      <c r="BU116" s="78"/>
      <c r="BV116" s="78"/>
      <c r="BW116" s="78"/>
      <c r="BX116" s="78"/>
      <c r="BY116" s="78"/>
      <c r="BZ116" s="78"/>
      <c r="CA116" s="78"/>
      <c r="CB116" s="120" t="b">
        <f>IF(CM57=23,12)</f>
        <v>0</v>
      </c>
      <c r="CC116" s="121"/>
      <c r="CD116" s="121"/>
      <c r="CE116" s="121"/>
      <c r="CF116" s="122"/>
      <c r="CG116" s="121"/>
      <c r="CH116" s="132"/>
      <c r="CI116" s="121"/>
      <c r="CJ116" s="133"/>
      <c r="CK116" s="121"/>
      <c r="CL116" s="121"/>
      <c r="CM116" s="121"/>
      <c r="CN116" s="121"/>
      <c r="CO116" s="121"/>
      <c r="CP116" s="121"/>
      <c r="CQ116" s="121"/>
      <c r="CR116" s="121"/>
      <c r="CS116" s="121"/>
      <c r="CT116" s="122"/>
      <c r="CU116" s="123"/>
      <c r="CV116" s="123"/>
      <c r="CW116" s="123"/>
      <c r="CX116" s="124" t="b">
        <f>IF(CM57=23,34)</f>
        <v>0</v>
      </c>
      <c r="CY116" s="76"/>
      <c r="CZ116" s="76"/>
      <c r="DA116" s="76"/>
      <c r="DB116" s="76"/>
      <c r="DC116" s="78"/>
      <c r="DD116" s="78"/>
    </row>
    <row r="117" spans="7:143" ht="21" hidden="1" thickBot="1" x14ac:dyDescent="0.25">
      <c r="G117" s="998"/>
      <c r="H117"/>
      <c r="I117"/>
      <c r="J117"/>
      <c r="K117"/>
      <c r="L117"/>
      <c r="M117"/>
      <c r="N117"/>
      <c r="O117" s="995"/>
      <c r="BN117" s="86"/>
      <c r="BO117" s="126"/>
      <c r="BP117" s="96">
        <v>22</v>
      </c>
      <c r="BQ117" s="76"/>
      <c r="BR117" s="76"/>
      <c r="BS117" s="76"/>
      <c r="BT117" s="76"/>
      <c r="BU117" s="76"/>
      <c r="BV117" s="76"/>
      <c r="BW117" s="76"/>
      <c r="BX117" s="76"/>
      <c r="BY117" s="76"/>
      <c r="BZ117" s="76"/>
      <c r="CA117" s="76"/>
      <c r="CB117" s="120" t="b">
        <f>IF(CL57=22,12)</f>
        <v>0</v>
      </c>
      <c r="CC117" s="123"/>
      <c r="CD117" s="123"/>
      <c r="CE117" s="123"/>
      <c r="CF117" s="122"/>
      <c r="CG117" s="123"/>
      <c r="CH117" s="134"/>
      <c r="CI117" s="123"/>
      <c r="CJ117" s="135"/>
      <c r="CK117" s="123"/>
      <c r="CL117" s="123"/>
      <c r="CM117" s="123"/>
      <c r="CN117" s="123"/>
      <c r="CO117" s="121"/>
      <c r="CP117" s="121"/>
      <c r="CQ117" s="122"/>
      <c r="CR117" s="121"/>
      <c r="CS117" s="121"/>
      <c r="CT117" s="121"/>
      <c r="CU117" s="121"/>
      <c r="CV117" s="124" t="b">
        <f>IF(CL57=22,32)</f>
        <v>0</v>
      </c>
      <c r="CW117" s="78"/>
      <c r="CX117" s="78"/>
      <c r="CY117" s="78"/>
      <c r="CZ117" s="78"/>
      <c r="DA117" s="78"/>
      <c r="DB117" s="78"/>
      <c r="DC117" s="78"/>
      <c r="DD117" s="78"/>
    </row>
    <row r="118" spans="7:143" ht="21" hidden="1" thickBot="1" x14ac:dyDescent="0.25">
      <c r="G118" s="998"/>
      <c r="H118"/>
      <c r="I118"/>
      <c r="J118"/>
      <c r="K118"/>
      <c r="L118"/>
      <c r="M118"/>
      <c r="N118"/>
      <c r="O118" s="995"/>
      <c r="BN118" s="86"/>
      <c r="BO118" s="126"/>
      <c r="BP118" s="96">
        <v>21</v>
      </c>
      <c r="BQ118" s="78"/>
      <c r="BR118" s="78"/>
      <c r="BS118" s="78"/>
      <c r="BT118" s="78"/>
      <c r="BU118" s="78"/>
      <c r="BV118" s="78"/>
      <c r="BW118" s="78"/>
      <c r="BX118" s="78"/>
      <c r="BY118" s="78"/>
      <c r="BZ118" s="78"/>
      <c r="CA118" s="78"/>
      <c r="CB118" s="120" t="b">
        <f>IF(CK57=21,12)</f>
        <v>0</v>
      </c>
      <c r="CC118" s="121"/>
      <c r="CD118" s="121"/>
      <c r="CE118" s="121"/>
      <c r="CF118" s="121"/>
      <c r="CG118" s="121"/>
      <c r="CH118" s="132"/>
      <c r="CI118" s="121"/>
      <c r="CJ118" s="133"/>
      <c r="CK118" s="121"/>
      <c r="CL118" s="121"/>
      <c r="CM118" s="121"/>
      <c r="CN118" s="121"/>
      <c r="CO118" s="121"/>
      <c r="CP118" s="121"/>
      <c r="CQ118" s="121"/>
      <c r="CR118" s="121"/>
      <c r="CS118" s="121"/>
      <c r="CT118" s="124" t="b">
        <f>IF(CK57=21,30)</f>
        <v>0</v>
      </c>
      <c r="CU118" s="76"/>
      <c r="CV118" s="76"/>
      <c r="CW118" s="76"/>
      <c r="CX118" s="76"/>
      <c r="CY118" s="76"/>
      <c r="CZ118" s="76"/>
      <c r="DA118" s="76"/>
      <c r="DB118" s="76"/>
      <c r="DC118" s="78"/>
      <c r="DD118" s="78"/>
    </row>
    <row r="119" spans="7:143" ht="21" hidden="1" thickBot="1" x14ac:dyDescent="0.25">
      <c r="G119" s="998"/>
      <c r="H119"/>
      <c r="I119"/>
      <c r="J119"/>
      <c r="K119"/>
      <c r="L119"/>
      <c r="M119"/>
      <c r="N119"/>
      <c r="O119" s="995"/>
      <c r="BN119" s="86"/>
      <c r="BO119" s="1091"/>
      <c r="BP119" s="96">
        <v>20</v>
      </c>
      <c r="BQ119" s="78"/>
      <c r="BR119" s="78"/>
      <c r="BS119" s="78"/>
      <c r="BT119" s="78"/>
      <c r="BU119" s="78"/>
      <c r="BV119" s="78"/>
      <c r="BW119" s="78"/>
      <c r="BX119" s="78"/>
      <c r="CA119" s="137"/>
      <c r="CB119" s="117" t="b">
        <f>IF(CJ57=20,12)</f>
        <v>0</v>
      </c>
      <c r="CC119" s="111"/>
      <c r="CD119" s="111"/>
      <c r="CE119" s="111"/>
      <c r="CF119" s="111"/>
      <c r="CG119" s="111"/>
      <c r="CH119" s="138"/>
      <c r="CI119" s="111"/>
      <c r="CJ119" s="129"/>
      <c r="CK119" s="111"/>
      <c r="CL119" s="111"/>
      <c r="CM119" s="111"/>
      <c r="CN119" s="111"/>
      <c r="CO119" s="111"/>
      <c r="CP119" s="111"/>
      <c r="CQ119" s="111"/>
      <c r="CR119" s="103" t="b">
        <f>IF(CJ57=20,28)</f>
        <v>0</v>
      </c>
      <c r="CS119" s="137"/>
      <c r="CU119" s="76"/>
      <c r="CV119" s="76"/>
      <c r="CW119" s="76"/>
      <c r="CX119" s="76"/>
      <c r="CY119" s="76"/>
      <c r="CZ119" s="76"/>
      <c r="DA119" s="76"/>
      <c r="DB119" s="76"/>
      <c r="DC119" s="78"/>
      <c r="DD119" s="78"/>
    </row>
    <row r="120" spans="7:143" ht="21" hidden="1" thickBot="1" x14ac:dyDescent="0.25">
      <c r="G120" s="998"/>
      <c r="H120"/>
      <c r="I120"/>
      <c r="J120"/>
      <c r="K120"/>
      <c r="L120"/>
      <c r="M120"/>
      <c r="N120"/>
      <c r="O120" s="995"/>
      <c r="BN120" s="86"/>
      <c r="BO120" s="1091"/>
      <c r="BP120" s="96">
        <v>19</v>
      </c>
      <c r="BQ120" s="78"/>
      <c r="BR120" s="78"/>
      <c r="BS120" s="78"/>
      <c r="BT120" s="78"/>
      <c r="BU120" s="78"/>
      <c r="BV120" s="78"/>
      <c r="BW120" s="78"/>
      <c r="BX120" s="78"/>
      <c r="BZ120" s="139"/>
      <c r="CA120" s="139"/>
      <c r="CB120" s="117" t="b">
        <f>IF(CI57=19,12)</f>
        <v>0</v>
      </c>
      <c r="CC120" s="119"/>
      <c r="CD120" s="119"/>
      <c r="CE120" s="118"/>
      <c r="CF120" s="119"/>
      <c r="CG120" s="119"/>
      <c r="CH120" s="140"/>
      <c r="CI120" s="119"/>
      <c r="CJ120" s="141"/>
      <c r="CK120" s="118"/>
      <c r="CL120" s="119"/>
      <c r="CM120" s="119"/>
      <c r="CN120" s="119"/>
      <c r="CO120" s="111"/>
      <c r="CP120" s="103" t="b">
        <f>IF(CI57=19,26)</f>
        <v>0</v>
      </c>
      <c r="CQ120" s="142"/>
      <c r="CR120" s="137"/>
      <c r="CT120" s="78"/>
      <c r="CU120" s="78"/>
      <c r="CV120" s="78"/>
      <c r="CW120" s="78"/>
      <c r="CX120" s="78"/>
      <c r="CY120" s="78"/>
      <c r="CZ120" s="78"/>
      <c r="DA120" s="78"/>
      <c r="DB120" s="78"/>
      <c r="DC120" s="78"/>
      <c r="DD120" s="78"/>
    </row>
    <row r="121" spans="7:143" ht="21" hidden="1" thickBot="1" x14ac:dyDescent="0.25">
      <c r="G121" s="998"/>
      <c r="H121"/>
      <c r="I121"/>
      <c r="J121"/>
      <c r="K121"/>
      <c r="L121"/>
      <c r="M121"/>
      <c r="N121"/>
      <c r="O121" s="995"/>
      <c r="BN121" s="86"/>
      <c r="BO121" s="1091"/>
      <c r="BP121" s="96">
        <v>18</v>
      </c>
      <c r="BQ121" s="76"/>
      <c r="BR121" s="76"/>
      <c r="BS121" s="76"/>
      <c r="BT121" s="76"/>
      <c r="BU121" s="76"/>
      <c r="BV121" s="76"/>
      <c r="BW121" s="76"/>
      <c r="BX121" s="76"/>
      <c r="BZ121" s="117">
        <f>IF(CH57=18,10)</f>
        <v>10</v>
      </c>
      <c r="CA121" s="119"/>
      <c r="CB121" s="119"/>
      <c r="CC121" s="119"/>
      <c r="CD121" s="119"/>
      <c r="CE121" s="118"/>
      <c r="CF121" s="119"/>
      <c r="CG121" s="119"/>
      <c r="CH121" s="140"/>
      <c r="CI121" s="119"/>
      <c r="CJ121" s="141"/>
      <c r="CK121" s="118"/>
      <c r="CL121" s="119"/>
      <c r="CM121" s="119"/>
      <c r="CN121" s="119"/>
      <c r="CO121" s="111"/>
      <c r="CP121" s="103">
        <f>IF(CH57=18,26)</f>
        <v>26</v>
      </c>
      <c r="CR121" s="78"/>
      <c r="CS121" s="78"/>
      <c r="CT121" s="78"/>
      <c r="CU121" s="78"/>
      <c r="CV121" s="78"/>
      <c r="CW121" s="78"/>
      <c r="CX121" s="78"/>
      <c r="CY121" s="78"/>
      <c r="CZ121" s="78"/>
      <c r="DA121" s="78"/>
      <c r="DB121" s="78"/>
      <c r="DC121" s="78"/>
      <c r="DD121" s="78"/>
    </row>
    <row r="122" spans="7:143" ht="21" hidden="1" thickBot="1" x14ac:dyDescent="0.25">
      <c r="G122" s="998"/>
      <c r="H122"/>
      <c r="I122"/>
      <c r="J122"/>
      <c r="K122"/>
      <c r="L122"/>
      <c r="M122"/>
      <c r="N122"/>
      <c r="O122" s="995"/>
      <c r="BN122" s="86"/>
      <c r="BO122" s="1091"/>
      <c r="BP122" s="96">
        <v>17</v>
      </c>
      <c r="BQ122" s="76"/>
      <c r="BR122" s="76"/>
      <c r="BS122" s="76"/>
      <c r="BT122" s="76"/>
      <c r="BU122" s="76"/>
      <c r="BV122" s="76"/>
      <c r="BW122" s="76"/>
      <c r="BX122" s="117" t="b">
        <f>IF(CG57=17,8)</f>
        <v>0</v>
      </c>
      <c r="BY122" s="118"/>
      <c r="BZ122" s="118"/>
      <c r="CA122" s="119"/>
      <c r="CB122" s="119"/>
      <c r="CC122" s="119"/>
      <c r="CD122" s="119"/>
      <c r="CE122" s="119"/>
      <c r="CF122" s="119"/>
      <c r="CG122" s="119"/>
      <c r="CH122" s="140"/>
      <c r="CI122" s="119"/>
      <c r="CJ122" s="141"/>
      <c r="CK122" s="119"/>
      <c r="CL122" s="119"/>
      <c r="CM122" s="119"/>
      <c r="CN122" s="118"/>
      <c r="CO122" s="118"/>
      <c r="CP122" s="103" t="b">
        <f>IF(CG57=17,26)</f>
        <v>0</v>
      </c>
      <c r="CQ122" s="78"/>
      <c r="CR122" s="78"/>
      <c r="CS122" s="78"/>
      <c r="CT122" s="78"/>
      <c r="CU122" s="78"/>
      <c r="CV122" s="78"/>
      <c r="CW122" s="78"/>
      <c r="CX122" s="78"/>
      <c r="CY122" s="78"/>
      <c r="CZ122" s="78"/>
      <c r="DA122" s="78"/>
      <c r="DB122" s="78"/>
      <c r="DC122" s="78"/>
      <c r="DD122" s="78"/>
      <c r="DF122" s="1814"/>
      <c r="DG122" s="1814"/>
      <c r="DH122" s="76"/>
      <c r="DI122" s="76"/>
      <c r="DJ122" s="77"/>
      <c r="DK122" s="78"/>
      <c r="DL122" s="78"/>
      <c r="DM122" s="78"/>
      <c r="DN122" s="78"/>
      <c r="DO122" s="78"/>
      <c r="DP122" s="78"/>
      <c r="DQ122" s="78"/>
      <c r="DR122" s="78"/>
      <c r="DS122" s="78"/>
      <c r="DT122" s="78"/>
      <c r="DU122" s="78"/>
      <c r="DV122" s="78"/>
      <c r="DW122" s="78"/>
      <c r="DX122" s="78"/>
      <c r="DY122" s="78"/>
      <c r="DZ122" s="78"/>
      <c r="EA122" s="78"/>
      <c r="EB122" s="78"/>
      <c r="EC122" s="78"/>
      <c r="ED122" s="78"/>
      <c r="EE122" s="78"/>
      <c r="EF122" s="78"/>
      <c r="EG122" s="78"/>
      <c r="EH122" s="78"/>
      <c r="EI122" s="78"/>
      <c r="EJ122" s="78"/>
      <c r="EK122" s="78"/>
      <c r="EL122" s="74"/>
      <c r="EM122" s="74"/>
    </row>
    <row r="123" spans="7:143" ht="21" hidden="1" thickBot="1" x14ac:dyDescent="0.25">
      <c r="G123" s="998"/>
      <c r="H123"/>
      <c r="I123"/>
      <c r="J123"/>
      <c r="K123"/>
      <c r="L123"/>
      <c r="M123"/>
      <c r="N123"/>
      <c r="O123" s="995"/>
      <c r="BN123" s="86"/>
      <c r="BO123" s="1091"/>
      <c r="BP123" s="96">
        <v>16</v>
      </c>
      <c r="BQ123" s="76"/>
      <c r="BR123" s="76"/>
      <c r="BS123" s="76"/>
      <c r="BT123" s="76"/>
      <c r="BU123" s="76"/>
      <c r="BV123" s="145" t="b">
        <f>IF(CF57=16,6)</f>
        <v>0</v>
      </c>
      <c r="BW123" s="146"/>
      <c r="BX123" s="147"/>
      <c r="BY123" s="147"/>
      <c r="BZ123" s="146"/>
      <c r="CA123" s="146"/>
      <c r="CB123" s="146"/>
      <c r="CC123" s="146"/>
      <c r="CD123" s="146"/>
      <c r="CE123" s="146"/>
      <c r="CF123" s="146"/>
      <c r="CG123" s="146"/>
      <c r="CH123" s="148"/>
      <c r="CI123" s="146"/>
      <c r="CJ123" s="149"/>
      <c r="CK123" s="146"/>
      <c r="CL123" s="146"/>
      <c r="CM123" s="147"/>
      <c r="CN123" s="147"/>
      <c r="CO123" s="150"/>
      <c r="CP123" s="151" t="b">
        <f>IF(CF57=16,26)</f>
        <v>0</v>
      </c>
      <c r="CQ123" s="78"/>
      <c r="CR123" s="78"/>
      <c r="CS123" s="78"/>
      <c r="CT123" s="78"/>
      <c r="CU123" s="78"/>
      <c r="CV123" s="78"/>
      <c r="CW123" s="78"/>
      <c r="CX123" s="78"/>
      <c r="CY123" s="78"/>
      <c r="CZ123" s="78"/>
      <c r="DA123" s="78"/>
      <c r="DB123" s="78"/>
      <c r="DC123" s="78"/>
      <c r="DD123" s="78"/>
      <c r="EJ123" s="78"/>
      <c r="EK123" s="78"/>
    </row>
    <row r="124" spans="7:143" ht="148" hidden="1" thickBot="1" x14ac:dyDescent="0.25"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BN124" s="86"/>
      <c r="BO124" s="1091"/>
      <c r="BP124" s="96">
        <v>15</v>
      </c>
      <c r="BQ124" s="76"/>
      <c r="BR124" s="76"/>
      <c r="BS124" s="76"/>
      <c r="BT124" s="117" t="b">
        <f>IF(CE57=15,4)</f>
        <v>0</v>
      </c>
      <c r="BU124" s="119"/>
      <c r="BV124" s="119"/>
      <c r="BW124" s="119"/>
      <c r="BX124" s="118"/>
      <c r="BY124" s="119"/>
      <c r="BZ124" s="119"/>
      <c r="CA124" s="118"/>
      <c r="CB124" s="119"/>
      <c r="CC124" s="119"/>
      <c r="CD124" s="119"/>
      <c r="CE124" s="119"/>
      <c r="CF124" s="119"/>
      <c r="CG124" s="119"/>
      <c r="CH124" s="140"/>
      <c r="CI124" s="118"/>
      <c r="CJ124" s="141"/>
      <c r="CK124" s="119"/>
      <c r="CL124" s="118"/>
      <c r="CM124" s="119"/>
      <c r="CN124" s="119"/>
      <c r="CO124" s="111"/>
      <c r="CP124" s="103" t="b">
        <f>IF(CE57=15,26)</f>
        <v>0</v>
      </c>
      <c r="CQ124" s="78"/>
      <c r="CR124" s="78"/>
      <c r="CS124" s="78"/>
      <c r="CT124" s="78"/>
      <c r="CU124" s="78"/>
      <c r="CV124" s="78"/>
      <c r="CW124" s="78"/>
      <c r="CX124" s="78"/>
      <c r="CY124" s="78"/>
      <c r="CZ124" s="78"/>
      <c r="DA124" s="78"/>
      <c r="DB124" s="78"/>
      <c r="DC124" s="78"/>
      <c r="DD124" s="78"/>
      <c r="EJ124" s="78"/>
      <c r="EK124" s="78"/>
    </row>
    <row r="125" spans="7:143" ht="106" hidden="1" thickBot="1" x14ac:dyDescent="0.25"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BN125" s="86"/>
      <c r="BO125" s="1091"/>
      <c r="BP125" s="96">
        <v>14</v>
      </c>
      <c r="BQ125" s="76"/>
      <c r="BR125" s="117" t="b">
        <f>IF(CD57=14,2)</f>
        <v>0</v>
      </c>
      <c r="BS125" s="119"/>
      <c r="BT125" s="119"/>
      <c r="BU125" s="119"/>
      <c r="BV125" s="118"/>
      <c r="BW125" s="119"/>
      <c r="BX125" s="119"/>
      <c r="BY125" s="118"/>
      <c r="BZ125" s="119"/>
      <c r="CA125" s="119"/>
      <c r="CB125" s="119"/>
      <c r="CC125" s="119"/>
      <c r="CD125" s="119"/>
      <c r="CE125" s="119"/>
      <c r="CF125" s="119"/>
      <c r="CG125" s="119"/>
      <c r="CH125" s="140"/>
      <c r="CI125" s="118"/>
      <c r="CJ125" s="141"/>
      <c r="CK125" s="119"/>
      <c r="CL125" s="118"/>
      <c r="CM125" s="119"/>
      <c r="CN125" s="119"/>
      <c r="CO125" s="111"/>
      <c r="CP125" s="103" t="b">
        <f>IF(CD57=14,26)</f>
        <v>0</v>
      </c>
      <c r="CQ125" s="78"/>
      <c r="CR125" s="78"/>
      <c r="CS125" s="78"/>
      <c r="CT125" s="78"/>
      <c r="CU125" s="78"/>
      <c r="CV125" s="78"/>
      <c r="CW125" s="78"/>
      <c r="CX125" s="78"/>
      <c r="CY125" s="78"/>
      <c r="CZ125" s="78"/>
      <c r="DA125" s="78"/>
      <c r="DB125" s="78"/>
      <c r="DC125" s="78"/>
      <c r="DD125" s="78"/>
      <c r="EJ125" s="78"/>
      <c r="EK125" s="78"/>
    </row>
    <row r="126" spans="7:143" ht="121" hidden="1" thickBot="1" x14ac:dyDescent="0.3">
      <c r="G126" s="998"/>
      <c r="H126" s="1087" t="s">
        <v>265</v>
      </c>
      <c r="I126" s="1080">
        <f>+MIN(K31:L32)</f>
        <v>62.048077244788452</v>
      </c>
      <c r="J126" s="1080">
        <f>+MIN(J37:K38)</f>
        <v>83.278441854199286</v>
      </c>
      <c r="K126" s="1082">
        <f>+MIN(J43:L44)</f>
        <v>88.495575221238937</v>
      </c>
      <c r="L126" s="1083">
        <f>+MIN(J49:L50)</f>
        <v>38.291354663036074</v>
      </c>
      <c r="M126" s="1084">
        <f>+MIN(J55:L56)</f>
        <v>88.495575221238937</v>
      </c>
      <c r="N126"/>
      <c r="O126" s="995"/>
      <c r="BN126" s="86"/>
      <c r="BO126" s="1091"/>
      <c r="BP126" s="96">
        <v>13</v>
      </c>
      <c r="BQ126" s="76"/>
      <c r="BR126" s="76"/>
      <c r="BS126" s="76"/>
      <c r="BU126" s="152"/>
      <c r="BV126" s="152"/>
      <c r="BW126" s="91"/>
      <c r="BX126" s="152"/>
      <c r="BY126" s="120" t="b">
        <f>IF(CC57=13,9)</f>
        <v>0</v>
      </c>
      <c r="BZ126" s="123"/>
      <c r="CA126" s="123"/>
      <c r="CB126" s="123"/>
      <c r="CC126" s="123"/>
      <c r="CD126" s="123"/>
      <c r="CE126" s="123"/>
      <c r="CF126" s="123"/>
      <c r="CG126" s="124" t="b">
        <f>IF(CC57=13,17)</f>
        <v>0</v>
      </c>
      <c r="CH126" s="153"/>
      <c r="CI126" s="91"/>
      <c r="CJ126" s="154"/>
      <c r="CK126" s="152"/>
      <c r="CM126" s="76"/>
      <c r="CN126" s="76"/>
      <c r="CO126" s="78"/>
      <c r="CP126" s="78"/>
      <c r="CQ126" s="78"/>
      <c r="CR126" s="78"/>
      <c r="CS126" s="78"/>
      <c r="CT126" s="78"/>
      <c r="CU126" s="78"/>
      <c r="CV126" s="78"/>
      <c r="CW126" s="78"/>
      <c r="CX126" s="78"/>
      <c r="CY126" s="78"/>
      <c r="CZ126" s="78"/>
      <c r="DA126" s="78"/>
      <c r="DB126" s="78"/>
      <c r="DC126" s="78"/>
      <c r="DD126" s="78"/>
      <c r="EJ126" s="78"/>
      <c r="EK126" s="78"/>
    </row>
    <row r="127" spans="7:143" ht="21" hidden="1" thickBot="1" x14ac:dyDescent="0.25">
      <c r="G127" s="1011"/>
      <c r="H127" s="131"/>
      <c r="I127" s="131"/>
      <c r="J127" s="131"/>
      <c r="K127" s="131"/>
      <c r="L127" s="131"/>
      <c r="M127" s="131"/>
      <c r="N127" s="131"/>
      <c r="O127" s="1012"/>
      <c r="BN127" s="86"/>
      <c r="BO127" s="1091"/>
      <c r="BP127" s="96">
        <v>12</v>
      </c>
      <c r="BQ127" s="76"/>
      <c r="BS127" s="139"/>
      <c r="BT127" s="139"/>
      <c r="BU127" s="142"/>
      <c r="BV127" s="139"/>
      <c r="BW127" s="117" t="b">
        <f>IF(CB57=12,7)</f>
        <v>0</v>
      </c>
      <c r="BX127" s="119"/>
      <c r="BY127" s="119"/>
      <c r="BZ127" s="119"/>
      <c r="CA127" s="119"/>
      <c r="CB127" s="119"/>
      <c r="CC127" s="119"/>
      <c r="CD127" s="119"/>
      <c r="CE127" s="119"/>
      <c r="CF127" s="119"/>
      <c r="CG127" s="103" t="b">
        <f>IF(CB57=12,17)</f>
        <v>0</v>
      </c>
      <c r="CH127" s="155"/>
      <c r="CI127" s="142"/>
      <c r="CJ127" s="156"/>
      <c r="CK127" s="139"/>
      <c r="CM127" s="76"/>
      <c r="CN127" s="76"/>
      <c r="CO127" s="78"/>
      <c r="CP127" s="78"/>
      <c r="CQ127" s="78"/>
      <c r="CR127" s="78"/>
      <c r="CS127" s="78"/>
      <c r="CT127" s="78"/>
      <c r="CU127" s="78"/>
      <c r="CV127" s="78"/>
      <c r="CW127" s="78"/>
      <c r="CX127" s="78"/>
      <c r="CY127" s="78"/>
      <c r="CZ127" s="78"/>
      <c r="DA127" s="78"/>
      <c r="DB127" s="78"/>
      <c r="DC127" s="78"/>
      <c r="DD127" s="78"/>
      <c r="DF127" s="107"/>
      <c r="DG127" s="107"/>
      <c r="DH127" s="107"/>
      <c r="DI127" s="107"/>
      <c r="DJ127" s="107"/>
      <c r="DK127" s="108"/>
      <c r="DL127" s="107"/>
      <c r="DM127" s="107"/>
      <c r="DN127" s="107"/>
      <c r="DO127" s="107"/>
      <c r="DP127" s="107"/>
      <c r="DQ127" s="107"/>
      <c r="DR127" s="107"/>
      <c r="DS127" s="107"/>
      <c r="DT127" s="107"/>
      <c r="DU127" s="107"/>
      <c r="DV127" s="107"/>
      <c r="DW127" s="107"/>
      <c r="DX127" s="107"/>
      <c r="DY127" s="107"/>
      <c r="DZ127" s="107"/>
      <c r="EA127" s="107"/>
      <c r="EB127" s="107"/>
      <c r="EC127" s="108"/>
      <c r="ED127" s="78"/>
      <c r="EE127" s="78"/>
      <c r="EF127" s="78"/>
      <c r="EG127" s="78"/>
      <c r="EH127" s="78"/>
      <c r="EI127" s="78"/>
      <c r="EJ127" s="78"/>
      <c r="EK127" s="78"/>
    </row>
    <row r="128" spans="7:143" ht="31" hidden="1" thickBot="1" x14ac:dyDescent="0.25">
      <c r="G128" s="998"/>
      <c r="H128" s="201"/>
      <c r="I128" s="201"/>
      <c r="J128" s="201"/>
      <c r="K128" s="201"/>
      <c r="L128" s="201"/>
      <c r="M128" s="201"/>
      <c r="N128" s="201"/>
      <c r="O128" s="1013"/>
      <c r="BN128" s="86"/>
      <c r="BO128" s="1091"/>
      <c r="BP128" s="96">
        <v>11</v>
      </c>
      <c r="BR128" s="152"/>
      <c r="BS128" s="91"/>
      <c r="BT128" s="152"/>
      <c r="BU128" s="117" t="b">
        <f>IF(CA57=11,5)</f>
        <v>0</v>
      </c>
      <c r="BV128" s="119"/>
      <c r="BW128" s="119"/>
      <c r="BX128" s="119"/>
      <c r="BY128" s="119"/>
      <c r="BZ128" s="119"/>
      <c r="CA128" s="119"/>
      <c r="CB128" s="119"/>
      <c r="CC128" s="119"/>
      <c r="CD128" s="119"/>
      <c r="CE128" s="119"/>
      <c r="CF128" s="119"/>
      <c r="CG128" s="103" t="b">
        <f>IF(CA57=11,17)</f>
        <v>0</v>
      </c>
      <c r="CH128" s="153"/>
      <c r="CI128" s="91"/>
      <c r="CJ128" s="154"/>
      <c r="CL128" s="76"/>
      <c r="CM128" s="76"/>
      <c r="CN128" s="76"/>
      <c r="CO128" s="78"/>
      <c r="CP128" s="78"/>
      <c r="CQ128" s="78"/>
      <c r="CR128" s="78"/>
      <c r="CS128" s="78"/>
      <c r="CT128" s="78"/>
      <c r="CU128" s="78"/>
      <c r="CV128" s="78"/>
      <c r="CW128" s="78"/>
      <c r="CX128" s="78"/>
      <c r="CY128" s="78"/>
      <c r="CZ128" s="78"/>
      <c r="DA128" s="78"/>
      <c r="DB128" s="78"/>
      <c r="DC128" s="78"/>
      <c r="DD128" s="78"/>
      <c r="DF128" s="107"/>
      <c r="DG128" s="107"/>
      <c r="DH128" s="107"/>
      <c r="DI128" s="107"/>
      <c r="DJ128" s="107"/>
      <c r="DK128" s="108"/>
      <c r="DL128" s="107"/>
      <c r="DM128" s="107"/>
      <c r="DN128" s="107"/>
      <c r="DO128" s="107"/>
      <c r="DP128" s="107"/>
      <c r="DQ128" s="107"/>
      <c r="DR128" s="107"/>
      <c r="DS128" s="107"/>
      <c r="DT128" s="107"/>
      <c r="DU128" s="107"/>
      <c r="DV128" s="107"/>
      <c r="DW128" s="107"/>
      <c r="DX128" s="107"/>
      <c r="DY128" s="107"/>
      <c r="DZ128" s="107"/>
      <c r="EA128" s="107"/>
      <c r="EB128" s="107"/>
      <c r="EC128" s="108"/>
      <c r="ED128" s="78"/>
      <c r="EE128" s="78"/>
      <c r="EF128" s="78"/>
      <c r="EG128" s="78"/>
      <c r="EH128" s="78"/>
      <c r="EI128" s="78"/>
      <c r="EJ128" s="78"/>
      <c r="EK128" s="78"/>
    </row>
    <row r="129" spans="2:141" ht="21" hidden="1" thickBot="1" x14ac:dyDescent="0.25">
      <c r="G129" s="998"/>
      <c r="H129"/>
      <c r="I129"/>
      <c r="J129"/>
      <c r="K129"/>
      <c r="L129"/>
      <c r="M129"/>
      <c r="N129"/>
      <c r="O129" s="995"/>
      <c r="BN129" s="86"/>
      <c r="BO129" s="1091"/>
      <c r="BP129" s="96">
        <v>10</v>
      </c>
      <c r="BR129" s="152"/>
      <c r="BS129" s="117" t="b">
        <f>IF(BZ57=10,3)</f>
        <v>0</v>
      </c>
      <c r="BT129" s="119"/>
      <c r="BU129" s="119"/>
      <c r="BV129" s="119"/>
      <c r="BW129" s="119"/>
      <c r="BX129" s="119"/>
      <c r="BY129" s="119"/>
      <c r="BZ129" s="119"/>
      <c r="CA129" s="119"/>
      <c r="CB129" s="119"/>
      <c r="CC129" s="119"/>
      <c r="CD129" s="119"/>
      <c r="CE129" s="119"/>
      <c r="CF129" s="119"/>
      <c r="CG129" s="103" t="b">
        <f>IF(BZ57=10,17)</f>
        <v>0</v>
      </c>
      <c r="CH129" s="153"/>
      <c r="CJ129" s="157"/>
      <c r="CK129" s="76"/>
      <c r="CL129" s="76"/>
      <c r="CM129" s="76"/>
      <c r="CN129" s="76"/>
      <c r="CO129" s="78"/>
      <c r="CP129" s="78"/>
      <c r="CQ129" s="78"/>
      <c r="CR129" s="78"/>
      <c r="CS129" s="78"/>
      <c r="CT129" s="78"/>
      <c r="CU129" s="78"/>
      <c r="CV129" s="78"/>
      <c r="CW129" s="78"/>
      <c r="CX129" s="78"/>
      <c r="CY129" s="78"/>
      <c r="CZ129" s="78"/>
      <c r="DA129" s="78"/>
      <c r="DB129" s="78"/>
      <c r="DC129" s="78"/>
      <c r="DD129" s="78"/>
      <c r="EJ129" s="78"/>
      <c r="EK129" s="78"/>
    </row>
    <row r="130" spans="2:141" ht="24" hidden="1" thickBot="1" x14ac:dyDescent="0.3"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BN130" s="86"/>
      <c r="BO130" s="1091"/>
      <c r="BP130" s="96">
        <v>9</v>
      </c>
      <c r="BQ130" s="117" t="b">
        <f>IF(BY57=9,1)</f>
        <v>0</v>
      </c>
      <c r="BR130" s="119"/>
      <c r="BS130" s="119"/>
      <c r="BT130" s="119"/>
      <c r="BU130" s="119"/>
      <c r="BV130" s="119"/>
      <c r="BW130" s="119"/>
      <c r="BX130" s="119"/>
      <c r="BY130" s="119"/>
      <c r="BZ130" s="119"/>
      <c r="CA130" s="119"/>
      <c r="CB130" s="119"/>
      <c r="CC130" s="119"/>
      <c r="CD130" s="119"/>
      <c r="CE130" s="119"/>
      <c r="CF130" s="119"/>
      <c r="CG130" s="103" t="b">
        <f>IF(BY57=9,17)</f>
        <v>0</v>
      </c>
      <c r="CH130" s="76"/>
      <c r="CI130" s="76"/>
      <c r="CJ130" s="157"/>
      <c r="CK130" s="76"/>
      <c r="CL130" s="76"/>
      <c r="CM130" s="76"/>
      <c r="CN130" s="76"/>
      <c r="CO130" s="78"/>
      <c r="CP130" s="78"/>
      <c r="CQ130" s="78"/>
      <c r="CR130" s="78"/>
      <c r="CS130" s="78"/>
      <c r="CT130" s="78"/>
      <c r="CU130" s="78"/>
      <c r="CV130" s="78"/>
      <c r="CW130" s="78"/>
      <c r="CX130" s="78"/>
      <c r="CY130" s="78"/>
      <c r="CZ130" s="78"/>
      <c r="DA130" s="78"/>
      <c r="DB130" s="78"/>
      <c r="DC130" s="78"/>
      <c r="DD130" s="78"/>
      <c r="EJ130" s="78"/>
      <c r="EK130" s="78"/>
    </row>
    <row r="131" spans="2:141" ht="24" hidden="1" thickBot="1" x14ac:dyDescent="0.3">
      <c r="G131" s="1014"/>
      <c r="H131" s="209"/>
      <c r="I131" s="1085">
        <f>COUNTIF(CK138:DA138,"&gt;0")</f>
        <v>1</v>
      </c>
      <c r="J131" s="1085">
        <f>COUNTIF(BQ138:CG138,"&gt;0")</f>
        <v>1</v>
      </c>
      <c r="K131" s="1085" t="b">
        <f>AND(IF(SUM(BQ140:CA140)&gt;0,1,0),IF(CP140="6  ADS ",1,0))</f>
        <v>1</v>
      </c>
      <c r="L131" s="1085" t="b">
        <f>AND(IF(SUM(CQ140:DA140)&gt;0,1,0),IF(CB140="6  ADS ",1,0))</f>
        <v>0</v>
      </c>
      <c r="M131" s="1085" t="b">
        <f>AND(IF(CP140="6  ADS ",1,0),IF(CB140="6  ADS ",1,0))</f>
        <v>0</v>
      </c>
      <c r="N131" s="209"/>
      <c r="O131" s="1015"/>
      <c r="BN131" s="86"/>
      <c r="BO131" s="1091"/>
      <c r="BP131" s="96">
        <v>8</v>
      </c>
      <c r="BQ131" s="117" t="b">
        <f>IF(BX57=8,1)</f>
        <v>0</v>
      </c>
      <c r="BR131" s="119"/>
      <c r="BS131" s="118"/>
      <c r="BT131" s="119"/>
      <c r="BU131" s="119"/>
      <c r="BV131" s="119"/>
      <c r="BW131" s="119"/>
      <c r="BX131" s="119"/>
      <c r="BY131" s="119"/>
      <c r="BZ131" s="119"/>
      <c r="CA131" s="119"/>
      <c r="CB131" s="119"/>
      <c r="CC131" s="118"/>
      <c r="CD131" s="119"/>
      <c r="CE131" s="103" t="b">
        <f>IF(BX57=8,15)</f>
        <v>0</v>
      </c>
      <c r="CF131" s="76"/>
      <c r="CG131" s="76"/>
      <c r="CH131" s="158"/>
      <c r="CI131" s="76"/>
      <c r="CJ131" s="157"/>
      <c r="CK131" s="76"/>
      <c r="CL131" s="76"/>
      <c r="CM131" s="76"/>
      <c r="CN131" s="76"/>
      <c r="CO131" s="78"/>
      <c r="CP131" s="78"/>
      <c r="CQ131" s="78"/>
      <c r="CR131" s="78"/>
      <c r="CS131" s="78"/>
      <c r="CT131" s="78"/>
      <c r="CU131" s="78"/>
      <c r="CV131" s="78"/>
      <c r="CW131" s="78"/>
      <c r="CX131" s="78"/>
      <c r="CY131" s="78"/>
      <c r="CZ131" s="78"/>
      <c r="DA131" s="78"/>
      <c r="DB131" s="78"/>
      <c r="DC131" s="78"/>
      <c r="DD131" s="78"/>
      <c r="EJ131" s="78"/>
      <c r="EK131" s="78"/>
    </row>
    <row r="132" spans="2:141" ht="24" hidden="1" thickBot="1" x14ac:dyDescent="0.3">
      <c r="G132" s="1016"/>
      <c r="H132" s="1017"/>
      <c r="I132" s="1086">
        <f>IF(I131=2,I126,0)</f>
        <v>0</v>
      </c>
      <c r="J132" s="1086">
        <f>IF(J131=2,J126,0)</f>
        <v>0</v>
      </c>
      <c r="K132" s="1086">
        <f t="shared" ref="K132:M132" si="3">IF(K131=TRUE,K126,0)</f>
        <v>88.495575221238937</v>
      </c>
      <c r="L132" s="1086">
        <f t="shared" si="3"/>
        <v>0</v>
      </c>
      <c r="M132" s="1086">
        <f t="shared" si="3"/>
        <v>0</v>
      </c>
      <c r="N132" s="1017"/>
      <c r="O132" s="1018"/>
      <c r="BN132" s="86"/>
      <c r="BO132" s="1091"/>
      <c r="BP132" s="96">
        <v>7</v>
      </c>
      <c r="BQ132" s="117" t="b">
        <f>IF(BW57=7,1)</f>
        <v>0</v>
      </c>
      <c r="BR132" s="118"/>
      <c r="BS132" s="119"/>
      <c r="BT132" s="119"/>
      <c r="BU132" s="119"/>
      <c r="BV132" s="119"/>
      <c r="BW132" s="119"/>
      <c r="BX132" s="119"/>
      <c r="BY132" s="119"/>
      <c r="BZ132" s="119"/>
      <c r="CA132" s="118"/>
      <c r="CB132" s="118"/>
      <c r="CC132" s="103" t="b">
        <f>IF(BW57=7,13)</f>
        <v>0</v>
      </c>
      <c r="CD132" s="76"/>
      <c r="CE132" s="76"/>
      <c r="CF132" s="76"/>
      <c r="CG132" s="76"/>
      <c r="CH132" s="158"/>
      <c r="CI132" s="76"/>
      <c r="CJ132" s="157"/>
      <c r="CK132" s="76"/>
      <c r="CL132" s="76"/>
      <c r="CM132" s="76"/>
      <c r="CN132" s="76"/>
      <c r="CO132" s="78"/>
      <c r="CP132" s="78"/>
      <c r="CQ132" s="78"/>
      <c r="CR132" s="78"/>
      <c r="CS132" s="78"/>
      <c r="CT132" s="78"/>
      <c r="CU132" s="78"/>
      <c r="CV132" s="78"/>
      <c r="CW132" s="78"/>
      <c r="CX132" s="78"/>
      <c r="CY132" s="78"/>
      <c r="CZ132" s="78"/>
      <c r="DA132" s="78"/>
      <c r="DB132" s="78"/>
      <c r="DC132" s="78"/>
      <c r="DD132" s="78"/>
      <c r="EJ132" s="78"/>
      <c r="EK132" s="78"/>
    </row>
    <row r="133" spans="2:141" ht="21" hidden="1" thickBot="1" x14ac:dyDescent="0.25">
      <c r="BN133" s="86"/>
      <c r="BO133" s="1091"/>
      <c r="BP133" s="96">
        <v>6</v>
      </c>
      <c r="BQ133" s="120" t="b">
        <f>IF(BV57=6,1)</f>
        <v>0</v>
      </c>
      <c r="BR133" s="123"/>
      <c r="BS133" s="123"/>
      <c r="BT133" s="123"/>
      <c r="BU133" s="123"/>
      <c r="BV133" s="123"/>
      <c r="BW133" s="123"/>
      <c r="BX133" s="123"/>
      <c r="BY133" s="123"/>
      <c r="BZ133" s="123"/>
      <c r="CA133" s="124" t="b">
        <f>IF(BV57=6,11)</f>
        <v>0</v>
      </c>
      <c r="CB133" s="76"/>
      <c r="CC133" s="76"/>
      <c r="CD133" s="76"/>
      <c r="CE133" s="76"/>
      <c r="CF133" s="76"/>
      <c r="CG133" s="76"/>
      <c r="CH133" s="158"/>
      <c r="CI133" s="76"/>
      <c r="CJ133" s="157"/>
      <c r="CK133" s="76"/>
      <c r="CL133" s="76"/>
      <c r="CM133" s="76"/>
      <c r="CN133" s="76"/>
      <c r="CO133" s="78"/>
      <c r="CP133" s="78"/>
      <c r="CQ133" s="78"/>
      <c r="CR133" s="78"/>
      <c r="CS133" s="78"/>
      <c r="CT133" s="78"/>
      <c r="CU133" s="78"/>
      <c r="CV133" s="78"/>
      <c r="CW133" s="78"/>
      <c r="CX133" s="78"/>
      <c r="CY133" s="78"/>
      <c r="CZ133" s="78"/>
      <c r="DA133" s="78"/>
      <c r="DB133" s="78"/>
      <c r="DC133" s="78"/>
      <c r="DD133" s="78"/>
      <c r="EJ133" s="78"/>
      <c r="EK133" s="78"/>
    </row>
    <row r="134" spans="2:141" ht="21" hidden="1" thickBot="1" x14ac:dyDescent="0.25">
      <c r="BN134" s="86"/>
      <c r="BO134" s="1091"/>
      <c r="BP134" s="96">
        <v>5</v>
      </c>
      <c r="BQ134" s="120" t="b">
        <f>IF(BU57=5,1)</f>
        <v>0</v>
      </c>
      <c r="BR134" s="122"/>
      <c r="BS134" s="123"/>
      <c r="BT134" s="123"/>
      <c r="BU134" s="123"/>
      <c r="BV134" s="123"/>
      <c r="BW134" s="123"/>
      <c r="BX134" s="122"/>
      <c r="BY134" s="124" t="b">
        <f>IF(BU57=5,9)</f>
        <v>0</v>
      </c>
      <c r="BZ134" s="76"/>
      <c r="CA134" s="76"/>
      <c r="CB134" s="76"/>
      <c r="CC134" s="76"/>
      <c r="CD134" s="76"/>
      <c r="CE134" s="76"/>
      <c r="CF134" s="76"/>
      <c r="CG134" s="76"/>
      <c r="CH134" s="158"/>
      <c r="CI134" s="76"/>
      <c r="CJ134" s="157"/>
      <c r="CK134" s="76"/>
      <c r="CL134" s="76"/>
      <c r="CM134" s="76"/>
      <c r="CN134" s="76"/>
      <c r="CO134" s="78"/>
      <c r="CP134" s="78"/>
      <c r="CQ134" s="78"/>
      <c r="CR134" s="78"/>
      <c r="CS134" s="78"/>
      <c r="CT134" s="78"/>
      <c r="CU134" s="78"/>
      <c r="CV134" s="78"/>
      <c r="CW134" s="78"/>
      <c r="CX134" s="78"/>
      <c r="CY134" s="78"/>
      <c r="CZ134" s="78"/>
      <c r="DA134" s="78"/>
      <c r="DB134" s="78"/>
      <c r="DC134" s="78"/>
      <c r="DD134" s="78"/>
      <c r="EJ134" s="78"/>
      <c r="EK134" s="78"/>
    </row>
    <row r="135" spans="2:141" ht="21" hidden="1" thickBot="1" x14ac:dyDescent="0.25">
      <c r="BN135" s="86"/>
      <c r="BO135" s="1091"/>
      <c r="BP135" s="96">
        <v>4</v>
      </c>
      <c r="BQ135" s="120" t="b">
        <f>IF(BT57=4,1)</f>
        <v>0</v>
      </c>
      <c r="BR135" s="123"/>
      <c r="BS135" s="123"/>
      <c r="BT135" s="123"/>
      <c r="BU135" s="123"/>
      <c r="BV135" s="123"/>
      <c r="BW135" s="124" t="b">
        <f>IF(BT57=4,7)</f>
        <v>0</v>
      </c>
      <c r="BX135" s="76"/>
      <c r="BY135" s="159"/>
      <c r="BZ135" s="159"/>
      <c r="CA135" s="76"/>
      <c r="CB135" s="159"/>
      <c r="CC135" s="76"/>
      <c r="CD135" s="76"/>
      <c r="CE135" s="76"/>
      <c r="CF135" s="76"/>
      <c r="CG135" s="76"/>
      <c r="CH135" s="158"/>
      <c r="CI135" s="76"/>
      <c r="CJ135" s="157"/>
      <c r="CK135" s="76"/>
      <c r="CL135" s="76"/>
      <c r="CM135" s="76"/>
      <c r="CN135" s="76"/>
      <c r="CO135" s="78"/>
      <c r="CP135" s="78"/>
      <c r="CQ135" s="78"/>
      <c r="CR135" s="78"/>
      <c r="CS135" s="78"/>
      <c r="CT135" s="78"/>
      <c r="CU135" s="78"/>
      <c r="CV135" s="78"/>
      <c r="CW135" s="78"/>
      <c r="CX135" s="78"/>
      <c r="CY135" s="78"/>
      <c r="CZ135" s="78"/>
      <c r="DA135" s="78"/>
      <c r="DB135" s="78"/>
      <c r="DC135" s="78"/>
      <c r="DD135" s="78"/>
      <c r="EJ135" s="78"/>
      <c r="EK135" s="78"/>
    </row>
    <row r="136" spans="2:141" ht="21" hidden="1" thickBot="1" x14ac:dyDescent="0.25">
      <c r="BN136" s="86"/>
      <c r="BO136" s="1091"/>
      <c r="BP136" s="96">
        <v>3</v>
      </c>
      <c r="BQ136" s="120" t="b">
        <f>IF(BS57=3,1)</f>
        <v>0</v>
      </c>
      <c r="BR136" s="123"/>
      <c r="BS136" s="123"/>
      <c r="BT136" s="123"/>
      <c r="BU136" s="124" t="b">
        <f>IF(BS57=3,5)</f>
        <v>0</v>
      </c>
      <c r="BV136" s="76"/>
      <c r="BW136" s="76"/>
      <c r="BX136" s="76"/>
      <c r="BY136" s="76"/>
      <c r="BZ136" s="76"/>
      <c r="CA136" s="76"/>
      <c r="CB136" s="76"/>
      <c r="CC136" s="76"/>
      <c r="CD136" s="76"/>
      <c r="CE136" s="76"/>
      <c r="CF136" s="76"/>
      <c r="CG136" s="76"/>
      <c r="CH136" s="158"/>
      <c r="CI136" s="76"/>
      <c r="CJ136" s="157"/>
      <c r="CK136" s="76"/>
      <c r="CL136" s="76"/>
      <c r="CM136" s="76"/>
      <c r="CN136" s="76"/>
      <c r="CO136" s="78"/>
      <c r="CP136" s="78"/>
      <c r="CQ136" s="78"/>
      <c r="CR136" s="78"/>
      <c r="CS136" s="78"/>
      <c r="CT136" s="78"/>
      <c r="CU136" s="78"/>
      <c r="CV136" s="78"/>
      <c r="CW136" s="78"/>
      <c r="CX136" s="78"/>
      <c r="CY136" s="78"/>
      <c r="CZ136" s="78"/>
      <c r="DA136" s="78"/>
      <c r="DB136" s="78"/>
      <c r="DC136" s="78"/>
      <c r="DD136" s="78"/>
      <c r="EJ136" s="78"/>
      <c r="EK136" s="78"/>
    </row>
    <row r="137" spans="2:141" ht="20" hidden="1" x14ac:dyDescent="0.2">
      <c r="BN137" s="86"/>
      <c r="BO137" s="1091"/>
      <c r="BP137" s="96">
        <v>2</v>
      </c>
      <c r="BQ137" s="160" t="b">
        <f>IF(BR57=2,1)</f>
        <v>0</v>
      </c>
      <c r="BR137" s="161"/>
      <c r="BS137" s="162" t="b">
        <f>IF(BR57=2,3)</f>
        <v>0</v>
      </c>
      <c r="BT137" s="76"/>
      <c r="BU137" s="76"/>
      <c r="BV137" s="76"/>
      <c r="BW137" s="76"/>
      <c r="BX137" s="76"/>
      <c r="BY137" s="76"/>
      <c r="BZ137" s="76"/>
      <c r="CA137" s="76"/>
      <c r="CB137" s="76"/>
      <c r="CC137" s="76"/>
      <c r="CD137" s="76"/>
      <c r="CE137" s="76"/>
      <c r="CF137" s="76"/>
      <c r="CG137" s="76"/>
      <c r="CH137" s="158"/>
      <c r="CI137" s="76"/>
      <c r="CJ137" s="157"/>
      <c r="CK137" s="76"/>
      <c r="CL137" s="76"/>
      <c r="CM137" s="76"/>
      <c r="CN137" s="76"/>
      <c r="CO137" s="78"/>
      <c r="CP137" s="78"/>
      <c r="CQ137" s="78"/>
      <c r="CR137" s="78"/>
      <c r="CS137" s="78"/>
      <c r="CT137" s="78"/>
      <c r="CU137" s="78"/>
      <c r="CV137" s="78"/>
      <c r="CW137" s="78"/>
      <c r="CX137" s="78"/>
      <c r="CY137" s="78"/>
      <c r="CZ137" s="78"/>
      <c r="DA137" s="78"/>
      <c r="DB137" s="78"/>
      <c r="DC137" s="78"/>
      <c r="DD137" s="78"/>
      <c r="EJ137" s="78"/>
      <c r="EK137" s="78"/>
    </row>
    <row r="138" spans="2:141" ht="21" hidden="1" thickBot="1" x14ac:dyDescent="0.25">
      <c r="BN138" s="86"/>
      <c r="BO138" s="1091"/>
      <c r="BP138" s="163"/>
      <c r="BQ138" s="164">
        <f>SUM(BQ103:BQ137)</f>
        <v>0</v>
      </c>
      <c r="BR138" s="164">
        <f t="shared" ref="BR138:DA138" si="4">SUM(BR103:BR137)</f>
        <v>0</v>
      </c>
      <c r="BS138" s="164">
        <f t="shared" si="4"/>
        <v>0</v>
      </c>
      <c r="BT138" s="164">
        <f t="shared" si="4"/>
        <v>0</v>
      </c>
      <c r="BU138" s="164">
        <f t="shared" si="4"/>
        <v>0</v>
      </c>
      <c r="BV138" s="164">
        <f t="shared" si="4"/>
        <v>0</v>
      </c>
      <c r="BW138" s="164">
        <f t="shared" si="4"/>
        <v>0</v>
      </c>
      <c r="BX138" s="164">
        <f t="shared" si="4"/>
        <v>0</v>
      </c>
      <c r="BY138" s="164">
        <f t="shared" si="4"/>
        <v>0</v>
      </c>
      <c r="BZ138" s="164">
        <f t="shared" si="4"/>
        <v>10</v>
      </c>
      <c r="CA138" s="164">
        <f t="shared" si="4"/>
        <v>0</v>
      </c>
      <c r="CB138" s="164">
        <f t="shared" si="4"/>
        <v>0</v>
      </c>
      <c r="CC138" s="164">
        <f t="shared" si="4"/>
        <v>0</v>
      </c>
      <c r="CD138" s="164">
        <f t="shared" si="4"/>
        <v>0</v>
      </c>
      <c r="CE138" s="164">
        <f t="shared" si="4"/>
        <v>0</v>
      </c>
      <c r="CF138" s="164">
        <f t="shared" si="4"/>
        <v>0</v>
      </c>
      <c r="CG138" s="165">
        <f t="shared" si="4"/>
        <v>0</v>
      </c>
      <c r="CH138" s="166"/>
      <c r="CI138" s="167"/>
      <c r="CJ138" s="168"/>
      <c r="CK138" s="169">
        <f t="shared" si="4"/>
        <v>0</v>
      </c>
      <c r="CL138" s="164">
        <f t="shared" si="4"/>
        <v>0</v>
      </c>
      <c r="CM138" s="164">
        <f t="shared" si="4"/>
        <v>0</v>
      </c>
      <c r="CN138" s="164">
        <f t="shared" si="4"/>
        <v>0</v>
      </c>
      <c r="CO138" s="164">
        <f t="shared" si="4"/>
        <v>0</v>
      </c>
      <c r="CP138" s="164">
        <f t="shared" si="4"/>
        <v>26</v>
      </c>
      <c r="CQ138" s="164">
        <f t="shared" si="4"/>
        <v>0</v>
      </c>
      <c r="CR138" s="164">
        <f t="shared" si="4"/>
        <v>0</v>
      </c>
      <c r="CS138" s="164">
        <f t="shared" si="4"/>
        <v>0</v>
      </c>
      <c r="CT138" s="164">
        <f t="shared" si="4"/>
        <v>0</v>
      </c>
      <c r="CU138" s="164">
        <f t="shared" si="4"/>
        <v>0</v>
      </c>
      <c r="CV138" s="164">
        <f t="shared" si="4"/>
        <v>0</v>
      </c>
      <c r="CW138" s="164">
        <f t="shared" si="4"/>
        <v>0</v>
      </c>
      <c r="CX138" s="164">
        <f t="shared" si="4"/>
        <v>0</v>
      </c>
      <c r="CY138" s="164">
        <f t="shared" si="4"/>
        <v>0</v>
      </c>
      <c r="CZ138" s="164">
        <f t="shared" si="4"/>
        <v>0</v>
      </c>
      <c r="DA138" s="164">
        <f t="shared" si="4"/>
        <v>0</v>
      </c>
      <c r="DB138" s="78"/>
      <c r="DC138" s="78"/>
      <c r="DD138" s="78"/>
      <c r="EJ138" s="78"/>
      <c r="EK138" s="78"/>
    </row>
    <row r="139" spans="2:141" ht="21" hidden="1" thickBot="1" x14ac:dyDescent="0.25">
      <c r="BN139" s="86"/>
      <c r="BO139" s="1091"/>
      <c r="BP139" s="163"/>
      <c r="BQ139" s="170"/>
      <c r="BR139" s="170"/>
      <c r="BS139" s="170"/>
      <c r="BT139" s="170"/>
      <c r="BU139" s="170"/>
      <c r="BV139" s="170"/>
      <c r="BW139" s="170"/>
      <c r="BX139" s="170"/>
      <c r="BY139" s="170"/>
      <c r="BZ139" s="170"/>
      <c r="CA139" s="170"/>
      <c r="CB139" s="170"/>
      <c r="CC139" s="170"/>
      <c r="CD139" s="170"/>
      <c r="CE139" s="170"/>
      <c r="CF139" s="170"/>
      <c r="CG139" s="170"/>
      <c r="CH139" s="170"/>
      <c r="CI139" s="170"/>
      <c r="CJ139" s="170"/>
      <c r="CK139" s="171"/>
      <c r="CL139" s="170"/>
      <c r="CM139" s="170"/>
      <c r="CN139" s="170"/>
      <c r="CO139" s="170"/>
      <c r="CP139" s="170"/>
      <c r="CQ139" s="170"/>
      <c r="CR139" s="170"/>
      <c r="CS139" s="170"/>
      <c r="CT139" s="170"/>
      <c r="CU139" s="170"/>
      <c r="CV139" s="170"/>
      <c r="CW139" s="170"/>
      <c r="CX139" s="170"/>
      <c r="CY139" s="170"/>
      <c r="CZ139" s="170"/>
      <c r="DA139" s="170"/>
      <c r="DB139" s="78"/>
      <c r="DC139" s="78"/>
      <c r="DD139" s="78"/>
      <c r="EJ139" s="78"/>
      <c r="EK139" s="78"/>
    </row>
    <row r="140" spans="2:141" ht="44" thickBot="1" x14ac:dyDescent="0.3">
      <c r="BN140" s="86"/>
      <c r="BO140" s="1095" t="s">
        <v>128</v>
      </c>
      <c r="BP140" s="172" t="s">
        <v>124</v>
      </c>
      <c r="BQ140" s="750" t="str">
        <f>IF(BQ138=1,17,"")</f>
        <v/>
      </c>
      <c r="BR140" s="751" t="str">
        <f>IF(BR138=2,16,"")</f>
        <v/>
      </c>
      <c r="BS140" s="751" t="str">
        <f>IF(BS138=3,15,"")</f>
        <v/>
      </c>
      <c r="BT140" s="751" t="str">
        <f>IF(BT138=4,14,"")</f>
        <v/>
      </c>
      <c r="BU140" s="751" t="str">
        <f>IF(BU138=5,13,"")</f>
        <v/>
      </c>
      <c r="BV140" s="751" t="str">
        <f>IF(BV138=6,12,"")</f>
        <v/>
      </c>
      <c r="BW140" s="751" t="str">
        <f>IF(BW138=7,11,"")</f>
        <v/>
      </c>
      <c r="BX140" s="751" t="str">
        <f>IF(BX138=8,10,"")</f>
        <v/>
      </c>
      <c r="BY140" s="751" t="str">
        <f>IF(BY138=9,9,"")</f>
        <v/>
      </c>
      <c r="BZ140" s="751">
        <f>IF(BZ138=10,8,"")</f>
        <v>8</v>
      </c>
      <c r="CA140" s="751" t="str">
        <f>IF(CA138=11,7,"")</f>
        <v/>
      </c>
      <c r="CB140" s="752" t="str">
        <f>IF(CB138=12,"6  ADS ","")</f>
        <v/>
      </c>
      <c r="CC140" s="751" t="str">
        <f>IF(CC138=13,5,"")</f>
        <v/>
      </c>
      <c r="CD140" s="751" t="str">
        <f>IF(CD138=14,4,"")</f>
        <v/>
      </c>
      <c r="CE140" s="751" t="str">
        <f>IF(CE138=15,3,"")</f>
        <v/>
      </c>
      <c r="CF140" s="751" t="str">
        <f>IF(CF138=16,2,"")</f>
        <v/>
      </c>
      <c r="CG140" s="751" t="str">
        <f>IF(CG138=17,1,"")</f>
        <v/>
      </c>
      <c r="CH140" s="173"/>
      <c r="CI140" s="174"/>
      <c r="CJ140" s="175"/>
      <c r="CK140" s="753" t="str">
        <f>IF(CK138=21,1,"")</f>
        <v/>
      </c>
      <c r="CL140" s="753" t="str">
        <f>IF(CL138=22,2,"")</f>
        <v/>
      </c>
      <c r="CM140" s="753" t="str">
        <f>IF(CM138=23,3,"")</f>
        <v/>
      </c>
      <c r="CN140" s="753" t="str">
        <f>IF(CN138=24,4,"")</f>
        <v/>
      </c>
      <c r="CO140" s="753" t="str">
        <f>IF(CO138=25,5,"")</f>
        <v/>
      </c>
      <c r="CP140" s="754" t="str">
        <f>IF(CP138=26,"6  ADS ","")</f>
        <v xml:space="preserve">6  ADS </v>
      </c>
      <c r="CQ140" s="753" t="str">
        <f>IF(CQ138=27,7,"")</f>
        <v/>
      </c>
      <c r="CR140" s="753" t="str">
        <f>IF(CR138=28,8,"")</f>
        <v/>
      </c>
      <c r="CS140" s="753" t="str">
        <f>IF(CS138=29,9,"")</f>
        <v/>
      </c>
      <c r="CT140" s="753" t="str">
        <f>IF(CT138=30,10,"")</f>
        <v/>
      </c>
      <c r="CU140" s="753" t="str">
        <f>IF(CU138=31,11,"")</f>
        <v/>
      </c>
      <c r="CV140" s="753" t="str">
        <f>IF(CV138=32,12,"")</f>
        <v/>
      </c>
      <c r="CW140" s="753" t="str">
        <f>IF(CW138=33,13,"")</f>
        <v/>
      </c>
      <c r="CX140" s="753" t="str">
        <f>IF(CX138=34,14,"")</f>
        <v/>
      </c>
      <c r="CY140" s="753" t="str">
        <f>IF(CY138=35,15,"")</f>
        <v/>
      </c>
      <c r="CZ140" s="753" t="str">
        <f>IF(CZ138=36,16,"")</f>
        <v/>
      </c>
      <c r="DA140" s="755" t="str">
        <f>IF(DA138=37,17,"")</f>
        <v/>
      </c>
      <c r="DB140" s="340"/>
      <c r="DC140" s="78"/>
      <c r="DD140" s="78"/>
      <c r="EJ140" s="78"/>
      <c r="EK140" s="78"/>
    </row>
    <row r="141" spans="2:141" ht="48" customHeight="1" thickBot="1" x14ac:dyDescent="0.3">
      <c r="D141" s="409" t="str">
        <f>IF(BL179&gt;0," ","change the angle of frame or of cabinets")</f>
        <v xml:space="preserve"> </v>
      </c>
      <c r="BL141" s="968">
        <v>6</v>
      </c>
      <c r="BM141" s="1762" t="b">
        <f>AND(BO141&gt;=10,$BA$150&gt;=10,$AZ$150&gt;=10,$AZ$171&gt;=10,$BA$171&gt;=10)</f>
        <v>1</v>
      </c>
      <c r="BN141" s="84" t="str">
        <f>IF(BM141=TRUE,"O K","OVERLOAD")</f>
        <v>O K</v>
      </c>
      <c r="BO141" s="982">
        <f>SUM(I132:M132)</f>
        <v>88.495575221238937</v>
      </c>
      <c r="BP141" s="788" t="s">
        <v>185</v>
      </c>
      <c r="BQ141" s="789">
        <v>-10</v>
      </c>
      <c r="BR141" s="789">
        <v>-9</v>
      </c>
      <c r="BS141" s="789">
        <v>-8</v>
      </c>
      <c r="BT141" s="789">
        <v>-7</v>
      </c>
      <c r="BU141" s="789">
        <v>-6</v>
      </c>
      <c r="BV141" s="789">
        <v>-5</v>
      </c>
      <c r="BW141" s="789">
        <v>-4</v>
      </c>
      <c r="BX141" s="789">
        <v>-3</v>
      </c>
      <c r="BY141" s="789">
        <v>-2</v>
      </c>
      <c r="BZ141" s="789">
        <v>-1</v>
      </c>
      <c r="CA141" s="789">
        <v>0</v>
      </c>
      <c r="CB141" s="789">
        <v>1</v>
      </c>
      <c r="CC141" s="789">
        <v>2</v>
      </c>
      <c r="CD141" s="789">
        <v>3</v>
      </c>
      <c r="CE141" s="789">
        <v>4</v>
      </c>
      <c r="CF141" s="789">
        <v>5</v>
      </c>
      <c r="CG141" s="789">
        <v>6</v>
      </c>
      <c r="CH141" s="789">
        <v>7</v>
      </c>
      <c r="CI141" s="789">
        <v>8</v>
      </c>
      <c r="CJ141" s="789">
        <v>9</v>
      </c>
      <c r="CK141" s="789">
        <v>10</v>
      </c>
      <c r="CL141" s="789">
        <v>11</v>
      </c>
      <c r="CM141" s="789">
        <v>12</v>
      </c>
      <c r="CN141" s="789">
        <v>13</v>
      </c>
      <c r="CO141" s="789">
        <v>14</v>
      </c>
      <c r="CP141" s="789">
        <v>15</v>
      </c>
      <c r="CQ141" s="789">
        <v>16</v>
      </c>
      <c r="CR141" s="789">
        <v>17</v>
      </c>
      <c r="CS141" s="789">
        <v>18</v>
      </c>
      <c r="CT141" s="789">
        <v>19</v>
      </c>
      <c r="CU141" s="789">
        <v>20</v>
      </c>
      <c r="CV141" s="789">
        <v>21</v>
      </c>
      <c r="CW141" s="789">
        <v>22</v>
      </c>
      <c r="CX141" s="789">
        <v>23</v>
      </c>
      <c r="CY141" s="789">
        <v>24</v>
      </c>
      <c r="CZ141" s="789">
        <v>25</v>
      </c>
      <c r="DA141" s="791">
        <v>26</v>
      </c>
      <c r="DB141" s="78"/>
      <c r="DC141" s="78"/>
      <c r="DD141" s="78"/>
      <c r="EJ141" s="78"/>
      <c r="EK141" s="78"/>
    </row>
    <row r="142" spans="2:141" ht="45.75" customHeight="1" thickBot="1" x14ac:dyDescent="0.25">
      <c r="B142" s="1846" t="s">
        <v>116</v>
      </c>
      <c r="D142" s="409" t="str">
        <f>IF(DD145&lt;0," ","change the angle of frame or of cabinets")</f>
        <v xml:space="preserve"> </v>
      </c>
      <c r="E142" s="208"/>
      <c r="F142" s="208"/>
      <c r="G142" s="208"/>
      <c r="V142" s="410"/>
      <c r="W142" s="410"/>
      <c r="X142" s="410"/>
      <c r="Y142" s="410"/>
      <c r="Z142" s="410"/>
      <c r="AA142" s="410"/>
      <c r="AF142" s="401"/>
      <c r="AG142" s="401"/>
      <c r="AH142" s="401"/>
      <c r="AI142" s="401"/>
      <c r="AJ142" s="401"/>
      <c r="AK142" s="401"/>
      <c r="AL142" s="401"/>
      <c r="AM142" s="401"/>
      <c r="AN142" s="401"/>
      <c r="AO142" s="401"/>
      <c r="AP142" s="401"/>
      <c r="AQ142" s="401"/>
      <c r="AR142" s="401"/>
      <c r="AS142" s="401"/>
      <c r="AT142" s="401"/>
      <c r="AU142" s="401"/>
      <c r="AV142" s="401"/>
      <c r="AW142" s="401"/>
      <c r="AX142" s="401"/>
      <c r="AY142" s="401"/>
      <c r="AZ142" s="401"/>
      <c r="BA142" s="401"/>
      <c r="BB142" s="143"/>
      <c r="BE142" s="136"/>
      <c r="BF142" s="136"/>
      <c r="BG142" s="136"/>
      <c r="BH142" s="136"/>
    </row>
    <row r="143" spans="2:141" ht="45.75" customHeight="1" thickBot="1" x14ac:dyDescent="0.25">
      <c r="B143" s="1847"/>
      <c r="C143" s="213"/>
      <c r="D143" s="409" t="str">
        <f>IF(BL179&gt;(+COS(($B$144*-1)*3.14159265358979/180)*451.5)," ","USE EXBAR AR AT THE FRONT")</f>
        <v xml:space="preserve"> </v>
      </c>
      <c r="E143" s="208"/>
      <c r="F143" s="208"/>
      <c r="G143" s="208"/>
      <c r="BE143" s="136"/>
      <c r="BF143" s="136"/>
      <c r="BG143" s="136"/>
      <c r="BH143" s="136"/>
    </row>
    <row r="144" spans="2:141" ht="45.75" customHeight="1" thickBot="1" x14ac:dyDescent="0.3">
      <c r="B144" s="4">
        <v>0</v>
      </c>
      <c r="C144" s="213"/>
      <c r="D144" s="341" t="str">
        <f>IF(DD145&lt;-(+COS(($B$144*-1)*3.14159265358979/180)*365.5)," ","USE EXBAR AR AT THE BACK")</f>
        <v xml:space="preserve"> </v>
      </c>
      <c r="E144" s="208"/>
      <c r="F144" s="208"/>
      <c r="G144" s="208"/>
      <c r="AK144" s="835" t="s">
        <v>174</v>
      </c>
      <c r="AL144" s="836"/>
      <c r="AM144" s="836"/>
      <c r="AN144" s="836"/>
      <c r="AO144" s="837" t="s">
        <v>178</v>
      </c>
      <c r="BE144" s="136"/>
      <c r="BF144" s="136"/>
      <c r="BG144" s="136"/>
      <c r="BH144" s="136"/>
      <c r="BP144" s="305"/>
      <c r="BQ144" s="305"/>
      <c r="BR144" s="305"/>
      <c r="BS144" s="305"/>
      <c r="BT144" s="305"/>
      <c r="BU144" s="305"/>
      <c r="BV144" s="1818"/>
      <c r="BW144" s="1818"/>
      <c r="BX144" s="1818"/>
      <c r="BY144" s="126"/>
      <c r="DD144" s="204" t="s">
        <v>58</v>
      </c>
    </row>
    <row r="145" spans="2:128" ht="12" customHeight="1" thickBot="1" x14ac:dyDescent="0.3">
      <c r="AK145" s="838" t="s">
        <v>175</v>
      </c>
      <c r="AL145" s="835" t="s">
        <v>176</v>
      </c>
      <c r="AM145" s="835" t="s">
        <v>177</v>
      </c>
      <c r="AN145" s="839" t="s">
        <v>181</v>
      </c>
      <c r="AO145" s="840" t="s">
        <v>179</v>
      </c>
      <c r="BE145" s="136"/>
      <c r="BF145" s="136"/>
      <c r="BG145" s="136"/>
      <c r="BH145" s="136"/>
      <c r="BV145" s="306"/>
      <c r="CI145" s="306"/>
      <c r="DD145" s="204">
        <f>+-BH217</f>
        <v>-817.97228934575901</v>
      </c>
    </row>
    <row r="146" spans="2:128" ht="68.25" customHeight="1" thickBot="1" x14ac:dyDescent="0.3">
      <c r="B146" s="411" t="s">
        <v>211</v>
      </c>
      <c r="C146" s="412"/>
      <c r="D146" s="37"/>
      <c r="E146" s="37"/>
      <c r="F146" s="37"/>
      <c r="G146" s="37"/>
      <c r="T146" s="187"/>
      <c r="AK146" s="838">
        <v>6.8623010000000004</v>
      </c>
      <c r="AL146" s="835">
        <f>+$B$144-AK146</f>
        <v>-6.8623010000000004</v>
      </c>
      <c r="AM146" s="841">
        <f>COS(AL146*3.14159265358979/180)</f>
        <v>0.99283617366519983</v>
      </c>
      <c r="AN146" s="842">
        <f>+AM146*378.71303</f>
        <v>375.99999562235405</v>
      </c>
      <c r="AO146" s="813">
        <f>+((AO150*AQ150)+(AN146*31))/(AQ150+31)</f>
        <v>304.52772435684403</v>
      </c>
      <c r="BE146" s="136"/>
      <c r="BF146" s="136"/>
      <c r="BG146" s="136"/>
      <c r="BH146" s="136"/>
      <c r="BP146" s="307"/>
      <c r="BQ146" s="307"/>
      <c r="BR146" s="307"/>
      <c r="BS146" s="307"/>
      <c r="BT146" s="307"/>
      <c r="BU146" s="307"/>
      <c r="BV146" s="1819"/>
      <c r="BW146" s="1819"/>
      <c r="CH146" s="1813"/>
      <c r="CI146" s="1813"/>
    </row>
    <row r="147" spans="2:128" ht="28" thickBot="1" x14ac:dyDescent="0.3">
      <c r="B147" s="28">
        <v>1</v>
      </c>
      <c r="C147" s="216"/>
      <c r="D147" s="413" t="s">
        <v>109</v>
      </c>
      <c r="E147" s="330"/>
      <c r="F147" s="330"/>
      <c r="G147" s="330"/>
      <c r="H147" s="342" t="s">
        <v>87</v>
      </c>
      <c r="I147" s="342" t="s">
        <v>88</v>
      </c>
      <c r="J147" s="342" t="s">
        <v>89</v>
      </c>
      <c r="K147"/>
      <c r="L147"/>
      <c r="M147"/>
      <c r="N147"/>
      <c r="O147"/>
      <c r="P147" s="342" t="s">
        <v>90</v>
      </c>
      <c r="Q147" s="342" t="s">
        <v>91</v>
      </c>
      <c r="R147" s="330"/>
      <c r="S147" s="342" t="s">
        <v>92</v>
      </c>
      <c r="T147" s="414"/>
      <c r="W147" s="1850" t="s">
        <v>93</v>
      </c>
      <c r="X147" s="1850"/>
      <c r="Y147" s="1850"/>
      <c r="Z147" s="1850"/>
      <c r="AA147" s="1850"/>
      <c r="AY147" s="415"/>
      <c r="AZ147" s="1848" t="s">
        <v>52</v>
      </c>
      <c r="BA147" s="1849"/>
      <c r="BE147" s="136"/>
      <c r="BF147" s="136"/>
      <c r="BG147" s="136"/>
      <c r="BH147" s="136"/>
    </row>
    <row r="148" spans="2:128" ht="77" hidden="1" thickBot="1" x14ac:dyDescent="0.25">
      <c r="C148" s="416"/>
      <c r="D148" s="417" t="s">
        <v>13</v>
      </c>
      <c r="H148" s="356" t="s">
        <v>4</v>
      </c>
      <c r="I148" s="356" t="s">
        <v>1</v>
      </c>
      <c r="J148" s="377" t="s">
        <v>73</v>
      </c>
      <c r="K148" s="316" t="s">
        <v>2</v>
      </c>
      <c r="L148" s="316" t="s">
        <v>3</v>
      </c>
      <c r="M148" s="316" t="s">
        <v>8</v>
      </c>
      <c r="N148" s="316" t="s">
        <v>5</v>
      </c>
      <c r="O148" s="316" t="s">
        <v>6</v>
      </c>
      <c r="P148" s="316" t="s">
        <v>7</v>
      </c>
      <c r="Q148" s="316" t="s">
        <v>9</v>
      </c>
      <c r="R148" s="356" t="s">
        <v>10</v>
      </c>
      <c r="S148" s="316" t="s">
        <v>11</v>
      </c>
      <c r="T148" s="418" t="s">
        <v>12</v>
      </c>
      <c r="W148" s="356" t="s">
        <v>111</v>
      </c>
      <c r="X148" s="316" t="s">
        <v>94</v>
      </c>
      <c r="Y148" s="356" t="s">
        <v>110</v>
      </c>
      <c r="Z148" s="419" t="s">
        <v>95</v>
      </c>
      <c r="AA148" s="419" t="s">
        <v>96</v>
      </c>
      <c r="AC148" s="316" t="s">
        <v>99</v>
      </c>
      <c r="AD148" s="316"/>
      <c r="AE148" s="316"/>
      <c r="AF148" s="420"/>
      <c r="AG148" s="420"/>
      <c r="AH148" s="420"/>
      <c r="AI148" s="420"/>
      <c r="AJ148" s="420"/>
      <c r="AK148" s="420"/>
      <c r="AL148" s="420"/>
      <c r="AM148" s="420"/>
      <c r="AN148" s="420"/>
      <c r="AO148" s="420" t="s">
        <v>135</v>
      </c>
      <c r="AP148" s="420"/>
      <c r="AQ148" s="420" t="s">
        <v>135</v>
      </c>
      <c r="AR148" s="420"/>
      <c r="AS148" s="420"/>
      <c r="AT148" s="420" t="s">
        <v>135</v>
      </c>
      <c r="AU148" s="420"/>
      <c r="AV148" s="420"/>
      <c r="AW148" s="420"/>
      <c r="AX148" s="415"/>
      <c r="AY148" s="415"/>
      <c r="AZ148" s="420"/>
      <c r="BA148" s="420"/>
      <c r="BB148" s="231"/>
      <c r="BE148" s="136"/>
      <c r="BF148" s="136"/>
      <c r="BG148" s="136"/>
      <c r="BH148" s="136"/>
    </row>
    <row r="149" spans="2:128" ht="47.75" customHeight="1" thickBot="1" x14ac:dyDescent="0.25">
      <c r="B149" s="421"/>
      <c r="C149" s="422"/>
      <c r="D149" s="348" t="s">
        <v>22</v>
      </c>
      <c r="E149" s="330"/>
      <c r="F149" s="330"/>
      <c r="G149" s="240"/>
      <c r="H149" s="356"/>
      <c r="I149" s="356"/>
      <c r="J149" s="377"/>
      <c r="K149" s="316"/>
      <c r="L149" s="316"/>
      <c r="M149" s="316"/>
      <c r="N149" s="316"/>
      <c r="O149" s="316"/>
      <c r="P149" s="316"/>
      <c r="Q149" s="316"/>
      <c r="R149" s="356"/>
      <c r="S149" s="316"/>
      <c r="T149" s="418"/>
      <c r="V149" s="420"/>
      <c r="W149" s="420"/>
      <c r="X149" s="420"/>
      <c r="Y149" s="420"/>
      <c r="Z149" s="420"/>
      <c r="AA149" s="420"/>
      <c r="AB149" s="420"/>
      <c r="AC149" s="423">
        <f>SUM(AC150:AC161)</f>
        <v>334.49993130661176</v>
      </c>
      <c r="AD149" s="424"/>
      <c r="AE149" s="424"/>
      <c r="AF149" s="420" t="s">
        <v>38</v>
      </c>
      <c r="AG149" s="425" t="s">
        <v>31</v>
      </c>
      <c r="AH149" s="425"/>
      <c r="AI149" s="10" t="s">
        <v>108</v>
      </c>
      <c r="AJ149" s="426" t="s">
        <v>32</v>
      </c>
      <c r="AK149" s="9" t="s">
        <v>33</v>
      </c>
      <c r="AL149" s="8" t="s">
        <v>107</v>
      </c>
      <c r="AM149" s="427" t="s">
        <v>34</v>
      </c>
      <c r="AN149" s="9" t="s">
        <v>35</v>
      </c>
      <c r="AO149" s="428" t="s">
        <v>48</v>
      </c>
      <c r="AP149" s="367" t="s">
        <v>47</v>
      </c>
      <c r="AQ149" s="428" t="s">
        <v>136</v>
      </c>
      <c r="AR149" s="420" t="s">
        <v>46</v>
      </c>
      <c r="AS149" s="420" t="s">
        <v>39</v>
      </c>
      <c r="AT149" s="428" t="s">
        <v>50</v>
      </c>
      <c r="AU149" s="420" t="s">
        <v>49</v>
      </c>
      <c r="AV149" s="429" t="s">
        <v>41</v>
      </c>
      <c r="AW149" s="429" t="s">
        <v>42</v>
      </c>
      <c r="AX149" s="430" t="s">
        <v>23</v>
      </c>
      <c r="AY149" s="430" t="s">
        <v>24</v>
      </c>
      <c r="AZ149" s="431" t="s">
        <v>23</v>
      </c>
      <c r="BA149" s="431" t="s">
        <v>24</v>
      </c>
      <c r="BC149" s="276"/>
      <c r="BE149" s="136"/>
      <c r="BF149" s="136"/>
      <c r="BG149" s="136"/>
      <c r="BH149" s="136"/>
    </row>
    <row r="150" spans="2:128" ht="19" thickBot="1" x14ac:dyDescent="0.25">
      <c r="B150" s="255">
        <v>1</v>
      </c>
      <c r="C150" s="256">
        <f>+(B144*-1)+D150</f>
        <v>0</v>
      </c>
      <c r="D150" s="25">
        <v>0</v>
      </c>
      <c r="E150" s="432" t="s">
        <v>80</v>
      </c>
      <c r="F150" s="280"/>
      <c r="G150" s="280"/>
      <c r="H150" s="16">
        <v>414.62658399999998</v>
      </c>
      <c r="I150" s="16">
        <v>36.220413100000002</v>
      </c>
      <c r="J150" s="342">
        <f>+I150-C150</f>
        <v>36.220413100000002</v>
      </c>
      <c r="K150" s="280"/>
      <c r="L150" s="280"/>
      <c r="M150" s="280"/>
      <c r="N150" s="280"/>
      <c r="O150" s="280"/>
      <c r="P150" s="342">
        <f>COS(J150*3.14159265358979/180)</f>
        <v>0.80674984242354264</v>
      </c>
      <c r="Q150" s="342">
        <f>+P150*H150</f>
        <v>334.49993130661176</v>
      </c>
      <c r="R150" s="16">
        <v>334.5</v>
      </c>
      <c r="S150" s="342">
        <f>+Q150</f>
        <v>334.49993130661176</v>
      </c>
      <c r="T150" s="280">
        <f t="shared" ref="T150:T161" si="5">+S150</f>
        <v>334.49993130661176</v>
      </c>
      <c r="U150" s="280"/>
      <c r="V150" s="280">
        <f t="shared" ref="V150:V161" si="6">IF(B150&lt;($B$147+1),T150,0)</f>
        <v>334.49993130661176</v>
      </c>
      <c r="W150" s="13">
        <v>36.220415500000001</v>
      </c>
      <c r="X150" s="280">
        <f>+W150+AH162</f>
        <v>36.220415500000001</v>
      </c>
      <c r="Y150" s="13">
        <v>414.6266</v>
      </c>
      <c r="Z150" s="434">
        <f>+COS(X150*3.14159265358979/180)*Y150</f>
        <v>334.49993395207258</v>
      </c>
      <c r="AA150" s="435">
        <f>+AC149-Z150</f>
        <v>-2.6454608246240241E-6</v>
      </c>
      <c r="AB150" s="280"/>
      <c r="AC150" s="436">
        <f>IF(AD150=1,AF150)</f>
        <v>334.49993130661176</v>
      </c>
      <c r="AD150" s="436">
        <f t="shared" ref="AD150:AD161" si="7">MAX(AE$150:AE$161)</f>
        <v>1</v>
      </c>
      <c r="AE150" s="436">
        <f>IF(V150=0,0,1)</f>
        <v>1</v>
      </c>
      <c r="AF150" s="437">
        <f>SUM(V150:V161)/($B$147)</f>
        <v>334.49993130661176</v>
      </c>
      <c r="AG150" s="438">
        <f>+D150+C150</f>
        <v>0</v>
      </c>
      <c r="AH150" s="439">
        <f t="shared" ref="AH150:AH161" si="8">IF(B150&lt;($B$147+1),AG150)</f>
        <v>0</v>
      </c>
      <c r="AI150" s="11">
        <f>53.779595+AH150</f>
        <v>53.779595</v>
      </c>
      <c r="AJ150" s="441">
        <f>SIN(AI150*3.14159265358979/180)</f>
        <v>0.8067499259590819</v>
      </c>
      <c r="AK150" s="11">
        <f>+AJ150*414.6266</f>
        <v>334.49997885066585</v>
      </c>
      <c r="AL150" s="11">
        <f>59.2910885-AH150</f>
        <v>59.291088500000001</v>
      </c>
      <c r="AM150" s="442">
        <f>SIN(AL150*3.14159265358979/180)</f>
        <v>0.85977285389573432</v>
      </c>
      <c r="AN150" s="11">
        <f>+AM150*479.7721</f>
        <v>412.49502763654965</v>
      </c>
      <c r="AO150" s="443">
        <f t="shared" ref="AO150:AO161" si="9">+((AF150*AP150)+($AP$171*($AF$171+$AA$150)))/AQ150</f>
        <v>285.22772079211575</v>
      </c>
      <c r="AP150" s="382">
        <f>72*B147</f>
        <v>72</v>
      </c>
      <c r="AQ150" s="443">
        <f t="shared" ref="AQ150:AQ161" si="10">+AP150+$AP$171+2.3</f>
        <v>114.8</v>
      </c>
      <c r="AR150" s="444">
        <f>+AN150+AK150</f>
        <v>746.99500648721551</v>
      </c>
      <c r="AS150" s="445">
        <f>+V150-AN150</f>
        <v>-77.995096329937894</v>
      </c>
      <c r="AT150" s="446">
        <f>+AO150-AS150</f>
        <v>363.22281712205364</v>
      </c>
      <c r="AU150" s="445">
        <f>+AF150-AS150</f>
        <v>412.49502763654965</v>
      </c>
      <c r="AV150" s="447">
        <f>+((AR150-AT150)/AR150)*AQ150</f>
        <v>58.979038623432345</v>
      </c>
      <c r="AW150" s="447">
        <f>+(AT150/AR150)*AQ150</f>
        <v>55.820961376567645</v>
      </c>
      <c r="AX150" s="448">
        <f t="shared" ref="AX150:AX161" si="11">2*$C$19/AV150</f>
        <v>196.6800454999503</v>
      </c>
      <c r="AY150" s="448">
        <f t="shared" ref="AY150:AY161" si="12">2*$D$19/AW150</f>
        <v>207.80724147236586</v>
      </c>
      <c r="AZ150" s="449">
        <f>ABS(AX150)</f>
        <v>196.6800454999503</v>
      </c>
      <c r="BA150" s="449">
        <f>ABS(AY150)</f>
        <v>207.80724147236586</v>
      </c>
      <c r="BB150" s="91"/>
      <c r="BC150" s="276"/>
      <c r="BE150" s="136"/>
      <c r="BF150" s="136"/>
      <c r="BG150" s="136"/>
      <c r="BH150" s="136"/>
    </row>
    <row r="151" spans="2:128" ht="19" thickBot="1" x14ac:dyDescent="0.25">
      <c r="B151" s="277">
        <v>2</v>
      </c>
      <c r="C151" s="278"/>
      <c r="D151" s="25">
        <v>0</v>
      </c>
      <c r="E151" s="257" t="s">
        <v>80</v>
      </c>
      <c r="F151" s="258"/>
      <c r="G151" s="258"/>
      <c r="H151" s="12">
        <v>479.77208100000001</v>
      </c>
      <c r="I151" s="12">
        <v>61.416098300000002</v>
      </c>
      <c r="J151" s="258">
        <f>+I151+D151</f>
        <v>61.416098300000002</v>
      </c>
      <c r="K151" s="258">
        <f t="shared" ref="K151:K161" si="13">+J151/2</f>
        <v>30.708049150000001</v>
      </c>
      <c r="L151" s="258">
        <f t="shared" ref="L151:L161" si="14">SIN(K151*3.14159265358979/180)</f>
        <v>0.51066370850547771</v>
      </c>
      <c r="M151" s="258">
        <f t="shared" ref="M151:M161" si="15">+L151*H151</f>
        <v>245.00219012085046</v>
      </c>
      <c r="N151" s="258">
        <f t="shared" ref="N151:N161" si="16">+M151*2</f>
        <v>490.00438024170091</v>
      </c>
      <c r="O151" s="258">
        <f>+C150+(D151/2)</f>
        <v>0</v>
      </c>
      <c r="P151" s="258">
        <f t="shared" ref="P151:P161" si="17">SIN(O151*3.14159265358979/180)</f>
        <v>0</v>
      </c>
      <c r="Q151" s="258">
        <f t="shared" ref="Q151:Q161" si="18">+P151*N151</f>
        <v>0</v>
      </c>
      <c r="R151" s="258">
        <f t="shared" ref="R151:R161" si="19">+T150</f>
        <v>334.49993130661176</v>
      </c>
      <c r="S151" s="258">
        <f>+R151+Q151</f>
        <v>334.49993130661176</v>
      </c>
      <c r="T151" s="258">
        <f t="shared" si="5"/>
        <v>334.49993130661176</v>
      </c>
      <c r="U151" s="258"/>
      <c r="V151" s="258">
        <f t="shared" si="6"/>
        <v>0</v>
      </c>
      <c r="W151" s="258"/>
      <c r="X151" s="258"/>
      <c r="Y151" s="258"/>
      <c r="Z151" s="258"/>
      <c r="AA151" s="258"/>
      <c r="AB151" s="258"/>
      <c r="AC151" s="436" t="b">
        <f>IF(AD151=2,AF151)</f>
        <v>0</v>
      </c>
      <c r="AD151" s="436">
        <f t="shared" si="7"/>
        <v>1</v>
      </c>
      <c r="AE151" s="436">
        <f>IF(V151=0,0,2)</f>
        <v>0</v>
      </c>
      <c r="AF151" s="437" t="e">
        <f>SUM(V151:V161)/($B$147-B150)</f>
        <v>#DIV/0!</v>
      </c>
      <c r="AG151" s="450">
        <f>SUM(D151)+$C$150</f>
        <v>0</v>
      </c>
      <c r="AH151" s="439" t="b">
        <f t="shared" si="8"/>
        <v>0</v>
      </c>
      <c r="AI151" s="11">
        <f t="shared" ref="AI151:AI161" si="20">53.779595+AH151</f>
        <v>53.779595</v>
      </c>
      <c r="AJ151" s="441">
        <f>SIN(AI151*3.14159265358979/180)</f>
        <v>0.8067499259590819</v>
      </c>
      <c r="AK151" s="11">
        <f t="shared" ref="AK151:AK161" si="21">+AJ151*414.6266</f>
        <v>334.49997885066585</v>
      </c>
      <c r="AL151" s="11">
        <f t="shared" ref="AL151:AL161" si="22">59.2910885-AH151</f>
        <v>59.291088500000001</v>
      </c>
      <c r="AM151" s="442">
        <f t="shared" ref="AM151:AM161" si="23">SIN(AL151*3.14159265358979/180)</f>
        <v>0.85977285389573432</v>
      </c>
      <c r="AN151" s="11">
        <f t="shared" ref="AN151:AN161" si="24">+AM151*479.7721</f>
        <v>412.49502763654965</v>
      </c>
      <c r="AO151" s="443" t="e">
        <f t="shared" si="9"/>
        <v>#DIV/0!</v>
      </c>
      <c r="AP151" s="382">
        <f t="shared" ref="AP151:AP161" si="25">72*($B$147-B150)</f>
        <v>0</v>
      </c>
      <c r="AQ151" s="443">
        <f t="shared" si="10"/>
        <v>42.8</v>
      </c>
      <c r="AR151" s="444">
        <f t="shared" ref="AR151:AR161" si="26">+AN151+AK151</f>
        <v>746.99500648721551</v>
      </c>
      <c r="AS151" s="445">
        <f>+V151-AN151</f>
        <v>-412.49502763654965</v>
      </c>
      <c r="AT151" s="446" t="e">
        <f t="shared" ref="AT151:AT161" si="27">+AO151-AS151</f>
        <v>#DIV/0!</v>
      </c>
      <c r="AU151" s="445" t="e">
        <f>+AF151-AS151</f>
        <v>#DIV/0!</v>
      </c>
      <c r="AV151" s="447" t="e">
        <f t="shared" ref="AV151:AV161" si="28">+((AR151-AT151)/AR151)*AQ151</f>
        <v>#DIV/0!</v>
      </c>
      <c r="AW151" s="447" t="e">
        <f t="shared" ref="AW151:AW161" si="29">+(AT151/AR151)*AQ151</f>
        <v>#DIV/0!</v>
      </c>
      <c r="AX151" s="448" t="e">
        <f t="shared" si="11"/>
        <v>#DIV/0!</v>
      </c>
      <c r="AY151" s="448" t="e">
        <f t="shared" si="12"/>
        <v>#DIV/0!</v>
      </c>
      <c r="AZ151" s="451" t="e">
        <f t="shared" ref="AZ151:BA161" si="30">ABS(AX151)</f>
        <v>#DIV/0!</v>
      </c>
      <c r="BA151" s="451" t="e">
        <f t="shared" si="30"/>
        <v>#DIV/0!</v>
      </c>
      <c r="BC151" s="276"/>
      <c r="BE151" s="136"/>
      <c r="BF151" s="136"/>
      <c r="BG151" s="136"/>
      <c r="BH151" s="136"/>
      <c r="DE151" s="305"/>
      <c r="DF151" s="305"/>
      <c r="DG151" s="305"/>
      <c r="DH151" s="305"/>
      <c r="DI151" s="305"/>
      <c r="DJ151" s="305"/>
      <c r="DK151" s="1818"/>
      <c r="DL151" s="1818"/>
      <c r="DM151" s="1818"/>
      <c r="DN151" s="126"/>
    </row>
    <row r="152" spans="2:128" ht="19" thickBot="1" x14ac:dyDescent="0.25">
      <c r="B152" s="277">
        <v>3</v>
      </c>
      <c r="C152" s="278"/>
      <c r="D152" s="25">
        <v>0</v>
      </c>
      <c r="E152" s="257" t="s">
        <v>80</v>
      </c>
      <c r="F152" s="258"/>
      <c r="G152" s="258"/>
      <c r="H152" s="12">
        <v>479.77208100000001</v>
      </c>
      <c r="I152" s="12">
        <v>61.416098300000002</v>
      </c>
      <c r="J152" s="258">
        <f t="shared" ref="J152:J161" si="31">+I152+D152</f>
        <v>61.416098300000002</v>
      </c>
      <c r="K152" s="258">
        <f t="shared" si="13"/>
        <v>30.708049150000001</v>
      </c>
      <c r="L152" s="258">
        <f t="shared" si="14"/>
        <v>0.51066370850547771</v>
      </c>
      <c r="M152" s="258">
        <f t="shared" si="15"/>
        <v>245.00219012085046</v>
      </c>
      <c r="N152" s="258">
        <f t="shared" si="16"/>
        <v>490.00438024170091</v>
      </c>
      <c r="O152" s="258">
        <f>+C150+D151+(D152/2)</f>
        <v>0</v>
      </c>
      <c r="P152" s="258">
        <f t="shared" si="17"/>
        <v>0</v>
      </c>
      <c r="Q152" s="258">
        <f t="shared" si="18"/>
        <v>0</v>
      </c>
      <c r="R152" s="258">
        <f t="shared" si="19"/>
        <v>334.49993130661176</v>
      </c>
      <c r="S152" s="258">
        <f t="shared" ref="S152:S161" si="32">+S151+Q152</f>
        <v>334.49993130661176</v>
      </c>
      <c r="T152" s="258">
        <f t="shared" si="5"/>
        <v>334.49993130661176</v>
      </c>
      <c r="U152" s="258"/>
      <c r="V152" s="258">
        <f t="shared" si="6"/>
        <v>0</v>
      </c>
      <c r="W152" s="258"/>
      <c r="X152" s="258"/>
      <c r="Y152" s="258"/>
      <c r="Z152" s="258"/>
      <c r="AA152" s="258"/>
      <c r="AB152" s="258"/>
      <c r="AC152" s="436" t="b">
        <f>IF(AD152=3,AF152)</f>
        <v>0</v>
      </c>
      <c r="AD152" s="436">
        <f t="shared" si="7"/>
        <v>1</v>
      </c>
      <c r="AE152" s="436">
        <f>IF(V152=0,0,3)</f>
        <v>0</v>
      </c>
      <c r="AF152" s="437">
        <f>SUM(V152:V161)/($B$147-B151)</f>
        <v>0</v>
      </c>
      <c r="AG152" s="450">
        <f>SUM(D151:D152)+$C$150</f>
        <v>0</v>
      </c>
      <c r="AH152" s="439" t="b">
        <f t="shared" si="8"/>
        <v>0</v>
      </c>
      <c r="AI152" s="11">
        <f t="shared" si="20"/>
        <v>53.779595</v>
      </c>
      <c r="AJ152" s="441">
        <f t="shared" ref="AJ152:AJ161" si="33">SIN(AI152*3.14159265358979/180)</f>
        <v>0.8067499259590819</v>
      </c>
      <c r="AK152" s="11">
        <f t="shared" si="21"/>
        <v>334.49997885066585</v>
      </c>
      <c r="AL152" s="11">
        <f t="shared" si="22"/>
        <v>59.291088500000001</v>
      </c>
      <c r="AM152" s="442">
        <f t="shared" si="23"/>
        <v>0.85977285389573432</v>
      </c>
      <c r="AN152" s="11">
        <f t="shared" si="24"/>
        <v>412.49502763654965</v>
      </c>
      <c r="AO152" s="443">
        <f t="shared" si="9"/>
        <v>-296.58038674174099</v>
      </c>
      <c r="AP152" s="382">
        <f t="shared" si="25"/>
        <v>-72</v>
      </c>
      <c r="AQ152" s="443">
        <f t="shared" si="10"/>
        <v>-29.2</v>
      </c>
      <c r="AR152" s="444">
        <f t="shared" si="26"/>
        <v>746.99500648721551</v>
      </c>
      <c r="AS152" s="445">
        <f>+V152-AN152</f>
        <v>-412.49502763654965</v>
      </c>
      <c r="AT152" s="446">
        <f t="shared" si="27"/>
        <v>115.91464089480866</v>
      </c>
      <c r="AU152" s="445">
        <f>+AF152-AS152</f>
        <v>412.49502763654965</v>
      </c>
      <c r="AV152" s="447">
        <f t="shared" si="28"/>
        <v>-24.668902088053866</v>
      </c>
      <c r="AW152" s="447">
        <f t="shared" si="29"/>
        <v>-4.5310979119461363</v>
      </c>
      <c r="AX152" s="448">
        <f t="shared" si="11"/>
        <v>-470.22765579897464</v>
      </c>
      <c r="AY152" s="448">
        <f t="shared" si="12"/>
        <v>-2560.0859273901065</v>
      </c>
      <c r="AZ152" s="451">
        <f t="shared" si="30"/>
        <v>470.22765579897464</v>
      </c>
      <c r="BA152" s="451">
        <f t="shared" si="30"/>
        <v>2560.0859273901065</v>
      </c>
      <c r="BC152" s="276"/>
      <c r="BE152" s="136"/>
      <c r="BF152" s="136"/>
      <c r="BG152" s="136"/>
      <c r="BH152" s="136"/>
      <c r="DK152" s="306"/>
      <c r="DX152" s="306"/>
    </row>
    <row r="153" spans="2:128" ht="19" thickBot="1" x14ac:dyDescent="0.25">
      <c r="B153" s="277">
        <v>4</v>
      </c>
      <c r="C153" s="278"/>
      <c r="D153" s="25">
        <v>0</v>
      </c>
      <c r="E153" s="257" t="s">
        <v>80</v>
      </c>
      <c r="F153" s="258"/>
      <c r="G153" s="258"/>
      <c r="H153" s="12">
        <v>479.77208100000001</v>
      </c>
      <c r="I153" s="12">
        <v>61.416098300000002</v>
      </c>
      <c r="J153" s="258">
        <f t="shared" si="31"/>
        <v>61.416098300000002</v>
      </c>
      <c r="K153" s="258">
        <f t="shared" si="13"/>
        <v>30.708049150000001</v>
      </c>
      <c r="L153" s="258">
        <f t="shared" si="14"/>
        <v>0.51066370850547771</v>
      </c>
      <c r="M153" s="258">
        <f t="shared" si="15"/>
        <v>245.00219012085046</v>
      </c>
      <c r="N153" s="258">
        <f t="shared" si="16"/>
        <v>490.00438024170091</v>
      </c>
      <c r="O153" s="258">
        <f>+C150+D151+D152+(D153/2)</f>
        <v>0</v>
      </c>
      <c r="P153" s="258">
        <f t="shared" si="17"/>
        <v>0</v>
      </c>
      <c r="Q153" s="258">
        <f t="shared" si="18"/>
        <v>0</v>
      </c>
      <c r="R153" s="258">
        <f t="shared" si="19"/>
        <v>334.49993130661176</v>
      </c>
      <c r="S153" s="258">
        <f t="shared" si="32"/>
        <v>334.49993130661176</v>
      </c>
      <c r="T153" s="258">
        <f t="shared" si="5"/>
        <v>334.49993130661176</v>
      </c>
      <c r="U153" s="258"/>
      <c r="V153" s="258">
        <f t="shared" si="6"/>
        <v>0</v>
      </c>
      <c r="W153" s="258"/>
      <c r="X153" s="258"/>
      <c r="Y153" s="258"/>
      <c r="Z153" s="258"/>
      <c r="AA153" s="258"/>
      <c r="AB153" s="258"/>
      <c r="AC153" s="436" t="b">
        <f>IF(AD153=4,AF153)</f>
        <v>0</v>
      </c>
      <c r="AD153" s="436">
        <f t="shared" si="7"/>
        <v>1</v>
      </c>
      <c r="AE153" s="436">
        <f>IF(V153=0,0,4)</f>
        <v>0</v>
      </c>
      <c r="AF153" s="437">
        <f>SUM(V153:V161)/($B$147-B152)</f>
        <v>0</v>
      </c>
      <c r="AG153" s="450">
        <f>SUM(D151:D153)+$C$150</f>
        <v>0</v>
      </c>
      <c r="AH153" s="439" t="b">
        <f t="shared" si="8"/>
        <v>0</v>
      </c>
      <c r="AI153" s="11">
        <f t="shared" si="20"/>
        <v>53.779595</v>
      </c>
      <c r="AJ153" s="441">
        <f t="shared" si="33"/>
        <v>0.8067499259590819</v>
      </c>
      <c r="AK153" s="11">
        <f t="shared" si="21"/>
        <v>334.49997885066585</v>
      </c>
      <c r="AL153" s="11">
        <f t="shared" si="22"/>
        <v>59.291088500000001</v>
      </c>
      <c r="AM153" s="442">
        <f t="shared" si="23"/>
        <v>0.85977285389573432</v>
      </c>
      <c r="AN153" s="11">
        <f t="shared" si="24"/>
        <v>412.49502763654965</v>
      </c>
      <c r="AO153" s="443">
        <f t="shared" si="9"/>
        <v>-85.574577992676254</v>
      </c>
      <c r="AP153" s="382">
        <f t="shared" si="25"/>
        <v>-144</v>
      </c>
      <c r="AQ153" s="443">
        <f t="shared" si="10"/>
        <v>-101.2</v>
      </c>
      <c r="AR153" s="444">
        <f t="shared" si="26"/>
        <v>746.99500648721551</v>
      </c>
      <c r="AS153" s="445">
        <f>+V153-AN153</f>
        <v>-412.49502763654965</v>
      </c>
      <c r="AT153" s="446">
        <f t="shared" si="27"/>
        <v>326.92044964387338</v>
      </c>
      <c r="AU153" s="445">
        <f t="shared" ref="AU153:AU161" si="34">+AF153-AS153</f>
        <v>412.49502763654965</v>
      </c>
      <c r="AV153" s="447">
        <f t="shared" si="28"/>
        <v>-56.910079429391466</v>
      </c>
      <c r="AW153" s="447">
        <f t="shared" si="29"/>
        <v>-44.289920570608537</v>
      </c>
      <c r="AX153" s="448">
        <f t="shared" si="11"/>
        <v>-203.83032524830966</v>
      </c>
      <c r="AY153" s="448">
        <f t="shared" si="12"/>
        <v>-261.91060743734852</v>
      </c>
      <c r="AZ153" s="451">
        <f t="shared" si="30"/>
        <v>203.83032524830966</v>
      </c>
      <c r="BA153" s="451">
        <f t="shared" si="30"/>
        <v>261.91060743734852</v>
      </c>
      <c r="BC153" s="276"/>
      <c r="BE153" s="136"/>
      <c r="BF153" s="136"/>
      <c r="BG153" s="136"/>
      <c r="BH153" s="136"/>
      <c r="DE153" s="307"/>
      <c r="DF153" s="307"/>
      <c r="DG153" s="307"/>
      <c r="DH153" s="307"/>
      <c r="DI153" s="307"/>
      <c r="DJ153" s="307"/>
      <c r="DK153" s="1819"/>
      <c r="DL153" s="1819"/>
      <c r="DW153" s="1813"/>
      <c r="DX153" s="1813"/>
    </row>
    <row r="154" spans="2:128" ht="19" thickBot="1" x14ac:dyDescent="0.25">
      <c r="B154" s="277">
        <v>5</v>
      </c>
      <c r="C154" s="278"/>
      <c r="D154" s="25">
        <v>0</v>
      </c>
      <c r="E154" s="257" t="s">
        <v>80</v>
      </c>
      <c r="F154" s="258"/>
      <c r="G154" s="258"/>
      <c r="H154" s="12">
        <v>479.77208100000001</v>
      </c>
      <c r="I154" s="12">
        <v>61.416098300000002</v>
      </c>
      <c r="J154" s="258">
        <f t="shared" si="31"/>
        <v>61.416098300000002</v>
      </c>
      <c r="K154" s="258">
        <f t="shared" si="13"/>
        <v>30.708049150000001</v>
      </c>
      <c r="L154" s="258">
        <f t="shared" si="14"/>
        <v>0.51066370850547771</v>
      </c>
      <c r="M154" s="258">
        <f t="shared" si="15"/>
        <v>245.00219012085046</v>
      </c>
      <c r="N154" s="258">
        <f t="shared" si="16"/>
        <v>490.00438024170091</v>
      </c>
      <c r="O154" s="258">
        <f>+C150+D151+D152+D153+(D154/2)</f>
        <v>0</v>
      </c>
      <c r="P154" s="258">
        <f t="shared" si="17"/>
        <v>0</v>
      </c>
      <c r="Q154" s="258">
        <f t="shared" si="18"/>
        <v>0</v>
      </c>
      <c r="R154" s="258">
        <f t="shared" si="19"/>
        <v>334.49993130661176</v>
      </c>
      <c r="S154" s="258">
        <f t="shared" si="32"/>
        <v>334.49993130661176</v>
      </c>
      <c r="T154" s="258">
        <f t="shared" si="5"/>
        <v>334.49993130661176</v>
      </c>
      <c r="U154" s="258"/>
      <c r="V154" s="258">
        <f t="shared" si="6"/>
        <v>0</v>
      </c>
      <c r="W154" s="258"/>
      <c r="X154" s="258"/>
      <c r="Y154" s="258"/>
      <c r="Z154" s="258"/>
      <c r="AA154" s="258"/>
      <c r="AB154" s="258"/>
      <c r="AC154" s="436" t="b">
        <f>IF(AD154=5,AF154)</f>
        <v>0</v>
      </c>
      <c r="AD154" s="436">
        <f t="shared" si="7"/>
        <v>1</v>
      </c>
      <c r="AE154" s="436">
        <f>IF(V154=0,0,5)</f>
        <v>0</v>
      </c>
      <c r="AF154" s="437">
        <f>SUM(V154:V161)/($B$147-B153)</f>
        <v>0</v>
      </c>
      <c r="AG154" s="450">
        <f>SUM(D151:D154)+$C$150</f>
        <v>0</v>
      </c>
      <c r="AH154" s="439" t="b">
        <f t="shared" si="8"/>
        <v>0</v>
      </c>
      <c r="AI154" s="11">
        <f t="shared" si="20"/>
        <v>53.779595</v>
      </c>
      <c r="AJ154" s="441">
        <f t="shared" si="33"/>
        <v>0.8067499259590819</v>
      </c>
      <c r="AK154" s="11">
        <f t="shared" si="21"/>
        <v>334.49997885066585</v>
      </c>
      <c r="AL154" s="11">
        <f t="shared" si="22"/>
        <v>59.291088500000001</v>
      </c>
      <c r="AM154" s="442">
        <f t="shared" si="23"/>
        <v>0.85977285389573432</v>
      </c>
      <c r="AN154" s="11">
        <f t="shared" si="24"/>
        <v>412.49502763654965</v>
      </c>
      <c r="AO154" s="443">
        <f t="shared" si="9"/>
        <v>-50.000850420663035</v>
      </c>
      <c r="AP154" s="382">
        <f t="shared" si="25"/>
        <v>-216</v>
      </c>
      <c r="AQ154" s="443">
        <f t="shared" si="10"/>
        <v>-173.2</v>
      </c>
      <c r="AR154" s="444">
        <f t="shared" si="26"/>
        <v>746.99500648721551</v>
      </c>
      <c r="AS154" s="445">
        <f t="shared" ref="AS154:AS161" si="35">+V154-AN154</f>
        <v>-412.49502763654965</v>
      </c>
      <c r="AT154" s="446">
        <f t="shared" si="27"/>
        <v>362.49417721588662</v>
      </c>
      <c r="AU154" s="445">
        <f t="shared" si="34"/>
        <v>412.49502763654965</v>
      </c>
      <c r="AV154" s="447">
        <f t="shared" si="28"/>
        <v>-89.151256770729049</v>
      </c>
      <c r="AW154" s="447">
        <f t="shared" si="29"/>
        <v>-84.04874322927094</v>
      </c>
      <c r="AX154" s="448">
        <f t="shared" si="11"/>
        <v>-130.11594474581335</v>
      </c>
      <c r="AY154" s="448">
        <f t="shared" si="12"/>
        <v>-138.01515114101275</v>
      </c>
      <c r="AZ154" s="451">
        <f t="shared" si="30"/>
        <v>130.11594474581335</v>
      </c>
      <c r="BA154" s="451">
        <f t="shared" si="30"/>
        <v>138.01515114101275</v>
      </c>
      <c r="BC154" s="276"/>
      <c r="BE154" s="136"/>
      <c r="BF154" s="136"/>
      <c r="BG154" s="136"/>
      <c r="BH154" s="136"/>
    </row>
    <row r="155" spans="2:128" ht="19" thickBot="1" x14ac:dyDescent="0.25">
      <c r="B155" s="277">
        <v>6</v>
      </c>
      <c r="C155" s="278"/>
      <c r="D155" s="25">
        <v>0</v>
      </c>
      <c r="E155" s="257" t="s">
        <v>80</v>
      </c>
      <c r="F155" s="258"/>
      <c r="G155" s="258"/>
      <c r="H155" s="12">
        <v>479.77208100000001</v>
      </c>
      <c r="I155" s="12">
        <v>61.416098300000002</v>
      </c>
      <c r="J155" s="258">
        <f t="shared" si="31"/>
        <v>61.416098300000002</v>
      </c>
      <c r="K155" s="258">
        <f t="shared" si="13"/>
        <v>30.708049150000001</v>
      </c>
      <c r="L155" s="258">
        <f t="shared" si="14"/>
        <v>0.51066370850547771</v>
      </c>
      <c r="M155" s="258">
        <f t="shared" si="15"/>
        <v>245.00219012085046</v>
      </c>
      <c r="N155" s="258">
        <f t="shared" si="16"/>
        <v>490.00438024170091</v>
      </c>
      <c r="O155" s="258">
        <f>+C150+D151+D152+D153+D154+(D155/2)</f>
        <v>0</v>
      </c>
      <c r="P155" s="258">
        <f t="shared" si="17"/>
        <v>0</v>
      </c>
      <c r="Q155" s="258">
        <f t="shared" si="18"/>
        <v>0</v>
      </c>
      <c r="R155" s="258">
        <f t="shared" si="19"/>
        <v>334.49993130661176</v>
      </c>
      <c r="S155" s="258">
        <f t="shared" si="32"/>
        <v>334.49993130661176</v>
      </c>
      <c r="T155" s="258">
        <f t="shared" si="5"/>
        <v>334.49993130661176</v>
      </c>
      <c r="U155" s="258"/>
      <c r="V155" s="258">
        <f t="shared" si="6"/>
        <v>0</v>
      </c>
      <c r="W155" s="258"/>
      <c r="X155" s="258"/>
      <c r="Y155" s="258"/>
      <c r="Z155" s="258"/>
      <c r="AA155" s="258"/>
      <c r="AB155" s="258"/>
      <c r="AC155" s="436" t="b">
        <f>IF(AD155=6,AF155)</f>
        <v>0</v>
      </c>
      <c r="AD155" s="436">
        <f t="shared" si="7"/>
        <v>1</v>
      </c>
      <c r="AE155" s="436">
        <f>IF(V155=0,0,6)</f>
        <v>0</v>
      </c>
      <c r="AF155" s="437">
        <f>SUM(V155:V161)/($B$147-B154)</f>
        <v>0</v>
      </c>
      <c r="AG155" s="450">
        <f>SUM(D151:D155)+$C$150</f>
        <v>0</v>
      </c>
      <c r="AH155" s="439" t="b">
        <f t="shared" si="8"/>
        <v>0</v>
      </c>
      <c r="AI155" s="11">
        <f t="shared" si="20"/>
        <v>53.779595</v>
      </c>
      <c r="AJ155" s="441">
        <f t="shared" si="33"/>
        <v>0.8067499259590819</v>
      </c>
      <c r="AK155" s="11">
        <f t="shared" si="21"/>
        <v>334.49997885066585</v>
      </c>
      <c r="AL155" s="11">
        <f t="shared" si="22"/>
        <v>59.291088500000001</v>
      </c>
      <c r="AM155" s="442">
        <f t="shared" si="23"/>
        <v>0.85977285389573432</v>
      </c>
      <c r="AN155" s="11">
        <f t="shared" si="24"/>
        <v>412.49502763654965</v>
      </c>
      <c r="AO155" s="443">
        <f t="shared" si="9"/>
        <v>-35.318708372181227</v>
      </c>
      <c r="AP155" s="382">
        <f t="shared" si="25"/>
        <v>-288</v>
      </c>
      <c r="AQ155" s="443">
        <f t="shared" si="10"/>
        <v>-245.2</v>
      </c>
      <c r="AR155" s="444">
        <f t="shared" si="26"/>
        <v>746.99500648721551</v>
      </c>
      <c r="AS155" s="445">
        <f t="shared" si="35"/>
        <v>-412.49502763654965</v>
      </c>
      <c r="AT155" s="446">
        <f t="shared" si="27"/>
        <v>377.17631926436843</v>
      </c>
      <c r="AU155" s="445">
        <f t="shared" si="34"/>
        <v>412.49502763654965</v>
      </c>
      <c r="AV155" s="447">
        <f t="shared" si="28"/>
        <v>-121.39243411206664</v>
      </c>
      <c r="AW155" s="447">
        <f t="shared" si="29"/>
        <v>-123.80756588793336</v>
      </c>
      <c r="AX155" s="448">
        <f t="shared" si="11"/>
        <v>-95.557849917492817</v>
      </c>
      <c r="AY155" s="448">
        <f t="shared" si="12"/>
        <v>-93.693789364213387</v>
      </c>
      <c r="AZ155" s="451">
        <f t="shared" si="30"/>
        <v>95.557849917492817</v>
      </c>
      <c r="BA155" s="451">
        <f t="shared" si="30"/>
        <v>93.693789364213387</v>
      </c>
      <c r="BC155" s="276"/>
      <c r="BE155" s="136"/>
      <c r="BF155" s="136"/>
      <c r="BG155" s="136"/>
      <c r="BH155" s="136"/>
    </row>
    <row r="156" spans="2:128" ht="19" thickBot="1" x14ac:dyDescent="0.25">
      <c r="B156" s="277">
        <v>7</v>
      </c>
      <c r="C156" s="278"/>
      <c r="D156" s="25">
        <v>0</v>
      </c>
      <c r="E156" s="257" t="s">
        <v>80</v>
      </c>
      <c r="F156" s="258"/>
      <c r="G156" s="258"/>
      <c r="H156" s="12">
        <v>479.77208100000001</v>
      </c>
      <c r="I156" s="12">
        <v>61.416098300000002</v>
      </c>
      <c r="J156" s="258">
        <f t="shared" si="31"/>
        <v>61.416098300000002</v>
      </c>
      <c r="K156" s="258">
        <f t="shared" si="13"/>
        <v>30.708049150000001</v>
      </c>
      <c r="L156" s="258">
        <f t="shared" si="14"/>
        <v>0.51066370850547771</v>
      </c>
      <c r="M156" s="258">
        <f t="shared" si="15"/>
        <v>245.00219012085046</v>
      </c>
      <c r="N156" s="258">
        <f t="shared" si="16"/>
        <v>490.00438024170091</v>
      </c>
      <c r="O156" s="258">
        <f>+C150+D151+D152+D153+D154+D155+(D156/2)</f>
        <v>0</v>
      </c>
      <c r="P156" s="258">
        <f t="shared" si="17"/>
        <v>0</v>
      </c>
      <c r="Q156" s="258">
        <f t="shared" si="18"/>
        <v>0</v>
      </c>
      <c r="R156" s="258">
        <f t="shared" si="19"/>
        <v>334.49993130661176</v>
      </c>
      <c r="S156" s="258">
        <f t="shared" si="32"/>
        <v>334.49993130661176</v>
      </c>
      <c r="T156" s="258">
        <f t="shared" si="5"/>
        <v>334.49993130661176</v>
      </c>
      <c r="U156" s="258"/>
      <c r="V156" s="258">
        <f t="shared" si="6"/>
        <v>0</v>
      </c>
      <c r="W156" s="258"/>
      <c r="X156" s="258"/>
      <c r="Y156" s="258"/>
      <c r="Z156" s="258"/>
      <c r="AA156" s="258"/>
      <c r="AB156" s="258"/>
      <c r="AC156" s="436" t="b">
        <f>IF(AD156=7,AF156)</f>
        <v>0</v>
      </c>
      <c r="AD156" s="436">
        <f t="shared" si="7"/>
        <v>1</v>
      </c>
      <c r="AE156" s="436">
        <f>IF(V156=0,0,7)</f>
        <v>0</v>
      </c>
      <c r="AF156" s="437">
        <f>SUM(V156:V161)/($B$147-B155)</f>
        <v>0</v>
      </c>
      <c r="AG156" s="450">
        <f>SUM(D151:D156)+$C$150</f>
        <v>0</v>
      </c>
      <c r="AH156" s="439" t="b">
        <f t="shared" si="8"/>
        <v>0</v>
      </c>
      <c r="AI156" s="11">
        <f t="shared" si="20"/>
        <v>53.779595</v>
      </c>
      <c r="AJ156" s="441">
        <f t="shared" si="33"/>
        <v>0.8067499259590819</v>
      </c>
      <c r="AK156" s="11">
        <f t="shared" si="21"/>
        <v>334.49997885066585</v>
      </c>
      <c r="AL156" s="11">
        <f t="shared" si="22"/>
        <v>59.291088500000001</v>
      </c>
      <c r="AM156" s="442">
        <f t="shared" si="23"/>
        <v>0.85977285389573432</v>
      </c>
      <c r="AN156" s="11">
        <f t="shared" si="24"/>
        <v>412.49502763654965</v>
      </c>
      <c r="AO156" s="443">
        <f t="shared" si="9"/>
        <v>-27.301851490727735</v>
      </c>
      <c r="AP156" s="382">
        <f t="shared" si="25"/>
        <v>-360</v>
      </c>
      <c r="AQ156" s="443">
        <f t="shared" si="10"/>
        <v>-317.2</v>
      </c>
      <c r="AR156" s="444">
        <f t="shared" si="26"/>
        <v>746.99500648721551</v>
      </c>
      <c r="AS156" s="445">
        <f t="shared" si="35"/>
        <v>-412.49502763654965</v>
      </c>
      <c r="AT156" s="446">
        <f t="shared" si="27"/>
        <v>385.19317614582189</v>
      </c>
      <c r="AU156" s="445">
        <f t="shared" si="34"/>
        <v>412.49502763654965</v>
      </c>
      <c r="AV156" s="447">
        <f t="shared" si="28"/>
        <v>-153.63361145340426</v>
      </c>
      <c r="AW156" s="447">
        <f t="shared" si="29"/>
        <v>-163.56638854659573</v>
      </c>
      <c r="AX156" s="448">
        <f t="shared" si="11"/>
        <v>-75.504311135185276</v>
      </c>
      <c r="AY156" s="448">
        <f t="shared" si="12"/>
        <v>-70.919215757432141</v>
      </c>
      <c r="AZ156" s="451">
        <f t="shared" si="30"/>
        <v>75.504311135185276</v>
      </c>
      <c r="BA156" s="451">
        <f t="shared" si="30"/>
        <v>70.919215757432141</v>
      </c>
      <c r="BC156" s="276"/>
      <c r="BE156" s="136"/>
      <c r="BF156" s="136"/>
      <c r="BG156" s="136"/>
      <c r="BH156" s="136"/>
    </row>
    <row r="157" spans="2:128" ht="19" thickBot="1" x14ac:dyDescent="0.25">
      <c r="B157" s="277">
        <v>8</v>
      </c>
      <c r="C157" s="278"/>
      <c r="D157" s="25">
        <v>0</v>
      </c>
      <c r="E157" s="257" t="s">
        <v>80</v>
      </c>
      <c r="F157" s="258"/>
      <c r="G157" s="258"/>
      <c r="H157" s="12">
        <v>479.77208100000001</v>
      </c>
      <c r="I157" s="12">
        <v>61.416098300000002</v>
      </c>
      <c r="J157" s="258">
        <f t="shared" si="31"/>
        <v>61.416098300000002</v>
      </c>
      <c r="K157" s="258">
        <f t="shared" si="13"/>
        <v>30.708049150000001</v>
      </c>
      <c r="L157" s="258">
        <f t="shared" si="14"/>
        <v>0.51066370850547771</v>
      </c>
      <c r="M157" s="258">
        <f t="shared" si="15"/>
        <v>245.00219012085046</v>
      </c>
      <c r="N157" s="258">
        <f t="shared" si="16"/>
        <v>490.00438024170091</v>
      </c>
      <c r="O157" s="258">
        <f>+C150+D151+D152+D153+D154+D155+D156+(D157/2)</f>
        <v>0</v>
      </c>
      <c r="P157" s="258">
        <f t="shared" si="17"/>
        <v>0</v>
      </c>
      <c r="Q157" s="258">
        <f t="shared" si="18"/>
        <v>0</v>
      </c>
      <c r="R157" s="258">
        <f t="shared" si="19"/>
        <v>334.49993130661176</v>
      </c>
      <c r="S157" s="258">
        <f t="shared" si="32"/>
        <v>334.49993130661176</v>
      </c>
      <c r="T157" s="258">
        <f t="shared" si="5"/>
        <v>334.49993130661176</v>
      </c>
      <c r="U157" s="258"/>
      <c r="V157" s="258">
        <f t="shared" si="6"/>
        <v>0</v>
      </c>
      <c r="W157" s="258"/>
      <c r="X157" s="258"/>
      <c r="Y157" s="258"/>
      <c r="Z157" s="258"/>
      <c r="AA157" s="258"/>
      <c r="AB157" s="258"/>
      <c r="AC157" s="436" t="b">
        <f>IF(AD157=8,AF157)</f>
        <v>0</v>
      </c>
      <c r="AD157" s="436">
        <f t="shared" si="7"/>
        <v>1</v>
      </c>
      <c r="AE157" s="436">
        <f>IF(V157=0,0,8)</f>
        <v>0</v>
      </c>
      <c r="AF157" s="437">
        <f>SUM(V157:V161)/($B$147-B156)</f>
        <v>0</v>
      </c>
      <c r="AG157" s="450">
        <f>SUM(D151:D157)+$C$150</f>
        <v>0</v>
      </c>
      <c r="AH157" s="439" t="b">
        <f t="shared" si="8"/>
        <v>0</v>
      </c>
      <c r="AI157" s="11">
        <f t="shared" si="20"/>
        <v>53.779595</v>
      </c>
      <c r="AJ157" s="441">
        <f t="shared" si="33"/>
        <v>0.8067499259590819</v>
      </c>
      <c r="AK157" s="11">
        <f t="shared" si="21"/>
        <v>334.49997885066585</v>
      </c>
      <c r="AL157" s="11">
        <f t="shared" si="22"/>
        <v>59.291088500000001</v>
      </c>
      <c r="AM157" s="442">
        <f t="shared" si="23"/>
        <v>0.85977285389573432</v>
      </c>
      <c r="AN157" s="11">
        <f t="shared" si="24"/>
        <v>412.49502763654965</v>
      </c>
      <c r="AO157" s="443">
        <f t="shared" si="9"/>
        <v>-22.25114926222723</v>
      </c>
      <c r="AP157" s="382">
        <f t="shared" si="25"/>
        <v>-432</v>
      </c>
      <c r="AQ157" s="443">
        <f t="shared" si="10"/>
        <v>-389.2</v>
      </c>
      <c r="AR157" s="444">
        <f t="shared" si="26"/>
        <v>746.99500648721551</v>
      </c>
      <c r="AS157" s="445">
        <f t="shared" si="35"/>
        <v>-412.49502763654965</v>
      </c>
      <c r="AT157" s="446">
        <f t="shared" si="27"/>
        <v>390.24387837432243</v>
      </c>
      <c r="AU157" s="445">
        <f t="shared" si="34"/>
        <v>412.49502763654965</v>
      </c>
      <c r="AV157" s="447">
        <f t="shared" si="28"/>
        <v>-185.87478879474182</v>
      </c>
      <c r="AW157" s="447">
        <f t="shared" si="29"/>
        <v>-203.32521120525814</v>
      </c>
      <c r="AX157" s="448">
        <f t="shared" si="11"/>
        <v>-62.407602855757226</v>
      </c>
      <c r="AY157" s="448">
        <f t="shared" si="12"/>
        <v>-57.051459242256598</v>
      </c>
      <c r="AZ157" s="451">
        <f t="shared" si="30"/>
        <v>62.407602855757226</v>
      </c>
      <c r="BA157" s="451">
        <f t="shared" si="30"/>
        <v>57.051459242256598</v>
      </c>
      <c r="BC157" s="276"/>
      <c r="BE157" s="136"/>
      <c r="BF157" s="136"/>
      <c r="BG157" s="136"/>
      <c r="BH157" s="136"/>
    </row>
    <row r="158" spans="2:128" ht="19" thickBot="1" x14ac:dyDescent="0.25">
      <c r="B158" s="277">
        <v>9</v>
      </c>
      <c r="C158" s="278"/>
      <c r="D158" s="25">
        <v>0</v>
      </c>
      <c r="E158" s="257" t="s">
        <v>80</v>
      </c>
      <c r="F158" s="258"/>
      <c r="G158" s="258"/>
      <c r="H158" s="12">
        <v>479.77208100000001</v>
      </c>
      <c r="I158" s="12">
        <v>61.416098300000002</v>
      </c>
      <c r="J158" s="258">
        <f t="shared" si="31"/>
        <v>61.416098300000002</v>
      </c>
      <c r="K158" s="258">
        <f t="shared" si="13"/>
        <v>30.708049150000001</v>
      </c>
      <c r="L158" s="258">
        <f t="shared" si="14"/>
        <v>0.51066370850547771</v>
      </c>
      <c r="M158" s="258">
        <f t="shared" si="15"/>
        <v>245.00219012085046</v>
      </c>
      <c r="N158" s="258">
        <f t="shared" si="16"/>
        <v>490.00438024170091</v>
      </c>
      <c r="O158" s="258">
        <f>+C150+D151+D152+D153+D154+D155+D156+D157+(D158/2)</f>
        <v>0</v>
      </c>
      <c r="P158" s="258">
        <f t="shared" si="17"/>
        <v>0</v>
      </c>
      <c r="Q158" s="258">
        <f t="shared" si="18"/>
        <v>0</v>
      </c>
      <c r="R158" s="258">
        <f t="shared" si="19"/>
        <v>334.49993130661176</v>
      </c>
      <c r="S158" s="258">
        <f t="shared" si="32"/>
        <v>334.49993130661176</v>
      </c>
      <c r="T158" s="258">
        <f t="shared" si="5"/>
        <v>334.49993130661176</v>
      </c>
      <c r="U158" s="258"/>
      <c r="V158" s="258">
        <f t="shared" si="6"/>
        <v>0</v>
      </c>
      <c r="W158" s="258"/>
      <c r="X158" s="258"/>
      <c r="Y158" s="258"/>
      <c r="Z158" s="258"/>
      <c r="AA158" s="258"/>
      <c r="AB158" s="258"/>
      <c r="AC158" s="436" t="b">
        <f>IF(AD158=9,AF158)</f>
        <v>0</v>
      </c>
      <c r="AD158" s="436">
        <f t="shared" si="7"/>
        <v>1</v>
      </c>
      <c r="AE158" s="436">
        <f>IF(V158=0,0,9)</f>
        <v>0</v>
      </c>
      <c r="AF158" s="437">
        <f>SUM(V158:V161)/($B$147-B157)</f>
        <v>0</v>
      </c>
      <c r="AG158" s="450">
        <f>SUM(D151:D158)+$C$150</f>
        <v>0</v>
      </c>
      <c r="AH158" s="439" t="b">
        <f t="shared" si="8"/>
        <v>0</v>
      </c>
      <c r="AI158" s="11">
        <f t="shared" si="20"/>
        <v>53.779595</v>
      </c>
      <c r="AJ158" s="441">
        <f t="shared" si="33"/>
        <v>0.8067499259590819</v>
      </c>
      <c r="AK158" s="11">
        <f t="shared" si="21"/>
        <v>334.49997885066585</v>
      </c>
      <c r="AL158" s="11">
        <f t="shared" si="22"/>
        <v>59.291088500000001</v>
      </c>
      <c r="AM158" s="442">
        <f t="shared" si="23"/>
        <v>0.85977285389573432</v>
      </c>
      <c r="AN158" s="11">
        <f t="shared" si="24"/>
        <v>412.49502763654965</v>
      </c>
      <c r="AO158" s="443">
        <f t="shared" si="9"/>
        <v>-18.777422577751164</v>
      </c>
      <c r="AP158" s="382">
        <f t="shared" si="25"/>
        <v>-504</v>
      </c>
      <c r="AQ158" s="443">
        <f t="shared" si="10"/>
        <v>-461.2</v>
      </c>
      <c r="AR158" s="444">
        <f t="shared" si="26"/>
        <v>746.99500648721551</v>
      </c>
      <c r="AS158" s="445">
        <f t="shared" si="35"/>
        <v>-412.49502763654965</v>
      </c>
      <c r="AT158" s="446">
        <f t="shared" si="27"/>
        <v>393.71760505879848</v>
      </c>
      <c r="AU158" s="445">
        <f t="shared" si="34"/>
        <v>412.49502763654965</v>
      </c>
      <c r="AV158" s="447">
        <f t="shared" si="28"/>
        <v>-218.11596613607941</v>
      </c>
      <c r="AW158" s="447">
        <f t="shared" si="29"/>
        <v>-243.08403386392058</v>
      </c>
      <c r="AX158" s="448">
        <f t="shared" si="11"/>
        <v>-53.182718374513342</v>
      </c>
      <c r="AY158" s="448">
        <f t="shared" si="12"/>
        <v>-47.7201230192425</v>
      </c>
      <c r="AZ158" s="451">
        <f t="shared" si="30"/>
        <v>53.182718374513342</v>
      </c>
      <c r="BA158" s="451">
        <f t="shared" si="30"/>
        <v>47.7201230192425</v>
      </c>
      <c r="BC158" s="276"/>
      <c r="BE158" s="136"/>
      <c r="BF158" s="136"/>
      <c r="BG158" s="136"/>
      <c r="BH158" s="136"/>
    </row>
    <row r="159" spans="2:128" ht="19" thickBot="1" x14ac:dyDescent="0.25">
      <c r="B159" s="277">
        <v>10</v>
      </c>
      <c r="C159" s="278"/>
      <c r="D159" s="25">
        <v>0</v>
      </c>
      <c r="E159" s="257" t="s">
        <v>80</v>
      </c>
      <c r="F159" s="258"/>
      <c r="G159" s="258"/>
      <c r="H159" s="12">
        <v>479.77208100000001</v>
      </c>
      <c r="I159" s="12">
        <v>61.416098300000002</v>
      </c>
      <c r="J159" s="258">
        <f t="shared" si="31"/>
        <v>61.416098300000002</v>
      </c>
      <c r="K159" s="258">
        <f t="shared" si="13"/>
        <v>30.708049150000001</v>
      </c>
      <c r="L159" s="258">
        <f t="shared" si="14"/>
        <v>0.51066370850547771</v>
      </c>
      <c r="M159" s="258">
        <f t="shared" si="15"/>
        <v>245.00219012085046</v>
      </c>
      <c r="N159" s="258">
        <f t="shared" si="16"/>
        <v>490.00438024170091</v>
      </c>
      <c r="O159" s="258">
        <f>+C150+D151+D152+D153+D154+D155+D156+D157+D158+(D159/2)</f>
        <v>0</v>
      </c>
      <c r="P159" s="258">
        <f t="shared" si="17"/>
        <v>0</v>
      </c>
      <c r="Q159" s="258">
        <f t="shared" si="18"/>
        <v>0</v>
      </c>
      <c r="R159" s="258">
        <f t="shared" si="19"/>
        <v>334.49993130661176</v>
      </c>
      <c r="S159" s="258">
        <f t="shared" si="32"/>
        <v>334.49993130661176</v>
      </c>
      <c r="T159" s="258">
        <f t="shared" si="5"/>
        <v>334.49993130661176</v>
      </c>
      <c r="U159" s="258"/>
      <c r="V159" s="258">
        <f t="shared" si="6"/>
        <v>0</v>
      </c>
      <c r="W159" s="258"/>
      <c r="X159" s="258"/>
      <c r="Y159" s="258"/>
      <c r="Z159" s="258"/>
      <c r="AA159" s="258"/>
      <c r="AB159" s="258"/>
      <c r="AC159" s="436" t="b">
        <f>IF(AD159=10,AF159)</f>
        <v>0</v>
      </c>
      <c r="AD159" s="436">
        <f t="shared" si="7"/>
        <v>1</v>
      </c>
      <c r="AE159" s="436">
        <f>IF(V159=0,0,10)</f>
        <v>0</v>
      </c>
      <c r="AF159" s="437">
        <f>SUM(V159:V161)/($B$147-B158)</f>
        <v>0</v>
      </c>
      <c r="AG159" s="450">
        <f>SUM(D151:D159)+$C$150</f>
        <v>0</v>
      </c>
      <c r="AH159" s="439" t="b">
        <f t="shared" si="8"/>
        <v>0</v>
      </c>
      <c r="AI159" s="11">
        <f t="shared" si="20"/>
        <v>53.779595</v>
      </c>
      <c r="AJ159" s="441">
        <f t="shared" si="33"/>
        <v>0.8067499259590819</v>
      </c>
      <c r="AK159" s="11">
        <f t="shared" si="21"/>
        <v>334.49997885066585</v>
      </c>
      <c r="AL159" s="11">
        <f t="shared" si="22"/>
        <v>59.291088500000001</v>
      </c>
      <c r="AM159" s="442">
        <f t="shared" si="23"/>
        <v>0.85977285389573432</v>
      </c>
      <c r="AN159" s="11">
        <f t="shared" si="24"/>
        <v>412.49502763654965</v>
      </c>
      <c r="AO159" s="443">
        <f t="shared" si="9"/>
        <v>-16.241836633268637</v>
      </c>
      <c r="AP159" s="382">
        <f t="shared" si="25"/>
        <v>-576</v>
      </c>
      <c r="AQ159" s="443">
        <f t="shared" si="10"/>
        <v>-533.20000000000005</v>
      </c>
      <c r="AR159" s="444">
        <f t="shared" si="26"/>
        <v>746.99500648721551</v>
      </c>
      <c r="AS159" s="445">
        <f t="shared" si="35"/>
        <v>-412.49502763654965</v>
      </c>
      <c r="AT159" s="446">
        <f t="shared" si="27"/>
        <v>396.25319100328102</v>
      </c>
      <c r="AU159" s="445">
        <f t="shared" si="34"/>
        <v>412.49502763654965</v>
      </c>
      <c r="AV159" s="447">
        <f t="shared" si="28"/>
        <v>-250.35714347741703</v>
      </c>
      <c r="AW159" s="447">
        <f t="shared" si="29"/>
        <v>-282.84285652258302</v>
      </c>
      <c r="AX159" s="448">
        <f t="shared" si="11"/>
        <v>-46.333808729713176</v>
      </c>
      <c r="AY159" s="448">
        <f t="shared" si="12"/>
        <v>-41.012172421875611</v>
      </c>
      <c r="AZ159" s="451">
        <f t="shared" si="30"/>
        <v>46.333808729713176</v>
      </c>
      <c r="BA159" s="451">
        <f t="shared" si="30"/>
        <v>41.012172421875611</v>
      </c>
      <c r="BC159" s="276"/>
      <c r="BE159" s="136"/>
      <c r="BF159" s="136"/>
      <c r="BG159" s="136"/>
      <c r="BH159" s="136"/>
    </row>
    <row r="160" spans="2:128" ht="19" hidden="1" thickBot="1" x14ac:dyDescent="0.25">
      <c r="B160" s="277">
        <v>11</v>
      </c>
      <c r="C160" s="278"/>
      <c r="D160" s="25">
        <v>0</v>
      </c>
      <c r="E160" s="257" t="s">
        <v>80</v>
      </c>
      <c r="F160" s="258"/>
      <c r="G160" s="258"/>
      <c r="H160" s="12">
        <v>479.77208100000001</v>
      </c>
      <c r="I160" s="12">
        <v>61.416098300000002</v>
      </c>
      <c r="J160" s="258">
        <f t="shared" si="31"/>
        <v>61.416098300000002</v>
      </c>
      <c r="K160" s="258">
        <f t="shared" si="13"/>
        <v>30.708049150000001</v>
      </c>
      <c r="L160" s="258">
        <f t="shared" si="14"/>
        <v>0.51066370850547771</v>
      </c>
      <c r="M160" s="258">
        <f t="shared" si="15"/>
        <v>245.00219012085046</v>
      </c>
      <c r="N160" s="258">
        <f t="shared" si="16"/>
        <v>490.00438024170091</v>
      </c>
      <c r="O160" s="258">
        <f>+C150+D151+D152+D153+D154+D155+D156+D157+D158+D159+(D160/2)</f>
        <v>0</v>
      </c>
      <c r="P160" s="258">
        <f t="shared" si="17"/>
        <v>0</v>
      </c>
      <c r="Q160" s="258">
        <f t="shared" si="18"/>
        <v>0</v>
      </c>
      <c r="R160" s="258">
        <f t="shared" si="19"/>
        <v>334.49993130661176</v>
      </c>
      <c r="S160" s="258">
        <f t="shared" si="32"/>
        <v>334.49993130661176</v>
      </c>
      <c r="T160" s="258">
        <f t="shared" si="5"/>
        <v>334.49993130661176</v>
      </c>
      <c r="U160" s="258"/>
      <c r="V160" s="258">
        <f t="shared" si="6"/>
        <v>0</v>
      </c>
      <c r="W160" s="258"/>
      <c r="X160" s="258"/>
      <c r="Y160" s="258"/>
      <c r="Z160" s="258"/>
      <c r="AA160" s="258"/>
      <c r="AB160" s="258"/>
      <c r="AC160" s="436" t="b">
        <f>IF(AD160=11,AF160)</f>
        <v>0</v>
      </c>
      <c r="AD160" s="436">
        <f t="shared" si="7"/>
        <v>1</v>
      </c>
      <c r="AE160" s="436">
        <f>IF(V160=0,0,11)</f>
        <v>0</v>
      </c>
      <c r="AF160" s="437">
        <f>SUM(V160:V161)/($B$147-B159)</f>
        <v>0</v>
      </c>
      <c r="AG160" s="450">
        <f>SUM(D151:D160)+$C$150</f>
        <v>0</v>
      </c>
      <c r="AH160" s="439" t="b">
        <f t="shared" si="8"/>
        <v>0</v>
      </c>
      <c r="AI160" s="11">
        <f t="shared" si="20"/>
        <v>53.779595</v>
      </c>
      <c r="AJ160" s="441">
        <f t="shared" si="33"/>
        <v>0.8067499259590819</v>
      </c>
      <c r="AK160" s="11">
        <f t="shared" si="21"/>
        <v>334.49997885066585</v>
      </c>
      <c r="AL160" s="11">
        <f t="shared" si="22"/>
        <v>59.291088500000001</v>
      </c>
      <c r="AM160" s="442">
        <f t="shared" si="23"/>
        <v>0.85977285389573432</v>
      </c>
      <c r="AN160" s="11">
        <f t="shared" si="24"/>
        <v>412.49502763654965</v>
      </c>
      <c r="AO160" s="443">
        <f t="shared" si="9"/>
        <v>-14.3095626121263</v>
      </c>
      <c r="AP160" s="382">
        <f t="shared" si="25"/>
        <v>-648</v>
      </c>
      <c r="AQ160" s="443">
        <f t="shared" si="10"/>
        <v>-605.20000000000005</v>
      </c>
      <c r="AR160" s="444">
        <f t="shared" si="26"/>
        <v>746.99500648721551</v>
      </c>
      <c r="AS160" s="445">
        <f t="shared" si="35"/>
        <v>-412.49502763654965</v>
      </c>
      <c r="AT160" s="446">
        <f t="shared" si="27"/>
        <v>398.18546502442337</v>
      </c>
      <c r="AU160" s="445">
        <f t="shared" si="34"/>
        <v>412.49502763654965</v>
      </c>
      <c r="AV160" s="447">
        <f t="shared" si="28"/>
        <v>-282.59832081875464</v>
      </c>
      <c r="AW160" s="447">
        <f t="shared" si="29"/>
        <v>-322.6016791812454</v>
      </c>
      <c r="AX160" s="448">
        <f t="shared" si="11"/>
        <v>-41.04766074473492</v>
      </c>
      <c r="AY160" s="448">
        <f t="shared" si="12"/>
        <v>-35.957655364474533</v>
      </c>
      <c r="AZ160" s="451">
        <f t="shared" si="30"/>
        <v>41.04766074473492</v>
      </c>
      <c r="BA160" s="451">
        <f t="shared" si="30"/>
        <v>35.957655364474533</v>
      </c>
      <c r="BC160" s="276"/>
      <c r="BE160" s="136"/>
      <c r="BF160" s="136"/>
      <c r="BG160" s="136"/>
      <c r="BH160" s="136"/>
    </row>
    <row r="161" spans="2:133" ht="19" hidden="1" thickBot="1" x14ac:dyDescent="0.25">
      <c r="B161" s="277">
        <v>12</v>
      </c>
      <c r="C161" s="278"/>
      <c r="D161" s="25">
        <v>0</v>
      </c>
      <c r="E161" s="257" t="s">
        <v>80</v>
      </c>
      <c r="F161" s="258"/>
      <c r="G161" s="258"/>
      <c r="H161" s="12">
        <v>479.77208100000001</v>
      </c>
      <c r="I161" s="12">
        <v>61.416098300000002</v>
      </c>
      <c r="J161" s="258">
        <f t="shared" si="31"/>
        <v>61.416098300000002</v>
      </c>
      <c r="K161" s="258">
        <f t="shared" si="13"/>
        <v>30.708049150000001</v>
      </c>
      <c r="L161" s="258">
        <f t="shared" si="14"/>
        <v>0.51066370850547771</v>
      </c>
      <c r="M161" s="258">
        <f t="shared" si="15"/>
        <v>245.00219012085046</v>
      </c>
      <c r="N161" s="258">
        <f t="shared" si="16"/>
        <v>490.00438024170091</v>
      </c>
      <c r="O161" s="258">
        <f>+C150+D151+D152+D153+D154+D155+D156+D157+D158+D159+D160+(D161/2)</f>
        <v>0</v>
      </c>
      <c r="P161" s="258">
        <f t="shared" si="17"/>
        <v>0</v>
      </c>
      <c r="Q161" s="258">
        <f t="shared" si="18"/>
        <v>0</v>
      </c>
      <c r="R161" s="258">
        <f t="shared" si="19"/>
        <v>334.49993130661176</v>
      </c>
      <c r="S161" s="258">
        <f t="shared" si="32"/>
        <v>334.49993130661176</v>
      </c>
      <c r="T161" s="258">
        <f t="shared" si="5"/>
        <v>334.49993130661176</v>
      </c>
      <c r="U161" s="258"/>
      <c r="V161" s="258">
        <f t="shared" si="6"/>
        <v>0</v>
      </c>
      <c r="W161" s="258"/>
      <c r="X161" s="258"/>
      <c r="Y161" s="258"/>
      <c r="Z161" s="258"/>
      <c r="AA161" s="258"/>
      <c r="AB161" s="258"/>
      <c r="AC161" s="436" t="b">
        <f>IF(AD161=12,AF161)</f>
        <v>0</v>
      </c>
      <c r="AD161" s="436">
        <f t="shared" si="7"/>
        <v>1</v>
      </c>
      <c r="AE161" s="436">
        <f>IF(V161=0,0,12)</f>
        <v>0</v>
      </c>
      <c r="AF161" s="437">
        <f>SUM(V161)/($B$147-B160)</f>
        <v>0</v>
      </c>
      <c r="AG161" s="450">
        <f>SUM(D151:D161)+$C$150</f>
        <v>0</v>
      </c>
      <c r="AH161" s="439" t="b">
        <f t="shared" si="8"/>
        <v>0</v>
      </c>
      <c r="AI161" s="11">
        <f t="shared" si="20"/>
        <v>53.779595</v>
      </c>
      <c r="AJ161" s="441">
        <f t="shared" si="33"/>
        <v>0.8067499259590819</v>
      </c>
      <c r="AK161" s="11">
        <f t="shared" si="21"/>
        <v>334.49997885066585</v>
      </c>
      <c r="AL161" s="11">
        <f t="shared" si="22"/>
        <v>59.291088500000001</v>
      </c>
      <c r="AM161" s="442">
        <f t="shared" si="23"/>
        <v>0.85977285389573432</v>
      </c>
      <c r="AN161" s="11">
        <f t="shared" si="24"/>
        <v>412.49502763654965</v>
      </c>
      <c r="AO161" s="443">
        <f t="shared" si="9"/>
        <v>-12.788167886678732</v>
      </c>
      <c r="AP161" s="382">
        <f t="shared" si="25"/>
        <v>-720</v>
      </c>
      <c r="AQ161" s="443">
        <f t="shared" si="10"/>
        <v>-677.2</v>
      </c>
      <c r="AR161" s="444">
        <f t="shared" si="26"/>
        <v>746.99500648721551</v>
      </c>
      <c r="AS161" s="445">
        <f t="shared" si="35"/>
        <v>-412.49502763654965</v>
      </c>
      <c r="AT161" s="446">
        <f t="shared" si="27"/>
        <v>399.70685974987094</v>
      </c>
      <c r="AU161" s="445">
        <f t="shared" si="34"/>
        <v>412.49502763654965</v>
      </c>
      <c r="AV161" s="447">
        <f t="shared" si="28"/>
        <v>-314.83949816009221</v>
      </c>
      <c r="AW161" s="447">
        <f t="shared" si="29"/>
        <v>-362.36050183990778</v>
      </c>
      <c r="AX161" s="448">
        <f t="shared" si="11"/>
        <v>-36.844170022471374</v>
      </c>
      <c r="AY161" s="448">
        <f t="shared" si="12"/>
        <v>-32.012319060991153</v>
      </c>
      <c r="AZ161" s="451">
        <f t="shared" si="30"/>
        <v>36.844170022471374</v>
      </c>
      <c r="BA161" s="451">
        <f t="shared" si="30"/>
        <v>32.012319060991153</v>
      </c>
      <c r="BC161" s="276"/>
      <c r="BE161" s="136"/>
      <c r="BF161" s="136"/>
      <c r="BG161" s="136"/>
      <c r="BH161" s="136"/>
    </row>
    <row r="162" spans="2:133" ht="19" thickBot="1" x14ac:dyDescent="0.25">
      <c r="U162" s="276"/>
      <c r="AG162" s="452" t="s">
        <v>79</v>
      </c>
      <c r="AH162" s="453">
        <f>MAX(AH150:AH161)</f>
        <v>0</v>
      </c>
      <c r="BC162" s="276"/>
      <c r="BE162" s="136"/>
      <c r="BF162" s="136"/>
      <c r="BG162" s="136"/>
      <c r="BH162" s="136"/>
    </row>
    <row r="163" spans="2:133" ht="32.25" hidden="1" customHeight="1" x14ac:dyDescent="0.2">
      <c r="B163" s="350"/>
      <c r="U163" s="276"/>
      <c r="AV163" s="457" t="s">
        <v>356</v>
      </c>
      <c r="AW163" s="457"/>
      <c r="AX163" s="457"/>
      <c r="AY163" s="457"/>
      <c r="BC163" s="276"/>
      <c r="BE163" s="136"/>
      <c r="BF163" s="136"/>
      <c r="BG163" s="136"/>
      <c r="BH163" s="136"/>
      <c r="BI163" s="136"/>
      <c r="BK163" s="136"/>
      <c r="BL163" s="136"/>
      <c r="BP163" s="126"/>
      <c r="BR163" s="126"/>
      <c r="BT163" s="126"/>
    </row>
    <row r="164" spans="2:133" ht="32.25" hidden="1" customHeight="1" x14ac:dyDescent="0.2">
      <c r="B164" s="350"/>
      <c r="AB164" s="415"/>
      <c r="AC164" s="415"/>
      <c r="AD164" s="415"/>
      <c r="AE164" s="415"/>
      <c r="AV164" s="1767" t="s">
        <v>355</v>
      </c>
      <c r="AW164" s="1767" t="s">
        <v>357</v>
      </c>
      <c r="AX164" s="1767" t="s">
        <v>358</v>
      </c>
      <c r="AY164" s="457"/>
      <c r="BE164" s="136"/>
      <c r="BF164" s="136"/>
      <c r="BG164" s="136"/>
      <c r="BH164" s="136"/>
      <c r="BI164" s="136"/>
      <c r="BJ164" s="136"/>
      <c r="BK164" s="136"/>
      <c r="BL164" s="136"/>
      <c r="BP164" s="126"/>
      <c r="BT164" s="126"/>
    </row>
    <row r="165" spans="2:133" ht="32.25" hidden="1" customHeight="1" x14ac:dyDescent="0.2">
      <c r="V165" s="187"/>
      <c r="W165" s="187"/>
      <c r="X165" s="187"/>
      <c r="Y165" s="187"/>
      <c r="Z165" s="187"/>
      <c r="AA165" s="187"/>
      <c r="AB165" s="187"/>
      <c r="AC165" s="187"/>
      <c r="AD165" s="187"/>
      <c r="AE165" s="187"/>
      <c r="AF165" s="187"/>
      <c r="AG165" s="187"/>
      <c r="AH165" s="187"/>
      <c r="AI165" s="187"/>
      <c r="AJ165" s="187"/>
      <c r="AK165" s="187"/>
      <c r="AL165" s="187"/>
      <c r="AM165" s="187"/>
      <c r="AN165" s="187"/>
      <c r="AO165" s="187"/>
      <c r="AP165" s="187"/>
      <c r="AQ165" s="187"/>
      <c r="AR165" s="187"/>
      <c r="AS165" s="187"/>
      <c r="AT165" s="187"/>
      <c r="AU165" s="187"/>
      <c r="AV165" s="1767">
        <v>41.231000000000002</v>
      </c>
      <c r="AW165" s="1767">
        <f>+SIN((AV165+AH162)*3.14159265358979/180)</f>
        <v>0.65909645932986105</v>
      </c>
      <c r="AX165" s="1767">
        <f>+AW171/AW165</f>
        <v>26.684934250797355</v>
      </c>
      <c r="AY165" s="1579"/>
      <c r="AZ165" s="187"/>
      <c r="BA165" s="187"/>
      <c r="BB165" s="126"/>
      <c r="BE165" s="136"/>
      <c r="BF165" s="136"/>
      <c r="BG165" s="136"/>
      <c r="BH165" s="136"/>
      <c r="BI165" s="136"/>
      <c r="BJ165" s="136"/>
      <c r="BK165" s="136"/>
      <c r="BL165" s="136"/>
      <c r="BP165" s="126"/>
      <c r="BQ165" s="311"/>
      <c r="BR165" s="311"/>
      <c r="BS165" s="311"/>
      <c r="BT165" s="311"/>
      <c r="BU165" s="311"/>
      <c r="BV165" s="311"/>
      <c r="BW165" s="311"/>
      <c r="BX165" s="311"/>
      <c r="BY165" s="311"/>
      <c r="BZ165" s="311"/>
      <c r="CA165" s="311"/>
      <c r="CB165" s="311"/>
      <c r="CC165" s="311"/>
      <c r="CD165" s="311"/>
      <c r="CE165" s="311"/>
      <c r="CF165" s="311"/>
      <c r="CG165" s="311"/>
      <c r="CH165" s="311"/>
      <c r="CI165" s="311"/>
      <c r="CJ165" s="311"/>
      <c r="CK165" s="311"/>
      <c r="CL165" s="311"/>
      <c r="CM165" s="311"/>
      <c r="CN165" s="311"/>
    </row>
    <row r="166" spans="2:133" ht="32.25" hidden="1" customHeight="1" thickBot="1" x14ac:dyDescent="0.25">
      <c r="V166" s="187"/>
      <c r="W166" s="187"/>
      <c r="X166" s="187"/>
      <c r="Y166" s="187"/>
      <c r="Z166" s="187"/>
      <c r="AA166" s="187"/>
      <c r="AB166" s="187"/>
      <c r="AC166" s="187"/>
      <c r="AD166" s="187"/>
      <c r="AE166" s="187"/>
      <c r="AF166" s="187"/>
      <c r="AG166" s="187"/>
      <c r="AH166" s="187"/>
      <c r="AI166" s="187"/>
      <c r="AJ166" s="187"/>
      <c r="AK166" s="187"/>
      <c r="AL166" s="187"/>
      <c r="AM166" s="187"/>
      <c r="AN166" s="187"/>
      <c r="AO166" s="187"/>
      <c r="AP166" s="187"/>
      <c r="AQ166" s="187"/>
      <c r="AR166" s="187"/>
      <c r="AS166" s="187"/>
      <c r="AT166" s="187"/>
      <c r="AU166" s="187"/>
      <c r="AV166" s="1579"/>
      <c r="AW166" s="457"/>
      <c r="AX166" s="1579"/>
      <c r="AY166" s="1579"/>
      <c r="AZ166" s="187"/>
      <c r="BA166" s="187"/>
      <c r="BB166" s="126"/>
      <c r="BE166" s="136"/>
      <c r="BF166" s="136"/>
      <c r="BG166" s="136"/>
      <c r="BH166" s="136"/>
      <c r="BI166" s="136"/>
      <c r="BJ166" s="136"/>
      <c r="BK166" s="136"/>
      <c r="BL166" s="136"/>
      <c r="BP166" s="126"/>
    </row>
    <row r="167" spans="2:133" ht="66.75" customHeight="1" thickBot="1" x14ac:dyDescent="0.25">
      <c r="B167" s="345" t="s">
        <v>157</v>
      </c>
      <c r="C167" s="454"/>
      <c r="D167" s="455"/>
      <c r="E167" s="37"/>
      <c r="F167" s="37"/>
      <c r="G167" s="37"/>
      <c r="H167" s="456"/>
      <c r="I167" s="456"/>
      <c r="J167" s="456"/>
      <c r="K167" s="456"/>
      <c r="L167" s="456"/>
      <c r="M167" s="456"/>
      <c r="N167" s="456"/>
      <c r="O167" s="456"/>
      <c r="P167" s="456"/>
      <c r="Q167" s="456"/>
      <c r="R167" s="456"/>
      <c r="S167" s="457" t="s">
        <v>134</v>
      </c>
      <c r="T167" s="457">
        <f>SUM(V171:V176)/B168</f>
        <v>213.83080000000001</v>
      </c>
      <c r="U167" s="212"/>
      <c r="V167" s="187"/>
      <c r="W167" s="187"/>
      <c r="X167" s="187"/>
      <c r="Y167" s="187"/>
      <c r="Z167" s="187"/>
      <c r="AA167" s="187"/>
      <c r="AB167" s="187"/>
      <c r="AC167" s="187"/>
      <c r="AD167" s="187"/>
      <c r="AE167" s="187"/>
      <c r="AF167" s="187"/>
      <c r="AG167" s="187"/>
      <c r="AH167" s="187"/>
      <c r="AI167" s="187"/>
      <c r="AJ167" s="187"/>
      <c r="AK167" s="187"/>
      <c r="AL167" s="187"/>
      <c r="AM167" s="187"/>
      <c r="AN167" s="187"/>
      <c r="AO167" s="187"/>
      <c r="AP167" s="187"/>
      <c r="AQ167" s="187"/>
      <c r="AR167" s="187"/>
      <c r="AS167" s="187"/>
      <c r="AT167" s="187"/>
      <c r="AU167" s="187"/>
      <c r="AV167" s="1579"/>
      <c r="AW167" s="1579"/>
      <c r="AX167" s="1763" t="s">
        <v>359</v>
      </c>
      <c r="AY167" s="1764">
        <v>3200</v>
      </c>
      <c r="AZ167" s="187"/>
      <c r="BA167" s="187"/>
      <c r="BB167" s="126"/>
      <c r="BC167" s="458"/>
      <c r="BD167" s="458"/>
      <c r="BE167" s="136"/>
      <c r="BF167" s="136"/>
      <c r="BG167" s="136"/>
      <c r="BH167" s="136"/>
      <c r="BI167" s="136"/>
      <c r="BJ167" s="136"/>
      <c r="BK167" s="136"/>
      <c r="BL167" s="136"/>
      <c r="BP167" s="235"/>
      <c r="BQ167" s="312"/>
      <c r="BR167" s="312"/>
      <c r="BS167" s="312"/>
      <c r="BT167" s="312"/>
      <c r="BU167" s="312"/>
      <c r="BV167" s="312"/>
      <c r="BW167" s="312"/>
      <c r="BX167" s="312"/>
      <c r="BY167" s="312"/>
      <c r="BZ167" s="312"/>
      <c r="CA167" s="312"/>
      <c r="CB167" s="312"/>
      <c r="CC167" s="312"/>
      <c r="CD167" s="312"/>
      <c r="CE167" s="312"/>
      <c r="CF167" s="312"/>
      <c r="CG167" s="312"/>
      <c r="CH167" s="312"/>
      <c r="CI167" s="312"/>
      <c r="CJ167" s="312"/>
      <c r="CK167" s="312"/>
      <c r="CL167" s="312"/>
      <c r="CM167" s="312"/>
      <c r="CN167" s="312"/>
    </row>
    <row r="168" spans="2:133" ht="27" thickBot="1" x14ac:dyDescent="0.3">
      <c r="B168" s="27">
        <v>1</v>
      </c>
      <c r="C168" s="216"/>
      <c r="D168" s="459" t="s">
        <v>117</v>
      </c>
      <c r="E168" s="330"/>
      <c r="F168" s="330"/>
      <c r="G168" s="330"/>
      <c r="H168" s="460"/>
      <c r="I168" s="461"/>
      <c r="J168" s="461"/>
      <c r="K168" s="461"/>
      <c r="L168" s="461"/>
      <c r="M168" s="461"/>
      <c r="N168" s="461"/>
      <c r="O168" s="461"/>
      <c r="P168" s="461"/>
      <c r="Q168" s="461"/>
      <c r="R168" s="461"/>
      <c r="S168" s="462"/>
      <c r="T168" s="463"/>
      <c r="U168" s="401"/>
      <c r="V168" s="464"/>
      <c r="W168" s="464"/>
      <c r="X168" s="464"/>
      <c r="Y168" s="464"/>
      <c r="Z168" s="464"/>
      <c r="AA168" s="464"/>
      <c r="AB168" s="464"/>
      <c r="AC168" s="464"/>
      <c r="AD168" s="464"/>
      <c r="AE168" s="464"/>
      <c r="AF168" s="464"/>
      <c r="AG168" s="464"/>
      <c r="AH168" s="464"/>
      <c r="AI168" s="464"/>
      <c r="AJ168" s="464"/>
      <c r="AK168" s="464"/>
      <c r="AL168" s="464"/>
      <c r="AM168" s="464"/>
      <c r="AN168" s="464"/>
      <c r="AO168" s="464"/>
      <c r="AP168" s="464"/>
      <c r="AQ168" s="464"/>
      <c r="AR168" s="464"/>
      <c r="AS168" s="464"/>
      <c r="AT168" s="464"/>
      <c r="AU168" s="464"/>
      <c r="AV168" s="1765"/>
      <c r="AW168" s="1765"/>
      <c r="AX168" s="1763" t="s">
        <v>360</v>
      </c>
      <c r="AY168" s="1766">
        <f>+AY167/SIN((AV165)*3.14159265358979/180)</f>
        <v>4855.1315284770499</v>
      </c>
      <c r="AZ168" s="1848" t="s">
        <v>52</v>
      </c>
      <c r="BA168" s="1849"/>
      <c r="BB168" s="218"/>
      <c r="BC168" s="144"/>
      <c r="BD168" s="144"/>
      <c r="BE168" s="136"/>
      <c r="BF168" s="136"/>
      <c r="BG168" s="136"/>
      <c r="BH168" s="136"/>
      <c r="BI168" s="136"/>
      <c r="BJ168" s="136"/>
      <c r="BK168" s="136"/>
      <c r="BL168" s="136"/>
      <c r="BP168" s="126"/>
      <c r="BQ168" s="203"/>
      <c r="BR168" s="203"/>
      <c r="BS168" s="203"/>
      <c r="BT168" s="203"/>
      <c r="BU168" s="203"/>
      <c r="BV168" s="203"/>
      <c r="BW168" s="203"/>
      <c r="BX168" s="203"/>
      <c r="BY168" s="203"/>
      <c r="BZ168" s="203"/>
      <c r="CA168" s="203"/>
      <c r="CB168" s="203"/>
      <c r="CC168" s="203"/>
      <c r="CD168" s="203"/>
      <c r="CE168" s="203"/>
      <c r="CF168" s="203"/>
      <c r="CG168" s="203"/>
      <c r="CH168" s="203"/>
      <c r="CI168" s="203"/>
      <c r="CJ168" s="203"/>
      <c r="CK168" s="203"/>
      <c r="CL168" s="203"/>
      <c r="CM168" s="203"/>
      <c r="CN168" s="203"/>
    </row>
    <row r="169" spans="2:133" ht="20" hidden="1" thickBot="1" x14ac:dyDescent="0.25">
      <c r="C169" s="416"/>
      <c r="D169" s="354" t="s">
        <v>13</v>
      </c>
      <c r="H169" s="465" t="s">
        <v>4</v>
      </c>
      <c r="I169" s="465" t="s">
        <v>1</v>
      </c>
      <c r="J169" s="456" t="s">
        <v>0</v>
      </c>
      <c r="K169" s="456" t="s">
        <v>2</v>
      </c>
      <c r="L169" s="456" t="s">
        <v>3</v>
      </c>
      <c r="M169" s="456" t="s">
        <v>8</v>
      </c>
      <c r="N169" s="456" t="s">
        <v>5</v>
      </c>
      <c r="O169" s="456" t="s">
        <v>6</v>
      </c>
      <c r="P169" s="456" t="s">
        <v>7</v>
      </c>
      <c r="Q169" s="456" t="s">
        <v>9</v>
      </c>
      <c r="R169" s="466" t="s">
        <v>10</v>
      </c>
      <c r="S169" s="456" t="s">
        <v>11</v>
      </c>
      <c r="T169" s="467" t="s">
        <v>12</v>
      </c>
      <c r="V169" s="420"/>
      <c r="W169" s="420"/>
      <c r="X169" s="420"/>
      <c r="Y169" s="420"/>
      <c r="Z169" s="420"/>
      <c r="AA169" s="420"/>
      <c r="AB169" s="420"/>
      <c r="AC169" s="420"/>
      <c r="AD169" s="420"/>
      <c r="AE169" s="420"/>
      <c r="AF169" s="420"/>
      <c r="AG169" s="420"/>
      <c r="AH169" s="420"/>
      <c r="AI169" s="420"/>
      <c r="AJ169" s="420"/>
      <c r="AK169" s="420"/>
      <c r="AL169" s="420"/>
      <c r="AM169" s="420"/>
      <c r="AN169" s="420"/>
      <c r="AO169" s="420"/>
      <c r="AP169" s="420"/>
      <c r="AQ169" s="420"/>
      <c r="AR169" s="420"/>
      <c r="AS169" s="420"/>
      <c r="AT169" s="420"/>
      <c r="AU169" s="420"/>
      <c r="AV169" s="420"/>
      <c r="AW169" s="420"/>
      <c r="AX169" s="415"/>
      <c r="AY169" s="420"/>
      <c r="AZ169" s="420"/>
      <c r="BA169" s="420"/>
      <c r="BB169" s="231"/>
      <c r="BC169" s="228"/>
      <c r="BE169" s="136"/>
      <c r="BF169" s="136"/>
      <c r="BG169" s="136"/>
      <c r="BH169" s="136"/>
      <c r="BI169" s="136"/>
      <c r="BJ169" s="136"/>
      <c r="BK169" s="136"/>
      <c r="BL169" s="136"/>
    </row>
    <row r="170" spans="2:133" ht="47.75" customHeight="1" thickBot="1" x14ac:dyDescent="0.25">
      <c r="B170" s="421"/>
      <c r="C170" s="422"/>
      <c r="D170" s="348" t="s">
        <v>22</v>
      </c>
      <c r="E170" s="330"/>
      <c r="F170" s="468"/>
      <c r="G170" s="240"/>
      <c r="H170" s="469"/>
      <c r="I170" s="470"/>
      <c r="R170" s="466"/>
      <c r="T170" s="471"/>
      <c r="V170" s="420"/>
      <c r="W170" s="420"/>
      <c r="X170" s="420"/>
      <c r="Y170" s="420"/>
      <c r="Z170" s="420"/>
      <c r="AA170" s="420"/>
      <c r="AB170" s="420"/>
      <c r="AC170" s="420"/>
      <c r="AD170" s="420"/>
      <c r="AE170" s="420"/>
      <c r="AF170" s="420" t="s">
        <v>38</v>
      </c>
      <c r="AG170" s="425" t="s">
        <v>31</v>
      </c>
      <c r="AH170" s="425"/>
      <c r="AI170" s="368" t="s">
        <v>120</v>
      </c>
      <c r="AJ170" s="426" t="s">
        <v>32</v>
      </c>
      <c r="AK170" s="472" t="s">
        <v>142</v>
      </c>
      <c r="AL170" s="368" t="s">
        <v>121</v>
      </c>
      <c r="AM170" s="427" t="s">
        <v>34</v>
      </c>
      <c r="AN170" s="472" t="s">
        <v>143</v>
      </c>
      <c r="AO170" s="427"/>
      <c r="AP170" s="473" t="s">
        <v>36</v>
      </c>
      <c r="AQ170" s="420"/>
      <c r="AR170" s="420" t="s">
        <v>37</v>
      </c>
      <c r="AS170" s="420" t="s">
        <v>39</v>
      </c>
      <c r="AT170" s="420"/>
      <c r="AU170" s="420" t="s">
        <v>40</v>
      </c>
      <c r="AV170" s="429" t="s">
        <v>41</v>
      </c>
      <c r="AW170" s="429" t="s">
        <v>42</v>
      </c>
      <c r="AX170" s="430" t="s">
        <v>23</v>
      </c>
      <c r="AY170" s="430" t="s">
        <v>24</v>
      </c>
      <c r="AZ170" s="431" t="s">
        <v>23</v>
      </c>
      <c r="BA170" s="431" t="s">
        <v>24</v>
      </c>
      <c r="BC170" s="228"/>
      <c r="BE170" s="136"/>
      <c r="BF170" s="136"/>
      <c r="BG170" s="136"/>
      <c r="BH170" s="136"/>
      <c r="BI170" s="136"/>
      <c r="BJ170" s="136"/>
      <c r="BK170" s="136"/>
      <c r="BL170" s="136"/>
      <c r="BQ170" s="236"/>
      <c r="BR170" s="236"/>
      <c r="BS170" s="236"/>
      <c r="BT170" s="236"/>
      <c r="BU170" s="236"/>
      <c r="BV170" s="236"/>
      <c r="BW170" s="126"/>
      <c r="BX170" s="126"/>
      <c r="BY170" s="126"/>
      <c r="BZ170" s="126"/>
      <c r="CA170" s="126"/>
      <c r="CB170" s="236"/>
      <c r="CC170" s="236"/>
      <c r="CD170" s="236"/>
      <c r="CE170" s="126"/>
      <c r="CF170" s="126"/>
      <c r="CG170" s="126"/>
      <c r="CH170" s="126"/>
      <c r="CI170" s="126"/>
      <c r="CJ170" s="126"/>
      <c r="CK170" s="126"/>
      <c r="CL170" s="126"/>
      <c r="CM170" s="126"/>
      <c r="CN170" s="126"/>
      <c r="DE170" s="126"/>
      <c r="DG170" s="126"/>
      <c r="DI170" s="126"/>
    </row>
    <row r="171" spans="2:133" ht="19" thickBot="1" x14ac:dyDescent="0.25">
      <c r="B171" s="255">
        <v>1</v>
      </c>
      <c r="C171" s="256">
        <f>+AH162+D171</f>
        <v>0</v>
      </c>
      <c r="D171" s="30">
        <v>0</v>
      </c>
      <c r="E171" s="257" t="s">
        <v>163</v>
      </c>
      <c r="F171" s="258"/>
      <c r="G171" s="258">
        <f>+D171</f>
        <v>0</v>
      </c>
      <c r="H171" s="282">
        <v>279.06049999999999</v>
      </c>
      <c r="I171" s="283">
        <v>79.962900599999998</v>
      </c>
      <c r="J171" s="474">
        <f>+I171-C171</f>
        <v>79.962900599999998</v>
      </c>
      <c r="K171" s="474">
        <f>+J171/2</f>
        <v>39.981450299999999</v>
      </c>
      <c r="L171" s="474">
        <f t="shared" ref="L171:L176" si="36">SIN(K171*3.14159265358979/180)</f>
        <v>0.64253956655634092</v>
      </c>
      <c r="M171" s="474">
        <f t="shared" ref="M171:M176" si="37">+L171*H171</f>
        <v>179.30741271299578</v>
      </c>
      <c r="N171" s="474">
        <f t="shared" ref="N171:N176" si="38">+M171*2</f>
        <v>358.61482542599157</v>
      </c>
      <c r="O171" s="474">
        <f>+C171/2</f>
        <v>0</v>
      </c>
      <c r="P171" s="474">
        <f t="shared" ref="P171:P176" si="39">SIN(O171*3.14159265358979/180)</f>
        <v>0</v>
      </c>
      <c r="Q171" s="474">
        <f t="shared" ref="Q171:Q176" si="40">+P171*N171</f>
        <v>0</v>
      </c>
      <c r="R171" s="475">
        <v>213.83080000000001</v>
      </c>
      <c r="S171" s="474">
        <f>+R171+Q171</f>
        <v>213.83080000000001</v>
      </c>
      <c r="T171" s="476">
        <f t="shared" ref="T171:T176" si="41">+S171</f>
        <v>213.83080000000001</v>
      </c>
      <c r="V171" s="437">
        <f t="shared" ref="V171:V176" si="42">IF(B171&lt;($B$168+1),T171,0)</f>
        <v>213.83080000000001</v>
      </c>
      <c r="W171" s="437"/>
      <c r="X171" s="437"/>
      <c r="Y171" s="437"/>
      <c r="Z171" s="437"/>
      <c r="AA171" s="437"/>
      <c r="AB171" s="477" t="str">
        <f>IF(AY171&lt;0,"use the locking pin"," ")</f>
        <v xml:space="preserve"> </v>
      </c>
      <c r="AC171" s="478"/>
      <c r="AD171" s="478"/>
      <c r="AE171" s="478"/>
      <c r="AF171" s="437">
        <f>SUM(V171:V178)/($B$168)</f>
        <v>213.83080000000001</v>
      </c>
      <c r="AG171" s="450">
        <f>C171</f>
        <v>0</v>
      </c>
      <c r="AH171" s="450"/>
      <c r="AI171" s="287">
        <f>66.2555484-AG171</f>
        <v>66.255548399999995</v>
      </c>
      <c r="AJ171" s="441">
        <f t="shared" ref="AJ171:AJ176" si="43">SIN(AI171*3.14159265358979/180)</f>
        <v>0.91535047595051022</v>
      </c>
      <c r="AK171" s="289">
        <f>+AJ171*304.3209</f>
        <v>278.56028065668761</v>
      </c>
      <c r="AL171" s="287">
        <f>50.0185497+AG171</f>
        <v>50.018549700000001</v>
      </c>
      <c r="AM171" s="442">
        <f>SIN(AL171*3.14159265358979/180)</f>
        <v>0.76625250760411079</v>
      </c>
      <c r="AN171" s="291">
        <f>+AM171*279.0605</f>
        <v>213.83080789825695</v>
      </c>
      <c r="AO171" s="479"/>
      <c r="AP171" s="480">
        <f>40.5*B168</f>
        <v>40.5</v>
      </c>
      <c r="AQ171" s="444"/>
      <c r="AR171" s="444">
        <f>+AN171+AK171</f>
        <v>492.39108855494453</v>
      </c>
      <c r="AS171" s="445">
        <f>+V171-AN171</f>
        <v>-7.8982569391428115E-6</v>
      </c>
      <c r="AT171" s="445"/>
      <c r="AU171" s="445">
        <f>+AF171-AS171</f>
        <v>213.83080789825695</v>
      </c>
      <c r="AV171" s="447">
        <f>+((AR171-AU171)/AR171)*AP171</f>
        <v>22.912054317849329</v>
      </c>
      <c r="AW171" s="447">
        <f>+(AU171/AR171)*AP171</f>
        <v>17.587945682150675</v>
      </c>
      <c r="AX171" s="448">
        <f>2*$C$18/AV171</f>
        <v>506.28371594611554</v>
      </c>
      <c r="AY171" s="1768">
        <f>AY168/AX165</f>
        <v>181.9427952434238</v>
      </c>
      <c r="AZ171" s="451">
        <f>ABS(AX171)</f>
        <v>506.28371594611554</v>
      </c>
      <c r="BA171" s="451">
        <f>ABS(AY171)</f>
        <v>181.9427952434238</v>
      </c>
      <c r="BB171" s="91"/>
      <c r="BC171" s="481"/>
      <c r="BE171" s="136"/>
      <c r="BF171" s="136"/>
      <c r="BG171" s="136"/>
      <c r="BH171" s="136"/>
      <c r="BI171" s="136"/>
      <c r="BJ171" s="136"/>
      <c r="BK171" s="136"/>
      <c r="BL171" s="136"/>
      <c r="BQ171" s="236"/>
      <c r="BR171" s="236"/>
      <c r="BS171" s="236"/>
      <c r="BT171" s="236"/>
      <c r="BU171" s="236"/>
      <c r="BV171" s="236"/>
      <c r="CA171" s="236"/>
      <c r="CB171" s="236"/>
      <c r="CC171" s="236"/>
      <c r="CD171" s="236"/>
      <c r="CI171" s="236"/>
      <c r="CJ171" s="236"/>
      <c r="CK171" s="236"/>
      <c r="CL171" s="236"/>
      <c r="CM171" s="236"/>
      <c r="CN171" s="236"/>
      <c r="DE171" s="126"/>
      <c r="DI171" s="126"/>
    </row>
    <row r="172" spans="2:133" ht="19" thickBot="1" x14ac:dyDescent="0.25">
      <c r="B172" s="277">
        <v>2</v>
      </c>
      <c r="C172" s="278"/>
      <c r="D172" s="25">
        <v>0</v>
      </c>
      <c r="E172" s="279" t="s">
        <v>130</v>
      </c>
      <c r="F172" s="258"/>
      <c r="G172" s="258">
        <f t="shared" ref="G172:G176" si="44">+D172+BB172</f>
        <v>0</v>
      </c>
      <c r="H172" s="282">
        <v>279.06049999999999</v>
      </c>
      <c r="I172" s="283">
        <v>79.962900599999998</v>
      </c>
      <c r="J172" s="474">
        <f t="shared" ref="J172:J176" si="45">+I172-D172</f>
        <v>79.962900599999998</v>
      </c>
      <c r="K172" s="474">
        <f t="shared" ref="K172:K176" si="46">+J172/2</f>
        <v>39.981450299999999</v>
      </c>
      <c r="L172" s="474">
        <f t="shared" si="36"/>
        <v>0.64253956655634092</v>
      </c>
      <c r="M172" s="474">
        <f t="shared" si="37"/>
        <v>179.30741271299578</v>
      </c>
      <c r="N172" s="474">
        <f t="shared" si="38"/>
        <v>358.61482542599157</v>
      </c>
      <c r="O172" s="474">
        <f>+C171+(D172/2)</f>
        <v>0</v>
      </c>
      <c r="P172" s="474">
        <f t="shared" si="39"/>
        <v>0</v>
      </c>
      <c r="Q172" s="474">
        <f t="shared" si="40"/>
        <v>0</v>
      </c>
      <c r="R172" s="474">
        <f t="shared" ref="R172:R176" si="47">+T171</f>
        <v>213.83080000000001</v>
      </c>
      <c r="S172" s="474">
        <f>+R172+Q172</f>
        <v>213.83080000000001</v>
      </c>
      <c r="T172" s="476">
        <f t="shared" si="41"/>
        <v>213.83080000000001</v>
      </c>
      <c r="V172" s="437">
        <f t="shared" si="42"/>
        <v>0</v>
      </c>
      <c r="W172" s="437"/>
      <c r="X172" s="437"/>
      <c r="Y172" s="437"/>
      <c r="Z172" s="437"/>
      <c r="AA172" s="437"/>
      <c r="AB172" s="477" t="e">
        <f t="shared" ref="AB172:AB176" si="48">IF(AY172&lt;0,"use the locking pin"," ")</f>
        <v>#DIV/0!</v>
      </c>
      <c r="AC172" s="478"/>
      <c r="AD172" s="478"/>
      <c r="AE172" s="478"/>
      <c r="AF172" s="437" t="e">
        <f>SUM(V172:V178)/($B$168-B171)</f>
        <v>#DIV/0!</v>
      </c>
      <c r="AG172" s="450">
        <f>SUM(D172)+$C$171</f>
        <v>0</v>
      </c>
      <c r="AH172" s="450"/>
      <c r="AI172" s="287">
        <f t="shared" ref="AI172:AI176" si="49">66.2555484-AG172</f>
        <v>66.255548399999995</v>
      </c>
      <c r="AJ172" s="441">
        <f t="shared" si="43"/>
        <v>0.91535047595051022</v>
      </c>
      <c r="AK172" s="289">
        <f t="shared" ref="AK172:AK176" si="50">+AJ172*304.3209</f>
        <v>278.56028065668761</v>
      </c>
      <c r="AL172" s="287">
        <f t="shared" ref="AL172:AL176" si="51">50.0185497+AG172</f>
        <v>50.018549700000001</v>
      </c>
      <c r="AM172" s="442">
        <f t="shared" ref="AM172:AM176" si="52">SIN(AL172*3.14159265358979/180)</f>
        <v>0.76625250760411079</v>
      </c>
      <c r="AN172" s="291">
        <f t="shared" ref="AN172:AN176" si="53">+AM172*279.0605</f>
        <v>213.83080789825695</v>
      </c>
      <c r="AO172" s="479"/>
      <c r="AP172" s="291">
        <f>40.5*($B$168-B171)</f>
        <v>0</v>
      </c>
      <c r="AQ172" s="444"/>
      <c r="AR172" s="444">
        <f t="shared" ref="AR172:AR176" si="54">+AN172+AK172</f>
        <v>492.39108855494453</v>
      </c>
      <c r="AS172" s="445">
        <f>+V172-AN172</f>
        <v>-213.83080789825695</v>
      </c>
      <c r="AT172" s="445"/>
      <c r="AU172" s="445" t="e">
        <f>+AF172-AS172</f>
        <v>#DIV/0!</v>
      </c>
      <c r="AV172" s="447" t="e">
        <f t="shared" ref="AV172:AV176" si="55">+((AR172-AU172)/AR172)*AP172</f>
        <v>#DIV/0!</v>
      </c>
      <c r="AW172" s="447" t="e">
        <f t="shared" ref="AW172:AW176" si="56">+(AU172/AR172)*AP172</f>
        <v>#DIV/0!</v>
      </c>
      <c r="AX172" s="448" t="e">
        <f t="shared" ref="AX172:AX176" si="57">2*$C$18/AV172</f>
        <v>#DIV/0!</v>
      </c>
      <c r="AY172" s="448" t="e">
        <f t="shared" ref="AY172:AY176" si="58">$D$18/AW172</f>
        <v>#DIV/0!</v>
      </c>
      <c r="AZ172" s="451" t="e">
        <f t="shared" ref="AZ172:BA176" si="59">ABS(AX172)</f>
        <v>#DIV/0!</v>
      </c>
      <c r="BA172" s="451" t="e">
        <f t="shared" si="59"/>
        <v>#DIV/0!</v>
      </c>
      <c r="BE172" s="136"/>
      <c r="BF172" s="136"/>
      <c r="BG172" s="136"/>
      <c r="BH172" s="136"/>
      <c r="BI172" s="136"/>
      <c r="BJ172" s="136"/>
      <c r="BK172" s="136"/>
      <c r="BL172" s="136"/>
      <c r="DE172" s="126"/>
      <c r="DF172" s="311"/>
      <c r="DG172" s="311"/>
      <c r="DH172" s="311"/>
      <c r="DI172" s="311"/>
      <c r="DJ172" s="311"/>
      <c r="DK172" s="311"/>
      <c r="DL172" s="311"/>
      <c r="DM172" s="311"/>
      <c r="DN172" s="311"/>
      <c r="DO172" s="311"/>
      <c r="DP172" s="311"/>
      <c r="DQ172" s="311"/>
      <c r="DR172" s="311"/>
      <c r="DS172" s="311"/>
      <c r="DT172" s="311"/>
      <c r="DU172" s="311"/>
      <c r="DV172" s="311"/>
      <c r="DW172" s="311"/>
      <c r="DX172" s="311"/>
      <c r="DY172" s="311"/>
      <c r="DZ172" s="311"/>
      <c r="EA172" s="311"/>
      <c r="EB172" s="311"/>
      <c r="EC172" s="311"/>
    </row>
    <row r="173" spans="2:133" ht="19" thickBot="1" x14ac:dyDescent="0.25">
      <c r="B173" s="277">
        <v>3</v>
      </c>
      <c r="C173" s="278"/>
      <c r="D173" s="25">
        <v>0</v>
      </c>
      <c r="E173" s="279" t="s">
        <v>130</v>
      </c>
      <c r="F173" s="258"/>
      <c r="G173" s="258">
        <f t="shared" si="44"/>
        <v>0</v>
      </c>
      <c r="H173" s="282">
        <v>279.06049999999999</v>
      </c>
      <c r="I173" s="283">
        <v>79.962900599999998</v>
      </c>
      <c r="J173" s="474">
        <f t="shared" si="45"/>
        <v>79.962900599999998</v>
      </c>
      <c r="K173" s="474">
        <f t="shared" si="46"/>
        <v>39.981450299999999</v>
      </c>
      <c r="L173" s="474">
        <f t="shared" si="36"/>
        <v>0.64253956655634092</v>
      </c>
      <c r="M173" s="474">
        <f t="shared" si="37"/>
        <v>179.30741271299578</v>
      </c>
      <c r="N173" s="474">
        <f t="shared" si="38"/>
        <v>358.61482542599157</v>
      </c>
      <c r="O173" s="474">
        <f>+C171+D172+(D173/2)</f>
        <v>0</v>
      </c>
      <c r="P173" s="474">
        <f t="shared" si="39"/>
        <v>0</v>
      </c>
      <c r="Q173" s="474">
        <f t="shared" si="40"/>
        <v>0</v>
      </c>
      <c r="R173" s="474">
        <f t="shared" si="47"/>
        <v>213.83080000000001</v>
      </c>
      <c r="S173" s="474">
        <f t="shared" ref="S173:S176" si="60">+S172+Q173</f>
        <v>213.83080000000001</v>
      </c>
      <c r="T173" s="476">
        <f t="shared" si="41"/>
        <v>213.83080000000001</v>
      </c>
      <c r="V173" s="437">
        <f t="shared" si="42"/>
        <v>0</v>
      </c>
      <c r="W173" s="437"/>
      <c r="X173" s="437"/>
      <c r="Y173" s="437"/>
      <c r="Z173" s="437"/>
      <c r="AA173" s="437"/>
      <c r="AB173" s="477" t="str">
        <f t="shared" si="48"/>
        <v>use the locking pin</v>
      </c>
      <c r="AC173" s="478"/>
      <c r="AD173" s="478"/>
      <c r="AE173" s="478"/>
      <c r="AF173" s="437">
        <f>SUM(V173:V178)/($B$168-B172)</f>
        <v>0</v>
      </c>
      <c r="AG173" s="450">
        <f>SUM(D172:D173)+$C$171</f>
        <v>0</v>
      </c>
      <c r="AH173" s="450"/>
      <c r="AI173" s="287">
        <f t="shared" si="49"/>
        <v>66.255548399999995</v>
      </c>
      <c r="AJ173" s="441">
        <f t="shared" si="43"/>
        <v>0.91535047595051022</v>
      </c>
      <c r="AK173" s="289">
        <f t="shared" si="50"/>
        <v>278.56028065668761</v>
      </c>
      <c r="AL173" s="287">
        <f t="shared" si="51"/>
        <v>50.018549700000001</v>
      </c>
      <c r="AM173" s="442">
        <f t="shared" si="52"/>
        <v>0.76625250760411079</v>
      </c>
      <c r="AN173" s="291">
        <f t="shared" si="53"/>
        <v>213.83080789825695</v>
      </c>
      <c r="AO173" s="479"/>
      <c r="AP173" s="291">
        <f>40.5*($B$168-B172)</f>
        <v>-40.5</v>
      </c>
      <c r="AQ173" s="444"/>
      <c r="AR173" s="444">
        <f t="shared" si="54"/>
        <v>492.39108855494453</v>
      </c>
      <c r="AS173" s="445">
        <f>+V173-AN173</f>
        <v>-213.83080789825695</v>
      </c>
      <c r="AT173" s="445"/>
      <c r="AU173" s="445">
        <f>+AF173-AS173</f>
        <v>213.83080789825695</v>
      </c>
      <c r="AV173" s="447">
        <f t="shared" si="55"/>
        <v>-22.912054317849329</v>
      </c>
      <c r="AW173" s="447">
        <f t="shared" si="56"/>
        <v>-17.587945682150675</v>
      </c>
      <c r="AX173" s="448">
        <f t="shared" si="57"/>
        <v>-506.28371594611554</v>
      </c>
      <c r="AY173" s="448">
        <f t="shared" si="58"/>
        <v>-568.57123513569934</v>
      </c>
      <c r="AZ173" s="451">
        <f t="shared" si="59"/>
        <v>506.28371594611554</v>
      </c>
      <c r="BA173" s="451">
        <f t="shared" si="59"/>
        <v>568.57123513569934</v>
      </c>
      <c r="BE173" s="136"/>
      <c r="BF173" s="136"/>
      <c r="BG173" s="136"/>
      <c r="BH173" s="136"/>
      <c r="BI173" s="136"/>
      <c r="BJ173" s="136"/>
      <c r="BK173" s="136"/>
      <c r="BL173" s="136"/>
      <c r="DE173" s="126"/>
    </row>
    <row r="174" spans="2:133" ht="19" thickBot="1" x14ac:dyDescent="0.25">
      <c r="B174" s="277">
        <v>4</v>
      </c>
      <c r="C174" s="278"/>
      <c r="D174" s="25">
        <v>0</v>
      </c>
      <c r="E174" s="279" t="s">
        <v>130</v>
      </c>
      <c r="F174" s="258"/>
      <c r="G174" s="258">
        <f t="shared" si="44"/>
        <v>0</v>
      </c>
      <c r="H174" s="282">
        <v>279.06049999999999</v>
      </c>
      <c r="I174" s="283">
        <v>79.962900599999998</v>
      </c>
      <c r="J174" s="474">
        <f t="shared" si="45"/>
        <v>79.962900599999998</v>
      </c>
      <c r="K174" s="474">
        <f t="shared" si="46"/>
        <v>39.981450299999999</v>
      </c>
      <c r="L174" s="474">
        <f t="shared" si="36"/>
        <v>0.64253956655634092</v>
      </c>
      <c r="M174" s="474">
        <f t="shared" si="37"/>
        <v>179.30741271299578</v>
      </c>
      <c r="N174" s="474">
        <f t="shared" si="38"/>
        <v>358.61482542599157</v>
      </c>
      <c r="O174" s="474">
        <f>+C171+D172+D173+(D174/2)</f>
        <v>0</v>
      </c>
      <c r="P174" s="474">
        <f t="shared" si="39"/>
        <v>0</v>
      </c>
      <c r="Q174" s="474">
        <f t="shared" si="40"/>
        <v>0</v>
      </c>
      <c r="R174" s="474">
        <f t="shared" si="47"/>
        <v>213.83080000000001</v>
      </c>
      <c r="S174" s="474">
        <f t="shared" si="60"/>
        <v>213.83080000000001</v>
      </c>
      <c r="T174" s="476">
        <f t="shared" si="41"/>
        <v>213.83080000000001</v>
      </c>
      <c r="V174" s="437">
        <f t="shared" si="42"/>
        <v>0</v>
      </c>
      <c r="W174" s="437"/>
      <c r="X174" s="437"/>
      <c r="Y174" s="437"/>
      <c r="Z174" s="437"/>
      <c r="AA174" s="437"/>
      <c r="AB174" s="477" t="str">
        <f t="shared" si="48"/>
        <v>use the locking pin</v>
      </c>
      <c r="AC174" s="478"/>
      <c r="AD174" s="478"/>
      <c r="AE174" s="478"/>
      <c r="AF174" s="437">
        <f>SUM(V174:V179)/($B$168-B173)</f>
        <v>0</v>
      </c>
      <c r="AG174" s="450">
        <f>SUM(D172:D174)+$C$171</f>
        <v>0</v>
      </c>
      <c r="AH174" s="450"/>
      <c r="AI174" s="287">
        <f t="shared" si="49"/>
        <v>66.255548399999995</v>
      </c>
      <c r="AJ174" s="441">
        <f t="shared" si="43"/>
        <v>0.91535047595051022</v>
      </c>
      <c r="AK174" s="289">
        <f t="shared" si="50"/>
        <v>278.56028065668761</v>
      </c>
      <c r="AL174" s="287">
        <f t="shared" si="51"/>
        <v>50.018549700000001</v>
      </c>
      <c r="AM174" s="442">
        <f t="shared" si="52"/>
        <v>0.76625250760411079</v>
      </c>
      <c r="AN174" s="291">
        <f t="shared" si="53"/>
        <v>213.83080789825695</v>
      </c>
      <c r="AO174" s="479"/>
      <c r="AP174" s="291">
        <f>40.5*($B$168-B173)</f>
        <v>-81</v>
      </c>
      <c r="AQ174" s="444"/>
      <c r="AR174" s="444">
        <f t="shared" si="54"/>
        <v>492.39108855494453</v>
      </c>
      <c r="AS174" s="445">
        <f>+V174-AN174</f>
        <v>-213.83080789825695</v>
      </c>
      <c r="AT174" s="445"/>
      <c r="AU174" s="445">
        <f t="shared" ref="AU174:AU176" si="61">+AF174-AS174</f>
        <v>213.83080789825695</v>
      </c>
      <c r="AV174" s="447">
        <f t="shared" si="55"/>
        <v>-45.824108635698657</v>
      </c>
      <c r="AW174" s="447">
        <f t="shared" si="56"/>
        <v>-35.17589136430135</v>
      </c>
      <c r="AX174" s="448">
        <f t="shared" si="57"/>
        <v>-253.14185797305777</v>
      </c>
      <c r="AY174" s="448">
        <f t="shared" si="58"/>
        <v>-284.28561756784967</v>
      </c>
      <c r="AZ174" s="451">
        <f t="shared" si="59"/>
        <v>253.14185797305777</v>
      </c>
      <c r="BA174" s="451">
        <f t="shared" si="59"/>
        <v>284.28561756784967</v>
      </c>
      <c r="DE174" s="235"/>
      <c r="DF174" s="312"/>
      <c r="DG174" s="312"/>
      <c r="DH174" s="312"/>
      <c r="DI174" s="312"/>
      <c r="DJ174" s="312"/>
      <c r="DK174" s="312"/>
      <c r="DL174" s="312"/>
      <c r="DM174" s="312"/>
      <c r="DN174" s="312"/>
      <c r="DO174" s="312"/>
      <c r="DP174" s="312"/>
      <c r="DQ174" s="312"/>
      <c r="DR174" s="312"/>
      <c r="DS174" s="312"/>
      <c r="DT174" s="312"/>
      <c r="DU174" s="312"/>
      <c r="DV174" s="312"/>
      <c r="DW174" s="312"/>
      <c r="DX174" s="312"/>
      <c r="DY174" s="312"/>
      <c r="DZ174" s="312"/>
      <c r="EA174" s="312"/>
      <c r="EB174" s="312"/>
      <c r="EC174" s="312"/>
    </row>
    <row r="175" spans="2:133" ht="19" thickBot="1" x14ac:dyDescent="0.25">
      <c r="B175" s="277">
        <v>5</v>
      </c>
      <c r="C175" s="278"/>
      <c r="D175" s="25">
        <v>0</v>
      </c>
      <c r="E175" s="279" t="s">
        <v>130</v>
      </c>
      <c r="F175" s="258"/>
      <c r="G175" s="258">
        <f t="shared" si="44"/>
        <v>0</v>
      </c>
      <c r="H175" s="282">
        <v>279.06049999999999</v>
      </c>
      <c r="I175" s="283">
        <v>79.962900599999998</v>
      </c>
      <c r="J175" s="474">
        <f t="shared" si="45"/>
        <v>79.962900599999998</v>
      </c>
      <c r="K175" s="474">
        <f t="shared" si="46"/>
        <v>39.981450299999999</v>
      </c>
      <c r="L175" s="474">
        <f t="shared" si="36"/>
        <v>0.64253956655634092</v>
      </c>
      <c r="M175" s="474">
        <f t="shared" si="37"/>
        <v>179.30741271299578</v>
      </c>
      <c r="N175" s="474">
        <f t="shared" si="38"/>
        <v>358.61482542599157</v>
      </c>
      <c r="O175" s="474">
        <f>+C171+D172+D173+D174+(D175/2)</f>
        <v>0</v>
      </c>
      <c r="P175" s="474">
        <f t="shared" si="39"/>
        <v>0</v>
      </c>
      <c r="Q175" s="474">
        <f t="shared" si="40"/>
        <v>0</v>
      </c>
      <c r="R175" s="474">
        <f t="shared" si="47"/>
        <v>213.83080000000001</v>
      </c>
      <c r="S175" s="474">
        <f t="shared" si="60"/>
        <v>213.83080000000001</v>
      </c>
      <c r="T175" s="476">
        <f t="shared" si="41"/>
        <v>213.83080000000001</v>
      </c>
      <c r="V175" s="437">
        <f t="shared" si="42"/>
        <v>0</v>
      </c>
      <c r="W175" s="437"/>
      <c r="X175" s="437"/>
      <c r="Y175" s="437"/>
      <c r="Z175" s="437"/>
      <c r="AA175" s="437"/>
      <c r="AB175" s="477" t="str">
        <f t="shared" si="48"/>
        <v>use the locking pin</v>
      </c>
      <c r="AC175" s="478"/>
      <c r="AD175" s="478"/>
      <c r="AE175" s="478"/>
      <c r="AF175" s="437">
        <f>SUM(V175:V180)/($B$168-B174)</f>
        <v>0</v>
      </c>
      <c r="AG175" s="450">
        <f>SUM(D172:D175)+$C$171</f>
        <v>0</v>
      </c>
      <c r="AH175" s="450"/>
      <c r="AI175" s="287">
        <f t="shared" si="49"/>
        <v>66.255548399999995</v>
      </c>
      <c r="AJ175" s="441">
        <f t="shared" si="43"/>
        <v>0.91535047595051022</v>
      </c>
      <c r="AK175" s="289">
        <f t="shared" si="50"/>
        <v>278.56028065668761</v>
      </c>
      <c r="AL175" s="287">
        <f t="shared" si="51"/>
        <v>50.018549700000001</v>
      </c>
      <c r="AM175" s="442">
        <f t="shared" si="52"/>
        <v>0.76625250760411079</v>
      </c>
      <c r="AN175" s="291">
        <f t="shared" si="53"/>
        <v>213.83080789825695</v>
      </c>
      <c r="AO175" s="479"/>
      <c r="AP175" s="291">
        <f>40.5*($B$168-B174)</f>
        <v>-121.5</v>
      </c>
      <c r="AQ175" s="444"/>
      <c r="AR175" s="444">
        <f t="shared" si="54"/>
        <v>492.39108855494453</v>
      </c>
      <c r="AS175" s="445">
        <f t="shared" ref="AS175:AS176" si="62">+V175-AN175</f>
        <v>-213.83080789825695</v>
      </c>
      <c r="AT175" s="445"/>
      <c r="AU175" s="445">
        <f t="shared" si="61"/>
        <v>213.83080789825695</v>
      </c>
      <c r="AV175" s="447">
        <f t="shared" si="55"/>
        <v>-68.736162953547989</v>
      </c>
      <c r="AW175" s="447">
        <f t="shared" si="56"/>
        <v>-52.763837046452025</v>
      </c>
      <c r="AX175" s="448">
        <f t="shared" si="57"/>
        <v>-168.76123864870519</v>
      </c>
      <c r="AY175" s="448">
        <f t="shared" si="58"/>
        <v>-189.52374504523311</v>
      </c>
      <c r="AZ175" s="451">
        <f t="shared" si="59"/>
        <v>168.76123864870519</v>
      </c>
      <c r="BA175" s="451">
        <f t="shared" si="59"/>
        <v>189.52374504523311</v>
      </c>
      <c r="BC175" s="126"/>
      <c r="BD175" s="126"/>
      <c r="DE175" s="126"/>
      <c r="DF175" s="203"/>
      <c r="DG175" s="203"/>
      <c r="DH175" s="203"/>
      <c r="DI175" s="203"/>
      <c r="DJ175" s="203"/>
      <c r="DK175" s="203"/>
      <c r="DL175" s="203"/>
      <c r="DM175" s="203"/>
      <c r="DN175" s="203"/>
      <c r="DO175" s="203"/>
      <c r="DP175" s="203"/>
      <c r="DQ175" s="203"/>
      <c r="DR175" s="203"/>
      <c r="DS175" s="203"/>
      <c r="DT175" s="203"/>
      <c r="DU175" s="203"/>
      <c r="DV175" s="203"/>
      <c r="DW175" s="203"/>
      <c r="DX175" s="203"/>
      <c r="DY175" s="203"/>
      <c r="DZ175" s="203"/>
      <c r="EA175" s="203"/>
      <c r="EB175" s="203"/>
      <c r="EC175" s="203"/>
    </row>
    <row r="176" spans="2:133" ht="19" thickBot="1" x14ac:dyDescent="0.25">
      <c r="B176" s="277">
        <v>6</v>
      </c>
      <c r="C176" s="278"/>
      <c r="D176" s="25">
        <v>0</v>
      </c>
      <c r="E176" s="279" t="s">
        <v>130</v>
      </c>
      <c r="F176" s="258"/>
      <c r="G176" s="258">
        <f t="shared" si="44"/>
        <v>0</v>
      </c>
      <c r="H176" s="282">
        <v>279.06049999999999</v>
      </c>
      <c r="I176" s="283">
        <v>79.962900599999998</v>
      </c>
      <c r="J176" s="474">
        <f t="shared" si="45"/>
        <v>79.962900599999998</v>
      </c>
      <c r="K176" s="474">
        <f t="shared" si="46"/>
        <v>39.981450299999999</v>
      </c>
      <c r="L176" s="474">
        <f t="shared" si="36"/>
        <v>0.64253956655634092</v>
      </c>
      <c r="M176" s="474">
        <f t="shared" si="37"/>
        <v>179.30741271299578</v>
      </c>
      <c r="N176" s="474">
        <f t="shared" si="38"/>
        <v>358.61482542599157</v>
      </c>
      <c r="O176" s="474">
        <f>+C171+D172+D173+D174+D175+(D176/2)</f>
        <v>0</v>
      </c>
      <c r="P176" s="474">
        <f t="shared" si="39"/>
        <v>0</v>
      </c>
      <c r="Q176" s="474">
        <f t="shared" si="40"/>
        <v>0</v>
      </c>
      <c r="R176" s="474">
        <f t="shared" si="47"/>
        <v>213.83080000000001</v>
      </c>
      <c r="S176" s="474">
        <f t="shared" si="60"/>
        <v>213.83080000000001</v>
      </c>
      <c r="T176" s="476">
        <f t="shared" si="41"/>
        <v>213.83080000000001</v>
      </c>
      <c r="V176" s="437">
        <f t="shared" si="42"/>
        <v>0</v>
      </c>
      <c r="W176" s="437"/>
      <c r="X176" s="437"/>
      <c r="Y176" s="437"/>
      <c r="Z176" s="437"/>
      <c r="AA176" s="437"/>
      <c r="AB176" s="477" t="str">
        <f t="shared" si="48"/>
        <v>use the locking pin</v>
      </c>
      <c r="AC176" s="478"/>
      <c r="AD176" s="478"/>
      <c r="AE176" s="478"/>
      <c r="AF176" s="437">
        <f>SUM(V176:V181)/($B$168-B175)</f>
        <v>0</v>
      </c>
      <c r="AG176" s="450">
        <f>SUM(D172:D176)+$C$171</f>
        <v>0</v>
      </c>
      <c r="AH176" s="450"/>
      <c r="AI176" s="287">
        <f t="shared" si="49"/>
        <v>66.255548399999995</v>
      </c>
      <c r="AJ176" s="441">
        <f t="shared" si="43"/>
        <v>0.91535047595051022</v>
      </c>
      <c r="AK176" s="289">
        <f t="shared" si="50"/>
        <v>278.56028065668761</v>
      </c>
      <c r="AL176" s="287">
        <f t="shared" si="51"/>
        <v>50.018549700000001</v>
      </c>
      <c r="AM176" s="442">
        <f t="shared" si="52"/>
        <v>0.76625250760411079</v>
      </c>
      <c r="AN176" s="291">
        <f t="shared" si="53"/>
        <v>213.83080789825695</v>
      </c>
      <c r="AO176" s="479"/>
      <c r="AP176" s="291">
        <f>40.5*($B$168-B175)</f>
        <v>-162</v>
      </c>
      <c r="AQ176" s="444"/>
      <c r="AR176" s="444">
        <f t="shared" si="54"/>
        <v>492.39108855494453</v>
      </c>
      <c r="AS176" s="445">
        <f t="shared" si="62"/>
        <v>-213.83080789825695</v>
      </c>
      <c r="AT176" s="445"/>
      <c r="AU176" s="445">
        <f t="shared" si="61"/>
        <v>213.83080789825695</v>
      </c>
      <c r="AV176" s="447">
        <f t="shared" si="55"/>
        <v>-91.648217271397314</v>
      </c>
      <c r="AW176" s="447">
        <f t="shared" si="56"/>
        <v>-70.3517827286027</v>
      </c>
      <c r="AX176" s="448">
        <f t="shared" si="57"/>
        <v>-126.57092898652888</v>
      </c>
      <c r="AY176" s="448">
        <f t="shared" si="58"/>
        <v>-142.14280878392483</v>
      </c>
      <c r="AZ176" s="451">
        <f t="shared" si="59"/>
        <v>126.57092898652888</v>
      </c>
      <c r="BA176" s="451">
        <f t="shared" si="59"/>
        <v>142.14280878392483</v>
      </c>
      <c r="BC176" s="126"/>
      <c r="BD176" s="126"/>
    </row>
    <row r="177" spans="2:64" ht="19" thickBot="1" x14ac:dyDescent="0.25">
      <c r="B177" s="277">
        <v>7</v>
      </c>
      <c r="C177" s="278"/>
      <c r="D177" s="25">
        <v>0</v>
      </c>
      <c r="E177" s="279" t="s">
        <v>130</v>
      </c>
      <c r="F177" s="258"/>
      <c r="G177" s="258">
        <f t="shared" ref="G177:G178" si="63">+D177+BB177</f>
        <v>0</v>
      </c>
      <c r="H177" s="282">
        <v>279.06049999999999</v>
      </c>
      <c r="I177" s="283">
        <v>79.962900599999998</v>
      </c>
      <c r="J177" s="474">
        <f t="shared" ref="J177:J178" si="64">+I177-D177</f>
        <v>79.962900599999998</v>
      </c>
      <c r="K177" s="474">
        <f t="shared" ref="K177:K178" si="65">+J177/2</f>
        <v>39.981450299999999</v>
      </c>
      <c r="L177" s="474">
        <f t="shared" ref="L177:L178" si="66">SIN(K177*3.14159265358979/180)</f>
        <v>0.64253956655634092</v>
      </c>
      <c r="M177" s="474">
        <f t="shared" ref="M177:M178" si="67">+L177*H177</f>
        <v>179.30741271299578</v>
      </c>
      <c r="N177" s="474">
        <f t="shared" ref="N177:N178" si="68">+M177*2</f>
        <v>358.61482542599157</v>
      </c>
      <c r="O177" s="474">
        <f>+C171+D173+D174+D175+D176+D172+(D177/2)</f>
        <v>0</v>
      </c>
      <c r="P177" s="474">
        <f t="shared" ref="P177:P178" si="69">SIN(O177*3.14159265358979/180)</f>
        <v>0</v>
      </c>
      <c r="Q177" s="474">
        <f t="shared" ref="Q177:Q178" si="70">+P177*N177</f>
        <v>0</v>
      </c>
      <c r="R177" s="474">
        <f t="shared" ref="R177:R178" si="71">+T176</f>
        <v>213.83080000000001</v>
      </c>
      <c r="S177" s="474">
        <f t="shared" ref="S177:S178" si="72">+S176+Q177</f>
        <v>213.83080000000001</v>
      </c>
      <c r="T177" s="476">
        <f t="shared" ref="T177:T178" si="73">+S177</f>
        <v>213.83080000000001</v>
      </c>
      <c r="V177" s="437">
        <f t="shared" ref="V177:V178" si="74">IF(B177&lt;($B$168+1),T177,0)</f>
        <v>0</v>
      </c>
      <c r="W177" s="437"/>
      <c r="X177" s="437"/>
      <c r="Y177" s="437"/>
      <c r="Z177" s="437"/>
      <c r="AA177" s="437"/>
      <c r="AB177" s="477" t="str">
        <f t="shared" ref="AB177:AB178" si="75">IF(AY177&lt;0,"use the locking pin"," ")</f>
        <v>use the locking pin</v>
      </c>
      <c r="AC177" s="478"/>
      <c r="AD177" s="478"/>
      <c r="AE177" s="478"/>
      <c r="AF177" s="437">
        <f t="shared" ref="AF177:AF178" si="76">SUM(V177:V182)/($B$168-B176)</f>
        <v>0</v>
      </c>
      <c r="AG177" s="450">
        <f>SUM(D172:D177)+$C$171</f>
        <v>0</v>
      </c>
      <c r="AH177" s="450"/>
      <c r="AI177" s="287">
        <f t="shared" ref="AI177:AI178" si="77">66.2555484-AG177</f>
        <v>66.255548399999995</v>
      </c>
      <c r="AJ177" s="441">
        <f t="shared" ref="AJ177:AJ178" si="78">SIN(AI177*3.14159265358979/180)</f>
        <v>0.91535047595051022</v>
      </c>
      <c r="AK177" s="289">
        <f t="shared" ref="AK177:AK178" si="79">+AJ177*304.3209</f>
        <v>278.56028065668761</v>
      </c>
      <c r="AL177" s="287">
        <f t="shared" ref="AL177:AL178" si="80">50.0185497+AG177</f>
        <v>50.018549700000001</v>
      </c>
      <c r="AM177" s="442">
        <f t="shared" ref="AM177:AM178" si="81">SIN(AL177*3.14159265358979/180)</f>
        <v>0.76625250760411079</v>
      </c>
      <c r="AN177" s="291">
        <f t="shared" ref="AN177:AN178" si="82">+AM177*279.0605</f>
        <v>213.83080789825695</v>
      </c>
      <c r="AO177" s="479"/>
      <c r="AP177" s="291">
        <f t="shared" ref="AP177:AP178" si="83">40.5*($B$168-B176)</f>
        <v>-202.5</v>
      </c>
      <c r="AQ177" s="444"/>
      <c r="AR177" s="444">
        <f t="shared" ref="AR177:AR178" si="84">+AN177+AK177</f>
        <v>492.39108855494453</v>
      </c>
      <c r="AS177" s="445">
        <f t="shared" ref="AS177:AS178" si="85">+V177-AN177</f>
        <v>-213.83080789825695</v>
      </c>
      <c r="AT177" s="445"/>
      <c r="AU177" s="445">
        <f t="shared" ref="AU177:AU178" si="86">+AF177-AS177</f>
        <v>213.83080789825695</v>
      </c>
      <c r="AV177" s="447">
        <f t="shared" ref="AV177:AV178" si="87">+((AR177-AU177)/AR177)*AP177</f>
        <v>-114.56027158924665</v>
      </c>
      <c r="AW177" s="447">
        <f t="shared" ref="AW177:AW178" si="88">+(AU177/AR177)*AP177</f>
        <v>-87.939728410753375</v>
      </c>
      <c r="AX177" s="448">
        <f t="shared" ref="AX177:AX178" si="89">2*$C$18/AV177</f>
        <v>-101.2567431892231</v>
      </c>
      <c r="AY177" s="448">
        <f t="shared" ref="AY177:AY178" si="90">$D$18/AW177</f>
        <v>-113.71424702713988</v>
      </c>
      <c r="AZ177" s="451">
        <f t="shared" ref="AZ177:AZ178" si="91">ABS(AX177)</f>
        <v>101.2567431892231</v>
      </c>
      <c r="BA177" s="451">
        <f t="shared" ref="BA177:BA178" si="92">ABS(AY177)</f>
        <v>113.71424702713988</v>
      </c>
      <c r="BC177" s="126"/>
      <c r="BD177" s="126"/>
    </row>
    <row r="178" spans="2:64" ht="19" thickBot="1" x14ac:dyDescent="0.25">
      <c r="B178" s="277">
        <v>8</v>
      </c>
      <c r="C178" s="278"/>
      <c r="D178" s="25">
        <v>0</v>
      </c>
      <c r="E178" s="279" t="s">
        <v>130</v>
      </c>
      <c r="F178" s="258"/>
      <c r="G178" s="258">
        <f t="shared" si="63"/>
        <v>0</v>
      </c>
      <c r="H178" s="282">
        <v>279.06049999999999</v>
      </c>
      <c r="I178" s="283">
        <v>79.962900599999998</v>
      </c>
      <c r="J178" s="474">
        <f t="shared" si="64"/>
        <v>79.962900599999998</v>
      </c>
      <c r="K178" s="474">
        <f t="shared" si="65"/>
        <v>39.981450299999999</v>
      </c>
      <c r="L178" s="474">
        <f t="shared" si="66"/>
        <v>0.64253956655634092</v>
      </c>
      <c r="M178" s="474">
        <f t="shared" si="67"/>
        <v>179.30741271299578</v>
      </c>
      <c r="N178" s="474">
        <f t="shared" si="68"/>
        <v>358.61482542599157</v>
      </c>
      <c r="O178" s="474">
        <f>+C171+D174+D175+D176+D177+D173+D172+(D178/2)</f>
        <v>0</v>
      </c>
      <c r="P178" s="474">
        <f t="shared" si="69"/>
        <v>0</v>
      </c>
      <c r="Q178" s="474">
        <f t="shared" si="70"/>
        <v>0</v>
      </c>
      <c r="R178" s="474">
        <f t="shared" si="71"/>
        <v>213.83080000000001</v>
      </c>
      <c r="S178" s="474">
        <f t="shared" si="72"/>
        <v>213.83080000000001</v>
      </c>
      <c r="T178" s="476">
        <f t="shared" si="73"/>
        <v>213.83080000000001</v>
      </c>
      <c r="V178" s="437">
        <f t="shared" si="74"/>
        <v>0</v>
      </c>
      <c r="W178" s="437"/>
      <c r="X178" s="437"/>
      <c r="Y178" s="437"/>
      <c r="Z178" s="437"/>
      <c r="AA178" s="437"/>
      <c r="AB178" s="477" t="str">
        <f t="shared" si="75"/>
        <v>use the locking pin</v>
      </c>
      <c r="AC178" s="478"/>
      <c r="AD178" s="478"/>
      <c r="AE178" s="478"/>
      <c r="AF178" s="437">
        <f t="shared" si="76"/>
        <v>0</v>
      </c>
      <c r="AG178" s="450">
        <f>SUM(D172:D178)+$C$171</f>
        <v>0</v>
      </c>
      <c r="AH178" s="450"/>
      <c r="AI178" s="287">
        <f t="shared" si="77"/>
        <v>66.255548399999995</v>
      </c>
      <c r="AJ178" s="441">
        <f t="shared" si="78"/>
        <v>0.91535047595051022</v>
      </c>
      <c r="AK178" s="289">
        <f t="shared" si="79"/>
        <v>278.56028065668761</v>
      </c>
      <c r="AL178" s="287">
        <f t="shared" si="80"/>
        <v>50.018549700000001</v>
      </c>
      <c r="AM178" s="442">
        <f t="shared" si="81"/>
        <v>0.76625250760411079</v>
      </c>
      <c r="AN178" s="291">
        <f t="shared" si="82"/>
        <v>213.83080789825695</v>
      </c>
      <c r="AO178" s="479"/>
      <c r="AP178" s="291">
        <f t="shared" si="83"/>
        <v>-243</v>
      </c>
      <c r="AQ178" s="444"/>
      <c r="AR178" s="444">
        <f t="shared" si="84"/>
        <v>492.39108855494453</v>
      </c>
      <c r="AS178" s="445">
        <f t="shared" si="85"/>
        <v>-213.83080789825695</v>
      </c>
      <c r="AT178" s="445"/>
      <c r="AU178" s="445">
        <f t="shared" si="86"/>
        <v>213.83080789825695</v>
      </c>
      <c r="AV178" s="447">
        <f t="shared" si="87"/>
        <v>-137.47232590709598</v>
      </c>
      <c r="AW178" s="447">
        <f t="shared" si="88"/>
        <v>-105.52767409290405</v>
      </c>
      <c r="AX178" s="448">
        <f t="shared" si="89"/>
        <v>-84.380619324352594</v>
      </c>
      <c r="AY178" s="448">
        <f t="shared" si="90"/>
        <v>-94.761872522616557</v>
      </c>
      <c r="AZ178" s="451">
        <f t="shared" si="91"/>
        <v>84.380619324352594</v>
      </c>
      <c r="BA178" s="451">
        <f t="shared" si="92"/>
        <v>94.761872522616557</v>
      </c>
      <c r="BC178" s="126"/>
      <c r="BD178" s="126"/>
      <c r="BL178" s="204" t="s">
        <v>59</v>
      </c>
    </row>
    <row r="179" spans="2:64" x14ac:dyDescent="0.2">
      <c r="BE179" s="136"/>
      <c r="BF179" s="136"/>
      <c r="BG179" s="136"/>
      <c r="BH179" s="136"/>
      <c r="BI179" s="136"/>
      <c r="BJ179" s="136"/>
      <c r="BK179" s="212"/>
      <c r="BL179" s="204">
        <f>-+BH181</f>
        <v>730.02771065424099</v>
      </c>
    </row>
    <row r="180" spans="2:64" x14ac:dyDescent="0.2">
      <c r="BE180" s="136"/>
      <c r="BF180" s="136"/>
      <c r="BG180" s="297" t="s">
        <v>122</v>
      </c>
      <c r="BH180" s="136"/>
      <c r="BI180" s="136"/>
      <c r="BJ180" s="136"/>
      <c r="BK180" s="136"/>
      <c r="BL180" s="136"/>
    </row>
    <row r="181" spans="2:64" ht="20" x14ac:dyDescent="0.3">
      <c r="BE181" s="298">
        <v>1</v>
      </c>
      <c r="BF181" s="299">
        <v>-473</v>
      </c>
      <c r="BG181" s="300">
        <f>+COS(($B$144*-1)*3.14159265358979/180)*BF181</f>
        <v>-473</v>
      </c>
      <c r="BH181" s="301">
        <f t="shared" ref="BH181:BH217" si="93">+BG181-D$3</f>
        <v>-730.02771065424099</v>
      </c>
      <c r="BI181" s="302">
        <f t="shared" ref="BI181:BI217" si="94">ABS(BH181)</f>
        <v>730.02771065424099</v>
      </c>
      <c r="BJ181" s="303">
        <f>MIN(BI181:BI217)</f>
        <v>0.97228934575895209</v>
      </c>
      <c r="BK181" s="302" t="b">
        <f>IF(BJ181=BI181,BE181)</f>
        <v>0</v>
      </c>
      <c r="BL181" s="304">
        <v>1</v>
      </c>
    </row>
    <row r="182" spans="2:64" ht="20" x14ac:dyDescent="0.3">
      <c r="BE182" s="298">
        <v>2</v>
      </c>
      <c r="BF182" s="299">
        <f>+BF181+43</f>
        <v>-430</v>
      </c>
      <c r="BG182" s="42">
        <f>+BG181+$E$2</f>
        <v>-430</v>
      </c>
      <c r="BH182" s="301">
        <f t="shared" si="93"/>
        <v>-687.02771065424099</v>
      </c>
      <c r="BI182" s="302">
        <f t="shared" si="94"/>
        <v>687.02771065424099</v>
      </c>
      <c r="BJ182" s="302">
        <f>+BJ181</f>
        <v>0.97228934575895209</v>
      </c>
      <c r="BK182" s="302" t="b">
        <f t="shared" ref="BK182:BK217" si="95">IF(BJ182=BI182,BE182)</f>
        <v>0</v>
      </c>
      <c r="BL182" s="304">
        <v>2</v>
      </c>
    </row>
    <row r="183" spans="2:64" ht="20" x14ac:dyDescent="0.3">
      <c r="BE183" s="298">
        <v>3</v>
      </c>
      <c r="BF183" s="299">
        <f t="shared" ref="BF183:BF217" si="96">+BF182+43</f>
        <v>-387</v>
      </c>
      <c r="BG183" s="42">
        <f t="shared" ref="BG183:BG217" si="97">+BG182+$E$2</f>
        <v>-387</v>
      </c>
      <c r="BH183" s="301">
        <f t="shared" si="93"/>
        <v>-644.02771065424099</v>
      </c>
      <c r="BI183" s="302">
        <f t="shared" si="94"/>
        <v>644.02771065424099</v>
      </c>
      <c r="BJ183" s="302">
        <f t="shared" ref="BJ183:BJ217" si="98">+BJ182</f>
        <v>0.97228934575895209</v>
      </c>
      <c r="BK183" s="302" t="b">
        <f t="shared" si="95"/>
        <v>0</v>
      </c>
      <c r="BL183" s="304">
        <v>3</v>
      </c>
    </row>
    <row r="184" spans="2:64" ht="20" x14ac:dyDescent="0.3">
      <c r="BE184" s="298">
        <v>4</v>
      </c>
      <c r="BF184" s="299">
        <f t="shared" si="96"/>
        <v>-344</v>
      </c>
      <c r="BG184" s="42">
        <f t="shared" si="97"/>
        <v>-344</v>
      </c>
      <c r="BH184" s="301">
        <f t="shared" si="93"/>
        <v>-601.02771065424099</v>
      </c>
      <c r="BI184" s="302">
        <f t="shared" si="94"/>
        <v>601.02771065424099</v>
      </c>
      <c r="BJ184" s="302">
        <f t="shared" si="98"/>
        <v>0.97228934575895209</v>
      </c>
      <c r="BK184" s="302" t="b">
        <f t="shared" si="95"/>
        <v>0</v>
      </c>
      <c r="BL184" s="304">
        <v>4</v>
      </c>
    </row>
    <row r="185" spans="2:64" ht="20" x14ac:dyDescent="0.3">
      <c r="BE185" s="298">
        <v>5</v>
      </c>
      <c r="BF185" s="299">
        <f t="shared" si="96"/>
        <v>-301</v>
      </c>
      <c r="BG185" s="42">
        <f t="shared" si="97"/>
        <v>-301</v>
      </c>
      <c r="BH185" s="301">
        <f t="shared" si="93"/>
        <v>-558.02771065424099</v>
      </c>
      <c r="BI185" s="302">
        <f t="shared" si="94"/>
        <v>558.02771065424099</v>
      </c>
      <c r="BJ185" s="302">
        <f t="shared" si="98"/>
        <v>0.97228934575895209</v>
      </c>
      <c r="BK185" s="302" t="b">
        <f t="shared" si="95"/>
        <v>0</v>
      </c>
      <c r="BL185" s="304">
        <v>5</v>
      </c>
    </row>
    <row r="186" spans="2:64" ht="20" x14ac:dyDescent="0.3">
      <c r="BE186" s="298">
        <v>6</v>
      </c>
      <c r="BF186" s="299">
        <f t="shared" si="96"/>
        <v>-258</v>
      </c>
      <c r="BG186" s="42">
        <f t="shared" si="97"/>
        <v>-258</v>
      </c>
      <c r="BH186" s="301">
        <f t="shared" si="93"/>
        <v>-515.02771065424099</v>
      </c>
      <c r="BI186" s="302">
        <f t="shared" si="94"/>
        <v>515.02771065424099</v>
      </c>
      <c r="BJ186" s="302">
        <f t="shared" si="98"/>
        <v>0.97228934575895209</v>
      </c>
      <c r="BK186" s="302" t="b">
        <f t="shared" si="95"/>
        <v>0</v>
      </c>
      <c r="BL186" s="304">
        <v>6</v>
      </c>
    </row>
    <row r="187" spans="2:64" ht="20" x14ac:dyDescent="0.3">
      <c r="BE187" s="298">
        <v>7</v>
      </c>
      <c r="BF187" s="299">
        <f t="shared" si="96"/>
        <v>-215</v>
      </c>
      <c r="BG187" s="42">
        <f t="shared" si="97"/>
        <v>-215</v>
      </c>
      <c r="BH187" s="301">
        <f t="shared" si="93"/>
        <v>-472.02771065424105</v>
      </c>
      <c r="BI187" s="302">
        <f t="shared" si="94"/>
        <v>472.02771065424105</v>
      </c>
      <c r="BJ187" s="302">
        <f t="shared" si="98"/>
        <v>0.97228934575895209</v>
      </c>
      <c r="BK187" s="302" t="b">
        <f t="shared" si="95"/>
        <v>0</v>
      </c>
      <c r="BL187" s="304">
        <v>7</v>
      </c>
    </row>
    <row r="188" spans="2:64" ht="20" x14ac:dyDescent="0.3">
      <c r="BE188" s="298">
        <v>8</v>
      </c>
      <c r="BF188" s="299">
        <f t="shared" si="96"/>
        <v>-172</v>
      </c>
      <c r="BG188" s="42">
        <f t="shared" si="97"/>
        <v>-172</v>
      </c>
      <c r="BH188" s="301">
        <f t="shared" si="93"/>
        <v>-429.02771065424105</v>
      </c>
      <c r="BI188" s="302">
        <f t="shared" si="94"/>
        <v>429.02771065424105</v>
      </c>
      <c r="BJ188" s="302">
        <f t="shared" si="98"/>
        <v>0.97228934575895209</v>
      </c>
      <c r="BK188" s="302" t="b">
        <f t="shared" si="95"/>
        <v>0</v>
      </c>
      <c r="BL188" s="304">
        <v>8</v>
      </c>
    </row>
    <row r="189" spans="2:64" ht="20" x14ac:dyDescent="0.3">
      <c r="BE189" s="298">
        <v>9</v>
      </c>
      <c r="BF189" s="299">
        <f t="shared" si="96"/>
        <v>-129</v>
      </c>
      <c r="BG189" s="42">
        <f t="shared" si="97"/>
        <v>-129</v>
      </c>
      <c r="BH189" s="301">
        <f t="shared" si="93"/>
        <v>-386.02771065424105</v>
      </c>
      <c r="BI189" s="302">
        <f t="shared" si="94"/>
        <v>386.02771065424105</v>
      </c>
      <c r="BJ189" s="302">
        <f t="shared" si="98"/>
        <v>0.97228934575895209</v>
      </c>
      <c r="BK189" s="302" t="b">
        <f t="shared" si="95"/>
        <v>0</v>
      </c>
      <c r="BL189" s="304">
        <v>9</v>
      </c>
    </row>
    <row r="190" spans="2:64" ht="20" x14ac:dyDescent="0.3">
      <c r="BE190" s="298">
        <v>10</v>
      </c>
      <c r="BF190" s="299">
        <f t="shared" si="96"/>
        <v>-86</v>
      </c>
      <c r="BG190" s="42">
        <f t="shared" si="97"/>
        <v>-86</v>
      </c>
      <c r="BH190" s="301">
        <f t="shared" si="93"/>
        <v>-343.02771065424105</v>
      </c>
      <c r="BI190" s="302">
        <f t="shared" si="94"/>
        <v>343.02771065424105</v>
      </c>
      <c r="BJ190" s="302">
        <f t="shared" si="98"/>
        <v>0.97228934575895209</v>
      </c>
      <c r="BK190" s="302" t="b">
        <f t="shared" si="95"/>
        <v>0</v>
      </c>
      <c r="BL190" s="304">
        <v>10</v>
      </c>
    </row>
    <row r="191" spans="2:64" ht="20" x14ac:dyDescent="0.3">
      <c r="BE191" s="298">
        <v>11</v>
      </c>
      <c r="BF191" s="299">
        <f t="shared" si="96"/>
        <v>-43</v>
      </c>
      <c r="BG191" s="42">
        <f t="shared" si="97"/>
        <v>-43</v>
      </c>
      <c r="BH191" s="301">
        <f t="shared" si="93"/>
        <v>-300.02771065424105</v>
      </c>
      <c r="BI191" s="302">
        <f t="shared" si="94"/>
        <v>300.02771065424105</v>
      </c>
      <c r="BJ191" s="302">
        <f t="shared" si="98"/>
        <v>0.97228934575895209</v>
      </c>
      <c r="BK191" s="302" t="b">
        <f t="shared" si="95"/>
        <v>0</v>
      </c>
      <c r="BL191" s="304">
        <v>11</v>
      </c>
    </row>
    <row r="192" spans="2:64" ht="20" x14ac:dyDescent="0.3">
      <c r="BE192" s="298">
        <v>12</v>
      </c>
      <c r="BF192" s="299">
        <f t="shared" si="96"/>
        <v>0</v>
      </c>
      <c r="BG192" s="42">
        <f t="shared" si="97"/>
        <v>0</v>
      </c>
      <c r="BH192" s="301">
        <f t="shared" si="93"/>
        <v>-257.02771065424105</v>
      </c>
      <c r="BI192" s="302">
        <f t="shared" si="94"/>
        <v>257.02771065424105</v>
      </c>
      <c r="BJ192" s="302">
        <f t="shared" si="98"/>
        <v>0.97228934575895209</v>
      </c>
      <c r="BK192" s="302" t="b">
        <f t="shared" si="95"/>
        <v>0</v>
      </c>
      <c r="BL192" s="304">
        <v>12</v>
      </c>
    </row>
    <row r="193" spans="57:64" ht="20" x14ac:dyDescent="0.3">
      <c r="BE193" s="298">
        <v>13</v>
      </c>
      <c r="BF193" s="299">
        <f t="shared" si="96"/>
        <v>43</v>
      </c>
      <c r="BG193" s="42">
        <f t="shared" si="97"/>
        <v>43</v>
      </c>
      <c r="BH193" s="301">
        <f t="shared" si="93"/>
        <v>-214.02771065424105</v>
      </c>
      <c r="BI193" s="302">
        <f t="shared" si="94"/>
        <v>214.02771065424105</v>
      </c>
      <c r="BJ193" s="302">
        <f t="shared" si="98"/>
        <v>0.97228934575895209</v>
      </c>
      <c r="BK193" s="302" t="b">
        <f t="shared" si="95"/>
        <v>0</v>
      </c>
      <c r="BL193" s="304">
        <v>13</v>
      </c>
    </row>
    <row r="194" spans="57:64" ht="20" x14ac:dyDescent="0.3">
      <c r="BE194" s="298">
        <v>14</v>
      </c>
      <c r="BF194" s="299">
        <f t="shared" si="96"/>
        <v>86</v>
      </c>
      <c r="BG194" s="42">
        <f t="shared" si="97"/>
        <v>86</v>
      </c>
      <c r="BH194" s="301">
        <f t="shared" si="93"/>
        <v>-171.02771065424105</v>
      </c>
      <c r="BI194" s="302">
        <f t="shared" si="94"/>
        <v>171.02771065424105</v>
      </c>
      <c r="BJ194" s="302">
        <f t="shared" si="98"/>
        <v>0.97228934575895209</v>
      </c>
      <c r="BK194" s="302" t="b">
        <f t="shared" si="95"/>
        <v>0</v>
      </c>
      <c r="BL194" s="304">
        <v>14</v>
      </c>
    </row>
    <row r="195" spans="57:64" ht="20" x14ac:dyDescent="0.3">
      <c r="BE195" s="298">
        <v>15</v>
      </c>
      <c r="BF195" s="299">
        <f t="shared" si="96"/>
        <v>129</v>
      </c>
      <c r="BG195" s="42">
        <f t="shared" si="97"/>
        <v>129</v>
      </c>
      <c r="BH195" s="301">
        <f t="shared" si="93"/>
        <v>-128.02771065424105</v>
      </c>
      <c r="BI195" s="302">
        <f t="shared" si="94"/>
        <v>128.02771065424105</v>
      </c>
      <c r="BJ195" s="302">
        <f t="shared" si="98"/>
        <v>0.97228934575895209</v>
      </c>
      <c r="BK195" s="302" t="b">
        <f t="shared" si="95"/>
        <v>0</v>
      </c>
      <c r="BL195" s="304">
        <v>15</v>
      </c>
    </row>
    <row r="196" spans="57:64" ht="20" x14ac:dyDescent="0.3">
      <c r="BE196" s="298">
        <v>16</v>
      </c>
      <c r="BF196" s="299">
        <f t="shared" si="96"/>
        <v>172</v>
      </c>
      <c r="BG196" s="42">
        <f t="shared" si="97"/>
        <v>172</v>
      </c>
      <c r="BH196" s="301">
        <f t="shared" si="93"/>
        <v>-85.027710654241048</v>
      </c>
      <c r="BI196" s="302">
        <f t="shared" si="94"/>
        <v>85.027710654241048</v>
      </c>
      <c r="BJ196" s="302">
        <f t="shared" si="98"/>
        <v>0.97228934575895209</v>
      </c>
      <c r="BK196" s="302" t="b">
        <f t="shared" si="95"/>
        <v>0</v>
      </c>
      <c r="BL196" s="304">
        <v>16</v>
      </c>
    </row>
    <row r="197" spans="57:64" ht="20" x14ac:dyDescent="0.3">
      <c r="BE197" s="298">
        <v>17</v>
      </c>
      <c r="BF197" s="299">
        <f t="shared" si="96"/>
        <v>215</v>
      </c>
      <c r="BG197" s="42">
        <f t="shared" si="97"/>
        <v>215</v>
      </c>
      <c r="BH197" s="301">
        <f t="shared" si="93"/>
        <v>-42.027710654241048</v>
      </c>
      <c r="BI197" s="302">
        <f t="shared" si="94"/>
        <v>42.027710654241048</v>
      </c>
      <c r="BJ197" s="302">
        <f t="shared" si="98"/>
        <v>0.97228934575895209</v>
      </c>
      <c r="BK197" s="302" t="b">
        <f t="shared" si="95"/>
        <v>0</v>
      </c>
      <c r="BL197" s="304">
        <v>17</v>
      </c>
    </row>
    <row r="198" spans="57:64" ht="20" x14ac:dyDescent="0.3">
      <c r="BE198" s="298">
        <v>18</v>
      </c>
      <c r="BF198" s="299">
        <f t="shared" si="96"/>
        <v>258</v>
      </c>
      <c r="BG198" s="42">
        <f t="shared" si="97"/>
        <v>258</v>
      </c>
      <c r="BH198" s="301">
        <f t="shared" si="93"/>
        <v>0.97228934575895209</v>
      </c>
      <c r="BI198" s="302">
        <f t="shared" si="94"/>
        <v>0.97228934575895209</v>
      </c>
      <c r="BJ198" s="302">
        <f t="shared" si="98"/>
        <v>0.97228934575895209</v>
      </c>
      <c r="BK198" s="302">
        <f t="shared" si="95"/>
        <v>18</v>
      </c>
      <c r="BL198" s="304">
        <v>18</v>
      </c>
    </row>
    <row r="199" spans="57:64" ht="20" x14ac:dyDescent="0.3">
      <c r="BE199" s="298">
        <v>19</v>
      </c>
      <c r="BF199" s="299">
        <f t="shared" si="96"/>
        <v>301</v>
      </c>
      <c r="BG199" s="42">
        <f t="shared" si="97"/>
        <v>301</v>
      </c>
      <c r="BH199" s="301">
        <f t="shared" si="93"/>
        <v>43.972289345758952</v>
      </c>
      <c r="BI199" s="302">
        <f t="shared" si="94"/>
        <v>43.972289345758952</v>
      </c>
      <c r="BJ199" s="302">
        <f t="shared" si="98"/>
        <v>0.97228934575895209</v>
      </c>
      <c r="BK199" s="302" t="b">
        <f t="shared" si="95"/>
        <v>0</v>
      </c>
      <c r="BL199" s="304">
        <v>19</v>
      </c>
    </row>
    <row r="200" spans="57:64" ht="20" x14ac:dyDescent="0.3">
      <c r="BE200" s="298">
        <v>20</v>
      </c>
      <c r="BF200" s="299">
        <f t="shared" si="96"/>
        <v>344</v>
      </c>
      <c r="BG200" s="42">
        <f t="shared" si="97"/>
        <v>344</v>
      </c>
      <c r="BH200" s="301">
        <f t="shared" si="93"/>
        <v>86.972289345758952</v>
      </c>
      <c r="BI200" s="302">
        <f t="shared" si="94"/>
        <v>86.972289345758952</v>
      </c>
      <c r="BJ200" s="302">
        <f t="shared" si="98"/>
        <v>0.97228934575895209</v>
      </c>
      <c r="BK200" s="302" t="b">
        <f t="shared" si="95"/>
        <v>0</v>
      </c>
      <c r="BL200" s="304">
        <v>20</v>
      </c>
    </row>
    <row r="201" spans="57:64" ht="20" x14ac:dyDescent="0.3">
      <c r="BE201" s="298">
        <v>21</v>
      </c>
      <c r="BF201" s="299">
        <f t="shared" si="96"/>
        <v>387</v>
      </c>
      <c r="BG201" s="42">
        <f t="shared" si="97"/>
        <v>387</v>
      </c>
      <c r="BH201" s="301">
        <f t="shared" si="93"/>
        <v>129.97228934575895</v>
      </c>
      <c r="BI201" s="302">
        <f t="shared" si="94"/>
        <v>129.97228934575895</v>
      </c>
      <c r="BJ201" s="302">
        <f t="shared" si="98"/>
        <v>0.97228934575895209</v>
      </c>
      <c r="BK201" s="302" t="b">
        <f t="shared" si="95"/>
        <v>0</v>
      </c>
      <c r="BL201" s="304">
        <v>21</v>
      </c>
    </row>
    <row r="202" spans="57:64" ht="20" x14ac:dyDescent="0.3">
      <c r="BE202" s="298">
        <v>22</v>
      </c>
      <c r="BF202" s="299">
        <f t="shared" si="96"/>
        <v>430</v>
      </c>
      <c r="BG202" s="42">
        <f t="shared" si="97"/>
        <v>430</v>
      </c>
      <c r="BH202" s="301">
        <f t="shared" si="93"/>
        <v>172.97228934575895</v>
      </c>
      <c r="BI202" s="302">
        <f t="shared" si="94"/>
        <v>172.97228934575895</v>
      </c>
      <c r="BJ202" s="302">
        <f t="shared" si="98"/>
        <v>0.97228934575895209</v>
      </c>
      <c r="BK202" s="302" t="b">
        <f t="shared" si="95"/>
        <v>0</v>
      </c>
      <c r="BL202" s="304">
        <v>22</v>
      </c>
    </row>
    <row r="203" spans="57:64" ht="20" x14ac:dyDescent="0.3">
      <c r="BE203" s="298">
        <v>23</v>
      </c>
      <c r="BF203" s="299">
        <f t="shared" si="96"/>
        <v>473</v>
      </c>
      <c r="BG203" s="42">
        <f t="shared" si="97"/>
        <v>473</v>
      </c>
      <c r="BH203" s="301">
        <f t="shared" si="93"/>
        <v>215.97228934575895</v>
      </c>
      <c r="BI203" s="302">
        <f t="shared" si="94"/>
        <v>215.97228934575895</v>
      </c>
      <c r="BJ203" s="302">
        <f t="shared" si="98"/>
        <v>0.97228934575895209</v>
      </c>
      <c r="BK203" s="302" t="b">
        <f t="shared" si="95"/>
        <v>0</v>
      </c>
      <c r="BL203" s="304">
        <v>23</v>
      </c>
    </row>
    <row r="204" spans="57:64" ht="20" x14ac:dyDescent="0.3">
      <c r="BE204" s="298">
        <v>24</v>
      </c>
      <c r="BF204" s="299">
        <f t="shared" si="96"/>
        <v>516</v>
      </c>
      <c r="BG204" s="42">
        <f t="shared" si="97"/>
        <v>516</v>
      </c>
      <c r="BH204" s="301">
        <f t="shared" si="93"/>
        <v>258.97228934575895</v>
      </c>
      <c r="BI204" s="302">
        <f t="shared" si="94"/>
        <v>258.97228934575895</v>
      </c>
      <c r="BJ204" s="302">
        <f t="shared" si="98"/>
        <v>0.97228934575895209</v>
      </c>
      <c r="BK204" s="302" t="b">
        <f t="shared" si="95"/>
        <v>0</v>
      </c>
      <c r="BL204" s="304">
        <v>24</v>
      </c>
    </row>
    <row r="205" spans="57:64" ht="20" x14ac:dyDescent="0.3">
      <c r="BE205" s="298">
        <v>25</v>
      </c>
      <c r="BF205" s="299">
        <f t="shared" si="96"/>
        <v>559</v>
      </c>
      <c r="BG205" s="42">
        <f t="shared" si="97"/>
        <v>559</v>
      </c>
      <c r="BH205" s="301">
        <f t="shared" si="93"/>
        <v>301.97228934575895</v>
      </c>
      <c r="BI205" s="302">
        <f t="shared" si="94"/>
        <v>301.97228934575895</v>
      </c>
      <c r="BJ205" s="302">
        <f t="shared" si="98"/>
        <v>0.97228934575895209</v>
      </c>
      <c r="BK205" s="302" t="b">
        <f t="shared" si="95"/>
        <v>0</v>
      </c>
      <c r="BL205" s="304">
        <v>25</v>
      </c>
    </row>
    <row r="206" spans="57:64" ht="20" x14ac:dyDescent="0.3">
      <c r="BE206" s="298">
        <v>26</v>
      </c>
      <c r="BF206" s="299">
        <f t="shared" si="96"/>
        <v>602</v>
      </c>
      <c r="BG206" s="42">
        <f t="shared" si="97"/>
        <v>602</v>
      </c>
      <c r="BH206" s="301">
        <f t="shared" si="93"/>
        <v>344.97228934575895</v>
      </c>
      <c r="BI206" s="302">
        <f t="shared" si="94"/>
        <v>344.97228934575895</v>
      </c>
      <c r="BJ206" s="302">
        <f t="shared" si="98"/>
        <v>0.97228934575895209</v>
      </c>
      <c r="BK206" s="302" t="b">
        <f t="shared" si="95"/>
        <v>0</v>
      </c>
      <c r="BL206" s="304">
        <v>26</v>
      </c>
    </row>
    <row r="207" spans="57:64" ht="20" x14ac:dyDescent="0.3">
      <c r="BE207" s="298">
        <v>27</v>
      </c>
      <c r="BF207" s="299">
        <f t="shared" si="96"/>
        <v>645</v>
      </c>
      <c r="BG207" s="42">
        <f t="shared" si="97"/>
        <v>645</v>
      </c>
      <c r="BH207" s="301">
        <f t="shared" si="93"/>
        <v>387.97228934575895</v>
      </c>
      <c r="BI207" s="302">
        <f t="shared" si="94"/>
        <v>387.97228934575895</v>
      </c>
      <c r="BJ207" s="302">
        <f t="shared" si="98"/>
        <v>0.97228934575895209</v>
      </c>
      <c r="BK207" s="302" t="b">
        <f t="shared" si="95"/>
        <v>0</v>
      </c>
      <c r="BL207" s="304">
        <v>27</v>
      </c>
    </row>
    <row r="208" spans="57:64" ht="20" x14ac:dyDescent="0.3">
      <c r="BE208" s="298">
        <v>28</v>
      </c>
      <c r="BF208" s="299">
        <f t="shared" si="96"/>
        <v>688</v>
      </c>
      <c r="BG208" s="42">
        <f t="shared" si="97"/>
        <v>688</v>
      </c>
      <c r="BH208" s="301">
        <f t="shared" si="93"/>
        <v>430.97228934575895</v>
      </c>
      <c r="BI208" s="302">
        <f t="shared" si="94"/>
        <v>430.97228934575895</v>
      </c>
      <c r="BJ208" s="302">
        <f t="shared" si="98"/>
        <v>0.97228934575895209</v>
      </c>
      <c r="BK208" s="302" t="b">
        <f t="shared" si="95"/>
        <v>0</v>
      </c>
      <c r="BL208" s="304">
        <v>28</v>
      </c>
    </row>
    <row r="209" spans="57:64" ht="20" x14ac:dyDescent="0.3">
      <c r="BE209" s="298">
        <v>29</v>
      </c>
      <c r="BF209" s="299">
        <f t="shared" si="96"/>
        <v>731</v>
      </c>
      <c r="BG209" s="42">
        <f t="shared" si="97"/>
        <v>731</v>
      </c>
      <c r="BH209" s="301">
        <f t="shared" si="93"/>
        <v>473.97228934575895</v>
      </c>
      <c r="BI209" s="302">
        <f t="shared" si="94"/>
        <v>473.97228934575895</v>
      </c>
      <c r="BJ209" s="302">
        <f t="shared" si="98"/>
        <v>0.97228934575895209</v>
      </c>
      <c r="BK209" s="302" t="b">
        <f t="shared" si="95"/>
        <v>0</v>
      </c>
      <c r="BL209" s="304">
        <v>29</v>
      </c>
    </row>
    <row r="210" spans="57:64" ht="20" x14ac:dyDescent="0.3">
      <c r="BE210" s="298">
        <v>30</v>
      </c>
      <c r="BF210" s="299">
        <f t="shared" si="96"/>
        <v>774</v>
      </c>
      <c r="BG210" s="42">
        <f t="shared" si="97"/>
        <v>774</v>
      </c>
      <c r="BH210" s="301">
        <f t="shared" si="93"/>
        <v>516.97228934575901</v>
      </c>
      <c r="BI210" s="302">
        <f t="shared" si="94"/>
        <v>516.97228934575901</v>
      </c>
      <c r="BJ210" s="302">
        <f t="shared" si="98"/>
        <v>0.97228934575895209</v>
      </c>
      <c r="BK210" s="302" t="b">
        <f t="shared" si="95"/>
        <v>0</v>
      </c>
      <c r="BL210" s="304">
        <v>30</v>
      </c>
    </row>
    <row r="211" spans="57:64" ht="20" x14ac:dyDescent="0.3">
      <c r="BE211" s="298">
        <v>31</v>
      </c>
      <c r="BF211" s="299">
        <f t="shared" si="96"/>
        <v>817</v>
      </c>
      <c r="BG211" s="42">
        <f t="shared" si="97"/>
        <v>817</v>
      </c>
      <c r="BH211" s="301">
        <f t="shared" si="93"/>
        <v>559.97228934575901</v>
      </c>
      <c r="BI211" s="302">
        <f t="shared" si="94"/>
        <v>559.97228934575901</v>
      </c>
      <c r="BJ211" s="302">
        <f t="shared" si="98"/>
        <v>0.97228934575895209</v>
      </c>
      <c r="BK211" s="302" t="b">
        <f t="shared" si="95"/>
        <v>0</v>
      </c>
      <c r="BL211" s="304">
        <v>31</v>
      </c>
    </row>
    <row r="212" spans="57:64" ht="20" x14ac:dyDescent="0.3">
      <c r="BE212" s="298">
        <v>32</v>
      </c>
      <c r="BF212" s="299">
        <f t="shared" si="96"/>
        <v>860</v>
      </c>
      <c r="BG212" s="42">
        <f t="shared" si="97"/>
        <v>860</v>
      </c>
      <c r="BH212" s="301">
        <f t="shared" si="93"/>
        <v>602.97228934575901</v>
      </c>
      <c r="BI212" s="302">
        <f t="shared" si="94"/>
        <v>602.97228934575901</v>
      </c>
      <c r="BJ212" s="302">
        <f t="shared" si="98"/>
        <v>0.97228934575895209</v>
      </c>
      <c r="BK212" s="302" t="b">
        <f t="shared" si="95"/>
        <v>0</v>
      </c>
      <c r="BL212" s="304">
        <v>32</v>
      </c>
    </row>
    <row r="213" spans="57:64" ht="20" x14ac:dyDescent="0.3">
      <c r="BE213" s="298">
        <v>33</v>
      </c>
      <c r="BF213" s="299">
        <f t="shared" si="96"/>
        <v>903</v>
      </c>
      <c r="BG213" s="42">
        <f t="shared" si="97"/>
        <v>903</v>
      </c>
      <c r="BH213" s="301">
        <f t="shared" si="93"/>
        <v>645.97228934575901</v>
      </c>
      <c r="BI213" s="302">
        <f t="shared" si="94"/>
        <v>645.97228934575901</v>
      </c>
      <c r="BJ213" s="302">
        <f t="shared" si="98"/>
        <v>0.97228934575895209</v>
      </c>
      <c r="BK213" s="302" t="b">
        <f t="shared" si="95"/>
        <v>0</v>
      </c>
      <c r="BL213" s="304">
        <v>33</v>
      </c>
    </row>
    <row r="214" spans="57:64" ht="20" x14ac:dyDescent="0.3">
      <c r="BE214" s="298">
        <v>34</v>
      </c>
      <c r="BF214" s="299">
        <f t="shared" si="96"/>
        <v>946</v>
      </c>
      <c r="BG214" s="42">
        <f t="shared" si="97"/>
        <v>946</v>
      </c>
      <c r="BH214" s="301">
        <f t="shared" si="93"/>
        <v>688.97228934575901</v>
      </c>
      <c r="BI214" s="302">
        <f t="shared" si="94"/>
        <v>688.97228934575901</v>
      </c>
      <c r="BJ214" s="302">
        <f t="shared" si="98"/>
        <v>0.97228934575895209</v>
      </c>
      <c r="BK214" s="302" t="b">
        <f t="shared" si="95"/>
        <v>0</v>
      </c>
      <c r="BL214" s="304">
        <v>34</v>
      </c>
    </row>
    <row r="215" spans="57:64" ht="20" x14ac:dyDescent="0.3">
      <c r="BE215" s="298">
        <v>35</v>
      </c>
      <c r="BF215" s="299">
        <f t="shared" si="96"/>
        <v>989</v>
      </c>
      <c r="BG215" s="42">
        <f t="shared" si="97"/>
        <v>989</v>
      </c>
      <c r="BH215" s="301">
        <f t="shared" si="93"/>
        <v>731.97228934575901</v>
      </c>
      <c r="BI215" s="302">
        <f t="shared" si="94"/>
        <v>731.97228934575901</v>
      </c>
      <c r="BJ215" s="302">
        <f t="shared" si="98"/>
        <v>0.97228934575895209</v>
      </c>
      <c r="BK215" s="302" t="b">
        <f t="shared" si="95"/>
        <v>0</v>
      </c>
      <c r="BL215" s="304">
        <v>35</v>
      </c>
    </row>
    <row r="216" spans="57:64" ht="20" x14ac:dyDescent="0.3">
      <c r="BE216" s="298">
        <v>36</v>
      </c>
      <c r="BF216" s="299">
        <f t="shared" si="96"/>
        <v>1032</v>
      </c>
      <c r="BG216" s="42">
        <f t="shared" si="97"/>
        <v>1032</v>
      </c>
      <c r="BH216" s="301">
        <f t="shared" si="93"/>
        <v>774.97228934575901</v>
      </c>
      <c r="BI216" s="302">
        <f t="shared" si="94"/>
        <v>774.97228934575901</v>
      </c>
      <c r="BJ216" s="302">
        <f t="shared" si="98"/>
        <v>0.97228934575895209</v>
      </c>
      <c r="BK216" s="302" t="b">
        <f t="shared" si="95"/>
        <v>0</v>
      </c>
      <c r="BL216" s="304">
        <v>36</v>
      </c>
    </row>
    <row r="217" spans="57:64" ht="20" x14ac:dyDescent="0.3">
      <c r="BE217" s="308">
        <v>37</v>
      </c>
      <c r="BF217" s="309">
        <f t="shared" si="96"/>
        <v>1075</v>
      </c>
      <c r="BG217" s="42">
        <f t="shared" si="97"/>
        <v>1075</v>
      </c>
      <c r="BH217" s="301">
        <f t="shared" si="93"/>
        <v>817.97228934575901</v>
      </c>
      <c r="BI217" s="302">
        <f t="shared" si="94"/>
        <v>817.97228934575901</v>
      </c>
      <c r="BJ217" s="302">
        <f t="shared" si="98"/>
        <v>0.97228934575895209</v>
      </c>
      <c r="BK217" s="302" t="b">
        <f t="shared" si="95"/>
        <v>0</v>
      </c>
      <c r="BL217" s="310">
        <v>37</v>
      </c>
    </row>
  </sheetData>
  <sheetProtection algorithmName="SHA-512" hashValue="gfeFPUX25XWU13/80DLwplH76LW8kQmxfrmdpIk18CNX3VUQPBxDfHe3+1E/nbGd45qkUp9E4nRhTr/Ol0+6dQ==" saltValue="qNaICx4rYulKJF+IzyWyzQ==" spinCount="100000" sheet="1" objects="1" scenarios="1" selectLockedCells="1"/>
  <protectedRanges>
    <protectedRange sqref="B144 B147 D150:D161 B168 D171:D178" name="Range1"/>
  </protectedRanges>
  <mergeCells count="23">
    <mergeCell ref="BV146:BW146"/>
    <mergeCell ref="B142:B143"/>
    <mergeCell ref="W147:AA147"/>
    <mergeCell ref="AZ147:BA147"/>
    <mergeCell ref="AZ168:BA168"/>
    <mergeCell ref="BV144:BX144"/>
    <mergeCell ref="DF122:DG122"/>
    <mergeCell ref="CH146:CI146"/>
    <mergeCell ref="DK151:DM151"/>
    <mergeCell ref="DK153:DL153"/>
    <mergeCell ref="DW153:DX153"/>
    <mergeCell ref="B86:E86"/>
    <mergeCell ref="BQ25:BR25"/>
    <mergeCell ref="CQ26:DA27"/>
    <mergeCell ref="BQ27:BR27"/>
    <mergeCell ref="CO27:CP27"/>
    <mergeCell ref="BQ29:CA30"/>
    <mergeCell ref="CB30:CC30"/>
    <mergeCell ref="CZ30:DA30"/>
    <mergeCell ref="BQ32:CA33"/>
    <mergeCell ref="CS32:DA33"/>
    <mergeCell ref="CB33:CC33"/>
    <mergeCell ref="CQ33:CR33"/>
  </mergeCells>
  <conditionalFormatting sqref="B150:B161">
    <cfRule type="cellIs" dxfId="1128" priority="111" stopIfTrue="1" operator="greaterThan">
      <formula>$B$147</formula>
    </cfRule>
  </conditionalFormatting>
  <conditionalFormatting sqref="B172:BA172">
    <cfRule type="expression" dxfId="1127" priority="96" stopIfTrue="1">
      <formula>$B$168&lt;2</formula>
    </cfRule>
  </conditionalFormatting>
  <conditionalFormatting sqref="B173:BA173">
    <cfRule type="expression" dxfId="1126" priority="95" stopIfTrue="1">
      <formula>$B$168&lt;3</formula>
    </cfRule>
  </conditionalFormatting>
  <conditionalFormatting sqref="B174:BA174">
    <cfRule type="expression" dxfId="1125" priority="94" stopIfTrue="1">
      <formula>$B$168&lt;4</formula>
    </cfRule>
  </conditionalFormatting>
  <conditionalFormatting sqref="B175:BA175">
    <cfRule type="expression" dxfId="1124" priority="93" stopIfTrue="1">
      <formula>$B$168&lt;5</formula>
    </cfRule>
  </conditionalFormatting>
  <conditionalFormatting sqref="B176:BA176">
    <cfRule type="expression" dxfId="1123" priority="92">
      <formula>$B$168&lt;6</formula>
    </cfRule>
  </conditionalFormatting>
  <conditionalFormatting sqref="B177:BA177">
    <cfRule type="expression" dxfId="1122" priority="3">
      <formula>$B$168&lt;7</formula>
    </cfRule>
  </conditionalFormatting>
  <conditionalFormatting sqref="B178:BA178">
    <cfRule type="expression" dxfId="1121" priority="2">
      <formula>$B$168&lt;8</formula>
    </cfRule>
  </conditionalFormatting>
  <conditionalFormatting sqref="C94">
    <cfRule type="cellIs" dxfId="1120" priority="41" stopIfTrue="1" operator="between">
      <formula>"OVERLOAD"</formula>
      <formula>"OVERLOAD"</formula>
    </cfRule>
  </conditionalFormatting>
  <conditionalFormatting sqref="D141:D142">
    <cfRule type="cellIs" dxfId="1119" priority="20" stopIfTrue="1" operator="equal">
      <formula>"change the angle of frame or of cabinets"</formula>
    </cfRule>
  </conditionalFormatting>
  <conditionalFormatting sqref="D143">
    <cfRule type="cellIs" dxfId="1118" priority="19" stopIfTrue="1" operator="equal">
      <formula>"USE EXBAR AR AT THE FRONT"</formula>
    </cfRule>
  </conditionalFormatting>
  <conditionalFormatting sqref="D144">
    <cfRule type="cellIs" dxfId="1117" priority="18" stopIfTrue="1" operator="equal">
      <formula>"USE EXBAR AR AT THE BACK"</formula>
    </cfRule>
  </conditionalFormatting>
  <conditionalFormatting sqref="D150:D161">
    <cfRule type="cellIs" dxfId="1116" priority="112" stopIfTrue="1" operator="notEqual">
      <formula>0</formula>
    </cfRule>
  </conditionalFormatting>
  <conditionalFormatting sqref="D171">
    <cfRule type="cellIs" dxfId="1115" priority="17" stopIfTrue="1" operator="notEqual">
      <formula>0</formula>
    </cfRule>
  </conditionalFormatting>
  <conditionalFormatting sqref="D172:D176">
    <cfRule type="cellIs" dxfId="1114" priority="100" stopIfTrue="1" operator="notEqual">
      <formula>0</formula>
    </cfRule>
  </conditionalFormatting>
  <conditionalFormatting sqref="D177:D178">
    <cfRule type="cellIs" dxfId="1113" priority="5" stopIfTrue="1" operator="notEqual">
      <formula>0</formula>
    </cfRule>
  </conditionalFormatting>
  <conditionalFormatting sqref="D150:G150">
    <cfRule type="expression" dxfId="1112" priority="63" stopIfTrue="1">
      <formula>$B$147&lt;1</formula>
    </cfRule>
  </conditionalFormatting>
  <conditionalFormatting sqref="D151:G151">
    <cfRule type="expression" dxfId="1111" priority="62" stopIfTrue="1">
      <formula>$B$147&lt;2</formula>
    </cfRule>
  </conditionalFormatting>
  <conditionalFormatting sqref="D152:G152">
    <cfRule type="expression" dxfId="1110" priority="61" stopIfTrue="1">
      <formula>$B$147&lt;3</formula>
    </cfRule>
  </conditionalFormatting>
  <conditionalFormatting sqref="D153:G153">
    <cfRule type="expression" dxfId="1109" priority="60" stopIfTrue="1">
      <formula>$B$147&lt;4</formula>
    </cfRule>
  </conditionalFormatting>
  <conditionalFormatting sqref="D154:G154">
    <cfRule type="expression" dxfId="1108" priority="59" stopIfTrue="1">
      <formula>$B$147&lt;5</formula>
    </cfRule>
  </conditionalFormatting>
  <conditionalFormatting sqref="D155:G155">
    <cfRule type="expression" dxfId="1107" priority="58" stopIfTrue="1">
      <formula>$B$147&lt;6</formula>
    </cfRule>
  </conditionalFormatting>
  <conditionalFormatting sqref="D156:G156">
    <cfRule type="expression" dxfId="1106" priority="57" stopIfTrue="1">
      <formula>$B$147&lt;7</formula>
    </cfRule>
  </conditionalFormatting>
  <conditionalFormatting sqref="D157:G157">
    <cfRule type="expression" dxfId="1105" priority="56" stopIfTrue="1">
      <formula>$B$147&lt;8</formula>
    </cfRule>
  </conditionalFormatting>
  <conditionalFormatting sqref="D158:G158">
    <cfRule type="expression" dxfId="1104" priority="55" stopIfTrue="1">
      <formula>$B$147&lt;9</formula>
    </cfRule>
  </conditionalFormatting>
  <conditionalFormatting sqref="D159:G159">
    <cfRule type="expression" dxfId="1103" priority="54" stopIfTrue="1">
      <formula>$B$147&lt;10</formula>
    </cfRule>
  </conditionalFormatting>
  <conditionalFormatting sqref="D160:G160">
    <cfRule type="expression" dxfId="1102" priority="53" stopIfTrue="1">
      <formula>$B$147&lt;11</formula>
    </cfRule>
  </conditionalFormatting>
  <conditionalFormatting sqref="D161:G161 J161:AB161 AX161:BA161">
    <cfRule type="expression" dxfId="1101" priority="51" stopIfTrue="1">
      <formula>$B$147&lt;12</formula>
    </cfRule>
  </conditionalFormatting>
  <conditionalFormatting sqref="E144 E143:G143">
    <cfRule type="cellIs" dxfId="1100" priority="115" stopIfTrue="1" operator="equal">
      <formula>"USE EXBAR VR AT THE FRONT"</formula>
    </cfRule>
  </conditionalFormatting>
  <conditionalFormatting sqref="E101:F101 E142:G142">
    <cfRule type="cellIs" dxfId="1099" priority="113" stopIfTrue="1" operator="equal">
      <formula>"change the angle of frame or of cabinets"</formula>
    </cfRule>
  </conditionalFormatting>
  <conditionalFormatting sqref="E144:G144">
    <cfRule type="cellIs" dxfId="1098" priority="114" stopIfTrue="1" operator="equal">
      <formula>"USE EXBAR VR AT THE BACK"</formula>
    </cfRule>
  </conditionalFormatting>
  <conditionalFormatting sqref="J151:AB151 AX151:BA151">
    <cfRule type="expression" dxfId="1097" priority="108" stopIfTrue="1">
      <formula>$B$147&lt;2</formula>
    </cfRule>
  </conditionalFormatting>
  <conditionalFormatting sqref="J152:AB152 AX152:BA152">
    <cfRule type="expression" dxfId="1096" priority="107" stopIfTrue="1">
      <formula>$B$147&lt;3</formula>
    </cfRule>
  </conditionalFormatting>
  <conditionalFormatting sqref="J153:AB153 AX153:BA153">
    <cfRule type="expression" dxfId="1095" priority="106" stopIfTrue="1">
      <formula>$B$147&lt;4</formula>
    </cfRule>
  </conditionalFormatting>
  <conditionalFormatting sqref="J154:AB154 AX154:BA154">
    <cfRule type="expression" dxfId="1094" priority="105" stopIfTrue="1">
      <formula>$B$147&lt;5</formula>
    </cfRule>
  </conditionalFormatting>
  <conditionalFormatting sqref="J155:AB155 AX155:BA155">
    <cfRule type="expression" dxfId="1093" priority="104" stopIfTrue="1">
      <formula>$B$147&lt;6</formula>
    </cfRule>
  </conditionalFormatting>
  <conditionalFormatting sqref="J156:AB156 AX156:BA156">
    <cfRule type="expression" dxfId="1092" priority="103" stopIfTrue="1">
      <formula>$B$147&lt;7</formula>
    </cfRule>
  </conditionalFormatting>
  <conditionalFormatting sqref="J157:AB157 AX157:BA157">
    <cfRule type="expression" dxfId="1091" priority="102" stopIfTrue="1">
      <formula>$B$147&lt;8</formula>
    </cfRule>
  </conditionalFormatting>
  <conditionalFormatting sqref="J158:AB158 AX158:BA158">
    <cfRule type="expression" dxfId="1090" priority="101" stopIfTrue="1">
      <formula>$B$147&lt;9</formula>
    </cfRule>
  </conditionalFormatting>
  <conditionalFormatting sqref="J159:AB159 AX159:BA159">
    <cfRule type="expression" dxfId="1089" priority="77" stopIfTrue="1">
      <formula>$B$147&lt;10</formula>
    </cfRule>
  </conditionalFormatting>
  <conditionalFormatting sqref="J160:AB160 AX160:BA160">
    <cfRule type="expression" dxfId="1088" priority="64" stopIfTrue="1">
      <formula>$B$147&lt;11</formula>
    </cfRule>
  </conditionalFormatting>
  <conditionalFormatting sqref="K150:O150 T150:V150 X150 AB150">
    <cfRule type="expression" dxfId="1087" priority="110" stopIfTrue="1">
      <formula>$B$147&lt;1</formula>
    </cfRule>
  </conditionalFormatting>
  <conditionalFormatting sqref="U26 AB26:AE26 U29:U33 AB29:AE33 U62:U94 AB62:AE94">
    <cfRule type="cellIs" dxfId="1086" priority="117" stopIfTrue="1" operator="between">
      <formula>"OVERLOAD"</formula>
      <formula>"OVERLOAD"</formula>
    </cfRule>
  </conditionalFormatting>
  <conditionalFormatting sqref="W150">
    <cfRule type="expression" dxfId="1085" priority="22" stopIfTrue="1">
      <formula>$B$171&lt;1</formula>
    </cfRule>
  </conditionalFormatting>
  <conditionalFormatting sqref="Y150">
    <cfRule type="expression" dxfId="1084" priority="21" stopIfTrue="1">
      <formula>$B$171&lt;1</formula>
    </cfRule>
  </conditionalFormatting>
  <conditionalFormatting sqref="Z150:AA150">
    <cfRule type="expression" dxfId="1083" priority="50" stopIfTrue="1">
      <formula>$B$150&lt;1</formula>
    </cfRule>
  </conditionalFormatting>
  <conditionalFormatting sqref="AC151:AC161">
    <cfRule type="expression" dxfId="1082" priority="46" stopIfTrue="1">
      <formula>$B$150&lt;1</formula>
    </cfRule>
  </conditionalFormatting>
  <conditionalFormatting sqref="AC150:AD150">
    <cfRule type="expression" dxfId="1081" priority="49" stopIfTrue="1">
      <formula>$B$150&lt;1</formula>
    </cfRule>
  </conditionalFormatting>
  <conditionalFormatting sqref="AD150:AE161">
    <cfRule type="expression" dxfId="1080" priority="42" stopIfTrue="1">
      <formula>$B$150&lt;1</formula>
    </cfRule>
  </conditionalFormatting>
  <conditionalFormatting sqref="AZ150:BA161">
    <cfRule type="cellIs" dxfId="1079" priority="109" stopIfTrue="1" operator="lessThan">
      <formula>10</formula>
    </cfRule>
  </conditionalFormatting>
  <conditionalFormatting sqref="AZ171:BA176">
    <cfRule type="cellIs" dxfId="1078" priority="98" stopIfTrue="1" operator="lessThan">
      <formula>10</formula>
    </cfRule>
  </conditionalFormatting>
  <conditionalFormatting sqref="AZ177:BA178">
    <cfRule type="cellIs" dxfId="1077" priority="4" stopIfTrue="1" operator="lessThan">
      <formula>10</formula>
    </cfRule>
  </conditionalFormatting>
  <conditionalFormatting sqref="BK181:BK217">
    <cfRule type="cellIs" dxfId="1076" priority="30" stopIfTrue="1" operator="equal">
      <formula>FALSE</formula>
    </cfRule>
  </conditionalFormatting>
  <conditionalFormatting sqref="BN26">
    <cfRule type="cellIs" dxfId="1075" priority="16" stopIfTrue="1" operator="equal">
      <formula>"negative force at the motor"</formula>
    </cfRule>
  </conditionalFormatting>
  <conditionalFormatting sqref="BN26:BN27">
    <cfRule type="cellIs" dxfId="1074" priority="15" operator="equal">
      <formula>"""OK"""</formula>
    </cfRule>
  </conditionalFormatting>
  <conditionalFormatting sqref="BN27">
    <cfRule type="cellIs" dxfId="1073" priority="26" stopIfTrue="1" operator="equal">
      <formula>"overload"</formula>
    </cfRule>
  </conditionalFormatting>
  <conditionalFormatting sqref="BN29">
    <cfRule type="cellIs" dxfId="1072" priority="14" stopIfTrue="1" operator="equal">
      <formula>"negative force at the motor"</formula>
    </cfRule>
  </conditionalFormatting>
  <conditionalFormatting sqref="BN29:BN30">
    <cfRule type="cellIs" dxfId="1071" priority="13" operator="equal">
      <formula>"""OK"""</formula>
    </cfRule>
  </conditionalFormatting>
  <conditionalFormatting sqref="BN32">
    <cfRule type="cellIs" dxfId="1070" priority="12" stopIfTrue="1" operator="equal">
      <formula>"negative force at the motor"</formula>
    </cfRule>
  </conditionalFormatting>
  <conditionalFormatting sqref="BN32:BN33">
    <cfRule type="cellIs" dxfId="1069" priority="11" operator="equal">
      <formula>"""OK"""</formula>
    </cfRule>
  </conditionalFormatting>
  <conditionalFormatting sqref="BN56 BN61 BN141 BN30 BN33">
    <cfRule type="cellIs" dxfId="1068" priority="24" stopIfTrue="1" operator="equal">
      <formula>"overload"</formula>
    </cfRule>
  </conditionalFormatting>
  <conditionalFormatting sqref="BN56 BN141 BN61">
    <cfRule type="cellIs" dxfId="1067" priority="23" operator="equal">
      <formula>"""OK"""</formula>
    </cfRule>
  </conditionalFormatting>
  <conditionalFormatting sqref="BO55:BO56 BN56 BO140 BN141:BO141">
    <cfRule type="expression" dxfId="1066" priority="8">
      <formula>$B$144&lt;&gt;0</formula>
    </cfRule>
  </conditionalFormatting>
  <conditionalFormatting sqref="BQ140:CG140">
    <cfRule type="expression" dxfId="1065" priority="7">
      <formula>$B$144=0</formula>
    </cfRule>
  </conditionalFormatting>
  <conditionalFormatting sqref="BQ57:DB59 BV64:CI68 BQ167:CN168">
    <cfRule type="cellIs" dxfId="1064" priority="33" stopIfTrue="1" operator="equal">
      <formula>FALSE</formula>
    </cfRule>
  </conditionalFormatting>
  <conditionalFormatting sqref="CB55:CR55">
    <cfRule type="expression" dxfId="1063" priority="10">
      <formula>$B$144=0</formula>
    </cfRule>
    <cfRule type="cellIs" dxfId="1062" priority="9" operator="equal">
      <formula>0</formula>
    </cfRule>
  </conditionalFormatting>
  <conditionalFormatting sqref="CK140:DA140">
    <cfRule type="expression" dxfId="1061" priority="6">
      <formula>$B$144=0</formula>
    </cfRule>
  </conditionalFormatting>
  <conditionalFormatting sqref="DF172:EC172">
    <cfRule type="cellIs" dxfId="1060" priority="38" stopIfTrue="1" operator="equal">
      <formula>0</formula>
    </cfRule>
  </conditionalFormatting>
  <conditionalFormatting sqref="DF174:EC175">
    <cfRule type="cellIs" dxfId="1059" priority="116" stopIfTrue="1" operator="equal">
      <formula>FALSE</formula>
    </cfRule>
  </conditionalFormatting>
  <dataValidations count="8">
    <dataValidation type="decimal" allowBlank="1" showInputMessage="1" showErrorMessage="1" sqref="F150:G150 F171:G171" xr:uid="{00000000-0002-0000-0900-000000000000}">
      <formula1>0</formula1>
      <formula2>4</formula2>
    </dataValidation>
    <dataValidation type="decimal" allowBlank="1" showInputMessage="1" showErrorMessage="1" sqref="G151:G161 G172:G178 F152:F161 F173:F178" xr:uid="{00000000-0002-0000-0900-000001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47" xr:uid="{00000000-0002-0000-0900-000002000000}">
      <formula1>1</formula1>
      <formula2>10</formula2>
    </dataValidation>
    <dataValidation type="whole" allowBlank="1" showInputMessage="1" showErrorMessage="1" errorTitle="Coda Audio" error="YOU HAVE ENTERED A WRONG NUMBER OF CABINETS" promptTitle="Coda Audio" prompt="ENTER THE NUMBER OF CABINETS FROM 1 UP TO 8" sqref="B168" xr:uid="{00000000-0002-0000-0900-000003000000}">
      <formula1>1</formula1>
      <formula2>8</formula2>
    </dataValidation>
    <dataValidation type="list" allowBlank="1" showInputMessage="1" showErrorMessage="1" sqref="D171" xr:uid="{00000000-0002-0000-0900-000004000000}">
      <formula1>"0"</formula1>
    </dataValidation>
    <dataValidation type="custom" allowBlank="1" showInputMessage="1" showErrorMessage="1" sqref="D150:D161" xr:uid="{00000000-0002-0000-0900-000005000000}">
      <formula1>OR(D150=0,D150=2.5,D150=5)</formula1>
    </dataValidation>
    <dataValidation type="decimal" allowBlank="1" showInputMessage="1" showErrorMessage="1" sqref="B144" xr:uid="{00000000-0002-0000-0900-000006000000}">
      <formula1>-89.9</formula1>
      <formula2>89.9</formula2>
    </dataValidation>
    <dataValidation type="custom" allowBlank="1" showInputMessage="1" showErrorMessage="1" sqref="D172:D178" xr:uid="{00000000-0002-0000-0900-000007000000}">
      <formula1>OR(D172=0,D172=0.5,D172=1,D172=2,D172=2.5,D172=3,D172=4,D172=5,D172=6,D172=7,D172=8)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ignoredErrors>
    <ignoredError sqref="BN26:BO26 BN35:BO60 BN28:BO29 BN27 BN31:BO34 BN30 BN61" unlockedFormula="1"/>
  </ignoredErrors>
  <drawing r:id="rId2"/>
  <legacy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7" tint="0.59999389629810485"/>
  </sheetPr>
  <dimension ref="A1:DE185"/>
  <sheetViews>
    <sheetView topLeftCell="A25" zoomScale="50" zoomScaleNormal="50" workbookViewId="0">
      <selection activeCell="D147" sqref="D147"/>
    </sheetView>
  </sheetViews>
  <sheetFormatPr baseColWidth="10" defaultColWidth="9.1640625" defaultRowHeight="16" x14ac:dyDescent="0.2"/>
  <cols>
    <col min="1" max="1" width="1.5" style="560" customWidth="1"/>
    <col min="2" max="2" width="33.1640625" style="559" customWidth="1"/>
    <col min="3" max="3" width="22.6640625" style="559" hidden="1" customWidth="1"/>
    <col min="4" max="4" width="28.6640625" style="560" customWidth="1"/>
    <col min="5" max="5" width="49.1640625" style="560" customWidth="1"/>
    <col min="6" max="6" width="42.33203125" style="560" hidden="1" customWidth="1"/>
    <col min="7" max="7" width="48.83203125" style="560" hidden="1" customWidth="1"/>
    <col min="8" max="8" width="17" style="560" hidden="1" customWidth="1"/>
    <col min="9" max="9" width="20.83203125" style="560" hidden="1" customWidth="1"/>
    <col min="10" max="14" width="15.6640625" style="560" hidden="1" customWidth="1"/>
    <col min="15" max="15" width="5.83203125" style="560" hidden="1" customWidth="1"/>
    <col min="16" max="17" width="12.5" style="560" hidden="1" customWidth="1"/>
    <col min="18" max="18" width="29.33203125" style="560" hidden="1" customWidth="1"/>
    <col min="19" max="19" width="12.5" style="560" hidden="1" customWidth="1"/>
    <col min="20" max="20" width="15" style="560" hidden="1" customWidth="1"/>
    <col min="21" max="21" width="11.1640625" style="560" hidden="1" customWidth="1"/>
    <col min="22" max="22" width="19.83203125" style="560" hidden="1" customWidth="1"/>
    <col min="23" max="23" width="17" style="560" hidden="1" customWidth="1"/>
    <col min="24" max="24" width="15" style="560" hidden="1" customWidth="1"/>
    <col min="25" max="25" width="17" style="560" hidden="1" customWidth="1"/>
    <col min="26" max="26" width="19.83203125" style="560" hidden="1" customWidth="1"/>
    <col min="27" max="27" width="22.6640625" style="560" hidden="1" customWidth="1"/>
    <col min="28" max="28" width="36" style="560" customWidth="1"/>
    <col min="29" max="29" width="26.33203125" style="560" hidden="1" customWidth="1"/>
    <col min="30" max="30" width="5.33203125" style="560" hidden="1" customWidth="1"/>
    <col min="31" max="31" width="4.5" style="560" hidden="1" customWidth="1"/>
    <col min="32" max="32" width="35.5" style="560" hidden="1" customWidth="1"/>
    <col min="33" max="33" width="11.5" style="560" hidden="1" customWidth="1"/>
    <col min="34" max="34" width="11.33203125" style="560" hidden="1" customWidth="1"/>
    <col min="35" max="35" width="35.33203125" style="560" hidden="1" customWidth="1"/>
    <col min="36" max="47" width="12.5" style="560" hidden="1" customWidth="1"/>
    <col min="48" max="48" width="20.83203125" style="560" hidden="1" customWidth="1"/>
    <col min="49" max="49" width="30.5" style="560" hidden="1" customWidth="1"/>
    <col min="50" max="50" width="20.83203125" style="560" hidden="1" customWidth="1"/>
    <col min="51" max="51" width="19.83203125" style="560" hidden="1" customWidth="1"/>
    <col min="52" max="52" width="12.1640625" style="560" customWidth="1"/>
    <col min="53" max="53" width="13.83203125" style="560" customWidth="1"/>
    <col min="54" max="54" width="21.5" style="560" hidden="1" customWidth="1"/>
    <col min="55" max="55" width="18.6640625" style="560" hidden="1" customWidth="1"/>
    <col min="56" max="56" width="23.5" style="560" hidden="1" customWidth="1"/>
    <col min="57" max="57" width="22.5" style="560" hidden="1" customWidth="1"/>
    <col min="58" max="58" width="17.5" hidden="1" customWidth="1"/>
    <col min="59" max="59" width="21.5" hidden="1" customWidth="1"/>
    <col min="60" max="60" width="13" hidden="1" customWidth="1"/>
    <col min="61" max="61" width="15" hidden="1" customWidth="1"/>
    <col min="62" max="62" width="23.5" hidden="1" customWidth="1"/>
    <col min="63" max="63" width="10.83203125" hidden="1" customWidth="1"/>
    <col min="64" max="64" width="13.33203125" hidden="1" customWidth="1"/>
    <col min="65" max="65" width="17.6640625" hidden="1" customWidth="1"/>
    <col min="66" max="66" width="12.83203125" style="81" hidden="1" customWidth="1"/>
    <col min="67" max="67" width="24.83203125" bestFit="1" customWidth="1"/>
    <col min="68" max="68" width="36.5" style="59" customWidth="1"/>
    <col min="69" max="69" width="45.33203125" customWidth="1"/>
    <col min="70" max="80" width="6.5" customWidth="1"/>
    <col min="81" max="81" width="8.33203125" customWidth="1"/>
    <col min="82" max="94" width="6.5" customWidth="1"/>
    <col min="95" max="95" width="8" customWidth="1"/>
    <col min="96" max="106" width="6.5" customWidth="1"/>
    <col min="107" max="107" width="7.6640625" hidden="1" customWidth="1"/>
    <col min="108" max="108" width="16" customWidth="1"/>
    <col min="109" max="109" width="41" hidden="1" customWidth="1"/>
    <col min="110" max="110" width="9.33203125" style="560" customWidth="1"/>
    <col min="111" max="131" width="9.1640625" style="560" customWidth="1"/>
    <col min="132" max="16384" width="9.1640625" style="560"/>
  </cols>
  <sheetData>
    <row r="1" spans="2:109" s="66" customFormat="1" ht="20" hidden="1" x14ac:dyDescent="0.2">
      <c r="B1" s="559"/>
      <c r="C1" s="560"/>
      <c r="D1" s="561" t="s">
        <v>104</v>
      </c>
      <c r="E1" s="561" t="s">
        <v>105</v>
      </c>
      <c r="F1" s="561" t="s">
        <v>106</v>
      </c>
      <c r="G1" s="990" t="s">
        <v>220</v>
      </c>
      <c r="H1" s="1073">
        <v>18000</v>
      </c>
      <c r="I1" s="992"/>
      <c r="J1" s="992"/>
      <c r="K1" s="992"/>
      <c r="L1" s="992"/>
      <c r="M1" s="992"/>
      <c r="N1" s="992"/>
      <c r="O1" s="993"/>
      <c r="BF1"/>
      <c r="BG1"/>
      <c r="BH1"/>
      <c r="BI1"/>
      <c r="BJ1"/>
      <c r="BK1"/>
      <c r="BL1"/>
      <c r="BM1"/>
      <c r="BN1" s="81"/>
      <c r="BO1"/>
      <c r="BP1" s="59"/>
      <c r="BQ1"/>
      <c r="BR1"/>
      <c r="BS1"/>
      <c r="BT1"/>
      <c r="BU1"/>
      <c r="BV1"/>
      <c r="BW1"/>
      <c r="BX1"/>
      <c r="BY1"/>
      <c r="BZ1"/>
      <c r="CA1"/>
      <c r="CB1"/>
      <c r="CC1"/>
      <c r="CD1"/>
      <c r="CE1"/>
      <c r="CF1"/>
      <c r="CG1"/>
      <c r="CH1"/>
      <c r="CI1"/>
      <c r="CJ1"/>
      <c r="CK1"/>
      <c r="CL1"/>
      <c r="CM1"/>
      <c r="CN1"/>
      <c r="CO1"/>
      <c r="CP1"/>
      <c r="CQ1"/>
      <c r="CR1"/>
      <c r="CS1"/>
      <c r="CT1"/>
      <c r="CU1"/>
      <c r="CV1"/>
      <c r="CW1"/>
      <c r="CX1"/>
      <c r="CY1"/>
      <c r="CZ1"/>
      <c r="DA1"/>
      <c r="DB1"/>
      <c r="DC1"/>
      <c r="DD1"/>
      <c r="DE1"/>
    </row>
    <row r="2" spans="2:109" ht="25" hidden="1" x14ac:dyDescent="0.25">
      <c r="B2" s="562" t="s">
        <v>26</v>
      </c>
      <c r="C2" s="39">
        <v>688</v>
      </c>
      <c r="D2" s="40">
        <f>+COS(($B$136*-1)*3.14159265358979/180)*C2</f>
        <v>688</v>
      </c>
      <c r="E2" s="41">
        <f>+COS(($B$136*-1)*3.14159265358979/180)*43</f>
        <v>43</v>
      </c>
      <c r="F2" s="42">
        <f>+COS((($B$136*-1)+72.969997)*3.14159265358979/180)*162.1867</f>
        <v>47.500013702602963</v>
      </c>
      <c r="G2" s="994" t="s">
        <v>212</v>
      </c>
      <c r="H2" s="1074">
        <v>77</v>
      </c>
      <c r="I2"/>
      <c r="J2"/>
      <c r="K2"/>
      <c r="L2"/>
      <c r="M2"/>
      <c r="N2"/>
      <c r="O2" s="995"/>
      <c r="U2" s="563"/>
      <c r="BC2" s="563"/>
      <c r="BD2" s="563"/>
    </row>
    <row r="3" spans="2:109" ht="26" hidden="1" thickBot="1" x14ac:dyDescent="0.3">
      <c r="B3" s="38" t="s">
        <v>113</v>
      </c>
      <c r="C3" s="43">
        <f>+C9-47.5</f>
        <v>197.17850497402543</v>
      </c>
      <c r="D3" s="40">
        <f>+C9-F2</f>
        <v>197.17849127142247</v>
      </c>
      <c r="E3" s="564"/>
      <c r="F3" s="565"/>
      <c r="G3" s="994" t="s">
        <v>213</v>
      </c>
      <c r="H3" s="1075">
        <v>215</v>
      </c>
      <c r="I3" s="182"/>
      <c r="J3"/>
      <c r="K3"/>
      <c r="L3"/>
      <c r="M3"/>
      <c r="N3"/>
      <c r="O3" s="995"/>
      <c r="BC3" s="563"/>
      <c r="BD3" s="563"/>
    </row>
    <row r="4" spans="2:109" ht="59" hidden="1" thickBot="1" x14ac:dyDescent="0.3">
      <c r="B4" s="44" t="s">
        <v>114</v>
      </c>
      <c r="C4" s="45">
        <v>1075</v>
      </c>
      <c r="D4" s="40">
        <f>+COS(($B$136*-1)*3.14159265358979/180)*C4</f>
        <v>1075</v>
      </c>
      <c r="E4" s="565"/>
      <c r="F4" s="565"/>
      <c r="G4" s="996" t="s">
        <v>233</v>
      </c>
      <c r="H4" s="1076">
        <v>860</v>
      </c>
      <c r="I4" s="984">
        <v>1</v>
      </c>
      <c r="J4" s="1721" t="s">
        <v>228</v>
      </c>
      <c r="K4" s="1727"/>
      <c r="L4" s="1727"/>
      <c r="M4" s="1727"/>
      <c r="N4"/>
      <c r="O4" s="995"/>
      <c r="BC4" s="563"/>
      <c r="BD4" s="563"/>
    </row>
    <row r="5" spans="2:109" ht="39" hidden="1" x14ac:dyDescent="0.25">
      <c r="B5" s="44" t="s">
        <v>115</v>
      </c>
      <c r="C5" s="45">
        <f>+C9+425.5</f>
        <v>670.17850497402537</v>
      </c>
      <c r="D5" s="40">
        <f>+(COS(($B$136*-1)*3.14159265358979/180)*473)+$D$3</f>
        <v>670.17849127142244</v>
      </c>
      <c r="E5" s="565"/>
      <c r="F5" s="565"/>
      <c r="G5" s="996" t="s">
        <v>214</v>
      </c>
      <c r="H5" s="1076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  <c r="U5" s="563"/>
      <c r="AB5" s="563"/>
      <c r="AC5" s="563"/>
      <c r="AD5" s="563"/>
      <c r="AE5" s="563"/>
    </row>
    <row r="6" spans="2:109" ht="25" hidden="1" x14ac:dyDescent="0.25">
      <c r="B6" s="566"/>
      <c r="C6" s="566"/>
      <c r="D6" s="565"/>
      <c r="E6" s="565"/>
      <c r="F6" s="565"/>
      <c r="G6" s="996" t="s">
        <v>259</v>
      </c>
      <c r="H6" s="1076">
        <v>602</v>
      </c>
      <c r="I6"/>
      <c r="J6" s="963">
        <f>+H9/H8*BR27</f>
        <v>160.6331746634996</v>
      </c>
      <c r="K6" s="963">
        <f>((H8-H9)/H8)*BR27</f>
        <v>-110.43530758115597</v>
      </c>
      <c r="L6" s="963">
        <f>+CP27</f>
        <v>83.102132917656391</v>
      </c>
      <c r="M6" s="961" t="s">
        <v>223</v>
      </c>
      <c r="N6"/>
      <c r="O6" s="995"/>
      <c r="U6" s="563"/>
      <c r="AB6" s="563"/>
      <c r="AC6" s="563"/>
      <c r="AD6" s="563"/>
      <c r="AE6" s="563"/>
      <c r="BC6" s="567"/>
      <c r="BD6" s="567"/>
    </row>
    <row r="7" spans="2:109" ht="25" hidden="1" x14ac:dyDescent="0.25">
      <c r="B7" s="568" t="s">
        <v>18</v>
      </c>
      <c r="C7" s="568">
        <f>+(B144*40.5)+(B175*25.5)+31+4.5+0.5+1.3+30</f>
        <v>133.30000000000001</v>
      </c>
      <c r="D7" s="565"/>
      <c r="E7" s="565"/>
      <c r="F7" s="565"/>
      <c r="G7" s="997" t="s">
        <v>230</v>
      </c>
      <c r="H7" s="1077">
        <f>(+SIN(($B$136*-1)*3.14159265358979/180)*H2)</f>
        <v>0</v>
      </c>
      <c r="I7"/>
      <c r="J7" s="965">
        <f>ABS($H$1/J6)</f>
        <v>112.05655393231862</v>
      </c>
      <c r="K7" s="965">
        <f>ABS($H$1/K6)</f>
        <v>162.99135117428165</v>
      </c>
      <c r="L7" s="965">
        <f>ABS($H$1/L6)</f>
        <v>216.60093872483037</v>
      </c>
      <c r="M7" s="967" t="s">
        <v>222</v>
      </c>
      <c r="N7"/>
      <c r="O7" s="995"/>
      <c r="U7" s="563"/>
      <c r="AB7" s="563"/>
      <c r="AC7" s="563"/>
      <c r="AD7" s="563"/>
      <c r="AE7" s="563"/>
      <c r="BC7" s="567"/>
      <c r="BD7" s="567"/>
    </row>
    <row r="8" spans="2:109" ht="25" hidden="1" x14ac:dyDescent="0.25">
      <c r="B8" s="568" t="s">
        <v>19</v>
      </c>
      <c r="C8" s="568">
        <f>+AR147</f>
        <v>492.39108855494453</v>
      </c>
      <c r="D8" s="565"/>
      <c r="E8" s="565"/>
      <c r="F8" s="565"/>
      <c r="G8" s="997" t="s">
        <v>229</v>
      </c>
      <c r="H8" s="1077">
        <f>(+COS(($B$136*-1)*3.14159265358979/180)*H3)</f>
        <v>215</v>
      </c>
      <c r="I8"/>
      <c r="J8" s="1733">
        <f>ABS($F$13/BR27)</f>
        <v>159.36932114818649</v>
      </c>
      <c r="K8" s="1733"/>
      <c r="L8" s="1733">
        <f>ABS($F$13/CP27)</f>
        <v>96.267083877702376</v>
      </c>
      <c r="M8" s="1734" t="s">
        <v>350</v>
      </c>
      <c r="N8"/>
      <c r="O8" s="995"/>
      <c r="U8" s="563"/>
      <c r="AB8" s="563"/>
      <c r="AC8" s="563"/>
      <c r="AD8" s="563"/>
      <c r="AE8" s="563"/>
    </row>
    <row r="9" spans="2:109" ht="26" hidden="1" thickBot="1" x14ac:dyDescent="0.3">
      <c r="B9" s="568" t="s">
        <v>14</v>
      </c>
      <c r="C9" s="568">
        <f>+AO143</f>
        <v>244.67850497402543</v>
      </c>
      <c r="D9" s="565"/>
      <c r="E9" s="565"/>
      <c r="F9" s="565"/>
      <c r="G9" s="994" t="s">
        <v>227</v>
      </c>
      <c r="H9" s="1077">
        <f>+D2+H7</f>
        <v>688</v>
      </c>
      <c r="I9"/>
      <c r="J9" s="59"/>
      <c r="K9" s="59"/>
      <c r="L9" s="59"/>
      <c r="M9" s="59"/>
      <c r="N9"/>
      <c r="O9" s="995"/>
      <c r="U9" s="563"/>
      <c r="AB9" s="563"/>
      <c r="AC9" s="563"/>
      <c r="AD9" s="563"/>
      <c r="AE9" s="563"/>
      <c r="BC9" s="569"/>
      <c r="BD9" s="569"/>
    </row>
    <row r="10" spans="2:109" ht="26" hidden="1" thickBot="1" x14ac:dyDescent="0.3">
      <c r="D10" s="565"/>
      <c r="E10" s="565"/>
      <c r="F10" s="565"/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  <c r="U10" s="563"/>
      <c r="AB10" s="563"/>
      <c r="AC10" s="563"/>
      <c r="AD10" s="563"/>
      <c r="AE10" s="563"/>
      <c r="BC10" s="569"/>
      <c r="BD10" s="569"/>
    </row>
    <row r="11" spans="2:109" ht="20" hidden="1" x14ac:dyDescent="0.2">
      <c r="B11" s="570" t="s">
        <v>160</v>
      </c>
      <c r="C11" s="571"/>
      <c r="D11" s="572">
        <v>5800</v>
      </c>
      <c r="E11" s="572"/>
      <c r="F11" s="573">
        <v>10000</v>
      </c>
      <c r="G11" s="994" t="s">
        <v>226</v>
      </c>
      <c r="H11" s="1077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  <c r="BC11" s="569"/>
      <c r="BD11" s="569"/>
    </row>
    <row r="12" spans="2:109" ht="20" hidden="1" x14ac:dyDescent="0.2">
      <c r="B12" s="574"/>
      <c r="C12" s="575"/>
      <c r="D12" s="576"/>
      <c r="E12" s="576"/>
      <c r="F12" s="577"/>
      <c r="G12" s="998"/>
      <c r="H12" s="37"/>
      <c r="I12"/>
      <c r="J12" s="963">
        <f>(CC30)</f>
        <v>108.84986708234364</v>
      </c>
      <c r="K12" s="963">
        <f>((+H8-H11)/H8*DA30)</f>
        <v>-53.790292418844061</v>
      </c>
      <c r="L12" s="963">
        <f>(H11/H8*DA30)</f>
        <v>78.240425336500451</v>
      </c>
      <c r="M12" s="961" t="s">
        <v>223</v>
      </c>
      <c r="N12"/>
      <c r="O12" s="995"/>
      <c r="BC12" s="569"/>
      <c r="BD12" s="569"/>
    </row>
    <row r="13" spans="2:109" ht="20" hidden="1" x14ac:dyDescent="0.2">
      <c r="B13" s="578" t="s">
        <v>161</v>
      </c>
      <c r="C13" s="575"/>
      <c r="D13" s="576">
        <v>8000</v>
      </c>
      <c r="E13" s="576">
        <v>8000</v>
      </c>
      <c r="F13" s="577">
        <v>8000</v>
      </c>
      <c r="G13" s="998"/>
      <c r="H13"/>
      <c r="I13"/>
      <c r="J13" s="965">
        <f>ABS($H$1/J12)</f>
        <v>165.36538337142125</v>
      </c>
      <c r="K13" s="965">
        <f>ABS($H$1/K12)</f>
        <v>334.63287129657169</v>
      </c>
      <c r="L13" s="965">
        <f>ABS($H$1/L12)</f>
        <v>230.06009901639302</v>
      </c>
      <c r="M13" s="967" t="s">
        <v>222</v>
      </c>
      <c r="N13"/>
      <c r="O13" s="995"/>
      <c r="BC13" s="569"/>
      <c r="BD13" s="569"/>
    </row>
    <row r="14" spans="2:109" ht="20" hidden="1" x14ac:dyDescent="0.2">
      <c r="B14" s="574"/>
      <c r="C14" s="575"/>
      <c r="D14" s="579" t="s">
        <v>20</v>
      </c>
      <c r="E14" s="579"/>
      <c r="F14" s="580" t="s">
        <v>21</v>
      </c>
      <c r="G14" s="998"/>
      <c r="H14"/>
      <c r="I14"/>
      <c r="J14" s="1733">
        <f>ABS($F$13/CC30)</f>
        <v>73.49572594285388</v>
      </c>
      <c r="K14" s="1733"/>
      <c r="L14" s="1733">
        <f>ABS($F$13/DA30)</f>
        <v>327.19658526775902</v>
      </c>
      <c r="M14" s="1734" t="s">
        <v>350</v>
      </c>
      <c r="N14"/>
      <c r="O14" s="995"/>
      <c r="BC14" s="569"/>
      <c r="BD14" s="569"/>
    </row>
    <row r="15" spans="2:109" ht="21" hidden="1" thickBot="1" x14ac:dyDescent="0.25">
      <c r="B15" s="581" t="s">
        <v>17</v>
      </c>
      <c r="C15" s="582"/>
      <c r="D15" s="583">
        <f>+((C8-C9)/C8)*C7</f>
        <v>67.060692524397496</v>
      </c>
      <c r="E15" s="583"/>
      <c r="F15" s="584">
        <f>+(C9/C8)*C7</f>
        <v>66.239307475602502</v>
      </c>
      <c r="G15" s="998"/>
      <c r="H15"/>
      <c r="I15"/>
      <c r="J15" s="59"/>
      <c r="K15" s="59"/>
      <c r="L15" s="59"/>
      <c r="M15" s="59"/>
      <c r="N15"/>
      <c r="O15" s="995"/>
      <c r="BC15" s="569"/>
      <c r="BD15" s="569"/>
    </row>
    <row r="16" spans="2:109" ht="21" hidden="1" thickBot="1" x14ac:dyDescent="0.25">
      <c r="G16" s="994" t="s">
        <v>231</v>
      </c>
      <c r="H16" s="1077">
        <f>+D2+H7-BM107</f>
        <v>17.821508728577555</v>
      </c>
      <c r="I16" s="984" t="s">
        <v>251</v>
      </c>
      <c r="J16" s="1721" t="s">
        <v>232</v>
      </c>
      <c r="K16" s="1727"/>
      <c r="L16" s="1727"/>
      <c r="M16" s="1727"/>
      <c r="N16"/>
      <c r="O16" s="995"/>
      <c r="BC16" s="569"/>
      <c r="BD16" s="569"/>
    </row>
    <row r="17" spans="2:109" ht="20" hidden="1" x14ac:dyDescent="0.2"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  <c r="BC17" s="569"/>
      <c r="BD17" s="569"/>
    </row>
    <row r="18" spans="2:109" ht="20" hidden="1" x14ac:dyDescent="0.2">
      <c r="G18" s="998"/>
      <c r="H18"/>
      <c r="I18"/>
      <c r="J18" s="963">
        <f>+H16/H8*BR25</f>
        <v>11.049335411718085</v>
      </c>
      <c r="K18" s="963">
        <f>((H8-H16)/H8)*BR25</f>
        <v>122.25066458828192</v>
      </c>
      <c r="L18" s="963"/>
      <c r="M18" s="961" t="s">
        <v>223</v>
      </c>
      <c r="N18"/>
      <c r="O18" s="995"/>
      <c r="BC18" s="569"/>
      <c r="BD18" s="569"/>
    </row>
    <row r="19" spans="2:109" ht="20" hidden="1" x14ac:dyDescent="0.2">
      <c r="G19" s="998"/>
      <c r="H19"/>
      <c r="I19"/>
      <c r="J19" s="965">
        <f>ABS($H$1/J18)</f>
        <v>1629.0572536073589</v>
      </c>
      <c r="K19" s="965">
        <f>ABS($H$1/K18)</f>
        <v>147.23846337049159</v>
      </c>
      <c r="L19" s="965"/>
      <c r="M19" s="967" t="s">
        <v>222</v>
      </c>
      <c r="N19"/>
      <c r="O19" s="995"/>
      <c r="BC19" s="569"/>
      <c r="BD19" s="569"/>
    </row>
    <row r="20" spans="2:109" ht="20" hidden="1" x14ac:dyDescent="0.2">
      <c r="G20" s="998"/>
      <c r="H20"/>
      <c r="I20"/>
      <c r="J20" s="1733">
        <f>ABS($F$13/BR25)</f>
        <v>60.01500375093773</v>
      </c>
      <c r="K20" s="1733"/>
      <c r="L20" s="1733"/>
      <c r="M20" s="1734" t="s">
        <v>350</v>
      </c>
      <c r="N20"/>
      <c r="O20" s="995"/>
      <c r="BC20" s="569"/>
      <c r="BD20" s="569"/>
    </row>
    <row r="21" spans="2:109" ht="17" hidden="1" thickBot="1" x14ac:dyDescent="0.25">
      <c r="G21" s="998"/>
      <c r="H21"/>
      <c r="I21"/>
      <c r="J21" s="59"/>
      <c r="K21" s="59"/>
      <c r="L21" s="59"/>
      <c r="M21" s="59"/>
      <c r="N21"/>
      <c r="O21" s="995"/>
      <c r="BC21" s="569"/>
      <c r="BD21" s="569"/>
    </row>
    <row r="22" spans="2:109" ht="21" hidden="1" thickBot="1" x14ac:dyDescent="0.25">
      <c r="G22" s="994" t="s">
        <v>219</v>
      </c>
      <c r="H22" s="1077">
        <f>(+COS(($B$136*-1)*3.14159265358979/180)*(H4))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  <c r="AF22" s="567"/>
      <c r="BC22" s="569"/>
      <c r="BD22" s="569"/>
    </row>
    <row r="23" spans="2:109" ht="20" hidden="1" x14ac:dyDescent="0.2">
      <c r="G23" s="994" t="s">
        <v>234</v>
      </c>
      <c r="H23" s="1092">
        <f>+BM107-H22+H7</f>
        <v>-189.82150872857756</v>
      </c>
      <c r="I23" s="999"/>
      <c r="J23" s="961"/>
      <c r="K23" s="961" t="s">
        <v>215</v>
      </c>
      <c r="L23" s="961" t="s">
        <v>216</v>
      </c>
      <c r="M23" s="1724"/>
      <c r="N23"/>
      <c r="O23" s="995"/>
      <c r="AF23" s="567"/>
      <c r="BC23" s="569"/>
      <c r="BD23" s="569"/>
    </row>
    <row r="24" spans="2:109" ht="20" hidden="1" x14ac:dyDescent="0.2">
      <c r="G24" s="998"/>
      <c r="H24"/>
      <c r="I24"/>
      <c r="J24" s="963"/>
      <c r="K24" s="963">
        <f>((+H8-H23)/H8*BR25)</f>
        <v>250.98933541171812</v>
      </c>
      <c r="L24" s="963">
        <f>(H23/H8*BR25)</f>
        <v>-117.6893354117181</v>
      </c>
      <c r="M24" s="961" t="s">
        <v>223</v>
      </c>
      <c r="N24"/>
      <c r="O24" s="995"/>
      <c r="AF24" s="567"/>
      <c r="BC24" s="569"/>
      <c r="BD24" s="569"/>
    </row>
    <row r="25" spans="2:109" ht="33" customHeight="1" thickBot="1" x14ac:dyDescent="0.25">
      <c r="C25" s="566"/>
      <c r="E25" s="585"/>
      <c r="G25" s="998"/>
      <c r="H25"/>
      <c r="I25"/>
      <c r="J25" s="965"/>
      <c r="K25" s="965">
        <f>ABS($H$1/K24)</f>
        <v>71.716194516683913</v>
      </c>
      <c r="L25" s="965">
        <f>ABS($H$1/L24)</f>
        <v>152.94503904733389</v>
      </c>
      <c r="M25" s="967" t="s">
        <v>222</v>
      </c>
      <c r="N25"/>
      <c r="O25" s="995"/>
      <c r="AF25" s="567"/>
      <c r="BC25" s="569"/>
      <c r="BD25" s="569"/>
      <c r="BF25" s="74"/>
      <c r="BG25" s="74"/>
      <c r="BH25" s="74"/>
      <c r="BI25" s="74"/>
      <c r="BP25" s="64"/>
      <c r="BQ25" s="75" t="s">
        <v>25</v>
      </c>
      <c r="BR25" s="1814">
        <f>+C7</f>
        <v>133.30000000000001</v>
      </c>
      <c r="BS25" s="1814"/>
      <c r="BT25" s="76" t="s">
        <v>17</v>
      </c>
      <c r="BU25" s="76"/>
      <c r="BV25" s="77" t="s">
        <v>162</v>
      </c>
      <c r="BW25" s="78"/>
      <c r="BX25" s="78"/>
      <c r="BY25" s="78"/>
      <c r="BZ25" s="78"/>
      <c r="CA25" s="78"/>
      <c r="CB25" s="78"/>
      <c r="CC25" s="78"/>
      <c r="CD25" s="78"/>
      <c r="CE25" s="78"/>
      <c r="CF25" s="78"/>
      <c r="CG25" s="78"/>
      <c r="CH25" s="78"/>
      <c r="CI25" s="78"/>
      <c r="CJ25" s="78"/>
      <c r="CK25" s="78"/>
      <c r="CL25" s="78"/>
      <c r="CM25" s="78"/>
      <c r="CN25" s="78"/>
      <c r="CO25" s="78"/>
      <c r="CP25" s="78"/>
      <c r="CQ25" s="78"/>
      <c r="CR25" s="78"/>
      <c r="CS25" s="78"/>
      <c r="CT25" s="78"/>
      <c r="CU25" s="78"/>
      <c r="CV25" s="78"/>
      <c r="CW25" s="78"/>
      <c r="CX25" s="78"/>
      <c r="CY25" s="78"/>
      <c r="CZ25" s="78"/>
      <c r="DA25" s="78"/>
      <c r="DB25" s="78"/>
      <c r="DC25" s="78"/>
      <c r="DD25" s="78"/>
      <c r="DE25" s="78"/>
    </row>
    <row r="26" spans="2:109" ht="36" customHeight="1" thickBot="1" x14ac:dyDescent="0.3">
      <c r="B26" s="560"/>
      <c r="C26" s="566"/>
      <c r="D26" s="567"/>
      <c r="E26" s="567"/>
      <c r="F26" s="567"/>
      <c r="G26" s="998"/>
      <c r="H26"/>
      <c r="I26"/>
      <c r="J26" s="1733"/>
      <c r="K26" s="1733"/>
      <c r="L26" s="1733">
        <f>ABS($F$13/BR25)</f>
        <v>60.01500375093773</v>
      </c>
      <c r="M26" s="1734" t="s">
        <v>350</v>
      </c>
      <c r="N26"/>
      <c r="O26" s="995"/>
      <c r="AF26" s="567"/>
      <c r="BC26" s="569"/>
      <c r="BD26" s="569"/>
      <c r="BF26" s="85"/>
      <c r="BG26" s="85"/>
      <c r="BH26" s="85"/>
      <c r="BI26" s="85"/>
      <c r="BN26" s="81" t="b">
        <f>AND(BR27&gt;0,CP27&gt;0)</f>
        <v>1</v>
      </c>
      <c r="BO26" s="952" t="str">
        <f>IF(BN26=TRUE,"","negative force at the motor")</f>
        <v/>
      </c>
      <c r="BP26" s="1095" t="s">
        <v>128</v>
      </c>
      <c r="BQ26" s="740" t="s">
        <v>27</v>
      </c>
      <c r="BR26" s="776" t="s">
        <v>28</v>
      </c>
      <c r="BS26" s="777"/>
      <c r="BT26" s="777"/>
      <c r="BU26" s="777"/>
      <c r="BV26" s="777"/>
      <c r="BW26" s="777"/>
      <c r="BX26" s="777"/>
      <c r="BY26" s="777"/>
      <c r="BZ26" s="777"/>
      <c r="CA26" s="777"/>
      <c r="CB26" s="777"/>
      <c r="CC26" s="777"/>
      <c r="CD26" s="777"/>
      <c r="CE26" s="777"/>
      <c r="CF26" s="777"/>
      <c r="CG26" s="777"/>
      <c r="CH26" s="777"/>
      <c r="CI26" s="777"/>
      <c r="CJ26" s="884"/>
      <c r="CK26" s="777"/>
      <c r="CL26" s="885"/>
      <c r="CM26" s="885"/>
      <c r="CN26" s="885"/>
      <c r="CO26" s="885"/>
      <c r="CP26" s="777"/>
      <c r="CQ26" s="782" t="s">
        <v>29</v>
      </c>
      <c r="CR26" s="1801"/>
      <c r="CS26" s="1801"/>
      <c r="CT26" s="1801"/>
      <c r="CU26" s="1801"/>
      <c r="CV26" s="1801"/>
      <c r="CW26" s="1801"/>
      <c r="CX26" s="1801"/>
      <c r="CY26" s="1801"/>
      <c r="CZ26" s="1801"/>
      <c r="DA26" s="1801"/>
      <c r="DB26" s="1802"/>
      <c r="DC26" s="78"/>
      <c r="DD26" s="78"/>
      <c r="DE26" s="78"/>
    </row>
    <row r="27" spans="2:109" ht="44" thickBot="1" x14ac:dyDescent="0.3">
      <c r="G27" s="998"/>
      <c r="H27"/>
      <c r="I27"/>
      <c r="J27" s="59"/>
      <c r="K27" s="59"/>
      <c r="L27" s="59"/>
      <c r="M27" s="59"/>
      <c r="N27"/>
      <c r="O27" s="995"/>
      <c r="BC27" s="569"/>
      <c r="BD27" s="569"/>
      <c r="BF27" s="85"/>
      <c r="BG27" s="85"/>
      <c r="BH27" s="85"/>
      <c r="BI27" s="85"/>
      <c r="BM27" s="968">
        <v>1</v>
      </c>
      <c r="BN27" s="1762" t="b">
        <f>AND(BP27&gt;=10,$BA$147&gt;=10,$AZ$147&gt;=10,$AZ$178&gt;=10,$BA$178&gt;=10)</f>
        <v>1</v>
      </c>
      <c r="BO27" s="84" t="str">
        <f>IF(BN27=TRUE,"O K","OVERLOAD")</f>
        <v>O K</v>
      </c>
      <c r="BP27" s="982">
        <f>+MIN(J7:L8)</f>
        <v>96.267083877702376</v>
      </c>
      <c r="BQ27" s="741" t="s">
        <v>180</v>
      </c>
      <c r="BR27" s="1873">
        <f>+((D4-D5)/D4)*C7</f>
        <v>50.19786708234362</v>
      </c>
      <c r="BS27" s="1874"/>
      <c r="BT27" s="783"/>
      <c r="BU27" s="783"/>
      <c r="BV27" s="783"/>
      <c r="BW27" s="784"/>
      <c r="BX27" s="784"/>
      <c r="BY27" s="784"/>
      <c r="BZ27" s="886"/>
      <c r="CA27" s="886"/>
      <c r="CB27" s="886"/>
      <c r="CC27" s="886"/>
      <c r="CD27" s="886"/>
      <c r="CE27" s="886"/>
      <c r="CF27" s="886"/>
      <c r="CG27" s="886"/>
      <c r="CH27" s="886"/>
      <c r="CI27" s="886"/>
      <c r="CJ27" s="887"/>
      <c r="CK27" s="783"/>
      <c r="CL27" s="783"/>
      <c r="CM27" s="783"/>
      <c r="CN27" s="784"/>
      <c r="CO27" s="784"/>
      <c r="CP27" s="1871">
        <f>+(D5/D4)*C7</f>
        <v>83.102132917656391</v>
      </c>
      <c r="CQ27" s="1872"/>
      <c r="CR27" s="1803"/>
      <c r="CS27" s="1803"/>
      <c r="CT27" s="1803"/>
      <c r="CU27" s="1803"/>
      <c r="CV27" s="1803"/>
      <c r="CW27" s="1803"/>
      <c r="CX27" s="1803"/>
      <c r="CY27" s="1803"/>
      <c r="CZ27" s="1803"/>
      <c r="DA27" s="1803"/>
      <c r="DB27" s="1804"/>
      <c r="DC27" s="78"/>
      <c r="DD27" s="78"/>
      <c r="DE27" s="78"/>
    </row>
    <row r="28" spans="2:109" ht="14.25" customHeight="1" thickBot="1" x14ac:dyDescent="0.3"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  <c r="BC28" s="569"/>
      <c r="BD28" s="569"/>
      <c r="BF28" s="85"/>
      <c r="BG28" s="85"/>
      <c r="BH28" s="85"/>
      <c r="BI28" s="85"/>
      <c r="BO28" s="86"/>
      <c r="BP28" s="85"/>
      <c r="BQ28" s="87"/>
      <c r="BR28" s="88"/>
      <c r="BS28" s="88"/>
      <c r="BT28" s="87"/>
      <c r="BU28" s="87"/>
      <c r="BV28" s="87"/>
      <c r="BW28" s="87"/>
      <c r="BX28" s="87"/>
      <c r="BY28" s="87"/>
      <c r="BZ28" s="87"/>
      <c r="CA28" s="87"/>
      <c r="CB28" s="87"/>
      <c r="CC28" s="87"/>
      <c r="CD28" s="87"/>
      <c r="CE28" s="87"/>
      <c r="CF28" s="87"/>
      <c r="CG28" s="87"/>
      <c r="CH28" s="87"/>
      <c r="CI28" s="87"/>
      <c r="CK28" s="76"/>
      <c r="CL28" s="76"/>
      <c r="CM28" s="88"/>
      <c r="CN28" s="89"/>
      <c r="CO28" s="89"/>
      <c r="CP28" s="89"/>
      <c r="CQ28" s="89"/>
      <c r="CR28" s="89"/>
      <c r="CS28" s="89"/>
      <c r="CT28" s="89"/>
      <c r="CU28" s="89"/>
      <c r="CV28" s="89"/>
      <c r="CW28" s="89"/>
      <c r="CX28" s="89"/>
      <c r="CY28" s="89"/>
      <c r="CZ28" s="89"/>
      <c r="DA28" s="89"/>
      <c r="DB28" s="89"/>
      <c r="DC28" s="89"/>
      <c r="DD28" s="78"/>
      <c r="DE28" s="78"/>
    </row>
    <row r="29" spans="2:109" ht="36" customHeight="1" thickBot="1" x14ac:dyDescent="0.3"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  <c r="BC29" s="569"/>
      <c r="BD29" s="569"/>
      <c r="BF29" s="85"/>
      <c r="BG29" s="85"/>
      <c r="BH29" s="85"/>
      <c r="BI29" s="85"/>
      <c r="BN29" s="81" t="b">
        <f>AND(CC30&gt;0,DA30&gt;0)</f>
        <v>1</v>
      </c>
      <c r="BO29" s="952" t="str">
        <f>IF(BN29=TRUE,"","negative force at the motor")</f>
        <v/>
      </c>
      <c r="BP29" s="1095" t="s">
        <v>128</v>
      </c>
      <c r="BQ29" s="742" t="s">
        <v>27</v>
      </c>
      <c r="BR29" s="1833"/>
      <c r="BS29" s="1834"/>
      <c r="BT29" s="1834"/>
      <c r="BU29" s="1834"/>
      <c r="BV29" s="1834"/>
      <c r="BW29" s="1834"/>
      <c r="BX29" s="1834"/>
      <c r="BY29" s="1834"/>
      <c r="BZ29" s="1834"/>
      <c r="CA29" s="1834"/>
      <c r="CB29" s="1834"/>
      <c r="CC29" s="772" t="s">
        <v>28</v>
      </c>
      <c r="CD29" s="774"/>
      <c r="CE29" s="774"/>
      <c r="CF29" s="774"/>
      <c r="CG29" s="774"/>
      <c r="CH29" s="774"/>
      <c r="CI29" s="774"/>
      <c r="CJ29" s="774"/>
      <c r="CK29" s="774"/>
      <c r="CL29" s="774"/>
      <c r="CM29" s="774"/>
      <c r="CN29" s="774"/>
      <c r="CO29" s="888"/>
      <c r="CP29" s="765"/>
      <c r="CQ29" s="765"/>
      <c r="CR29" s="765"/>
      <c r="CS29" s="765"/>
      <c r="CT29" s="889"/>
      <c r="CU29" s="889"/>
      <c r="CV29" s="888"/>
      <c r="CW29" s="888"/>
      <c r="CX29" s="888"/>
      <c r="CY29" s="888"/>
      <c r="CZ29" s="888"/>
      <c r="DA29" s="765"/>
      <c r="DB29" s="766" t="s">
        <v>29</v>
      </c>
      <c r="DC29" s="90"/>
      <c r="DD29" s="78"/>
      <c r="DE29" s="78"/>
    </row>
    <row r="30" spans="2:109" ht="44" thickBot="1" x14ac:dyDescent="0.3">
      <c r="G30" s="1000"/>
      <c r="H30" s="63"/>
      <c r="I30"/>
      <c r="J30" s="963"/>
      <c r="K30" s="963">
        <f>((+H8-H23)/H8*BR25)</f>
        <v>250.98933541171812</v>
      </c>
      <c r="L30" s="963">
        <f>(H23/H8*BR25)</f>
        <v>-117.6893354117181</v>
      </c>
      <c r="M30" s="961" t="s">
        <v>223</v>
      </c>
      <c r="N30"/>
      <c r="O30" s="995"/>
      <c r="BC30" s="569"/>
      <c r="BD30" s="569"/>
      <c r="BM30" s="968">
        <v>2</v>
      </c>
      <c r="BN30" s="1762" t="b">
        <f>AND(BP30&gt;=10,$BA$147&gt;=10,$AZ$147&gt;=10,$AZ$178&gt;=10,$BA$178&gt;=10)</f>
        <v>1</v>
      </c>
      <c r="BO30" s="84" t="str">
        <f>IF(BN30=TRUE,"O K","OVERLOAD")</f>
        <v>O K</v>
      </c>
      <c r="BP30" s="982">
        <f>+MIN(J13:L14)</f>
        <v>73.49572594285388</v>
      </c>
      <c r="BQ30" s="743" t="s">
        <v>126</v>
      </c>
      <c r="BR30" s="1835"/>
      <c r="BS30" s="1836"/>
      <c r="BT30" s="1836"/>
      <c r="BU30" s="1836"/>
      <c r="BV30" s="1836"/>
      <c r="BW30" s="1836"/>
      <c r="BX30" s="1836"/>
      <c r="BY30" s="1836"/>
      <c r="BZ30" s="1836"/>
      <c r="CA30" s="1836"/>
      <c r="CB30" s="1836"/>
      <c r="CC30" s="1864">
        <f>+((D4-D3)/D4)*C7</f>
        <v>108.84986708234364</v>
      </c>
      <c r="CD30" s="1865"/>
      <c r="CE30" s="890"/>
      <c r="CF30" s="890"/>
      <c r="CG30" s="890"/>
      <c r="CH30" s="890"/>
      <c r="CI30" s="890"/>
      <c r="CJ30" s="890"/>
      <c r="CK30" s="890"/>
      <c r="CL30" s="890"/>
      <c r="CM30" s="890"/>
      <c r="CN30" s="890"/>
      <c r="CO30" s="891"/>
      <c r="CP30" s="892"/>
      <c r="CQ30" s="892"/>
      <c r="CR30" s="892"/>
      <c r="CS30" s="892"/>
      <c r="CT30" s="893"/>
      <c r="CU30" s="893"/>
      <c r="CV30" s="883"/>
      <c r="CW30" s="883"/>
      <c r="CX30" s="883"/>
      <c r="CY30" s="883"/>
      <c r="CZ30" s="883"/>
      <c r="DA30" s="1869">
        <f>+(D3/D4)*C7</f>
        <v>24.45013291765639</v>
      </c>
      <c r="DB30" s="1870"/>
      <c r="DC30" s="92"/>
      <c r="DD30" s="78"/>
      <c r="DE30" s="78"/>
    </row>
    <row r="31" spans="2:109" ht="24" thickBot="1" x14ac:dyDescent="0.3">
      <c r="G31" s="1000"/>
      <c r="H31" s="63"/>
      <c r="I31"/>
      <c r="J31" s="965"/>
      <c r="K31" s="965">
        <f>ABS($H$1/K30)</f>
        <v>71.716194516683913</v>
      </c>
      <c r="L31" s="965">
        <f>ABS($H$1/L30)</f>
        <v>152.94503904733389</v>
      </c>
      <c r="M31" s="967" t="s">
        <v>222</v>
      </c>
      <c r="N31"/>
      <c r="O31" s="995"/>
      <c r="BC31" s="569"/>
      <c r="BD31" s="569"/>
      <c r="BO31" s="86"/>
      <c r="BP31" s="18"/>
      <c r="BQ31" s="93"/>
      <c r="BR31" s="93"/>
      <c r="BS31" s="93"/>
      <c r="BT31" s="93"/>
      <c r="BU31" s="93"/>
      <c r="BV31" s="93"/>
      <c r="BW31" s="93"/>
      <c r="BX31" s="93"/>
      <c r="BY31" s="93"/>
      <c r="BZ31" s="94"/>
      <c r="CA31" s="94"/>
      <c r="CB31" s="89"/>
      <c r="CC31" s="89"/>
      <c r="CD31" s="89"/>
      <c r="CE31" s="89"/>
      <c r="CF31" s="89"/>
      <c r="CG31" s="89"/>
      <c r="CH31" s="89"/>
      <c r="CI31" s="89"/>
      <c r="CJ31" s="89"/>
      <c r="CK31" s="89"/>
      <c r="CL31" s="89"/>
      <c r="CM31" s="89"/>
      <c r="CN31" s="89"/>
      <c r="CO31" s="37"/>
      <c r="CP31" s="95"/>
      <c r="CQ31" s="95"/>
      <c r="CR31" s="95"/>
      <c r="CS31" s="95"/>
      <c r="CT31" s="92"/>
      <c r="CU31" s="92"/>
      <c r="CV31" s="92"/>
      <c r="CW31" s="92"/>
      <c r="CX31" s="92"/>
      <c r="CY31" s="92"/>
      <c r="CZ31" s="92"/>
      <c r="DA31" s="92"/>
      <c r="DB31" s="92"/>
      <c r="DC31" s="92"/>
      <c r="DD31" s="78"/>
      <c r="DE31" s="78"/>
    </row>
    <row r="32" spans="2:109" ht="36" customHeight="1" thickBot="1" x14ac:dyDescent="0.25">
      <c r="G32" s="1000"/>
      <c r="H32" s="63"/>
      <c r="I32"/>
      <c r="J32" s="1733"/>
      <c r="K32" s="1733"/>
      <c r="L32" s="1733">
        <f>ABS($F$13/BR25)*2</f>
        <v>120.03000750187546</v>
      </c>
      <c r="M32" s="1734" t="s">
        <v>350</v>
      </c>
      <c r="N32" s="1730" t="s">
        <v>352</v>
      </c>
      <c r="O32" s="995"/>
      <c r="BC32" s="569"/>
      <c r="BD32" s="569"/>
      <c r="BN32" s="81" t="b">
        <f>AND(CC33&gt;0,CR33&gt;0)</f>
        <v>1</v>
      </c>
      <c r="BO32" s="952" t="str">
        <f>IF(BN32=TRUE,"","negative force at the motor")</f>
        <v/>
      </c>
      <c r="BP32" s="1095" t="s">
        <v>128</v>
      </c>
      <c r="BQ32" s="933" t="s">
        <v>27</v>
      </c>
      <c r="BR32" s="1875"/>
      <c r="BS32" s="1876"/>
      <c r="BT32" s="1876"/>
      <c r="BU32" s="1876"/>
      <c r="BV32" s="1876"/>
      <c r="BW32" s="1876"/>
      <c r="BX32" s="1876"/>
      <c r="BY32" s="1876"/>
      <c r="BZ32" s="1876"/>
      <c r="CA32" s="1876"/>
      <c r="CB32" s="1876"/>
      <c r="CC32" s="936" t="s">
        <v>28</v>
      </c>
      <c r="CD32" s="937"/>
      <c r="CE32" s="937"/>
      <c r="CF32" s="937"/>
      <c r="CG32" s="937"/>
      <c r="CH32" s="937"/>
      <c r="CI32" s="937"/>
      <c r="CJ32" s="938"/>
      <c r="CK32" s="937"/>
      <c r="CL32" s="939"/>
      <c r="CM32" s="939"/>
      <c r="CN32" s="937"/>
      <c r="CO32" s="937"/>
      <c r="CP32" s="937"/>
      <c r="CQ32" s="937"/>
      <c r="CR32" s="937"/>
      <c r="CS32" s="940" t="s">
        <v>29</v>
      </c>
      <c r="CT32" s="1801"/>
      <c r="CU32" s="1801"/>
      <c r="CV32" s="1801"/>
      <c r="CW32" s="1801"/>
      <c r="CX32" s="1801"/>
      <c r="CY32" s="1801"/>
      <c r="CZ32" s="1801"/>
      <c r="DA32" s="1801"/>
      <c r="DB32" s="1802"/>
      <c r="DC32" s="89"/>
      <c r="DD32" s="78"/>
      <c r="DE32" s="78"/>
    </row>
    <row r="33" spans="2:109" ht="31" thickBot="1" x14ac:dyDescent="0.3">
      <c r="G33" s="1000"/>
      <c r="H33" s="63"/>
      <c r="I33"/>
      <c r="J33" s="59"/>
      <c r="K33" s="59"/>
      <c r="L33" s="59"/>
      <c r="M33" s="59"/>
      <c r="N33"/>
      <c r="O33" s="995"/>
      <c r="BC33" s="569"/>
      <c r="BD33" s="569"/>
      <c r="BM33" s="968">
        <v>3</v>
      </c>
      <c r="BN33" s="1762" t="b">
        <f>AND(BP33&gt;=10,$BA$147&gt;=10,$AZ$147&gt;=10,$AZ$178&gt;=10,$BA$178&gt;=10)</f>
        <v>1</v>
      </c>
      <c r="BO33" s="84" t="str">
        <f>IF(BN33=TRUE,"O K","OVERLOAD")</f>
        <v>O K</v>
      </c>
      <c r="BP33" s="983">
        <f>+$F$13/(MAX(CC33,CR33))</f>
        <v>84.124924939828887</v>
      </c>
      <c r="BQ33" s="934" t="s">
        <v>123</v>
      </c>
      <c r="BR33" s="1877"/>
      <c r="BS33" s="1878"/>
      <c r="BT33" s="1878"/>
      <c r="BU33" s="1878"/>
      <c r="BV33" s="1878"/>
      <c r="BW33" s="1878"/>
      <c r="BX33" s="1878"/>
      <c r="BY33" s="1878"/>
      <c r="BZ33" s="1878"/>
      <c r="CA33" s="1878"/>
      <c r="CB33" s="1878"/>
      <c r="CC33" s="1881">
        <f>+((D2-D3)/D2)*C7</f>
        <v>95.096667316161913</v>
      </c>
      <c r="CD33" s="1882"/>
      <c r="CE33" s="941"/>
      <c r="CF33" s="941"/>
      <c r="CG33" s="941"/>
      <c r="CH33" s="941"/>
      <c r="CI33" s="941"/>
      <c r="CJ33" s="942"/>
      <c r="CK33" s="941"/>
      <c r="CL33" s="943"/>
      <c r="CM33" s="943"/>
      <c r="CN33" s="944"/>
      <c r="CO33" s="944"/>
      <c r="CP33" s="944"/>
      <c r="CQ33" s="944"/>
      <c r="CR33" s="1879">
        <f>+(D3/D2)*C7</f>
        <v>38.203332683838106</v>
      </c>
      <c r="CS33" s="1880"/>
      <c r="CT33" s="1803"/>
      <c r="CU33" s="1803"/>
      <c r="CV33" s="1803"/>
      <c r="CW33" s="1803"/>
      <c r="CX33" s="1803"/>
      <c r="CY33" s="1803"/>
      <c r="CZ33" s="1803"/>
      <c r="DA33" s="1803"/>
      <c r="DB33" s="1804"/>
      <c r="DC33" s="89"/>
      <c r="DD33" s="78"/>
      <c r="DE33" s="78"/>
    </row>
    <row r="34" spans="2:109" ht="24" hidden="1" thickBot="1" x14ac:dyDescent="0.3"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  <c r="BC34" s="569"/>
      <c r="BD34" s="569"/>
      <c r="BO34" s="86"/>
      <c r="BP34" s="18"/>
      <c r="BQ34" s="93"/>
      <c r="BR34" s="93"/>
      <c r="BS34" s="93"/>
      <c r="BT34" s="93"/>
      <c r="BU34" s="93"/>
      <c r="BV34" s="93"/>
      <c r="BW34" s="93"/>
      <c r="BX34" s="93"/>
      <c r="BY34" s="93"/>
      <c r="BZ34" s="94"/>
      <c r="CA34" s="94"/>
      <c r="CB34" s="89"/>
      <c r="CC34" s="89"/>
      <c r="CD34" s="89"/>
      <c r="CE34" s="89"/>
      <c r="CF34" s="89"/>
      <c r="CG34" s="89"/>
      <c r="CH34" s="89"/>
      <c r="CI34" s="89"/>
      <c r="CJ34" s="89"/>
      <c r="CK34" s="89"/>
      <c r="CL34" s="93"/>
      <c r="CM34" s="89"/>
      <c r="CN34" s="89"/>
      <c r="CO34" s="37"/>
      <c r="CP34" s="95"/>
      <c r="CQ34" s="95"/>
      <c r="CR34" s="95"/>
      <c r="CS34" s="95"/>
      <c r="CT34" s="92"/>
      <c r="CU34" s="92"/>
      <c r="CV34" s="92"/>
      <c r="CW34" s="92"/>
      <c r="CX34" s="92"/>
      <c r="CY34" s="92"/>
      <c r="CZ34" s="92"/>
      <c r="DA34" s="92"/>
      <c r="DB34" s="92"/>
      <c r="DC34" s="92"/>
      <c r="DD34" s="78"/>
      <c r="DE34" s="78"/>
    </row>
    <row r="35" spans="2:109" ht="20" hidden="1" x14ac:dyDescent="0.2">
      <c r="B35" s="560"/>
      <c r="C35" s="560"/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  <c r="BD35" s="600"/>
      <c r="BF35" s="136"/>
      <c r="BG35" s="136"/>
      <c r="BH35" s="136"/>
      <c r="BI35" s="136"/>
      <c r="BO35" s="86"/>
    </row>
    <row r="36" spans="2:109" ht="20" hidden="1" x14ac:dyDescent="0.2">
      <c r="B36" s="560"/>
      <c r="C36" s="560"/>
      <c r="G36" s="1000"/>
      <c r="H36" s="63"/>
      <c r="I36"/>
      <c r="J36" s="963">
        <f>+H16/H8*BR25</f>
        <v>11.049335411718085</v>
      </c>
      <c r="K36" s="963">
        <f>((H8-H16)/H8)*BR25</f>
        <v>122.25066458828192</v>
      </c>
      <c r="L36" s="963"/>
      <c r="M36" s="961" t="s">
        <v>223</v>
      </c>
      <c r="N36"/>
      <c r="O36" s="995"/>
      <c r="BD36" s="600"/>
      <c r="BF36" s="136"/>
      <c r="BG36" s="136"/>
      <c r="BH36" s="136"/>
      <c r="BI36" s="136"/>
      <c r="BO36" s="86"/>
    </row>
    <row r="37" spans="2:109" ht="23" hidden="1" x14ac:dyDescent="0.25">
      <c r="B37" s="560"/>
      <c r="C37" s="560"/>
      <c r="G37" s="1000"/>
      <c r="H37" s="63"/>
      <c r="I37"/>
      <c r="J37" s="965">
        <f>ABS($H$1/J36)</f>
        <v>1629.0572536073589</v>
      </c>
      <c r="K37" s="965">
        <f>ABS($H$1/K36)</f>
        <v>147.23846337049159</v>
      </c>
      <c r="L37" s="965"/>
      <c r="M37" s="967" t="s">
        <v>222</v>
      </c>
      <c r="N37"/>
      <c r="O37" s="995"/>
      <c r="BD37" s="600"/>
      <c r="BF37" s="136"/>
      <c r="BG37" s="136"/>
      <c r="BH37" s="136"/>
      <c r="BI37" s="136"/>
      <c r="BO37" s="86"/>
      <c r="BP37" s="17"/>
      <c r="BQ37" s="177"/>
      <c r="BR37" s="178"/>
      <c r="BS37" s="178"/>
      <c r="BT37" s="178"/>
      <c r="BU37" s="178"/>
      <c r="BV37" s="178"/>
      <c r="BW37" s="178"/>
      <c r="BX37" s="178"/>
      <c r="BY37" s="178"/>
      <c r="BZ37" s="179"/>
      <c r="CA37" s="179"/>
      <c r="CB37" s="180"/>
      <c r="CC37" s="180"/>
      <c r="CD37" s="180"/>
      <c r="CE37" s="180"/>
      <c r="CF37" s="180"/>
      <c r="CG37" s="180"/>
      <c r="CH37" s="180"/>
      <c r="CI37" s="180"/>
      <c r="CJ37" s="37"/>
      <c r="CK37" s="89"/>
      <c r="CL37" s="181"/>
      <c r="CM37" s="181"/>
      <c r="CN37" s="89"/>
      <c r="CO37" s="89"/>
      <c r="CP37" s="89"/>
      <c r="CQ37" s="89"/>
      <c r="CR37" s="89"/>
      <c r="CS37" s="89"/>
      <c r="CT37" s="89"/>
      <c r="CU37" s="89"/>
      <c r="CV37" s="89"/>
      <c r="CW37" s="89"/>
      <c r="CX37" s="178"/>
      <c r="CY37" s="178"/>
      <c r="CZ37" s="178"/>
      <c r="DA37" s="178"/>
      <c r="DB37" s="178"/>
      <c r="DC37" s="178"/>
      <c r="DD37" s="178"/>
      <c r="DE37" s="178"/>
    </row>
    <row r="38" spans="2:109" ht="24" hidden="1" thickBot="1" x14ac:dyDescent="0.3">
      <c r="B38" s="560"/>
      <c r="C38" s="560"/>
      <c r="G38" s="1000"/>
      <c r="H38" s="63"/>
      <c r="I38"/>
      <c r="J38" s="1733">
        <f>ABS($F$13/BR25)*2</f>
        <v>120.03000750187546</v>
      </c>
      <c r="K38" s="1733"/>
      <c r="L38" s="1733"/>
      <c r="M38" s="1734" t="s">
        <v>350</v>
      </c>
      <c r="N38" s="1730" t="s">
        <v>352</v>
      </c>
      <c r="O38" s="995"/>
      <c r="BD38" s="600"/>
      <c r="BF38" s="136"/>
      <c r="BG38" s="136"/>
      <c r="BH38" s="136"/>
      <c r="BI38" s="136"/>
      <c r="BO38" s="86"/>
      <c r="BP38" s="17"/>
      <c r="BQ38" s="177"/>
      <c r="BR38" s="178"/>
      <c r="BS38" s="178"/>
      <c r="BT38" s="178"/>
      <c r="BU38" s="178"/>
      <c r="BV38" s="178"/>
      <c r="BW38" s="178"/>
      <c r="BX38" s="178"/>
      <c r="BY38" s="178"/>
      <c r="BZ38" s="179"/>
      <c r="CA38" s="179"/>
      <c r="CB38" s="180"/>
      <c r="CC38" s="180"/>
      <c r="CD38" s="180"/>
      <c r="CE38" s="180"/>
      <c r="CF38" s="180"/>
      <c r="CG38" s="180"/>
      <c r="CH38" s="180"/>
      <c r="CI38" s="180"/>
      <c r="CJ38" s="37"/>
      <c r="CK38" s="89"/>
      <c r="CL38" s="181"/>
      <c r="CM38" s="181"/>
      <c r="CN38" s="89"/>
      <c r="CO38" s="89"/>
      <c r="CP38" s="89"/>
      <c r="CQ38" s="89"/>
      <c r="CR38" s="89"/>
      <c r="CS38" s="89"/>
      <c r="CT38" s="89"/>
      <c r="CU38" s="89"/>
      <c r="CV38" s="89"/>
      <c r="CW38" s="89"/>
      <c r="CX38" s="178"/>
      <c r="CY38" s="178"/>
      <c r="CZ38" s="178"/>
      <c r="DA38" s="178"/>
      <c r="DB38" s="178"/>
      <c r="DC38" s="178"/>
      <c r="DD38" s="178"/>
      <c r="DE38" s="178"/>
    </row>
    <row r="39" spans="2:109" ht="24" hidden="1" thickBot="1" x14ac:dyDescent="0.3">
      <c r="B39" s="560"/>
      <c r="C39" s="560"/>
      <c r="G39" s="998"/>
      <c r="H39"/>
      <c r="I39"/>
      <c r="J39" s="59"/>
      <c r="K39" s="59"/>
      <c r="L39" s="59"/>
      <c r="M39" s="59"/>
      <c r="N39"/>
      <c r="O39" s="995"/>
      <c r="BD39" s="600"/>
      <c r="BF39" s="136"/>
      <c r="BG39" s="136"/>
      <c r="BH39" s="136"/>
      <c r="BI39" s="136"/>
      <c r="BO39" s="86"/>
      <c r="BP39" s="17"/>
      <c r="BQ39" s="177"/>
      <c r="BR39" s="178"/>
      <c r="BS39" s="178"/>
      <c r="BT39" s="178"/>
      <c r="BU39" s="178"/>
      <c r="BV39" s="178"/>
      <c r="BW39" s="178"/>
      <c r="BX39" s="178"/>
      <c r="BY39" s="178"/>
      <c r="BZ39" s="179"/>
      <c r="CA39" s="179"/>
      <c r="CB39" s="182">
        <v>16</v>
      </c>
      <c r="CC39" s="180"/>
      <c r="CD39" s="180"/>
      <c r="CE39" s="180"/>
      <c r="CF39" s="180"/>
      <c r="CG39" s="180"/>
      <c r="CH39" s="180"/>
      <c r="CI39" s="180"/>
      <c r="CJ39" s="37"/>
      <c r="CK39" s="89"/>
      <c r="CL39" s="181"/>
      <c r="CM39" s="181"/>
      <c r="CN39" s="89"/>
      <c r="CO39" s="89"/>
      <c r="CP39" s="89"/>
      <c r="CQ39" s="117" t="b">
        <f>IF(CR57=27,15)</f>
        <v>0</v>
      </c>
      <c r="CR39" s="183"/>
      <c r="CS39" s="103" t="b">
        <f>IF(CR57=27,17)</f>
        <v>0</v>
      </c>
      <c r="CT39" s="89"/>
      <c r="CU39" s="89"/>
      <c r="CV39" s="89"/>
      <c r="CW39" s="89"/>
      <c r="CX39" s="178"/>
      <c r="CY39" s="178"/>
      <c r="CZ39" s="178"/>
      <c r="DA39" s="178"/>
      <c r="DB39" s="178"/>
      <c r="DC39" s="178"/>
      <c r="DD39" s="178"/>
      <c r="DE39" s="178"/>
    </row>
    <row r="40" spans="2:109" ht="24" hidden="1" thickBot="1" x14ac:dyDescent="0.3">
      <c r="B40" s="560"/>
      <c r="C40" s="560"/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/>
      <c r="O40" s="995"/>
      <c r="BD40" s="600"/>
      <c r="BF40" s="136"/>
      <c r="BG40" s="136"/>
      <c r="BH40" s="136"/>
      <c r="BI40" s="136"/>
      <c r="BO40" s="86"/>
      <c r="BP40" s="17"/>
      <c r="BQ40" s="177"/>
      <c r="BR40" s="178"/>
      <c r="BS40" s="178"/>
      <c r="BT40" s="178"/>
      <c r="BU40" s="178"/>
      <c r="BV40" s="178"/>
      <c r="BW40" s="178"/>
      <c r="BX40" s="178"/>
      <c r="BY40" s="178"/>
      <c r="BZ40" s="179"/>
      <c r="CA40" s="179"/>
      <c r="CB40" s="182">
        <v>15</v>
      </c>
      <c r="CC40" s="180"/>
      <c r="CD40" s="180"/>
      <c r="CE40" s="180"/>
      <c r="CF40" s="180"/>
      <c r="CG40" s="180"/>
      <c r="CH40" s="180"/>
      <c r="CI40" s="180"/>
      <c r="CJ40" s="37"/>
      <c r="CK40" s="89"/>
      <c r="CL40" s="181"/>
      <c r="CM40" s="181"/>
      <c r="CN40" s="89"/>
      <c r="CO40" s="117" t="b">
        <f>IF(CQ57=26,13)</f>
        <v>0</v>
      </c>
      <c r="CP40" s="183"/>
      <c r="CQ40" s="183"/>
      <c r="CR40" s="183"/>
      <c r="CS40" s="103" t="b">
        <f>IF(CQ57=26,17)</f>
        <v>0</v>
      </c>
      <c r="CT40" s="89"/>
      <c r="CU40" s="89"/>
      <c r="CV40" s="89"/>
      <c r="CW40" s="89"/>
      <c r="CX40" s="178"/>
      <c r="CY40" s="178"/>
      <c r="CZ40" s="178"/>
      <c r="DA40" s="178"/>
      <c r="DB40" s="178"/>
      <c r="DC40" s="178"/>
      <c r="DD40" s="178"/>
      <c r="DE40" s="178"/>
    </row>
    <row r="41" spans="2:109" ht="24" hidden="1" thickBot="1" x14ac:dyDescent="0.3">
      <c r="B41" s="560"/>
      <c r="C41" s="560"/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  <c r="BD41" s="600"/>
      <c r="BF41" s="136"/>
      <c r="BG41" s="136"/>
      <c r="BH41" s="136"/>
      <c r="BI41" s="136"/>
      <c r="BO41" s="86"/>
      <c r="BP41" s="17"/>
      <c r="BQ41" s="177"/>
      <c r="BR41" s="178"/>
      <c r="BS41" s="178"/>
      <c r="BT41" s="178"/>
      <c r="BU41" s="178"/>
      <c r="BV41" s="178"/>
      <c r="BW41" s="178"/>
      <c r="BX41" s="178"/>
      <c r="BY41" s="178"/>
      <c r="BZ41" s="179"/>
      <c r="CA41" s="179"/>
      <c r="CB41" s="182">
        <v>14</v>
      </c>
      <c r="CC41" s="180"/>
      <c r="CD41" s="180"/>
      <c r="CE41" s="180"/>
      <c r="CF41" s="180"/>
      <c r="CG41" s="180"/>
      <c r="CH41" s="180"/>
      <c r="CI41" s="180"/>
      <c r="CJ41" s="37"/>
      <c r="CK41" s="89"/>
      <c r="CL41" s="181"/>
      <c r="CM41" s="117" t="b">
        <f>IF(CP57=25,11)</f>
        <v>0</v>
      </c>
      <c r="CN41" s="183"/>
      <c r="CO41" s="184"/>
      <c r="CP41" s="184"/>
      <c r="CQ41" s="184"/>
      <c r="CR41" s="184"/>
      <c r="CS41" s="124" t="b">
        <f>IF(CP57=25,17)</f>
        <v>0</v>
      </c>
      <c r="CT41" s="89"/>
      <c r="CU41" s="89"/>
      <c r="CV41" s="89"/>
      <c r="CW41" s="89"/>
      <c r="CX41" s="178"/>
      <c r="CY41" s="178"/>
      <c r="CZ41" s="178"/>
      <c r="DA41" s="178"/>
      <c r="DB41" s="178"/>
      <c r="DC41" s="178"/>
      <c r="DD41" s="178"/>
      <c r="DE41" s="178"/>
    </row>
    <row r="42" spans="2:109" ht="24" hidden="1" thickBot="1" x14ac:dyDescent="0.3">
      <c r="B42" s="560"/>
      <c r="C42" s="560"/>
      <c r="G42" s="1002" t="s">
        <v>245</v>
      </c>
      <c r="H42" s="1078">
        <f>SUM(BR99:CB99)</f>
        <v>8</v>
      </c>
      <c r="I42"/>
      <c r="J42" s="963">
        <f>+H43/H8*BR25/2</f>
        <v>119.97000000000001</v>
      </c>
      <c r="K42" s="963">
        <f>((H8-H43)/H8)*BR25/2</f>
        <v>-53.320000000000007</v>
      </c>
      <c r="L42" s="963">
        <f>+BR25/2</f>
        <v>66.650000000000006</v>
      </c>
      <c r="M42" s="961" t="s">
        <v>223</v>
      </c>
      <c r="N42"/>
      <c r="O42" s="995"/>
      <c r="BD42" s="600"/>
      <c r="BF42" s="136"/>
      <c r="BG42" s="136"/>
      <c r="BH42" s="136"/>
      <c r="BI42" s="136"/>
      <c r="BO42" s="86"/>
      <c r="BP42" s="1091"/>
      <c r="BQ42" s="177"/>
      <c r="BR42" s="178"/>
      <c r="BS42" s="178"/>
      <c r="BT42" s="178"/>
      <c r="BU42" s="178"/>
      <c r="BV42" s="178"/>
      <c r="BW42" s="178"/>
      <c r="BX42" s="178"/>
      <c r="BY42" s="178"/>
      <c r="CB42" s="182">
        <v>13</v>
      </c>
      <c r="CC42" s="178"/>
      <c r="CD42" s="177"/>
      <c r="CE42" s="177"/>
      <c r="CF42" s="177"/>
      <c r="CG42" s="177"/>
      <c r="CH42" s="177"/>
      <c r="CI42" s="177"/>
      <c r="CJ42" s="177"/>
      <c r="CK42" s="117" t="b">
        <f>IF(CO57=24,9)</f>
        <v>0</v>
      </c>
      <c r="CL42" s="185"/>
      <c r="CM42" s="186"/>
      <c r="CN42" s="122"/>
      <c r="CO42" s="186"/>
      <c r="CP42" s="122"/>
      <c r="CQ42" s="122"/>
      <c r="CR42" s="121"/>
      <c r="CS42" s="124" t="b">
        <f>IF(CO57=24,17)</f>
        <v>0</v>
      </c>
      <c r="CT42" s="78"/>
      <c r="CU42" s="78"/>
      <c r="CV42" s="78"/>
      <c r="CW42" s="78"/>
      <c r="CX42" s="78"/>
      <c r="CY42" s="78"/>
      <c r="CZ42" s="78"/>
      <c r="DA42" s="78"/>
      <c r="DB42" s="78"/>
      <c r="DC42" s="78"/>
      <c r="DD42" s="78"/>
      <c r="DE42" s="78"/>
    </row>
    <row r="43" spans="2:109" ht="21" hidden="1" thickBot="1" x14ac:dyDescent="0.25">
      <c r="B43" s="560"/>
      <c r="C43" s="560"/>
      <c r="G43" s="994" t="s">
        <v>243</v>
      </c>
      <c r="H43" s="1077">
        <f>$H$5-((H42-1)*$E$2)</f>
        <v>387</v>
      </c>
      <c r="I43"/>
      <c r="J43" s="965">
        <f>ABS($H$1/J42)</f>
        <v>150.03750937734432</v>
      </c>
      <c r="K43" s="965">
        <f>ABS($H$1/K42)</f>
        <v>337.58439609902473</v>
      </c>
      <c r="L43" s="965">
        <f>ABS($H$1/L42)</f>
        <v>270.0675168792198</v>
      </c>
      <c r="M43" s="967" t="s">
        <v>222</v>
      </c>
      <c r="N43"/>
      <c r="O43" s="995"/>
      <c r="BD43" s="600"/>
      <c r="BF43" s="136"/>
      <c r="BG43" s="136"/>
      <c r="BH43" s="136"/>
      <c r="BI43" s="136"/>
      <c r="BO43" s="86"/>
      <c r="BP43" s="1091"/>
      <c r="BQ43" s="177"/>
      <c r="BR43" s="177"/>
      <c r="BS43" s="178"/>
      <c r="BT43" s="177"/>
      <c r="BU43" s="177"/>
      <c r="BV43" s="177"/>
      <c r="CB43" s="182">
        <v>12</v>
      </c>
      <c r="CC43" s="178"/>
      <c r="CD43" s="177"/>
      <c r="CE43" s="177"/>
      <c r="CF43" s="177"/>
      <c r="CG43" s="177"/>
      <c r="CH43" s="177"/>
      <c r="CI43" s="117" t="b">
        <f>IF(CN57=23,7)</f>
        <v>0</v>
      </c>
      <c r="CJ43" s="185"/>
      <c r="CK43" s="185"/>
      <c r="CL43" s="118"/>
      <c r="CM43" s="185"/>
      <c r="CN43" s="185"/>
      <c r="CO43" s="185"/>
      <c r="CP43" s="118"/>
      <c r="CQ43" s="118"/>
      <c r="CR43" s="111"/>
      <c r="CS43" s="103" t="b">
        <f>IF(CN57=23,17)</f>
        <v>0</v>
      </c>
      <c r="CT43" s="78"/>
      <c r="CU43" s="78"/>
      <c r="CV43" s="78"/>
      <c r="CW43" s="78"/>
      <c r="CX43" s="78"/>
      <c r="CY43" s="78"/>
      <c r="CZ43" s="78"/>
      <c r="DA43" s="78"/>
      <c r="DB43" s="78"/>
      <c r="DC43" s="78"/>
      <c r="DD43" s="78"/>
      <c r="DE43" s="78"/>
    </row>
    <row r="44" spans="2:109" ht="21" hidden="1" thickBot="1" x14ac:dyDescent="0.25">
      <c r="B44" s="560"/>
      <c r="C44" s="560"/>
      <c r="G44" s="1000"/>
      <c r="H44" s="63"/>
      <c r="I44"/>
      <c r="J44" s="1733"/>
      <c r="K44" s="1733"/>
      <c r="L44" s="1733">
        <f>ABS($F$13/BR25)*2</f>
        <v>120.03000750187546</v>
      </c>
      <c r="M44" s="1734" t="s">
        <v>350</v>
      </c>
      <c r="N44" s="1730" t="s">
        <v>352</v>
      </c>
      <c r="O44" s="995"/>
      <c r="BD44" s="600"/>
      <c r="BF44" s="136"/>
      <c r="BG44" s="136"/>
      <c r="BH44" s="136"/>
      <c r="BI44" s="136"/>
      <c r="BO44" s="86"/>
      <c r="BP44" s="1091"/>
      <c r="BQ44" s="177"/>
      <c r="BR44" s="177"/>
      <c r="BS44" s="178"/>
      <c r="BT44" s="177"/>
      <c r="BU44" s="177"/>
      <c r="BV44" s="177"/>
      <c r="CB44" s="182">
        <v>11</v>
      </c>
      <c r="CC44" s="178"/>
      <c r="CD44" s="177"/>
      <c r="CE44" s="177"/>
      <c r="CF44" s="177"/>
      <c r="CG44" s="117" t="b">
        <f>IF(CM57=22,5)</f>
        <v>0</v>
      </c>
      <c r="CH44" s="185"/>
      <c r="CI44" s="185"/>
      <c r="CJ44" s="118"/>
      <c r="CK44" s="185"/>
      <c r="CL44" s="118"/>
      <c r="CM44" s="185"/>
      <c r="CN44" s="118"/>
      <c r="CO44" s="185"/>
      <c r="CP44" s="118"/>
      <c r="CQ44" s="118"/>
      <c r="CR44" s="111"/>
      <c r="CS44" s="103" t="b">
        <f>IF(CM57=22,17)</f>
        <v>0</v>
      </c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DE44" s="78"/>
    </row>
    <row r="45" spans="2:109" ht="21" hidden="1" thickBot="1" x14ac:dyDescent="0.25">
      <c r="B45" s="560"/>
      <c r="C45" s="560"/>
      <c r="G45" s="998"/>
      <c r="H45" s="1069" t="s">
        <v>263</v>
      </c>
      <c r="I45"/>
      <c r="J45" s="59"/>
      <c r="K45" s="59"/>
      <c r="L45" s="59"/>
      <c r="M45" s="59"/>
      <c r="N45"/>
      <c r="O45" s="995"/>
      <c r="BD45" s="600"/>
      <c r="BF45" s="136"/>
      <c r="BG45" s="136"/>
      <c r="BH45" s="136"/>
      <c r="BI45" s="136"/>
      <c r="BO45" s="86"/>
      <c r="BP45" s="1091"/>
      <c r="BQ45" s="177"/>
      <c r="BR45" s="177"/>
      <c r="BS45" s="178"/>
      <c r="BT45" s="177"/>
      <c r="BU45" s="177"/>
      <c r="BV45" s="177"/>
      <c r="CB45" s="182">
        <v>10</v>
      </c>
      <c r="CC45" s="178"/>
      <c r="CD45" s="177"/>
      <c r="CE45" s="117" t="b">
        <f>IF(CL57=21,3)</f>
        <v>0</v>
      </c>
      <c r="CF45" s="185"/>
      <c r="CG45" s="185"/>
      <c r="CH45" s="118"/>
      <c r="CI45" s="118"/>
      <c r="CJ45" s="118"/>
      <c r="CK45" s="185"/>
      <c r="CL45" s="185"/>
      <c r="CM45" s="185"/>
      <c r="CN45" s="118"/>
      <c r="CO45" s="185"/>
      <c r="CP45" s="118"/>
      <c r="CQ45" s="118"/>
      <c r="CR45" s="111"/>
      <c r="CS45" s="103" t="b">
        <f>IF(CL57=21,17)</f>
        <v>0</v>
      </c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DE45" s="78"/>
    </row>
    <row r="46" spans="2:109" ht="21" hidden="1" thickBot="1" x14ac:dyDescent="0.25">
      <c r="B46" s="560"/>
      <c r="C46" s="560"/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  <c r="BD46" s="600"/>
      <c r="BF46" s="136"/>
      <c r="BG46" s="136"/>
      <c r="BH46" s="136"/>
      <c r="BI46" s="136"/>
      <c r="BO46" s="86"/>
      <c r="BP46" s="1091"/>
      <c r="BQ46" s="177"/>
      <c r="BR46" s="177"/>
      <c r="BS46" s="178"/>
      <c r="BT46" s="177"/>
      <c r="BU46" s="177"/>
      <c r="BV46" s="177"/>
      <c r="CB46" s="182">
        <v>9</v>
      </c>
      <c r="CC46" s="117" t="b">
        <f>IF(CK57=20,1)</f>
        <v>0</v>
      </c>
      <c r="CD46" s="185"/>
      <c r="CE46" s="185"/>
      <c r="CF46" s="118"/>
      <c r="CG46" s="185"/>
      <c r="CH46" s="185"/>
      <c r="CI46" s="185"/>
      <c r="CJ46" s="185"/>
      <c r="CK46" s="185"/>
      <c r="CL46" s="185"/>
      <c r="CM46" s="185"/>
      <c r="CN46" s="185"/>
      <c r="CO46" s="185"/>
      <c r="CP46" s="118"/>
      <c r="CQ46" s="118"/>
      <c r="CR46" s="111"/>
      <c r="CS46" s="103" t="b">
        <f>IF(CK57=20,17)</f>
        <v>0</v>
      </c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DE46" s="78"/>
    </row>
    <row r="47" spans="2:109" ht="24" hidden="1" thickBot="1" x14ac:dyDescent="0.3">
      <c r="B47" s="560"/>
      <c r="C47" s="560"/>
      <c r="G47" s="1002" t="s">
        <v>245</v>
      </c>
      <c r="H47" s="1079">
        <f>SUM(CR99:DB99)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  <c r="BD47" s="600"/>
      <c r="BF47" s="136"/>
      <c r="BG47" s="136"/>
      <c r="BH47" s="136"/>
      <c r="BI47" s="136"/>
      <c r="BO47" s="86"/>
      <c r="BP47" s="1091"/>
      <c r="BQ47" s="177"/>
      <c r="BR47" s="177"/>
      <c r="BS47" s="178"/>
      <c r="BT47" s="177"/>
      <c r="BU47" s="177"/>
      <c r="BV47" s="177"/>
      <c r="CB47" s="182">
        <v>8</v>
      </c>
      <c r="CC47" s="120" t="b">
        <f>IF(CJ57=19,1)</f>
        <v>0</v>
      </c>
      <c r="CD47" s="122"/>
      <c r="CE47" s="186"/>
      <c r="CF47" s="186"/>
      <c r="CG47" s="186"/>
      <c r="CH47" s="186"/>
      <c r="CI47" s="186"/>
      <c r="CJ47" s="186"/>
      <c r="CK47" s="186"/>
      <c r="CL47" s="186"/>
      <c r="CM47" s="186"/>
      <c r="CN47" s="186"/>
      <c r="CO47" s="186"/>
      <c r="CP47" s="122"/>
      <c r="CQ47" s="124" t="b">
        <f>IF(CJ57=19,15)</f>
        <v>0</v>
      </c>
      <c r="CR47" s="78"/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DE47" s="78"/>
    </row>
    <row r="48" spans="2:109" ht="21" hidden="1" thickBot="1" x14ac:dyDescent="0.25">
      <c r="B48" s="560"/>
      <c r="C48" s="560"/>
      <c r="G48" s="994" t="s">
        <v>243</v>
      </c>
      <c r="H48" s="1077">
        <f>($E$2*(H47-1))-$H$4</f>
        <v>-903</v>
      </c>
      <c r="I48"/>
      <c r="J48" s="963">
        <f>+BR25/2</f>
        <v>66.650000000000006</v>
      </c>
      <c r="K48" s="963">
        <f>((H8-H48)/H8)*BR25/2</f>
        <v>346.58000000000004</v>
      </c>
      <c r="L48" s="963">
        <f>+H48/H8*BR25/2</f>
        <v>-279.93000000000006</v>
      </c>
      <c r="M48" s="961" t="s">
        <v>223</v>
      </c>
      <c r="N48"/>
      <c r="O48" s="995"/>
      <c r="BD48" s="600"/>
      <c r="BF48" s="136"/>
      <c r="BG48" s="136"/>
      <c r="BH48" s="136"/>
      <c r="BI48" s="136"/>
      <c r="BO48" s="86"/>
      <c r="BP48" s="1091"/>
      <c r="BQ48" s="177"/>
      <c r="BR48" s="177"/>
      <c r="BS48" s="178"/>
      <c r="BT48" s="177"/>
      <c r="BU48" s="177"/>
      <c r="BV48" s="177"/>
      <c r="CB48" s="182">
        <v>7</v>
      </c>
      <c r="CC48" s="120" t="b">
        <f>IF(CI57=18,1)</f>
        <v>0</v>
      </c>
      <c r="CD48" s="186"/>
      <c r="CE48" s="186"/>
      <c r="CF48" s="186"/>
      <c r="CG48" s="186"/>
      <c r="CH48" s="186"/>
      <c r="CI48" s="186"/>
      <c r="CJ48" s="186"/>
      <c r="CK48" s="186"/>
      <c r="CL48" s="186"/>
      <c r="CM48" s="186"/>
      <c r="CN48" s="186"/>
      <c r="CO48" s="124" t="b">
        <f>IF(CI57=18,13)</f>
        <v>0</v>
      </c>
      <c r="CP48" s="178"/>
      <c r="CR48" s="78"/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DE48" s="78"/>
    </row>
    <row r="49" spans="2:109" ht="21" hidden="1" thickBot="1" x14ac:dyDescent="0.25">
      <c r="B49" s="560"/>
      <c r="C49" s="560"/>
      <c r="G49" s="998"/>
      <c r="H49"/>
      <c r="I49"/>
      <c r="J49" s="965">
        <f>ABS($H$1/J48)</f>
        <v>270.0675168792198</v>
      </c>
      <c r="K49" s="965">
        <f>ABS($H$1/K48)</f>
        <v>51.936060938311492</v>
      </c>
      <c r="L49" s="965">
        <f>ABS($H$1/L48)</f>
        <v>64.301789733147558</v>
      </c>
      <c r="M49" s="967" t="s">
        <v>222</v>
      </c>
      <c r="N49" s="74"/>
      <c r="O49" s="1010"/>
      <c r="BD49" s="600"/>
      <c r="BF49" s="136"/>
      <c r="BG49" s="136"/>
      <c r="BH49" s="136"/>
      <c r="BI49" s="136"/>
      <c r="BO49" s="86"/>
      <c r="BP49" s="1091"/>
      <c r="BQ49" s="177"/>
      <c r="BR49" s="177"/>
      <c r="BS49" s="178"/>
      <c r="BT49" s="177"/>
      <c r="BU49" s="177"/>
      <c r="BV49" s="177"/>
      <c r="CB49" s="182">
        <v>6</v>
      </c>
      <c r="CC49" s="120">
        <f>IF(CH57=17,1)</f>
        <v>1</v>
      </c>
      <c r="CD49" s="186"/>
      <c r="CE49" s="186"/>
      <c r="CF49" s="186"/>
      <c r="CG49" s="186"/>
      <c r="CH49" s="186"/>
      <c r="CI49" s="186"/>
      <c r="CJ49" s="186"/>
      <c r="CK49" s="186"/>
      <c r="CL49" s="186"/>
      <c r="CM49" s="124">
        <f>IF(CH57=17,11)</f>
        <v>11</v>
      </c>
      <c r="CN49" s="177"/>
      <c r="CO49" s="177"/>
      <c r="CP49" s="1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DE49" s="78"/>
    </row>
    <row r="50" spans="2:109" ht="21" hidden="1" thickBot="1" x14ac:dyDescent="0.25">
      <c r="B50" s="560"/>
      <c r="C50" s="560"/>
      <c r="G50" s="998"/>
      <c r="H50"/>
      <c r="I50"/>
      <c r="J50" s="1733">
        <f>ABS($F$13/BR25)*2</f>
        <v>120.03000750187546</v>
      </c>
      <c r="K50" s="1733"/>
      <c r="L50" s="1733"/>
      <c r="M50" s="1734" t="s">
        <v>350</v>
      </c>
      <c r="N50" s="1730" t="s">
        <v>352</v>
      </c>
      <c r="O50" s="995"/>
      <c r="BD50" s="600"/>
      <c r="BF50" s="136"/>
      <c r="BG50" s="136"/>
      <c r="BH50" s="136"/>
      <c r="BI50" s="136"/>
      <c r="BO50" s="86"/>
      <c r="BP50" s="1091"/>
      <c r="BQ50" s="177"/>
      <c r="BR50" s="177"/>
      <c r="BS50" s="178"/>
      <c r="BT50" s="177"/>
      <c r="BU50" s="177"/>
      <c r="BV50" s="177"/>
      <c r="CB50" s="182">
        <v>5</v>
      </c>
      <c r="CC50" s="117" t="b">
        <f>IF(CG57=16,1)</f>
        <v>0</v>
      </c>
      <c r="CD50" s="185"/>
      <c r="CE50" s="185"/>
      <c r="CF50" s="118"/>
      <c r="CG50" s="185"/>
      <c r="CH50" s="118"/>
      <c r="CI50" s="185"/>
      <c r="CJ50" s="185"/>
      <c r="CK50" s="103" t="b">
        <f>IF(CG57=16,9)</f>
        <v>0</v>
      </c>
      <c r="CL50" s="177"/>
      <c r="CM50" s="177"/>
      <c r="CN50" s="177"/>
      <c r="CO50" s="177"/>
      <c r="CP50" s="1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DE50" s="78"/>
    </row>
    <row r="51" spans="2:109" ht="21" hidden="1" thickBot="1" x14ac:dyDescent="0.25">
      <c r="B51" s="560"/>
      <c r="C51" s="560"/>
      <c r="G51" s="998"/>
      <c r="H51"/>
      <c r="I51"/>
      <c r="J51" s="59"/>
      <c r="K51" s="59"/>
      <c r="L51" s="59"/>
      <c r="M51" s="59"/>
      <c r="N51"/>
      <c r="O51" s="995"/>
      <c r="BD51" s="600"/>
      <c r="BF51" s="136"/>
      <c r="BG51" s="136"/>
      <c r="BH51" s="136"/>
      <c r="BI51" s="136"/>
      <c r="BO51" s="86"/>
      <c r="BP51" s="1091"/>
      <c r="BQ51" s="177"/>
      <c r="BR51" s="177"/>
      <c r="BS51" s="178"/>
      <c r="BT51" s="177"/>
      <c r="BU51" s="177"/>
      <c r="BV51" s="177"/>
      <c r="CB51" s="182">
        <v>4</v>
      </c>
      <c r="CC51" s="117" t="b">
        <f>IF(CF57=15,1)</f>
        <v>0</v>
      </c>
      <c r="CD51" s="118"/>
      <c r="CE51" s="118"/>
      <c r="CF51" s="185"/>
      <c r="CG51" s="118"/>
      <c r="CH51" s="118"/>
      <c r="CI51" s="103" t="b">
        <f>IF(CF57=15,7)</f>
        <v>0</v>
      </c>
      <c r="CJ51" s="177"/>
      <c r="CK51" s="177"/>
      <c r="CL51" s="177"/>
      <c r="CM51" s="177"/>
      <c r="CN51" s="177"/>
      <c r="CO51" s="177"/>
      <c r="CP51" s="1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DE51" s="78"/>
    </row>
    <row r="52" spans="2:109" ht="21" hidden="1" thickBot="1" x14ac:dyDescent="0.25">
      <c r="B52" s="560"/>
      <c r="C52" s="560"/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  <c r="BD52" s="600"/>
      <c r="BF52" s="136"/>
      <c r="BG52" s="136"/>
      <c r="BH52" s="136"/>
      <c r="BI52" s="136"/>
      <c r="BO52" s="86"/>
      <c r="BP52" s="1091"/>
      <c r="BQ52" s="177"/>
      <c r="BR52" s="177"/>
      <c r="BS52" s="178"/>
      <c r="BT52" s="177"/>
      <c r="BU52" s="177"/>
      <c r="BV52" s="177"/>
      <c r="CB52" s="182">
        <v>3</v>
      </c>
      <c r="CC52" s="120" t="b">
        <f>IF(CE57=14,1)</f>
        <v>0</v>
      </c>
      <c r="CD52" s="186"/>
      <c r="CE52" s="186"/>
      <c r="CF52" s="186"/>
      <c r="CG52" s="124" t="b">
        <f>IF(CE57=14,5)</f>
        <v>0</v>
      </c>
      <c r="CH52" s="177"/>
      <c r="CI52" s="177"/>
      <c r="CJ52" s="177"/>
      <c r="CK52" s="177"/>
      <c r="CL52" s="177"/>
      <c r="CM52" s="177"/>
      <c r="CN52" s="177"/>
      <c r="CO52" s="177"/>
      <c r="CP52" s="1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DE52" s="78"/>
    </row>
    <row r="53" spans="2:109" ht="24" hidden="1" thickBot="1" x14ac:dyDescent="0.3">
      <c r="B53" s="560"/>
      <c r="C53" s="560"/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D53" s="600"/>
      <c r="BF53" s="136"/>
      <c r="BG53" s="136"/>
      <c r="BH53" s="136"/>
      <c r="BI53" s="136"/>
      <c r="BO53" s="86"/>
      <c r="BP53" s="1091"/>
      <c r="BQ53" s="177"/>
      <c r="BR53" s="177"/>
      <c r="BS53" s="178"/>
      <c r="BT53" s="177"/>
      <c r="BU53" s="177"/>
      <c r="BV53" s="177"/>
      <c r="CB53" s="182">
        <v>2</v>
      </c>
      <c r="CC53" s="120" t="b">
        <f>IF(CD57=13,1)</f>
        <v>0</v>
      </c>
      <c r="CD53" s="186"/>
      <c r="CE53" s="124" t="b">
        <f>IF(CD57=13,3)</f>
        <v>0</v>
      </c>
      <c r="CF53" s="177"/>
      <c r="CG53" s="177"/>
      <c r="CH53" s="177"/>
      <c r="CI53" s="177"/>
      <c r="CJ53" s="177"/>
      <c r="CK53" s="177"/>
      <c r="CL53" s="177"/>
      <c r="CM53" s="177"/>
      <c r="CN53" s="177"/>
      <c r="CO53" s="177"/>
      <c r="CP53" s="1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DE53" s="78"/>
    </row>
    <row r="54" spans="2:109" ht="21" thickBot="1" x14ac:dyDescent="0.25">
      <c r="B54" s="560"/>
      <c r="C54" s="560"/>
      <c r="G54" s="994" t="s">
        <v>243</v>
      </c>
      <c r="H54" s="956"/>
      <c r="I54"/>
      <c r="J54" s="963">
        <f>+((H6-D3)/H6)*BR25</f>
        <v>89.639048361327895</v>
      </c>
      <c r="K54" s="963"/>
      <c r="L54" s="963">
        <f>+(D3/H6)*BR25</f>
        <v>43.660951638672124</v>
      </c>
      <c r="M54" s="961" t="s">
        <v>223</v>
      </c>
      <c r="N54"/>
      <c r="O54" s="995"/>
      <c r="BD54" s="600"/>
      <c r="BF54" s="136"/>
      <c r="BG54" s="136"/>
      <c r="BH54" s="136"/>
      <c r="BI54" s="136"/>
      <c r="BO54" s="86"/>
      <c r="BP54" s="1091"/>
      <c r="BQ54" s="177"/>
      <c r="BR54" s="177"/>
      <c r="BS54" s="178"/>
      <c r="BT54" s="177"/>
      <c r="BU54" s="177"/>
      <c r="BV54" s="177"/>
      <c r="BW54" s="76"/>
      <c r="BX54" s="177"/>
      <c r="CB54" s="177"/>
      <c r="CC54" s="177"/>
      <c r="CD54" s="177"/>
      <c r="CE54" s="177"/>
      <c r="CF54" s="177"/>
      <c r="CG54" s="177"/>
      <c r="CH54" s="177"/>
      <c r="CI54" s="177"/>
      <c r="CJ54" s="177"/>
      <c r="CK54" s="177"/>
      <c r="CL54" s="177"/>
      <c r="CM54" s="178"/>
      <c r="CN54" s="107"/>
      <c r="CO54" s="107"/>
      <c r="CP54" s="107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DE54" s="78"/>
    </row>
    <row r="55" spans="2:109" ht="44" thickBot="1" x14ac:dyDescent="0.3">
      <c r="B55" s="560"/>
      <c r="C55" s="560"/>
      <c r="G55" s="1000"/>
      <c r="H55" s="63"/>
      <c r="I55"/>
      <c r="J55" s="965">
        <f>ABS($H$1/J54)</f>
        <v>200.80534464671499</v>
      </c>
      <c r="K55" s="965"/>
      <c r="L55" s="965">
        <f>ABS($H$1/L54)</f>
        <v>412.26769743737634</v>
      </c>
      <c r="M55" s="967" t="s">
        <v>222</v>
      </c>
      <c r="N55"/>
      <c r="O55" s="995"/>
      <c r="BD55" s="600"/>
      <c r="BF55" s="136"/>
      <c r="BG55" s="136"/>
      <c r="BH55" s="136"/>
      <c r="BI55" s="136"/>
      <c r="BJ55" s="136"/>
      <c r="BL55" s="136"/>
      <c r="BM55" s="136"/>
      <c r="BN55" s="402"/>
      <c r="BO55" s="188"/>
      <c r="BP55" s="1095" t="s">
        <v>128</v>
      </c>
      <c r="BQ55" s="935" t="s">
        <v>125</v>
      </c>
      <c r="BR55" s="190"/>
      <c r="BS55" s="191"/>
      <c r="BT55" s="191"/>
      <c r="BU55" s="191"/>
      <c r="BV55" s="191"/>
      <c r="BW55" s="191"/>
      <c r="BX55" s="191"/>
      <c r="BY55" s="191"/>
      <c r="BZ55" s="191"/>
      <c r="CA55" s="191"/>
      <c r="CB55" s="191"/>
      <c r="CC55" s="758">
        <f>SUM(CC39:CC54)</f>
        <v>1</v>
      </c>
      <c r="CD55" s="759">
        <f t="shared" ref="CD55:CS55" si="0">SUM(CD39:CD54)</f>
        <v>0</v>
      </c>
      <c r="CE55" s="759">
        <f t="shared" si="0"/>
        <v>0</v>
      </c>
      <c r="CF55" s="759">
        <f t="shared" si="0"/>
        <v>0</v>
      </c>
      <c r="CG55" s="759">
        <f t="shared" si="0"/>
        <v>0</v>
      </c>
      <c r="CH55" s="759">
        <f t="shared" si="0"/>
        <v>0</v>
      </c>
      <c r="CI55" s="759">
        <f t="shared" si="0"/>
        <v>0</v>
      </c>
      <c r="CJ55" s="759">
        <f t="shared" si="0"/>
        <v>0</v>
      </c>
      <c r="CK55" s="759">
        <f t="shared" si="0"/>
        <v>0</v>
      </c>
      <c r="CL55" s="759">
        <f t="shared" si="0"/>
        <v>0</v>
      </c>
      <c r="CM55" s="759">
        <f t="shared" si="0"/>
        <v>11</v>
      </c>
      <c r="CN55" s="759">
        <f t="shared" si="0"/>
        <v>0</v>
      </c>
      <c r="CO55" s="759">
        <f t="shared" si="0"/>
        <v>0</v>
      </c>
      <c r="CP55" s="759">
        <f t="shared" si="0"/>
        <v>0</v>
      </c>
      <c r="CQ55" s="759">
        <f t="shared" si="0"/>
        <v>0</v>
      </c>
      <c r="CR55" s="759">
        <f t="shared" si="0"/>
        <v>0</v>
      </c>
      <c r="CS55" s="760">
        <f t="shared" si="0"/>
        <v>0</v>
      </c>
      <c r="CT55" s="191"/>
      <c r="CU55" s="191"/>
      <c r="CV55" s="192"/>
      <c r="CW55" s="192"/>
      <c r="CX55" s="192"/>
      <c r="CY55" s="192"/>
      <c r="CZ55" s="192"/>
      <c r="DA55" s="192"/>
      <c r="DB55" s="193"/>
      <c r="DC55" s="89"/>
      <c r="DD55" s="78"/>
      <c r="DE55" s="78"/>
    </row>
    <row r="56" spans="2:109" ht="31" thickBot="1" x14ac:dyDescent="0.3">
      <c r="B56" s="560"/>
      <c r="C56" s="560"/>
      <c r="G56" s="1000"/>
      <c r="H56" s="63"/>
      <c r="I56" s="74"/>
      <c r="J56" s="1733">
        <f>ABS($F$13/BR25)*2</f>
        <v>120.03000750187546</v>
      </c>
      <c r="K56" s="1733"/>
      <c r="L56" s="1733"/>
      <c r="M56" s="1734" t="s">
        <v>350</v>
      </c>
      <c r="N56" s="1730" t="s">
        <v>352</v>
      </c>
      <c r="O56" s="995"/>
      <c r="BD56" s="600"/>
      <c r="BF56" s="136"/>
      <c r="BG56" s="136"/>
      <c r="BH56" s="136"/>
      <c r="BI56" s="136"/>
      <c r="BJ56" s="136"/>
      <c r="BK56" s="136"/>
      <c r="BL56" s="136"/>
      <c r="BM56" s="968">
        <v>4</v>
      </c>
      <c r="BN56" s="1762" t="b">
        <f>AND(BP56&gt;=10,$BA$147&gt;=10,$AZ$147&gt;=10,$AZ$178&gt;=10,$BA$178&gt;=10)</f>
        <v>1</v>
      </c>
      <c r="BO56" s="84" t="str">
        <f>IF(BN56=TRUE,"O K","OVERLOAD")</f>
        <v>O K</v>
      </c>
      <c r="BP56" s="982">
        <f>+$F$13/(BR25/2)</f>
        <v>120.03000750187546</v>
      </c>
      <c r="BQ56" s="194"/>
      <c r="BR56" s="107"/>
      <c r="BS56" s="108"/>
      <c r="BT56" s="107"/>
      <c r="BU56" s="107"/>
      <c r="BV56" s="107"/>
      <c r="BW56" s="108"/>
      <c r="BX56" s="107"/>
      <c r="BY56" s="107"/>
      <c r="BZ56" s="107"/>
      <c r="CA56" s="107"/>
      <c r="CB56" s="107"/>
      <c r="CC56" s="107"/>
      <c r="CD56" s="107"/>
      <c r="CE56" s="107"/>
      <c r="CF56" s="107"/>
      <c r="CG56" s="107"/>
      <c r="CH56" s="107"/>
      <c r="CI56" s="107"/>
      <c r="CJ56" s="107"/>
      <c r="CK56" s="107"/>
      <c r="CL56" s="107"/>
      <c r="CM56" s="107"/>
      <c r="CN56" s="107"/>
      <c r="CO56" s="107"/>
      <c r="CP56" s="107"/>
      <c r="CQ56" s="107"/>
      <c r="CR56" s="107"/>
      <c r="CS56" s="107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  <c r="DE56" s="78"/>
    </row>
    <row r="57" spans="2:109" ht="20" hidden="1" x14ac:dyDescent="0.2">
      <c r="B57" s="560"/>
      <c r="C57" s="560"/>
      <c r="G57" s="998"/>
      <c r="H57"/>
      <c r="I57"/>
      <c r="J57"/>
      <c r="K57"/>
      <c r="L57"/>
      <c r="M57"/>
      <c r="N57"/>
      <c r="O57" s="995"/>
      <c r="BD57" s="600"/>
      <c r="BF57" s="136"/>
      <c r="BG57" s="136"/>
      <c r="BH57" s="136"/>
      <c r="BI57" s="136"/>
      <c r="BJ57" s="136"/>
      <c r="BK57" s="136"/>
      <c r="BL57" s="136"/>
      <c r="BM57" s="136"/>
      <c r="BN57" s="402"/>
      <c r="BO57" s="188"/>
      <c r="BP57" s="1091"/>
      <c r="BQ57" s="76"/>
      <c r="BR57" s="195" t="b">
        <f>+BL109</f>
        <v>0</v>
      </c>
      <c r="BS57" s="195" t="b">
        <f>+BL110</f>
        <v>0</v>
      </c>
      <c r="BT57" s="195" t="b">
        <f>+BL111</f>
        <v>0</v>
      </c>
      <c r="BU57" s="195" t="b">
        <f>+BL112</f>
        <v>0</v>
      </c>
      <c r="BV57" s="195" t="b">
        <f>+BL113</f>
        <v>0</v>
      </c>
      <c r="BW57" s="195" t="b">
        <f>+BL114</f>
        <v>0</v>
      </c>
      <c r="BX57" s="195" t="b">
        <f>+BL115</f>
        <v>0</v>
      </c>
      <c r="BY57" s="195" t="b">
        <f>+BL116</f>
        <v>0</v>
      </c>
      <c r="BZ57" s="195" t="b">
        <f>+BL117</f>
        <v>0</v>
      </c>
      <c r="CA57" s="195" t="b">
        <f>+BL118</f>
        <v>0</v>
      </c>
      <c r="CB57" s="195" t="b">
        <f>+BL119</f>
        <v>0</v>
      </c>
      <c r="CC57" s="195" t="b">
        <f>+BL120</f>
        <v>0</v>
      </c>
      <c r="CD57" s="195" t="b">
        <f>+BL121</f>
        <v>0</v>
      </c>
      <c r="CE57" s="195" t="b">
        <f>+BL122</f>
        <v>0</v>
      </c>
      <c r="CF57" s="195" t="b">
        <f>+BL123</f>
        <v>0</v>
      </c>
      <c r="CG57" s="195" t="b">
        <f>+BL124</f>
        <v>0</v>
      </c>
      <c r="CH57" s="195">
        <f>+BL125</f>
        <v>17</v>
      </c>
      <c r="CI57" s="195" t="b">
        <f>+BL126</f>
        <v>0</v>
      </c>
      <c r="CJ57" s="195" t="b">
        <f>+BL127</f>
        <v>0</v>
      </c>
      <c r="CK57" s="195" t="b">
        <f>+BL128</f>
        <v>0</v>
      </c>
      <c r="CL57" s="195" t="b">
        <f>+BL129</f>
        <v>0</v>
      </c>
      <c r="CM57" s="195" t="b">
        <f>+BL130</f>
        <v>0</v>
      </c>
      <c r="CN57" s="195" t="b">
        <f>+BL131</f>
        <v>0</v>
      </c>
      <c r="CO57" s="195" t="b">
        <f>+BL132</f>
        <v>0</v>
      </c>
      <c r="CP57" s="195" t="b">
        <f>+BL133</f>
        <v>0</v>
      </c>
      <c r="CQ57" s="195" t="b">
        <f>+BL134</f>
        <v>0</v>
      </c>
      <c r="CR57" s="195" t="b">
        <f>+BL135</f>
        <v>0</v>
      </c>
      <c r="CS57" s="195" t="b">
        <f>+BL136</f>
        <v>0</v>
      </c>
      <c r="CT57" s="195" t="b">
        <f>+BL137</f>
        <v>0</v>
      </c>
      <c r="CU57" s="195" t="b">
        <f>+BL138</f>
        <v>0</v>
      </c>
      <c r="CV57" s="195" t="b">
        <f>+BL139</f>
        <v>0</v>
      </c>
      <c r="CW57" s="195" t="b">
        <f>+BL140</f>
        <v>0</v>
      </c>
      <c r="CX57" s="195" t="b">
        <f>+BL141</f>
        <v>0</v>
      </c>
      <c r="CY57" s="195" t="b">
        <f>+BL142</f>
        <v>0</v>
      </c>
      <c r="CZ57" s="195" t="b">
        <f>+BL143</f>
        <v>0</v>
      </c>
      <c r="DA57" s="195" t="b">
        <f>+BL144</f>
        <v>0</v>
      </c>
      <c r="DB57" s="195" t="b">
        <f>+BL145</f>
        <v>0</v>
      </c>
      <c r="DC57" s="196"/>
      <c r="DD57" s="78"/>
      <c r="DE57" s="78"/>
    </row>
    <row r="58" spans="2:109" ht="20" hidden="1" x14ac:dyDescent="0.2">
      <c r="B58" s="560"/>
      <c r="C58" s="560"/>
      <c r="G58" s="998"/>
      <c r="H58"/>
      <c r="I58"/>
      <c r="J58"/>
      <c r="K58"/>
      <c r="L58"/>
      <c r="M58"/>
      <c r="N58"/>
      <c r="O58" s="995"/>
      <c r="BD58" s="600"/>
      <c r="BF58" s="136"/>
      <c r="BG58" s="136"/>
      <c r="BH58" s="136"/>
      <c r="BI58" s="136"/>
      <c r="BJ58" s="136"/>
      <c r="BK58" s="136"/>
      <c r="BL58" s="136"/>
      <c r="BM58" s="136"/>
      <c r="BN58" s="402"/>
      <c r="BO58" s="188"/>
      <c r="BP58" s="1091"/>
      <c r="BQ58" s="78"/>
      <c r="BR58" s="196" t="b">
        <f>+BR57</f>
        <v>0</v>
      </c>
      <c r="BS58" s="196" t="b">
        <f t="shared" ref="BS58:CJ58" si="1">+BS57</f>
        <v>0</v>
      </c>
      <c r="BT58" s="196" t="b">
        <f t="shared" si="1"/>
        <v>0</v>
      </c>
      <c r="BU58" s="196" t="b">
        <f t="shared" si="1"/>
        <v>0</v>
      </c>
      <c r="BV58" s="196" t="b">
        <f t="shared" si="1"/>
        <v>0</v>
      </c>
      <c r="BW58" s="196" t="b">
        <f t="shared" si="1"/>
        <v>0</v>
      </c>
      <c r="BX58" s="196" t="b">
        <f>+BX57</f>
        <v>0</v>
      </c>
      <c r="BY58" s="196" t="b">
        <f t="shared" si="1"/>
        <v>0</v>
      </c>
      <c r="BZ58" s="196" t="b">
        <f t="shared" si="1"/>
        <v>0</v>
      </c>
      <c r="CA58" s="196" t="b">
        <f t="shared" si="1"/>
        <v>0</v>
      </c>
      <c r="CB58" s="196" t="b">
        <f t="shared" si="1"/>
        <v>0</v>
      </c>
      <c r="CC58" s="196" t="b">
        <f>+CC57</f>
        <v>0</v>
      </c>
      <c r="CD58" s="196" t="b">
        <f>+CD57</f>
        <v>0</v>
      </c>
      <c r="CE58" s="196" t="b">
        <f>+CE57</f>
        <v>0</v>
      </c>
      <c r="CF58" s="196" t="b">
        <f>+CF57</f>
        <v>0</v>
      </c>
      <c r="CG58" s="196" t="b">
        <f>+CG57</f>
        <v>0</v>
      </c>
      <c r="CH58" s="196">
        <f t="shared" si="1"/>
        <v>17</v>
      </c>
      <c r="CI58" s="196" t="b">
        <f t="shared" si="1"/>
        <v>0</v>
      </c>
      <c r="CJ58" s="196" t="b">
        <f t="shared" si="1"/>
        <v>0</v>
      </c>
      <c r="CK58" s="196" t="b">
        <f>+CK57</f>
        <v>0</v>
      </c>
      <c r="CL58" s="196" t="b">
        <f>+CL57</f>
        <v>0</v>
      </c>
      <c r="CM58" s="196" t="b">
        <f t="shared" ref="CM58:DB58" si="2">+CM57</f>
        <v>0</v>
      </c>
      <c r="CN58" s="196" t="b">
        <f t="shared" si="2"/>
        <v>0</v>
      </c>
      <c r="CO58" s="196" t="b">
        <f t="shared" si="2"/>
        <v>0</v>
      </c>
      <c r="CP58" s="196" t="b">
        <f t="shared" si="2"/>
        <v>0</v>
      </c>
      <c r="CQ58" s="196" t="b">
        <f t="shared" si="2"/>
        <v>0</v>
      </c>
      <c r="CR58" s="196" t="b">
        <f t="shared" si="2"/>
        <v>0</v>
      </c>
      <c r="CS58" s="196" t="b">
        <f t="shared" si="2"/>
        <v>0</v>
      </c>
      <c r="CT58" s="196" t="b">
        <f t="shared" si="2"/>
        <v>0</v>
      </c>
      <c r="CU58" s="196" t="b">
        <f t="shared" si="2"/>
        <v>0</v>
      </c>
      <c r="CV58" s="196" t="b">
        <f t="shared" si="2"/>
        <v>0</v>
      </c>
      <c r="CW58" s="196" t="b">
        <f t="shared" si="2"/>
        <v>0</v>
      </c>
      <c r="CX58" s="196" t="b">
        <f t="shared" si="2"/>
        <v>0</v>
      </c>
      <c r="CY58" s="196" t="b">
        <f t="shared" si="2"/>
        <v>0</v>
      </c>
      <c r="CZ58" s="196" t="b">
        <f t="shared" si="2"/>
        <v>0</v>
      </c>
      <c r="DA58" s="196" t="b">
        <f t="shared" si="2"/>
        <v>0</v>
      </c>
      <c r="DB58" s="196" t="b">
        <f t="shared" si="2"/>
        <v>0</v>
      </c>
      <c r="DC58" s="196"/>
      <c r="DD58" s="78"/>
      <c r="DE58" s="78"/>
    </row>
    <row r="59" spans="2:109" ht="21" thickBot="1" x14ac:dyDescent="0.25">
      <c r="B59" s="560"/>
      <c r="C59" s="560"/>
      <c r="G59" s="998"/>
      <c r="H59"/>
      <c r="I59"/>
      <c r="J59"/>
      <c r="K59"/>
      <c r="L59"/>
      <c r="M59"/>
      <c r="N59"/>
      <c r="O59" s="995"/>
      <c r="BD59" s="600"/>
      <c r="BF59" s="136"/>
      <c r="BG59" s="136"/>
      <c r="BH59" s="136"/>
      <c r="BI59" s="136"/>
      <c r="BJ59" s="136"/>
      <c r="BK59" s="136"/>
      <c r="BL59" s="136"/>
      <c r="BM59" s="136"/>
      <c r="BN59" s="402"/>
      <c r="BO59" s="188"/>
      <c r="BP59" s="1091"/>
      <c r="BQ59" s="78"/>
      <c r="BR59" s="196"/>
      <c r="BS59" s="196"/>
      <c r="BT59" s="196"/>
      <c r="BU59" s="196"/>
      <c r="BV59" s="196"/>
      <c r="BW59" s="196"/>
      <c r="BX59" s="196"/>
      <c r="BY59" s="196"/>
      <c r="BZ59" s="196"/>
      <c r="CA59" s="196"/>
      <c r="CB59" s="196"/>
      <c r="CC59" s="196"/>
      <c r="CD59" s="196"/>
      <c r="CE59" s="196"/>
      <c r="CF59" s="196"/>
      <c r="CG59" s="196"/>
      <c r="CH59" s="196"/>
      <c r="CI59" s="196"/>
      <c r="CJ59" s="196"/>
      <c r="CK59" s="196"/>
      <c r="CL59" s="196"/>
      <c r="CM59" s="196"/>
      <c r="CN59" s="196"/>
      <c r="CO59" s="196"/>
      <c r="CP59" s="196"/>
      <c r="CQ59" s="196"/>
      <c r="CR59" s="196"/>
      <c r="CS59" s="196"/>
      <c r="CT59" s="196"/>
      <c r="CU59" s="196"/>
      <c r="CV59" s="196"/>
      <c r="CW59" s="196"/>
      <c r="CX59" s="196"/>
      <c r="CY59" s="196"/>
      <c r="CZ59" s="196"/>
      <c r="DA59" s="196"/>
      <c r="DB59" s="196"/>
      <c r="DC59" s="196"/>
      <c r="DD59" s="78"/>
      <c r="DE59" s="78"/>
    </row>
    <row r="60" spans="2:109" ht="24" thickBot="1" x14ac:dyDescent="0.3">
      <c r="B60" s="560"/>
      <c r="C60" s="560"/>
      <c r="G60" s="998"/>
      <c r="H60"/>
      <c r="I60"/>
      <c r="J60"/>
      <c r="K60"/>
      <c r="L60"/>
      <c r="M60"/>
      <c r="N60"/>
      <c r="O60" s="995"/>
      <c r="BC60" s="600"/>
      <c r="BD60" s="600"/>
      <c r="BF60" s="136"/>
      <c r="BG60" s="136"/>
      <c r="BH60" s="136"/>
      <c r="BI60" s="136"/>
      <c r="BJ60" s="136"/>
      <c r="BK60" s="136"/>
      <c r="BL60" s="136"/>
      <c r="BM60" s="136"/>
      <c r="BN60" s="402"/>
      <c r="BO60" s="188"/>
      <c r="BP60" s="1095" t="s">
        <v>128</v>
      </c>
      <c r="BQ60" s="197" t="s">
        <v>129</v>
      </c>
      <c r="BR60" s="748" t="str">
        <f>IF(BR58=1,17,"")</f>
        <v/>
      </c>
      <c r="BS60" s="749" t="str">
        <f>IF(BS58=2,16,"")</f>
        <v/>
      </c>
      <c r="BT60" s="749" t="str">
        <f>IF(BT58=3,15,"")</f>
        <v/>
      </c>
      <c r="BU60" s="749" t="str">
        <f>IF(BU58=4,14,"")</f>
        <v/>
      </c>
      <c r="BV60" s="749" t="str">
        <f>IF(BV58=5,13,"")</f>
        <v/>
      </c>
      <c r="BW60" s="749" t="str">
        <f>IF(BW58=6,12,"")</f>
        <v/>
      </c>
      <c r="BX60" s="749" t="str">
        <f>IF(BX58=7,11,"")</f>
        <v/>
      </c>
      <c r="BY60" s="749" t="str">
        <f>IF(BY58=8,10,"")</f>
        <v/>
      </c>
      <c r="BZ60" s="749" t="str">
        <f>IF(BZ58=9,9,"")</f>
        <v/>
      </c>
      <c r="CA60" s="749" t="str">
        <f>IF(CA58=10,8,"")</f>
        <v/>
      </c>
      <c r="CB60" s="749" t="str">
        <f>IF(CB58=11,7,"")</f>
        <v/>
      </c>
      <c r="CC60" s="928" t="str">
        <f>IF(CC58=12,1,"")</f>
        <v/>
      </c>
      <c r="CD60" s="747" t="str">
        <f>IF(CD58=13,2,"")</f>
        <v/>
      </c>
      <c r="CE60" s="747" t="str">
        <f>IF(CE58=14,3,"")</f>
        <v/>
      </c>
      <c r="CF60" s="747" t="str">
        <f>IF(CF58=15,4,"")</f>
        <v/>
      </c>
      <c r="CG60" s="747" t="str">
        <f>IF(CG58=16,5,"")</f>
        <v/>
      </c>
      <c r="CH60" s="747">
        <f>IF(CH58=17,6,"")</f>
        <v>6</v>
      </c>
      <c r="CI60" s="747" t="str">
        <f>IF(CI58=18,7,"")</f>
        <v/>
      </c>
      <c r="CJ60" s="747" t="str">
        <f>IF(CJ58=19,8,"")</f>
        <v/>
      </c>
      <c r="CK60" s="747" t="str">
        <f>IF(CK58=20,9,"")</f>
        <v/>
      </c>
      <c r="CL60" s="747" t="str">
        <f>IF(CL58=21,10,"")</f>
        <v/>
      </c>
      <c r="CM60" s="747" t="str">
        <f>IF(CM58=22,11,"")</f>
        <v/>
      </c>
      <c r="CN60" s="747" t="str">
        <f>IF(CN58=23,12,"")</f>
        <v/>
      </c>
      <c r="CO60" s="747" t="str">
        <f>IF(CO58=24,13,"")</f>
        <v/>
      </c>
      <c r="CP60" s="747" t="str">
        <f>IF(CP58=25,14,"")</f>
        <v/>
      </c>
      <c r="CQ60" s="747" t="str">
        <f>IF(CQ58=26,15,"")</f>
        <v/>
      </c>
      <c r="CR60" s="747" t="str">
        <f>IF(CR58=27,16,"")</f>
        <v/>
      </c>
      <c r="CS60" s="929" t="str">
        <f>IF(CS58=28,17,"")</f>
        <v/>
      </c>
      <c r="CT60" s="756" t="str">
        <f>IF(CT58=29,9,"")</f>
        <v/>
      </c>
      <c r="CU60" s="756" t="str">
        <f>IF(CU58=30,10,"")</f>
        <v/>
      </c>
      <c r="CV60" s="756" t="str">
        <f>IF(CV58=31,11,"")</f>
        <v/>
      </c>
      <c r="CW60" s="756" t="str">
        <f>IF(CW58=32,12,"")</f>
        <v/>
      </c>
      <c r="CX60" s="756" t="str">
        <f>IF(CX58=33,13,"")</f>
        <v/>
      </c>
      <c r="CY60" s="756" t="str">
        <f>IF(CY58=34,14,"")</f>
        <v/>
      </c>
      <c r="CZ60" s="756" t="str">
        <f>IF(CZ58=35,15,"")</f>
        <v/>
      </c>
      <c r="DA60" s="756" t="str">
        <f>IF(DA58=36,16,"")</f>
        <v/>
      </c>
      <c r="DB60" s="757" t="str">
        <f>IF(DB58=37,17,"")</f>
        <v/>
      </c>
      <c r="DC60" s="198"/>
      <c r="DD60" s="78"/>
      <c r="DE60" s="78"/>
    </row>
    <row r="61" spans="2:109" ht="31" thickBot="1" x14ac:dyDescent="0.3">
      <c r="B61" s="560"/>
      <c r="C61" s="560"/>
      <c r="G61" s="998"/>
      <c r="H61"/>
      <c r="I61"/>
      <c r="J61"/>
      <c r="K61"/>
      <c r="L61"/>
      <c r="M61"/>
      <c r="N61"/>
      <c r="O61" s="995"/>
      <c r="BC61" s="600"/>
      <c r="BD61" s="600"/>
      <c r="BF61" s="136"/>
      <c r="BG61" s="136"/>
      <c r="BH61" s="136"/>
      <c r="BI61" s="136"/>
      <c r="BJ61" s="136"/>
      <c r="BK61" s="136"/>
      <c r="BL61" s="136"/>
      <c r="BM61" s="968">
        <v>5</v>
      </c>
      <c r="BN61" s="1762" t="b">
        <f>AND(BP61&gt;=10,$BA$147&gt;=10,$AZ$147&gt;=10,$AZ$178&gt;=10,$BA$178&gt;=10)</f>
        <v>1</v>
      </c>
      <c r="BO61" s="84" t="str">
        <f>IF(BN61=TRUE,"O K","OVERLOAD")</f>
        <v>O K</v>
      </c>
      <c r="BP61" s="982">
        <f>IF(SUM(BR60:CB60)&gt;0,K85,0)+IF(SUM(CC60:CS60)&gt;0,L85,0)+IF(SUM(CT60:DB60)&gt;0,M85,0)</f>
        <v>60.01500375093773</v>
      </c>
      <c r="BQ61" s="788" t="s">
        <v>185</v>
      </c>
      <c r="BR61" s="789">
        <v>-10</v>
      </c>
      <c r="BS61" s="789">
        <v>-9</v>
      </c>
      <c r="BT61" s="789">
        <v>-8</v>
      </c>
      <c r="BU61" s="789">
        <v>-7</v>
      </c>
      <c r="BV61" s="789">
        <v>-6</v>
      </c>
      <c r="BW61" s="789">
        <v>-5</v>
      </c>
      <c r="BX61" s="789">
        <v>-4</v>
      </c>
      <c r="BY61" s="789">
        <v>-3</v>
      </c>
      <c r="BZ61" s="789">
        <v>-2</v>
      </c>
      <c r="CA61" s="789">
        <v>-1</v>
      </c>
      <c r="CB61" s="789">
        <v>0</v>
      </c>
      <c r="CC61" s="789">
        <v>1</v>
      </c>
      <c r="CD61" s="789">
        <v>2</v>
      </c>
      <c r="CE61" s="789">
        <v>3</v>
      </c>
      <c r="CF61" s="789">
        <v>4</v>
      </c>
      <c r="CG61" s="789">
        <v>5</v>
      </c>
      <c r="CH61" s="789">
        <v>6</v>
      </c>
      <c r="CI61" s="789">
        <v>7</v>
      </c>
      <c r="CJ61" s="789">
        <v>8</v>
      </c>
      <c r="CK61" s="789">
        <v>9</v>
      </c>
      <c r="CL61" s="789">
        <v>10</v>
      </c>
      <c r="CM61" s="789">
        <v>11</v>
      </c>
      <c r="CN61" s="789">
        <v>12</v>
      </c>
      <c r="CO61" s="789">
        <v>13</v>
      </c>
      <c r="CP61" s="789">
        <v>14</v>
      </c>
      <c r="CQ61" s="789">
        <v>15</v>
      </c>
      <c r="CR61" s="789">
        <v>16</v>
      </c>
      <c r="CS61" s="789">
        <v>17</v>
      </c>
      <c r="CT61" s="789">
        <v>18</v>
      </c>
      <c r="CU61" s="789">
        <v>19</v>
      </c>
      <c r="CV61" s="789">
        <v>20</v>
      </c>
      <c r="CW61" s="789">
        <v>21</v>
      </c>
      <c r="CX61" s="789">
        <v>22</v>
      </c>
      <c r="CY61" s="789">
        <v>23</v>
      </c>
      <c r="CZ61" s="789">
        <v>24</v>
      </c>
      <c r="DA61" s="789">
        <v>25</v>
      </c>
      <c r="DB61" s="791">
        <v>26</v>
      </c>
      <c r="DC61" s="198"/>
      <c r="DD61" s="78"/>
      <c r="DE61" s="78"/>
    </row>
    <row r="62" spans="2:109" ht="20" hidden="1" x14ac:dyDescent="0.2">
      <c r="B62" s="560"/>
      <c r="C62" s="560"/>
      <c r="G62" s="998"/>
      <c r="H62"/>
      <c r="I62"/>
      <c r="J62"/>
      <c r="K62"/>
      <c r="L62"/>
      <c r="M62"/>
      <c r="N62"/>
      <c r="O62" s="995"/>
      <c r="BC62" s="600"/>
      <c r="BD62" s="600"/>
      <c r="BF62" s="136"/>
      <c r="BG62" s="136"/>
      <c r="BH62" s="136"/>
      <c r="BI62" s="136"/>
      <c r="BJ62" s="136"/>
      <c r="BK62" s="136"/>
      <c r="BL62" s="136"/>
      <c r="BM62" s="136"/>
      <c r="BN62" s="402"/>
      <c r="BO62" s="136"/>
      <c r="BQ62" s="78"/>
      <c r="BR62" s="199"/>
      <c r="BS62" s="199"/>
      <c r="BT62" s="199"/>
      <c r="BU62" s="199"/>
      <c r="BV62" s="199"/>
      <c r="BW62" s="199"/>
      <c r="BX62" s="199"/>
      <c r="BY62" s="199"/>
      <c r="BZ62" s="199"/>
      <c r="CA62" s="199"/>
      <c r="CB62" s="199"/>
      <c r="CC62" s="199"/>
      <c r="CD62" s="199"/>
      <c r="CE62" s="199"/>
      <c r="CF62" s="199"/>
      <c r="CG62" s="199"/>
      <c r="CH62" s="199"/>
      <c r="CI62" s="199"/>
      <c r="CJ62" s="199"/>
      <c r="CK62" s="199"/>
      <c r="CL62" s="199"/>
      <c r="CM62" s="199"/>
      <c r="CN62" s="199"/>
      <c r="CO62" s="199"/>
      <c r="CP62" s="199"/>
      <c r="CQ62" s="199"/>
      <c r="CR62" s="199"/>
      <c r="CS62" s="199"/>
      <c r="CT62" s="199"/>
      <c r="CU62" s="199"/>
      <c r="CV62" s="199"/>
      <c r="CW62" s="199"/>
      <c r="CX62" s="199"/>
      <c r="CY62" s="199"/>
      <c r="CZ62" s="199"/>
      <c r="DA62" s="199"/>
      <c r="DB62" s="199"/>
      <c r="DC62" s="199"/>
      <c r="DD62" s="78"/>
      <c r="DE62" s="78"/>
    </row>
    <row r="63" spans="2:109" ht="24" hidden="1" thickBot="1" x14ac:dyDescent="0.3">
      <c r="G63" s="998"/>
      <c r="H63"/>
      <c r="I63"/>
      <c r="J63"/>
      <c r="K63"/>
      <c r="L63"/>
      <c r="M63"/>
      <c r="N63"/>
      <c r="O63" s="995"/>
      <c r="BC63" s="569"/>
      <c r="BD63" s="569"/>
      <c r="BO63" s="86"/>
      <c r="BP63" s="18"/>
      <c r="BQ63" s="96"/>
      <c r="BR63" s="97"/>
      <c r="BS63" s="97"/>
      <c r="BT63" s="97"/>
      <c r="BU63" s="97"/>
      <c r="BV63" s="97"/>
      <c r="BW63" s="97"/>
      <c r="BX63" s="97"/>
      <c r="BY63" s="97"/>
      <c r="BZ63" s="94"/>
      <c r="CA63" s="94"/>
      <c r="CB63" s="89"/>
      <c r="CC63" s="89"/>
      <c r="CD63" s="89"/>
      <c r="CE63" s="89"/>
      <c r="CF63" s="89"/>
      <c r="CG63" s="89"/>
      <c r="CH63" s="89"/>
      <c r="CI63" s="89"/>
      <c r="CJ63" s="89"/>
      <c r="CK63" s="89"/>
      <c r="CL63" s="89"/>
      <c r="CM63" s="89"/>
      <c r="CN63" s="89"/>
      <c r="CO63" s="37"/>
      <c r="CP63" s="95"/>
      <c r="CQ63" s="95"/>
      <c r="CR63" s="95"/>
      <c r="CS63" s="95"/>
      <c r="CT63" s="92"/>
      <c r="CU63" s="92"/>
      <c r="CV63" s="92"/>
      <c r="CW63" s="92"/>
      <c r="CX63" s="92"/>
      <c r="CY63" s="92"/>
      <c r="CZ63" s="92"/>
      <c r="DA63" s="92"/>
      <c r="DB63" s="92"/>
      <c r="DC63" s="92"/>
      <c r="DD63" s="17"/>
      <c r="DE63" s="78"/>
    </row>
    <row r="64" spans="2:109" ht="24" hidden="1" thickBot="1" x14ac:dyDescent="0.3">
      <c r="G64" s="998"/>
      <c r="H64"/>
      <c r="I64"/>
      <c r="J64"/>
      <c r="K64"/>
      <c r="L64"/>
      <c r="M64"/>
      <c r="N64"/>
      <c r="O64" s="995"/>
      <c r="V64" s="567"/>
      <c r="W64" s="567"/>
      <c r="X64" s="567"/>
      <c r="Y64" s="567"/>
      <c r="Z64" s="567"/>
      <c r="AA64" s="567"/>
      <c r="BC64" s="569"/>
      <c r="BD64" s="569"/>
      <c r="BO64" s="86"/>
      <c r="BP64" s="18"/>
      <c r="BQ64" s="96">
        <v>36</v>
      </c>
      <c r="BR64" s="97"/>
      <c r="BS64" s="97"/>
      <c r="BT64" s="97"/>
      <c r="BU64" s="97"/>
      <c r="BV64" s="97"/>
      <c r="BW64" s="97"/>
      <c r="BX64" s="97"/>
      <c r="BY64" s="97"/>
      <c r="BZ64" s="94"/>
      <c r="CA64" s="94"/>
      <c r="CB64" s="89"/>
      <c r="CC64" s="89"/>
      <c r="CD64" s="89"/>
      <c r="CE64" s="89"/>
      <c r="CF64" s="89"/>
      <c r="CG64" s="89"/>
      <c r="CH64" s="89"/>
      <c r="CI64" s="98"/>
      <c r="CJ64" s="99"/>
      <c r="CK64" s="100"/>
      <c r="CL64" s="89"/>
      <c r="CM64" s="89"/>
      <c r="CN64" s="89"/>
      <c r="CO64" s="37"/>
      <c r="CP64" s="95"/>
      <c r="CQ64" s="95"/>
      <c r="CR64" s="95"/>
      <c r="CS64" s="95"/>
      <c r="CT64" s="92"/>
      <c r="CU64" s="92"/>
      <c r="CV64" s="92"/>
      <c r="CW64" s="92"/>
      <c r="CX64" s="92"/>
      <c r="CY64" s="92"/>
      <c r="CZ64" s="101" t="b">
        <f>IF(DA57=36,35)</f>
        <v>0</v>
      </c>
      <c r="DA64" s="102"/>
      <c r="DB64" s="103" t="b">
        <f>IF(DA57=36,37)</f>
        <v>0</v>
      </c>
      <c r="DC64" s="92"/>
      <c r="DD64" s="17"/>
      <c r="DE64" s="78"/>
    </row>
    <row r="65" spans="2:109" ht="24" hidden="1" thickBot="1" x14ac:dyDescent="0.3">
      <c r="B65" s="566"/>
      <c r="C65" s="566"/>
      <c r="D65" s="565"/>
      <c r="E65" s="565"/>
      <c r="F65" s="565"/>
      <c r="G65" s="998"/>
      <c r="H65"/>
      <c r="I65"/>
      <c r="J65"/>
      <c r="K65"/>
      <c r="L65"/>
      <c r="M65"/>
      <c r="N65"/>
      <c r="O65" s="995"/>
      <c r="V65" s="567"/>
      <c r="W65" s="567"/>
      <c r="X65" s="567"/>
      <c r="Y65" s="567"/>
      <c r="Z65" s="567"/>
      <c r="AA65" s="567"/>
      <c r="BC65" s="569"/>
      <c r="BD65" s="569"/>
      <c r="BO65" s="86"/>
      <c r="BP65" s="18"/>
      <c r="BQ65" s="96">
        <v>35</v>
      </c>
      <c r="BR65" s="97"/>
      <c r="BS65" s="97"/>
      <c r="BT65" s="97"/>
      <c r="BU65" s="97"/>
      <c r="BV65" s="97"/>
      <c r="BW65" s="97"/>
      <c r="BX65" s="97"/>
      <c r="BY65" s="97"/>
      <c r="BZ65" s="94"/>
      <c r="CA65" s="94"/>
      <c r="CB65" s="89"/>
      <c r="CC65" s="89"/>
      <c r="CD65" s="89"/>
      <c r="CE65" s="89"/>
      <c r="CF65" s="89"/>
      <c r="CG65" s="89"/>
      <c r="CH65" s="89"/>
      <c r="CI65" s="104"/>
      <c r="CJ65" s="89"/>
      <c r="CK65" s="105"/>
      <c r="CL65" s="89"/>
      <c r="CM65" s="89"/>
      <c r="CN65" s="89"/>
      <c r="CO65" s="37"/>
      <c r="CP65" s="95"/>
      <c r="CQ65" s="95"/>
      <c r="CR65" s="95"/>
      <c r="CS65" s="95"/>
      <c r="CT65" s="92"/>
      <c r="CU65" s="92"/>
      <c r="CV65" s="92"/>
      <c r="CW65" s="92"/>
      <c r="CX65" s="101" t="b">
        <f>IF(CZ57=35,33)</f>
        <v>0</v>
      </c>
      <c r="CY65" s="102"/>
      <c r="CZ65" s="102"/>
      <c r="DA65" s="102"/>
      <c r="DB65" s="103" t="b">
        <f>IF(CZ57=35,37)</f>
        <v>0</v>
      </c>
      <c r="DC65" s="92"/>
      <c r="DD65" s="17"/>
      <c r="DE65" s="78"/>
    </row>
    <row r="66" spans="2:109" ht="24" hidden="1" thickBot="1" x14ac:dyDescent="0.3">
      <c r="B66" s="566"/>
      <c r="C66" s="566"/>
      <c r="D66" s="565"/>
      <c r="E66" s="565"/>
      <c r="F66" s="565"/>
      <c r="G66" s="998"/>
      <c r="H66"/>
      <c r="I66"/>
      <c r="J66"/>
      <c r="K66"/>
      <c r="L66"/>
      <c r="M66"/>
      <c r="N66"/>
      <c r="O66" s="995"/>
      <c r="V66" s="567"/>
      <c r="W66" s="567"/>
      <c r="X66" s="567"/>
      <c r="Y66" s="567"/>
      <c r="Z66" s="567"/>
      <c r="AA66" s="567"/>
      <c r="BC66" s="586"/>
      <c r="BD66" s="587"/>
      <c r="BE66" s="586"/>
      <c r="BO66" s="86"/>
      <c r="BP66" s="18"/>
      <c r="BQ66" s="96">
        <v>34</v>
      </c>
      <c r="BR66" s="97"/>
      <c r="BS66" s="97"/>
      <c r="BT66" s="97"/>
      <c r="BU66" s="97"/>
      <c r="BV66" s="97"/>
      <c r="BW66" s="97"/>
      <c r="BX66" s="97"/>
      <c r="BY66" s="97"/>
      <c r="BZ66" s="94"/>
      <c r="CA66" s="94"/>
      <c r="CB66" s="89"/>
      <c r="CC66" s="89"/>
      <c r="CD66" s="89"/>
      <c r="CE66" s="89"/>
      <c r="CF66" s="89"/>
      <c r="CG66" s="89"/>
      <c r="CH66" s="89"/>
      <c r="CI66" s="104"/>
      <c r="CJ66" s="89"/>
      <c r="CK66" s="105"/>
      <c r="CL66" s="89"/>
      <c r="CM66" s="89"/>
      <c r="CN66" s="89"/>
      <c r="CO66" s="37"/>
      <c r="CP66" s="95"/>
      <c r="CQ66" s="95"/>
      <c r="CR66" s="95"/>
      <c r="CS66" s="95"/>
      <c r="CT66" s="92"/>
      <c r="CU66" s="92"/>
      <c r="CV66" s="101" t="b">
        <f>IF(CY57=34,31)</f>
        <v>0</v>
      </c>
      <c r="CW66" s="102"/>
      <c r="CX66" s="102"/>
      <c r="CY66" s="102"/>
      <c r="CZ66" s="102"/>
      <c r="DA66" s="102"/>
      <c r="DB66" s="103" t="b">
        <f>IF(CY57=34,37)</f>
        <v>0</v>
      </c>
      <c r="DC66" s="92"/>
      <c r="DD66" s="17"/>
      <c r="DE66" s="78"/>
    </row>
    <row r="67" spans="2:109" ht="24" hidden="1" thickBot="1" x14ac:dyDescent="0.3">
      <c r="B67" s="566"/>
      <c r="C67" s="566"/>
      <c r="D67" s="565"/>
      <c r="E67" s="565"/>
      <c r="F67" s="565"/>
      <c r="G67" s="998"/>
      <c r="H67"/>
      <c r="I67"/>
      <c r="J67"/>
      <c r="K67"/>
      <c r="L67"/>
      <c r="M67"/>
      <c r="N67"/>
      <c r="O67" s="995"/>
      <c r="U67" s="567"/>
      <c r="AB67" s="567"/>
      <c r="AC67" s="567"/>
      <c r="AD67" s="567"/>
      <c r="AE67" s="567"/>
      <c r="BC67" s="569"/>
      <c r="BD67" s="569"/>
      <c r="BO67" s="86"/>
      <c r="BP67" s="18"/>
      <c r="BQ67" s="96">
        <v>33</v>
      </c>
      <c r="BR67" s="97"/>
      <c r="BS67" s="97"/>
      <c r="BT67" s="97"/>
      <c r="BU67" s="97"/>
      <c r="BV67" s="97"/>
      <c r="BW67" s="97"/>
      <c r="BX67" s="97"/>
      <c r="BY67" s="97"/>
      <c r="BZ67" s="94"/>
      <c r="CA67" s="94"/>
      <c r="CB67" s="89"/>
      <c r="CC67" s="89"/>
      <c r="CD67" s="89"/>
      <c r="CE67" s="89"/>
      <c r="CF67" s="89"/>
      <c r="CG67" s="89"/>
      <c r="CH67" s="89"/>
      <c r="CI67" s="104"/>
      <c r="CJ67" s="89"/>
      <c r="CK67" s="105"/>
      <c r="CL67" s="89"/>
      <c r="CM67" s="89"/>
      <c r="CN67" s="89"/>
      <c r="CO67" s="37"/>
      <c r="CP67" s="95"/>
      <c r="CQ67" s="95"/>
      <c r="CR67" s="95"/>
      <c r="CS67" s="95"/>
      <c r="CT67" s="101" t="b">
        <f>IF(CX57=33,29)</f>
        <v>0</v>
      </c>
      <c r="CU67" s="102"/>
      <c r="CV67" s="102"/>
      <c r="CW67" s="102"/>
      <c r="CX67" s="102"/>
      <c r="CY67" s="102"/>
      <c r="CZ67" s="102"/>
      <c r="DA67" s="102"/>
      <c r="DB67" s="103" t="b">
        <f>IF(CX57=33,37)</f>
        <v>0</v>
      </c>
      <c r="DC67" s="92"/>
      <c r="DD67" s="17"/>
      <c r="DE67" s="78"/>
    </row>
    <row r="68" spans="2:109" ht="21" hidden="1" thickBot="1" x14ac:dyDescent="0.25">
      <c r="B68" s="566"/>
      <c r="C68" s="566"/>
      <c r="D68" s="565"/>
      <c r="E68" s="565"/>
      <c r="F68" s="565"/>
      <c r="G68" s="998"/>
      <c r="H68"/>
      <c r="I68"/>
      <c r="J68"/>
      <c r="K68"/>
      <c r="L68"/>
      <c r="M68"/>
      <c r="N68"/>
      <c r="O68" s="995"/>
      <c r="U68" s="567"/>
      <c r="AB68" s="567"/>
      <c r="AC68" s="567"/>
      <c r="AD68" s="567"/>
      <c r="AE68" s="567"/>
      <c r="BC68" s="569"/>
      <c r="BD68" s="569"/>
      <c r="BO68" s="86"/>
      <c r="BQ68" s="96">
        <v>32</v>
      </c>
      <c r="BR68" s="107"/>
      <c r="BS68" s="107"/>
      <c r="BT68" s="107"/>
      <c r="BU68" s="107"/>
      <c r="BV68" s="107"/>
      <c r="BW68" s="108"/>
      <c r="BX68" s="107"/>
      <c r="BY68" s="107"/>
      <c r="BZ68" s="107"/>
      <c r="CA68" s="107"/>
      <c r="CB68" s="107"/>
      <c r="CC68" s="107"/>
      <c r="CD68" s="107"/>
      <c r="CE68" s="107"/>
      <c r="CF68" s="107"/>
      <c r="CG68" s="107"/>
      <c r="CH68" s="107"/>
      <c r="CI68" s="109"/>
      <c r="CJ68" s="107"/>
      <c r="CK68" s="110"/>
      <c r="CL68" s="107"/>
      <c r="CM68" s="107"/>
      <c r="CN68" s="107"/>
      <c r="CO68" s="108"/>
      <c r="CP68" s="78"/>
      <c r="CQ68" s="78"/>
      <c r="CR68" s="101" t="b">
        <f>IF(CW57=32,27)</f>
        <v>0</v>
      </c>
      <c r="CS68" s="111"/>
      <c r="CT68" s="111"/>
      <c r="CU68" s="111"/>
      <c r="CV68" s="111"/>
      <c r="CW68" s="111"/>
      <c r="CX68" s="111"/>
      <c r="CY68" s="111"/>
      <c r="CZ68" s="111"/>
      <c r="DA68" s="111"/>
      <c r="DB68" s="103" t="b">
        <f>IF(CW57=32,37)</f>
        <v>0</v>
      </c>
      <c r="DC68" s="78"/>
      <c r="DD68" s="78"/>
      <c r="DE68" s="78"/>
    </row>
    <row r="69" spans="2:109" ht="21" hidden="1" thickBot="1" x14ac:dyDescent="0.25">
      <c r="B69" s="566"/>
      <c r="C69" s="566"/>
      <c r="D69" s="565"/>
      <c r="E69" s="565"/>
      <c r="F69" s="565"/>
      <c r="G69" s="998"/>
      <c r="H69"/>
      <c r="I69"/>
      <c r="J69"/>
      <c r="K69"/>
      <c r="L69"/>
      <c r="M69"/>
      <c r="N69"/>
      <c r="O69" s="995"/>
      <c r="U69" s="567"/>
      <c r="AB69" s="567"/>
      <c r="AC69" s="567"/>
      <c r="AD69" s="567"/>
      <c r="AE69" s="567"/>
      <c r="BC69" s="569"/>
      <c r="BD69" s="569"/>
      <c r="BO69" s="86"/>
      <c r="BQ69" s="96">
        <v>31</v>
      </c>
      <c r="BR69" s="107"/>
      <c r="BS69" s="107"/>
      <c r="BT69" s="107"/>
      <c r="BU69" s="107"/>
      <c r="BV69" s="107"/>
      <c r="BW69" s="108"/>
      <c r="BX69" s="107"/>
      <c r="BY69" s="107"/>
      <c r="BZ69" s="107"/>
      <c r="CA69" s="107"/>
      <c r="CB69" s="107"/>
      <c r="CC69" s="107"/>
      <c r="CD69" s="107"/>
      <c r="CE69" s="107"/>
      <c r="CF69" s="107"/>
      <c r="CG69" s="107"/>
      <c r="CH69" s="107"/>
      <c r="CI69" s="109"/>
      <c r="CJ69" s="107"/>
      <c r="CK69" s="110"/>
      <c r="CL69" s="107"/>
      <c r="CM69" s="107"/>
      <c r="CN69" s="107"/>
      <c r="CO69" s="108"/>
      <c r="CP69" s="101" t="b">
        <f>IF(CV57=31,25)</f>
        <v>0</v>
      </c>
      <c r="CQ69" s="111"/>
      <c r="CR69" s="111"/>
      <c r="CS69" s="111"/>
      <c r="CT69" s="111"/>
      <c r="CU69" s="111"/>
      <c r="CV69" s="111"/>
      <c r="CW69" s="111"/>
      <c r="CX69" s="111"/>
      <c r="CY69" s="111"/>
      <c r="CZ69" s="111"/>
      <c r="DA69" s="111"/>
      <c r="DB69" s="103" t="b">
        <f>IF(CV57=31,37)</f>
        <v>0</v>
      </c>
      <c r="DC69" s="78"/>
      <c r="DD69" s="78"/>
      <c r="DE69" s="78"/>
    </row>
    <row r="70" spans="2:109" ht="21" hidden="1" thickBot="1" x14ac:dyDescent="0.25">
      <c r="B70" s="566"/>
      <c r="C70" s="566"/>
      <c r="D70" s="565"/>
      <c r="E70" s="565"/>
      <c r="F70" s="565"/>
      <c r="G70" s="998"/>
      <c r="H70"/>
      <c r="I70"/>
      <c r="J70"/>
      <c r="K70"/>
      <c r="L70"/>
      <c r="M70"/>
      <c r="N70"/>
      <c r="O70" s="995"/>
      <c r="U70" s="567"/>
      <c r="AB70" s="567"/>
      <c r="AC70" s="567"/>
      <c r="AD70" s="567"/>
      <c r="AE70" s="567"/>
      <c r="BC70" s="569"/>
      <c r="BD70" s="569"/>
      <c r="BO70" s="86"/>
      <c r="BQ70" s="96">
        <v>30</v>
      </c>
      <c r="BR70" s="107"/>
      <c r="BS70" s="107"/>
      <c r="BT70" s="107"/>
      <c r="BU70" s="107"/>
      <c r="BV70" s="107"/>
      <c r="BW70" s="108"/>
      <c r="BX70" s="107"/>
      <c r="BY70" s="107"/>
      <c r="BZ70" s="107"/>
      <c r="CA70" s="107"/>
      <c r="CB70" s="107"/>
      <c r="CC70" s="107"/>
      <c r="CD70" s="107"/>
      <c r="CE70" s="107"/>
      <c r="CF70" s="107"/>
      <c r="CG70" s="107"/>
      <c r="CH70" s="107"/>
      <c r="CI70" s="109"/>
      <c r="CJ70" s="107"/>
      <c r="CK70" s="110"/>
      <c r="CL70" s="107"/>
      <c r="CM70" s="107"/>
      <c r="CN70" s="101" t="b">
        <f>IF(CU57=30,23)</f>
        <v>0</v>
      </c>
      <c r="CO70" s="112"/>
      <c r="CP70" s="111"/>
      <c r="CQ70" s="111"/>
      <c r="CR70" s="111"/>
      <c r="CS70" s="111"/>
      <c r="CT70" s="111"/>
      <c r="CU70" s="111"/>
      <c r="CV70" s="111"/>
      <c r="CW70" s="111"/>
      <c r="CX70" s="111"/>
      <c r="CY70" s="111"/>
      <c r="CZ70" s="111"/>
      <c r="DA70" s="111"/>
      <c r="DB70" s="103" t="b">
        <f>IF(CU57=30,37)</f>
        <v>0</v>
      </c>
      <c r="DC70" s="78"/>
      <c r="DD70" s="78"/>
      <c r="DE70" s="78"/>
    </row>
    <row r="71" spans="2:109" ht="21" hidden="1" thickBot="1" x14ac:dyDescent="0.25">
      <c r="B71" s="566"/>
      <c r="C71" s="566"/>
      <c r="D71" s="565"/>
      <c r="E71" s="565"/>
      <c r="F71" s="565"/>
      <c r="G71" s="998"/>
      <c r="H71"/>
      <c r="I71"/>
      <c r="J71"/>
      <c r="K71"/>
      <c r="L71"/>
      <c r="M71"/>
      <c r="N71"/>
      <c r="O71" s="995"/>
      <c r="U71" s="567"/>
      <c r="AB71" s="567"/>
      <c r="AC71" s="567"/>
      <c r="AD71" s="567"/>
      <c r="AE71" s="567"/>
      <c r="BC71" s="569"/>
      <c r="BD71" s="569"/>
      <c r="BF71" s="114"/>
      <c r="BG71" s="114"/>
      <c r="BH71" s="114"/>
      <c r="BI71" s="114"/>
      <c r="BO71" s="86"/>
      <c r="BP71" s="114"/>
      <c r="BQ71" s="96">
        <v>29</v>
      </c>
      <c r="BR71" s="78"/>
      <c r="BS71" s="78"/>
      <c r="BT71" s="78"/>
      <c r="BU71" s="78"/>
      <c r="BV71" s="78"/>
      <c r="BW71" s="78"/>
      <c r="BX71" s="78"/>
      <c r="BY71" s="78"/>
      <c r="BZ71" s="78"/>
      <c r="CA71" s="78"/>
      <c r="CB71" s="78"/>
      <c r="CC71" s="78"/>
      <c r="CD71" s="78"/>
      <c r="CE71" s="78"/>
      <c r="CF71" s="78"/>
      <c r="CG71" s="78"/>
      <c r="CH71" s="78"/>
      <c r="CI71" s="115"/>
      <c r="CJ71" s="78"/>
      <c r="CK71" s="116"/>
      <c r="CL71" s="117" t="b">
        <f>IF(CT57=29,21)</f>
        <v>0</v>
      </c>
      <c r="CM71" s="111"/>
      <c r="CN71" s="111"/>
      <c r="CO71" s="111"/>
      <c r="CP71" s="111"/>
      <c r="CQ71" s="111"/>
      <c r="CR71" s="111"/>
      <c r="CS71" s="118"/>
      <c r="CT71" s="111"/>
      <c r="CU71" s="118"/>
      <c r="CV71" s="119"/>
      <c r="CW71" s="119"/>
      <c r="CX71" s="119"/>
      <c r="CY71" s="119"/>
      <c r="CZ71" s="119"/>
      <c r="DA71" s="119"/>
      <c r="DB71" s="103" t="b">
        <f>IF(CT57=29,37)</f>
        <v>0</v>
      </c>
      <c r="DC71" s="76"/>
      <c r="DD71" s="78"/>
      <c r="DE71" s="78"/>
    </row>
    <row r="72" spans="2:109" ht="21" hidden="1" thickBot="1" x14ac:dyDescent="0.25">
      <c r="B72" s="566"/>
      <c r="C72" s="566"/>
      <c r="D72" s="565"/>
      <c r="E72" s="565"/>
      <c r="F72" s="565"/>
      <c r="G72" s="998"/>
      <c r="H72"/>
      <c r="I72"/>
      <c r="J72"/>
      <c r="K72"/>
      <c r="L72"/>
      <c r="M72"/>
      <c r="N72"/>
      <c r="O72" s="995"/>
      <c r="U72" s="567"/>
      <c r="AB72" s="567"/>
      <c r="AC72" s="567"/>
      <c r="AD72" s="567"/>
      <c r="AE72" s="567"/>
      <c r="BC72" s="569"/>
      <c r="BD72" s="569"/>
      <c r="BF72" s="114"/>
      <c r="BG72" s="114"/>
      <c r="BH72" s="114"/>
      <c r="BI72" s="114"/>
      <c r="BO72" s="86"/>
      <c r="BP72" s="114"/>
      <c r="BQ72" s="96">
        <v>28</v>
      </c>
      <c r="BR72" s="78"/>
      <c r="BS72" s="78"/>
      <c r="BT72" s="78"/>
      <c r="BU72" s="78"/>
      <c r="BV72" s="78"/>
      <c r="BW72" s="78"/>
      <c r="BX72" s="78"/>
      <c r="BY72" s="78"/>
      <c r="BZ72" s="78"/>
      <c r="CA72" s="78"/>
      <c r="CB72" s="78"/>
      <c r="CC72" s="78"/>
      <c r="CD72" s="78"/>
      <c r="CE72" s="78"/>
      <c r="CF72" s="78"/>
      <c r="CG72" s="78"/>
      <c r="CH72" s="78"/>
      <c r="CI72" s="115"/>
      <c r="CJ72" s="78"/>
      <c r="CK72" s="116"/>
      <c r="CL72" s="120" t="b">
        <f>IF(CS57=28,21)</f>
        <v>0</v>
      </c>
      <c r="CM72" s="121"/>
      <c r="CN72" s="121"/>
      <c r="CO72" s="121"/>
      <c r="CP72" s="121"/>
      <c r="CQ72" s="122"/>
      <c r="CR72" s="121"/>
      <c r="CS72" s="121"/>
      <c r="CT72" s="121"/>
      <c r="CU72" s="122"/>
      <c r="CV72" s="123"/>
      <c r="CW72" s="123"/>
      <c r="CX72" s="123"/>
      <c r="CY72" s="123"/>
      <c r="CZ72" s="124" t="b">
        <f>IF(CS57=28,35)</f>
        <v>0</v>
      </c>
      <c r="DA72" s="76"/>
      <c r="DB72" s="76"/>
      <c r="DC72" s="76"/>
      <c r="DD72" s="78"/>
      <c r="DE72" s="78"/>
    </row>
    <row r="73" spans="2:109" ht="21" hidden="1" thickBot="1" x14ac:dyDescent="0.25">
      <c r="B73" s="566"/>
      <c r="C73" s="566"/>
      <c r="D73" s="565"/>
      <c r="E73" s="565"/>
      <c r="F73" s="565"/>
      <c r="G73" s="998"/>
      <c r="H73"/>
      <c r="I73"/>
      <c r="J73"/>
      <c r="K73"/>
      <c r="L73"/>
      <c r="M73"/>
      <c r="N73"/>
      <c r="O73" s="995"/>
      <c r="U73" s="567"/>
      <c r="AB73" s="567"/>
      <c r="AC73" s="567"/>
      <c r="AD73" s="567"/>
      <c r="AE73" s="567"/>
      <c r="BC73" s="569"/>
      <c r="BD73" s="569"/>
      <c r="BF73" s="114"/>
      <c r="BG73" s="114"/>
      <c r="BH73" s="114"/>
      <c r="BI73" s="114"/>
      <c r="BO73" s="86"/>
      <c r="BP73" s="114"/>
      <c r="BQ73" s="96">
        <v>27</v>
      </c>
      <c r="BR73" s="78"/>
      <c r="BS73" s="78"/>
      <c r="BT73" s="78"/>
      <c r="BU73" s="78"/>
      <c r="BV73" s="78"/>
      <c r="BW73" s="78"/>
      <c r="BX73" s="78"/>
      <c r="BY73" s="78"/>
      <c r="BZ73" s="78"/>
      <c r="CA73" s="78"/>
      <c r="CB73" s="78"/>
      <c r="CC73" s="78"/>
      <c r="CD73" s="78"/>
      <c r="CE73" s="78"/>
      <c r="CF73" s="78"/>
      <c r="CG73" s="78"/>
      <c r="CH73" s="78"/>
      <c r="CI73" s="115"/>
      <c r="CJ73" s="78"/>
      <c r="CK73" s="116"/>
      <c r="CL73" s="120" t="b">
        <f>IF(CR57=27,21)</f>
        <v>0</v>
      </c>
      <c r="CM73" s="121"/>
      <c r="CN73" s="121"/>
      <c r="CO73" s="122"/>
      <c r="CP73" s="121"/>
      <c r="CQ73" s="121"/>
      <c r="CR73" s="121"/>
      <c r="CS73" s="121"/>
      <c r="CT73" s="121"/>
      <c r="CU73" s="122"/>
      <c r="CV73" s="123"/>
      <c r="CW73" s="123"/>
      <c r="CX73" s="124" t="b">
        <f>IF(CR57=27,33)</f>
        <v>0</v>
      </c>
      <c r="CY73" s="76"/>
      <c r="CZ73" s="76"/>
      <c r="DA73" s="76"/>
      <c r="DB73" s="76"/>
      <c r="DC73" s="76"/>
      <c r="DD73" s="78"/>
      <c r="DE73" s="78"/>
    </row>
    <row r="74" spans="2:109" ht="21" hidden="1" thickBot="1" x14ac:dyDescent="0.25">
      <c r="B74" s="566"/>
      <c r="C74" s="566"/>
      <c r="D74" s="565"/>
      <c r="E74" s="565"/>
      <c r="F74" s="565"/>
      <c r="G74" s="998"/>
      <c r="H74"/>
      <c r="I74"/>
      <c r="J74"/>
      <c r="K74"/>
      <c r="L74"/>
      <c r="M74"/>
      <c r="N74"/>
      <c r="O74" s="995"/>
      <c r="U74" s="567"/>
      <c r="AB74" s="567"/>
      <c r="AC74" s="567"/>
      <c r="AD74" s="567"/>
      <c r="AE74" s="567"/>
      <c r="BC74" s="569"/>
      <c r="BD74" s="569"/>
      <c r="BO74" s="86"/>
      <c r="BQ74" s="96">
        <v>26</v>
      </c>
      <c r="BR74" s="78"/>
      <c r="BS74" s="78"/>
      <c r="BT74" s="78"/>
      <c r="BU74" s="78"/>
      <c r="BV74" s="78"/>
      <c r="BW74" s="78"/>
      <c r="BX74" s="78"/>
      <c r="BY74" s="78"/>
      <c r="BZ74" s="78"/>
      <c r="CA74" s="78"/>
      <c r="CB74" s="78"/>
      <c r="CC74" s="78"/>
      <c r="CD74" s="78"/>
      <c r="CE74" s="78"/>
      <c r="CF74" s="78"/>
      <c r="CG74" s="78"/>
      <c r="CH74" s="78"/>
      <c r="CI74" s="115"/>
      <c r="CJ74" s="78"/>
      <c r="CK74" s="116"/>
      <c r="CL74" s="120" t="b">
        <f>IF(CQ57=26,21)</f>
        <v>0</v>
      </c>
      <c r="CM74" s="122"/>
      <c r="CN74" s="121"/>
      <c r="CO74" s="121"/>
      <c r="CP74" s="121"/>
      <c r="CQ74" s="121"/>
      <c r="CR74" s="121"/>
      <c r="CS74" s="121"/>
      <c r="CT74" s="121"/>
      <c r="CU74" s="122"/>
      <c r="CV74" s="124" t="b">
        <f>IF(CQ57=26,31)</f>
        <v>0</v>
      </c>
      <c r="CW74" s="76"/>
      <c r="CX74" s="76"/>
      <c r="CY74" s="76"/>
      <c r="CZ74" s="76"/>
      <c r="DA74" s="76"/>
      <c r="DB74" s="76"/>
      <c r="DC74" s="76"/>
      <c r="DD74" s="78"/>
      <c r="DE74" s="78"/>
    </row>
    <row r="75" spans="2:109" ht="21" hidden="1" thickBot="1" x14ac:dyDescent="0.25">
      <c r="B75" s="566"/>
      <c r="C75" s="566"/>
      <c r="D75" s="565"/>
      <c r="E75" s="565"/>
      <c r="F75" s="565"/>
      <c r="G75" s="998"/>
      <c r="H75"/>
      <c r="I75"/>
      <c r="J75"/>
      <c r="K75"/>
      <c r="L75"/>
      <c r="M75"/>
      <c r="N75"/>
      <c r="O75" s="995"/>
      <c r="U75" s="567"/>
      <c r="AB75" s="567"/>
      <c r="AC75" s="567"/>
      <c r="AD75" s="567"/>
      <c r="AE75" s="567"/>
      <c r="BC75" s="569"/>
      <c r="BD75" s="569"/>
      <c r="BF75" s="126"/>
      <c r="BG75" s="126"/>
      <c r="BH75" s="126"/>
      <c r="BI75" s="126"/>
      <c r="BO75" s="86"/>
      <c r="BP75" s="126"/>
      <c r="BQ75" s="96">
        <v>25</v>
      </c>
      <c r="BR75" s="78"/>
      <c r="BS75" s="78"/>
      <c r="BT75" s="78"/>
      <c r="BU75" s="78"/>
      <c r="BV75" s="78"/>
      <c r="BW75" s="78"/>
      <c r="BX75" s="78"/>
      <c r="BY75" s="78"/>
      <c r="BZ75" s="78"/>
      <c r="CA75" s="78"/>
      <c r="CB75" s="78"/>
      <c r="CD75" s="78"/>
      <c r="CE75" s="78"/>
      <c r="CF75" s="78"/>
      <c r="CG75" s="78"/>
      <c r="CH75" s="78"/>
      <c r="CI75" s="115"/>
      <c r="CJ75" s="78"/>
      <c r="CL75" s="128" t="b">
        <f>IF(CP57=25,21)</f>
        <v>0</v>
      </c>
      <c r="CM75" s="121"/>
      <c r="CN75" s="121"/>
      <c r="CO75" s="121"/>
      <c r="CP75" s="121"/>
      <c r="CQ75" s="121"/>
      <c r="CR75" s="121"/>
      <c r="CS75" s="121"/>
      <c r="CT75" s="124" t="b">
        <f>IF(CP57=25,29)</f>
        <v>0</v>
      </c>
      <c r="CV75" s="76"/>
      <c r="CW75" s="76"/>
      <c r="CX75" s="76"/>
      <c r="CY75" s="76"/>
      <c r="CZ75" s="76"/>
      <c r="DA75" s="76"/>
      <c r="DB75" s="76"/>
      <c r="DC75" s="76"/>
      <c r="DD75" s="78"/>
      <c r="DE75" s="78"/>
    </row>
    <row r="76" spans="2:109" ht="21" hidden="1" thickBot="1" x14ac:dyDescent="0.25">
      <c r="B76" s="566"/>
      <c r="C76" s="566"/>
      <c r="D76" s="565"/>
      <c r="E76" s="565"/>
      <c r="F76" s="565"/>
      <c r="G76" s="998"/>
      <c r="H76"/>
      <c r="I76"/>
      <c r="J76"/>
      <c r="K76"/>
      <c r="L76"/>
      <c r="M76"/>
      <c r="N76"/>
      <c r="O76" s="995"/>
      <c r="U76" s="567"/>
      <c r="AB76" s="567"/>
      <c r="AC76" s="567"/>
      <c r="AD76" s="567"/>
      <c r="AE76" s="567"/>
      <c r="BC76" s="569"/>
      <c r="BD76" s="569"/>
      <c r="BF76" s="126"/>
      <c r="BG76" s="126"/>
      <c r="BH76" s="126"/>
      <c r="BI76" s="126"/>
      <c r="BO76" s="86"/>
      <c r="BP76" s="126"/>
      <c r="BQ76" s="96">
        <v>24</v>
      </c>
      <c r="BR76" s="78"/>
      <c r="BS76" s="78"/>
      <c r="BT76" s="78"/>
      <c r="BU76" s="78"/>
      <c r="BV76" s="78"/>
      <c r="BW76" s="78"/>
      <c r="BX76" s="78"/>
      <c r="BY76" s="78"/>
      <c r="BZ76" s="78"/>
      <c r="CA76" s="78"/>
      <c r="CB76" s="78"/>
      <c r="CC76" s="117" t="b">
        <f>IF(CO57=24,12)</f>
        <v>0</v>
      </c>
      <c r="CD76" s="111"/>
      <c r="CE76" s="111"/>
      <c r="CF76" s="111"/>
      <c r="CG76" s="111"/>
      <c r="CH76" s="111"/>
      <c r="CI76" s="118"/>
      <c r="CJ76" s="111"/>
      <c r="CK76" s="129"/>
      <c r="CL76" s="111"/>
      <c r="CM76" s="111"/>
      <c r="CN76" s="111"/>
      <c r="CO76" s="111"/>
      <c r="CP76" s="111"/>
      <c r="CQ76" s="111"/>
      <c r="CR76" s="111"/>
      <c r="CS76" s="111"/>
      <c r="CT76" s="111"/>
      <c r="CU76" s="118"/>
      <c r="CV76" s="119"/>
      <c r="CW76" s="119"/>
      <c r="CX76" s="119"/>
      <c r="CY76" s="119"/>
      <c r="CZ76" s="119"/>
      <c r="DA76" s="103" t="b">
        <f>IF(CO57=24,36)</f>
        <v>0</v>
      </c>
      <c r="DB76" s="76"/>
      <c r="DC76" s="76"/>
      <c r="DD76" s="78"/>
      <c r="DE76" s="78"/>
    </row>
    <row r="77" spans="2:109" ht="21" hidden="1" thickBot="1" x14ac:dyDescent="0.25">
      <c r="B77" s="588"/>
      <c r="C77" s="566"/>
      <c r="D77" s="565"/>
      <c r="E77" s="565"/>
      <c r="F77" s="565"/>
      <c r="G77" s="998"/>
      <c r="H77"/>
      <c r="I77"/>
      <c r="J77"/>
      <c r="K77"/>
      <c r="L77"/>
      <c r="M77"/>
      <c r="N77"/>
      <c r="O77" s="995"/>
      <c r="U77" s="567"/>
      <c r="AB77" s="567"/>
      <c r="AC77" s="567"/>
      <c r="AD77" s="567"/>
      <c r="AE77" s="567"/>
      <c r="BC77" s="569"/>
      <c r="BD77" s="569"/>
      <c r="BF77" s="126"/>
      <c r="BG77" s="126"/>
      <c r="BH77" s="126"/>
      <c r="BI77" s="126"/>
      <c r="BO77" s="86"/>
      <c r="BP77" s="126"/>
      <c r="BQ77" s="96">
        <v>23</v>
      </c>
      <c r="BR77" s="78"/>
      <c r="BS77" s="78"/>
      <c r="BT77" s="78"/>
      <c r="BU77" s="78"/>
      <c r="BV77" s="78"/>
      <c r="BW77" s="78"/>
      <c r="BX77" s="78"/>
      <c r="BY77" s="78"/>
      <c r="BZ77" s="78"/>
      <c r="CA77" s="78"/>
      <c r="CB77" s="78"/>
      <c r="CC77" s="120" t="b">
        <f>IF(CN57=23,12)</f>
        <v>0</v>
      </c>
      <c r="CD77" s="121"/>
      <c r="CE77" s="121"/>
      <c r="CF77" s="121"/>
      <c r="CG77" s="122"/>
      <c r="CH77" s="121"/>
      <c r="CI77" s="132"/>
      <c r="CJ77" s="121"/>
      <c r="CK77" s="133"/>
      <c r="CL77" s="121"/>
      <c r="CM77" s="121"/>
      <c r="CN77" s="121"/>
      <c r="CO77" s="121"/>
      <c r="CP77" s="121"/>
      <c r="CQ77" s="121"/>
      <c r="CR77" s="121"/>
      <c r="CS77" s="121"/>
      <c r="CT77" s="121"/>
      <c r="CU77" s="122"/>
      <c r="CV77" s="123"/>
      <c r="CW77" s="123"/>
      <c r="CX77" s="123"/>
      <c r="CY77" s="124" t="b">
        <f>IF(CN57=23,34)</f>
        <v>0</v>
      </c>
      <c r="CZ77" s="76"/>
      <c r="DA77" s="76"/>
      <c r="DB77" s="76"/>
      <c r="DC77" s="76"/>
      <c r="DD77" s="78"/>
      <c r="DE77" s="78"/>
    </row>
    <row r="78" spans="2:109" ht="21" hidden="1" thickBot="1" x14ac:dyDescent="0.25">
      <c r="B78" s="585"/>
      <c r="C78" s="566"/>
      <c r="D78" s="589"/>
      <c r="E78" s="589"/>
      <c r="F78" s="565"/>
      <c r="G78" s="998"/>
      <c r="H78"/>
      <c r="I78"/>
      <c r="J78"/>
      <c r="K78"/>
      <c r="L78"/>
      <c r="M78"/>
      <c r="N78"/>
      <c r="O78" s="995"/>
      <c r="U78" s="567"/>
      <c r="AB78" s="567"/>
      <c r="AC78" s="567"/>
      <c r="AD78" s="567"/>
      <c r="AE78" s="567"/>
      <c r="BC78" s="569"/>
      <c r="BD78" s="569"/>
      <c r="BF78" s="126"/>
      <c r="BG78" s="126"/>
      <c r="BH78" s="126"/>
      <c r="BI78" s="126"/>
      <c r="BO78" s="86"/>
      <c r="BP78" s="126"/>
      <c r="BQ78" s="96">
        <v>22</v>
      </c>
      <c r="BR78" s="76"/>
      <c r="BS78" s="76"/>
      <c r="BT78" s="76"/>
      <c r="BU78" s="76"/>
      <c r="BV78" s="76"/>
      <c r="BW78" s="76"/>
      <c r="BX78" s="76"/>
      <c r="BY78" s="76"/>
      <c r="BZ78" s="76"/>
      <c r="CA78" s="76"/>
      <c r="CB78" s="76"/>
      <c r="CC78" s="120" t="b">
        <f>IF(CM57=22,12)</f>
        <v>0</v>
      </c>
      <c r="CD78" s="123"/>
      <c r="CE78" s="123"/>
      <c r="CF78" s="123"/>
      <c r="CG78" s="122"/>
      <c r="CH78" s="123"/>
      <c r="CI78" s="134"/>
      <c r="CJ78" s="123"/>
      <c r="CK78" s="135"/>
      <c r="CL78" s="123"/>
      <c r="CM78" s="123"/>
      <c r="CN78" s="123"/>
      <c r="CO78" s="123"/>
      <c r="CP78" s="121"/>
      <c r="CQ78" s="121"/>
      <c r="CR78" s="122"/>
      <c r="CS78" s="121"/>
      <c r="CT78" s="121"/>
      <c r="CU78" s="121"/>
      <c r="CV78" s="121"/>
      <c r="CW78" s="124" t="b">
        <f>IF(CM57=22,32)</f>
        <v>0</v>
      </c>
      <c r="CX78" s="78"/>
      <c r="CY78" s="78"/>
      <c r="CZ78" s="78"/>
      <c r="DA78" s="78"/>
      <c r="DB78" s="78"/>
      <c r="DC78" s="78"/>
      <c r="DD78" s="78"/>
      <c r="DE78" s="78"/>
    </row>
    <row r="79" spans="2:109" ht="21" hidden="1" thickBot="1" x14ac:dyDescent="0.25">
      <c r="B79" s="566"/>
      <c r="C79" s="566"/>
      <c r="D79" s="565"/>
      <c r="E79" s="565"/>
      <c r="F79" s="565"/>
      <c r="G79" s="1008"/>
      <c r="H79"/>
      <c r="I79"/>
      <c r="J79"/>
      <c r="K79"/>
      <c r="L79"/>
      <c r="M79"/>
      <c r="N79"/>
      <c r="O79" s="995"/>
      <c r="U79" s="567"/>
      <c r="AB79" s="567"/>
      <c r="AC79" s="567"/>
      <c r="AD79" s="567"/>
      <c r="AE79" s="567"/>
      <c r="BC79" s="569"/>
      <c r="BD79" s="569"/>
      <c r="BF79" s="126"/>
      <c r="BG79" s="126"/>
      <c r="BH79" s="126"/>
      <c r="BI79" s="126"/>
      <c r="BO79" s="86"/>
      <c r="BP79" s="126"/>
      <c r="BQ79" s="96">
        <v>21</v>
      </c>
      <c r="BR79" s="78"/>
      <c r="BS79" s="78"/>
      <c r="BT79" s="78"/>
      <c r="BU79" s="78"/>
      <c r="BV79" s="78"/>
      <c r="BW79" s="78"/>
      <c r="BX79" s="78"/>
      <c r="BY79" s="78"/>
      <c r="BZ79" s="78"/>
      <c r="CA79" s="78"/>
      <c r="CB79" s="78"/>
      <c r="CC79" s="120" t="b">
        <f>IF(CL57=21,12)</f>
        <v>0</v>
      </c>
      <c r="CD79" s="121"/>
      <c r="CE79" s="121"/>
      <c r="CF79" s="121"/>
      <c r="CG79" s="121"/>
      <c r="CH79" s="121"/>
      <c r="CI79" s="132"/>
      <c r="CJ79" s="121"/>
      <c r="CK79" s="133"/>
      <c r="CL79" s="121"/>
      <c r="CM79" s="121"/>
      <c r="CN79" s="121"/>
      <c r="CO79" s="121"/>
      <c r="CP79" s="121"/>
      <c r="CQ79" s="121"/>
      <c r="CR79" s="121"/>
      <c r="CS79" s="121"/>
      <c r="CT79" s="121"/>
      <c r="CU79" s="124" t="b">
        <f>IF(CL57=21,30)</f>
        <v>0</v>
      </c>
      <c r="CV79" s="76"/>
      <c r="CW79" s="76"/>
      <c r="CX79" s="76"/>
      <c r="CY79" s="76"/>
      <c r="CZ79" s="76"/>
      <c r="DA79" s="76"/>
      <c r="DB79" s="76"/>
      <c r="DC79" s="76"/>
      <c r="DD79" s="78"/>
      <c r="DE79" s="78"/>
    </row>
    <row r="80" spans="2:109" ht="21" hidden="1" thickBot="1" x14ac:dyDescent="0.25">
      <c r="B80" s="566"/>
      <c r="C80" s="566"/>
      <c r="D80" s="565"/>
      <c r="E80" s="565"/>
      <c r="F80" s="565"/>
      <c r="G80" s="998"/>
      <c r="H80"/>
      <c r="I80"/>
      <c r="J80"/>
      <c r="K80"/>
      <c r="L80"/>
      <c r="M80"/>
      <c r="N80"/>
      <c r="O80" s="995"/>
      <c r="U80" s="567"/>
      <c r="AB80" s="567"/>
      <c r="AC80" s="567"/>
      <c r="AD80" s="567"/>
      <c r="AE80" s="567"/>
      <c r="BC80" s="569"/>
      <c r="BD80" s="569"/>
      <c r="BF80" s="136"/>
      <c r="BG80" s="136"/>
      <c r="BH80" s="136"/>
      <c r="BI80" s="136"/>
      <c r="BO80" s="86"/>
      <c r="BP80" s="1091"/>
      <c r="BQ80" s="96">
        <v>20</v>
      </c>
      <c r="BR80" s="78"/>
      <c r="BS80" s="78"/>
      <c r="BT80" s="78"/>
      <c r="BU80" s="78"/>
      <c r="BV80" s="78"/>
      <c r="BW80" s="78"/>
      <c r="BX80" s="78"/>
      <c r="BY80" s="78"/>
      <c r="CB80" s="137"/>
      <c r="CC80" s="117" t="b">
        <f>IF(CK57=20,12)</f>
        <v>0</v>
      </c>
      <c r="CD80" s="111"/>
      <c r="CE80" s="111"/>
      <c r="CF80" s="111"/>
      <c r="CG80" s="111"/>
      <c r="CH80" s="111"/>
      <c r="CI80" s="138"/>
      <c r="CJ80" s="111"/>
      <c r="CK80" s="129"/>
      <c r="CL80" s="111"/>
      <c r="CM80" s="111"/>
      <c r="CN80" s="111"/>
      <c r="CO80" s="111"/>
      <c r="CP80" s="111"/>
      <c r="CQ80" s="111"/>
      <c r="CR80" s="111"/>
      <c r="CS80" s="103" t="b">
        <f>IF(CK57=20,28)</f>
        <v>0</v>
      </c>
      <c r="CT80" s="137"/>
      <c r="CV80" s="76"/>
      <c r="CW80" s="76"/>
      <c r="CX80" s="76"/>
      <c r="CY80" s="76"/>
      <c r="CZ80" s="76"/>
      <c r="DA80" s="76"/>
      <c r="DB80" s="76"/>
      <c r="DC80" s="76"/>
      <c r="DD80" s="78"/>
      <c r="DE80" s="78"/>
    </row>
    <row r="81" spans="2:109" ht="21" hidden="1" thickBot="1" x14ac:dyDescent="0.25">
      <c r="B81" s="590"/>
      <c r="C81" s="591"/>
      <c r="D81" s="592"/>
      <c r="E81" s="590"/>
      <c r="F81" s="565"/>
      <c r="G81" s="998"/>
      <c r="H81"/>
      <c r="I81"/>
      <c r="J81"/>
      <c r="K81"/>
      <c r="L81"/>
      <c r="M81"/>
      <c r="N81"/>
      <c r="O81" s="995"/>
      <c r="U81" s="567"/>
      <c r="AB81" s="567"/>
      <c r="AC81" s="567"/>
      <c r="AD81" s="567"/>
      <c r="AE81" s="567"/>
      <c r="BC81" s="569"/>
      <c r="BD81" s="569"/>
      <c r="BF81" s="136"/>
      <c r="BG81" s="136"/>
      <c r="BH81" s="136"/>
      <c r="BI81" s="136"/>
      <c r="BO81" s="86"/>
      <c r="BP81" s="1091"/>
      <c r="BQ81" s="96">
        <v>19</v>
      </c>
      <c r="BR81" s="78"/>
      <c r="BS81" s="78"/>
      <c r="BT81" s="78"/>
      <c r="BU81" s="78"/>
      <c r="BV81" s="78"/>
      <c r="BW81" s="78"/>
      <c r="BX81" s="78"/>
      <c r="BY81" s="78"/>
      <c r="CA81" s="139"/>
      <c r="CB81" s="139"/>
      <c r="CC81" s="117" t="b">
        <f>IF(CJ57=19,12)</f>
        <v>0</v>
      </c>
      <c r="CD81" s="119"/>
      <c r="CE81" s="119"/>
      <c r="CF81" s="118"/>
      <c r="CG81" s="119"/>
      <c r="CH81" s="119"/>
      <c r="CI81" s="140"/>
      <c r="CJ81" s="119"/>
      <c r="CK81" s="141"/>
      <c r="CL81" s="118"/>
      <c r="CM81" s="119"/>
      <c r="CN81" s="119"/>
      <c r="CO81" s="119"/>
      <c r="CP81" s="111"/>
      <c r="CQ81" s="103" t="b">
        <f>IF(CJ57=19,26)</f>
        <v>0</v>
      </c>
      <c r="CR81" s="142"/>
      <c r="CS81" s="137"/>
      <c r="CU81" s="78"/>
      <c r="CV81" s="78"/>
      <c r="CW81" s="78"/>
      <c r="CX81" s="78"/>
      <c r="CY81" s="78"/>
      <c r="CZ81" s="78"/>
      <c r="DA81" s="78"/>
      <c r="DB81" s="78"/>
      <c r="DC81" s="78"/>
      <c r="DD81" s="78"/>
      <c r="DE81" s="78"/>
    </row>
    <row r="82" spans="2:109" ht="21" hidden="1" thickBot="1" x14ac:dyDescent="0.25">
      <c r="F82" s="565"/>
      <c r="G82" s="998"/>
      <c r="H82"/>
      <c r="I82"/>
      <c r="J82"/>
      <c r="K82"/>
      <c r="L82"/>
      <c r="M82"/>
      <c r="N82"/>
      <c r="O82" s="995"/>
      <c r="U82" s="567"/>
      <c r="AB82" s="567"/>
      <c r="AC82" s="567"/>
      <c r="AD82" s="567"/>
      <c r="AE82" s="567"/>
      <c r="BC82" s="569"/>
      <c r="BD82" s="569"/>
      <c r="BF82" s="136"/>
      <c r="BG82" s="136"/>
      <c r="BH82" s="136"/>
      <c r="BI82" s="136"/>
      <c r="BO82" s="86"/>
      <c r="BP82" s="1091"/>
      <c r="BQ82" s="96">
        <v>18</v>
      </c>
      <c r="BR82" s="76"/>
      <c r="BS82" s="76"/>
      <c r="BT82" s="76"/>
      <c r="BU82" s="76"/>
      <c r="BV82" s="76"/>
      <c r="BW82" s="76"/>
      <c r="BX82" s="76"/>
      <c r="BY82" s="76"/>
      <c r="CA82" s="117" t="b">
        <f>IF(CI57=18,10)</f>
        <v>0</v>
      </c>
      <c r="CB82" s="119"/>
      <c r="CC82" s="119"/>
      <c r="CD82" s="119"/>
      <c r="CE82" s="119"/>
      <c r="CF82" s="118"/>
      <c r="CG82" s="119"/>
      <c r="CH82" s="119"/>
      <c r="CI82" s="140"/>
      <c r="CJ82" s="119"/>
      <c r="CK82" s="141"/>
      <c r="CL82" s="118"/>
      <c r="CM82" s="119"/>
      <c r="CN82" s="119"/>
      <c r="CO82" s="119"/>
      <c r="CP82" s="111"/>
      <c r="CQ82" s="103" t="b">
        <f>IF(CI57=18,26)</f>
        <v>0</v>
      </c>
      <c r="CS82" s="78"/>
      <c r="CT82" s="78"/>
      <c r="CU82" s="78"/>
      <c r="CV82" s="78"/>
      <c r="CW82" s="78"/>
      <c r="CX82" s="78"/>
      <c r="CY82" s="78"/>
      <c r="CZ82" s="78"/>
      <c r="DA82" s="78"/>
      <c r="DB82" s="78"/>
      <c r="DC82" s="78"/>
      <c r="DD82" s="78"/>
      <c r="DE82" s="78"/>
    </row>
    <row r="83" spans="2:109" ht="21" hidden="1" thickBot="1" x14ac:dyDescent="0.25">
      <c r="F83" s="565"/>
      <c r="G83" s="998"/>
      <c r="H83"/>
      <c r="I83"/>
      <c r="J83"/>
      <c r="K83" s="988">
        <v>5</v>
      </c>
      <c r="L83"/>
      <c r="M83" s="988">
        <v>51</v>
      </c>
      <c r="N83"/>
      <c r="O83" s="995"/>
      <c r="U83" s="567"/>
      <c r="AB83" s="567"/>
      <c r="AC83" s="567"/>
      <c r="AD83" s="567"/>
      <c r="AE83" s="567"/>
      <c r="BC83" s="569"/>
      <c r="BD83" s="569"/>
      <c r="BF83" s="136"/>
      <c r="BG83" s="136"/>
      <c r="BH83" s="136"/>
      <c r="BI83" s="136"/>
      <c r="BO83" s="86"/>
      <c r="BP83" s="1091"/>
      <c r="BQ83" s="96">
        <v>17</v>
      </c>
      <c r="BR83" s="76"/>
      <c r="BS83" s="76"/>
      <c r="BT83" s="76"/>
      <c r="BU83" s="76"/>
      <c r="BV83" s="76"/>
      <c r="BW83" s="76"/>
      <c r="BX83" s="76"/>
      <c r="BY83" s="117">
        <f>IF(CH57=17,8)</f>
        <v>8</v>
      </c>
      <c r="BZ83" s="118"/>
      <c r="CA83" s="118"/>
      <c r="CB83" s="119"/>
      <c r="CC83" s="119"/>
      <c r="CD83" s="119"/>
      <c r="CE83" s="119"/>
      <c r="CF83" s="119"/>
      <c r="CG83" s="119"/>
      <c r="CH83" s="119"/>
      <c r="CI83" s="140"/>
      <c r="CJ83" s="119"/>
      <c r="CK83" s="141"/>
      <c r="CL83" s="119"/>
      <c r="CM83" s="119"/>
      <c r="CN83" s="119"/>
      <c r="CO83" s="118"/>
      <c r="CP83" s="118"/>
      <c r="CQ83" s="103">
        <f>IF(CH57=17,26)</f>
        <v>26</v>
      </c>
      <c r="CR83" s="78"/>
      <c r="CS83" s="78"/>
      <c r="CT83" s="78"/>
      <c r="CU83" s="78"/>
      <c r="CV83" s="78"/>
      <c r="CW83" s="78"/>
      <c r="CX83" s="78"/>
      <c r="CY83" s="78"/>
      <c r="CZ83" s="78"/>
      <c r="DA83" s="78"/>
      <c r="DB83" s="78"/>
      <c r="DC83" s="78"/>
      <c r="DD83" s="78"/>
      <c r="DE83" s="78"/>
    </row>
    <row r="84" spans="2:109" ht="85" hidden="1" thickBot="1" x14ac:dyDescent="0.25">
      <c r="B84" s="68"/>
      <c r="C84" s="566"/>
      <c r="E84" s="68"/>
      <c r="F84" s="565"/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U84" s="567"/>
      <c r="AB84" s="567"/>
      <c r="AC84" s="567"/>
      <c r="AD84" s="567"/>
      <c r="AE84" s="567"/>
      <c r="BC84" s="569"/>
      <c r="BD84" s="569"/>
      <c r="BF84" s="136"/>
      <c r="BG84" s="136"/>
      <c r="BH84" s="136"/>
      <c r="BI84" s="136"/>
      <c r="BO84" s="86"/>
      <c r="BP84" s="1091"/>
      <c r="BQ84" s="96">
        <v>16</v>
      </c>
      <c r="BR84" s="76"/>
      <c r="BS84" s="76"/>
      <c r="BT84" s="76"/>
      <c r="BU84" s="76"/>
      <c r="BV84" s="76"/>
      <c r="BW84" s="145" t="b">
        <f>IF(CG57=16,6)</f>
        <v>0</v>
      </c>
      <c r="BX84" s="146"/>
      <c r="BY84" s="147"/>
      <c r="BZ84" s="147"/>
      <c r="CA84" s="146"/>
      <c r="CB84" s="146"/>
      <c r="CC84" s="146"/>
      <c r="CD84" s="146"/>
      <c r="CE84" s="146"/>
      <c r="CF84" s="146"/>
      <c r="CG84" s="146"/>
      <c r="CH84" s="146"/>
      <c r="CI84" s="148"/>
      <c r="CJ84" s="146"/>
      <c r="CK84" s="149"/>
      <c r="CL84" s="146"/>
      <c r="CM84" s="146"/>
      <c r="CN84" s="147"/>
      <c r="CO84" s="147"/>
      <c r="CP84" s="150"/>
      <c r="CQ84" s="151" t="b">
        <f>IF(CG57=16,26)</f>
        <v>0</v>
      </c>
      <c r="CR84" s="78"/>
      <c r="CS84" s="78"/>
      <c r="CT84" s="78"/>
      <c r="CU84" s="78"/>
      <c r="CV84" s="78"/>
      <c r="CW84" s="78"/>
      <c r="CX84" s="78"/>
      <c r="CY84" s="78"/>
      <c r="CZ84" s="78"/>
      <c r="DA84" s="78"/>
      <c r="DB84" s="78"/>
      <c r="DC84" s="78"/>
      <c r="DD84" s="78"/>
      <c r="DE84" s="78"/>
    </row>
    <row r="85" spans="2:109" ht="121" hidden="1" thickBot="1" x14ac:dyDescent="0.3">
      <c r="D85" s="593"/>
      <c r="F85" s="565"/>
      <c r="G85" s="998"/>
      <c r="H85"/>
      <c r="I85"/>
      <c r="J85" s="1087" t="s">
        <v>264</v>
      </c>
      <c r="K85" s="1080">
        <f>+MIN(J19:K20)</f>
        <v>60.01500375093773</v>
      </c>
      <c r="L85" s="1081">
        <f>+$F$13/(BR25)</f>
        <v>60.01500375093773</v>
      </c>
      <c r="M85" s="1081">
        <f>+MIN(K25:L26)</f>
        <v>60.01500375093773</v>
      </c>
      <c r="N85"/>
      <c r="O85" s="995"/>
      <c r="U85" s="567"/>
      <c r="AB85" s="567"/>
      <c r="AC85" s="567"/>
      <c r="AD85" s="567"/>
      <c r="AE85" s="567"/>
      <c r="BC85" s="569"/>
      <c r="BD85" s="569"/>
      <c r="BF85" s="136"/>
      <c r="BG85" s="136"/>
      <c r="BH85" s="136"/>
      <c r="BI85" s="136"/>
      <c r="BO85" s="86"/>
      <c r="BP85" s="1091"/>
      <c r="BQ85" s="96">
        <v>15</v>
      </c>
      <c r="BR85" s="76"/>
      <c r="BS85" s="76"/>
      <c r="BT85" s="76"/>
      <c r="BU85" s="117" t="b">
        <f>IF(CF57=15,4)</f>
        <v>0</v>
      </c>
      <c r="BV85" s="119"/>
      <c r="BW85" s="119"/>
      <c r="BX85" s="119"/>
      <c r="BY85" s="118"/>
      <c r="BZ85" s="119"/>
      <c r="CA85" s="119"/>
      <c r="CB85" s="118"/>
      <c r="CC85" s="119"/>
      <c r="CD85" s="119"/>
      <c r="CE85" s="119"/>
      <c r="CF85" s="119"/>
      <c r="CG85" s="119"/>
      <c r="CH85" s="119"/>
      <c r="CI85" s="140"/>
      <c r="CJ85" s="118"/>
      <c r="CK85" s="141"/>
      <c r="CL85" s="119"/>
      <c r="CM85" s="118"/>
      <c r="CN85" s="119"/>
      <c r="CO85" s="119"/>
      <c r="CP85" s="111"/>
      <c r="CQ85" s="103" t="b">
        <f>IF(CF57=15,26)</f>
        <v>0</v>
      </c>
      <c r="CR85" s="78"/>
      <c r="CS85" s="78"/>
      <c r="CT85" s="78"/>
      <c r="CU85" s="78"/>
      <c r="CV85" s="78"/>
      <c r="CW85" s="78"/>
      <c r="CX85" s="78"/>
      <c r="CY85" s="78"/>
      <c r="CZ85" s="78"/>
      <c r="DA85" s="78"/>
      <c r="DB85" s="78"/>
      <c r="DC85" s="78"/>
      <c r="DD85" s="78"/>
      <c r="DE85" s="78"/>
    </row>
    <row r="86" spans="2:109" ht="21" hidden="1" thickBot="1" x14ac:dyDescent="0.25">
      <c r="D86" s="593"/>
      <c r="F86" s="565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U86" s="567"/>
      <c r="AB86" s="567"/>
      <c r="AC86" s="567"/>
      <c r="AD86" s="567"/>
      <c r="AE86" s="567"/>
      <c r="BC86" s="569"/>
      <c r="BD86" s="569"/>
      <c r="BF86" s="136"/>
      <c r="BG86" s="136"/>
      <c r="BH86" s="136"/>
      <c r="BI86" s="136"/>
      <c r="BO86" s="86"/>
      <c r="BP86" s="1091"/>
      <c r="BQ86" s="96">
        <v>14</v>
      </c>
      <c r="BR86" s="76"/>
      <c r="BS86" s="117" t="b">
        <f>IF(CE57=14,2)</f>
        <v>0</v>
      </c>
      <c r="BT86" s="119"/>
      <c r="BU86" s="119"/>
      <c r="BV86" s="119"/>
      <c r="BW86" s="118"/>
      <c r="BX86" s="119"/>
      <c r="BY86" s="119"/>
      <c r="BZ86" s="118"/>
      <c r="CA86" s="119"/>
      <c r="CB86" s="119"/>
      <c r="CC86" s="119"/>
      <c r="CD86" s="119"/>
      <c r="CE86" s="119"/>
      <c r="CF86" s="119"/>
      <c r="CG86" s="119"/>
      <c r="CH86" s="119"/>
      <c r="CI86" s="140"/>
      <c r="CJ86" s="118"/>
      <c r="CK86" s="141"/>
      <c r="CL86" s="119"/>
      <c r="CM86" s="118"/>
      <c r="CN86" s="119"/>
      <c r="CO86" s="119"/>
      <c r="CP86" s="111"/>
      <c r="CQ86" s="103" t="b">
        <f>IF(CE57=14,26)</f>
        <v>0</v>
      </c>
      <c r="CR86" s="78"/>
      <c r="CS86" s="78"/>
      <c r="CT86" s="78"/>
      <c r="CU86" s="78"/>
      <c r="CV86" s="78"/>
      <c r="CW86" s="78"/>
      <c r="CX86" s="78"/>
      <c r="CY86" s="78"/>
      <c r="CZ86" s="78"/>
      <c r="DA86" s="78"/>
      <c r="DB86" s="78"/>
      <c r="DC86" s="78"/>
      <c r="DD86" s="78"/>
      <c r="DE86" s="78"/>
    </row>
    <row r="87" spans="2:109" ht="21" hidden="1" thickBot="1" x14ac:dyDescent="0.25">
      <c r="B87" s="594"/>
      <c r="C87" s="594"/>
      <c r="D87" s="594"/>
      <c r="E87" s="594"/>
      <c r="F87" s="565"/>
      <c r="G87" s="998"/>
      <c r="H87"/>
      <c r="I87"/>
      <c r="J87"/>
      <c r="K87"/>
      <c r="L87"/>
      <c r="M87"/>
      <c r="N87"/>
      <c r="O87" s="995"/>
      <c r="U87" s="567"/>
      <c r="AB87" s="567"/>
      <c r="AC87" s="567"/>
      <c r="AD87" s="567"/>
      <c r="AE87" s="567"/>
      <c r="BC87" s="569"/>
      <c r="BD87" s="569"/>
      <c r="BF87" s="136"/>
      <c r="BG87" s="136"/>
      <c r="BH87" s="136"/>
      <c r="BI87" s="136"/>
      <c r="BO87" s="86"/>
      <c r="BP87" s="1091"/>
      <c r="BQ87" s="96">
        <v>13</v>
      </c>
      <c r="BR87" s="76"/>
      <c r="BS87" s="76"/>
      <c r="BT87" s="76"/>
      <c r="BV87" s="152"/>
      <c r="BW87" s="152"/>
      <c r="BX87" s="91"/>
      <c r="BY87" s="152"/>
      <c r="BZ87" s="120" t="b">
        <f>IF(CD57=13,9)</f>
        <v>0</v>
      </c>
      <c r="CA87" s="123"/>
      <c r="CB87" s="123"/>
      <c r="CC87" s="123"/>
      <c r="CD87" s="123"/>
      <c r="CE87" s="123"/>
      <c r="CF87" s="123"/>
      <c r="CG87" s="123"/>
      <c r="CH87" s="124" t="b">
        <f>IF(CD57=13,17)</f>
        <v>0</v>
      </c>
      <c r="CI87" s="153"/>
      <c r="CJ87" s="91"/>
      <c r="CK87" s="154"/>
      <c r="CL87" s="152"/>
      <c r="CN87" s="76"/>
      <c r="CO87" s="76"/>
      <c r="CP87" s="78"/>
      <c r="CQ87" s="78"/>
      <c r="CR87" s="78"/>
      <c r="CS87" s="78"/>
      <c r="CT87" s="78"/>
      <c r="CU87" s="78"/>
      <c r="CV87" s="78"/>
      <c r="CW87" s="78"/>
      <c r="CX87" s="78"/>
      <c r="CY87" s="78"/>
      <c r="CZ87" s="78"/>
      <c r="DA87" s="78"/>
      <c r="DB87" s="78"/>
      <c r="DC87" s="78"/>
      <c r="DD87" s="78"/>
      <c r="DE87" s="78"/>
    </row>
    <row r="88" spans="2:109" ht="21" hidden="1" thickBot="1" x14ac:dyDescent="0.25">
      <c r="B88" s="595"/>
      <c r="D88" s="595"/>
      <c r="E88" s="595"/>
      <c r="F88" s="565"/>
      <c r="G88" s="998"/>
      <c r="H88"/>
      <c r="I88"/>
      <c r="J88"/>
      <c r="K88"/>
      <c r="L88"/>
      <c r="M88"/>
      <c r="N88"/>
      <c r="O88" s="995"/>
      <c r="U88" s="567"/>
      <c r="AB88" s="567"/>
      <c r="AC88" s="567"/>
      <c r="AD88" s="567"/>
      <c r="AE88" s="567"/>
      <c r="BC88" s="569"/>
      <c r="BD88" s="569"/>
      <c r="BF88" s="136"/>
      <c r="BG88" s="136"/>
      <c r="BH88" s="136"/>
      <c r="BI88" s="136"/>
      <c r="BO88" s="86"/>
      <c r="BP88" s="1091"/>
      <c r="BQ88" s="96">
        <v>12</v>
      </c>
      <c r="BR88" s="76"/>
      <c r="BT88" s="139"/>
      <c r="BU88" s="139"/>
      <c r="BV88" s="142"/>
      <c r="BW88" s="139"/>
      <c r="BX88" s="117" t="b">
        <f>IF(CC57=12,7)</f>
        <v>0</v>
      </c>
      <c r="BY88" s="119"/>
      <c r="BZ88" s="119"/>
      <c r="CA88" s="119"/>
      <c r="CB88" s="119"/>
      <c r="CC88" s="119"/>
      <c r="CD88" s="119"/>
      <c r="CE88" s="119"/>
      <c r="CF88" s="119"/>
      <c r="CG88" s="119"/>
      <c r="CH88" s="103" t="b">
        <f>IF(CC57=12,17)</f>
        <v>0</v>
      </c>
      <c r="CI88" s="155"/>
      <c r="CJ88" s="142"/>
      <c r="CK88" s="156"/>
      <c r="CL88" s="139"/>
      <c r="CN88" s="76"/>
      <c r="CO88" s="76"/>
      <c r="CP88" s="78"/>
      <c r="CQ88" s="78"/>
      <c r="CR88" s="78"/>
      <c r="CS88" s="78"/>
      <c r="CT88" s="78"/>
      <c r="CU88" s="78"/>
      <c r="CV88" s="78"/>
      <c r="CW88" s="78"/>
      <c r="CX88" s="78"/>
      <c r="CY88" s="78"/>
      <c r="CZ88" s="78"/>
      <c r="DA88" s="78"/>
      <c r="DB88" s="78"/>
      <c r="DC88" s="78"/>
      <c r="DD88" s="78"/>
      <c r="DE88" s="78"/>
    </row>
    <row r="89" spans="2:109" ht="21" hidden="1" thickBot="1" x14ac:dyDescent="0.25">
      <c r="B89" s="596"/>
      <c r="C89" s="566"/>
      <c r="D89" s="596"/>
      <c r="E89" s="596"/>
      <c r="F89" s="565"/>
      <c r="G89" s="998"/>
      <c r="H89"/>
      <c r="I89"/>
      <c r="J89"/>
      <c r="K89"/>
      <c r="L89"/>
      <c r="M89"/>
      <c r="N89"/>
      <c r="O89" s="995"/>
      <c r="U89" s="567"/>
      <c r="AB89" s="567"/>
      <c r="AC89" s="567"/>
      <c r="AD89" s="567"/>
      <c r="AE89" s="567"/>
      <c r="BC89" s="569"/>
      <c r="BD89" s="569"/>
      <c r="BF89" s="136"/>
      <c r="BG89" s="136"/>
      <c r="BH89" s="136"/>
      <c r="BI89" s="136"/>
      <c r="BO89" s="86"/>
      <c r="BP89" s="1091"/>
      <c r="BQ89" s="96">
        <v>11</v>
      </c>
      <c r="BS89" s="152"/>
      <c r="BT89" s="91"/>
      <c r="BU89" s="152"/>
      <c r="BV89" s="117" t="b">
        <f>IF(CB57=11,5)</f>
        <v>0</v>
      </c>
      <c r="BW89" s="119"/>
      <c r="BX89" s="119"/>
      <c r="BY89" s="119"/>
      <c r="BZ89" s="119"/>
      <c r="CA89" s="119"/>
      <c r="CB89" s="119"/>
      <c r="CC89" s="119"/>
      <c r="CD89" s="119"/>
      <c r="CE89" s="119"/>
      <c r="CF89" s="119"/>
      <c r="CG89" s="119"/>
      <c r="CH89" s="103" t="b">
        <f>IF(CB57=11,17)</f>
        <v>0</v>
      </c>
      <c r="CI89" s="153"/>
      <c r="CJ89" s="91"/>
      <c r="CK89" s="154"/>
      <c r="CM89" s="76"/>
      <c r="CN89" s="76"/>
      <c r="CO89" s="76"/>
      <c r="CP89" s="78"/>
      <c r="CQ89" s="78"/>
      <c r="CR89" s="78"/>
      <c r="CS89" s="78"/>
      <c r="CT89" s="78"/>
      <c r="CU89" s="78"/>
      <c r="CV89" s="78"/>
      <c r="CW89" s="78"/>
      <c r="CX89" s="78"/>
      <c r="CY89" s="78"/>
      <c r="CZ89" s="78"/>
      <c r="DA89" s="78"/>
      <c r="DB89" s="78"/>
      <c r="DC89" s="78"/>
      <c r="DD89" s="78"/>
      <c r="DE89" s="78"/>
    </row>
    <row r="90" spans="2:109" ht="21" hidden="1" thickBot="1" x14ac:dyDescent="0.25">
      <c r="B90" s="597"/>
      <c r="C90" s="597"/>
      <c r="D90" s="598"/>
      <c r="E90" s="598"/>
      <c r="F90" s="598"/>
      <c r="G90" s="998"/>
      <c r="H90"/>
      <c r="I90"/>
      <c r="J90"/>
      <c r="K90"/>
      <c r="L90"/>
      <c r="M90"/>
      <c r="N90"/>
      <c r="O90" s="995"/>
      <c r="BC90" s="569"/>
      <c r="BD90" s="569"/>
      <c r="BF90" s="136"/>
      <c r="BG90" s="136"/>
      <c r="BH90" s="136"/>
      <c r="BI90" s="136"/>
      <c r="BO90" s="86"/>
      <c r="BP90" s="1091"/>
      <c r="BQ90" s="96">
        <v>10</v>
      </c>
      <c r="BS90" s="152"/>
      <c r="BT90" s="117" t="b">
        <f>IF(CA57=10,3)</f>
        <v>0</v>
      </c>
      <c r="BU90" s="119"/>
      <c r="BV90" s="119"/>
      <c r="BW90" s="119"/>
      <c r="BX90" s="119"/>
      <c r="BY90" s="119"/>
      <c r="BZ90" s="119"/>
      <c r="CA90" s="119"/>
      <c r="CB90" s="119"/>
      <c r="CC90" s="119"/>
      <c r="CD90" s="119"/>
      <c r="CE90" s="119"/>
      <c r="CF90" s="119"/>
      <c r="CG90" s="119"/>
      <c r="CH90" s="103" t="b">
        <f>IF(CA57=10,17)</f>
        <v>0</v>
      </c>
      <c r="CI90" s="153"/>
      <c r="CK90" s="157"/>
      <c r="CL90" s="76"/>
      <c r="CM90" s="76"/>
      <c r="CN90" s="76"/>
      <c r="CO90" s="76"/>
      <c r="CP90" s="78"/>
      <c r="CQ90" s="78"/>
      <c r="CR90" s="78"/>
      <c r="CS90" s="78"/>
      <c r="CT90" s="78"/>
      <c r="CU90" s="78"/>
      <c r="CV90" s="78"/>
      <c r="CW90" s="78"/>
      <c r="CX90" s="78"/>
      <c r="CY90" s="78"/>
      <c r="CZ90" s="78"/>
      <c r="DA90" s="78"/>
      <c r="DB90" s="78"/>
      <c r="DC90" s="78"/>
      <c r="DD90" s="78"/>
      <c r="DE90" s="78"/>
    </row>
    <row r="91" spans="2:109" ht="21" hidden="1" thickBot="1" x14ac:dyDescent="0.25">
      <c r="G91" s="998"/>
      <c r="H91"/>
      <c r="I91"/>
      <c r="J91"/>
      <c r="K91"/>
      <c r="L91"/>
      <c r="M91"/>
      <c r="N91"/>
      <c r="O91" s="995"/>
      <c r="AZ91" s="599"/>
      <c r="BC91" s="600"/>
      <c r="BD91" s="600"/>
      <c r="BG91" s="136"/>
      <c r="BH91" s="136"/>
      <c r="BI91" s="136"/>
      <c r="BO91" s="86"/>
      <c r="BP91" s="1091"/>
      <c r="BQ91" s="96">
        <v>9</v>
      </c>
      <c r="BR91" s="117" t="b">
        <f>IF(BZ57=9,1)</f>
        <v>0</v>
      </c>
      <c r="BS91" s="119"/>
      <c r="BT91" s="119"/>
      <c r="BU91" s="119"/>
      <c r="BV91" s="119"/>
      <c r="BW91" s="119"/>
      <c r="BX91" s="119"/>
      <c r="BY91" s="119"/>
      <c r="BZ91" s="119"/>
      <c r="CA91" s="119"/>
      <c r="CB91" s="119"/>
      <c r="CC91" s="119"/>
      <c r="CD91" s="119"/>
      <c r="CE91" s="119"/>
      <c r="CF91" s="119"/>
      <c r="CG91" s="119"/>
      <c r="CH91" s="103" t="b">
        <f>IF(BZ57=9,17)</f>
        <v>0</v>
      </c>
      <c r="CI91" s="76"/>
      <c r="CJ91" s="76"/>
      <c r="CK91" s="157"/>
      <c r="CL91" s="76"/>
      <c r="CM91" s="76"/>
      <c r="CN91" s="76"/>
      <c r="CO91" s="76"/>
      <c r="CP91" s="78"/>
      <c r="CQ91" s="78"/>
      <c r="CR91" s="78"/>
      <c r="CS91" s="78"/>
      <c r="CT91" s="78"/>
      <c r="CU91" s="78"/>
      <c r="CV91" s="78"/>
      <c r="CW91" s="78"/>
      <c r="CX91" s="78"/>
      <c r="CY91" s="78"/>
      <c r="CZ91" s="78"/>
      <c r="DA91" s="78"/>
      <c r="DB91" s="78"/>
      <c r="DC91" s="78"/>
      <c r="DD91" s="78"/>
      <c r="DE91" s="78"/>
    </row>
    <row r="92" spans="2:109" ht="21" hidden="1" thickBot="1" x14ac:dyDescent="0.25">
      <c r="G92" s="998"/>
      <c r="H92"/>
      <c r="I92"/>
      <c r="J92"/>
      <c r="K92"/>
      <c r="L92"/>
      <c r="M92"/>
      <c r="N92"/>
      <c r="O92" s="995"/>
      <c r="BC92" s="600"/>
      <c r="BD92" s="600"/>
      <c r="BF92" s="136"/>
      <c r="BG92" s="136"/>
      <c r="BH92" s="136"/>
      <c r="BI92" s="136"/>
      <c r="BO92" s="86"/>
      <c r="BP92" s="1091"/>
      <c r="BQ92" s="96">
        <v>8</v>
      </c>
      <c r="BR92" s="117" t="b">
        <f>IF(BY57=8,1)</f>
        <v>0</v>
      </c>
      <c r="BS92" s="119"/>
      <c r="BT92" s="118"/>
      <c r="BU92" s="119"/>
      <c r="BV92" s="119"/>
      <c r="BW92" s="119"/>
      <c r="BX92" s="119"/>
      <c r="BY92" s="119"/>
      <c r="BZ92" s="119"/>
      <c r="CA92" s="119"/>
      <c r="CB92" s="119"/>
      <c r="CC92" s="119"/>
      <c r="CD92" s="118"/>
      <c r="CE92" s="119"/>
      <c r="CF92" s="103" t="b">
        <f>IF(BY57=8,15)</f>
        <v>0</v>
      </c>
      <c r="CG92" s="76"/>
      <c r="CH92" s="76"/>
      <c r="CI92" s="158"/>
      <c r="CJ92" s="76"/>
      <c r="CK92" s="157"/>
      <c r="CL92" s="76"/>
      <c r="CM92" s="76"/>
      <c r="CN92" s="76"/>
      <c r="CO92" s="76"/>
      <c r="CP92" s="78"/>
      <c r="CQ92" s="78"/>
      <c r="CR92" s="78"/>
      <c r="CS92" s="78"/>
      <c r="CT92" s="78"/>
      <c r="CU92" s="78"/>
      <c r="CV92" s="78"/>
      <c r="CW92" s="78"/>
      <c r="CX92" s="78"/>
      <c r="CY92" s="78"/>
      <c r="CZ92" s="78"/>
      <c r="DA92" s="78"/>
      <c r="DB92" s="78"/>
      <c r="DC92" s="78"/>
      <c r="DD92" s="78"/>
      <c r="DE92" s="78"/>
    </row>
    <row r="93" spans="2:109" ht="21" hidden="1" thickBot="1" x14ac:dyDescent="0.25">
      <c r="B93" s="597"/>
      <c r="C93" s="597"/>
      <c r="D93" s="601"/>
      <c r="E93" s="598"/>
      <c r="F93" s="598"/>
      <c r="G93" s="998"/>
      <c r="H93"/>
      <c r="I93"/>
      <c r="J93"/>
      <c r="K93"/>
      <c r="L93"/>
      <c r="M93"/>
      <c r="N93"/>
      <c r="O93" s="995"/>
      <c r="BC93" s="600"/>
      <c r="BD93" s="600"/>
      <c r="BG93" s="136"/>
      <c r="BH93" s="136"/>
      <c r="BI93" s="136"/>
      <c r="BO93" s="86"/>
      <c r="BP93" s="1091"/>
      <c r="BQ93" s="96">
        <v>7</v>
      </c>
      <c r="BR93" s="117" t="b">
        <f>IF(BX57=7,1)</f>
        <v>0</v>
      </c>
      <c r="BS93" s="118"/>
      <c r="BT93" s="119"/>
      <c r="BU93" s="119"/>
      <c r="BV93" s="119"/>
      <c r="BW93" s="119"/>
      <c r="BX93" s="119"/>
      <c r="BY93" s="119"/>
      <c r="BZ93" s="119"/>
      <c r="CA93" s="119"/>
      <c r="CB93" s="118"/>
      <c r="CC93" s="118"/>
      <c r="CD93" s="103" t="b">
        <f>IF(BX57=7,13)</f>
        <v>0</v>
      </c>
      <c r="CE93" s="76"/>
      <c r="CF93" s="76"/>
      <c r="CG93" s="76"/>
      <c r="CH93" s="76"/>
      <c r="CI93" s="158"/>
      <c r="CJ93" s="76"/>
      <c r="CK93" s="157"/>
      <c r="CL93" s="76"/>
      <c r="CM93" s="76"/>
      <c r="CN93" s="76"/>
      <c r="CO93" s="76"/>
      <c r="CP93" s="78"/>
      <c r="CQ93" s="78"/>
      <c r="CR93" s="78"/>
      <c r="CS93" s="78"/>
      <c r="CT93" s="78"/>
      <c r="CU93" s="78"/>
      <c r="CV93" s="78"/>
      <c r="CW93" s="78"/>
      <c r="CX93" s="78"/>
      <c r="CY93" s="78"/>
      <c r="CZ93" s="78"/>
      <c r="DA93" s="78"/>
      <c r="DB93" s="78"/>
      <c r="DC93" s="78"/>
      <c r="DD93" s="78"/>
      <c r="DE93" s="78"/>
    </row>
    <row r="94" spans="2:109" ht="21" hidden="1" thickBot="1" x14ac:dyDescent="0.25">
      <c r="B94" s="597"/>
      <c r="C94" s="597"/>
      <c r="D94" s="601"/>
      <c r="E94" s="598"/>
      <c r="F94" s="598"/>
      <c r="G94" s="998"/>
      <c r="H94"/>
      <c r="I94"/>
      <c r="J94"/>
      <c r="K94"/>
      <c r="L94"/>
      <c r="M94"/>
      <c r="N94"/>
      <c r="O94" s="995"/>
      <c r="BC94" s="600"/>
      <c r="BD94" s="600"/>
      <c r="BG94" s="136"/>
      <c r="BH94" s="136"/>
      <c r="BI94" s="136"/>
      <c r="BO94" s="86"/>
      <c r="BP94" s="1091"/>
      <c r="BQ94" s="96">
        <v>6</v>
      </c>
      <c r="BR94" s="120" t="b">
        <f>IF(BW57=6,1)</f>
        <v>0</v>
      </c>
      <c r="BS94" s="123"/>
      <c r="BT94" s="123"/>
      <c r="BU94" s="123"/>
      <c r="BV94" s="123"/>
      <c r="BW94" s="123"/>
      <c r="BX94" s="123"/>
      <c r="BY94" s="123"/>
      <c r="BZ94" s="123"/>
      <c r="CA94" s="123"/>
      <c r="CB94" s="124" t="b">
        <f>IF(BW57=6,11)</f>
        <v>0</v>
      </c>
      <c r="CC94" s="76"/>
      <c r="CD94" s="76"/>
      <c r="CE94" s="76"/>
      <c r="CF94" s="76"/>
      <c r="CG94" s="76"/>
      <c r="CH94" s="76"/>
      <c r="CI94" s="158"/>
      <c r="CJ94" s="76"/>
      <c r="CK94" s="157"/>
      <c r="CL94" s="76"/>
      <c r="CM94" s="76"/>
      <c r="CN94" s="76"/>
      <c r="CO94" s="76"/>
      <c r="CP94" s="78"/>
      <c r="CQ94" s="78"/>
      <c r="CR94" s="78"/>
      <c r="CS94" s="78"/>
      <c r="CT94" s="78"/>
      <c r="CU94" s="78"/>
      <c r="CV94" s="78"/>
      <c r="CW94" s="78"/>
      <c r="CX94" s="78"/>
      <c r="CY94" s="78"/>
      <c r="CZ94" s="78"/>
      <c r="DA94" s="78"/>
      <c r="DB94" s="78"/>
      <c r="DC94" s="78"/>
      <c r="DD94" s="78"/>
      <c r="DE94" s="78"/>
    </row>
    <row r="95" spans="2:109" ht="21" hidden="1" thickBot="1" x14ac:dyDescent="0.25">
      <c r="G95" s="998"/>
      <c r="H95"/>
      <c r="I95"/>
      <c r="J95"/>
      <c r="K95"/>
      <c r="L95"/>
      <c r="M95"/>
      <c r="N95"/>
      <c r="O95" s="995"/>
      <c r="BC95" s="600"/>
      <c r="BD95" s="600"/>
      <c r="BF95" s="136"/>
      <c r="BG95" s="136"/>
      <c r="BH95" s="136"/>
      <c r="BI95" s="136"/>
      <c r="BO95" s="86"/>
      <c r="BP95" s="1091"/>
      <c r="BQ95" s="96">
        <v>5</v>
      </c>
      <c r="BR95" s="120" t="b">
        <f>IF(BV57=5,1)</f>
        <v>0</v>
      </c>
      <c r="BS95" s="122"/>
      <c r="BT95" s="123"/>
      <c r="BU95" s="123"/>
      <c r="BV95" s="123"/>
      <c r="BW95" s="123"/>
      <c r="BX95" s="123"/>
      <c r="BY95" s="122"/>
      <c r="BZ95" s="124" t="b">
        <f>IF(BV57=5,9)</f>
        <v>0</v>
      </c>
      <c r="CA95" s="76"/>
      <c r="CB95" s="76"/>
      <c r="CC95" s="76"/>
      <c r="CD95" s="76"/>
      <c r="CE95" s="76"/>
      <c r="CF95" s="76"/>
      <c r="CG95" s="76"/>
      <c r="CH95" s="76"/>
      <c r="CI95" s="158"/>
      <c r="CJ95" s="76"/>
      <c r="CK95" s="157"/>
      <c r="CL95" s="76"/>
      <c r="CM95" s="76"/>
      <c r="CN95" s="76"/>
      <c r="CO95" s="76"/>
      <c r="CP95" s="78"/>
      <c r="CQ95" s="78"/>
      <c r="CR95" s="78"/>
      <c r="CS95" s="78"/>
      <c r="CT95" s="78"/>
      <c r="CU95" s="78"/>
      <c r="CV95" s="78"/>
      <c r="CW95" s="78"/>
      <c r="CX95" s="78"/>
      <c r="CY95" s="78"/>
      <c r="CZ95" s="78"/>
      <c r="DA95" s="78"/>
      <c r="DB95" s="78"/>
      <c r="DC95" s="78"/>
      <c r="DD95" s="78"/>
      <c r="DE95" s="78"/>
    </row>
    <row r="96" spans="2:109" ht="21" hidden="1" thickBot="1" x14ac:dyDescent="0.25">
      <c r="B96" s="602"/>
      <c r="C96" s="602"/>
      <c r="G96" s="998"/>
      <c r="H96"/>
      <c r="I96"/>
      <c r="J96"/>
      <c r="K96"/>
      <c r="L96"/>
      <c r="M96"/>
      <c r="N96"/>
      <c r="O96" s="995"/>
      <c r="U96" s="569"/>
      <c r="V96" s="569"/>
      <c r="W96" s="569"/>
      <c r="X96" s="569"/>
      <c r="Y96" s="569"/>
      <c r="Z96" s="569"/>
      <c r="AA96" s="569"/>
      <c r="AF96" s="569"/>
      <c r="AG96" s="569"/>
      <c r="AH96" s="569"/>
      <c r="AI96" s="569"/>
      <c r="AJ96" s="569"/>
      <c r="AK96" s="569"/>
      <c r="AL96" s="569"/>
      <c r="AM96" s="569"/>
      <c r="AN96" s="569"/>
      <c r="AO96" s="569"/>
      <c r="AP96" s="569"/>
      <c r="AQ96" s="569"/>
      <c r="AR96" s="569"/>
      <c r="AS96" s="569"/>
      <c r="AT96" s="569"/>
      <c r="AU96" s="569"/>
      <c r="AV96" s="569"/>
      <c r="AW96" s="569"/>
      <c r="AX96" s="569"/>
      <c r="AY96" s="569"/>
      <c r="AZ96" s="569"/>
      <c r="BA96" s="569"/>
      <c r="BB96" s="569"/>
      <c r="BC96" s="600"/>
      <c r="BD96" s="600"/>
      <c r="BG96" s="136"/>
      <c r="BH96" s="136"/>
      <c r="BI96" s="136"/>
      <c r="BO96" s="86"/>
      <c r="BP96" s="1091"/>
      <c r="BQ96" s="96">
        <v>4</v>
      </c>
      <c r="BR96" s="120" t="b">
        <f>IF(BU57=4,1)</f>
        <v>0</v>
      </c>
      <c r="BS96" s="123"/>
      <c r="BT96" s="123"/>
      <c r="BU96" s="123"/>
      <c r="BV96" s="123"/>
      <c r="BW96" s="123"/>
      <c r="BX96" s="124" t="b">
        <f>IF(BU57=4,7)</f>
        <v>0</v>
      </c>
      <c r="BY96" s="76"/>
      <c r="BZ96" s="159"/>
      <c r="CA96" s="159"/>
      <c r="CB96" s="76"/>
      <c r="CC96" s="159"/>
      <c r="CD96" s="76"/>
      <c r="CE96" s="76"/>
      <c r="CF96" s="76"/>
      <c r="CG96" s="76"/>
      <c r="CH96" s="76"/>
      <c r="CI96" s="158"/>
      <c r="CJ96" s="76"/>
      <c r="CK96" s="157"/>
      <c r="CL96" s="76"/>
      <c r="CM96" s="76"/>
      <c r="CN96" s="76"/>
      <c r="CO96" s="76"/>
      <c r="CP96" s="78"/>
      <c r="CQ96" s="78"/>
      <c r="CR96" s="78"/>
      <c r="CS96" s="78"/>
      <c r="CT96" s="78"/>
      <c r="CU96" s="78"/>
      <c r="CV96" s="78"/>
      <c r="CW96" s="78"/>
      <c r="CX96" s="78"/>
      <c r="CY96" s="78"/>
      <c r="CZ96" s="78"/>
      <c r="DA96" s="78"/>
      <c r="DB96" s="78"/>
      <c r="DC96" s="78"/>
      <c r="DD96" s="78"/>
      <c r="DE96" s="78"/>
    </row>
    <row r="97" spans="2:109" ht="21" hidden="1" thickBot="1" x14ac:dyDescent="0.25">
      <c r="B97" s="560"/>
      <c r="C97" s="560"/>
      <c r="G97" s="998"/>
      <c r="H97"/>
      <c r="I97"/>
      <c r="J97"/>
      <c r="K97"/>
      <c r="L97"/>
      <c r="M97"/>
      <c r="N97"/>
      <c r="O97" s="995"/>
      <c r="BC97" s="600"/>
      <c r="BD97" s="600"/>
      <c r="BF97" s="136"/>
      <c r="BG97" s="136"/>
      <c r="BH97" s="136"/>
      <c r="BI97" s="136"/>
      <c r="BO97" s="86"/>
      <c r="BP97" s="1091"/>
      <c r="BQ97" s="96">
        <v>3</v>
      </c>
      <c r="BR97" s="120" t="b">
        <f>IF(BT57=3,1)</f>
        <v>0</v>
      </c>
      <c r="BS97" s="123"/>
      <c r="BT97" s="123"/>
      <c r="BU97" s="123"/>
      <c r="BV97" s="124" t="b">
        <f>IF(BT57=3,5)</f>
        <v>0</v>
      </c>
      <c r="BW97" s="76"/>
      <c r="BX97" s="76"/>
      <c r="BY97" s="76"/>
      <c r="BZ97" s="76"/>
      <c r="CA97" s="76"/>
      <c r="CB97" s="76"/>
      <c r="CC97" s="76"/>
      <c r="CD97" s="76"/>
      <c r="CE97" s="76"/>
      <c r="CF97" s="76"/>
      <c r="CG97" s="76"/>
      <c r="CH97" s="76"/>
      <c r="CI97" s="158"/>
      <c r="CJ97" s="76"/>
      <c r="CK97" s="157"/>
      <c r="CL97" s="76"/>
      <c r="CM97" s="76"/>
      <c r="CN97" s="76"/>
      <c r="CO97" s="76"/>
      <c r="CP97" s="78"/>
      <c r="CQ97" s="78"/>
      <c r="CR97" s="78"/>
      <c r="CS97" s="78"/>
      <c r="CT97" s="78"/>
      <c r="CU97" s="78"/>
      <c r="CV97" s="78"/>
      <c r="CW97" s="78"/>
      <c r="CX97" s="78"/>
      <c r="CY97" s="78"/>
      <c r="CZ97" s="78"/>
      <c r="DA97" s="78"/>
      <c r="DB97" s="78"/>
      <c r="DC97" s="78"/>
      <c r="DD97" s="78"/>
      <c r="DE97" s="78"/>
    </row>
    <row r="98" spans="2:109" ht="20" hidden="1" x14ac:dyDescent="0.2">
      <c r="B98" s="560"/>
      <c r="C98" s="560"/>
      <c r="G98" s="998"/>
      <c r="H98"/>
      <c r="I98"/>
      <c r="J98"/>
      <c r="K98"/>
      <c r="L98"/>
      <c r="M98"/>
      <c r="N98"/>
      <c r="O98" s="995"/>
      <c r="BC98" s="600"/>
      <c r="BD98" s="600"/>
      <c r="BF98" s="136"/>
      <c r="BG98" s="136"/>
      <c r="BH98" s="136"/>
      <c r="BI98" s="136"/>
      <c r="BO98" s="86"/>
      <c r="BP98" s="1091"/>
      <c r="BQ98" s="96">
        <v>2</v>
      </c>
      <c r="BR98" s="160" t="b">
        <f>IF(BS57=2,1)</f>
        <v>0</v>
      </c>
      <c r="BS98" s="161"/>
      <c r="BT98" s="162" t="b">
        <f>IF(BS57=2,3)</f>
        <v>0</v>
      </c>
      <c r="BU98" s="76"/>
      <c r="BV98" s="76"/>
      <c r="BW98" s="76"/>
      <c r="BX98" s="76"/>
      <c r="BY98" s="76"/>
      <c r="BZ98" s="76"/>
      <c r="CA98" s="76"/>
      <c r="CB98" s="76"/>
      <c r="CC98" s="76"/>
      <c r="CD98" s="76"/>
      <c r="CE98" s="76"/>
      <c r="CF98" s="76"/>
      <c r="CG98" s="76"/>
      <c r="CH98" s="76"/>
      <c r="CI98" s="158"/>
      <c r="CJ98" s="76"/>
      <c r="CK98" s="157"/>
      <c r="CL98" s="76"/>
      <c r="CM98" s="76"/>
      <c r="CN98" s="76"/>
      <c r="CO98" s="76"/>
      <c r="CP98" s="78"/>
      <c r="CQ98" s="78"/>
      <c r="CR98" s="78"/>
      <c r="CS98" s="78"/>
      <c r="CT98" s="78"/>
      <c r="CU98" s="78"/>
      <c r="CV98" s="78"/>
      <c r="CW98" s="78"/>
      <c r="CX98" s="78"/>
      <c r="CY98" s="78"/>
      <c r="CZ98" s="78"/>
      <c r="DA98" s="78"/>
      <c r="DB98" s="78"/>
      <c r="DC98" s="78"/>
      <c r="DD98" s="78"/>
      <c r="DE98" s="78"/>
    </row>
    <row r="99" spans="2:109" ht="21" hidden="1" thickBot="1" x14ac:dyDescent="0.25">
      <c r="B99" s="560"/>
      <c r="C99" s="560"/>
      <c r="G99" s="998"/>
      <c r="H99"/>
      <c r="I99"/>
      <c r="J99"/>
      <c r="K99"/>
      <c r="L99"/>
      <c r="M99"/>
      <c r="N99"/>
      <c r="O99" s="995"/>
      <c r="BC99" s="600"/>
      <c r="BD99" s="600"/>
      <c r="BF99" s="136"/>
      <c r="BG99" s="136"/>
      <c r="BH99" s="136"/>
      <c r="BI99" s="136"/>
      <c r="BO99" s="86"/>
      <c r="BP99" s="1091"/>
      <c r="BQ99" s="163"/>
      <c r="BR99" s="164">
        <f>SUM(BR64:BR98)</f>
        <v>0</v>
      </c>
      <c r="BS99" s="164">
        <f t="shared" ref="BS99:DB99" si="3">SUM(BS64:BS98)</f>
        <v>0</v>
      </c>
      <c r="BT99" s="164">
        <f t="shared" si="3"/>
        <v>0</v>
      </c>
      <c r="BU99" s="164">
        <f t="shared" si="3"/>
        <v>0</v>
      </c>
      <c r="BV99" s="164">
        <f t="shared" si="3"/>
        <v>0</v>
      </c>
      <c r="BW99" s="164">
        <f t="shared" si="3"/>
        <v>0</v>
      </c>
      <c r="BX99" s="164">
        <f t="shared" si="3"/>
        <v>0</v>
      </c>
      <c r="BY99" s="164">
        <f t="shared" si="3"/>
        <v>8</v>
      </c>
      <c r="BZ99" s="164">
        <f t="shared" si="3"/>
        <v>0</v>
      </c>
      <c r="CA99" s="164">
        <f t="shared" si="3"/>
        <v>0</v>
      </c>
      <c r="CB99" s="164">
        <f t="shared" si="3"/>
        <v>0</v>
      </c>
      <c r="CC99" s="164">
        <f t="shared" si="3"/>
        <v>0</v>
      </c>
      <c r="CD99" s="164">
        <f t="shared" si="3"/>
        <v>0</v>
      </c>
      <c r="CE99" s="164">
        <f t="shared" si="3"/>
        <v>0</v>
      </c>
      <c r="CF99" s="164">
        <f t="shared" si="3"/>
        <v>0</v>
      </c>
      <c r="CG99" s="164">
        <f t="shared" si="3"/>
        <v>0</v>
      </c>
      <c r="CH99" s="165">
        <f t="shared" si="3"/>
        <v>0</v>
      </c>
      <c r="CI99" s="166"/>
      <c r="CJ99" s="167"/>
      <c r="CK99" s="168"/>
      <c r="CL99" s="169">
        <f t="shared" si="3"/>
        <v>0</v>
      </c>
      <c r="CM99" s="164">
        <f t="shared" si="3"/>
        <v>0</v>
      </c>
      <c r="CN99" s="164">
        <f t="shared" si="3"/>
        <v>0</v>
      </c>
      <c r="CO99" s="164">
        <f t="shared" si="3"/>
        <v>0</v>
      </c>
      <c r="CP99" s="164">
        <f t="shared" si="3"/>
        <v>0</v>
      </c>
      <c r="CQ99" s="164">
        <f t="shared" si="3"/>
        <v>26</v>
      </c>
      <c r="CR99" s="164">
        <f t="shared" si="3"/>
        <v>0</v>
      </c>
      <c r="CS99" s="164">
        <f t="shared" si="3"/>
        <v>0</v>
      </c>
      <c r="CT99" s="164">
        <f t="shared" si="3"/>
        <v>0</v>
      </c>
      <c r="CU99" s="164">
        <f t="shared" si="3"/>
        <v>0</v>
      </c>
      <c r="CV99" s="164">
        <f t="shared" si="3"/>
        <v>0</v>
      </c>
      <c r="CW99" s="164">
        <f t="shared" si="3"/>
        <v>0</v>
      </c>
      <c r="CX99" s="164">
        <f t="shared" si="3"/>
        <v>0</v>
      </c>
      <c r="CY99" s="164">
        <f t="shared" si="3"/>
        <v>0</v>
      </c>
      <c r="CZ99" s="164">
        <f t="shared" si="3"/>
        <v>0</v>
      </c>
      <c r="DA99" s="164">
        <f t="shared" si="3"/>
        <v>0</v>
      </c>
      <c r="DB99" s="164">
        <f t="shared" si="3"/>
        <v>0</v>
      </c>
      <c r="DC99" s="78"/>
      <c r="DD99" s="78"/>
      <c r="DE99" s="78"/>
    </row>
    <row r="100" spans="2:109" ht="139.5" customHeight="1" thickBot="1" x14ac:dyDescent="0.25">
      <c r="B100" s="560"/>
      <c r="C100" s="560"/>
      <c r="G100" s="998"/>
      <c r="H100"/>
      <c r="I100"/>
      <c r="J100"/>
      <c r="K100"/>
      <c r="L100"/>
      <c r="M100"/>
      <c r="N100"/>
      <c r="O100" s="995"/>
      <c r="BC100" s="600"/>
      <c r="BD100" s="600"/>
      <c r="BF100" s="136"/>
      <c r="BG100" s="136"/>
      <c r="BH100" s="136"/>
      <c r="BI100" s="136"/>
      <c r="BO100" s="86"/>
      <c r="BP100" s="1091"/>
      <c r="BQ100" s="163"/>
      <c r="BR100" s="170"/>
      <c r="BS100" s="170"/>
      <c r="BT100" s="170"/>
      <c r="BU100" s="170"/>
      <c r="BV100" s="170"/>
      <c r="BW100" s="170"/>
      <c r="BX100" s="170"/>
      <c r="BY100" s="170"/>
      <c r="BZ100" s="170"/>
      <c r="CA100" s="170"/>
      <c r="CB100" s="170"/>
      <c r="CC100" s="170"/>
      <c r="CD100" s="170"/>
      <c r="CE100" s="170"/>
      <c r="CF100" s="170"/>
      <c r="CG100" s="170"/>
      <c r="CH100" s="170"/>
      <c r="CI100" s="170"/>
      <c r="CJ100" s="170"/>
      <c r="CK100" s="170"/>
      <c r="CL100" s="171"/>
      <c r="CM100" s="170"/>
      <c r="CN100" s="170"/>
      <c r="CO100" s="170"/>
      <c r="CP100" s="170"/>
      <c r="CQ100" s="170"/>
      <c r="CR100" s="170"/>
      <c r="CS100" s="170"/>
      <c r="CT100" s="170"/>
      <c r="CU100" s="170"/>
      <c r="CV100" s="170"/>
      <c r="CW100" s="170"/>
      <c r="CX100" s="170"/>
      <c r="CY100" s="170"/>
      <c r="CZ100" s="170"/>
      <c r="DA100" s="170"/>
      <c r="DB100" s="170"/>
      <c r="DC100" s="78"/>
      <c r="DD100" s="78"/>
      <c r="DE100" s="78"/>
    </row>
    <row r="101" spans="2:109" ht="44" thickBot="1" x14ac:dyDescent="0.3">
      <c r="B101" s="560"/>
      <c r="C101" s="560"/>
      <c r="G101" s="998"/>
      <c r="H101"/>
      <c r="I101"/>
      <c r="J101"/>
      <c r="K101"/>
      <c r="L101"/>
      <c r="M101"/>
      <c r="N101"/>
      <c r="O101" s="995"/>
      <c r="BC101" s="600"/>
      <c r="BD101" s="600"/>
      <c r="BF101" s="136"/>
      <c r="BG101" s="136"/>
      <c r="BH101" s="136"/>
      <c r="BI101" s="136"/>
      <c r="BO101" s="86"/>
      <c r="BP101" s="1095" t="s">
        <v>128</v>
      </c>
      <c r="BQ101" s="172" t="s">
        <v>124</v>
      </c>
      <c r="BR101" s="750" t="str">
        <f>IF(BR99=1,17,"")</f>
        <v/>
      </c>
      <c r="BS101" s="751" t="str">
        <f>IF(BS99=2,16,"")</f>
        <v/>
      </c>
      <c r="BT101" s="751" t="str">
        <f>IF(BT99=3,15,"")</f>
        <v/>
      </c>
      <c r="BU101" s="751" t="str">
        <f>IF(BU99=4,14,"")</f>
        <v/>
      </c>
      <c r="BV101" s="751" t="str">
        <f>IF(BV99=5,13,"")</f>
        <v/>
      </c>
      <c r="BW101" s="751" t="str">
        <f>IF(BW99=6,12,"")</f>
        <v/>
      </c>
      <c r="BX101" s="751" t="str">
        <f>IF(BX99=7,11,"")</f>
        <v/>
      </c>
      <c r="BY101" s="751">
        <f>IF(BY99=8,10,"")</f>
        <v>10</v>
      </c>
      <c r="BZ101" s="751" t="str">
        <f>IF(BZ99=9,9,"")</f>
        <v/>
      </c>
      <c r="CA101" s="751" t="str">
        <f>IF(CA99=10,8,"")</f>
        <v/>
      </c>
      <c r="CB101" s="751" t="str">
        <f>IF(CB99=11,7,"")</f>
        <v/>
      </c>
      <c r="CC101" s="752" t="str">
        <f>IF(CC99=12,"6  ADS ","")</f>
        <v/>
      </c>
      <c r="CD101" s="751" t="str">
        <f>IF(CD99=13,5,"")</f>
        <v/>
      </c>
      <c r="CE101" s="751" t="str">
        <f>IF(CE99=14,4,"")</f>
        <v/>
      </c>
      <c r="CF101" s="751" t="str">
        <f>IF(CF99=15,3,"")</f>
        <v/>
      </c>
      <c r="CG101" s="751" t="str">
        <f>IF(CG99=16,2,"")</f>
        <v/>
      </c>
      <c r="CH101" s="751" t="str">
        <f>IF(CH99=17,1,"")</f>
        <v/>
      </c>
      <c r="CI101" s="173"/>
      <c r="CJ101" s="174"/>
      <c r="CK101" s="175"/>
      <c r="CL101" s="753" t="str">
        <f>IF(CL99=21,1,"")</f>
        <v/>
      </c>
      <c r="CM101" s="753" t="str">
        <f>IF(CM99=22,2,"")</f>
        <v/>
      </c>
      <c r="CN101" s="753" t="str">
        <f>IF(CN99=23,3,"")</f>
        <v/>
      </c>
      <c r="CO101" s="753" t="str">
        <f>IF(CO99=24,4,"")</f>
        <v/>
      </c>
      <c r="CP101" s="753" t="str">
        <f>IF(CP99=25,5,"")</f>
        <v/>
      </c>
      <c r="CQ101" s="754" t="str">
        <f>IF(CQ99=26,"6  ADS ","")</f>
        <v xml:space="preserve">6  ADS </v>
      </c>
      <c r="CR101" s="753" t="str">
        <f>IF(CR99=27,7,"")</f>
        <v/>
      </c>
      <c r="CS101" s="753" t="str">
        <f>IF(CS99=28,8,"")</f>
        <v/>
      </c>
      <c r="CT101" s="753" t="str">
        <f>IF(CT99=29,9,"")</f>
        <v/>
      </c>
      <c r="CU101" s="753" t="str">
        <f>IF(CU99=30,10,"")</f>
        <v/>
      </c>
      <c r="CV101" s="753" t="str">
        <f>IF(CV99=31,11,"")</f>
        <v/>
      </c>
      <c r="CW101" s="753" t="str">
        <f>IF(CW99=32,12,"")</f>
        <v/>
      </c>
      <c r="CX101" s="753" t="str">
        <f>IF(CX99=33,13,"")</f>
        <v/>
      </c>
      <c r="CY101" s="753" t="str">
        <f>IF(CY99=34,14,"")</f>
        <v/>
      </c>
      <c r="CZ101" s="753" t="str">
        <f>IF(CZ99=35,15,"")</f>
        <v/>
      </c>
      <c r="DA101" s="753" t="str">
        <f>IF(DA99=36,16,"")</f>
        <v/>
      </c>
      <c r="DB101" s="755" t="str">
        <f>IF(DB99=37,17,"")</f>
        <v/>
      </c>
      <c r="DC101" s="340"/>
      <c r="DD101" s="78"/>
      <c r="DE101" s="78"/>
    </row>
    <row r="102" spans="2:109" ht="31" thickBot="1" x14ac:dyDescent="0.3">
      <c r="B102" s="560"/>
      <c r="C102" s="560"/>
      <c r="G102" s="998"/>
      <c r="H102"/>
      <c r="I102"/>
      <c r="J102"/>
      <c r="K102"/>
      <c r="L102"/>
      <c r="M102"/>
      <c r="N102"/>
      <c r="O102" s="995"/>
      <c r="BD102" s="600"/>
      <c r="BF102" s="136"/>
      <c r="BG102" s="136"/>
      <c r="BH102" s="136"/>
      <c r="BI102" s="136"/>
      <c r="BM102" s="968">
        <v>6</v>
      </c>
      <c r="BN102" s="1762" t="b">
        <f>AND(BP102&gt;=10,$BA$147&gt;=10,$AZ$147&gt;=10,$AZ$178&gt;=10,$BA$178&gt;=10)</f>
        <v>1</v>
      </c>
      <c r="BO102" s="84" t="str">
        <f>IF(BN102=TRUE,"O K","OVERLOAD")</f>
        <v>O K</v>
      </c>
      <c r="BP102" s="982">
        <f>SUM(I132:M132)</f>
        <v>120.03000750187546</v>
      </c>
      <c r="BQ102" s="788" t="s">
        <v>185</v>
      </c>
      <c r="BR102" s="789">
        <v>-10</v>
      </c>
      <c r="BS102" s="789">
        <v>-9</v>
      </c>
      <c r="BT102" s="789">
        <v>-8</v>
      </c>
      <c r="BU102" s="789">
        <v>-7</v>
      </c>
      <c r="BV102" s="789">
        <v>-6</v>
      </c>
      <c r="BW102" s="789">
        <v>-5</v>
      </c>
      <c r="BX102" s="789">
        <v>-4</v>
      </c>
      <c r="BY102" s="789">
        <v>-3</v>
      </c>
      <c r="BZ102" s="789">
        <v>-2</v>
      </c>
      <c r="CA102" s="789">
        <v>-1</v>
      </c>
      <c r="CB102" s="789">
        <v>0</v>
      </c>
      <c r="CC102" s="789">
        <v>1</v>
      </c>
      <c r="CD102" s="789">
        <v>2</v>
      </c>
      <c r="CE102" s="789">
        <v>3</v>
      </c>
      <c r="CF102" s="789">
        <v>4</v>
      </c>
      <c r="CG102" s="789">
        <v>5</v>
      </c>
      <c r="CH102" s="789">
        <v>6</v>
      </c>
      <c r="CI102" s="789">
        <v>7</v>
      </c>
      <c r="CJ102" s="789">
        <v>8</v>
      </c>
      <c r="CK102" s="789">
        <v>9</v>
      </c>
      <c r="CL102" s="789">
        <v>10</v>
      </c>
      <c r="CM102" s="789">
        <v>11</v>
      </c>
      <c r="CN102" s="789">
        <v>12</v>
      </c>
      <c r="CO102" s="789">
        <v>13</v>
      </c>
      <c r="CP102" s="789">
        <v>14</v>
      </c>
      <c r="CQ102" s="789">
        <v>15</v>
      </c>
      <c r="CR102" s="789">
        <v>16</v>
      </c>
      <c r="CS102" s="789">
        <v>17</v>
      </c>
      <c r="CT102" s="789">
        <v>18</v>
      </c>
      <c r="CU102" s="789">
        <v>19</v>
      </c>
      <c r="CV102" s="789">
        <v>20</v>
      </c>
      <c r="CW102" s="789">
        <v>21</v>
      </c>
      <c r="CX102" s="789">
        <v>22</v>
      </c>
      <c r="CY102" s="789">
        <v>23</v>
      </c>
      <c r="CZ102" s="789">
        <v>24</v>
      </c>
      <c r="DA102" s="789">
        <v>25</v>
      </c>
      <c r="DB102" s="791">
        <v>26</v>
      </c>
      <c r="DC102" s="78"/>
      <c r="DD102" s="78"/>
      <c r="DE102" s="78"/>
    </row>
    <row r="103" spans="2:109" ht="20" hidden="1" x14ac:dyDescent="0.2">
      <c r="B103" s="560"/>
      <c r="C103" s="560"/>
      <c r="G103" s="998"/>
      <c r="H103"/>
      <c r="I103"/>
      <c r="J103"/>
      <c r="K103"/>
      <c r="L103"/>
      <c r="M103"/>
      <c r="N103"/>
      <c r="O103" s="995"/>
      <c r="BC103" s="600"/>
      <c r="BE103" s="66"/>
      <c r="BF103" s="136"/>
      <c r="BG103" s="136"/>
      <c r="BH103" s="136"/>
      <c r="BI103" s="136"/>
      <c r="BJ103" s="136"/>
      <c r="BK103" s="136"/>
      <c r="BL103" s="136"/>
      <c r="BM103" s="136"/>
      <c r="BN103" s="402"/>
      <c r="BO103" s="136"/>
      <c r="BP103" s="1091"/>
      <c r="BQ103" s="78"/>
      <c r="BR103" s="199"/>
      <c r="BS103" s="199"/>
      <c r="BT103" s="199"/>
      <c r="BU103" s="199"/>
      <c r="BV103" s="199"/>
      <c r="BW103" s="199"/>
      <c r="BX103" s="199"/>
      <c r="BY103" s="199"/>
      <c r="BZ103" s="199"/>
      <c r="CA103" s="199"/>
      <c r="CB103" s="199"/>
      <c r="CC103" s="199"/>
      <c r="CD103" s="199"/>
      <c r="CE103" s="199"/>
      <c r="CF103" s="199"/>
      <c r="CG103" s="199"/>
      <c r="CH103" s="199"/>
      <c r="CI103" s="199"/>
      <c r="CJ103" s="199"/>
      <c r="CK103" s="199"/>
      <c r="CL103" s="199"/>
      <c r="CM103" s="199"/>
      <c r="CN103" s="199"/>
      <c r="CO103" s="199"/>
      <c r="CP103" s="199"/>
      <c r="CQ103" s="199"/>
      <c r="CR103" s="199"/>
      <c r="CS103" s="199"/>
      <c r="CT103" s="199"/>
      <c r="CU103" s="199"/>
      <c r="CV103" s="199"/>
      <c r="CW103" s="199"/>
      <c r="CX103" s="199"/>
      <c r="CY103" s="199"/>
      <c r="CZ103" s="199"/>
      <c r="DA103" s="199"/>
      <c r="DB103" s="199"/>
      <c r="DC103" s="199"/>
    </row>
    <row r="104" spans="2:109" ht="20" hidden="1" x14ac:dyDescent="0.2">
      <c r="B104" s="560"/>
      <c r="C104" s="560"/>
      <c r="G104" s="998"/>
      <c r="H104"/>
      <c r="I104"/>
      <c r="J104"/>
      <c r="K104"/>
      <c r="L104"/>
      <c r="M104"/>
      <c r="N104"/>
      <c r="O104" s="995"/>
      <c r="BC104" s="600"/>
      <c r="BD104" s="603"/>
      <c r="BE104" s="66"/>
      <c r="BF104" s="136"/>
      <c r="BG104" s="136"/>
      <c r="BH104" s="136"/>
      <c r="BI104" s="136"/>
      <c r="BJ104" s="136"/>
      <c r="BK104" s="136"/>
      <c r="BL104" s="136"/>
      <c r="BM104" s="136"/>
      <c r="BN104" s="402"/>
      <c r="BO104" s="136"/>
      <c r="BP104" s="1091"/>
      <c r="BQ104" s="76"/>
      <c r="BR104" s="76"/>
      <c r="BS104" s="76"/>
      <c r="BT104" s="76"/>
      <c r="BU104" s="76"/>
      <c r="BV104" s="76"/>
      <c r="BW104" s="202"/>
      <c r="BX104" s="202"/>
      <c r="BY104" s="202"/>
      <c r="BZ104" s="202"/>
      <c r="CA104" s="202"/>
      <c r="CB104" s="202"/>
      <c r="CC104" s="202"/>
      <c r="CD104" s="202"/>
      <c r="CE104" s="202"/>
      <c r="CF104" s="202"/>
      <c r="CG104" s="202"/>
      <c r="CH104" s="202"/>
      <c r="CI104" s="202"/>
      <c r="CJ104" s="202"/>
      <c r="CK104" s="78"/>
      <c r="CL104" s="78"/>
      <c r="CM104" s="78"/>
      <c r="CN104" s="78"/>
      <c r="CO104" s="78"/>
      <c r="CP104" s="78"/>
      <c r="CQ104" s="78"/>
      <c r="CR104" s="78"/>
      <c r="CS104" s="78"/>
      <c r="CT104" s="78"/>
      <c r="CU104" s="78"/>
      <c r="CV104" s="78"/>
      <c r="CW104" s="78"/>
      <c r="CX104" s="78"/>
      <c r="CY104" s="78"/>
      <c r="CZ104" s="78"/>
      <c r="DA104" s="78"/>
      <c r="DB104" s="78"/>
      <c r="DC104" s="78"/>
      <c r="DD104" s="78"/>
      <c r="DE104" s="78"/>
    </row>
    <row r="105" spans="2:109" hidden="1" x14ac:dyDescent="0.2">
      <c r="B105" s="560"/>
      <c r="C105" s="560"/>
      <c r="G105" s="998"/>
      <c r="H105"/>
      <c r="I105"/>
      <c r="J105"/>
      <c r="K105"/>
      <c r="L105"/>
      <c r="M105"/>
      <c r="N105"/>
      <c r="O105" s="995"/>
      <c r="BC105" s="600"/>
      <c r="BD105" s="600"/>
      <c r="BF105" s="136"/>
      <c r="BG105" s="136"/>
      <c r="BH105" s="136"/>
      <c r="BI105" s="136"/>
      <c r="BJ105" s="136"/>
      <c r="BK105" s="136"/>
      <c r="BL105" s="136"/>
      <c r="BM105" s="136"/>
      <c r="BN105" s="402"/>
      <c r="BO105" s="136"/>
      <c r="BP105" s="1091"/>
      <c r="BQ105" s="126"/>
      <c r="BR105" s="126"/>
      <c r="BS105" s="126"/>
      <c r="BT105" s="126"/>
      <c r="BU105" s="126"/>
      <c r="BV105" s="126"/>
      <c r="BW105" s="203"/>
      <c r="BX105" s="203"/>
      <c r="BY105" s="203"/>
      <c r="BZ105" s="203"/>
      <c r="CA105" s="203"/>
      <c r="CB105" s="203"/>
      <c r="CC105" s="203"/>
      <c r="CD105" s="203"/>
      <c r="CE105" s="203"/>
      <c r="CF105" s="203"/>
      <c r="CG105" s="203"/>
      <c r="CH105" s="203"/>
      <c r="CI105" s="203"/>
      <c r="CJ105" s="203"/>
    </row>
    <row r="106" spans="2:109" ht="18" hidden="1" x14ac:dyDescent="0.2">
      <c r="B106" s="560"/>
      <c r="C106" s="560"/>
      <c r="G106" s="998"/>
      <c r="H106"/>
      <c r="I106"/>
      <c r="J106"/>
      <c r="K106"/>
      <c r="L106"/>
      <c r="M106"/>
      <c r="N106"/>
      <c r="O106" s="995"/>
      <c r="BC106" s="604"/>
      <c r="BD106" s="604"/>
      <c r="BF106" s="136"/>
      <c r="BG106" s="136"/>
      <c r="BH106" s="136"/>
      <c r="BI106" s="136"/>
      <c r="BJ106" s="136"/>
      <c r="BK106" s="136"/>
      <c r="BM106" s="204" t="s">
        <v>59</v>
      </c>
      <c r="BN106" s="402"/>
      <c r="BO106" s="187"/>
      <c r="BP106" s="1091"/>
      <c r="BQ106" s="64"/>
      <c r="BT106" s="126"/>
      <c r="BU106" s="126"/>
      <c r="BV106" s="126"/>
      <c r="BW106" s="203"/>
      <c r="BX106" s="203"/>
      <c r="BY106" s="203"/>
      <c r="BZ106" s="203"/>
      <c r="CA106" s="203"/>
      <c r="CB106" s="203"/>
      <c r="CC106" s="203"/>
      <c r="CD106" s="203"/>
      <c r="CE106" s="203"/>
      <c r="CF106" s="203"/>
      <c r="CG106" s="203"/>
      <c r="CH106" s="203"/>
      <c r="CI106" s="203"/>
      <c r="CJ106" s="203"/>
      <c r="CS106" s="64"/>
      <c r="DE106" s="204" t="s">
        <v>58</v>
      </c>
    </row>
    <row r="107" spans="2:109" ht="18" hidden="1" x14ac:dyDescent="0.2">
      <c r="B107" s="560"/>
      <c r="C107" s="560"/>
      <c r="G107" s="998"/>
      <c r="H107"/>
      <c r="I107"/>
      <c r="J107"/>
      <c r="K107"/>
      <c r="L107"/>
      <c r="M107"/>
      <c r="N107"/>
      <c r="O107" s="995"/>
      <c r="BC107" s="605"/>
      <c r="BD107" s="605"/>
      <c r="BF107" s="136"/>
      <c r="BG107" s="136"/>
      <c r="BH107" s="136"/>
      <c r="BI107" s="136"/>
      <c r="BJ107" s="136"/>
      <c r="BK107" s="136"/>
      <c r="BL107" s="212"/>
      <c r="BM107" s="204">
        <f>-+BI109</f>
        <v>670.17849127142244</v>
      </c>
      <c r="BN107" s="402"/>
      <c r="BO107" s="187"/>
      <c r="BP107" s="1091"/>
      <c r="BQ107" s="64"/>
      <c r="BT107" s="126"/>
      <c r="BU107" s="126"/>
      <c r="BV107" s="126"/>
      <c r="BW107" s="203"/>
      <c r="BX107" s="203"/>
      <c r="BY107" s="203"/>
      <c r="BZ107" s="203"/>
      <c r="CA107" s="203"/>
      <c r="CB107" s="203"/>
      <c r="CC107" s="203"/>
      <c r="CD107" s="203"/>
      <c r="CE107" s="203"/>
      <c r="CF107" s="203"/>
      <c r="CG107" s="203"/>
      <c r="CH107" s="203"/>
      <c r="CI107" s="203"/>
      <c r="CJ107" s="203"/>
      <c r="CQ107" s="212"/>
      <c r="CS107" s="64"/>
      <c r="DE107" s="204">
        <f>+-BI145</f>
        <v>-877.82150872857756</v>
      </c>
    </row>
    <row r="108" spans="2:109" ht="18" hidden="1" x14ac:dyDescent="0.2">
      <c r="B108" s="560"/>
      <c r="C108" s="560"/>
      <c r="G108" s="998"/>
      <c r="H108"/>
      <c r="I108"/>
      <c r="J108"/>
      <c r="K108"/>
      <c r="L108"/>
      <c r="M108"/>
      <c r="N108"/>
      <c r="O108" s="995"/>
      <c r="BC108" s="605"/>
      <c r="BD108" s="605"/>
      <c r="BF108" s="136"/>
      <c r="BG108" s="136"/>
      <c r="BH108" s="297" t="s">
        <v>122</v>
      </c>
      <c r="BI108" s="136"/>
      <c r="BJ108" s="136"/>
      <c r="BK108" s="136"/>
      <c r="BL108" s="136"/>
      <c r="BM108" s="136"/>
      <c r="BN108" s="402"/>
      <c r="BO108" s="136"/>
      <c r="BP108" s="1091"/>
      <c r="BQ108" s="126"/>
      <c r="BR108" s="126"/>
      <c r="BS108" s="126"/>
      <c r="BT108" s="126"/>
      <c r="BU108" s="126"/>
      <c r="BV108" s="126"/>
      <c r="BW108" s="203"/>
      <c r="BX108" s="203"/>
      <c r="BY108" s="203"/>
      <c r="BZ108" s="203"/>
      <c r="CA108" s="203"/>
      <c r="CB108" s="203"/>
      <c r="CC108" s="203"/>
      <c r="CD108" s="203"/>
      <c r="CE108" s="203"/>
      <c r="CF108" s="203"/>
      <c r="CG108" s="203"/>
      <c r="CH108" s="203"/>
      <c r="CI108" s="203"/>
      <c r="CJ108" s="203"/>
    </row>
    <row r="109" spans="2:109" ht="20" hidden="1" x14ac:dyDescent="0.3">
      <c r="B109" s="560"/>
      <c r="C109" s="560"/>
      <c r="G109" s="998"/>
      <c r="H109"/>
      <c r="I109"/>
      <c r="J109"/>
      <c r="K109"/>
      <c r="L109"/>
      <c r="M109"/>
      <c r="N109"/>
      <c r="O109" s="995"/>
      <c r="BF109" s="298">
        <v>1</v>
      </c>
      <c r="BG109" s="299">
        <v>-473</v>
      </c>
      <c r="BH109" s="300">
        <f>+COS(($B$136*-1)*3.14159265358979/180)*BG109</f>
        <v>-473</v>
      </c>
      <c r="BI109" s="301">
        <f t="shared" ref="BI109:BI145" si="4">+BH109-D$3</f>
        <v>-670.17849127142244</v>
      </c>
      <c r="BJ109" s="302">
        <f t="shared" ref="BJ109:BJ145" si="5">ABS(BI109)</f>
        <v>670.17849127142244</v>
      </c>
      <c r="BK109" s="303">
        <f>MIN(BJ109:BJ145)</f>
        <v>17.821508728577527</v>
      </c>
      <c r="BL109" s="302" t="b">
        <f>IF(BK109=BJ109,BF109)</f>
        <v>0</v>
      </c>
      <c r="BM109" s="304">
        <v>1</v>
      </c>
      <c r="BN109" s="214"/>
      <c r="BO109" s="214"/>
      <c r="BP109" s="214"/>
      <c r="BQ109" s="126"/>
      <c r="BR109" s="126"/>
      <c r="BS109" s="126"/>
      <c r="BT109" s="126"/>
      <c r="BU109" s="126"/>
      <c r="BV109" s="126"/>
      <c r="BW109" s="203"/>
      <c r="BX109" s="203"/>
      <c r="BY109" s="203"/>
      <c r="BZ109" s="203"/>
      <c r="CA109" s="203"/>
      <c r="CB109" s="203"/>
      <c r="CC109" s="203"/>
      <c r="CD109" s="203"/>
      <c r="CE109" s="203"/>
      <c r="CF109" s="203"/>
      <c r="CG109" s="203"/>
      <c r="CH109" s="203"/>
      <c r="CI109" s="203"/>
      <c r="CJ109" s="203"/>
    </row>
    <row r="110" spans="2:109" ht="20" hidden="1" x14ac:dyDescent="0.3">
      <c r="B110" s="560"/>
      <c r="C110" s="560"/>
      <c r="G110" s="998"/>
      <c r="H110"/>
      <c r="I110"/>
      <c r="J110"/>
      <c r="K110"/>
      <c r="L110"/>
      <c r="M110"/>
      <c r="N110"/>
      <c r="O110" s="995"/>
      <c r="BF110" s="298">
        <v>2</v>
      </c>
      <c r="BG110" s="299">
        <f>+BG109+43</f>
        <v>-430</v>
      </c>
      <c r="BH110" s="42">
        <f>+BH109+$E$2</f>
        <v>-430</v>
      </c>
      <c r="BI110" s="301">
        <f t="shared" si="4"/>
        <v>-627.17849127142244</v>
      </c>
      <c r="BJ110" s="302">
        <f t="shared" si="5"/>
        <v>627.17849127142244</v>
      </c>
      <c r="BK110" s="302">
        <f>+BK109</f>
        <v>17.821508728577527</v>
      </c>
      <c r="BL110" s="302" t="b">
        <f t="shared" ref="BL110:BL145" si="6">IF(BK110=BJ110,BF110)</f>
        <v>0</v>
      </c>
      <c r="BM110" s="304">
        <v>2</v>
      </c>
      <c r="BN110" s="214"/>
      <c r="BO110" s="214"/>
      <c r="BP110" s="214"/>
      <c r="BQ110" s="126"/>
      <c r="BR110" s="126"/>
      <c r="BS110" s="126"/>
      <c r="BT110" s="126"/>
      <c r="BU110" s="126"/>
      <c r="BV110" s="126"/>
      <c r="BW110" s="203"/>
      <c r="BX110" s="203"/>
      <c r="BY110" s="203"/>
      <c r="BZ110" s="203"/>
      <c r="CA110" s="203"/>
      <c r="CB110" s="203"/>
      <c r="CC110" s="203"/>
      <c r="CD110" s="203"/>
      <c r="CE110" s="203"/>
      <c r="CF110" s="203"/>
      <c r="CG110" s="203"/>
      <c r="CH110" s="203"/>
      <c r="CI110" s="203"/>
      <c r="CJ110" s="203"/>
    </row>
    <row r="111" spans="2:109" ht="20" hidden="1" x14ac:dyDescent="0.3">
      <c r="B111" s="560"/>
      <c r="C111" s="560"/>
      <c r="G111" s="998"/>
      <c r="H111"/>
      <c r="I111"/>
      <c r="J111"/>
      <c r="K111"/>
      <c r="L111"/>
      <c r="M111"/>
      <c r="N111"/>
      <c r="O111" s="995"/>
      <c r="BF111" s="298">
        <v>3</v>
      </c>
      <c r="BG111" s="299">
        <f t="shared" ref="BG111:BG145" si="7">+BG110+43</f>
        <v>-387</v>
      </c>
      <c r="BH111" s="42">
        <f t="shared" ref="BH111:BH145" si="8">+BH110+$E$2</f>
        <v>-387</v>
      </c>
      <c r="BI111" s="301">
        <f t="shared" si="4"/>
        <v>-584.17849127142244</v>
      </c>
      <c r="BJ111" s="302">
        <f t="shared" si="5"/>
        <v>584.17849127142244</v>
      </c>
      <c r="BK111" s="302">
        <f t="shared" ref="BK111:BK145" si="9">+BK110</f>
        <v>17.821508728577527</v>
      </c>
      <c r="BL111" s="302" t="b">
        <f t="shared" si="6"/>
        <v>0</v>
      </c>
      <c r="BM111" s="304">
        <v>3</v>
      </c>
      <c r="BN111" s="214"/>
      <c r="BO111" s="214"/>
      <c r="BP111" s="214"/>
      <c r="BQ111" s="126"/>
      <c r="BR111" s="126"/>
      <c r="BS111" s="126"/>
      <c r="BT111" s="126"/>
      <c r="BU111" s="126"/>
      <c r="BV111" s="126"/>
      <c r="BW111" s="203"/>
      <c r="BX111" s="203"/>
      <c r="BY111" s="203"/>
      <c r="BZ111" s="203"/>
      <c r="CA111" s="203"/>
      <c r="CB111" s="203"/>
      <c r="CC111" s="203"/>
      <c r="CD111" s="203"/>
      <c r="CE111" s="203"/>
      <c r="CF111" s="203"/>
      <c r="CG111" s="203"/>
      <c r="CH111" s="203"/>
      <c r="CI111" s="203"/>
      <c r="CJ111" s="203"/>
    </row>
    <row r="112" spans="2:109" ht="20" hidden="1" x14ac:dyDescent="0.3">
      <c r="B112" s="560"/>
      <c r="C112" s="560"/>
      <c r="G112" s="998"/>
      <c r="H112"/>
      <c r="I112"/>
      <c r="J112"/>
      <c r="K112"/>
      <c r="L112"/>
      <c r="M112"/>
      <c r="N112"/>
      <c r="O112" s="995"/>
      <c r="BF112" s="298">
        <v>4</v>
      </c>
      <c r="BG112" s="299">
        <f t="shared" si="7"/>
        <v>-344</v>
      </c>
      <c r="BH112" s="42">
        <f t="shared" si="8"/>
        <v>-344</v>
      </c>
      <c r="BI112" s="301">
        <f t="shared" si="4"/>
        <v>-541.17849127142244</v>
      </c>
      <c r="BJ112" s="302">
        <f t="shared" si="5"/>
        <v>541.17849127142244</v>
      </c>
      <c r="BK112" s="302">
        <f t="shared" si="9"/>
        <v>17.821508728577527</v>
      </c>
      <c r="BL112" s="302" t="b">
        <f t="shared" si="6"/>
        <v>0</v>
      </c>
      <c r="BM112" s="304">
        <v>4</v>
      </c>
      <c r="BN112" s="214"/>
      <c r="BO112" s="214"/>
      <c r="BP112" s="214"/>
      <c r="CJ112" s="236"/>
      <c r="CK112" s="236"/>
      <c r="CL112" s="236"/>
      <c r="CM112" s="236"/>
      <c r="CN112" s="236"/>
      <c r="CO112" s="236"/>
    </row>
    <row r="113" spans="2:68" ht="20" hidden="1" x14ac:dyDescent="0.3">
      <c r="B113" s="560"/>
      <c r="C113" s="560"/>
      <c r="G113" s="998"/>
      <c r="H113"/>
      <c r="I113"/>
      <c r="J113"/>
      <c r="K113"/>
      <c r="L113"/>
      <c r="M113"/>
      <c r="N113"/>
      <c r="O113" s="995"/>
      <c r="BF113" s="298">
        <v>5</v>
      </c>
      <c r="BG113" s="299">
        <f t="shared" si="7"/>
        <v>-301</v>
      </c>
      <c r="BH113" s="42">
        <f t="shared" si="8"/>
        <v>-301</v>
      </c>
      <c r="BI113" s="301">
        <f t="shared" si="4"/>
        <v>-498.17849127142244</v>
      </c>
      <c r="BJ113" s="302">
        <f t="shared" si="5"/>
        <v>498.17849127142244</v>
      </c>
      <c r="BK113" s="302">
        <f t="shared" si="9"/>
        <v>17.821508728577527</v>
      </c>
      <c r="BL113" s="302" t="b">
        <f t="shared" si="6"/>
        <v>0</v>
      </c>
      <c r="BM113" s="304">
        <v>5</v>
      </c>
      <c r="BN113" s="214"/>
      <c r="BO113" s="214"/>
      <c r="BP113" s="214"/>
    </row>
    <row r="114" spans="2:68" ht="20" hidden="1" x14ac:dyDescent="0.3">
      <c r="B114" s="560"/>
      <c r="C114" s="560"/>
      <c r="G114" s="998"/>
      <c r="H114"/>
      <c r="I114"/>
      <c r="J114"/>
      <c r="K114"/>
      <c r="L114"/>
      <c r="M114"/>
      <c r="N114"/>
      <c r="O114" s="995"/>
      <c r="BF114" s="298">
        <v>6</v>
      </c>
      <c r="BG114" s="299">
        <f t="shared" si="7"/>
        <v>-258</v>
      </c>
      <c r="BH114" s="42">
        <f t="shared" si="8"/>
        <v>-258</v>
      </c>
      <c r="BI114" s="301">
        <f t="shared" si="4"/>
        <v>-455.17849127142244</v>
      </c>
      <c r="BJ114" s="302">
        <f t="shared" si="5"/>
        <v>455.17849127142244</v>
      </c>
      <c r="BK114" s="302">
        <f t="shared" si="9"/>
        <v>17.821508728577527</v>
      </c>
      <c r="BL114" s="302" t="b">
        <f t="shared" si="6"/>
        <v>0</v>
      </c>
      <c r="BM114" s="304">
        <v>6</v>
      </c>
      <c r="BN114" s="214"/>
      <c r="BO114" s="214"/>
      <c r="BP114" s="214"/>
    </row>
    <row r="115" spans="2:68" ht="20" hidden="1" x14ac:dyDescent="0.3">
      <c r="B115" s="560"/>
      <c r="C115" s="560"/>
      <c r="G115" s="998"/>
      <c r="H115"/>
      <c r="I115"/>
      <c r="J115"/>
      <c r="K115"/>
      <c r="L115"/>
      <c r="M115"/>
      <c r="N115"/>
      <c r="O115" s="995"/>
      <c r="BF115" s="298">
        <v>7</v>
      </c>
      <c r="BG115" s="299">
        <f t="shared" si="7"/>
        <v>-215</v>
      </c>
      <c r="BH115" s="42">
        <f t="shared" si="8"/>
        <v>-215</v>
      </c>
      <c r="BI115" s="301">
        <f t="shared" si="4"/>
        <v>-412.17849127142244</v>
      </c>
      <c r="BJ115" s="302">
        <f t="shared" si="5"/>
        <v>412.17849127142244</v>
      </c>
      <c r="BK115" s="302">
        <f t="shared" si="9"/>
        <v>17.821508728577527</v>
      </c>
      <c r="BL115" s="302" t="b">
        <f t="shared" si="6"/>
        <v>0</v>
      </c>
      <c r="BM115" s="304">
        <v>7</v>
      </c>
      <c r="BN115" s="214"/>
      <c r="BO115" s="214"/>
      <c r="BP115" s="214"/>
    </row>
    <row r="116" spans="2:68" ht="20" hidden="1" x14ac:dyDescent="0.3">
      <c r="B116" s="560"/>
      <c r="C116" s="560"/>
      <c r="G116" s="998"/>
      <c r="H116"/>
      <c r="I116"/>
      <c r="J116"/>
      <c r="K116"/>
      <c r="L116"/>
      <c r="M116"/>
      <c r="N116"/>
      <c r="O116" s="995"/>
      <c r="BF116" s="298">
        <v>8</v>
      </c>
      <c r="BG116" s="299">
        <f t="shared" si="7"/>
        <v>-172</v>
      </c>
      <c r="BH116" s="42">
        <f t="shared" si="8"/>
        <v>-172</v>
      </c>
      <c r="BI116" s="301">
        <f t="shared" si="4"/>
        <v>-369.17849127142244</v>
      </c>
      <c r="BJ116" s="302">
        <f t="shared" si="5"/>
        <v>369.17849127142244</v>
      </c>
      <c r="BK116" s="302">
        <f t="shared" si="9"/>
        <v>17.821508728577527</v>
      </c>
      <c r="BL116" s="302" t="b">
        <f t="shared" si="6"/>
        <v>0</v>
      </c>
      <c r="BM116" s="304">
        <v>8</v>
      </c>
      <c r="BN116" s="214"/>
      <c r="BO116" s="214"/>
      <c r="BP116" s="214"/>
    </row>
    <row r="117" spans="2:68" ht="20" hidden="1" x14ac:dyDescent="0.3">
      <c r="B117" s="560"/>
      <c r="C117" s="560"/>
      <c r="G117" s="998"/>
      <c r="H117"/>
      <c r="I117"/>
      <c r="J117"/>
      <c r="K117"/>
      <c r="L117"/>
      <c r="M117"/>
      <c r="N117"/>
      <c r="O117" s="995"/>
      <c r="BF117" s="298">
        <v>9</v>
      </c>
      <c r="BG117" s="299">
        <f t="shared" si="7"/>
        <v>-129</v>
      </c>
      <c r="BH117" s="42">
        <f t="shared" si="8"/>
        <v>-129</v>
      </c>
      <c r="BI117" s="301">
        <f t="shared" si="4"/>
        <v>-326.17849127142244</v>
      </c>
      <c r="BJ117" s="302">
        <f t="shared" si="5"/>
        <v>326.17849127142244</v>
      </c>
      <c r="BK117" s="302">
        <f t="shared" si="9"/>
        <v>17.821508728577527</v>
      </c>
      <c r="BL117" s="302" t="b">
        <f t="shared" si="6"/>
        <v>0</v>
      </c>
      <c r="BM117" s="304">
        <v>9</v>
      </c>
      <c r="BN117" s="214"/>
      <c r="BO117" s="214"/>
      <c r="BP117" s="214"/>
    </row>
    <row r="118" spans="2:68" ht="20" hidden="1" x14ac:dyDescent="0.3">
      <c r="B118" s="560"/>
      <c r="C118" s="560"/>
      <c r="G118" s="998"/>
      <c r="H118"/>
      <c r="I118"/>
      <c r="J118"/>
      <c r="K118"/>
      <c r="L118"/>
      <c r="M118"/>
      <c r="N118"/>
      <c r="O118" s="995"/>
      <c r="BF118" s="298">
        <v>10</v>
      </c>
      <c r="BG118" s="299">
        <f t="shared" si="7"/>
        <v>-86</v>
      </c>
      <c r="BH118" s="42">
        <f t="shared" si="8"/>
        <v>-86</v>
      </c>
      <c r="BI118" s="301">
        <f t="shared" si="4"/>
        <v>-283.17849127142244</v>
      </c>
      <c r="BJ118" s="302">
        <f t="shared" si="5"/>
        <v>283.17849127142244</v>
      </c>
      <c r="BK118" s="302">
        <f t="shared" si="9"/>
        <v>17.821508728577527</v>
      </c>
      <c r="BL118" s="302" t="b">
        <f t="shared" si="6"/>
        <v>0</v>
      </c>
      <c r="BM118" s="304">
        <v>10</v>
      </c>
      <c r="BN118" s="214"/>
      <c r="BO118" s="214"/>
      <c r="BP118" s="214"/>
    </row>
    <row r="119" spans="2:68" ht="20" hidden="1" x14ac:dyDescent="0.3">
      <c r="B119" s="560"/>
      <c r="C119" s="560"/>
      <c r="G119" s="998"/>
      <c r="H119"/>
      <c r="I119"/>
      <c r="J119"/>
      <c r="K119"/>
      <c r="L119"/>
      <c r="M119"/>
      <c r="N119"/>
      <c r="O119" s="995"/>
      <c r="BF119" s="298">
        <v>11</v>
      </c>
      <c r="BG119" s="299">
        <f t="shared" si="7"/>
        <v>-43</v>
      </c>
      <c r="BH119" s="42">
        <f t="shared" si="8"/>
        <v>-43</v>
      </c>
      <c r="BI119" s="301">
        <f t="shared" si="4"/>
        <v>-240.17849127142247</v>
      </c>
      <c r="BJ119" s="302">
        <f t="shared" si="5"/>
        <v>240.17849127142247</v>
      </c>
      <c r="BK119" s="302">
        <f t="shared" si="9"/>
        <v>17.821508728577527</v>
      </c>
      <c r="BL119" s="302" t="b">
        <f t="shared" si="6"/>
        <v>0</v>
      </c>
      <c r="BM119" s="304">
        <v>11</v>
      </c>
      <c r="BN119" s="214"/>
      <c r="BO119" s="214"/>
      <c r="BP119" s="214"/>
    </row>
    <row r="120" spans="2:68" ht="20" hidden="1" x14ac:dyDescent="0.3">
      <c r="B120" s="560"/>
      <c r="C120" s="560"/>
      <c r="G120" s="998"/>
      <c r="H120"/>
      <c r="I120"/>
      <c r="J120"/>
      <c r="K120"/>
      <c r="L120"/>
      <c r="M120"/>
      <c r="N120"/>
      <c r="O120" s="995"/>
      <c r="BF120" s="298">
        <v>12</v>
      </c>
      <c r="BG120" s="299">
        <f t="shared" si="7"/>
        <v>0</v>
      </c>
      <c r="BH120" s="42">
        <f t="shared" si="8"/>
        <v>0</v>
      </c>
      <c r="BI120" s="301">
        <f t="shared" si="4"/>
        <v>-197.17849127142247</v>
      </c>
      <c r="BJ120" s="302">
        <f t="shared" si="5"/>
        <v>197.17849127142247</v>
      </c>
      <c r="BK120" s="302">
        <f t="shared" si="9"/>
        <v>17.821508728577527</v>
      </c>
      <c r="BL120" s="302" t="b">
        <f t="shared" si="6"/>
        <v>0</v>
      </c>
      <c r="BM120" s="304">
        <v>12</v>
      </c>
      <c r="BN120" s="214"/>
      <c r="BO120" s="214"/>
      <c r="BP120" s="214"/>
    </row>
    <row r="121" spans="2:68" ht="20" hidden="1" x14ac:dyDescent="0.3">
      <c r="B121" s="560"/>
      <c r="C121" s="560"/>
      <c r="G121" s="998"/>
      <c r="H121"/>
      <c r="I121"/>
      <c r="J121"/>
      <c r="K121"/>
      <c r="L121"/>
      <c r="M121"/>
      <c r="N121"/>
      <c r="O121" s="995"/>
      <c r="BF121" s="298">
        <v>13</v>
      </c>
      <c r="BG121" s="299">
        <f t="shared" si="7"/>
        <v>43</v>
      </c>
      <c r="BH121" s="42">
        <f t="shared" si="8"/>
        <v>43</v>
      </c>
      <c r="BI121" s="301">
        <f t="shared" si="4"/>
        <v>-154.17849127142247</v>
      </c>
      <c r="BJ121" s="302">
        <f t="shared" si="5"/>
        <v>154.17849127142247</v>
      </c>
      <c r="BK121" s="302">
        <f t="shared" si="9"/>
        <v>17.821508728577527</v>
      </c>
      <c r="BL121" s="302" t="b">
        <f t="shared" si="6"/>
        <v>0</v>
      </c>
      <c r="BM121" s="304">
        <v>13</v>
      </c>
      <c r="BN121" s="214"/>
      <c r="BO121" s="214"/>
      <c r="BP121" s="214"/>
    </row>
    <row r="122" spans="2:68" ht="20" hidden="1" x14ac:dyDescent="0.3">
      <c r="B122" s="560"/>
      <c r="C122" s="560"/>
      <c r="G122" s="998"/>
      <c r="H122"/>
      <c r="I122"/>
      <c r="J122"/>
      <c r="K122"/>
      <c r="L122"/>
      <c r="M122"/>
      <c r="N122"/>
      <c r="O122" s="995"/>
      <c r="BF122" s="298">
        <v>14</v>
      </c>
      <c r="BG122" s="299">
        <f t="shared" si="7"/>
        <v>86</v>
      </c>
      <c r="BH122" s="42">
        <f t="shared" si="8"/>
        <v>86</v>
      </c>
      <c r="BI122" s="301">
        <f t="shared" si="4"/>
        <v>-111.17849127142247</v>
      </c>
      <c r="BJ122" s="302">
        <f t="shared" si="5"/>
        <v>111.17849127142247</v>
      </c>
      <c r="BK122" s="302">
        <f t="shared" si="9"/>
        <v>17.821508728577527</v>
      </c>
      <c r="BL122" s="302" t="b">
        <f t="shared" si="6"/>
        <v>0</v>
      </c>
      <c r="BM122" s="304">
        <v>14</v>
      </c>
      <c r="BN122" s="214"/>
      <c r="BO122" s="214"/>
      <c r="BP122" s="214"/>
    </row>
    <row r="123" spans="2:68" ht="20" hidden="1" x14ac:dyDescent="0.3">
      <c r="G123" s="998"/>
      <c r="H123"/>
      <c r="I123"/>
      <c r="J123"/>
      <c r="K123"/>
      <c r="L123"/>
      <c r="M123"/>
      <c r="N123"/>
      <c r="O123" s="995"/>
      <c r="BF123" s="298">
        <v>15</v>
      </c>
      <c r="BG123" s="299">
        <f t="shared" si="7"/>
        <v>129</v>
      </c>
      <c r="BH123" s="42">
        <f t="shared" si="8"/>
        <v>129</v>
      </c>
      <c r="BI123" s="301">
        <f t="shared" si="4"/>
        <v>-68.178491271422473</v>
      </c>
      <c r="BJ123" s="302">
        <f t="shared" si="5"/>
        <v>68.178491271422473</v>
      </c>
      <c r="BK123" s="302">
        <f t="shared" si="9"/>
        <v>17.821508728577527</v>
      </c>
      <c r="BL123" s="302" t="b">
        <f t="shared" si="6"/>
        <v>0</v>
      </c>
      <c r="BM123" s="304">
        <v>15</v>
      </c>
      <c r="BN123" s="214"/>
      <c r="BO123" s="214"/>
      <c r="BP123" s="214"/>
    </row>
    <row r="124" spans="2:68" ht="128" hidden="1" x14ac:dyDescent="0.3"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BF124" s="298">
        <v>16</v>
      </c>
      <c r="BG124" s="299">
        <f t="shared" si="7"/>
        <v>172</v>
      </c>
      <c r="BH124" s="42">
        <f t="shared" si="8"/>
        <v>172</v>
      </c>
      <c r="BI124" s="301">
        <f t="shared" si="4"/>
        <v>-25.178491271422473</v>
      </c>
      <c r="BJ124" s="302">
        <f t="shared" si="5"/>
        <v>25.178491271422473</v>
      </c>
      <c r="BK124" s="302">
        <f t="shared" si="9"/>
        <v>17.821508728577527</v>
      </c>
      <c r="BL124" s="302" t="b">
        <f t="shared" si="6"/>
        <v>0</v>
      </c>
      <c r="BM124" s="304">
        <v>16</v>
      </c>
      <c r="BN124" s="214"/>
      <c r="BO124" s="214"/>
      <c r="BP124" s="214"/>
    </row>
    <row r="125" spans="2:68" ht="87" hidden="1" thickBot="1" x14ac:dyDescent="0.35"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BF125" s="298">
        <v>17</v>
      </c>
      <c r="BG125" s="299">
        <f t="shared" si="7"/>
        <v>215</v>
      </c>
      <c r="BH125" s="42">
        <f t="shared" si="8"/>
        <v>215</v>
      </c>
      <c r="BI125" s="301">
        <f t="shared" si="4"/>
        <v>17.821508728577527</v>
      </c>
      <c r="BJ125" s="302">
        <f t="shared" si="5"/>
        <v>17.821508728577527</v>
      </c>
      <c r="BK125" s="302">
        <f t="shared" si="9"/>
        <v>17.821508728577527</v>
      </c>
      <c r="BL125" s="302">
        <f t="shared" si="6"/>
        <v>17</v>
      </c>
      <c r="BM125" s="304">
        <v>17</v>
      </c>
      <c r="BN125" s="214"/>
      <c r="BO125" s="214"/>
      <c r="BP125" s="214"/>
    </row>
    <row r="126" spans="2:68" ht="122" hidden="1" thickBot="1" x14ac:dyDescent="0.35">
      <c r="G126" s="998"/>
      <c r="H126" s="1087" t="s">
        <v>265</v>
      </c>
      <c r="I126" s="1080">
        <f>+MIN(K31:L32)</f>
        <v>71.716194516683913</v>
      </c>
      <c r="J126" s="1080">
        <f>+MIN(J37:K38)</f>
        <v>120.03000750187546</v>
      </c>
      <c r="K126" s="1082">
        <f>+MIN(J43:L44)</f>
        <v>120.03000750187546</v>
      </c>
      <c r="L126" s="1083">
        <f>+MIN(J49:L50)</f>
        <v>51.936060938311492</v>
      </c>
      <c r="M126" s="1084">
        <f>+MIN(J55:L56)</f>
        <v>120.03000750187546</v>
      </c>
      <c r="N126"/>
      <c r="O126" s="995"/>
      <c r="BF126" s="298">
        <v>18</v>
      </c>
      <c r="BG126" s="299">
        <f t="shared" si="7"/>
        <v>258</v>
      </c>
      <c r="BH126" s="42">
        <f t="shared" si="8"/>
        <v>258</v>
      </c>
      <c r="BI126" s="301">
        <f t="shared" si="4"/>
        <v>60.821508728577527</v>
      </c>
      <c r="BJ126" s="302">
        <f t="shared" si="5"/>
        <v>60.821508728577527</v>
      </c>
      <c r="BK126" s="302">
        <f t="shared" si="9"/>
        <v>17.821508728577527</v>
      </c>
      <c r="BL126" s="302" t="b">
        <f t="shared" si="6"/>
        <v>0</v>
      </c>
      <c r="BM126" s="304">
        <v>18</v>
      </c>
      <c r="BN126" s="214"/>
      <c r="BO126" s="214"/>
      <c r="BP126" s="214"/>
    </row>
    <row r="127" spans="2:68" ht="20" hidden="1" x14ac:dyDescent="0.3">
      <c r="G127" s="1011"/>
      <c r="H127" s="131"/>
      <c r="I127" s="131"/>
      <c r="J127" s="131"/>
      <c r="K127" s="131"/>
      <c r="L127" s="131"/>
      <c r="M127" s="131"/>
      <c r="N127" s="131"/>
      <c r="O127" s="1012"/>
      <c r="BF127" s="298">
        <v>19</v>
      </c>
      <c r="BG127" s="299">
        <f t="shared" si="7"/>
        <v>301</v>
      </c>
      <c r="BH127" s="42">
        <f t="shared" si="8"/>
        <v>301</v>
      </c>
      <c r="BI127" s="301">
        <f t="shared" si="4"/>
        <v>103.82150872857753</v>
      </c>
      <c r="BJ127" s="302">
        <f t="shared" si="5"/>
        <v>103.82150872857753</v>
      </c>
      <c r="BK127" s="302">
        <f t="shared" si="9"/>
        <v>17.821508728577527</v>
      </c>
      <c r="BL127" s="302" t="b">
        <f t="shared" si="6"/>
        <v>0</v>
      </c>
      <c r="BM127" s="304">
        <v>19</v>
      </c>
      <c r="BN127" s="214"/>
      <c r="BO127" s="214"/>
      <c r="BP127" s="214"/>
    </row>
    <row r="128" spans="2:68" ht="30" hidden="1" x14ac:dyDescent="0.3">
      <c r="G128" s="998"/>
      <c r="H128" s="201"/>
      <c r="I128" s="201"/>
      <c r="J128" s="201"/>
      <c r="K128" s="201"/>
      <c r="L128" s="201"/>
      <c r="M128" s="201"/>
      <c r="N128" s="201"/>
      <c r="O128" s="1013"/>
      <c r="BF128" s="298">
        <v>20</v>
      </c>
      <c r="BG128" s="299">
        <f t="shared" si="7"/>
        <v>344</v>
      </c>
      <c r="BH128" s="42">
        <f t="shared" si="8"/>
        <v>344</v>
      </c>
      <c r="BI128" s="301">
        <f t="shared" si="4"/>
        <v>146.82150872857753</v>
      </c>
      <c r="BJ128" s="302">
        <f t="shared" si="5"/>
        <v>146.82150872857753</v>
      </c>
      <c r="BK128" s="302">
        <f t="shared" si="9"/>
        <v>17.821508728577527</v>
      </c>
      <c r="BL128" s="302" t="b">
        <f t="shared" si="6"/>
        <v>0</v>
      </c>
      <c r="BM128" s="304">
        <v>20</v>
      </c>
      <c r="BN128" s="214"/>
      <c r="BO128" s="214"/>
      <c r="BP128" s="214"/>
    </row>
    <row r="129" spans="2:109" ht="20" hidden="1" x14ac:dyDescent="0.3">
      <c r="G129" s="998"/>
      <c r="H129"/>
      <c r="I129"/>
      <c r="J129"/>
      <c r="K129"/>
      <c r="L129"/>
      <c r="M129"/>
      <c r="N129"/>
      <c r="O129" s="995"/>
      <c r="BF129" s="298">
        <v>21</v>
      </c>
      <c r="BG129" s="299">
        <f t="shared" si="7"/>
        <v>387</v>
      </c>
      <c r="BH129" s="42">
        <f t="shared" si="8"/>
        <v>387</v>
      </c>
      <c r="BI129" s="301">
        <f t="shared" si="4"/>
        <v>189.82150872857753</v>
      </c>
      <c r="BJ129" s="302">
        <f t="shared" si="5"/>
        <v>189.82150872857753</v>
      </c>
      <c r="BK129" s="302">
        <f t="shared" si="9"/>
        <v>17.821508728577527</v>
      </c>
      <c r="BL129" s="302" t="b">
        <f t="shared" si="6"/>
        <v>0</v>
      </c>
      <c r="BM129" s="304">
        <v>21</v>
      </c>
      <c r="BN129" s="214"/>
      <c r="BO129" s="214"/>
      <c r="BP129" s="214"/>
    </row>
    <row r="130" spans="2:109" ht="24" hidden="1" x14ac:dyDescent="0.3"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BF130" s="298">
        <v>22</v>
      </c>
      <c r="BG130" s="299">
        <f t="shared" si="7"/>
        <v>430</v>
      </c>
      <c r="BH130" s="42">
        <f t="shared" si="8"/>
        <v>430</v>
      </c>
      <c r="BI130" s="301">
        <f t="shared" si="4"/>
        <v>232.82150872857753</v>
      </c>
      <c r="BJ130" s="302">
        <f t="shared" si="5"/>
        <v>232.82150872857753</v>
      </c>
      <c r="BK130" s="302">
        <f t="shared" si="9"/>
        <v>17.821508728577527</v>
      </c>
      <c r="BL130" s="302" t="b">
        <f t="shared" si="6"/>
        <v>0</v>
      </c>
      <c r="BM130" s="304">
        <v>22</v>
      </c>
      <c r="BN130" s="214"/>
      <c r="BO130" s="214"/>
      <c r="BP130" s="214"/>
    </row>
    <row r="131" spans="2:109" ht="24" hidden="1" x14ac:dyDescent="0.3">
      <c r="G131" s="1014"/>
      <c r="H131" s="209"/>
      <c r="I131" s="1085">
        <f>COUNTIF(CL99:DB99,"&gt;0")</f>
        <v>1</v>
      </c>
      <c r="J131" s="1085">
        <f>COUNTIF(BR99:CH99,"&gt;0")</f>
        <v>1</v>
      </c>
      <c r="K131" s="1085" t="b">
        <f>AND(IF(SUM(BR101:CB101)&gt;0,1,0),IF(CQ101="6  ADS ",1,0))</f>
        <v>1</v>
      </c>
      <c r="L131" s="1085" t="b">
        <f>AND(IF(SUM(CR101:DB101)&gt;0,1,0),IF(CC101="6  ADS ",1,0))</f>
        <v>0</v>
      </c>
      <c r="M131" s="1085" t="b">
        <f>AND(IF(CQ101="6  ADS ",1,0),IF(CC101="6  ADS ",1,0))</f>
        <v>0</v>
      </c>
      <c r="N131" s="209"/>
      <c r="O131" s="1015"/>
      <c r="BF131" s="298">
        <v>23</v>
      </c>
      <c r="BG131" s="299">
        <f t="shared" si="7"/>
        <v>473</v>
      </c>
      <c r="BH131" s="42">
        <f t="shared" si="8"/>
        <v>473</v>
      </c>
      <c r="BI131" s="301">
        <f t="shared" si="4"/>
        <v>275.82150872857756</v>
      </c>
      <c r="BJ131" s="302">
        <f t="shared" si="5"/>
        <v>275.82150872857756</v>
      </c>
      <c r="BK131" s="302">
        <f t="shared" si="9"/>
        <v>17.821508728577527</v>
      </c>
      <c r="BL131" s="302" t="b">
        <f t="shared" si="6"/>
        <v>0</v>
      </c>
      <c r="BM131" s="304">
        <v>23</v>
      </c>
      <c r="BN131" s="214"/>
      <c r="BO131" s="214"/>
      <c r="BP131" s="214"/>
    </row>
    <row r="132" spans="2:109" ht="25" hidden="1" thickBot="1" x14ac:dyDescent="0.35">
      <c r="G132" s="1016"/>
      <c r="H132" s="1017"/>
      <c r="I132" s="1086">
        <f>IF(I131=2,I126,0)</f>
        <v>0</v>
      </c>
      <c r="J132" s="1086">
        <f>IF(J131=2,J126,0)</f>
        <v>0</v>
      </c>
      <c r="K132" s="1086">
        <f t="shared" ref="K132:M132" si="10">IF(K131=TRUE,K126,0)</f>
        <v>120.03000750187546</v>
      </c>
      <c r="L132" s="1086">
        <f t="shared" si="10"/>
        <v>0</v>
      </c>
      <c r="M132" s="1086">
        <f t="shared" si="10"/>
        <v>0</v>
      </c>
      <c r="N132" s="1017"/>
      <c r="O132" s="1018"/>
      <c r="BF132" s="298">
        <v>24</v>
      </c>
      <c r="BG132" s="299">
        <f t="shared" si="7"/>
        <v>516</v>
      </c>
      <c r="BH132" s="42">
        <f t="shared" si="8"/>
        <v>516</v>
      </c>
      <c r="BI132" s="301">
        <f t="shared" si="4"/>
        <v>318.82150872857756</v>
      </c>
      <c r="BJ132" s="302">
        <f t="shared" si="5"/>
        <v>318.82150872857756</v>
      </c>
      <c r="BK132" s="302">
        <f t="shared" si="9"/>
        <v>17.821508728577527</v>
      </c>
      <c r="BL132" s="302" t="b">
        <f t="shared" si="6"/>
        <v>0</v>
      </c>
      <c r="BM132" s="304">
        <v>24</v>
      </c>
      <c r="BN132" s="214"/>
      <c r="BO132" s="214"/>
      <c r="BP132" s="214"/>
    </row>
    <row r="133" spans="2:109" ht="48" customHeight="1" thickBot="1" x14ac:dyDescent="0.35">
      <c r="B133" s="1866" t="s">
        <v>116</v>
      </c>
      <c r="C133" s="606"/>
      <c r="D133" s="341" t="str">
        <f>IF(BM107&gt;0," ","change the angle of frame or of cabinets")</f>
        <v xml:space="preserve"> </v>
      </c>
      <c r="E133" s="607"/>
      <c r="F133" s="607"/>
      <c r="G133" s="607"/>
      <c r="BF133" s="298">
        <v>25</v>
      </c>
      <c r="BG133" s="299">
        <f t="shared" si="7"/>
        <v>559</v>
      </c>
      <c r="BH133" s="42">
        <f t="shared" si="8"/>
        <v>559</v>
      </c>
      <c r="BI133" s="301">
        <f t="shared" si="4"/>
        <v>361.82150872857756</v>
      </c>
      <c r="BJ133" s="302">
        <f t="shared" si="5"/>
        <v>361.82150872857756</v>
      </c>
      <c r="BK133" s="302">
        <f t="shared" si="9"/>
        <v>17.821508728577527</v>
      </c>
      <c r="BL133" s="302" t="b">
        <f t="shared" si="6"/>
        <v>0</v>
      </c>
      <c r="BM133" s="304">
        <v>25</v>
      </c>
      <c r="BN133" s="214"/>
      <c r="BO133" s="214"/>
      <c r="BP133" s="214"/>
      <c r="DE133" s="91"/>
    </row>
    <row r="134" spans="2:109" ht="48" customHeight="1" thickBot="1" x14ac:dyDescent="0.35">
      <c r="B134" s="1867"/>
      <c r="D134" s="341" t="str">
        <f>IF(DE107&lt;0," ","change the angle of frame or of cabinets")</f>
        <v xml:space="preserve"> </v>
      </c>
      <c r="E134" s="607"/>
      <c r="F134" s="607"/>
      <c r="G134" s="607"/>
      <c r="V134" s="608"/>
      <c r="W134" s="608"/>
      <c r="X134" s="608"/>
      <c r="Y134" s="608"/>
      <c r="Z134" s="608"/>
      <c r="AA134" s="608"/>
      <c r="AF134" s="588"/>
      <c r="AG134" s="588"/>
      <c r="AH134" s="588"/>
      <c r="AI134" s="588"/>
      <c r="AJ134" s="588"/>
      <c r="AK134" s="588"/>
      <c r="AL134" s="588"/>
      <c r="AM134" s="588"/>
      <c r="AN134" s="588"/>
      <c r="AO134" s="588"/>
      <c r="AP134" s="588"/>
      <c r="AQ134" s="588"/>
      <c r="AR134" s="588"/>
      <c r="AS134" s="588"/>
      <c r="AT134" s="588"/>
      <c r="AU134" s="588"/>
      <c r="AV134" s="588"/>
      <c r="AW134" s="588"/>
      <c r="AX134" s="588"/>
      <c r="AY134" s="588"/>
      <c r="AZ134" s="588"/>
      <c r="BA134" s="588"/>
      <c r="BB134" s="588"/>
      <c r="BF134" s="298">
        <v>26</v>
      </c>
      <c r="BG134" s="299">
        <f t="shared" si="7"/>
        <v>602</v>
      </c>
      <c r="BH134" s="42">
        <f t="shared" si="8"/>
        <v>602</v>
      </c>
      <c r="BI134" s="301">
        <f t="shared" si="4"/>
        <v>404.82150872857756</v>
      </c>
      <c r="BJ134" s="302">
        <f t="shared" si="5"/>
        <v>404.82150872857756</v>
      </c>
      <c r="BK134" s="302">
        <f t="shared" si="9"/>
        <v>17.821508728577527</v>
      </c>
      <c r="BL134" s="302" t="b">
        <f t="shared" si="6"/>
        <v>0</v>
      </c>
      <c r="BM134" s="304">
        <v>26</v>
      </c>
      <c r="BN134" s="214"/>
      <c r="BO134" s="214"/>
      <c r="BP134" s="214"/>
    </row>
    <row r="135" spans="2:109" ht="48" customHeight="1" thickBot="1" x14ac:dyDescent="0.35">
      <c r="B135" s="1868"/>
      <c r="C135" s="609"/>
      <c r="D135" s="341" t="str">
        <f>IF(BM107&gt;(+COS(($B$136*-1)*3.14159265358979/180)*451.5)," ","USE EXBAR AR AT THE FRONT")</f>
        <v xml:space="preserve"> </v>
      </c>
      <c r="E135" s="607"/>
      <c r="F135" s="607"/>
      <c r="G135" s="607"/>
      <c r="U135" s="569"/>
      <c r="AB135" s="569"/>
      <c r="AC135" s="569"/>
      <c r="AD135" s="569"/>
      <c r="AE135" s="569"/>
      <c r="BF135" s="298">
        <v>27</v>
      </c>
      <c r="BG135" s="299">
        <f t="shared" si="7"/>
        <v>645</v>
      </c>
      <c r="BH135" s="42">
        <f t="shared" si="8"/>
        <v>645</v>
      </c>
      <c r="BI135" s="301">
        <f t="shared" si="4"/>
        <v>447.82150872857756</v>
      </c>
      <c r="BJ135" s="302">
        <f t="shared" si="5"/>
        <v>447.82150872857756</v>
      </c>
      <c r="BK135" s="302">
        <f t="shared" si="9"/>
        <v>17.821508728577527</v>
      </c>
      <c r="BL135" s="302" t="b">
        <f t="shared" si="6"/>
        <v>0</v>
      </c>
      <c r="BM135" s="304">
        <v>27</v>
      </c>
      <c r="BN135" s="214"/>
      <c r="BO135" s="214"/>
      <c r="BP135" s="214"/>
    </row>
    <row r="136" spans="2:109" ht="48" customHeight="1" thickBot="1" x14ac:dyDescent="0.35">
      <c r="B136" s="1">
        <v>0</v>
      </c>
      <c r="C136" s="609"/>
      <c r="D136" s="341" t="str">
        <f>IF(DE107&lt;-(+COS(($B$136*-1)*3.14159265358979/180)*365.5)," ","USE EXBAR AR AT THE BACK")</f>
        <v xml:space="preserve"> </v>
      </c>
      <c r="E136" s="607"/>
      <c r="F136" s="607"/>
      <c r="G136" s="607"/>
      <c r="BF136" s="298">
        <v>28</v>
      </c>
      <c r="BG136" s="299">
        <f t="shared" si="7"/>
        <v>688</v>
      </c>
      <c r="BH136" s="42">
        <f t="shared" si="8"/>
        <v>688</v>
      </c>
      <c r="BI136" s="301">
        <f t="shared" si="4"/>
        <v>490.82150872857756</v>
      </c>
      <c r="BJ136" s="302">
        <f t="shared" si="5"/>
        <v>490.82150872857756</v>
      </c>
      <c r="BK136" s="302">
        <f t="shared" si="9"/>
        <v>17.821508728577527</v>
      </c>
      <c r="BL136" s="302" t="b">
        <f t="shared" si="6"/>
        <v>0</v>
      </c>
      <c r="BM136" s="304">
        <v>28</v>
      </c>
      <c r="BN136" s="214"/>
      <c r="BO136" s="214"/>
      <c r="BP136" s="214"/>
    </row>
    <row r="137" spans="2:109" ht="15.75" hidden="1" customHeight="1" x14ac:dyDescent="0.3">
      <c r="BF137" s="298">
        <v>29</v>
      </c>
      <c r="BG137" s="299">
        <f t="shared" si="7"/>
        <v>731</v>
      </c>
      <c r="BH137" s="42">
        <f t="shared" si="8"/>
        <v>731</v>
      </c>
      <c r="BI137" s="301">
        <f t="shared" si="4"/>
        <v>533.82150872857756</v>
      </c>
      <c r="BJ137" s="302">
        <f t="shared" si="5"/>
        <v>533.82150872857756</v>
      </c>
      <c r="BK137" s="302">
        <f t="shared" si="9"/>
        <v>17.821508728577527</v>
      </c>
      <c r="BL137" s="302" t="b">
        <f t="shared" si="6"/>
        <v>0</v>
      </c>
      <c r="BM137" s="304">
        <v>29</v>
      </c>
      <c r="BN137" s="214"/>
      <c r="BO137" s="214"/>
      <c r="BP137" s="214"/>
    </row>
    <row r="138" spans="2:109" ht="15.75" hidden="1" customHeight="1" x14ac:dyDescent="0.3">
      <c r="U138" s="610"/>
      <c r="AG138" s="611"/>
      <c r="AH138" s="612"/>
      <c r="BF138" s="298">
        <v>30</v>
      </c>
      <c r="BG138" s="299">
        <f t="shared" si="7"/>
        <v>774</v>
      </c>
      <c r="BH138" s="42">
        <f t="shared" si="8"/>
        <v>774</v>
      </c>
      <c r="BI138" s="301">
        <f t="shared" si="4"/>
        <v>576.82150872857756</v>
      </c>
      <c r="BJ138" s="302">
        <f t="shared" si="5"/>
        <v>576.82150872857756</v>
      </c>
      <c r="BK138" s="302">
        <f t="shared" si="9"/>
        <v>17.821508728577527</v>
      </c>
      <c r="BL138" s="302" t="b">
        <f t="shared" si="6"/>
        <v>0</v>
      </c>
      <c r="BM138" s="304">
        <v>30</v>
      </c>
      <c r="BN138" s="214"/>
      <c r="BO138" s="214"/>
      <c r="BP138" s="214"/>
    </row>
    <row r="139" spans="2:109" ht="15.75" hidden="1" customHeight="1" x14ac:dyDescent="0.3">
      <c r="B139" s="613"/>
      <c r="U139" s="610"/>
      <c r="BF139" s="298">
        <v>31</v>
      </c>
      <c r="BG139" s="299">
        <f t="shared" si="7"/>
        <v>817</v>
      </c>
      <c r="BH139" s="42">
        <f t="shared" si="8"/>
        <v>817</v>
      </c>
      <c r="BI139" s="301">
        <f t="shared" si="4"/>
        <v>619.82150872857756</v>
      </c>
      <c r="BJ139" s="302">
        <f t="shared" si="5"/>
        <v>619.82150872857756</v>
      </c>
      <c r="BK139" s="302">
        <f t="shared" si="9"/>
        <v>17.821508728577527</v>
      </c>
      <c r="BL139" s="302" t="b">
        <f t="shared" si="6"/>
        <v>0</v>
      </c>
      <c r="BM139" s="304">
        <v>31</v>
      </c>
      <c r="BN139" s="214"/>
      <c r="BO139" s="214"/>
      <c r="BP139" s="214"/>
    </row>
    <row r="140" spans="2:109" ht="15.75" hidden="1" customHeight="1" thickBot="1" x14ac:dyDescent="0.35">
      <c r="B140" s="613"/>
      <c r="AB140" s="613"/>
      <c r="AC140" s="613"/>
      <c r="AD140" s="613"/>
      <c r="AE140" s="613"/>
      <c r="BF140" s="298">
        <v>32</v>
      </c>
      <c r="BG140" s="299">
        <f t="shared" si="7"/>
        <v>860</v>
      </c>
      <c r="BH140" s="42">
        <f t="shared" si="8"/>
        <v>860</v>
      </c>
      <c r="BI140" s="301">
        <f t="shared" si="4"/>
        <v>662.82150872857756</v>
      </c>
      <c r="BJ140" s="302">
        <f t="shared" si="5"/>
        <v>662.82150872857756</v>
      </c>
      <c r="BK140" s="302">
        <f t="shared" si="9"/>
        <v>17.821508728577527</v>
      </c>
      <c r="BL140" s="302" t="b">
        <f t="shared" si="6"/>
        <v>0</v>
      </c>
      <c r="BM140" s="304">
        <v>32</v>
      </c>
      <c r="BN140" s="214"/>
      <c r="BO140" s="214"/>
      <c r="BP140" s="214"/>
    </row>
    <row r="141" spans="2:109" ht="15.75" hidden="1" customHeight="1" x14ac:dyDescent="0.3">
      <c r="V141" s="569"/>
      <c r="W141" s="614" t="s">
        <v>103</v>
      </c>
      <c r="X141" s="614"/>
      <c r="Y141" s="614"/>
      <c r="Z141" s="614"/>
      <c r="AA141" s="614"/>
      <c r="AB141" s="569"/>
      <c r="AC141" s="569"/>
      <c r="AD141" s="569"/>
      <c r="AE141" s="569"/>
      <c r="AF141" s="569"/>
      <c r="AG141" s="569"/>
      <c r="AH141" s="569"/>
      <c r="AI141" s="569"/>
      <c r="AJ141" s="569"/>
      <c r="AK141" s="797" t="s">
        <v>174</v>
      </c>
      <c r="AL141" s="794"/>
      <c r="AM141" s="794"/>
      <c r="AN141" s="794"/>
      <c r="AO141" s="876" t="s">
        <v>178</v>
      </c>
      <c r="AP141" s="569"/>
      <c r="AQ141" s="569"/>
      <c r="AR141" s="569"/>
      <c r="AS141" s="569"/>
      <c r="AT141" s="569"/>
      <c r="AU141" s="569"/>
      <c r="AV141" s="569"/>
      <c r="AW141" s="569"/>
      <c r="AX141" s="569"/>
      <c r="AY141" s="569"/>
      <c r="AZ141" s="569"/>
      <c r="BA141" s="569"/>
      <c r="BB141" s="569"/>
      <c r="BF141" s="298">
        <v>33</v>
      </c>
      <c r="BG141" s="299">
        <f t="shared" si="7"/>
        <v>903</v>
      </c>
      <c r="BH141" s="42">
        <f t="shared" si="8"/>
        <v>903</v>
      </c>
      <c r="BI141" s="301">
        <f t="shared" si="4"/>
        <v>705.82150872857756</v>
      </c>
      <c r="BJ141" s="302">
        <f t="shared" si="5"/>
        <v>705.82150872857756</v>
      </c>
      <c r="BK141" s="302">
        <f t="shared" si="9"/>
        <v>17.821508728577527</v>
      </c>
      <c r="BL141" s="302" t="b">
        <f t="shared" si="6"/>
        <v>0</v>
      </c>
      <c r="BM141" s="304">
        <v>33</v>
      </c>
      <c r="BN141" s="214"/>
      <c r="BO141" s="214"/>
      <c r="BP141" s="214"/>
    </row>
    <row r="142" spans="2:109" ht="21.75" customHeight="1" thickBot="1" x14ac:dyDescent="0.35">
      <c r="V142" s="569"/>
      <c r="W142" s="569"/>
      <c r="X142" s="569"/>
      <c r="Y142" s="569"/>
      <c r="Z142" s="569"/>
      <c r="AA142" s="569"/>
      <c r="AB142" s="569"/>
      <c r="AC142" s="569"/>
      <c r="AD142" s="569"/>
      <c r="AE142" s="569"/>
      <c r="AF142" s="569"/>
      <c r="AG142" s="569"/>
      <c r="AH142" s="569"/>
      <c r="AI142" s="569"/>
      <c r="AJ142" s="569"/>
      <c r="AK142" s="877" t="s">
        <v>175</v>
      </c>
      <c r="AL142" s="797" t="s">
        <v>176</v>
      </c>
      <c r="AM142" s="797" t="s">
        <v>177</v>
      </c>
      <c r="AN142" s="798" t="s">
        <v>181</v>
      </c>
      <c r="AO142" s="799" t="s">
        <v>179</v>
      </c>
      <c r="AP142" s="569"/>
      <c r="AQ142" s="569"/>
      <c r="AR142" s="569"/>
      <c r="AS142" s="569"/>
      <c r="AT142" s="569"/>
      <c r="AU142" s="569"/>
      <c r="AV142" s="569"/>
      <c r="AW142" s="569"/>
      <c r="AX142" s="569"/>
      <c r="AY142" s="569"/>
      <c r="AZ142" s="569"/>
      <c r="BA142" s="569"/>
      <c r="BB142" s="569"/>
      <c r="BF142" s="298">
        <v>34</v>
      </c>
      <c r="BG142" s="299">
        <f t="shared" si="7"/>
        <v>946</v>
      </c>
      <c r="BH142" s="42">
        <f t="shared" si="8"/>
        <v>946</v>
      </c>
      <c r="BI142" s="301">
        <f t="shared" si="4"/>
        <v>748.82150872857756</v>
      </c>
      <c r="BJ142" s="302">
        <f t="shared" si="5"/>
        <v>748.82150872857756</v>
      </c>
      <c r="BK142" s="302">
        <f t="shared" si="9"/>
        <v>17.821508728577527</v>
      </c>
      <c r="BL142" s="302" t="b">
        <f t="shared" si="6"/>
        <v>0</v>
      </c>
      <c r="BM142" s="304">
        <v>34</v>
      </c>
      <c r="BN142" s="214"/>
      <c r="BO142" s="214"/>
      <c r="BP142" s="214"/>
    </row>
    <row r="143" spans="2:109" ht="88.5" customHeight="1" thickBot="1" x14ac:dyDescent="0.35">
      <c r="B143" s="615" t="s">
        <v>118</v>
      </c>
      <c r="C143" s="616"/>
      <c r="D143" s="617"/>
      <c r="E143" s="618"/>
      <c r="F143" s="618"/>
      <c r="G143" s="618"/>
      <c r="H143" s="619"/>
      <c r="I143" s="619"/>
      <c r="J143" s="619"/>
      <c r="K143" s="619"/>
      <c r="L143" s="619"/>
      <c r="M143" s="619"/>
      <c r="N143" s="619"/>
      <c r="O143" s="619"/>
      <c r="P143" s="619"/>
      <c r="Q143" s="619"/>
      <c r="R143" s="619"/>
      <c r="S143" s="619" t="s">
        <v>81</v>
      </c>
      <c r="T143" s="620">
        <f>SUM(V147:V166)/B144</f>
        <v>213.83080000000001</v>
      </c>
      <c r="U143" s="621"/>
      <c r="V143" s="569"/>
      <c r="W143" s="622" t="s">
        <v>140</v>
      </c>
      <c r="X143" s="623" t="s">
        <v>94</v>
      </c>
      <c r="Y143" s="622" t="s">
        <v>156</v>
      </c>
      <c r="Z143" s="624" t="s">
        <v>95</v>
      </c>
      <c r="AA143" s="624" t="s">
        <v>96</v>
      </c>
      <c r="AB143" s="569"/>
      <c r="AC143" s="569"/>
      <c r="AD143" s="569"/>
      <c r="AE143" s="569"/>
      <c r="AF143" s="569"/>
      <c r="AG143" s="569"/>
      <c r="AH143" s="569"/>
      <c r="AI143" s="569"/>
      <c r="AJ143" s="569"/>
      <c r="AK143" s="877">
        <v>6.8623010000000004</v>
      </c>
      <c r="AL143" s="797">
        <f>+$B$136-AK143</f>
        <v>-6.8623010000000004</v>
      </c>
      <c r="AM143" s="800">
        <f>COS(AL143*3.14159265358979/180)</f>
        <v>0.99283617366519983</v>
      </c>
      <c r="AN143" s="793">
        <f>+AM143*378.71303</f>
        <v>375.99999562235405</v>
      </c>
      <c r="AO143" s="801">
        <f>+((AO147*AQ147)+(AN143*31))/(AQ147+31)</f>
        <v>244.67850497402543</v>
      </c>
      <c r="AP143" s="569"/>
      <c r="AQ143" s="569"/>
      <c r="AR143" s="569"/>
      <c r="AS143" s="569"/>
      <c r="AT143" s="569"/>
      <c r="AU143" s="569"/>
      <c r="AV143" s="569"/>
      <c r="AW143" s="569"/>
      <c r="AX143" s="569"/>
      <c r="AY143" s="569"/>
      <c r="AZ143" s="569"/>
      <c r="BA143" s="569"/>
      <c r="BB143" s="569"/>
      <c r="BF143" s="298">
        <v>35</v>
      </c>
      <c r="BG143" s="299">
        <f t="shared" si="7"/>
        <v>989</v>
      </c>
      <c r="BH143" s="42">
        <f t="shared" si="8"/>
        <v>989</v>
      </c>
      <c r="BI143" s="301">
        <f t="shared" si="4"/>
        <v>791.82150872857756</v>
      </c>
      <c r="BJ143" s="302">
        <f t="shared" si="5"/>
        <v>791.82150872857756</v>
      </c>
      <c r="BK143" s="302">
        <f t="shared" si="9"/>
        <v>17.821508728577527</v>
      </c>
      <c r="BL143" s="302" t="b">
        <f t="shared" si="6"/>
        <v>0</v>
      </c>
      <c r="BM143" s="304">
        <v>35</v>
      </c>
      <c r="BN143" s="214"/>
      <c r="BO143" s="214"/>
      <c r="BP143" s="214"/>
    </row>
    <row r="144" spans="2:109" ht="30.75" customHeight="1" thickBot="1" x14ac:dyDescent="0.35">
      <c r="B144" s="33">
        <v>1</v>
      </c>
      <c r="C144" s="625"/>
      <c r="D144" s="626" t="s">
        <v>117</v>
      </c>
      <c r="E144" s="685"/>
      <c r="F144" s="931"/>
      <c r="G144" s="932"/>
      <c r="H144" s="932"/>
      <c r="I144" s="932"/>
      <c r="J144" s="932"/>
      <c r="K144" s="932"/>
      <c r="L144" s="932"/>
      <c r="M144" s="932"/>
      <c r="N144" s="932"/>
      <c r="O144" s="932"/>
      <c r="P144" s="932"/>
      <c r="Q144" s="932"/>
      <c r="R144" s="932"/>
      <c r="S144" s="932"/>
      <c r="T144" s="932"/>
      <c r="U144" s="588"/>
      <c r="V144" s="627"/>
      <c r="AB144" s="627"/>
      <c r="AC144" s="627"/>
      <c r="AD144" s="627"/>
      <c r="AE144" s="627"/>
      <c r="AF144" s="627"/>
      <c r="AG144" s="627"/>
      <c r="AH144" s="627"/>
      <c r="AI144" s="627"/>
      <c r="AJ144" s="627"/>
      <c r="AK144" s="627"/>
      <c r="AL144" s="627"/>
      <c r="AM144" s="627"/>
      <c r="AN144" s="627"/>
      <c r="AO144" s="627"/>
      <c r="AP144" s="627"/>
      <c r="AQ144" s="627"/>
      <c r="AR144" s="627"/>
      <c r="AS144" s="627"/>
      <c r="AT144" s="627"/>
      <c r="AU144" s="627"/>
      <c r="AV144" s="627"/>
      <c r="AW144" s="627"/>
      <c r="AX144" s="627"/>
      <c r="AY144" s="627"/>
      <c r="AZ144" s="1860" t="s">
        <v>52</v>
      </c>
      <c r="BA144" s="1861"/>
      <c r="BB144" s="627"/>
      <c r="BF144" s="298">
        <v>36</v>
      </c>
      <c r="BG144" s="299">
        <f t="shared" si="7"/>
        <v>1032</v>
      </c>
      <c r="BH144" s="42">
        <f t="shared" si="8"/>
        <v>1032</v>
      </c>
      <c r="BI144" s="301">
        <f t="shared" si="4"/>
        <v>834.82150872857756</v>
      </c>
      <c r="BJ144" s="302">
        <f t="shared" si="5"/>
        <v>834.82150872857756</v>
      </c>
      <c r="BK144" s="302">
        <f t="shared" si="9"/>
        <v>17.821508728577527</v>
      </c>
      <c r="BL144" s="302" t="b">
        <f t="shared" si="6"/>
        <v>0</v>
      </c>
      <c r="BM144" s="304">
        <v>36</v>
      </c>
      <c r="BN144" s="214"/>
      <c r="BO144" s="214"/>
      <c r="BP144" s="214"/>
    </row>
    <row r="145" spans="1:88" ht="15.75" hidden="1" customHeight="1" thickBot="1" x14ac:dyDescent="0.35">
      <c r="C145" s="606"/>
      <c r="D145" s="619" t="s">
        <v>13</v>
      </c>
      <c r="E145" s="619"/>
      <c r="F145" s="619"/>
      <c r="G145" s="619"/>
      <c r="H145" s="500" t="s">
        <v>4</v>
      </c>
      <c r="I145" s="500" t="s">
        <v>1</v>
      </c>
      <c r="J145" s="619" t="s">
        <v>0</v>
      </c>
      <c r="K145" s="619" t="s">
        <v>2</v>
      </c>
      <c r="L145" s="619" t="s">
        <v>3</v>
      </c>
      <c r="M145" s="619" t="s">
        <v>8</v>
      </c>
      <c r="N145" s="619" t="s">
        <v>5</v>
      </c>
      <c r="O145" s="619" t="s">
        <v>6</v>
      </c>
      <c r="P145" s="619" t="s">
        <v>7</v>
      </c>
      <c r="Q145" s="619" t="s">
        <v>9</v>
      </c>
      <c r="R145" s="619" t="s">
        <v>10</v>
      </c>
      <c r="S145" s="619" t="s">
        <v>11</v>
      </c>
      <c r="T145" s="628" t="s">
        <v>12</v>
      </c>
      <c r="U145" s="629"/>
      <c r="V145" s="630"/>
      <c r="W145" s="631"/>
      <c r="X145" s="631"/>
      <c r="Y145" s="631"/>
      <c r="Z145" s="631"/>
      <c r="AA145" s="631"/>
      <c r="AB145" s="630"/>
      <c r="AC145" s="623" t="s">
        <v>99</v>
      </c>
      <c r="AD145" s="623"/>
      <c r="AE145" s="623"/>
      <c r="AF145" s="630"/>
      <c r="AG145" s="630"/>
      <c r="AH145" s="630"/>
      <c r="AI145" s="630"/>
      <c r="AJ145" s="630"/>
      <c r="AK145" s="630"/>
      <c r="AL145" s="630"/>
      <c r="AM145" s="630"/>
      <c r="AN145" s="630"/>
      <c r="AO145" s="630" t="s">
        <v>82</v>
      </c>
      <c r="AP145" s="630"/>
      <c r="AQ145" s="630" t="s">
        <v>82</v>
      </c>
      <c r="AR145" s="630"/>
      <c r="AS145" s="630"/>
      <c r="AT145" s="630" t="s">
        <v>82</v>
      </c>
      <c r="AU145" s="630"/>
      <c r="AV145" s="630"/>
      <c r="AW145" s="630"/>
      <c r="AX145" s="613"/>
      <c r="AY145" s="630"/>
      <c r="AZ145" s="632"/>
      <c r="BA145" s="632"/>
      <c r="BB145" s="630"/>
      <c r="BF145" s="308">
        <v>37</v>
      </c>
      <c r="BG145" s="309">
        <f t="shared" si="7"/>
        <v>1075</v>
      </c>
      <c r="BH145" s="42">
        <f t="shared" si="8"/>
        <v>1075</v>
      </c>
      <c r="BI145" s="301">
        <f t="shared" si="4"/>
        <v>877.82150872857756</v>
      </c>
      <c r="BJ145" s="302">
        <f t="shared" si="5"/>
        <v>877.82150872857756</v>
      </c>
      <c r="BK145" s="302">
        <f t="shared" si="9"/>
        <v>17.821508728577527</v>
      </c>
      <c r="BL145" s="302" t="b">
        <f t="shared" si="6"/>
        <v>0</v>
      </c>
      <c r="BM145" s="310">
        <v>37</v>
      </c>
      <c r="BN145" s="214"/>
      <c r="BO145" s="214"/>
      <c r="BP145" s="214"/>
    </row>
    <row r="146" spans="1:88" ht="42" customHeight="1" thickBot="1" x14ac:dyDescent="0.25">
      <c r="B146" s="633"/>
      <c r="C146" s="634"/>
      <c r="D146" s="635" t="s">
        <v>22</v>
      </c>
      <c r="E146" s="636"/>
      <c r="F146" s="635"/>
      <c r="G146" s="637"/>
      <c r="H146" s="469"/>
      <c r="I146" s="470"/>
      <c r="J146" s="638"/>
      <c r="K146" s="638"/>
      <c r="L146" s="638"/>
      <c r="M146" s="638"/>
      <c r="N146" s="638"/>
      <c r="O146" s="638"/>
      <c r="P146" s="638"/>
      <c r="Q146" s="638"/>
      <c r="R146" s="638"/>
      <c r="S146" s="638"/>
      <c r="T146" s="639"/>
      <c r="U146" s="640"/>
      <c r="V146" s="641"/>
      <c r="W146" s="642"/>
      <c r="X146" s="642"/>
      <c r="Y146" s="642"/>
      <c r="Z146" s="642"/>
      <c r="AA146" s="642"/>
      <c r="AB146" s="641"/>
      <c r="AC146" s="643">
        <f>SUM(AC147:AC166)</f>
        <v>213.83080000000001</v>
      </c>
      <c r="AD146" s="644"/>
      <c r="AE146" s="644"/>
      <c r="AF146" s="645" t="s">
        <v>38</v>
      </c>
      <c r="AG146" s="645" t="s">
        <v>31</v>
      </c>
      <c r="AH146" s="645"/>
      <c r="AI146" s="368" t="s">
        <v>120</v>
      </c>
      <c r="AJ146" s="646" t="s">
        <v>32</v>
      </c>
      <c r="AK146" s="472" t="s">
        <v>142</v>
      </c>
      <c r="AL146" s="368" t="s">
        <v>121</v>
      </c>
      <c r="AM146" s="645" t="s">
        <v>34</v>
      </c>
      <c r="AN146" s="472" t="s">
        <v>143</v>
      </c>
      <c r="AO146" s="645" t="s">
        <v>48</v>
      </c>
      <c r="AP146" s="647" t="s">
        <v>36</v>
      </c>
      <c r="AQ146" s="645" t="s">
        <v>83</v>
      </c>
      <c r="AR146" s="645" t="s">
        <v>37</v>
      </c>
      <c r="AS146" s="645" t="s">
        <v>39</v>
      </c>
      <c r="AT146" s="645" t="s">
        <v>84</v>
      </c>
      <c r="AU146" s="645" t="s">
        <v>40</v>
      </c>
      <c r="AV146" s="648" t="s">
        <v>41</v>
      </c>
      <c r="AW146" s="648" t="s">
        <v>42</v>
      </c>
      <c r="AX146" s="649" t="s">
        <v>23</v>
      </c>
      <c r="AY146" s="649" t="s">
        <v>24</v>
      </c>
      <c r="AZ146" s="650" t="s">
        <v>23</v>
      </c>
      <c r="BA146" s="650" t="s">
        <v>24</v>
      </c>
      <c r="BG146" s="388"/>
    </row>
    <row r="147" spans="1:88" ht="18.75" customHeight="1" thickBot="1" x14ac:dyDescent="0.25">
      <c r="B147" s="651">
        <v>1</v>
      </c>
      <c r="C147" s="652">
        <f>+(B136*-1)+D147</f>
        <v>0</v>
      </c>
      <c r="D147" s="31">
        <v>0</v>
      </c>
      <c r="E147" s="653" t="s">
        <v>119</v>
      </c>
      <c r="F147" s="654"/>
      <c r="G147" s="654">
        <f>+D147</f>
        <v>0</v>
      </c>
      <c r="H147" s="506">
        <v>279.06049999999999</v>
      </c>
      <c r="I147" s="507">
        <v>79.962900599999998</v>
      </c>
      <c r="J147" s="655">
        <f>+I147-C147</f>
        <v>79.962900599999998</v>
      </c>
      <c r="K147" s="655">
        <f t="shared" ref="K147:K166" si="11">+J147/2</f>
        <v>39.981450299999999</v>
      </c>
      <c r="L147" s="655">
        <f t="shared" ref="L147:L166" si="12">SIN(K147*3.14159265358979/180)</f>
        <v>0.64253956655634092</v>
      </c>
      <c r="M147" s="655">
        <f t="shared" ref="M147:M166" si="13">+L147*H147</f>
        <v>179.30741271299578</v>
      </c>
      <c r="N147" s="655">
        <f t="shared" ref="N147:N166" si="14">+M147*2</f>
        <v>358.61482542599157</v>
      </c>
      <c r="O147" s="655">
        <f>+C147/2</f>
        <v>0</v>
      </c>
      <c r="P147" s="655">
        <f t="shared" ref="P147:P166" si="15">SIN(O147*3.14159265358979/180)</f>
        <v>0</v>
      </c>
      <c r="Q147" s="655">
        <f t="shared" ref="Q147:Q166" si="16">+P147*N147</f>
        <v>0</v>
      </c>
      <c r="R147" s="509">
        <v>213.83080000000001</v>
      </c>
      <c r="S147" s="655">
        <f>+R147+Q147</f>
        <v>213.83080000000001</v>
      </c>
      <c r="T147" s="656">
        <f t="shared" ref="T147:T166" si="17">+S147</f>
        <v>213.83080000000001</v>
      </c>
      <c r="V147" s="657">
        <f t="shared" ref="V147:V166" si="18">IF(B147&lt;($B$144+1),T147,0)</f>
        <v>213.83080000000001</v>
      </c>
      <c r="W147" s="512">
        <v>39.981450000000002</v>
      </c>
      <c r="X147" s="658">
        <f>+W147+AH168</f>
        <v>39.981450000000002</v>
      </c>
      <c r="Y147" s="512">
        <v>279.06049999999999</v>
      </c>
      <c r="Z147" s="658">
        <f>+COS(X147*3.14159265358979/180)*Y147</f>
        <v>213.83080883710866</v>
      </c>
      <c r="AA147" s="659">
        <f>+AC146-Z147</f>
        <v>-8.8371086519600794E-6</v>
      </c>
      <c r="AB147" s="654" t="str">
        <f>IF(AY147&lt;0,"use the locking pin"," ")</f>
        <v xml:space="preserve"> </v>
      </c>
      <c r="AC147" s="660">
        <f>IF(AD147=1,AF147)</f>
        <v>213.83080000000001</v>
      </c>
      <c r="AD147" s="660">
        <f t="shared" ref="AD147:AD166" si="19">MAX(AE$147:AE$166)</f>
        <v>1</v>
      </c>
      <c r="AE147" s="644">
        <f>IF(V147=0,0,1)</f>
        <v>1</v>
      </c>
      <c r="AF147" s="657">
        <f>SUM(V147:V166)/($B$144)</f>
        <v>213.83080000000001</v>
      </c>
      <c r="AG147" s="612">
        <f>C147</f>
        <v>0</v>
      </c>
      <c r="AH147" s="661">
        <f t="shared" ref="AH147:AH166" si="20">IF(B147&lt;($B$144+1),AG147)</f>
        <v>0</v>
      </c>
      <c r="AI147" s="287">
        <f>66.2555484-AG147</f>
        <v>66.255548399999995</v>
      </c>
      <c r="AJ147" s="662">
        <f t="shared" ref="AJ147:AJ166" si="21">SIN(AI147*3.14159265358979/180)</f>
        <v>0.91535047595051022</v>
      </c>
      <c r="AK147" s="289">
        <f>+AJ147*304.3209</f>
        <v>278.56028065668761</v>
      </c>
      <c r="AL147" s="287">
        <f>50.0185497+AG147</f>
        <v>50.018549700000001</v>
      </c>
      <c r="AM147" s="663">
        <f>SIN(AL147*3.14159265358979/180)</f>
        <v>0.76625250760411079</v>
      </c>
      <c r="AN147" s="291">
        <f>+AM147*279.0605</f>
        <v>213.83080789825695</v>
      </c>
      <c r="AO147" s="664">
        <f t="shared" ref="AO147:AO166" si="22">+((AF147*AP147)+($AP$178*($AF$178+$AA$147)))/AQ147</f>
        <v>184.18866529946104</v>
      </c>
      <c r="AP147" s="665">
        <f>40.5*B144</f>
        <v>40.5</v>
      </c>
      <c r="AQ147" s="664">
        <f>+AP147+$AP$178+1.3</f>
        <v>67.3</v>
      </c>
      <c r="AR147" s="666">
        <f>+AN147+AK147</f>
        <v>492.39108855494453</v>
      </c>
      <c r="AS147" s="667">
        <f t="shared" ref="AS147:AS166" si="23">+V147-AN147</f>
        <v>-7.8982569391428115E-6</v>
      </c>
      <c r="AT147" s="668">
        <f>+AO147-AS147</f>
        <v>184.18867319771797</v>
      </c>
      <c r="AU147" s="667"/>
      <c r="AV147" s="669">
        <f>+((AR147-AT147)/AR147)*AQ147</f>
        <v>42.125097378213013</v>
      </c>
      <c r="AW147" s="669">
        <f>+(AT147/AR147)*AQ147</f>
        <v>25.174902621786984</v>
      </c>
      <c r="AX147" s="654">
        <f t="shared" ref="AX147:AX166" si="24">2*$D$11/AV147</f>
        <v>275.37028332187282</v>
      </c>
      <c r="AY147" s="654">
        <f t="shared" ref="AY147:AY166" si="25">$F$11/AW147</f>
        <v>397.22100022527007</v>
      </c>
      <c r="AZ147" s="670">
        <f>ABS(AX147)</f>
        <v>275.37028332187282</v>
      </c>
      <c r="BA147" s="670">
        <f>ABS(AY147)</f>
        <v>397.22100022527007</v>
      </c>
      <c r="BB147" s="655"/>
      <c r="BG147" s="388"/>
    </row>
    <row r="148" spans="1:88" ht="18.75" customHeight="1" thickBot="1" x14ac:dyDescent="0.25">
      <c r="B148" s="671">
        <v>2</v>
      </c>
      <c r="C148" s="652"/>
      <c r="D148" s="32">
        <v>0</v>
      </c>
      <c r="E148" s="672" t="s">
        <v>130</v>
      </c>
      <c r="F148" s="673"/>
      <c r="G148" s="673" t="e">
        <f t="shared" ref="G148:G166" si="26">+D148+BB148</f>
        <v>#DIV/0!</v>
      </c>
      <c r="H148" s="506">
        <v>279.06049999999999</v>
      </c>
      <c r="I148" s="507">
        <v>79.962900599999998</v>
      </c>
      <c r="J148" s="655">
        <f t="shared" ref="J148:J166" si="27">+I148-D148</f>
        <v>79.962900599999998</v>
      </c>
      <c r="K148" s="655">
        <f t="shared" si="11"/>
        <v>39.981450299999999</v>
      </c>
      <c r="L148" s="655">
        <f t="shared" si="12"/>
        <v>0.64253956655634092</v>
      </c>
      <c r="M148" s="655">
        <f t="shared" si="13"/>
        <v>179.30741271299578</v>
      </c>
      <c r="N148" s="655">
        <f t="shared" si="14"/>
        <v>358.61482542599157</v>
      </c>
      <c r="O148" s="655">
        <f>+C147+(D148/2)</f>
        <v>0</v>
      </c>
      <c r="P148" s="655">
        <f t="shared" si="15"/>
        <v>0</v>
      </c>
      <c r="Q148" s="655">
        <f t="shared" si="16"/>
        <v>0</v>
      </c>
      <c r="R148" s="655">
        <f t="shared" ref="R148:R166" si="28">+T147</f>
        <v>213.83080000000001</v>
      </c>
      <c r="S148" s="655">
        <f>+R148+Q148</f>
        <v>213.83080000000001</v>
      </c>
      <c r="T148" s="656">
        <f t="shared" si="17"/>
        <v>213.83080000000001</v>
      </c>
      <c r="V148" s="657">
        <f t="shared" si="18"/>
        <v>0</v>
      </c>
      <c r="W148" s="657"/>
      <c r="X148" s="657"/>
      <c r="Y148" s="657"/>
      <c r="Z148" s="657"/>
      <c r="AA148" s="657"/>
      <c r="AB148" s="673" t="e">
        <f>IF(AY148&lt;0,"use the locking pin"," ")</f>
        <v>#DIV/0!</v>
      </c>
      <c r="AC148" s="660" t="b">
        <f>IF(AD148=2,AF148)</f>
        <v>0</v>
      </c>
      <c r="AD148" s="660">
        <f t="shared" si="19"/>
        <v>1</v>
      </c>
      <c r="AE148" s="644">
        <f>IF(V148=0,0,2)</f>
        <v>0</v>
      </c>
      <c r="AF148" s="657" t="e">
        <f>SUM(V148:V167)/($B$144-B147)</f>
        <v>#DIV/0!</v>
      </c>
      <c r="AG148" s="612">
        <f>SUM(D148)+$C$147</f>
        <v>0</v>
      </c>
      <c r="AH148" s="661" t="b">
        <f t="shared" si="20"/>
        <v>0</v>
      </c>
      <c r="AI148" s="287">
        <f t="shared" ref="AI148:AI166" si="29">66.2555484-AG148</f>
        <v>66.255548399999995</v>
      </c>
      <c r="AJ148" s="674">
        <f t="shared" si="21"/>
        <v>0.91535047595051022</v>
      </c>
      <c r="AK148" s="289">
        <f t="shared" ref="AK148:AK166" si="30">+AJ148*304.3209</f>
        <v>278.56028065668761</v>
      </c>
      <c r="AL148" s="287">
        <f t="shared" ref="AL148:AL166" si="31">50.0185497+AG148</f>
        <v>50.018549700000001</v>
      </c>
      <c r="AM148" s="675">
        <f t="shared" ref="AM148:AM166" si="32">SIN(AL148*3.14159265358979/180)</f>
        <v>0.76625250760411079</v>
      </c>
      <c r="AN148" s="291">
        <f t="shared" ref="AN148:AN166" si="33">+AM148*279.0605</f>
        <v>213.83080789825695</v>
      </c>
      <c r="AO148" s="664" t="e">
        <f t="shared" si="22"/>
        <v>#DIV/0!</v>
      </c>
      <c r="AP148" s="676">
        <f t="shared" ref="AP148:AP166" si="34">40.5*($B$144-B147)</f>
        <v>0</v>
      </c>
      <c r="AQ148" s="677">
        <f>+AP148+$AP$178+1.3</f>
        <v>26.8</v>
      </c>
      <c r="AR148" s="678">
        <f t="shared" ref="AR148:AR166" si="35">+AN148+AK148</f>
        <v>492.39108855494453</v>
      </c>
      <c r="AS148" s="667">
        <f t="shared" si="23"/>
        <v>-213.83080789825695</v>
      </c>
      <c r="AT148" s="668" t="e">
        <f t="shared" ref="AT148:AT166" si="36">+AO148-AS148</f>
        <v>#DIV/0!</v>
      </c>
      <c r="AU148" s="667"/>
      <c r="AV148" s="669" t="e">
        <f t="shared" ref="AV148:AV166" si="37">+((AR148-AT148)/AR148)*AQ148</f>
        <v>#DIV/0!</v>
      </c>
      <c r="AW148" s="669" t="e">
        <f t="shared" ref="AW148:AW166" si="38">+(AT148/AR148)*AQ148</f>
        <v>#DIV/0!</v>
      </c>
      <c r="AX148" s="673" t="e">
        <f t="shared" si="24"/>
        <v>#DIV/0!</v>
      </c>
      <c r="AY148" s="673" t="e">
        <f t="shared" si="25"/>
        <v>#DIV/0!</v>
      </c>
      <c r="AZ148" s="679" t="e">
        <f t="shared" ref="AZ148:BA166" si="39">ABS(AX148)</f>
        <v>#DIV/0!</v>
      </c>
      <c r="BA148" s="679" t="e">
        <f t="shared" si="39"/>
        <v>#DIV/0!</v>
      </c>
      <c r="BB148" s="560" t="e">
        <f t="shared" ref="BB148:BB166" si="40">IF(AY148&lt;0,0.3,0)</f>
        <v>#DIV/0!</v>
      </c>
      <c r="BG148" s="388"/>
    </row>
    <row r="149" spans="1:88" ht="18.75" customHeight="1" thickBot="1" x14ac:dyDescent="0.25">
      <c r="B149" s="671">
        <v>3</v>
      </c>
      <c r="C149" s="652"/>
      <c r="D149" s="32">
        <v>0</v>
      </c>
      <c r="E149" s="672" t="s">
        <v>130</v>
      </c>
      <c r="F149" s="673"/>
      <c r="G149" s="673">
        <f t="shared" si="26"/>
        <v>0</v>
      </c>
      <c r="H149" s="506">
        <v>279.06049999999999</v>
      </c>
      <c r="I149" s="507">
        <v>79.962900599999998</v>
      </c>
      <c r="J149" s="655">
        <f t="shared" si="27"/>
        <v>79.962900599999998</v>
      </c>
      <c r="K149" s="655">
        <f t="shared" si="11"/>
        <v>39.981450299999999</v>
      </c>
      <c r="L149" s="655">
        <f t="shared" si="12"/>
        <v>0.64253956655634092</v>
      </c>
      <c r="M149" s="655">
        <f t="shared" si="13"/>
        <v>179.30741271299578</v>
      </c>
      <c r="N149" s="655">
        <f t="shared" si="14"/>
        <v>358.61482542599157</v>
      </c>
      <c r="O149" s="655">
        <f>+C147+D148+(D149/2)</f>
        <v>0</v>
      </c>
      <c r="P149" s="655">
        <f t="shared" si="15"/>
        <v>0</v>
      </c>
      <c r="Q149" s="655">
        <f t="shared" si="16"/>
        <v>0</v>
      </c>
      <c r="R149" s="655">
        <f t="shared" si="28"/>
        <v>213.83080000000001</v>
      </c>
      <c r="S149" s="655">
        <f t="shared" ref="S149:S166" si="41">+S148+Q149</f>
        <v>213.83080000000001</v>
      </c>
      <c r="T149" s="656">
        <f t="shared" si="17"/>
        <v>213.83080000000001</v>
      </c>
      <c r="V149" s="657">
        <f t="shared" si="18"/>
        <v>0</v>
      </c>
      <c r="W149" s="657"/>
      <c r="X149" s="657"/>
      <c r="Y149" s="657"/>
      <c r="Z149" s="657"/>
      <c r="AA149" s="657"/>
      <c r="AB149" s="673" t="str">
        <f t="shared" ref="AB149:AB166" si="42">IF(AY149&lt;0,"use the locking pin"," ")</f>
        <v xml:space="preserve"> </v>
      </c>
      <c r="AC149" s="660" t="b">
        <f>IF(AD149=3,AF149)</f>
        <v>0</v>
      </c>
      <c r="AD149" s="660">
        <f t="shared" si="19"/>
        <v>1</v>
      </c>
      <c r="AE149" s="644">
        <f>IF(V149=0,0,3)</f>
        <v>0</v>
      </c>
      <c r="AF149" s="657">
        <f>SUM(V149:V168)/($B$144-B148)</f>
        <v>0</v>
      </c>
      <c r="AG149" s="612">
        <f>SUM(D148:D149)+$C$147</f>
        <v>0</v>
      </c>
      <c r="AH149" s="661" t="b">
        <f t="shared" si="20"/>
        <v>0</v>
      </c>
      <c r="AI149" s="287">
        <f t="shared" si="29"/>
        <v>66.255548399999995</v>
      </c>
      <c r="AJ149" s="674">
        <f t="shared" si="21"/>
        <v>0.91535047595051022</v>
      </c>
      <c r="AK149" s="289">
        <f t="shared" si="30"/>
        <v>278.56028065668761</v>
      </c>
      <c r="AL149" s="287">
        <f t="shared" si="31"/>
        <v>50.018549700000001</v>
      </c>
      <c r="AM149" s="675">
        <f t="shared" si="32"/>
        <v>0.76625250760411079</v>
      </c>
      <c r="AN149" s="291">
        <f t="shared" si="33"/>
        <v>213.83080789825695</v>
      </c>
      <c r="AO149" s="664">
        <f t="shared" si="22"/>
        <v>-272.68246530319192</v>
      </c>
      <c r="AP149" s="676">
        <f t="shared" si="34"/>
        <v>-40.5</v>
      </c>
      <c r="AQ149" s="677">
        <f t="shared" ref="AQ149:AQ166" si="43">+AP149+$AP$178+1.3</f>
        <v>-13.7</v>
      </c>
      <c r="AR149" s="678">
        <f t="shared" si="35"/>
        <v>492.39108855494453</v>
      </c>
      <c r="AS149" s="667">
        <f t="shared" si="23"/>
        <v>-213.83080789825695</v>
      </c>
      <c r="AT149" s="668">
        <f t="shared" si="36"/>
        <v>-58.851657404934969</v>
      </c>
      <c r="AU149" s="667"/>
      <c r="AV149" s="669">
        <f t="shared" si="37"/>
        <v>-15.33745389627952</v>
      </c>
      <c r="AW149" s="669">
        <f t="shared" si="38"/>
        <v>1.6374538962795218</v>
      </c>
      <c r="AX149" s="673">
        <f t="shared" si="24"/>
        <v>-756.31849187262219</v>
      </c>
      <c r="AY149" s="673">
        <f t="shared" si="25"/>
        <v>6107.0421724368043</v>
      </c>
      <c r="AZ149" s="679">
        <f t="shared" si="39"/>
        <v>756.31849187262219</v>
      </c>
      <c r="BA149" s="679">
        <f t="shared" si="39"/>
        <v>6107.0421724368043</v>
      </c>
      <c r="BB149" s="560">
        <f t="shared" si="40"/>
        <v>0</v>
      </c>
      <c r="BG149" s="388"/>
    </row>
    <row r="150" spans="1:88" ht="18.75" customHeight="1" thickBot="1" x14ac:dyDescent="0.25">
      <c r="B150" s="671">
        <v>4</v>
      </c>
      <c r="C150" s="652"/>
      <c r="D150" s="32">
        <v>0</v>
      </c>
      <c r="E150" s="672" t="s">
        <v>130</v>
      </c>
      <c r="F150" s="673"/>
      <c r="G150" s="673">
        <f t="shared" si="26"/>
        <v>0.3</v>
      </c>
      <c r="H150" s="506">
        <v>279.06049999999999</v>
      </c>
      <c r="I150" s="507">
        <v>79.962900599999998</v>
      </c>
      <c r="J150" s="655">
        <f t="shared" si="27"/>
        <v>79.962900599999998</v>
      </c>
      <c r="K150" s="655">
        <f t="shared" si="11"/>
        <v>39.981450299999999</v>
      </c>
      <c r="L150" s="655">
        <f t="shared" si="12"/>
        <v>0.64253956655634092</v>
      </c>
      <c r="M150" s="655">
        <f t="shared" si="13"/>
        <v>179.30741271299578</v>
      </c>
      <c r="N150" s="655">
        <f t="shared" si="14"/>
        <v>358.61482542599157</v>
      </c>
      <c r="O150" s="655">
        <f>+C147+D148+D149+(D150/2)</f>
        <v>0</v>
      </c>
      <c r="P150" s="655">
        <f t="shared" si="15"/>
        <v>0</v>
      </c>
      <c r="Q150" s="655">
        <f t="shared" si="16"/>
        <v>0</v>
      </c>
      <c r="R150" s="655">
        <f t="shared" si="28"/>
        <v>213.83080000000001</v>
      </c>
      <c r="S150" s="655">
        <f t="shared" si="41"/>
        <v>213.83080000000001</v>
      </c>
      <c r="T150" s="656">
        <f t="shared" si="17"/>
        <v>213.83080000000001</v>
      </c>
      <c r="V150" s="657">
        <f t="shared" si="18"/>
        <v>0</v>
      </c>
      <c r="W150" s="657"/>
      <c r="X150" s="657"/>
      <c r="Y150" s="657"/>
      <c r="Z150" s="657"/>
      <c r="AA150" s="657"/>
      <c r="AB150" s="673" t="str">
        <f t="shared" si="42"/>
        <v>use the locking pin</v>
      </c>
      <c r="AC150" s="660" t="b">
        <f>IF(AD150=4,AF150)</f>
        <v>0</v>
      </c>
      <c r="AD150" s="660">
        <f t="shared" si="19"/>
        <v>1</v>
      </c>
      <c r="AE150" s="644">
        <f>IF(V150=0,0,4)</f>
        <v>0</v>
      </c>
      <c r="AF150" s="657">
        <f>SUM(V150:V166)/($B$144-B149)</f>
        <v>0</v>
      </c>
      <c r="AG150" s="612">
        <f>SUM(D148:D150)+$C$147</f>
        <v>0</v>
      </c>
      <c r="AH150" s="661" t="b">
        <f t="shared" si="20"/>
        <v>0</v>
      </c>
      <c r="AI150" s="287">
        <f t="shared" si="29"/>
        <v>66.255548399999995</v>
      </c>
      <c r="AJ150" s="674">
        <f t="shared" si="21"/>
        <v>0.91535047595051022</v>
      </c>
      <c r="AK150" s="289">
        <f t="shared" si="30"/>
        <v>278.56028065668761</v>
      </c>
      <c r="AL150" s="287">
        <f t="shared" si="31"/>
        <v>50.018549700000001</v>
      </c>
      <c r="AM150" s="675">
        <f t="shared" si="32"/>
        <v>0.76625250760411079</v>
      </c>
      <c r="AN150" s="291">
        <f t="shared" si="33"/>
        <v>213.83080789825695</v>
      </c>
      <c r="AO150" s="664">
        <f t="shared" si="22"/>
        <v>-68.92527259508725</v>
      </c>
      <c r="AP150" s="676">
        <f t="shared" si="34"/>
        <v>-81</v>
      </c>
      <c r="AQ150" s="677">
        <f t="shared" si="43"/>
        <v>-54.2</v>
      </c>
      <c r="AR150" s="678">
        <f t="shared" si="35"/>
        <v>492.39108855494453</v>
      </c>
      <c r="AS150" s="667">
        <f t="shared" si="23"/>
        <v>-213.83080789825695</v>
      </c>
      <c r="AT150" s="668">
        <f t="shared" si="36"/>
        <v>144.9055353031697</v>
      </c>
      <c r="AU150" s="667"/>
      <c r="AV150" s="669">
        <f t="shared" si="37"/>
        <v>-38.249508214128852</v>
      </c>
      <c r="AW150" s="669">
        <f t="shared" si="38"/>
        <v>-15.950491785871153</v>
      </c>
      <c r="AX150" s="673">
        <f t="shared" si="24"/>
        <v>-303.27187306724943</v>
      </c>
      <c r="AY150" s="673">
        <f t="shared" si="25"/>
        <v>-626.93991722925671</v>
      </c>
      <c r="AZ150" s="679">
        <f t="shared" si="39"/>
        <v>303.27187306724943</v>
      </c>
      <c r="BA150" s="679">
        <f t="shared" si="39"/>
        <v>626.93991722925671</v>
      </c>
      <c r="BB150" s="560">
        <f t="shared" si="40"/>
        <v>0.3</v>
      </c>
      <c r="BG150" s="388"/>
    </row>
    <row r="151" spans="1:88" ht="18.75" customHeight="1" thickBot="1" x14ac:dyDescent="0.25">
      <c r="B151" s="671">
        <v>5</v>
      </c>
      <c r="C151" s="652"/>
      <c r="D151" s="32">
        <v>0</v>
      </c>
      <c r="E151" s="672" t="s">
        <v>130</v>
      </c>
      <c r="F151" s="673"/>
      <c r="G151" s="673">
        <f t="shared" si="26"/>
        <v>0.3</v>
      </c>
      <c r="H151" s="506">
        <v>279.06049999999999</v>
      </c>
      <c r="I151" s="507">
        <v>79.962900599999998</v>
      </c>
      <c r="J151" s="655">
        <f t="shared" si="27"/>
        <v>79.962900599999998</v>
      </c>
      <c r="K151" s="655">
        <f t="shared" si="11"/>
        <v>39.981450299999999</v>
      </c>
      <c r="L151" s="655">
        <f t="shared" si="12"/>
        <v>0.64253956655634092</v>
      </c>
      <c r="M151" s="655">
        <f t="shared" si="13"/>
        <v>179.30741271299578</v>
      </c>
      <c r="N151" s="655">
        <f t="shared" si="14"/>
        <v>358.61482542599157</v>
      </c>
      <c r="O151" s="655">
        <f>+C147+D148+D149+D150+(D151/2)</f>
        <v>0</v>
      </c>
      <c r="P151" s="655">
        <f t="shared" si="15"/>
        <v>0</v>
      </c>
      <c r="Q151" s="655">
        <f t="shared" si="16"/>
        <v>0</v>
      </c>
      <c r="R151" s="655">
        <f t="shared" si="28"/>
        <v>213.83080000000001</v>
      </c>
      <c r="S151" s="655">
        <f t="shared" si="41"/>
        <v>213.83080000000001</v>
      </c>
      <c r="T151" s="656">
        <f t="shared" si="17"/>
        <v>213.83080000000001</v>
      </c>
      <c r="V151" s="657">
        <f t="shared" si="18"/>
        <v>0</v>
      </c>
      <c r="W151" s="657"/>
      <c r="X151" s="657"/>
      <c r="Y151" s="657"/>
      <c r="Z151" s="657"/>
      <c r="AA151" s="657"/>
      <c r="AB151" s="673" t="str">
        <f t="shared" si="42"/>
        <v>use the locking pin</v>
      </c>
      <c r="AC151" s="660" t="b">
        <f>IF(AD151=5,AF151)</f>
        <v>0</v>
      </c>
      <c r="AD151" s="660">
        <f t="shared" si="19"/>
        <v>1</v>
      </c>
      <c r="AE151" s="644">
        <f>IF(V151=0,0,5)</f>
        <v>0</v>
      </c>
      <c r="AF151" s="657">
        <f>SUM(V151:V166)/($B$144-B150)</f>
        <v>0</v>
      </c>
      <c r="AG151" s="612">
        <f>SUM(D148:D151)+$C$147</f>
        <v>0</v>
      </c>
      <c r="AH151" s="661" t="b">
        <f t="shared" si="20"/>
        <v>0</v>
      </c>
      <c r="AI151" s="287">
        <f t="shared" si="29"/>
        <v>66.255548399999995</v>
      </c>
      <c r="AJ151" s="674">
        <f t="shared" si="21"/>
        <v>0.91535047595051022</v>
      </c>
      <c r="AK151" s="289">
        <f t="shared" si="30"/>
        <v>278.56028065668761</v>
      </c>
      <c r="AL151" s="287">
        <f t="shared" si="31"/>
        <v>50.018549700000001</v>
      </c>
      <c r="AM151" s="675">
        <f t="shared" si="32"/>
        <v>0.76625250760411079</v>
      </c>
      <c r="AN151" s="291">
        <f t="shared" si="33"/>
        <v>213.83080789825695</v>
      </c>
      <c r="AO151" s="664">
        <f t="shared" si="22"/>
        <v>-39.448255276174542</v>
      </c>
      <c r="AP151" s="676">
        <f t="shared" si="34"/>
        <v>-121.5</v>
      </c>
      <c r="AQ151" s="677">
        <f t="shared" si="43"/>
        <v>-94.7</v>
      </c>
      <c r="AR151" s="678">
        <f t="shared" si="35"/>
        <v>492.39108855494453</v>
      </c>
      <c r="AS151" s="667">
        <f t="shared" si="23"/>
        <v>-213.83080789825695</v>
      </c>
      <c r="AT151" s="668">
        <f t="shared" si="36"/>
        <v>174.38255262208241</v>
      </c>
      <c r="AU151" s="667"/>
      <c r="AV151" s="669">
        <f t="shared" si="37"/>
        <v>-61.161562531978184</v>
      </c>
      <c r="AW151" s="669">
        <f t="shared" si="38"/>
        <v>-33.538437468021826</v>
      </c>
      <c r="AX151" s="673">
        <f t="shared" si="24"/>
        <v>-189.6616031340757</v>
      </c>
      <c r="AY151" s="673">
        <f t="shared" si="25"/>
        <v>-298.16535160693707</v>
      </c>
      <c r="AZ151" s="679">
        <f t="shared" si="39"/>
        <v>189.6616031340757</v>
      </c>
      <c r="BA151" s="679">
        <f t="shared" si="39"/>
        <v>298.16535160693707</v>
      </c>
      <c r="BB151" s="560">
        <f t="shared" si="40"/>
        <v>0.3</v>
      </c>
      <c r="BG151" s="388"/>
    </row>
    <row r="152" spans="1:88" ht="18.75" customHeight="1" thickBot="1" x14ac:dyDescent="0.25">
      <c r="B152" s="671">
        <v>6</v>
      </c>
      <c r="C152" s="652"/>
      <c r="D152" s="32">
        <v>0</v>
      </c>
      <c r="E152" s="672" t="s">
        <v>130</v>
      </c>
      <c r="F152" s="673"/>
      <c r="G152" s="673">
        <f t="shared" si="26"/>
        <v>0.3</v>
      </c>
      <c r="H152" s="506">
        <v>279.06049999999999</v>
      </c>
      <c r="I152" s="507">
        <v>79.962900599999998</v>
      </c>
      <c r="J152" s="655">
        <f t="shared" si="27"/>
        <v>79.962900599999998</v>
      </c>
      <c r="K152" s="655">
        <f t="shared" si="11"/>
        <v>39.981450299999999</v>
      </c>
      <c r="L152" s="655">
        <f t="shared" si="12"/>
        <v>0.64253956655634092</v>
      </c>
      <c r="M152" s="655">
        <f t="shared" si="13"/>
        <v>179.30741271299578</v>
      </c>
      <c r="N152" s="655">
        <f t="shared" si="14"/>
        <v>358.61482542599157</v>
      </c>
      <c r="O152" s="655">
        <f>+C147+D148+D149+D150+D151+(D152/2)</f>
        <v>0</v>
      </c>
      <c r="P152" s="655">
        <f t="shared" si="15"/>
        <v>0</v>
      </c>
      <c r="Q152" s="655">
        <f t="shared" si="16"/>
        <v>0</v>
      </c>
      <c r="R152" s="655">
        <f t="shared" si="28"/>
        <v>213.83080000000001</v>
      </c>
      <c r="S152" s="655">
        <f t="shared" si="41"/>
        <v>213.83080000000001</v>
      </c>
      <c r="T152" s="656">
        <f t="shared" si="17"/>
        <v>213.83080000000001</v>
      </c>
      <c r="V152" s="657">
        <f t="shared" si="18"/>
        <v>0</v>
      </c>
      <c r="W152" s="657"/>
      <c r="X152" s="657"/>
      <c r="Y152" s="657"/>
      <c r="Z152" s="657"/>
      <c r="AA152" s="657"/>
      <c r="AB152" s="673" t="str">
        <f t="shared" si="42"/>
        <v>use the locking pin</v>
      </c>
      <c r="AC152" s="660" t="b">
        <f>IF(AD152=6,AF152)</f>
        <v>0</v>
      </c>
      <c r="AD152" s="660">
        <f t="shared" si="19"/>
        <v>1</v>
      </c>
      <c r="AE152" s="644">
        <f>IF(V152=0,0,6)</f>
        <v>0</v>
      </c>
      <c r="AF152" s="657">
        <f>SUM(V152:V166)/($B$144-B151)</f>
        <v>0</v>
      </c>
      <c r="AG152" s="612">
        <f>SUM(D148:D152)+$C$147</f>
        <v>0</v>
      </c>
      <c r="AH152" s="661" t="b">
        <f t="shared" si="20"/>
        <v>0</v>
      </c>
      <c r="AI152" s="287">
        <f t="shared" si="29"/>
        <v>66.255548399999995</v>
      </c>
      <c r="AJ152" s="674">
        <f t="shared" si="21"/>
        <v>0.91535047595051022</v>
      </c>
      <c r="AK152" s="289">
        <f t="shared" si="30"/>
        <v>278.56028065668761</v>
      </c>
      <c r="AL152" s="287">
        <f t="shared" si="31"/>
        <v>50.018549700000001</v>
      </c>
      <c r="AM152" s="675">
        <f t="shared" si="32"/>
        <v>0.76625250760411079</v>
      </c>
      <c r="AN152" s="291">
        <f t="shared" si="33"/>
        <v>213.83080789825695</v>
      </c>
      <c r="AO152" s="664">
        <f t="shared" si="22"/>
        <v>-27.631285315486164</v>
      </c>
      <c r="AP152" s="676">
        <f t="shared" si="34"/>
        <v>-162</v>
      </c>
      <c r="AQ152" s="677">
        <f t="shared" si="43"/>
        <v>-135.19999999999999</v>
      </c>
      <c r="AR152" s="678">
        <f t="shared" si="35"/>
        <v>492.39108855494453</v>
      </c>
      <c r="AS152" s="667">
        <f t="shared" si="23"/>
        <v>-213.83080789825695</v>
      </c>
      <c r="AT152" s="668">
        <f t="shared" si="36"/>
        <v>186.19952258277078</v>
      </c>
      <c r="AU152" s="667"/>
      <c r="AV152" s="669">
        <f t="shared" si="37"/>
        <v>-84.073616849827488</v>
      </c>
      <c r="AW152" s="669">
        <f t="shared" si="38"/>
        <v>-51.126383150172494</v>
      </c>
      <c r="AX152" s="673">
        <f t="shared" si="24"/>
        <v>-137.97431863458365</v>
      </c>
      <c r="AY152" s="673">
        <f t="shared" si="25"/>
        <v>-195.59373035693142</v>
      </c>
      <c r="AZ152" s="679">
        <f t="shared" si="39"/>
        <v>137.97431863458365</v>
      </c>
      <c r="BA152" s="679">
        <f t="shared" si="39"/>
        <v>195.59373035693142</v>
      </c>
      <c r="BB152" s="560">
        <f t="shared" si="40"/>
        <v>0.3</v>
      </c>
    </row>
    <row r="153" spans="1:88" ht="18.75" customHeight="1" thickBot="1" x14ac:dyDescent="0.25">
      <c r="B153" s="671">
        <v>7</v>
      </c>
      <c r="C153" s="652"/>
      <c r="D153" s="32">
        <v>0</v>
      </c>
      <c r="E153" s="672" t="s">
        <v>130</v>
      </c>
      <c r="F153" s="673"/>
      <c r="G153" s="673">
        <f t="shared" si="26"/>
        <v>0.3</v>
      </c>
      <c r="H153" s="506">
        <v>279.06049999999999</v>
      </c>
      <c r="I153" s="507">
        <v>79.962900599999998</v>
      </c>
      <c r="J153" s="655">
        <f t="shared" si="27"/>
        <v>79.962900599999998</v>
      </c>
      <c r="K153" s="655">
        <f t="shared" si="11"/>
        <v>39.981450299999999</v>
      </c>
      <c r="L153" s="655">
        <f t="shared" si="12"/>
        <v>0.64253956655634092</v>
      </c>
      <c r="M153" s="655">
        <f t="shared" si="13"/>
        <v>179.30741271299578</v>
      </c>
      <c r="N153" s="655">
        <f t="shared" si="14"/>
        <v>358.61482542599157</v>
      </c>
      <c r="O153" s="655">
        <f>+C147+D148+D149+D150+D151+D152+(D153/2)</f>
        <v>0</v>
      </c>
      <c r="P153" s="655">
        <f t="shared" si="15"/>
        <v>0</v>
      </c>
      <c r="Q153" s="655">
        <f t="shared" si="16"/>
        <v>0</v>
      </c>
      <c r="R153" s="655">
        <f t="shared" si="28"/>
        <v>213.83080000000001</v>
      </c>
      <c r="S153" s="655">
        <f t="shared" si="41"/>
        <v>213.83080000000001</v>
      </c>
      <c r="T153" s="656">
        <f t="shared" si="17"/>
        <v>213.83080000000001</v>
      </c>
      <c r="V153" s="657">
        <f t="shared" si="18"/>
        <v>0</v>
      </c>
      <c r="W153" s="657"/>
      <c r="X153" s="657"/>
      <c r="Y153" s="657"/>
      <c r="Z153" s="657"/>
      <c r="AA153" s="657"/>
      <c r="AB153" s="673" t="str">
        <f t="shared" si="42"/>
        <v>use the locking pin</v>
      </c>
      <c r="AC153" s="660" t="b">
        <f>IF(AD153=7,AF153)</f>
        <v>0</v>
      </c>
      <c r="AD153" s="660">
        <f t="shared" si="19"/>
        <v>1</v>
      </c>
      <c r="AE153" s="644">
        <f>IF(V153=0,0,7)</f>
        <v>0</v>
      </c>
      <c r="AF153" s="657">
        <f>SUM(V153:V166)/($B$144-B152)</f>
        <v>0</v>
      </c>
      <c r="AG153" s="612">
        <f>SUM(D148:D153)+$C$147</f>
        <v>0</v>
      </c>
      <c r="AH153" s="661" t="b">
        <f t="shared" si="20"/>
        <v>0</v>
      </c>
      <c r="AI153" s="287">
        <f t="shared" si="29"/>
        <v>66.255548399999995</v>
      </c>
      <c r="AJ153" s="674">
        <f t="shared" si="21"/>
        <v>0.91535047595051022</v>
      </c>
      <c r="AK153" s="289">
        <f t="shared" si="30"/>
        <v>278.56028065668761</v>
      </c>
      <c r="AL153" s="287">
        <f t="shared" si="31"/>
        <v>50.018549700000001</v>
      </c>
      <c r="AM153" s="675">
        <f t="shared" si="32"/>
        <v>0.76625250760411079</v>
      </c>
      <c r="AN153" s="291">
        <f t="shared" si="33"/>
        <v>213.83080789825695</v>
      </c>
      <c r="AO153" s="664">
        <f t="shared" si="22"/>
        <v>-21.26209319666323</v>
      </c>
      <c r="AP153" s="676">
        <f t="shared" si="34"/>
        <v>-202.5</v>
      </c>
      <c r="AQ153" s="677">
        <f t="shared" si="43"/>
        <v>-175.7</v>
      </c>
      <c r="AR153" s="678">
        <f t="shared" si="35"/>
        <v>492.39108855494453</v>
      </c>
      <c r="AS153" s="667">
        <f t="shared" si="23"/>
        <v>-213.83080789825695</v>
      </c>
      <c r="AT153" s="668">
        <f t="shared" si="36"/>
        <v>192.56871470159371</v>
      </c>
      <c r="AU153" s="667"/>
      <c r="AV153" s="669">
        <f t="shared" si="37"/>
        <v>-106.98567116767681</v>
      </c>
      <c r="AW153" s="669">
        <f t="shared" si="38"/>
        <v>-68.714328832323162</v>
      </c>
      <c r="AX153" s="673">
        <f t="shared" si="24"/>
        <v>-108.42573471188976</v>
      </c>
      <c r="AY153" s="673">
        <f t="shared" si="25"/>
        <v>-145.53005421041104</v>
      </c>
      <c r="AZ153" s="679">
        <f t="shared" si="39"/>
        <v>108.42573471188976</v>
      </c>
      <c r="BA153" s="679">
        <f t="shared" si="39"/>
        <v>145.53005421041104</v>
      </c>
      <c r="BB153" s="560">
        <f t="shared" si="40"/>
        <v>0.3</v>
      </c>
    </row>
    <row r="154" spans="1:88" ht="18.75" customHeight="1" thickBot="1" x14ac:dyDescent="0.25">
      <c r="B154" s="671">
        <v>8</v>
      </c>
      <c r="C154" s="652"/>
      <c r="D154" s="32">
        <v>0</v>
      </c>
      <c r="E154" s="672" t="s">
        <v>130</v>
      </c>
      <c r="F154" s="673"/>
      <c r="G154" s="673">
        <f t="shared" si="26"/>
        <v>0.3</v>
      </c>
      <c r="H154" s="506">
        <v>279.06049999999999</v>
      </c>
      <c r="I154" s="507">
        <v>79.962900599999998</v>
      </c>
      <c r="J154" s="655">
        <f t="shared" si="27"/>
        <v>79.962900599999998</v>
      </c>
      <c r="K154" s="655">
        <f t="shared" si="11"/>
        <v>39.981450299999999</v>
      </c>
      <c r="L154" s="655">
        <f t="shared" si="12"/>
        <v>0.64253956655634092</v>
      </c>
      <c r="M154" s="655">
        <f t="shared" si="13"/>
        <v>179.30741271299578</v>
      </c>
      <c r="N154" s="655">
        <f t="shared" si="14"/>
        <v>358.61482542599157</v>
      </c>
      <c r="O154" s="655">
        <f>+C147+D148+D149+D150+D151+D152+D153+(D154/2)</f>
        <v>0</v>
      </c>
      <c r="P154" s="655">
        <f t="shared" si="15"/>
        <v>0</v>
      </c>
      <c r="Q154" s="655">
        <f t="shared" si="16"/>
        <v>0</v>
      </c>
      <c r="R154" s="655">
        <f t="shared" si="28"/>
        <v>213.83080000000001</v>
      </c>
      <c r="S154" s="655">
        <f t="shared" si="41"/>
        <v>213.83080000000001</v>
      </c>
      <c r="T154" s="656">
        <f t="shared" si="17"/>
        <v>213.83080000000001</v>
      </c>
      <c r="V154" s="657">
        <f t="shared" si="18"/>
        <v>0</v>
      </c>
      <c r="W154" s="657"/>
      <c r="X154" s="657"/>
      <c r="Y154" s="657"/>
      <c r="Z154" s="657"/>
      <c r="AA154" s="657"/>
      <c r="AB154" s="673" t="str">
        <f t="shared" si="42"/>
        <v>use the locking pin</v>
      </c>
      <c r="AC154" s="660" t="b">
        <f>IF(AD154=8,AF154)</f>
        <v>0</v>
      </c>
      <c r="AD154" s="660">
        <f t="shared" si="19"/>
        <v>1</v>
      </c>
      <c r="AE154" s="644">
        <f>IF(V154=0,0,8)</f>
        <v>0</v>
      </c>
      <c r="AF154" s="657">
        <f>SUM(V154:V166)/($B$144-B153)</f>
        <v>0</v>
      </c>
      <c r="AG154" s="612">
        <f>SUM(D148:D154)+$C$147</f>
        <v>0</v>
      </c>
      <c r="AH154" s="661" t="b">
        <f t="shared" si="20"/>
        <v>0</v>
      </c>
      <c r="AI154" s="287">
        <f t="shared" si="29"/>
        <v>66.255548399999995</v>
      </c>
      <c r="AJ154" s="674">
        <f t="shared" si="21"/>
        <v>0.91535047595051022</v>
      </c>
      <c r="AK154" s="289">
        <f t="shared" si="30"/>
        <v>278.56028065668761</v>
      </c>
      <c r="AL154" s="287">
        <f t="shared" si="31"/>
        <v>50.018549700000001</v>
      </c>
      <c r="AM154" s="675">
        <f t="shared" si="32"/>
        <v>0.76625250760411079</v>
      </c>
      <c r="AN154" s="291">
        <f t="shared" si="33"/>
        <v>213.83080789825695</v>
      </c>
      <c r="AO154" s="664">
        <f t="shared" si="22"/>
        <v>-17.279138643171738</v>
      </c>
      <c r="AP154" s="676">
        <f t="shared" si="34"/>
        <v>-243</v>
      </c>
      <c r="AQ154" s="677">
        <f t="shared" si="43"/>
        <v>-216.2</v>
      </c>
      <c r="AR154" s="678">
        <f t="shared" si="35"/>
        <v>492.39108855494453</v>
      </c>
      <c r="AS154" s="667">
        <f t="shared" si="23"/>
        <v>-213.83080789825695</v>
      </c>
      <c r="AT154" s="668">
        <f t="shared" si="36"/>
        <v>196.55166925508522</v>
      </c>
      <c r="AU154" s="667"/>
      <c r="AV154" s="669">
        <f t="shared" si="37"/>
        <v>-129.89772548552614</v>
      </c>
      <c r="AW154" s="669">
        <f t="shared" si="38"/>
        <v>-86.302274514473837</v>
      </c>
      <c r="AX154" s="673">
        <f t="shared" si="24"/>
        <v>-89.301024761149733</v>
      </c>
      <c r="AY154" s="673">
        <f t="shared" si="25"/>
        <v>-115.87180125041652</v>
      </c>
      <c r="AZ154" s="679">
        <f t="shared" si="39"/>
        <v>89.301024761149733</v>
      </c>
      <c r="BA154" s="679">
        <f t="shared" si="39"/>
        <v>115.87180125041652</v>
      </c>
      <c r="BB154" s="560">
        <f t="shared" si="40"/>
        <v>0.3</v>
      </c>
    </row>
    <row r="155" spans="1:88" ht="18.75" customHeight="1" thickBot="1" x14ac:dyDescent="0.25">
      <c r="B155" s="671">
        <v>9</v>
      </c>
      <c r="C155" s="652"/>
      <c r="D155" s="32">
        <v>0</v>
      </c>
      <c r="E155" s="672" t="s">
        <v>130</v>
      </c>
      <c r="F155" s="673"/>
      <c r="G155" s="673">
        <f t="shared" si="26"/>
        <v>0.3</v>
      </c>
      <c r="H155" s="506">
        <v>279.06049999999999</v>
      </c>
      <c r="I155" s="507">
        <v>79.962900599999998</v>
      </c>
      <c r="J155" s="655">
        <f t="shared" si="27"/>
        <v>79.962900599999998</v>
      </c>
      <c r="K155" s="655">
        <f t="shared" si="11"/>
        <v>39.981450299999999</v>
      </c>
      <c r="L155" s="655">
        <f t="shared" si="12"/>
        <v>0.64253956655634092</v>
      </c>
      <c r="M155" s="655">
        <f t="shared" si="13"/>
        <v>179.30741271299578</v>
      </c>
      <c r="N155" s="655">
        <f t="shared" si="14"/>
        <v>358.61482542599157</v>
      </c>
      <c r="O155" s="655">
        <f>+C147+D148+D149+D150+D151+D152+D153+D154+(D155/2)</f>
        <v>0</v>
      </c>
      <c r="P155" s="655">
        <f t="shared" si="15"/>
        <v>0</v>
      </c>
      <c r="Q155" s="655">
        <f t="shared" si="16"/>
        <v>0</v>
      </c>
      <c r="R155" s="655">
        <f t="shared" si="28"/>
        <v>213.83080000000001</v>
      </c>
      <c r="S155" s="655">
        <f t="shared" si="41"/>
        <v>213.83080000000001</v>
      </c>
      <c r="T155" s="656">
        <f t="shared" si="17"/>
        <v>213.83080000000001</v>
      </c>
      <c r="V155" s="657">
        <f t="shared" si="18"/>
        <v>0</v>
      </c>
      <c r="W155" s="657"/>
      <c r="X155" s="657"/>
      <c r="Y155" s="657"/>
      <c r="Z155" s="657"/>
      <c r="AA155" s="657"/>
      <c r="AB155" s="673" t="str">
        <f t="shared" si="42"/>
        <v>use the locking pin</v>
      </c>
      <c r="AC155" s="660" t="b">
        <f>IF(AD155=9,AF155)</f>
        <v>0</v>
      </c>
      <c r="AD155" s="660">
        <f t="shared" si="19"/>
        <v>1</v>
      </c>
      <c r="AE155" s="644">
        <f>IF(V155=0,0,9)</f>
        <v>0</v>
      </c>
      <c r="AF155" s="657">
        <f>SUM(V155:V166)/($B$144-B154)</f>
        <v>0</v>
      </c>
      <c r="AG155" s="612">
        <f>SUM(D148:D155)+$C$147</f>
        <v>0</v>
      </c>
      <c r="AH155" s="661" t="b">
        <f t="shared" si="20"/>
        <v>0</v>
      </c>
      <c r="AI155" s="287">
        <f t="shared" si="29"/>
        <v>66.255548399999995</v>
      </c>
      <c r="AJ155" s="674">
        <f t="shared" si="21"/>
        <v>0.91535047595051022</v>
      </c>
      <c r="AK155" s="289">
        <f t="shared" si="30"/>
        <v>278.56028065668761</v>
      </c>
      <c r="AL155" s="287">
        <f t="shared" si="31"/>
        <v>50.018549700000001</v>
      </c>
      <c r="AM155" s="675">
        <f t="shared" si="32"/>
        <v>0.76625250760411079</v>
      </c>
      <c r="AN155" s="291">
        <f t="shared" si="33"/>
        <v>213.83080789825695</v>
      </c>
      <c r="AO155" s="664">
        <f t="shared" si="22"/>
        <v>-14.552979254591856</v>
      </c>
      <c r="AP155" s="676">
        <f t="shared" si="34"/>
        <v>-283.5</v>
      </c>
      <c r="AQ155" s="677">
        <f t="shared" si="43"/>
        <v>-256.7</v>
      </c>
      <c r="AR155" s="678">
        <f t="shared" si="35"/>
        <v>492.39108855494453</v>
      </c>
      <c r="AS155" s="667">
        <f t="shared" si="23"/>
        <v>-213.83080789825695</v>
      </c>
      <c r="AT155" s="668">
        <f t="shared" si="36"/>
        <v>199.27782864366509</v>
      </c>
      <c r="AU155" s="667"/>
      <c r="AV155" s="669">
        <f t="shared" si="37"/>
        <v>-152.80977980337551</v>
      </c>
      <c r="AW155" s="669">
        <f t="shared" si="38"/>
        <v>-103.89022019662451</v>
      </c>
      <c r="AX155" s="673">
        <f t="shared" si="24"/>
        <v>-75.911371738942591</v>
      </c>
      <c r="AY155" s="673">
        <f t="shared" si="25"/>
        <v>-96.255451004664536</v>
      </c>
      <c r="AZ155" s="679">
        <f t="shared" si="39"/>
        <v>75.911371738942591</v>
      </c>
      <c r="BA155" s="679">
        <f t="shared" si="39"/>
        <v>96.255451004664536</v>
      </c>
      <c r="BB155" s="560">
        <f t="shared" si="40"/>
        <v>0.3</v>
      </c>
    </row>
    <row r="156" spans="1:88" ht="18.75" customHeight="1" thickBot="1" x14ac:dyDescent="0.25">
      <c r="B156" s="671">
        <v>10</v>
      </c>
      <c r="C156" s="652"/>
      <c r="D156" s="32">
        <v>0</v>
      </c>
      <c r="E156" s="672" t="s">
        <v>130</v>
      </c>
      <c r="F156" s="673"/>
      <c r="G156" s="673">
        <f t="shared" si="26"/>
        <v>0.3</v>
      </c>
      <c r="H156" s="506">
        <v>279.06049999999999</v>
      </c>
      <c r="I156" s="507">
        <v>79.962900599999998</v>
      </c>
      <c r="J156" s="655">
        <f t="shared" si="27"/>
        <v>79.962900599999998</v>
      </c>
      <c r="K156" s="655">
        <f t="shared" si="11"/>
        <v>39.981450299999999</v>
      </c>
      <c r="L156" s="655">
        <f t="shared" si="12"/>
        <v>0.64253956655634092</v>
      </c>
      <c r="M156" s="655">
        <f t="shared" si="13"/>
        <v>179.30741271299578</v>
      </c>
      <c r="N156" s="655">
        <f t="shared" si="14"/>
        <v>358.61482542599157</v>
      </c>
      <c r="O156" s="655">
        <f>+C147+D148+D149+D150+D151+D152+D153+D154+D155+(D156/2)</f>
        <v>0</v>
      </c>
      <c r="P156" s="655">
        <f t="shared" si="15"/>
        <v>0</v>
      </c>
      <c r="Q156" s="655">
        <f t="shared" si="16"/>
        <v>0</v>
      </c>
      <c r="R156" s="655">
        <f t="shared" si="28"/>
        <v>213.83080000000001</v>
      </c>
      <c r="S156" s="655">
        <f t="shared" si="41"/>
        <v>213.83080000000001</v>
      </c>
      <c r="T156" s="656">
        <f t="shared" si="17"/>
        <v>213.83080000000001</v>
      </c>
      <c r="V156" s="657">
        <f t="shared" si="18"/>
        <v>0</v>
      </c>
      <c r="W156" s="657"/>
      <c r="X156" s="657"/>
      <c r="Y156" s="657"/>
      <c r="Z156" s="657"/>
      <c r="AA156" s="657"/>
      <c r="AB156" s="673" t="str">
        <f t="shared" si="42"/>
        <v>use the locking pin</v>
      </c>
      <c r="AC156" s="660" t="b">
        <f>IF(AD156=10,AF156)</f>
        <v>0</v>
      </c>
      <c r="AD156" s="660">
        <f t="shared" si="19"/>
        <v>1</v>
      </c>
      <c r="AE156" s="644">
        <f>IF(V156=0,0,10)</f>
        <v>0</v>
      </c>
      <c r="AF156" s="657">
        <f>SUM(V156:V167)/($B$144-B155)</f>
        <v>0</v>
      </c>
      <c r="AG156" s="612">
        <f>SUM(D148:D156)+$C$147</f>
        <v>0</v>
      </c>
      <c r="AH156" s="661" t="b">
        <f t="shared" si="20"/>
        <v>0</v>
      </c>
      <c r="AI156" s="287">
        <f t="shared" si="29"/>
        <v>66.255548399999995</v>
      </c>
      <c r="AJ156" s="674">
        <f t="shared" si="21"/>
        <v>0.91535047595051022</v>
      </c>
      <c r="AK156" s="289">
        <f t="shared" si="30"/>
        <v>278.56028065668761</v>
      </c>
      <c r="AL156" s="287">
        <f t="shared" si="31"/>
        <v>50.018549700000001</v>
      </c>
      <c r="AM156" s="675">
        <f t="shared" si="32"/>
        <v>0.76625250760411079</v>
      </c>
      <c r="AN156" s="291">
        <f t="shared" si="33"/>
        <v>213.83080789825695</v>
      </c>
      <c r="AO156" s="664">
        <f t="shared" si="22"/>
        <v>-12.569817545941216</v>
      </c>
      <c r="AP156" s="676">
        <f t="shared" si="34"/>
        <v>-324</v>
      </c>
      <c r="AQ156" s="677">
        <f t="shared" si="43"/>
        <v>-297.2</v>
      </c>
      <c r="AR156" s="678">
        <f t="shared" si="35"/>
        <v>492.39108855494453</v>
      </c>
      <c r="AS156" s="667">
        <f t="shared" si="23"/>
        <v>-213.83080789825695</v>
      </c>
      <c r="AT156" s="668">
        <f t="shared" si="36"/>
        <v>201.26099035231573</v>
      </c>
      <c r="AU156" s="667"/>
      <c r="AV156" s="669">
        <f t="shared" si="37"/>
        <v>-175.72183412122479</v>
      </c>
      <c r="AW156" s="669">
        <f t="shared" si="38"/>
        <v>-121.47816587877519</v>
      </c>
      <c r="AX156" s="673">
        <f t="shared" si="24"/>
        <v>-66.013424330624375</v>
      </c>
      <c r="AY156" s="673">
        <f t="shared" si="25"/>
        <v>-82.319319917779666</v>
      </c>
      <c r="AZ156" s="679">
        <f t="shared" si="39"/>
        <v>66.013424330624375</v>
      </c>
      <c r="BA156" s="679">
        <f t="shared" si="39"/>
        <v>82.319319917779666</v>
      </c>
      <c r="BB156" s="560">
        <f t="shared" si="40"/>
        <v>0.3</v>
      </c>
    </row>
    <row r="157" spans="1:88" ht="18.75" customHeight="1" thickBot="1" x14ac:dyDescent="0.25">
      <c r="A157" s="680"/>
      <c r="B157" s="671">
        <v>11</v>
      </c>
      <c r="C157" s="652"/>
      <c r="D157" s="32">
        <v>0</v>
      </c>
      <c r="E157" s="672" t="s">
        <v>130</v>
      </c>
      <c r="F157" s="673"/>
      <c r="G157" s="673">
        <f t="shared" si="26"/>
        <v>0.3</v>
      </c>
      <c r="H157" s="506">
        <v>279.06049999999999</v>
      </c>
      <c r="I157" s="507">
        <v>79.962900599999998</v>
      </c>
      <c r="J157" s="655">
        <f t="shared" si="27"/>
        <v>79.962900599999998</v>
      </c>
      <c r="K157" s="655">
        <f t="shared" si="11"/>
        <v>39.981450299999999</v>
      </c>
      <c r="L157" s="655">
        <f t="shared" si="12"/>
        <v>0.64253956655634092</v>
      </c>
      <c r="M157" s="655">
        <f t="shared" si="13"/>
        <v>179.30741271299578</v>
      </c>
      <c r="N157" s="655">
        <f t="shared" si="14"/>
        <v>358.61482542599157</v>
      </c>
      <c r="O157" s="655">
        <f>+C147+D148+D149+D150+D151+D152+D153+D154+D155+D156+(D157/2)</f>
        <v>0</v>
      </c>
      <c r="P157" s="655">
        <f t="shared" si="15"/>
        <v>0</v>
      </c>
      <c r="Q157" s="655">
        <f t="shared" si="16"/>
        <v>0</v>
      </c>
      <c r="R157" s="655">
        <f t="shared" si="28"/>
        <v>213.83080000000001</v>
      </c>
      <c r="S157" s="655">
        <f t="shared" si="41"/>
        <v>213.83080000000001</v>
      </c>
      <c r="T157" s="656">
        <f t="shared" si="17"/>
        <v>213.83080000000001</v>
      </c>
      <c r="V157" s="657">
        <f t="shared" si="18"/>
        <v>0</v>
      </c>
      <c r="W157" s="657"/>
      <c r="X157" s="657"/>
      <c r="Y157" s="657"/>
      <c r="Z157" s="657"/>
      <c r="AA157" s="657"/>
      <c r="AB157" s="673" t="str">
        <f t="shared" si="42"/>
        <v>use the locking pin</v>
      </c>
      <c r="AC157" s="660" t="b">
        <f>IF(AD157=11,AF157)</f>
        <v>0</v>
      </c>
      <c r="AD157" s="660">
        <f t="shared" si="19"/>
        <v>1</v>
      </c>
      <c r="AE157" s="644">
        <f>IF(V157=0,0,11)</f>
        <v>0</v>
      </c>
      <c r="AF157" s="657">
        <f>SUM(V157:V167)/($B$144-B156)</f>
        <v>0</v>
      </c>
      <c r="AG157" s="612">
        <f>SUM(D148:D157)+$C$147</f>
        <v>0</v>
      </c>
      <c r="AH157" s="661" t="b">
        <f t="shared" si="20"/>
        <v>0</v>
      </c>
      <c r="AI157" s="287">
        <f t="shared" si="29"/>
        <v>66.255548399999995</v>
      </c>
      <c r="AJ157" s="674">
        <f t="shared" si="21"/>
        <v>0.91535047595051022</v>
      </c>
      <c r="AK157" s="289">
        <f t="shared" si="30"/>
        <v>278.56028065668761</v>
      </c>
      <c r="AL157" s="287">
        <f t="shared" si="31"/>
        <v>50.018549700000001</v>
      </c>
      <c r="AM157" s="675">
        <f t="shared" si="32"/>
        <v>0.76625250760411079</v>
      </c>
      <c r="AN157" s="291">
        <f t="shared" si="33"/>
        <v>213.83080789825695</v>
      </c>
      <c r="AO157" s="664">
        <f t="shared" si="22"/>
        <v>-11.062332764743054</v>
      </c>
      <c r="AP157" s="676">
        <f t="shared" si="34"/>
        <v>-364.5</v>
      </c>
      <c r="AQ157" s="677">
        <f t="shared" si="43"/>
        <v>-337.7</v>
      </c>
      <c r="AR157" s="678">
        <f t="shared" si="35"/>
        <v>492.39108855494453</v>
      </c>
      <c r="AS157" s="667">
        <f t="shared" si="23"/>
        <v>-213.83080789825695</v>
      </c>
      <c r="AT157" s="668">
        <f t="shared" si="36"/>
        <v>202.7684751335139</v>
      </c>
      <c r="AU157" s="667"/>
      <c r="AV157" s="669">
        <f t="shared" si="37"/>
        <v>-198.6338884390741</v>
      </c>
      <c r="AW157" s="669">
        <f t="shared" si="38"/>
        <v>-139.06611156092586</v>
      </c>
      <c r="AX157" s="673">
        <f t="shared" si="24"/>
        <v>-58.398897041971793</v>
      </c>
      <c r="AY157" s="673">
        <f t="shared" si="25"/>
        <v>-71.908244846688817</v>
      </c>
      <c r="AZ157" s="679">
        <f t="shared" si="39"/>
        <v>58.398897041971793</v>
      </c>
      <c r="BA157" s="679">
        <f t="shared" si="39"/>
        <v>71.908244846688817</v>
      </c>
      <c r="BB157" s="560">
        <f t="shared" si="40"/>
        <v>0.3</v>
      </c>
    </row>
    <row r="158" spans="1:88" ht="18.75" customHeight="1" thickBot="1" x14ac:dyDescent="0.25">
      <c r="A158" s="680"/>
      <c r="B158" s="671">
        <v>12</v>
      </c>
      <c r="C158" s="652"/>
      <c r="D158" s="32">
        <v>0</v>
      </c>
      <c r="E158" s="672" t="s">
        <v>130</v>
      </c>
      <c r="F158" s="673"/>
      <c r="G158" s="673">
        <f t="shared" si="26"/>
        <v>0.3</v>
      </c>
      <c r="H158" s="506">
        <v>279.06049999999999</v>
      </c>
      <c r="I158" s="507">
        <v>79.962900599999998</v>
      </c>
      <c r="J158" s="655">
        <f t="shared" si="27"/>
        <v>79.962900599999998</v>
      </c>
      <c r="K158" s="655">
        <f t="shared" si="11"/>
        <v>39.981450299999999</v>
      </c>
      <c r="L158" s="655">
        <f t="shared" si="12"/>
        <v>0.64253956655634092</v>
      </c>
      <c r="M158" s="655">
        <f t="shared" si="13"/>
        <v>179.30741271299578</v>
      </c>
      <c r="N158" s="655">
        <f t="shared" si="14"/>
        <v>358.61482542599157</v>
      </c>
      <c r="O158" s="655">
        <f>+C147+D148+D149+D150+D151+D152+D153+D154+D155+D156+D157+(D158/2)</f>
        <v>0</v>
      </c>
      <c r="P158" s="655">
        <f t="shared" si="15"/>
        <v>0</v>
      </c>
      <c r="Q158" s="655">
        <f t="shared" si="16"/>
        <v>0</v>
      </c>
      <c r="R158" s="655">
        <f t="shared" si="28"/>
        <v>213.83080000000001</v>
      </c>
      <c r="S158" s="655">
        <f t="shared" si="41"/>
        <v>213.83080000000001</v>
      </c>
      <c r="T158" s="656">
        <f t="shared" si="17"/>
        <v>213.83080000000001</v>
      </c>
      <c r="V158" s="657">
        <f t="shared" si="18"/>
        <v>0</v>
      </c>
      <c r="W158" s="657"/>
      <c r="X158" s="657"/>
      <c r="Y158" s="657"/>
      <c r="Z158" s="657"/>
      <c r="AA158" s="657"/>
      <c r="AB158" s="673" t="str">
        <f t="shared" si="42"/>
        <v>use the locking pin</v>
      </c>
      <c r="AC158" s="660" t="b">
        <f>IF(AD158=12,AF158)</f>
        <v>0</v>
      </c>
      <c r="AD158" s="660">
        <f t="shared" si="19"/>
        <v>1</v>
      </c>
      <c r="AE158" s="644">
        <f>IF(V158=0,0,12)</f>
        <v>0</v>
      </c>
      <c r="AF158" s="657">
        <f>SUM(V158:V166)/($B$144-B157)</f>
        <v>0</v>
      </c>
      <c r="AG158" s="612">
        <f>SUM(D148:D158)+$C$147</f>
        <v>0</v>
      </c>
      <c r="AH158" s="661" t="b">
        <f t="shared" si="20"/>
        <v>0</v>
      </c>
      <c r="AI158" s="287">
        <f t="shared" si="29"/>
        <v>66.255548399999995</v>
      </c>
      <c r="AJ158" s="674">
        <f t="shared" si="21"/>
        <v>0.91535047595051022</v>
      </c>
      <c r="AK158" s="289">
        <f t="shared" si="30"/>
        <v>278.56028065668761</v>
      </c>
      <c r="AL158" s="287">
        <f t="shared" si="31"/>
        <v>50.018549700000001</v>
      </c>
      <c r="AM158" s="675">
        <f t="shared" si="32"/>
        <v>0.76625250760411079</v>
      </c>
      <c r="AN158" s="291">
        <f t="shared" si="33"/>
        <v>213.83080789825695</v>
      </c>
      <c r="AO158" s="664">
        <f t="shared" si="22"/>
        <v>-9.8777096104011886</v>
      </c>
      <c r="AP158" s="676">
        <f t="shared" si="34"/>
        <v>-405</v>
      </c>
      <c r="AQ158" s="677">
        <f t="shared" si="43"/>
        <v>-378.2</v>
      </c>
      <c r="AR158" s="678">
        <f t="shared" si="35"/>
        <v>492.39108855494453</v>
      </c>
      <c r="AS158" s="667">
        <f t="shared" si="23"/>
        <v>-213.83080789825695</v>
      </c>
      <c r="AT158" s="668">
        <f t="shared" si="36"/>
        <v>203.95309828785577</v>
      </c>
      <c r="AU158" s="667"/>
      <c r="AV158" s="669">
        <f t="shared" si="37"/>
        <v>-221.54594275692344</v>
      </c>
      <c r="AW158" s="669">
        <f t="shared" si="38"/>
        <v>-156.65405724307655</v>
      </c>
      <c r="AX158" s="673">
        <f t="shared" si="24"/>
        <v>-52.359342968096371</v>
      </c>
      <c r="AY158" s="673">
        <f t="shared" si="25"/>
        <v>-63.834925031550419</v>
      </c>
      <c r="AZ158" s="679">
        <f t="shared" si="39"/>
        <v>52.359342968096371</v>
      </c>
      <c r="BA158" s="679">
        <f t="shared" si="39"/>
        <v>63.834925031550419</v>
      </c>
      <c r="BB158" s="560">
        <f t="shared" si="40"/>
        <v>0.3</v>
      </c>
      <c r="BQ158" s="305"/>
      <c r="BR158" s="305"/>
      <c r="BS158" s="305"/>
      <c r="BT158" s="305"/>
      <c r="BU158" s="305"/>
      <c r="BV158" s="305"/>
      <c r="BW158" s="1818"/>
      <c r="BX158" s="1818"/>
      <c r="BY158" s="1818"/>
      <c r="BZ158" s="126"/>
    </row>
    <row r="159" spans="1:88" ht="18.75" customHeight="1" thickBot="1" x14ac:dyDescent="0.25">
      <c r="B159" s="671">
        <v>13</v>
      </c>
      <c r="C159" s="652"/>
      <c r="D159" s="32">
        <v>0</v>
      </c>
      <c r="E159" s="672" t="s">
        <v>130</v>
      </c>
      <c r="F159" s="673"/>
      <c r="G159" s="673">
        <f t="shared" si="26"/>
        <v>0.3</v>
      </c>
      <c r="H159" s="506">
        <v>279.06049999999999</v>
      </c>
      <c r="I159" s="507">
        <v>79.962900599999998</v>
      </c>
      <c r="J159" s="655">
        <f t="shared" si="27"/>
        <v>79.962900599999998</v>
      </c>
      <c r="K159" s="655">
        <f t="shared" si="11"/>
        <v>39.981450299999999</v>
      </c>
      <c r="L159" s="655">
        <f t="shared" si="12"/>
        <v>0.64253956655634092</v>
      </c>
      <c r="M159" s="655">
        <f t="shared" si="13"/>
        <v>179.30741271299578</v>
      </c>
      <c r="N159" s="655">
        <f t="shared" si="14"/>
        <v>358.61482542599157</v>
      </c>
      <c r="O159" s="655">
        <f>+C147+D148+D149+D150+D151+D152+D153+D154+D155+D156+D157+D158+(D159/2)</f>
        <v>0</v>
      </c>
      <c r="P159" s="655">
        <f t="shared" si="15"/>
        <v>0</v>
      </c>
      <c r="Q159" s="655">
        <f t="shared" si="16"/>
        <v>0</v>
      </c>
      <c r="R159" s="655">
        <f t="shared" si="28"/>
        <v>213.83080000000001</v>
      </c>
      <c r="S159" s="655">
        <f t="shared" si="41"/>
        <v>213.83080000000001</v>
      </c>
      <c r="T159" s="656">
        <f t="shared" si="17"/>
        <v>213.83080000000001</v>
      </c>
      <c r="V159" s="657">
        <f t="shared" si="18"/>
        <v>0</v>
      </c>
      <c r="W159" s="657"/>
      <c r="X159" s="657"/>
      <c r="Y159" s="657"/>
      <c r="Z159" s="657"/>
      <c r="AA159" s="657"/>
      <c r="AB159" s="673" t="str">
        <f t="shared" si="42"/>
        <v>use the locking pin</v>
      </c>
      <c r="AC159" s="660" t="b">
        <f>IF(AD159=13,AF159)</f>
        <v>0</v>
      </c>
      <c r="AD159" s="660">
        <f t="shared" si="19"/>
        <v>1</v>
      </c>
      <c r="AE159" s="644">
        <f>IF(V159=0,0,13)</f>
        <v>0</v>
      </c>
      <c r="AF159" s="657">
        <f>SUM(V159:V166)/($B$144-B158)</f>
        <v>0</v>
      </c>
      <c r="AG159" s="612">
        <f>SUM(D148:D159)+$C$147</f>
        <v>0</v>
      </c>
      <c r="AH159" s="661" t="b">
        <f t="shared" si="20"/>
        <v>0</v>
      </c>
      <c r="AI159" s="287">
        <f t="shared" si="29"/>
        <v>66.255548399999995</v>
      </c>
      <c r="AJ159" s="674">
        <f t="shared" si="21"/>
        <v>0.91535047595051022</v>
      </c>
      <c r="AK159" s="289">
        <f t="shared" si="30"/>
        <v>278.56028065668761</v>
      </c>
      <c r="AL159" s="287">
        <f t="shared" si="31"/>
        <v>50.018549700000001</v>
      </c>
      <c r="AM159" s="675">
        <f t="shared" si="32"/>
        <v>0.76625250760411079</v>
      </c>
      <c r="AN159" s="291">
        <f t="shared" si="33"/>
        <v>213.83080789825695</v>
      </c>
      <c r="AO159" s="664">
        <f t="shared" si="22"/>
        <v>-8.9222588360490303</v>
      </c>
      <c r="AP159" s="676">
        <f t="shared" si="34"/>
        <v>-445.5</v>
      </c>
      <c r="AQ159" s="677">
        <f t="shared" si="43"/>
        <v>-418.7</v>
      </c>
      <c r="AR159" s="678">
        <f t="shared" si="35"/>
        <v>492.39108855494453</v>
      </c>
      <c r="AS159" s="667">
        <f t="shared" si="23"/>
        <v>-213.83080789825695</v>
      </c>
      <c r="AT159" s="668">
        <f t="shared" si="36"/>
        <v>204.90854906220792</v>
      </c>
      <c r="AU159" s="667"/>
      <c r="AV159" s="669">
        <f t="shared" si="37"/>
        <v>-244.45799707477272</v>
      </c>
      <c r="AW159" s="669">
        <f t="shared" si="38"/>
        <v>-174.24200292522721</v>
      </c>
      <c r="AX159" s="673">
        <f t="shared" si="24"/>
        <v>-47.451914598039892</v>
      </c>
      <c r="AY159" s="673">
        <f t="shared" si="25"/>
        <v>-57.391443120011182</v>
      </c>
      <c r="AZ159" s="679">
        <f t="shared" si="39"/>
        <v>47.451914598039892</v>
      </c>
      <c r="BA159" s="679">
        <f t="shared" si="39"/>
        <v>57.391443120011182</v>
      </c>
      <c r="BB159" s="560">
        <f t="shared" si="40"/>
        <v>0.3</v>
      </c>
      <c r="BW159" s="306"/>
      <c r="CJ159" s="306"/>
    </row>
    <row r="160" spans="1:88" ht="18.75" customHeight="1" thickBot="1" x14ac:dyDescent="0.25">
      <c r="B160" s="671">
        <v>14</v>
      </c>
      <c r="C160" s="652"/>
      <c r="D160" s="32">
        <v>0</v>
      </c>
      <c r="E160" s="672" t="s">
        <v>130</v>
      </c>
      <c r="F160" s="673"/>
      <c r="G160" s="673">
        <f t="shared" si="26"/>
        <v>0.3</v>
      </c>
      <c r="H160" s="506">
        <v>279.06049999999999</v>
      </c>
      <c r="I160" s="507">
        <v>79.962900599999998</v>
      </c>
      <c r="J160" s="655">
        <f t="shared" si="27"/>
        <v>79.962900599999998</v>
      </c>
      <c r="K160" s="655">
        <f t="shared" si="11"/>
        <v>39.981450299999999</v>
      </c>
      <c r="L160" s="655">
        <f t="shared" si="12"/>
        <v>0.64253956655634092</v>
      </c>
      <c r="M160" s="655">
        <f t="shared" si="13"/>
        <v>179.30741271299578</v>
      </c>
      <c r="N160" s="655">
        <f t="shared" si="14"/>
        <v>358.61482542599157</v>
      </c>
      <c r="O160" s="655">
        <f>+C147+D148+D149+D150+D151+D152+D153+D154+D155+D156+D157+D158+D159+(D160/2)</f>
        <v>0</v>
      </c>
      <c r="P160" s="655">
        <f t="shared" si="15"/>
        <v>0</v>
      </c>
      <c r="Q160" s="655">
        <f t="shared" si="16"/>
        <v>0</v>
      </c>
      <c r="R160" s="655">
        <f t="shared" si="28"/>
        <v>213.83080000000001</v>
      </c>
      <c r="S160" s="655">
        <f t="shared" si="41"/>
        <v>213.83080000000001</v>
      </c>
      <c r="T160" s="656">
        <f t="shared" si="17"/>
        <v>213.83080000000001</v>
      </c>
      <c r="V160" s="657">
        <f t="shared" si="18"/>
        <v>0</v>
      </c>
      <c r="W160" s="657"/>
      <c r="X160" s="657"/>
      <c r="Y160" s="657"/>
      <c r="Z160" s="657"/>
      <c r="AA160" s="657"/>
      <c r="AB160" s="673" t="str">
        <f t="shared" si="42"/>
        <v>use the locking pin</v>
      </c>
      <c r="AC160" s="660" t="b">
        <f>IF(AD160=14,AF160)</f>
        <v>0</v>
      </c>
      <c r="AD160" s="660">
        <f t="shared" si="19"/>
        <v>1</v>
      </c>
      <c r="AE160" s="644">
        <f>IF(V160=0,0,14)</f>
        <v>0</v>
      </c>
      <c r="AF160" s="657">
        <f>SUM(V160:V166)/($B$144-B159)</f>
        <v>0</v>
      </c>
      <c r="AG160" s="612">
        <f>SUM(D148:D160)+$C$147</f>
        <v>0</v>
      </c>
      <c r="AH160" s="661" t="b">
        <f t="shared" si="20"/>
        <v>0</v>
      </c>
      <c r="AI160" s="287">
        <f t="shared" si="29"/>
        <v>66.255548399999995</v>
      </c>
      <c r="AJ160" s="674">
        <f t="shared" si="21"/>
        <v>0.91535047595051022</v>
      </c>
      <c r="AK160" s="289">
        <f t="shared" si="30"/>
        <v>278.56028065668761</v>
      </c>
      <c r="AL160" s="287">
        <f t="shared" si="31"/>
        <v>50.018549700000001</v>
      </c>
      <c r="AM160" s="675">
        <f t="shared" si="32"/>
        <v>0.76625250760411079</v>
      </c>
      <c r="AN160" s="291">
        <f t="shared" si="33"/>
        <v>213.83080789825695</v>
      </c>
      <c r="AO160" s="664">
        <f t="shared" si="22"/>
        <v>-8.1353435859184007</v>
      </c>
      <c r="AP160" s="676">
        <f t="shared" si="34"/>
        <v>-486</v>
      </c>
      <c r="AQ160" s="677">
        <f t="shared" si="43"/>
        <v>-459.2</v>
      </c>
      <c r="AR160" s="678">
        <f t="shared" si="35"/>
        <v>492.39108855494453</v>
      </c>
      <c r="AS160" s="667">
        <f t="shared" si="23"/>
        <v>-213.83080789825695</v>
      </c>
      <c r="AT160" s="668">
        <f t="shared" si="36"/>
        <v>205.69546431233854</v>
      </c>
      <c r="AU160" s="667"/>
      <c r="AV160" s="669">
        <f t="shared" si="37"/>
        <v>-267.37005139262209</v>
      </c>
      <c r="AW160" s="669">
        <f t="shared" si="38"/>
        <v>-191.82994860737787</v>
      </c>
      <c r="AX160" s="673">
        <f t="shared" si="24"/>
        <v>-43.385562218282516</v>
      </c>
      <c r="AY160" s="673">
        <f t="shared" si="25"/>
        <v>-52.129503618161294</v>
      </c>
      <c r="AZ160" s="679">
        <f t="shared" si="39"/>
        <v>43.385562218282516</v>
      </c>
      <c r="BA160" s="679">
        <f t="shared" si="39"/>
        <v>52.129503618161294</v>
      </c>
      <c r="BB160" s="560">
        <f t="shared" si="40"/>
        <v>0.3</v>
      </c>
      <c r="BQ160" s="307"/>
      <c r="BR160" s="307"/>
      <c r="BS160" s="307"/>
      <c r="BT160" s="307"/>
      <c r="BU160" s="307"/>
      <c r="BV160" s="307"/>
      <c r="BW160" s="1819"/>
      <c r="BX160" s="1819"/>
      <c r="CI160" s="1813"/>
      <c r="CJ160" s="1813"/>
    </row>
    <row r="161" spans="2:54" ht="18.75" customHeight="1" thickBot="1" x14ac:dyDescent="0.25">
      <c r="B161" s="671">
        <v>15</v>
      </c>
      <c r="C161" s="652"/>
      <c r="D161" s="32">
        <v>0</v>
      </c>
      <c r="E161" s="672" t="s">
        <v>130</v>
      </c>
      <c r="F161" s="673"/>
      <c r="G161" s="673">
        <f t="shared" si="26"/>
        <v>0.3</v>
      </c>
      <c r="H161" s="506">
        <v>279.06049999999999</v>
      </c>
      <c r="I161" s="507">
        <v>79.962900599999998</v>
      </c>
      <c r="J161" s="655">
        <f t="shared" si="27"/>
        <v>79.962900599999998</v>
      </c>
      <c r="K161" s="655">
        <f t="shared" si="11"/>
        <v>39.981450299999999</v>
      </c>
      <c r="L161" s="655">
        <f t="shared" si="12"/>
        <v>0.64253956655634092</v>
      </c>
      <c r="M161" s="655">
        <f t="shared" si="13"/>
        <v>179.30741271299578</v>
      </c>
      <c r="N161" s="655">
        <f t="shared" si="14"/>
        <v>358.61482542599157</v>
      </c>
      <c r="O161" s="655">
        <f>+C147+D148+D149+D150+D151+D152+D153+D154+D155+D156+D157+D158+D159+D160+(D161/2)</f>
        <v>0</v>
      </c>
      <c r="P161" s="655">
        <f t="shared" si="15"/>
        <v>0</v>
      </c>
      <c r="Q161" s="655">
        <f t="shared" si="16"/>
        <v>0</v>
      </c>
      <c r="R161" s="655">
        <f t="shared" si="28"/>
        <v>213.83080000000001</v>
      </c>
      <c r="S161" s="655">
        <f t="shared" si="41"/>
        <v>213.83080000000001</v>
      </c>
      <c r="T161" s="656">
        <f t="shared" si="17"/>
        <v>213.83080000000001</v>
      </c>
      <c r="V161" s="657">
        <f t="shared" si="18"/>
        <v>0</v>
      </c>
      <c r="W161" s="657"/>
      <c r="X161" s="657"/>
      <c r="Y161" s="657"/>
      <c r="Z161" s="657"/>
      <c r="AA161" s="657"/>
      <c r="AB161" s="673" t="str">
        <f t="shared" si="42"/>
        <v>use the locking pin</v>
      </c>
      <c r="AC161" s="660" t="b">
        <f>IF(AD161=15,AF161)</f>
        <v>0</v>
      </c>
      <c r="AD161" s="660">
        <f t="shared" si="19"/>
        <v>1</v>
      </c>
      <c r="AE161" s="644">
        <f>IF(V161=0,0,15)</f>
        <v>0</v>
      </c>
      <c r="AF161" s="657">
        <f>SUM(V161:V166)/($B$144-B160)</f>
        <v>0</v>
      </c>
      <c r="AG161" s="612">
        <f>SUM(D148:D161)+$C$147</f>
        <v>0</v>
      </c>
      <c r="AH161" s="661" t="b">
        <f t="shared" si="20"/>
        <v>0</v>
      </c>
      <c r="AI161" s="287">
        <f t="shared" si="29"/>
        <v>66.255548399999995</v>
      </c>
      <c r="AJ161" s="674">
        <f t="shared" si="21"/>
        <v>0.91535047595051022</v>
      </c>
      <c r="AK161" s="289">
        <f t="shared" si="30"/>
        <v>278.56028065668761</v>
      </c>
      <c r="AL161" s="287">
        <f t="shared" si="31"/>
        <v>50.018549700000001</v>
      </c>
      <c r="AM161" s="675">
        <f t="shared" si="32"/>
        <v>0.76625250760411079</v>
      </c>
      <c r="AN161" s="291">
        <f t="shared" si="33"/>
        <v>213.83080789825695</v>
      </c>
      <c r="AO161" s="664">
        <f t="shared" si="22"/>
        <v>-7.4759851403916935</v>
      </c>
      <c r="AP161" s="676">
        <f t="shared" si="34"/>
        <v>-526.5</v>
      </c>
      <c r="AQ161" s="677">
        <f t="shared" si="43"/>
        <v>-499.7</v>
      </c>
      <c r="AR161" s="678">
        <f t="shared" si="35"/>
        <v>492.39108855494453</v>
      </c>
      <c r="AS161" s="667">
        <f t="shared" si="23"/>
        <v>-213.83080789825695</v>
      </c>
      <c r="AT161" s="668">
        <f t="shared" si="36"/>
        <v>206.35482275786526</v>
      </c>
      <c r="AU161" s="667"/>
      <c r="AV161" s="669">
        <f t="shared" si="37"/>
        <v>-290.28210571047146</v>
      </c>
      <c r="AW161" s="669">
        <f t="shared" si="38"/>
        <v>-209.41789428952853</v>
      </c>
      <c r="AX161" s="673">
        <f t="shared" si="24"/>
        <v>-39.961126682641222</v>
      </c>
      <c r="AY161" s="673">
        <f t="shared" si="25"/>
        <v>-47.751411281858289</v>
      </c>
      <c r="AZ161" s="679">
        <f t="shared" si="39"/>
        <v>39.961126682641222</v>
      </c>
      <c r="BA161" s="679">
        <f t="shared" si="39"/>
        <v>47.751411281858289</v>
      </c>
      <c r="BB161" s="560">
        <f t="shared" si="40"/>
        <v>0.3</v>
      </c>
    </row>
    <row r="162" spans="2:54" ht="18.75" customHeight="1" thickBot="1" x14ac:dyDescent="0.25">
      <c r="B162" s="671">
        <v>16</v>
      </c>
      <c r="C162" s="652"/>
      <c r="D162" s="32">
        <v>0</v>
      </c>
      <c r="E162" s="672" t="s">
        <v>130</v>
      </c>
      <c r="F162" s="673"/>
      <c r="G162" s="673">
        <f t="shared" si="26"/>
        <v>0.3</v>
      </c>
      <c r="H162" s="506">
        <v>279.06049999999999</v>
      </c>
      <c r="I162" s="507">
        <v>79.962900599999998</v>
      </c>
      <c r="J162" s="655">
        <f t="shared" si="27"/>
        <v>79.962900599999998</v>
      </c>
      <c r="K162" s="655">
        <f t="shared" si="11"/>
        <v>39.981450299999999</v>
      </c>
      <c r="L162" s="655">
        <f t="shared" si="12"/>
        <v>0.64253956655634092</v>
      </c>
      <c r="M162" s="655">
        <f t="shared" si="13"/>
        <v>179.30741271299578</v>
      </c>
      <c r="N162" s="655">
        <f t="shared" si="14"/>
        <v>358.61482542599157</v>
      </c>
      <c r="O162" s="655">
        <f>+C147+D148+D149+D150+D151+D152+D153+D154+D155+D156+D157+D158+D159+D160+D161+(D162/2)</f>
        <v>0</v>
      </c>
      <c r="P162" s="655">
        <f t="shared" si="15"/>
        <v>0</v>
      </c>
      <c r="Q162" s="655">
        <f t="shared" si="16"/>
        <v>0</v>
      </c>
      <c r="R162" s="655">
        <f t="shared" si="28"/>
        <v>213.83080000000001</v>
      </c>
      <c r="S162" s="655">
        <f t="shared" si="41"/>
        <v>213.83080000000001</v>
      </c>
      <c r="T162" s="656">
        <f t="shared" si="17"/>
        <v>213.83080000000001</v>
      </c>
      <c r="V162" s="657">
        <f t="shared" si="18"/>
        <v>0</v>
      </c>
      <c r="W162" s="657"/>
      <c r="X162" s="657"/>
      <c r="Y162" s="657"/>
      <c r="Z162" s="657"/>
      <c r="AA162" s="657"/>
      <c r="AB162" s="673" t="str">
        <f t="shared" si="42"/>
        <v>use the locking pin</v>
      </c>
      <c r="AC162" s="660" t="b">
        <f>IF(AD162=16,AF162)</f>
        <v>0</v>
      </c>
      <c r="AD162" s="660">
        <f t="shared" si="19"/>
        <v>1</v>
      </c>
      <c r="AE162" s="644">
        <f>IF(V162=0,0,16)</f>
        <v>0</v>
      </c>
      <c r="AF162" s="657">
        <f>SUM(V162:V166)/($B$144-B161)</f>
        <v>0</v>
      </c>
      <c r="AG162" s="612">
        <f>SUM(D148:D162)+$C$147</f>
        <v>0</v>
      </c>
      <c r="AH162" s="661" t="b">
        <f t="shared" si="20"/>
        <v>0</v>
      </c>
      <c r="AI162" s="287">
        <f t="shared" si="29"/>
        <v>66.255548399999995</v>
      </c>
      <c r="AJ162" s="674">
        <f t="shared" si="21"/>
        <v>0.91535047595051022</v>
      </c>
      <c r="AK162" s="289">
        <f t="shared" si="30"/>
        <v>278.56028065668761</v>
      </c>
      <c r="AL162" s="287">
        <f t="shared" si="31"/>
        <v>50.018549700000001</v>
      </c>
      <c r="AM162" s="675">
        <f t="shared" si="32"/>
        <v>0.76625250760411079</v>
      </c>
      <c r="AN162" s="291">
        <f t="shared" si="33"/>
        <v>213.83080789825695</v>
      </c>
      <c r="AO162" s="664">
        <f t="shared" si="22"/>
        <v>-6.9154938442312641</v>
      </c>
      <c r="AP162" s="676">
        <f t="shared" si="34"/>
        <v>-567</v>
      </c>
      <c r="AQ162" s="677">
        <f t="shared" si="43"/>
        <v>-540.20000000000005</v>
      </c>
      <c r="AR162" s="678">
        <f t="shared" si="35"/>
        <v>492.39108855494453</v>
      </c>
      <c r="AS162" s="667">
        <f t="shared" si="23"/>
        <v>-213.83080789825695</v>
      </c>
      <c r="AT162" s="668">
        <f t="shared" si="36"/>
        <v>206.91531405402569</v>
      </c>
      <c r="AU162" s="667"/>
      <c r="AV162" s="669">
        <f t="shared" si="37"/>
        <v>-313.19416002832082</v>
      </c>
      <c r="AW162" s="669">
        <f t="shared" si="38"/>
        <v>-227.00583997167925</v>
      </c>
      <c r="AX162" s="673">
        <f t="shared" si="24"/>
        <v>-37.03772764776668</v>
      </c>
      <c r="AY162" s="673">
        <f t="shared" si="25"/>
        <v>-44.051730128386026</v>
      </c>
      <c r="AZ162" s="679">
        <f t="shared" si="39"/>
        <v>37.03772764776668</v>
      </c>
      <c r="BA162" s="679">
        <f t="shared" si="39"/>
        <v>44.051730128386026</v>
      </c>
      <c r="BB162" s="560">
        <f t="shared" si="40"/>
        <v>0.3</v>
      </c>
    </row>
    <row r="163" spans="2:54" ht="18.75" customHeight="1" thickBot="1" x14ac:dyDescent="0.25">
      <c r="B163" s="671">
        <v>17</v>
      </c>
      <c r="C163" s="652"/>
      <c r="D163" s="32">
        <v>0</v>
      </c>
      <c r="E163" s="672" t="s">
        <v>130</v>
      </c>
      <c r="F163" s="673"/>
      <c r="G163" s="673">
        <f t="shared" si="26"/>
        <v>0.3</v>
      </c>
      <c r="H163" s="506">
        <v>279.06049999999999</v>
      </c>
      <c r="I163" s="507">
        <v>79.962900599999998</v>
      </c>
      <c r="J163" s="655">
        <f t="shared" si="27"/>
        <v>79.962900599999998</v>
      </c>
      <c r="K163" s="655">
        <f t="shared" si="11"/>
        <v>39.981450299999999</v>
      </c>
      <c r="L163" s="655">
        <f t="shared" si="12"/>
        <v>0.64253956655634092</v>
      </c>
      <c r="M163" s="655">
        <f t="shared" si="13"/>
        <v>179.30741271299578</v>
      </c>
      <c r="N163" s="655">
        <f t="shared" si="14"/>
        <v>358.61482542599157</v>
      </c>
      <c r="O163" s="655">
        <f>+C147+D148+D149+D150+D151+D152+D153+D154+D155+D156+D157+D158+D159+D160+D161+D162+(D163/2)</f>
        <v>0</v>
      </c>
      <c r="P163" s="655">
        <f t="shared" si="15"/>
        <v>0</v>
      </c>
      <c r="Q163" s="655">
        <f t="shared" si="16"/>
        <v>0</v>
      </c>
      <c r="R163" s="655">
        <f t="shared" si="28"/>
        <v>213.83080000000001</v>
      </c>
      <c r="S163" s="655">
        <f t="shared" si="41"/>
        <v>213.83080000000001</v>
      </c>
      <c r="T163" s="656">
        <f t="shared" si="17"/>
        <v>213.83080000000001</v>
      </c>
      <c r="V163" s="657">
        <f t="shared" si="18"/>
        <v>0</v>
      </c>
      <c r="W163" s="657"/>
      <c r="X163" s="657"/>
      <c r="Y163" s="657"/>
      <c r="Z163" s="657"/>
      <c r="AA163" s="657"/>
      <c r="AB163" s="673" t="str">
        <f t="shared" si="42"/>
        <v>use the locking pin</v>
      </c>
      <c r="AC163" s="660" t="b">
        <f>IF(AD163=17,AF163)</f>
        <v>0</v>
      </c>
      <c r="AD163" s="660">
        <f t="shared" si="19"/>
        <v>1</v>
      </c>
      <c r="AE163" s="644">
        <f>IF(V163=0,0,17)</f>
        <v>0</v>
      </c>
      <c r="AF163" s="657">
        <f>SUM(V163:V166)/($B$144-B162)</f>
        <v>0</v>
      </c>
      <c r="AG163" s="612">
        <f>SUM(D148:D163)+$C$147</f>
        <v>0</v>
      </c>
      <c r="AH163" s="661" t="b">
        <f t="shared" si="20"/>
        <v>0</v>
      </c>
      <c r="AI163" s="287">
        <f t="shared" si="29"/>
        <v>66.255548399999995</v>
      </c>
      <c r="AJ163" s="674">
        <f t="shared" si="21"/>
        <v>0.91535047595051022</v>
      </c>
      <c r="AK163" s="289">
        <f t="shared" si="30"/>
        <v>278.56028065668761</v>
      </c>
      <c r="AL163" s="287">
        <f t="shared" si="31"/>
        <v>50.018549700000001</v>
      </c>
      <c r="AM163" s="675">
        <f t="shared" si="32"/>
        <v>0.76625250760411079</v>
      </c>
      <c r="AN163" s="291">
        <f t="shared" si="33"/>
        <v>213.83080789825695</v>
      </c>
      <c r="AO163" s="664">
        <f t="shared" si="22"/>
        <v>-6.4331837001097449</v>
      </c>
      <c r="AP163" s="676">
        <f t="shared" si="34"/>
        <v>-607.5</v>
      </c>
      <c r="AQ163" s="677">
        <f t="shared" si="43"/>
        <v>-580.70000000000005</v>
      </c>
      <c r="AR163" s="678">
        <f t="shared" si="35"/>
        <v>492.39108855494453</v>
      </c>
      <c r="AS163" s="667">
        <f t="shared" si="23"/>
        <v>-213.83080789825695</v>
      </c>
      <c r="AT163" s="668">
        <f t="shared" si="36"/>
        <v>207.39762419814721</v>
      </c>
      <c r="AU163" s="667"/>
      <c r="AV163" s="669">
        <f t="shared" si="37"/>
        <v>-336.10621434617008</v>
      </c>
      <c r="AW163" s="669">
        <f t="shared" si="38"/>
        <v>-244.59378565382994</v>
      </c>
      <c r="AX163" s="673">
        <f t="shared" si="24"/>
        <v>-34.512899508762629</v>
      </c>
      <c r="AY163" s="673">
        <f t="shared" si="25"/>
        <v>-40.884113115420092</v>
      </c>
      <c r="AZ163" s="679">
        <f t="shared" si="39"/>
        <v>34.512899508762629</v>
      </c>
      <c r="BA163" s="679">
        <f t="shared" si="39"/>
        <v>40.884113115420092</v>
      </c>
      <c r="BB163" s="560">
        <f t="shared" si="40"/>
        <v>0.3</v>
      </c>
    </row>
    <row r="164" spans="2:54" ht="18.75" customHeight="1" thickBot="1" x14ac:dyDescent="0.25">
      <c r="B164" s="671">
        <v>18</v>
      </c>
      <c r="C164" s="652"/>
      <c r="D164" s="32">
        <v>0</v>
      </c>
      <c r="E164" s="672" t="s">
        <v>130</v>
      </c>
      <c r="F164" s="673"/>
      <c r="G164" s="673">
        <f t="shared" si="26"/>
        <v>0.3</v>
      </c>
      <c r="H164" s="506">
        <v>279.06049999999999</v>
      </c>
      <c r="I164" s="507">
        <v>79.962900599999998</v>
      </c>
      <c r="J164" s="655">
        <f t="shared" si="27"/>
        <v>79.962900599999998</v>
      </c>
      <c r="K164" s="655">
        <f t="shared" si="11"/>
        <v>39.981450299999999</v>
      </c>
      <c r="L164" s="655">
        <f t="shared" si="12"/>
        <v>0.64253956655634092</v>
      </c>
      <c r="M164" s="655">
        <f t="shared" si="13"/>
        <v>179.30741271299578</v>
      </c>
      <c r="N164" s="655">
        <f t="shared" si="14"/>
        <v>358.61482542599157</v>
      </c>
      <c r="O164" s="655">
        <f>+C147+D148+D149+D150+D151+D152+D153+D154+D155+D156+D157+D158+D159+D160+D161+D162+D163+(D164/2)</f>
        <v>0</v>
      </c>
      <c r="P164" s="655">
        <f t="shared" si="15"/>
        <v>0</v>
      </c>
      <c r="Q164" s="655">
        <f t="shared" si="16"/>
        <v>0</v>
      </c>
      <c r="R164" s="655">
        <f t="shared" si="28"/>
        <v>213.83080000000001</v>
      </c>
      <c r="S164" s="655">
        <f t="shared" si="41"/>
        <v>213.83080000000001</v>
      </c>
      <c r="T164" s="656">
        <f t="shared" si="17"/>
        <v>213.83080000000001</v>
      </c>
      <c r="V164" s="657">
        <f t="shared" si="18"/>
        <v>0</v>
      </c>
      <c r="W164" s="657"/>
      <c r="X164" s="657"/>
      <c r="Y164" s="657"/>
      <c r="Z164" s="657"/>
      <c r="AA164" s="657"/>
      <c r="AB164" s="673" t="str">
        <f t="shared" si="42"/>
        <v>use the locking pin</v>
      </c>
      <c r="AC164" s="660" t="b">
        <f>IF(AD164=18,AF164)</f>
        <v>0</v>
      </c>
      <c r="AD164" s="660">
        <f t="shared" si="19"/>
        <v>1</v>
      </c>
      <c r="AE164" s="644">
        <f>IF(V164=0,0,18)</f>
        <v>0</v>
      </c>
      <c r="AF164" s="657">
        <f>SUM(V164:V166)/($B$144-B163)</f>
        <v>0</v>
      </c>
      <c r="AG164" s="612">
        <f>SUM(D148:D164)+$C$147</f>
        <v>0</v>
      </c>
      <c r="AH164" s="661" t="b">
        <f t="shared" si="20"/>
        <v>0</v>
      </c>
      <c r="AI164" s="287">
        <f t="shared" si="29"/>
        <v>66.255548399999995</v>
      </c>
      <c r="AJ164" s="674">
        <f t="shared" si="21"/>
        <v>0.91535047595051022</v>
      </c>
      <c r="AK164" s="289">
        <f t="shared" si="30"/>
        <v>278.56028065668761</v>
      </c>
      <c r="AL164" s="287">
        <f t="shared" si="31"/>
        <v>50.018549700000001</v>
      </c>
      <c r="AM164" s="675">
        <f t="shared" si="32"/>
        <v>0.76625250760411079</v>
      </c>
      <c r="AN164" s="291">
        <f t="shared" si="33"/>
        <v>213.83080789825695</v>
      </c>
      <c r="AO164" s="664">
        <f t="shared" si="22"/>
        <v>-6.0137633204342062</v>
      </c>
      <c r="AP164" s="676">
        <f t="shared" si="34"/>
        <v>-648</v>
      </c>
      <c r="AQ164" s="677">
        <f t="shared" si="43"/>
        <v>-621.20000000000005</v>
      </c>
      <c r="AR164" s="678">
        <f t="shared" si="35"/>
        <v>492.39108855494453</v>
      </c>
      <c r="AS164" s="667">
        <f t="shared" si="23"/>
        <v>-213.83080789825695</v>
      </c>
      <c r="AT164" s="668">
        <f t="shared" si="36"/>
        <v>207.81704457782274</v>
      </c>
      <c r="AU164" s="667"/>
      <c r="AV164" s="669">
        <f t="shared" si="37"/>
        <v>-359.01826866401944</v>
      </c>
      <c r="AW164" s="669">
        <f t="shared" si="38"/>
        <v>-262.1817313359806</v>
      </c>
      <c r="AX164" s="673">
        <f t="shared" si="24"/>
        <v>-32.310333519143683</v>
      </c>
      <c r="AY164" s="673">
        <f t="shared" si="25"/>
        <v>-38.141482814396404</v>
      </c>
      <c r="AZ164" s="679">
        <f t="shared" si="39"/>
        <v>32.310333519143683</v>
      </c>
      <c r="BA164" s="679">
        <f t="shared" si="39"/>
        <v>38.141482814396404</v>
      </c>
      <c r="BB164" s="560">
        <f t="shared" si="40"/>
        <v>0.3</v>
      </c>
    </row>
    <row r="165" spans="2:54" ht="18.75" customHeight="1" thickBot="1" x14ac:dyDescent="0.25">
      <c r="B165" s="671">
        <v>19</v>
      </c>
      <c r="C165" s="652"/>
      <c r="D165" s="32">
        <v>0</v>
      </c>
      <c r="E165" s="672" t="s">
        <v>130</v>
      </c>
      <c r="F165" s="673"/>
      <c r="G165" s="673">
        <f t="shared" si="26"/>
        <v>0.3</v>
      </c>
      <c r="H165" s="506">
        <v>279.06049999999999</v>
      </c>
      <c r="I165" s="507">
        <v>79.962900599999998</v>
      </c>
      <c r="J165" s="655">
        <f t="shared" si="27"/>
        <v>79.962900599999998</v>
      </c>
      <c r="K165" s="655">
        <f t="shared" si="11"/>
        <v>39.981450299999999</v>
      </c>
      <c r="L165" s="655">
        <f t="shared" si="12"/>
        <v>0.64253956655634092</v>
      </c>
      <c r="M165" s="655">
        <f t="shared" si="13"/>
        <v>179.30741271299578</v>
      </c>
      <c r="N165" s="655">
        <f t="shared" si="14"/>
        <v>358.61482542599157</v>
      </c>
      <c r="O165" s="655">
        <f>+C147+D148+D149+D150+D151+D152+D153+D154+D155+D156+D157+D158+D159+D160+D161+D162+D163+D164+(D165/2)</f>
        <v>0</v>
      </c>
      <c r="P165" s="655">
        <f t="shared" si="15"/>
        <v>0</v>
      </c>
      <c r="Q165" s="655">
        <f t="shared" si="16"/>
        <v>0</v>
      </c>
      <c r="R165" s="655">
        <f t="shared" si="28"/>
        <v>213.83080000000001</v>
      </c>
      <c r="S165" s="655">
        <f t="shared" si="41"/>
        <v>213.83080000000001</v>
      </c>
      <c r="T165" s="656">
        <f t="shared" si="17"/>
        <v>213.83080000000001</v>
      </c>
      <c r="V165" s="657">
        <f t="shared" si="18"/>
        <v>0</v>
      </c>
      <c r="W165" s="657"/>
      <c r="X165" s="657"/>
      <c r="Y165" s="657"/>
      <c r="Z165" s="657"/>
      <c r="AA165" s="657"/>
      <c r="AB165" s="673" t="str">
        <f t="shared" si="42"/>
        <v>use the locking pin</v>
      </c>
      <c r="AC165" s="660" t="b">
        <f>IF(AD165=19,AF165)</f>
        <v>0</v>
      </c>
      <c r="AD165" s="660">
        <f t="shared" si="19"/>
        <v>1</v>
      </c>
      <c r="AE165" s="644">
        <f>IF(V165=0,0,19)</f>
        <v>0</v>
      </c>
      <c r="AF165" s="657">
        <f>SUM(V165:V166)/($B$144-B164)</f>
        <v>0</v>
      </c>
      <c r="AG165" s="612">
        <f>SUM(D147:D165)+$C$147</f>
        <v>0</v>
      </c>
      <c r="AH165" s="661" t="b">
        <f t="shared" si="20"/>
        <v>0</v>
      </c>
      <c r="AI165" s="287">
        <f t="shared" si="29"/>
        <v>66.255548399999995</v>
      </c>
      <c r="AJ165" s="674">
        <f t="shared" si="21"/>
        <v>0.91535047595051022</v>
      </c>
      <c r="AK165" s="289">
        <f t="shared" si="30"/>
        <v>278.56028065668761</v>
      </c>
      <c r="AL165" s="287">
        <f t="shared" si="31"/>
        <v>50.018549700000001</v>
      </c>
      <c r="AM165" s="675">
        <f t="shared" si="32"/>
        <v>0.76625250760411079</v>
      </c>
      <c r="AN165" s="291">
        <f t="shared" si="33"/>
        <v>213.83080789825695</v>
      </c>
      <c r="AO165" s="664">
        <f t="shared" si="22"/>
        <v>-5.6456850153449132</v>
      </c>
      <c r="AP165" s="676">
        <f t="shared" si="34"/>
        <v>-688.5</v>
      </c>
      <c r="AQ165" s="677">
        <f t="shared" si="43"/>
        <v>-661.7</v>
      </c>
      <c r="AR165" s="678">
        <f t="shared" si="35"/>
        <v>492.39108855494453</v>
      </c>
      <c r="AS165" s="667">
        <f t="shared" si="23"/>
        <v>-213.83080789825695</v>
      </c>
      <c r="AT165" s="668">
        <f t="shared" si="36"/>
        <v>208.18512288291203</v>
      </c>
      <c r="AU165" s="667"/>
      <c r="AV165" s="669">
        <f t="shared" si="37"/>
        <v>-381.93032298186876</v>
      </c>
      <c r="AW165" s="669">
        <f t="shared" si="38"/>
        <v>-279.76967701813129</v>
      </c>
      <c r="AX165" s="673">
        <f t="shared" si="24"/>
        <v>-30.372032022580942</v>
      </c>
      <c r="AY165" s="673">
        <f t="shared" si="25"/>
        <v>-35.743687831301031</v>
      </c>
      <c r="AZ165" s="679">
        <f t="shared" si="39"/>
        <v>30.372032022580942</v>
      </c>
      <c r="BA165" s="679">
        <f t="shared" si="39"/>
        <v>35.743687831301031</v>
      </c>
      <c r="BB165" s="560">
        <f t="shared" si="40"/>
        <v>0.3</v>
      </c>
    </row>
    <row r="166" spans="2:54" ht="18.75" customHeight="1" thickBot="1" x14ac:dyDescent="0.25">
      <c r="B166" s="671">
        <v>20</v>
      </c>
      <c r="C166" s="652"/>
      <c r="D166" s="32">
        <v>0</v>
      </c>
      <c r="E166" s="672" t="s">
        <v>130</v>
      </c>
      <c r="F166" s="673"/>
      <c r="G166" s="673">
        <f t="shared" si="26"/>
        <v>0.3</v>
      </c>
      <c r="H166" s="506">
        <v>279.06049999999999</v>
      </c>
      <c r="I166" s="507">
        <v>79.962900599999998</v>
      </c>
      <c r="J166" s="655">
        <f t="shared" si="27"/>
        <v>79.962900599999998</v>
      </c>
      <c r="K166" s="655">
        <f t="shared" si="11"/>
        <v>39.981450299999999</v>
      </c>
      <c r="L166" s="655">
        <f t="shared" si="12"/>
        <v>0.64253956655634092</v>
      </c>
      <c r="M166" s="655">
        <f t="shared" si="13"/>
        <v>179.30741271299578</v>
      </c>
      <c r="N166" s="655">
        <f t="shared" si="14"/>
        <v>358.61482542599157</v>
      </c>
      <c r="O166" s="655">
        <f>+C147+D148+D149+D150+D151+D152+D153+D154+D155+D156+D157+D158+D159+D160+D161+D162+D163+D164+D165+(D166/2)</f>
        <v>0</v>
      </c>
      <c r="P166" s="655">
        <f t="shared" si="15"/>
        <v>0</v>
      </c>
      <c r="Q166" s="655">
        <f t="shared" si="16"/>
        <v>0</v>
      </c>
      <c r="R166" s="655">
        <f t="shared" si="28"/>
        <v>213.83080000000001</v>
      </c>
      <c r="S166" s="655">
        <f t="shared" si="41"/>
        <v>213.83080000000001</v>
      </c>
      <c r="T166" s="656">
        <f t="shared" si="17"/>
        <v>213.83080000000001</v>
      </c>
      <c r="V166" s="657">
        <f t="shared" si="18"/>
        <v>0</v>
      </c>
      <c r="W166" s="657"/>
      <c r="X166" s="657"/>
      <c r="Y166" s="657"/>
      <c r="Z166" s="657"/>
      <c r="AA166" s="657"/>
      <c r="AB166" s="673" t="str">
        <f t="shared" si="42"/>
        <v>use the locking pin</v>
      </c>
      <c r="AC166" s="660" t="b">
        <f>IF(AD166=20,AF166)</f>
        <v>0</v>
      </c>
      <c r="AD166" s="660">
        <f t="shared" si="19"/>
        <v>1</v>
      </c>
      <c r="AE166" s="644">
        <f>IF(V166=0,0,20)</f>
        <v>0</v>
      </c>
      <c r="AF166" s="657">
        <f>SUM(V166:V166)/($B$144-B165)</f>
        <v>0</v>
      </c>
      <c r="AG166" s="612">
        <f>SUM(D148:D166)+$C$147</f>
        <v>0</v>
      </c>
      <c r="AH166" s="661" t="b">
        <f t="shared" si="20"/>
        <v>0</v>
      </c>
      <c r="AI166" s="287">
        <f t="shared" si="29"/>
        <v>66.255548399999995</v>
      </c>
      <c r="AJ166" s="674">
        <f t="shared" si="21"/>
        <v>0.91535047595051022</v>
      </c>
      <c r="AK166" s="289">
        <f t="shared" si="30"/>
        <v>278.56028065668761</v>
      </c>
      <c r="AL166" s="287">
        <f t="shared" si="31"/>
        <v>50.018549700000001</v>
      </c>
      <c r="AM166" s="675">
        <f t="shared" si="32"/>
        <v>0.76625250760411079</v>
      </c>
      <c r="AN166" s="291">
        <f t="shared" si="33"/>
        <v>213.83080789825695</v>
      </c>
      <c r="AO166" s="664">
        <f t="shared" si="22"/>
        <v>-5.3200651874875096</v>
      </c>
      <c r="AP166" s="676">
        <f t="shared" si="34"/>
        <v>-729</v>
      </c>
      <c r="AQ166" s="677">
        <f t="shared" si="43"/>
        <v>-702.2</v>
      </c>
      <c r="AR166" s="678">
        <f t="shared" si="35"/>
        <v>492.39108855494453</v>
      </c>
      <c r="AS166" s="667">
        <f t="shared" si="23"/>
        <v>-213.83080789825695</v>
      </c>
      <c r="AT166" s="668">
        <f t="shared" si="36"/>
        <v>208.51074271076945</v>
      </c>
      <c r="AU166" s="667"/>
      <c r="AV166" s="669">
        <f t="shared" si="37"/>
        <v>-404.84237729971807</v>
      </c>
      <c r="AW166" s="669">
        <f t="shared" si="38"/>
        <v>-297.35762270028198</v>
      </c>
      <c r="AX166" s="673">
        <f t="shared" si="24"/>
        <v>-28.653126872170649</v>
      </c>
      <c r="AY166" s="673">
        <f t="shared" si="25"/>
        <v>-33.629539775004787</v>
      </c>
      <c r="AZ166" s="679">
        <f t="shared" si="39"/>
        <v>28.653126872170649</v>
      </c>
      <c r="BA166" s="679">
        <f t="shared" si="39"/>
        <v>33.629539775004787</v>
      </c>
      <c r="BB166" s="560">
        <f t="shared" si="40"/>
        <v>0.3</v>
      </c>
    </row>
    <row r="167" spans="2:54" ht="31.5" hidden="1" customHeight="1" thickBot="1" x14ac:dyDescent="0.25"/>
    <row r="168" spans="2:54" ht="31.5" hidden="1" customHeight="1" thickBot="1" x14ac:dyDescent="0.25">
      <c r="AF168" s="681"/>
      <c r="AG168" s="681" t="s">
        <v>79</v>
      </c>
      <c r="AH168" s="682">
        <f>MAX(AH147:AH166)</f>
        <v>0</v>
      </c>
    </row>
    <row r="169" spans="2:54" ht="31.5" hidden="1" customHeight="1" thickBot="1" x14ac:dyDescent="0.25"/>
    <row r="170" spans="2:54" ht="31.5" hidden="1" customHeight="1" x14ac:dyDescent="0.2">
      <c r="B170" s="683"/>
      <c r="AI170" s="1769"/>
      <c r="AJ170" s="619"/>
      <c r="AK170" s="619"/>
      <c r="AL170" s="619"/>
      <c r="AM170" s="619"/>
      <c r="AN170" s="619"/>
      <c r="AO170" s="619"/>
      <c r="AP170" s="619"/>
      <c r="AQ170" s="619"/>
      <c r="AR170" s="619"/>
      <c r="AS170" s="619"/>
      <c r="AT170" s="619"/>
      <c r="AU170" s="619"/>
      <c r="AV170" s="1770" t="s">
        <v>361</v>
      </c>
      <c r="AW170" s="1770"/>
      <c r="AX170" s="1770"/>
      <c r="AY170" s="1771"/>
    </row>
    <row r="171" spans="2:54" ht="31.5" hidden="1" customHeight="1" x14ac:dyDescent="0.2">
      <c r="B171" s="683"/>
      <c r="AI171" s="1772" t="s">
        <v>364</v>
      </c>
      <c r="AJ171" s="1773">
        <v>0</v>
      </c>
      <c r="AK171" s="1773">
        <v>0.5</v>
      </c>
      <c r="AL171" s="1773">
        <v>1</v>
      </c>
      <c r="AM171" s="1773">
        <v>2</v>
      </c>
      <c r="AN171" s="1773">
        <v>2.5</v>
      </c>
      <c r="AO171" s="1773">
        <v>3</v>
      </c>
      <c r="AP171" s="1773">
        <v>4.5</v>
      </c>
      <c r="AQ171" s="1773">
        <v>5.5</v>
      </c>
      <c r="AR171" s="1773">
        <v>6.5</v>
      </c>
      <c r="AS171" s="1773">
        <v>8</v>
      </c>
      <c r="AT171" s="1773">
        <v>9</v>
      </c>
      <c r="AU171" s="1773"/>
      <c r="AV171" s="1579" t="s">
        <v>355</v>
      </c>
      <c r="AW171" s="457" t="s">
        <v>362</v>
      </c>
      <c r="AX171" s="1579" t="s">
        <v>367</v>
      </c>
      <c r="AY171" s="1774"/>
    </row>
    <row r="172" spans="2:54" ht="31.5" hidden="1" customHeight="1" x14ac:dyDescent="0.2">
      <c r="B172" s="683"/>
      <c r="AI172" s="1772" t="s">
        <v>355</v>
      </c>
      <c r="AJ172" s="1773">
        <v>42.229500000000002</v>
      </c>
      <c r="AK172" s="1773">
        <v>44.134999999999998</v>
      </c>
      <c r="AL172" s="1773">
        <v>46.5276</v>
      </c>
      <c r="AM172" s="1773">
        <v>43.849899999999998</v>
      </c>
      <c r="AN172" s="1773">
        <v>45.737900000000003</v>
      </c>
      <c r="AO172" s="1773">
        <v>48.129600000000003</v>
      </c>
      <c r="AP172" s="1773">
        <v>45.033700000000003</v>
      </c>
      <c r="AQ172" s="1773">
        <v>49.315600000000003</v>
      </c>
      <c r="AR172" s="1773">
        <v>46.436199999999999</v>
      </c>
      <c r="AS172" s="1773">
        <v>50.406599999999997</v>
      </c>
      <c r="AT172" s="1773">
        <v>47.3827</v>
      </c>
      <c r="AU172" s="1773"/>
      <c r="AV172" s="1775">
        <f>SUM(AJ173:AT173)</f>
        <v>42.229500000000002</v>
      </c>
      <c r="AW172" s="457">
        <f>+SIN((AV172+AH168)*3.14159265358979/180)</f>
        <v>0.6721019199117364</v>
      </c>
      <c r="AX172" s="1579">
        <f>+AW178/AW172</f>
        <v>17.021464603480222</v>
      </c>
      <c r="AY172" s="1776"/>
    </row>
    <row r="173" spans="2:54" ht="31.5" customHeight="1" thickBot="1" x14ac:dyDescent="0.25">
      <c r="AI173" s="1777"/>
      <c r="AJ173" s="1778">
        <f>IF(($D$178=AJ171),AJ172)</f>
        <v>42.229500000000002</v>
      </c>
      <c r="AK173" s="1778" t="b">
        <f t="shared" ref="AK173:AT173" si="44">IF(($D$178=AK171),AK172)</f>
        <v>0</v>
      </c>
      <c r="AL173" s="1778" t="b">
        <f t="shared" si="44"/>
        <v>0</v>
      </c>
      <c r="AM173" s="1778" t="b">
        <f t="shared" si="44"/>
        <v>0</v>
      </c>
      <c r="AN173" s="1778" t="b">
        <f t="shared" si="44"/>
        <v>0</v>
      </c>
      <c r="AO173" s="1778" t="b">
        <f t="shared" si="44"/>
        <v>0</v>
      </c>
      <c r="AP173" s="1778" t="b">
        <f t="shared" si="44"/>
        <v>0</v>
      </c>
      <c r="AQ173" s="1778" t="b">
        <f t="shared" si="44"/>
        <v>0</v>
      </c>
      <c r="AR173" s="1778" t="b">
        <f t="shared" si="44"/>
        <v>0</v>
      </c>
      <c r="AS173" s="1778" t="b">
        <f t="shared" si="44"/>
        <v>0</v>
      </c>
      <c r="AT173" s="1778" t="b">
        <f t="shared" si="44"/>
        <v>0</v>
      </c>
      <c r="AU173" s="1778"/>
      <c r="AV173" s="1579"/>
      <c r="AW173" s="457"/>
      <c r="AX173" s="1579"/>
      <c r="AY173" s="1776"/>
    </row>
    <row r="174" spans="2:54" ht="85.5" customHeight="1" thickBot="1" x14ac:dyDescent="0.25">
      <c r="B174" s="615" t="s">
        <v>157</v>
      </c>
      <c r="C174" s="684"/>
      <c r="D174" s="685"/>
      <c r="E174" s="618"/>
      <c r="F174" s="618"/>
      <c r="G174" s="618"/>
      <c r="H174" s="619"/>
      <c r="I174" s="619"/>
      <c r="J174" s="619"/>
      <c r="K174" s="619"/>
      <c r="L174" s="619"/>
      <c r="M174" s="619"/>
      <c r="N174" s="619"/>
      <c r="O174" s="619"/>
      <c r="P174" s="619"/>
      <c r="Q174" s="619"/>
      <c r="R174" s="619"/>
      <c r="S174" s="619" t="s">
        <v>85</v>
      </c>
      <c r="T174" s="620">
        <f>SUM(V178:V185)/B175</f>
        <v>146.5</v>
      </c>
      <c r="U174" s="621"/>
      <c r="V174" s="569"/>
      <c r="W174" s="569"/>
      <c r="X174" s="569"/>
      <c r="Y174" s="569"/>
      <c r="Z174" s="569"/>
      <c r="AA174" s="569"/>
      <c r="AI174" s="1777"/>
      <c r="AV174" s="1779" t="s">
        <v>363</v>
      </c>
      <c r="AW174" s="1579"/>
      <c r="AX174" s="1780"/>
      <c r="AY174" s="1781">
        <v>2000</v>
      </c>
    </row>
    <row r="175" spans="2:54" ht="30.75" customHeight="1" thickBot="1" x14ac:dyDescent="0.3">
      <c r="B175" s="33">
        <v>1</v>
      </c>
      <c r="C175" s="625"/>
      <c r="D175" s="626" t="s">
        <v>53</v>
      </c>
      <c r="E175" s="627"/>
      <c r="F175" s="686"/>
      <c r="G175" s="686"/>
      <c r="H175" s="686"/>
      <c r="I175" s="686"/>
      <c r="J175" s="686"/>
      <c r="K175" s="686"/>
      <c r="L175" s="686"/>
      <c r="M175" s="686"/>
      <c r="N175" s="686"/>
      <c r="O175" s="686"/>
      <c r="P175" s="686"/>
      <c r="Q175" s="686"/>
      <c r="R175" s="686"/>
      <c r="S175" s="686"/>
      <c r="T175" s="686"/>
      <c r="U175" s="588"/>
      <c r="V175" s="627"/>
      <c r="W175" s="627"/>
      <c r="X175" s="627"/>
      <c r="Y175" s="627"/>
      <c r="Z175" s="627"/>
      <c r="AA175" s="627"/>
      <c r="AI175" s="1782"/>
      <c r="AJ175" s="655"/>
      <c r="AK175" s="655"/>
      <c r="AL175" s="655"/>
      <c r="AM175" s="655"/>
      <c r="AN175" s="655"/>
      <c r="AO175" s="655"/>
      <c r="AP175" s="655"/>
      <c r="AQ175" s="655"/>
      <c r="AR175" s="655"/>
      <c r="AS175" s="655"/>
      <c r="AT175" s="655"/>
      <c r="AU175" s="655"/>
      <c r="AV175" s="1783" t="s">
        <v>365</v>
      </c>
      <c r="AW175" s="1784"/>
      <c r="AX175" s="1785"/>
      <c r="AY175" s="1786">
        <f>+AY174/SIN((AS172)*3.14159265358979/180)</f>
        <v>2595.4251408435985</v>
      </c>
      <c r="AZ175" s="1862" t="s">
        <v>52</v>
      </c>
      <c r="BA175" s="1863"/>
    </row>
    <row r="176" spans="2:54" ht="39.75" hidden="1" customHeight="1" thickBot="1" x14ac:dyDescent="0.25">
      <c r="B176" s="687"/>
      <c r="C176" s="606"/>
      <c r="D176" s="688" t="s">
        <v>13</v>
      </c>
      <c r="H176" s="689" t="s">
        <v>4</v>
      </c>
      <c r="I176" s="689" t="s">
        <v>1</v>
      </c>
      <c r="J176" s="560" t="s">
        <v>0</v>
      </c>
      <c r="K176" s="560" t="s">
        <v>2</v>
      </c>
      <c r="L176" s="560" t="s">
        <v>3</v>
      </c>
      <c r="M176" s="560" t="s">
        <v>8</v>
      </c>
      <c r="N176" s="560" t="s">
        <v>5</v>
      </c>
      <c r="O176" s="560" t="s">
        <v>6</v>
      </c>
      <c r="P176" s="560" t="s">
        <v>7</v>
      </c>
      <c r="Q176" s="560" t="s">
        <v>9</v>
      </c>
      <c r="R176" s="690" t="s">
        <v>10</v>
      </c>
      <c r="S176" s="560" t="s">
        <v>11</v>
      </c>
      <c r="T176" s="691" t="s">
        <v>12</v>
      </c>
      <c r="U176" s="629"/>
      <c r="V176" s="630"/>
      <c r="W176" s="630"/>
      <c r="X176" s="630"/>
      <c r="Y176" s="630"/>
      <c r="Z176" s="630"/>
      <c r="AA176" s="630"/>
      <c r="AV176" s="1788" t="s">
        <v>366</v>
      </c>
      <c r="AW176" s="1789"/>
      <c r="AX176" s="1789"/>
      <c r="AY176" s="1790">
        <v>2570</v>
      </c>
      <c r="AZ176" s="692"/>
      <c r="BA176" s="693"/>
    </row>
    <row r="177" spans="2:93" ht="35" thickBot="1" x14ac:dyDescent="0.25">
      <c r="B177" s="633"/>
      <c r="C177" s="634"/>
      <c r="D177" s="635" t="s">
        <v>22</v>
      </c>
      <c r="E177" s="637"/>
      <c r="F177" s="635" t="s">
        <v>45</v>
      </c>
      <c r="G177" s="637"/>
      <c r="H177" s="694"/>
      <c r="I177" s="695"/>
      <c r="J177" s="638"/>
      <c r="K177" s="638"/>
      <c r="L177" s="638"/>
      <c r="M177" s="638"/>
      <c r="N177" s="638"/>
      <c r="O177" s="638"/>
      <c r="P177" s="638"/>
      <c r="Q177" s="638"/>
      <c r="R177" s="696"/>
      <c r="S177" s="638"/>
      <c r="T177" s="639"/>
      <c r="U177" s="640"/>
      <c r="V177" s="641"/>
      <c r="W177" s="641"/>
      <c r="X177" s="641"/>
      <c r="Y177" s="641"/>
      <c r="Z177" s="641"/>
      <c r="AA177" s="641"/>
      <c r="AB177" s="638"/>
      <c r="AC177" s="646"/>
      <c r="AD177" s="646"/>
      <c r="AE177" s="646"/>
      <c r="AF177" s="645" t="s">
        <v>38</v>
      </c>
      <c r="AG177" s="645" t="s">
        <v>31</v>
      </c>
      <c r="AH177" s="645"/>
      <c r="AI177" s="697" t="s">
        <v>60</v>
      </c>
      <c r="AJ177" s="646" t="s">
        <v>32</v>
      </c>
      <c r="AK177" s="698" t="s">
        <v>33</v>
      </c>
      <c r="AL177" s="697" t="s">
        <v>61</v>
      </c>
      <c r="AM177" s="645" t="s">
        <v>34</v>
      </c>
      <c r="AN177" s="698" t="s">
        <v>35</v>
      </c>
      <c r="AO177" s="287"/>
      <c r="AP177" s="287" t="s">
        <v>36</v>
      </c>
      <c r="AQ177" s="645"/>
      <c r="AR177" s="645" t="s">
        <v>37</v>
      </c>
      <c r="AS177" s="645" t="s">
        <v>39</v>
      </c>
      <c r="AT177" s="645"/>
      <c r="AU177" s="645" t="s">
        <v>40</v>
      </c>
      <c r="AV177" s="648" t="s">
        <v>41</v>
      </c>
      <c r="AW177" s="648" t="s">
        <v>42</v>
      </c>
      <c r="AX177" s="649" t="s">
        <v>23</v>
      </c>
      <c r="AY177" s="649" t="s">
        <v>24</v>
      </c>
      <c r="AZ177" s="650" t="s">
        <v>23</v>
      </c>
      <c r="BA177" s="650" t="s">
        <v>24</v>
      </c>
      <c r="BQ177" s="126"/>
      <c r="BS177" s="126"/>
      <c r="BU177" s="126"/>
    </row>
    <row r="178" spans="2:93" ht="18.75" customHeight="1" thickBot="1" x14ac:dyDescent="0.25">
      <c r="B178" s="651">
        <v>1</v>
      </c>
      <c r="C178" s="652">
        <f>+D178+AH168</f>
        <v>0</v>
      </c>
      <c r="D178" s="31">
        <v>0</v>
      </c>
      <c r="E178" s="653" t="s">
        <v>158</v>
      </c>
      <c r="F178" s="699">
        <f>+G178</f>
        <v>0</v>
      </c>
      <c r="G178" s="654">
        <f>+D178</f>
        <v>0</v>
      </c>
      <c r="H178" s="700">
        <v>190.76</v>
      </c>
      <c r="I178" s="701">
        <v>79.651040199999997</v>
      </c>
      <c r="J178" s="655">
        <f>+I178-C178</f>
        <v>79.651040199999997</v>
      </c>
      <c r="K178" s="655">
        <f t="shared" ref="K178:K185" si="45">+J178/2</f>
        <v>39.825520099999999</v>
      </c>
      <c r="L178" s="655">
        <f t="shared" ref="L178:L185" si="46">SIN(K178*3.14159265358979/180)</f>
        <v>0.64045183696587837</v>
      </c>
      <c r="M178" s="655">
        <f t="shared" ref="M178:M185" si="47">+L178*H178</f>
        <v>122.17259241961095</v>
      </c>
      <c r="N178" s="655">
        <f t="shared" ref="N178:N185" si="48">+M178*2</f>
        <v>244.3451848392219</v>
      </c>
      <c r="O178" s="655">
        <f>+C178/2</f>
        <v>0</v>
      </c>
      <c r="P178" s="655">
        <f t="shared" ref="P178:P185" si="49">SIN(O178*3.14159265358979/180)</f>
        <v>0</v>
      </c>
      <c r="Q178" s="655">
        <f t="shared" ref="Q178:Q185" si="50">+P178*N178</f>
        <v>0</v>
      </c>
      <c r="R178" s="702">
        <v>146.5</v>
      </c>
      <c r="S178" s="655">
        <f>+R178+Q178</f>
        <v>146.5</v>
      </c>
      <c r="T178" s="656">
        <f t="shared" ref="T178:T185" si="51">+S178</f>
        <v>146.5</v>
      </c>
      <c r="V178" s="657">
        <f t="shared" ref="V178:V185" si="52">IF(B178&lt;($B$175+1),T178,0)</f>
        <v>146.5</v>
      </c>
      <c r="W178" s="657"/>
      <c r="X178" s="657"/>
      <c r="Y178" s="657"/>
      <c r="Z178" s="657"/>
      <c r="AA178" s="657"/>
      <c r="AB178" s="654" t="str">
        <f>IF(AY178&lt;0,"pin in groundstacking hole"," ")</f>
        <v xml:space="preserve"> </v>
      </c>
      <c r="AC178" s="703"/>
      <c r="AD178" s="703"/>
      <c r="AE178" s="703"/>
      <c r="AF178" s="657">
        <f>SUM(V178:V185)/($B$175)</f>
        <v>146.5</v>
      </c>
      <c r="AG178" s="612">
        <f>C178</f>
        <v>0</v>
      </c>
      <c r="AH178" s="612"/>
      <c r="AI178" s="704">
        <f>69.3447148-AG178</f>
        <v>69.344714800000006</v>
      </c>
      <c r="AJ178" s="662">
        <f t="shared" ref="AJ178:AJ185" si="53">SIN(AI178*3.14159265358979/180)</f>
        <v>0.93571960494171247</v>
      </c>
      <c r="AK178" s="705">
        <f>+AJ178*192.42</f>
        <v>180.0511663828843</v>
      </c>
      <c r="AL178" s="704">
        <f>50.1744799+AG178</f>
        <v>50.174479900000001</v>
      </c>
      <c r="AM178" s="663">
        <f>SIN(AL178*3.14159265358979/180)</f>
        <v>0.76799833627881664</v>
      </c>
      <c r="AN178" s="705">
        <f>+AM178*190.76</f>
        <v>146.50336262854705</v>
      </c>
      <c r="AO178" s="706"/>
      <c r="AP178" s="705">
        <f>25.5*B175</f>
        <v>25.5</v>
      </c>
      <c r="AQ178" s="666"/>
      <c r="AR178" s="666">
        <f>+AN178+AK178</f>
        <v>326.55452901143133</v>
      </c>
      <c r="AS178" s="667">
        <f t="shared" ref="AS178:AS185" si="54">+V178-AN178</f>
        <v>-3.3626285470518269E-3</v>
      </c>
      <c r="AT178" s="667"/>
      <c r="AU178" s="667">
        <f t="shared" ref="AU178:AU185" si="55">+AF178-AS178</f>
        <v>146.50336262854705</v>
      </c>
      <c r="AV178" s="669">
        <f>+((AR178-AU178)/AR178)*AP178</f>
        <v>14.059840960291279</v>
      </c>
      <c r="AW178" s="669">
        <f>+(AU178/AR178)*AP178</f>
        <v>11.440159039708721</v>
      </c>
      <c r="AX178" s="707">
        <f t="shared" ref="AX178:AX185" si="56">2*$D$11/AV178</f>
        <v>825.04489437408847</v>
      </c>
      <c r="AY178" s="1787">
        <f>AY176/AX172</f>
        <v>150.98583229286484</v>
      </c>
      <c r="AZ178" s="670">
        <f>ABS(AX178)</f>
        <v>825.04489437408847</v>
      </c>
      <c r="BA178" s="670">
        <f>ABS(AY178)</f>
        <v>150.98583229286484</v>
      </c>
      <c r="BB178" s="655"/>
      <c r="BQ178" s="126"/>
      <c r="BU178" s="126"/>
    </row>
    <row r="179" spans="2:93" ht="18.75" customHeight="1" thickBot="1" x14ac:dyDescent="0.25">
      <c r="B179" s="708">
        <v>2</v>
      </c>
      <c r="C179" s="652"/>
      <c r="D179" s="32">
        <v>0</v>
      </c>
      <c r="E179" s="672" t="s">
        <v>173</v>
      </c>
      <c r="F179" s="699" t="e">
        <f t="shared" ref="F179:F185" si="57">+G179</f>
        <v>#DIV/0!</v>
      </c>
      <c r="G179" s="673" t="e">
        <f t="shared" ref="G179:G185" si="58">+D179+BB179</f>
        <v>#DIV/0!</v>
      </c>
      <c r="H179" s="709">
        <v>190.76</v>
      </c>
      <c r="I179" s="710">
        <v>79.651040199999997</v>
      </c>
      <c r="J179" s="655">
        <f t="shared" ref="J179:J185" si="59">+I179-D179</f>
        <v>79.651040199999997</v>
      </c>
      <c r="K179" s="655">
        <f t="shared" si="45"/>
        <v>39.825520099999999</v>
      </c>
      <c r="L179" s="655">
        <f t="shared" si="46"/>
        <v>0.64045183696587837</v>
      </c>
      <c r="M179" s="655">
        <f t="shared" si="47"/>
        <v>122.17259241961095</v>
      </c>
      <c r="N179" s="655">
        <f t="shared" si="48"/>
        <v>244.3451848392219</v>
      </c>
      <c r="O179" s="655">
        <f>+C178+(D179/2)</f>
        <v>0</v>
      </c>
      <c r="P179" s="655">
        <f t="shared" si="49"/>
        <v>0</v>
      </c>
      <c r="Q179" s="655">
        <f t="shared" si="50"/>
        <v>0</v>
      </c>
      <c r="R179" s="702">
        <f t="shared" ref="R179:R185" si="60">+T178</f>
        <v>146.5</v>
      </c>
      <c r="S179" s="655">
        <f>+R179+Q179</f>
        <v>146.5</v>
      </c>
      <c r="T179" s="656">
        <f t="shared" si="51"/>
        <v>146.5</v>
      </c>
      <c r="V179" s="657">
        <f t="shared" si="52"/>
        <v>0</v>
      </c>
      <c r="W179" s="657"/>
      <c r="X179" s="657"/>
      <c r="Y179" s="657"/>
      <c r="Z179" s="657"/>
      <c r="AA179" s="657"/>
      <c r="AB179" s="673" t="e">
        <f t="shared" ref="AB179:AB185" si="61">IF(AY179&lt;0,"pin in groundstacking hole"," ")</f>
        <v>#DIV/0!</v>
      </c>
      <c r="AC179" s="703"/>
      <c r="AD179" s="703"/>
      <c r="AE179" s="703"/>
      <c r="AF179" s="657" t="e">
        <f>SUM(V179:V185)/($B$175-B178)</f>
        <v>#DIV/0!</v>
      </c>
      <c r="AG179" s="612">
        <f>SUM(D179)+$C$178</f>
        <v>0</v>
      </c>
      <c r="AH179" s="612"/>
      <c r="AI179" s="704">
        <f t="shared" ref="AI179:AI185" si="62">69.3447148-AG179</f>
        <v>69.344714800000006</v>
      </c>
      <c r="AJ179" s="674">
        <f t="shared" si="53"/>
        <v>0.93571960494171247</v>
      </c>
      <c r="AK179" s="705">
        <f t="shared" ref="AK179:AK185" si="63">+AJ179*192.42</f>
        <v>180.0511663828843</v>
      </c>
      <c r="AL179" s="704">
        <f t="shared" ref="AL179:AL185" si="64">50.1744799+AG179</f>
        <v>50.174479900000001</v>
      </c>
      <c r="AM179" s="675">
        <f t="shared" ref="AM179:AM185" si="65">SIN(AL179*3.14159265358979/180)</f>
        <v>0.76799833627881664</v>
      </c>
      <c r="AN179" s="705">
        <f t="shared" ref="AN179:AN185" si="66">+AM179*190.76</f>
        <v>146.50336262854705</v>
      </c>
      <c r="AO179" s="711"/>
      <c r="AP179" s="705">
        <f t="shared" ref="AP179:AP185" si="67">25.5*($B$175-B178)</f>
        <v>0</v>
      </c>
      <c r="AQ179" s="678"/>
      <c r="AR179" s="678">
        <f t="shared" ref="AR179:AR185" si="68">+AN179+AK179</f>
        <v>326.55452901143133</v>
      </c>
      <c r="AS179" s="667">
        <f t="shared" si="54"/>
        <v>-146.50336262854705</v>
      </c>
      <c r="AT179" s="667"/>
      <c r="AU179" s="667" t="e">
        <f t="shared" si="55"/>
        <v>#DIV/0!</v>
      </c>
      <c r="AV179" s="669" t="e">
        <f t="shared" ref="AV179:AV185" si="69">+((AR179-AU179)/AR179)*AP179</f>
        <v>#DIV/0!</v>
      </c>
      <c r="AW179" s="669" t="e">
        <f t="shared" ref="AW179:AW185" si="70">+(AU179/AR179)*AP179</f>
        <v>#DIV/0!</v>
      </c>
      <c r="AX179" s="712" t="e">
        <f t="shared" si="56"/>
        <v>#DIV/0!</v>
      </c>
      <c r="AY179" s="712" t="e">
        <f t="shared" ref="AY179:AY185" si="71">$F$11/AW179</f>
        <v>#DIV/0!</v>
      </c>
      <c r="AZ179" s="679" t="e">
        <f t="shared" ref="AZ179:BA185" si="72">ABS(AX179)</f>
        <v>#DIV/0!</v>
      </c>
      <c r="BA179" s="679" t="e">
        <f t="shared" si="72"/>
        <v>#DIV/0!</v>
      </c>
      <c r="BB179" s="560" t="e">
        <f t="shared" ref="BB179:BB185" si="73">IF(AY179&lt;0,0.3,0)</f>
        <v>#DIV/0!</v>
      </c>
      <c r="BQ179" s="126"/>
      <c r="BR179" s="311"/>
      <c r="BS179" s="311"/>
      <c r="BT179" s="311"/>
      <c r="BU179" s="311"/>
      <c r="BV179" s="311"/>
      <c r="BW179" s="311"/>
      <c r="BX179" s="311"/>
      <c r="BY179" s="311"/>
      <c r="BZ179" s="311"/>
      <c r="CA179" s="311"/>
      <c r="CB179" s="311"/>
      <c r="CC179" s="311"/>
      <c r="CD179" s="311"/>
      <c r="CE179" s="311"/>
      <c r="CF179" s="311"/>
      <c r="CG179" s="311"/>
      <c r="CH179" s="311"/>
      <c r="CI179" s="311"/>
      <c r="CJ179" s="311"/>
      <c r="CK179" s="311"/>
      <c r="CL179" s="311"/>
      <c r="CM179" s="311"/>
      <c r="CN179" s="311"/>
      <c r="CO179" s="311"/>
    </row>
    <row r="180" spans="2:93" ht="18.75" customHeight="1" thickBot="1" x14ac:dyDescent="0.25">
      <c r="B180" s="708">
        <v>3</v>
      </c>
      <c r="C180" s="652"/>
      <c r="D180" s="32">
        <v>0</v>
      </c>
      <c r="E180" s="672" t="s">
        <v>54</v>
      </c>
      <c r="F180" s="699">
        <f t="shared" si="57"/>
        <v>0.3</v>
      </c>
      <c r="G180" s="673">
        <f t="shared" si="58"/>
        <v>0.3</v>
      </c>
      <c r="H180" s="709">
        <v>190.76</v>
      </c>
      <c r="I180" s="710">
        <v>79.651040199999997</v>
      </c>
      <c r="J180" s="655">
        <f t="shared" si="59"/>
        <v>79.651040199999997</v>
      </c>
      <c r="K180" s="655">
        <f t="shared" si="45"/>
        <v>39.825520099999999</v>
      </c>
      <c r="L180" s="655">
        <f t="shared" si="46"/>
        <v>0.64045183696587837</v>
      </c>
      <c r="M180" s="655">
        <f t="shared" si="47"/>
        <v>122.17259241961095</v>
      </c>
      <c r="N180" s="655">
        <f t="shared" si="48"/>
        <v>244.3451848392219</v>
      </c>
      <c r="O180" s="655">
        <f>+C178+D179+(D180/2)</f>
        <v>0</v>
      </c>
      <c r="P180" s="655">
        <f t="shared" si="49"/>
        <v>0</v>
      </c>
      <c r="Q180" s="655">
        <f t="shared" si="50"/>
        <v>0</v>
      </c>
      <c r="R180" s="702">
        <f t="shared" si="60"/>
        <v>146.5</v>
      </c>
      <c r="S180" s="655">
        <f t="shared" ref="S180:S185" si="74">+S179+Q180</f>
        <v>146.5</v>
      </c>
      <c r="T180" s="656">
        <f t="shared" si="51"/>
        <v>146.5</v>
      </c>
      <c r="V180" s="657">
        <f t="shared" si="52"/>
        <v>0</v>
      </c>
      <c r="W180" s="657"/>
      <c r="X180" s="657"/>
      <c r="Y180" s="657"/>
      <c r="Z180" s="657"/>
      <c r="AA180" s="657"/>
      <c r="AB180" s="673" t="str">
        <f t="shared" si="61"/>
        <v>pin in groundstacking hole</v>
      </c>
      <c r="AC180" s="703"/>
      <c r="AD180" s="703"/>
      <c r="AE180" s="703"/>
      <c r="AF180" s="657">
        <f t="shared" ref="AF180:AF185" si="75">SUM(V180:V186)/($B$175-B179)</f>
        <v>0</v>
      </c>
      <c r="AG180" s="612">
        <f>SUM(D179:D180)+$C$178</f>
        <v>0</v>
      </c>
      <c r="AH180" s="612"/>
      <c r="AI180" s="704">
        <f t="shared" si="62"/>
        <v>69.344714800000006</v>
      </c>
      <c r="AJ180" s="674">
        <f t="shared" si="53"/>
        <v>0.93571960494171247</v>
      </c>
      <c r="AK180" s="705">
        <f t="shared" si="63"/>
        <v>180.0511663828843</v>
      </c>
      <c r="AL180" s="704">
        <f t="shared" si="64"/>
        <v>50.174479900000001</v>
      </c>
      <c r="AM180" s="675">
        <f t="shared" si="65"/>
        <v>0.76799833627881664</v>
      </c>
      <c r="AN180" s="705">
        <f t="shared" si="66"/>
        <v>146.50336262854705</v>
      </c>
      <c r="AO180" s="711"/>
      <c r="AP180" s="705">
        <f t="shared" si="67"/>
        <v>-25.5</v>
      </c>
      <c r="AQ180" s="678"/>
      <c r="AR180" s="678">
        <f t="shared" si="68"/>
        <v>326.55452901143133</v>
      </c>
      <c r="AS180" s="667">
        <f t="shared" si="54"/>
        <v>-146.50336262854705</v>
      </c>
      <c r="AT180" s="667"/>
      <c r="AU180" s="667">
        <f t="shared" si="55"/>
        <v>146.50336262854705</v>
      </c>
      <c r="AV180" s="669">
        <f t="shared" si="69"/>
        <v>-14.059840960291279</v>
      </c>
      <c r="AW180" s="669">
        <f t="shared" si="70"/>
        <v>-11.440159039708721</v>
      </c>
      <c r="AX180" s="712">
        <f t="shared" si="56"/>
        <v>-825.04489437408847</v>
      </c>
      <c r="AY180" s="712">
        <f t="shared" si="71"/>
        <v>-874.11372213358766</v>
      </c>
      <c r="AZ180" s="679">
        <f t="shared" si="72"/>
        <v>825.04489437408847</v>
      </c>
      <c r="BA180" s="679">
        <f t="shared" si="72"/>
        <v>874.11372213358766</v>
      </c>
      <c r="BB180" s="560">
        <f t="shared" si="73"/>
        <v>0.3</v>
      </c>
      <c r="BQ180" s="126"/>
    </row>
    <row r="181" spans="2:93" ht="18.75" customHeight="1" thickBot="1" x14ac:dyDescent="0.25">
      <c r="B181" s="708">
        <v>4</v>
      </c>
      <c r="C181" s="652"/>
      <c r="D181" s="32">
        <v>0</v>
      </c>
      <c r="E181" s="672" t="s">
        <v>54</v>
      </c>
      <c r="F181" s="699">
        <f t="shared" si="57"/>
        <v>0.3</v>
      </c>
      <c r="G181" s="673">
        <f t="shared" si="58"/>
        <v>0.3</v>
      </c>
      <c r="H181" s="709">
        <v>190.76</v>
      </c>
      <c r="I181" s="710">
        <v>79.651040199999997</v>
      </c>
      <c r="J181" s="655">
        <f t="shared" si="59"/>
        <v>79.651040199999997</v>
      </c>
      <c r="K181" s="655">
        <f t="shared" si="45"/>
        <v>39.825520099999999</v>
      </c>
      <c r="L181" s="655">
        <f t="shared" si="46"/>
        <v>0.64045183696587837</v>
      </c>
      <c r="M181" s="655">
        <f t="shared" si="47"/>
        <v>122.17259241961095</v>
      </c>
      <c r="N181" s="655">
        <f t="shared" si="48"/>
        <v>244.3451848392219</v>
      </c>
      <c r="O181" s="655">
        <f>+C178+D179+D180+(D181/2)</f>
        <v>0</v>
      </c>
      <c r="P181" s="655">
        <f t="shared" si="49"/>
        <v>0</v>
      </c>
      <c r="Q181" s="655">
        <f t="shared" si="50"/>
        <v>0</v>
      </c>
      <c r="R181" s="702">
        <f t="shared" si="60"/>
        <v>146.5</v>
      </c>
      <c r="S181" s="655">
        <f t="shared" si="74"/>
        <v>146.5</v>
      </c>
      <c r="T181" s="656">
        <f t="shared" si="51"/>
        <v>146.5</v>
      </c>
      <c r="V181" s="657">
        <f t="shared" si="52"/>
        <v>0</v>
      </c>
      <c r="W181" s="657"/>
      <c r="X181" s="657"/>
      <c r="Y181" s="657"/>
      <c r="Z181" s="657"/>
      <c r="AA181" s="657"/>
      <c r="AB181" s="673" t="str">
        <f t="shared" si="61"/>
        <v>pin in groundstacking hole</v>
      </c>
      <c r="AC181" s="703"/>
      <c r="AD181" s="703"/>
      <c r="AE181" s="703"/>
      <c r="AF181" s="657">
        <f t="shared" si="75"/>
        <v>0</v>
      </c>
      <c r="AG181" s="612">
        <f>SUM(D179:D181)+$C$178</f>
        <v>0</v>
      </c>
      <c r="AH181" s="612"/>
      <c r="AI181" s="704">
        <f t="shared" si="62"/>
        <v>69.344714800000006</v>
      </c>
      <c r="AJ181" s="674">
        <f t="shared" si="53"/>
        <v>0.93571960494171247</v>
      </c>
      <c r="AK181" s="705">
        <f t="shared" si="63"/>
        <v>180.0511663828843</v>
      </c>
      <c r="AL181" s="704">
        <f t="shared" si="64"/>
        <v>50.174479900000001</v>
      </c>
      <c r="AM181" s="675">
        <f t="shared" si="65"/>
        <v>0.76799833627881664</v>
      </c>
      <c r="AN181" s="705">
        <f t="shared" si="66"/>
        <v>146.50336262854705</v>
      </c>
      <c r="AO181" s="711"/>
      <c r="AP181" s="705">
        <f t="shared" si="67"/>
        <v>-51</v>
      </c>
      <c r="AQ181" s="678"/>
      <c r="AR181" s="678">
        <f t="shared" si="68"/>
        <v>326.55452901143133</v>
      </c>
      <c r="AS181" s="667">
        <f t="shared" si="54"/>
        <v>-146.50336262854705</v>
      </c>
      <c r="AT181" s="667"/>
      <c r="AU181" s="667">
        <f t="shared" si="55"/>
        <v>146.50336262854705</v>
      </c>
      <c r="AV181" s="669">
        <f t="shared" si="69"/>
        <v>-28.119681920582558</v>
      </c>
      <c r="AW181" s="669">
        <f t="shared" si="70"/>
        <v>-22.880318079417442</v>
      </c>
      <c r="AX181" s="712">
        <f t="shared" si="56"/>
        <v>-412.52244718704424</v>
      </c>
      <c r="AY181" s="712">
        <f t="shared" si="71"/>
        <v>-437.05686106679383</v>
      </c>
      <c r="AZ181" s="679">
        <f t="shared" si="72"/>
        <v>412.52244718704424</v>
      </c>
      <c r="BA181" s="679">
        <f t="shared" si="72"/>
        <v>437.05686106679383</v>
      </c>
      <c r="BB181" s="560">
        <f t="shared" si="73"/>
        <v>0.3</v>
      </c>
      <c r="BQ181" s="235"/>
      <c r="BR181" s="312"/>
      <c r="BS181" s="312"/>
      <c r="BT181" s="312"/>
      <c r="BU181" s="312"/>
      <c r="BV181" s="312"/>
      <c r="BW181" s="312"/>
      <c r="BX181" s="312"/>
      <c r="BY181" s="312"/>
      <c r="BZ181" s="312"/>
      <c r="CA181" s="312"/>
      <c r="CB181" s="312"/>
      <c r="CC181" s="312"/>
      <c r="CD181" s="312"/>
      <c r="CE181" s="312"/>
      <c r="CF181" s="312"/>
      <c r="CG181" s="312"/>
      <c r="CH181" s="312"/>
      <c r="CI181" s="312"/>
      <c r="CJ181" s="312"/>
      <c r="CK181" s="312"/>
      <c r="CL181" s="312"/>
      <c r="CM181" s="312"/>
      <c r="CN181" s="312"/>
      <c r="CO181" s="312"/>
    </row>
    <row r="182" spans="2:93" ht="18.75" customHeight="1" thickBot="1" x14ac:dyDescent="0.25">
      <c r="B182" s="708">
        <v>5</v>
      </c>
      <c r="C182" s="652"/>
      <c r="D182" s="32">
        <v>0</v>
      </c>
      <c r="E182" s="672" t="s">
        <v>54</v>
      </c>
      <c r="F182" s="699">
        <f t="shared" si="57"/>
        <v>0.3</v>
      </c>
      <c r="G182" s="673">
        <f t="shared" si="58"/>
        <v>0.3</v>
      </c>
      <c r="H182" s="709">
        <v>190.76</v>
      </c>
      <c r="I182" s="710">
        <v>79.651040199999997</v>
      </c>
      <c r="J182" s="655">
        <f t="shared" si="59"/>
        <v>79.651040199999997</v>
      </c>
      <c r="K182" s="655">
        <f t="shared" si="45"/>
        <v>39.825520099999999</v>
      </c>
      <c r="L182" s="655">
        <f t="shared" si="46"/>
        <v>0.64045183696587837</v>
      </c>
      <c r="M182" s="655">
        <f t="shared" si="47"/>
        <v>122.17259241961095</v>
      </c>
      <c r="N182" s="655">
        <f t="shared" si="48"/>
        <v>244.3451848392219</v>
      </c>
      <c r="O182" s="655">
        <f>+C178+D179+D180+D181+(D182/2)</f>
        <v>0</v>
      </c>
      <c r="P182" s="655">
        <f t="shared" si="49"/>
        <v>0</v>
      </c>
      <c r="Q182" s="655">
        <f t="shared" si="50"/>
        <v>0</v>
      </c>
      <c r="R182" s="702">
        <f t="shared" si="60"/>
        <v>146.5</v>
      </c>
      <c r="S182" s="655">
        <f t="shared" si="74"/>
        <v>146.5</v>
      </c>
      <c r="T182" s="656">
        <f t="shared" si="51"/>
        <v>146.5</v>
      </c>
      <c r="V182" s="657">
        <f t="shared" si="52"/>
        <v>0</v>
      </c>
      <c r="W182" s="657"/>
      <c r="X182" s="657"/>
      <c r="Y182" s="657"/>
      <c r="Z182" s="657"/>
      <c r="AA182" s="657"/>
      <c r="AB182" s="673" t="str">
        <f t="shared" si="61"/>
        <v>pin in groundstacking hole</v>
      </c>
      <c r="AC182" s="703"/>
      <c r="AD182" s="703"/>
      <c r="AE182" s="703"/>
      <c r="AF182" s="657">
        <f t="shared" si="75"/>
        <v>0</v>
      </c>
      <c r="AG182" s="612">
        <f>SUM(D179:D182)+$C$178</f>
        <v>0</v>
      </c>
      <c r="AH182" s="612"/>
      <c r="AI182" s="704">
        <f t="shared" si="62"/>
        <v>69.344714800000006</v>
      </c>
      <c r="AJ182" s="674">
        <f t="shared" si="53"/>
        <v>0.93571960494171247</v>
      </c>
      <c r="AK182" s="705">
        <f t="shared" si="63"/>
        <v>180.0511663828843</v>
      </c>
      <c r="AL182" s="704">
        <f t="shared" si="64"/>
        <v>50.174479900000001</v>
      </c>
      <c r="AM182" s="675">
        <f t="shared" si="65"/>
        <v>0.76799833627881664</v>
      </c>
      <c r="AN182" s="705">
        <f t="shared" si="66"/>
        <v>146.50336262854705</v>
      </c>
      <c r="AO182" s="711"/>
      <c r="AP182" s="705">
        <f t="shared" si="67"/>
        <v>-76.5</v>
      </c>
      <c r="AQ182" s="678"/>
      <c r="AR182" s="678">
        <f t="shared" si="68"/>
        <v>326.55452901143133</v>
      </c>
      <c r="AS182" s="667">
        <f t="shared" si="54"/>
        <v>-146.50336262854705</v>
      </c>
      <c r="AT182" s="667"/>
      <c r="AU182" s="667">
        <f t="shared" si="55"/>
        <v>146.50336262854705</v>
      </c>
      <c r="AV182" s="669">
        <f t="shared" si="69"/>
        <v>-42.17952288087384</v>
      </c>
      <c r="AW182" s="669">
        <f t="shared" si="70"/>
        <v>-34.32047711912616</v>
      </c>
      <c r="AX182" s="712">
        <f t="shared" si="56"/>
        <v>-275.01496479136279</v>
      </c>
      <c r="AY182" s="712">
        <f t="shared" si="71"/>
        <v>-291.37124071119592</v>
      </c>
      <c r="AZ182" s="679">
        <f t="shared" si="72"/>
        <v>275.01496479136279</v>
      </c>
      <c r="BA182" s="679">
        <f t="shared" si="72"/>
        <v>291.37124071119592</v>
      </c>
      <c r="BB182" s="560">
        <f t="shared" si="73"/>
        <v>0.3</v>
      </c>
      <c r="BQ182" s="126"/>
      <c r="BR182" s="203"/>
      <c r="BS182" s="203"/>
      <c r="BT182" s="203"/>
      <c r="BU182" s="203"/>
      <c r="BV182" s="203"/>
      <c r="BW182" s="203"/>
      <c r="BX182" s="203"/>
      <c r="BY182" s="203"/>
      <c r="BZ182" s="203"/>
      <c r="CA182" s="203"/>
      <c r="CB182" s="203"/>
      <c r="CC182" s="203"/>
      <c r="CD182" s="203"/>
      <c r="CE182" s="203"/>
      <c r="CF182" s="203"/>
      <c r="CG182" s="203"/>
      <c r="CH182" s="203"/>
      <c r="CI182" s="203"/>
      <c r="CJ182" s="203"/>
      <c r="CK182" s="203"/>
      <c r="CL182" s="203"/>
      <c r="CM182" s="203"/>
      <c r="CN182" s="203"/>
      <c r="CO182" s="203"/>
    </row>
    <row r="183" spans="2:93" ht="18.75" customHeight="1" thickBot="1" x14ac:dyDescent="0.25">
      <c r="B183" s="708">
        <v>6</v>
      </c>
      <c r="C183" s="652"/>
      <c r="D183" s="32">
        <v>0</v>
      </c>
      <c r="E183" s="672" t="s">
        <v>54</v>
      </c>
      <c r="F183" s="699">
        <f t="shared" si="57"/>
        <v>0.3</v>
      </c>
      <c r="G183" s="673">
        <f t="shared" si="58"/>
        <v>0.3</v>
      </c>
      <c r="H183" s="709">
        <v>190.76</v>
      </c>
      <c r="I183" s="710">
        <v>79.651040199999997</v>
      </c>
      <c r="J183" s="655">
        <f t="shared" si="59"/>
        <v>79.651040199999997</v>
      </c>
      <c r="K183" s="655">
        <f t="shared" si="45"/>
        <v>39.825520099999999</v>
      </c>
      <c r="L183" s="655">
        <f t="shared" si="46"/>
        <v>0.64045183696587837</v>
      </c>
      <c r="M183" s="655">
        <f t="shared" si="47"/>
        <v>122.17259241961095</v>
      </c>
      <c r="N183" s="655">
        <f t="shared" si="48"/>
        <v>244.3451848392219</v>
      </c>
      <c r="O183" s="655">
        <f>+C178+D179+D180+D181+D182+(D183/2)</f>
        <v>0</v>
      </c>
      <c r="P183" s="655">
        <f t="shared" si="49"/>
        <v>0</v>
      </c>
      <c r="Q183" s="655">
        <f t="shared" si="50"/>
        <v>0</v>
      </c>
      <c r="R183" s="702">
        <f t="shared" si="60"/>
        <v>146.5</v>
      </c>
      <c r="S183" s="655">
        <f t="shared" si="74"/>
        <v>146.5</v>
      </c>
      <c r="T183" s="656">
        <f t="shared" si="51"/>
        <v>146.5</v>
      </c>
      <c r="V183" s="657">
        <f t="shared" si="52"/>
        <v>0</v>
      </c>
      <c r="W183" s="657"/>
      <c r="X183" s="657"/>
      <c r="Y183" s="657"/>
      <c r="Z183" s="657"/>
      <c r="AA183" s="657"/>
      <c r="AB183" s="673" t="str">
        <f t="shared" si="61"/>
        <v>pin in groundstacking hole</v>
      </c>
      <c r="AC183" s="703"/>
      <c r="AD183" s="703"/>
      <c r="AE183" s="703"/>
      <c r="AF183" s="657">
        <f t="shared" si="75"/>
        <v>0</v>
      </c>
      <c r="AG183" s="612">
        <f>SUM(D179:D183)+$C$178</f>
        <v>0</v>
      </c>
      <c r="AH183" s="612"/>
      <c r="AI183" s="704">
        <f t="shared" si="62"/>
        <v>69.344714800000006</v>
      </c>
      <c r="AJ183" s="674">
        <f t="shared" si="53"/>
        <v>0.93571960494171247</v>
      </c>
      <c r="AK183" s="705">
        <f t="shared" si="63"/>
        <v>180.0511663828843</v>
      </c>
      <c r="AL183" s="704">
        <f t="shared" si="64"/>
        <v>50.174479900000001</v>
      </c>
      <c r="AM183" s="675">
        <f t="shared" si="65"/>
        <v>0.76799833627881664</v>
      </c>
      <c r="AN183" s="705">
        <f t="shared" si="66"/>
        <v>146.50336262854705</v>
      </c>
      <c r="AO183" s="711"/>
      <c r="AP183" s="705">
        <f t="shared" si="67"/>
        <v>-102</v>
      </c>
      <c r="AQ183" s="678"/>
      <c r="AR183" s="678">
        <f t="shared" si="68"/>
        <v>326.55452901143133</v>
      </c>
      <c r="AS183" s="667">
        <f t="shared" si="54"/>
        <v>-146.50336262854705</v>
      </c>
      <c r="AT183" s="667"/>
      <c r="AU183" s="667">
        <f t="shared" si="55"/>
        <v>146.50336262854705</v>
      </c>
      <c r="AV183" s="669">
        <f t="shared" si="69"/>
        <v>-56.239363841165115</v>
      </c>
      <c r="AW183" s="669">
        <f t="shared" si="70"/>
        <v>-45.760636158834885</v>
      </c>
      <c r="AX183" s="712">
        <f t="shared" si="56"/>
        <v>-206.26122359352212</v>
      </c>
      <c r="AY183" s="712">
        <f t="shared" si="71"/>
        <v>-218.52843053339691</v>
      </c>
      <c r="AZ183" s="679">
        <f t="shared" si="72"/>
        <v>206.26122359352212</v>
      </c>
      <c r="BA183" s="679">
        <f t="shared" si="72"/>
        <v>218.52843053339691</v>
      </c>
      <c r="BB183" s="560">
        <f t="shared" si="73"/>
        <v>0.3</v>
      </c>
    </row>
    <row r="184" spans="2:93" ht="18.75" customHeight="1" thickBot="1" x14ac:dyDescent="0.25">
      <c r="B184" s="708">
        <v>7</v>
      </c>
      <c r="C184" s="652"/>
      <c r="D184" s="32">
        <v>0</v>
      </c>
      <c r="E184" s="672" t="s">
        <v>54</v>
      </c>
      <c r="F184" s="699">
        <f t="shared" si="57"/>
        <v>0.3</v>
      </c>
      <c r="G184" s="673">
        <f t="shared" si="58"/>
        <v>0.3</v>
      </c>
      <c r="H184" s="709">
        <v>190.76</v>
      </c>
      <c r="I184" s="710">
        <v>79.651040199999997</v>
      </c>
      <c r="J184" s="655">
        <f t="shared" si="59"/>
        <v>79.651040199999997</v>
      </c>
      <c r="K184" s="655">
        <f t="shared" si="45"/>
        <v>39.825520099999999</v>
      </c>
      <c r="L184" s="655">
        <f t="shared" si="46"/>
        <v>0.64045183696587837</v>
      </c>
      <c r="M184" s="655">
        <f t="shared" si="47"/>
        <v>122.17259241961095</v>
      </c>
      <c r="N184" s="655">
        <f t="shared" si="48"/>
        <v>244.3451848392219</v>
      </c>
      <c r="O184" s="655">
        <f>+C178+D179+D180+D181+D182+D183+(D184/2)</f>
        <v>0</v>
      </c>
      <c r="P184" s="655">
        <f t="shared" si="49"/>
        <v>0</v>
      </c>
      <c r="Q184" s="655">
        <f t="shared" si="50"/>
        <v>0</v>
      </c>
      <c r="R184" s="702">
        <f t="shared" si="60"/>
        <v>146.5</v>
      </c>
      <c r="S184" s="655">
        <f t="shared" si="74"/>
        <v>146.5</v>
      </c>
      <c r="T184" s="656">
        <f t="shared" si="51"/>
        <v>146.5</v>
      </c>
      <c r="V184" s="657">
        <f t="shared" si="52"/>
        <v>0</v>
      </c>
      <c r="W184" s="657"/>
      <c r="X184" s="657"/>
      <c r="Y184" s="657"/>
      <c r="Z184" s="657"/>
      <c r="AA184" s="657"/>
      <c r="AB184" s="673" t="str">
        <f t="shared" si="61"/>
        <v>pin in groundstacking hole</v>
      </c>
      <c r="AC184" s="703"/>
      <c r="AD184" s="703"/>
      <c r="AE184" s="703"/>
      <c r="AF184" s="657">
        <f t="shared" si="75"/>
        <v>0</v>
      </c>
      <c r="AG184" s="612">
        <f>SUM(D179:D184)+$C$178</f>
        <v>0</v>
      </c>
      <c r="AH184" s="612"/>
      <c r="AI184" s="704">
        <f t="shared" si="62"/>
        <v>69.344714800000006</v>
      </c>
      <c r="AJ184" s="674">
        <f t="shared" si="53"/>
        <v>0.93571960494171247</v>
      </c>
      <c r="AK184" s="705">
        <f t="shared" si="63"/>
        <v>180.0511663828843</v>
      </c>
      <c r="AL184" s="704">
        <f t="shared" si="64"/>
        <v>50.174479900000001</v>
      </c>
      <c r="AM184" s="675">
        <f t="shared" si="65"/>
        <v>0.76799833627881664</v>
      </c>
      <c r="AN184" s="705">
        <f t="shared" si="66"/>
        <v>146.50336262854705</v>
      </c>
      <c r="AO184" s="711"/>
      <c r="AP184" s="705">
        <f t="shared" si="67"/>
        <v>-127.5</v>
      </c>
      <c r="AQ184" s="678"/>
      <c r="AR184" s="678">
        <f t="shared" si="68"/>
        <v>326.55452901143133</v>
      </c>
      <c r="AS184" s="667">
        <f t="shared" si="54"/>
        <v>-146.50336262854705</v>
      </c>
      <c r="AT184" s="667"/>
      <c r="AU184" s="667">
        <f t="shared" si="55"/>
        <v>146.50336262854705</v>
      </c>
      <c r="AV184" s="669">
        <f t="shared" si="69"/>
        <v>-70.299204801456398</v>
      </c>
      <c r="AW184" s="669">
        <f t="shared" si="70"/>
        <v>-57.200795198543602</v>
      </c>
      <c r="AX184" s="712">
        <f t="shared" si="56"/>
        <v>-165.00897887481767</v>
      </c>
      <c r="AY184" s="712">
        <f t="shared" si="71"/>
        <v>-174.82274442671755</v>
      </c>
      <c r="AZ184" s="679">
        <f t="shared" si="72"/>
        <v>165.00897887481767</v>
      </c>
      <c r="BA184" s="679">
        <f t="shared" si="72"/>
        <v>174.82274442671755</v>
      </c>
      <c r="BB184" s="560">
        <f t="shared" si="73"/>
        <v>0.3</v>
      </c>
      <c r="BR184" s="236"/>
      <c r="BS184" s="236"/>
      <c r="BT184" s="236"/>
      <c r="BU184" s="236"/>
      <c r="BV184" s="236"/>
      <c r="BW184" s="236"/>
      <c r="BX184" s="126"/>
      <c r="BY184" s="126"/>
      <c r="BZ184" s="126"/>
      <c r="CA184" s="126"/>
      <c r="CB184" s="126"/>
      <c r="CC184" s="236"/>
      <c r="CD184" s="236"/>
      <c r="CE184" s="236"/>
      <c r="CF184" s="126"/>
      <c r="CG184" s="126"/>
      <c r="CH184" s="126"/>
      <c r="CI184" s="126"/>
      <c r="CJ184" s="126"/>
      <c r="CK184" s="126"/>
      <c r="CL184" s="126"/>
      <c r="CM184" s="126"/>
      <c r="CN184" s="126"/>
      <c r="CO184" s="126"/>
    </row>
    <row r="185" spans="2:93" ht="18.75" customHeight="1" thickBot="1" x14ac:dyDescent="0.25">
      <c r="B185" s="708">
        <v>8</v>
      </c>
      <c r="C185" s="652"/>
      <c r="D185" s="32">
        <v>0</v>
      </c>
      <c r="E185" s="672" t="s">
        <v>54</v>
      </c>
      <c r="F185" s="699">
        <f t="shared" si="57"/>
        <v>0.3</v>
      </c>
      <c r="G185" s="673">
        <f t="shared" si="58"/>
        <v>0.3</v>
      </c>
      <c r="H185" s="709">
        <v>190.76</v>
      </c>
      <c r="I185" s="710">
        <v>79.651040199999997</v>
      </c>
      <c r="J185" s="655">
        <f t="shared" si="59"/>
        <v>79.651040199999997</v>
      </c>
      <c r="K185" s="655">
        <f t="shared" si="45"/>
        <v>39.825520099999999</v>
      </c>
      <c r="L185" s="655">
        <f t="shared" si="46"/>
        <v>0.64045183696587837</v>
      </c>
      <c r="M185" s="655">
        <f t="shared" si="47"/>
        <v>122.17259241961095</v>
      </c>
      <c r="N185" s="655">
        <f t="shared" si="48"/>
        <v>244.3451848392219</v>
      </c>
      <c r="O185" s="655">
        <f>+C178+D179+D180+D181+D182+D183+D184+(D185/2)</f>
        <v>0</v>
      </c>
      <c r="P185" s="655">
        <f t="shared" si="49"/>
        <v>0</v>
      </c>
      <c r="Q185" s="655">
        <f t="shared" si="50"/>
        <v>0</v>
      </c>
      <c r="R185" s="702">
        <f t="shared" si="60"/>
        <v>146.5</v>
      </c>
      <c r="S185" s="655">
        <f t="shared" si="74"/>
        <v>146.5</v>
      </c>
      <c r="T185" s="656">
        <f t="shared" si="51"/>
        <v>146.5</v>
      </c>
      <c r="V185" s="657">
        <f t="shared" si="52"/>
        <v>0</v>
      </c>
      <c r="W185" s="657"/>
      <c r="X185" s="657"/>
      <c r="Y185" s="657"/>
      <c r="Z185" s="657"/>
      <c r="AA185" s="657"/>
      <c r="AB185" s="673" t="str">
        <f t="shared" si="61"/>
        <v>pin in groundstacking hole</v>
      </c>
      <c r="AC185" s="703"/>
      <c r="AD185" s="703"/>
      <c r="AE185" s="703"/>
      <c r="AF185" s="657">
        <f t="shared" si="75"/>
        <v>0</v>
      </c>
      <c r="AG185" s="612">
        <f>SUM(D179:D185)+$C$178</f>
        <v>0</v>
      </c>
      <c r="AH185" s="612"/>
      <c r="AI185" s="704">
        <f t="shared" si="62"/>
        <v>69.344714800000006</v>
      </c>
      <c r="AJ185" s="674">
        <f t="shared" si="53"/>
        <v>0.93571960494171247</v>
      </c>
      <c r="AK185" s="705">
        <f t="shared" si="63"/>
        <v>180.0511663828843</v>
      </c>
      <c r="AL185" s="704">
        <f t="shared" si="64"/>
        <v>50.174479900000001</v>
      </c>
      <c r="AM185" s="675">
        <f t="shared" si="65"/>
        <v>0.76799833627881664</v>
      </c>
      <c r="AN185" s="705">
        <f t="shared" si="66"/>
        <v>146.50336262854705</v>
      </c>
      <c r="AO185" s="711"/>
      <c r="AP185" s="705">
        <f t="shared" si="67"/>
        <v>-153</v>
      </c>
      <c r="AQ185" s="678"/>
      <c r="AR185" s="678">
        <f t="shared" si="68"/>
        <v>326.55452901143133</v>
      </c>
      <c r="AS185" s="667">
        <f t="shared" si="54"/>
        <v>-146.50336262854705</v>
      </c>
      <c r="AT185" s="667"/>
      <c r="AU185" s="667">
        <f t="shared" si="55"/>
        <v>146.50336262854705</v>
      </c>
      <c r="AV185" s="669">
        <f t="shared" si="69"/>
        <v>-84.35904576174768</v>
      </c>
      <c r="AW185" s="669">
        <f t="shared" si="70"/>
        <v>-68.64095423825232</v>
      </c>
      <c r="AX185" s="712">
        <f t="shared" si="56"/>
        <v>-137.50748239568139</v>
      </c>
      <c r="AY185" s="712">
        <f t="shared" si="71"/>
        <v>-145.68562035559796</v>
      </c>
      <c r="AZ185" s="679">
        <f t="shared" si="72"/>
        <v>137.50748239568139</v>
      </c>
      <c r="BA185" s="679">
        <f t="shared" si="72"/>
        <v>145.68562035559796</v>
      </c>
      <c r="BB185" s="560">
        <f t="shared" si="73"/>
        <v>0.3</v>
      </c>
      <c r="BR185" s="236"/>
      <c r="BS185" s="236"/>
      <c r="BT185" s="236"/>
      <c r="BU185" s="236"/>
      <c r="BV185" s="236"/>
      <c r="BW185" s="236"/>
      <c r="CB185" s="236"/>
      <c r="CC185" s="236"/>
      <c r="CD185" s="236"/>
      <c r="CE185" s="236"/>
      <c r="CJ185" s="236"/>
      <c r="CK185" s="236"/>
      <c r="CL185" s="236"/>
      <c r="CM185" s="236"/>
      <c r="CN185" s="236"/>
      <c r="CO185" s="236"/>
    </row>
  </sheetData>
  <sheetProtection algorithmName="SHA-512" hashValue="tKPBpAI2bZUsgjin9fQpfFZEPT3Ys9VWrhSIs6uC4UuvL7uGyjx6Ay8qkLK/05StkSKd+5arURwOJ2I+ZxXapQ==" saltValue="McTxXHsAYojEHjWF7F3XdA==" spinCount="100000" sheet="1" objects="1" scenarios="1" selectLockedCells="1"/>
  <protectedRanges>
    <protectedRange sqref="B136 B144 D178:D185 B175 D147:D166" name="Range1"/>
  </protectedRanges>
  <mergeCells count="17">
    <mergeCell ref="CI160:CJ160"/>
    <mergeCell ref="BW158:BY158"/>
    <mergeCell ref="BR32:CB33"/>
    <mergeCell ref="CT32:DB33"/>
    <mergeCell ref="CR33:CS33"/>
    <mergeCell ref="CC33:CD33"/>
    <mergeCell ref="BR25:BS25"/>
    <mergeCell ref="CR26:DB27"/>
    <mergeCell ref="BR29:CB30"/>
    <mergeCell ref="DA30:DB30"/>
    <mergeCell ref="CP27:CQ27"/>
    <mergeCell ref="BR27:BS27"/>
    <mergeCell ref="AZ144:BA144"/>
    <mergeCell ref="AZ175:BA175"/>
    <mergeCell ref="CC30:CD30"/>
    <mergeCell ref="B133:B135"/>
    <mergeCell ref="BW160:BX160"/>
  </mergeCells>
  <conditionalFormatting sqref="B147:B166">
    <cfRule type="cellIs" dxfId="1058" priority="38" stopIfTrue="1" operator="greaterThan">
      <formula>$B$144</formula>
    </cfRule>
  </conditionalFormatting>
  <conditionalFormatting sqref="B148:G148 J148:AH148 AJ148 AM148 AO148:BA148 AP149:AQ166">
    <cfRule type="expression" dxfId="1057" priority="5">
      <formula>$B$144&lt;2</formula>
    </cfRule>
  </conditionalFormatting>
  <conditionalFormatting sqref="B180:AE180 AG180:BA180">
    <cfRule type="expression" dxfId="1056" priority="59" stopIfTrue="1">
      <formula>$B$175&lt;3</formula>
    </cfRule>
  </conditionalFormatting>
  <conditionalFormatting sqref="B181:AE181 AG181:BA181">
    <cfRule type="expression" dxfId="1055" priority="58" stopIfTrue="1">
      <formula>$B$175&lt;4</formula>
    </cfRule>
  </conditionalFormatting>
  <conditionalFormatting sqref="B182:AE182 AG182:BA182">
    <cfRule type="expression" dxfId="1054" priority="57" stopIfTrue="1">
      <formula>$B$175&lt;5</formula>
    </cfRule>
  </conditionalFormatting>
  <conditionalFormatting sqref="B183:AE183 AG183:BA183">
    <cfRule type="expression" dxfId="1053" priority="56" stopIfTrue="1">
      <formula>$B$175&lt;6</formula>
    </cfRule>
  </conditionalFormatting>
  <conditionalFormatting sqref="B184:AE184 AG184:BA184">
    <cfRule type="expression" dxfId="1052" priority="55" stopIfTrue="1">
      <formula>$B$175&lt;7</formula>
    </cfRule>
  </conditionalFormatting>
  <conditionalFormatting sqref="B185:AE185 AG185:BA185">
    <cfRule type="expression" dxfId="1051" priority="4" stopIfTrue="1">
      <formula>$B$175&lt;8</formula>
    </cfRule>
  </conditionalFormatting>
  <conditionalFormatting sqref="B178:BA178">
    <cfRule type="expression" dxfId="1050" priority="61" stopIfTrue="1">
      <formula>$B$144&lt;1</formula>
    </cfRule>
  </conditionalFormatting>
  <conditionalFormatting sqref="B179:BA179 AF180:AF185">
    <cfRule type="expression" dxfId="1049" priority="60" stopIfTrue="1">
      <formula>$B$175&lt;2</formula>
    </cfRule>
  </conditionalFormatting>
  <conditionalFormatting sqref="D135">
    <cfRule type="cellIs" dxfId="1048" priority="16" stopIfTrue="1" operator="equal">
      <formula>"USE EXBAR AR AT THE FRONT"</formula>
    </cfRule>
  </conditionalFormatting>
  <conditionalFormatting sqref="D136">
    <cfRule type="cellIs" dxfId="1047" priority="15" stopIfTrue="1" operator="equal">
      <formula>"USE EXBAR AR AT THE BACK"</formula>
    </cfRule>
  </conditionalFormatting>
  <conditionalFormatting sqref="D147:D166 D178:D185">
    <cfRule type="cellIs" dxfId="1046" priority="85" stopIfTrue="1" operator="notEqual">
      <formula>0</formula>
    </cfRule>
  </conditionalFormatting>
  <conditionalFormatting sqref="D133:G134">
    <cfRule type="cellIs" dxfId="1045" priority="17" stopIfTrue="1" operator="equal">
      <formula>"change the angle of frame or of cabinets"</formula>
    </cfRule>
  </conditionalFormatting>
  <conditionalFormatting sqref="D149:G149 AB149 AX149:BA149">
    <cfRule type="expression" dxfId="1044" priority="82" stopIfTrue="1">
      <formula>$B$144&lt;3</formula>
    </cfRule>
  </conditionalFormatting>
  <conditionalFormatting sqref="D150:G150 AB150 AX150:BA150">
    <cfRule type="expression" dxfId="1043" priority="81" stopIfTrue="1">
      <formula>$B$144&lt;4</formula>
    </cfRule>
  </conditionalFormatting>
  <conditionalFormatting sqref="D151:G151 AB151 AX151:BA151">
    <cfRule type="expression" dxfId="1042" priority="80" stopIfTrue="1">
      <formula>$B$144&lt;5</formula>
    </cfRule>
  </conditionalFormatting>
  <conditionalFormatting sqref="D152:G152 AB152 AX152:BA152">
    <cfRule type="expression" dxfId="1041" priority="79">
      <formula>$B$144&lt;6</formula>
    </cfRule>
  </conditionalFormatting>
  <conditionalFormatting sqref="D153:G153 AB153 AX153:BA153">
    <cfRule type="expression" dxfId="1040" priority="78">
      <formula>$B$144&lt;7</formula>
    </cfRule>
  </conditionalFormatting>
  <conditionalFormatting sqref="D154:G154 AB154 AX154:BA154">
    <cfRule type="expression" dxfId="1039" priority="77">
      <formula>$B$144&lt;8</formula>
    </cfRule>
  </conditionalFormatting>
  <conditionalFormatting sqref="D155:G155 AB155 AX155:BA155">
    <cfRule type="expression" dxfId="1038" priority="76">
      <formula>$B$144&lt;9</formula>
    </cfRule>
  </conditionalFormatting>
  <conditionalFormatting sqref="D156:G156 AB156 AX156:BA156">
    <cfRule type="expression" dxfId="1037" priority="75">
      <formula>$B$144&lt;10</formula>
    </cfRule>
  </conditionalFormatting>
  <conditionalFormatting sqref="D157:G157 AB157 AX157:BA157">
    <cfRule type="expression" dxfId="1036" priority="74">
      <formula>$B$144&lt;11</formula>
    </cfRule>
  </conditionalFormatting>
  <conditionalFormatting sqref="D158:G158 AB158 AX158:BA158">
    <cfRule type="expression" dxfId="1035" priority="73">
      <formula>$B$144&lt;12</formula>
    </cfRule>
  </conditionalFormatting>
  <conditionalFormatting sqref="D159:G159 AB159 AX159:BA159">
    <cfRule type="expression" dxfId="1034" priority="72">
      <formula>$B$144&lt;13</formula>
    </cfRule>
  </conditionalFormatting>
  <conditionalFormatting sqref="D160:G160 AB160 AX160:BA160">
    <cfRule type="expression" dxfId="1033" priority="71">
      <formula>$B$144&lt;14</formula>
    </cfRule>
  </conditionalFormatting>
  <conditionalFormatting sqref="D161:G161 AB161 AX161:BA161">
    <cfRule type="expression" dxfId="1032" priority="70">
      <formula>$B$144&lt;15</formula>
    </cfRule>
  </conditionalFormatting>
  <conditionalFormatting sqref="D162:G162 AB162 AX162:BA162">
    <cfRule type="expression" dxfId="1031" priority="69">
      <formula>$B$144&lt;16</formula>
    </cfRule>
  </conditionalFormatting>
  <conditionalFormatting sqref="D163:G163 AB163 AX163:BA163">
    <cfRule type="expression" dxfId="1030" priority="68">
      <formula>$B$144&lt;17</formula>
    </cfRule>
  </conditionalFormatting>
  <conditionalFormatting sqref="D164:G164 AB164 AX164:BA164">
    <cfRule type="expression" dxfId="1029" priority="67">
      <formula>$B$144&lt;18</formula>
    </cfRule>
  </conditionalFormatting>
  <conditionalFormatting sqref="D165:G165 AB165 AX165:BA165">
    <cfRule type="expression" dxfId="1028" priority="66">
      <formula>$B$144&lt;19</formula>
    </cfRule>
  </conditionalFormatting>
  <conditionalFormatting sqref="D166:G166 AB166 AX166:BA166">
    <cfRule type="expression" dxfId="1027" priority="35">
      <formula>$B$144&lt;20</formula>
    </cfRule>
  </conditionalFormatting>
  <conditionalFormatting sqref="E135:G135">
    <cfRule type="cellIs" dxfId="1026" priority="86" stopIfTrue="1" operator="equal">
      <formula>"USE EXBAR 12 AT THE FRONT"</formula>
    </cfRule>
  </conditionalFormatting>
  <conditionalFormatting sqref="E136:G136">
    <cfRule type="cellIs" dxfId="1025" priority="87" stopIfTrue="1" operator="equal">
      <formula>"USE EXBAR 12 AT THE BACK"</formula>
    </cfRule>
  </conditionalFormatting>
  <conditionalFormatting sqref="U2 U5:U10 BC6:BD7 AF22:AF26 D26:F26 V64:AA66 U67:U89 AB67:AE89">
    <cfRule type="cellIs" dxfId="1024" priority="92" stopIfTrue="1" operator="between">
      <formula>"OVERLOAD"</formula>
      <formula>"OVERLOAD"</formula>
    </cfRule>
  </conditionalFormatting>
  <conditionalFormatting sqref="AZ147:BA166">
    <cfRule type="cellIs" dxfId="1023" priority="83" operator="lessThan">
      <formula>10</formula>
    </cfRule>
  </conditionalFormatting>
  <conditionalFormatting sqref="AZ178:BA185">
    <cfRule type="cellIs" dxfId="1022" priority="84" operator="lessThan">
      <formula>10</formula>
    </cfRule>
  </conditionalFormatting>
  <conditionalFormatting sqref="BL109:BL145">
    <cfRule type="cellIs" dxfId="1021" priority="25" stopIfTrue="1" operator="equal">
      <formula>FALSE</formula>
    </cfRule>
  </conditionalFormatting>
  <conditionalFormatting sqref="BO26">
    <cfRule type="cellIs" dxfId="1020" priority="14" stopIfTrue="1" operator="equal">
      <formula>"negative force at the motor"</formula>
    </cfRule>
  </conditionalFormatting>
  <conditionalFormatting sqref="BO26:BO27">
    <cfRule type="cellIs" dxfId="1019" priority="13" operator="equal">
      <formula>"""OK"""</formula>
    </cfRule>
  </conditionalFormatting>
  <conditionalFormatting sqref="BO27">
    <cfRule type="cellIs" dxfId="1018" priority="21" stopIfTrue="1" operator="equal">
      <formula>"overload"</formula>
    </cfRule>
  </conditionalFormatting>
  <conditionalFormatting sqref="BO29">
    <cfRule type="cellIs" dxfId="1017" priority="12" stopIfTrue="1" operator="equal">
      <formula>"negative force at the motor"</formula>
    </cfRule>
  </conditionalFormatting>
  <conditionalFormatting sqref="BO29:BO30">
    <cfRule type="cellIs" dxfId="1016" priority="11" operator="equal">
      <formula>"""OK"""</formula>
    </cfRule>
  </conditionalFormatting>
  <conditionalFormatting sqref="BO32">
    <cfRule type="cellIs" dxfId="1015" priority="10" stopIfTrue="1" operator="equal">
      <formula>"negative force at the motor"</formula>
    </cfRule>
  </conditionalFormatting>
  <conditionalFormatting sqref="BO32:BO33">
    <cfRule type="cellIs" dxfId="1014" priority="9" operator="equal">
      <formula>"""OK"""</formula>
    </cfRule>
  </conditionalFormatting>
  <conditionalFormatting sqref="BO56 BO61 BO102 BO30 BO33">
    <cfRule type="cellIs" dxfId="1013" priority="19" stopIfTrue="1" operator="equal">
      <formula>"overload"</formula>
    </cfRule>
  </conditionalFormatting>
  <conditionalFormatting sqref="BO56 BO102 BO61">
    <cfRule type="cellIs" dxfId="1012" priority="18" operator="equal">
      <formula>"""OK"""</formula>
    </cfRule>
  </conditionalFormatting>
  <conditionalFormatting sqref="BP55:BP56 BO56 BP101 BO102:BP102">
    <cfRule type="expression" dxfId="1011" priority="6">
      <formula>$B$136&lt;&gt;0</formula>
    </cfRule>
  </conditionalFormatting>
  <conditionalFormatting sqref="BR101:CH101">
    <cfRule type="expression" dxfId="1010" priority="3">
      <formula>$B$136=0</formula>
    </cfRule>
  </conditionalFormatting>
  <conditionalFormatting sqref="BR57:DC59 BW104:CJ111 BR181:CO182">
    <cfRule type="cellIs" dxfId="1009" priority="28" stopIfTrue="1" operator="equal">
      <formula>FALSE</formula>
    </cfRule>
  </conditionalFormatting>
  <conditionalFormatting sqref="CC55:CS55">
    <cfRule type="expression" dxfId="1008" priority="8">
      <formula>$B$136=0</formula>
    </cfRule>
    <cfRule type="cellIs" dxfId="1007" priority="7" operator="equal">
      <formula>0</formula>
    </cfRule>
  </conditionalFormatting>
  <conditionalFormatting sqref="CL101:DB101">
    <cfRule type="expression" dxfId="1006" priority="2">
      <formula>$B$136=0</formula>
    </cfRule>
  </conditionalFormatting>
  <dataValidations count="9">
    <dataValidation type="decimal" allowBlank="1" showInputMessage="1" showErrorMessage="1" sqref="B136" xr:uid="{00000000-0002-0000-0A00-000000000000}">
      <formula1>-89.9</formula1>
      <formula2>89.9</formula2>
    </dataValidation>
    <dataValidation type="whole" allowBlank="1" showInputMessage="1" showErrorMessage="1" errorTitle="Coda Audio" error="YOU HAVE ENTERED A WRONG NUMBER OF CABINETS" promptTitle="Coda Audio" prompt="ENTER THE NUMBER OF CABINETS FROM 1 UP TO 8" sqref="B175" xr:uid="{00000000-0002-0000-0A00-000001000000}">
      <formula1>1</formula1>
      <formula2>8</formula2>
    </dataValidation>
    <dataValidation type="decimal" allowBlank="1" showInputMessage="1" showErrorMessage="1" sqref="F149:F166 G179:G185 G148:G166" xr:uid="{00000000-0002-0000-0A00-000002000000}">
      <formula1>0</formula1>
      <formula2>8</formula2>
    </dataValidation>
    <dataValidation type="decimal" allowBlank="1" showInputMessage="1" showErrorMessage="1" sqref="D147 F179:F185 F147:G147 F178:G178" xr:uid="{00000000-0002-0000-0A00-000003000000}">
      <formula1>0</formula1>
      <formula2>4</formula2>
    </dataValidation>
    <dataValidation type="whole" allowBlank="1" showInputMessage="1" showErrorMessage="1" sqref="D180:D185" xr:uid="{00000000-0002-0000-0A00-000004000000}">
      <formula1>0</formula1>
      <formula2>10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44" xr:uid="{00000000-0002-0000-0A00-000005000000}">
      <formula1>1</formula1>
      <formula2>20</formula2>
    </dataValidation>
    <dataValidation type="custom" allowBlank="1" showInputMessage="1" showErrorMessage="1" sqref="D148:D166" xr:uid="{00000000-0002-0000-0A00-000006000000}">
      <formula1>OR(D148=0,D148=0.5,D148=1,D148=2,D148=2.5,D148=3,D148=4,D148=5,D148=6,D148=7,D148=8)</formula1>
    </dataValidation>
    <dataValidation type="custom" allowBlank="1" showInputMessage="1" showErrorMessage="1" sqref="D178" xr:uid="{00000000-0002-0000-0A00-000007000000}">
      <formula1>OR(D178=0,D178=0.5,D178=1,D178=2,D178=2.5,D178=3,D178=4.5,D178=5.5,D178=6.5,D178=8,D178=9)</formula1>
    </dataValidation>
    <dataValidation type="whole" allowBlank="1" showInputMessage="1" showErrorMessage="1" sqref="D179" xr:uid="{00000000-0002-0000-0A00-000008000000}">
      <formula1>0</formula1>
      <formula2>5</formula2>
    </dataValidation>
  </dataValidations>
  <pageMargins left="0.7" right="0.7" top="0.75" bottom="0.75" header="0.3" footer="0.3"/>
  <pageSetup orientation="portrait" horizontalDpi="0" verticalDpi="0" r:id="rId1"/>
  <ignoredErrors>
    <ignoredError sqref="AB149:AP149 AB178:AX178 BO28:BP28 BO35:BP54 BO26 BO31:BP31 BO29 BO33:BP34 BO32 BO56:BP59 BO55 BO61 BO60 BO27 BO30 AB186:BA186 AB179:AE179 AG179:BA179 AB180:AE185 AG180:BA185 AB147:AP147 AR147:BA147 AB148:AP148 AR148:BA148 AB150:AP166 AR150:BA166 AR149:BA149 AZ178:BA178" unlockedFormula="1"/>
  </ignoredErrors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FFC000"/>
  </sheetPr>
  <dimension ref="A1:EN280"/>
  <sheetViews>
    <sheetView topLeftCell="A54" zoomScale="50" zoomScaleNormal="50" workbookViewId="0">
      <selection activeCell="D138" sqref="D138"/>
    </sheetView>
  </sheetViews>
  <sheetFormatPr baseColWidth="10" defaultColWidth="9.1640625" defaultRowHeight="18" x14ac:dyDescent="0.2"/>
  <cols>
    <col min="1" max="1" width="1.5" style="1118" customWidth="1"/>
    <col min="2" max="2" width="26.83203125" style="1104" customWidth="1"/>
    <col min="3" max="3" width="19.83203125" style="1104" hidden="1" customWidth="1"/>
    <col min="4" max="4" width="32.33203125" style="1118" customWidth="1"/>
    <col min="5" max="5" width="39.83203125" style="1118" customWidth="1"/>
    <col min="6" max="7" width="6.1640625" style="1118" hidden="1" customWidth="1"/>
    <col min="8" max="8" width="13.83203125" style="1110" hidden="1" customWidth="1"/>
    <col min="9" max="12" width="14.33203125" style="1110" hidden="1" customWidth="1"/>
    <col min="13" max="13" width="21.83203125" style="1110" hidden="1" customWidth="1"/>
    <col min="14" max="14" width="10.83203125" style="1110" hidden="1" customWidth="1"/>
    <col min="15" max="27" width="6.1640625" style="1110" hidden="1" customWidth="1"/>
    <col min="28" max="28" width="35" style="1110" customWidth="1"/>
    <col min="29" max="29" width="28.6640625" style="1110" hidden="1" customWidth="1"/>
    <col min="30" max="31" width="11.33203125" style="1110" hidden="1" customWidth="1"/>
    <col min="32" max="32" width="84" style="1110" hidden="1" customWidth="1"/>
    <col min="33" max="33" width="27.5" style="1110" hidden="1" customWidth="1"/>
    <col min="34" max="34" width="19.5" style="1110" hidden="1" customWidth="1"/>
    <col min="35" max="35" width="9.33203125" style="1110" hidden="1" customWidth="1"/>
    <col min="36" max="36" width="17.5" style="1110" hidden="1" customWidth="1"/>
    <col min="37" max="40" width="12" style="1110" hidden="1" customWidth="1"/>
    <col min="41" max="41" width="26" style="1110" hidden="1" customWidth="1"/>
    <col min="42" max="42" width="34.5" style="1110" hidden="1" customWidth="1"/>
    <col min="43" max="43" width="38.33203125" style="1110" hidden="1" customWidth="1"/>
    <col min="44" max="44" width="41.83203125" style="1110" hidden="1" customWidth="1"/>
    <col min="45" max="45" width="19.5" style="1110" hidden="1" customWidth="1"/>
    <col min="46" max="46" width="20.1640625" style="1110" hidden="1" customWidth="1"/>
    <col min="47" max="47" width="38.5" style="1110" hidden="1" customWidth="1"/>
    <col min="48" max="48" width="19.5" style="1110" hidden="1" customWidth="1"/>
    <col min="49" max="50" width="20.1640625" style="1110" hidden="1" customWidth="1"/>
    <col min="51" max="51" width="38.5" style="1110" hidden="1" customWidth="1"/>
    <col min="52" max="52" width="11.1640625" style="1110" hidden="1" customWidth="1"/>
    <col min="53" max="54" width="12.1640625" style="1110" customWidth="1"/>
    <col min="55" max="55" width="15.1640625" style="1118" hidden="1" customWidth="1"/>
    <col min="56" max="56" width="9.1640625" style="1118" hidden="1" customWidth="1"/>
    <col min="57" max="57" width="4.83203125" style="1118" hidden="1" customWidth="1"/>
    <col min="58" max="58" width="6.83203125" style="1118" hidden="1" customWidth="1"/>
    <col min="59" max="59" width="34.1640625" style="1118" hidden="1" customWidth="1"/>
    <col min="60" max="60" width="17" style="1118" hidden="1" customWidth="1"/>
    <col min="61" max="62" width="16.33203125" style="1118" hidden="1" customWidth="1"/>
    <col min="63" max="63" width="8.33203125" style="1118" hidden="1" customWidth="1"/>
    <col min="64" max="64" width="11.5" style="1118" hidden="1" customWidth="1"/>
    <col min="65" max="65" width="22.83203125" style="1161" hidden="1" customWidth="1"/>
    <col min="66" max="66" width="24.83203125" style="1118" bestFit="1" customWidth="1"/>
    <col min="67" max="67" width="34.33203125" style="1118" customWidth="1"/>
    <col min="68" max="68" width="43.6640625" style="1118" customWidth="1"/>
    <col min="69" max="105" width="6.5" style="1118" customWidth="1"/>
    <col min="106" max="106" width="7.6640625" style="1118" hidden="1" customWidth="1"/>
    <col min="107" max="107" width="16" style="1118" hidden="1" customWidth="1"/>
    <col min="108" max="108" width="41" style="1118" hidden="1" customWidth="1"/>
    <col min="109" max="110" width="41.5" style="1118" hidden="1" customWidth="1"/>
    <col min="111" max="140" width="6.5" style="1118" customWidth="1"/>
    <col min="141" max="143" width="9.1640625" style="1118"/>
    <col min="144" max="144" width="11.5" style="1118" customWidth="1"/>
    <col min="145" max="145" width="9.33203125" style="1118" customWidth="1"/>
    <col min="146" max="16384" width="9.1640625" style="1118"/>
  </cols>
  <sheetData>
    <row r="1" spans="2:15" ht="20" hidden="1" x14ac:dyDescent="0.2">
      <c r="D1" s="1105" t="s">
        <v>104</v>
      </c>
      <c r="E1" s="1105" t="s">
        <v>105</v>
      </c>
      <c r="F1" s="1105" t="s">
        <v>106</v>
      </c>
      <c r="G1" s="1106" t="s">
        <v>220</v>
      </c>
      <c r="H1" s="1107">
        <v>18000</v>
      </c>
      <c r="I1" s="1108"/>
      <c r="J1" s="1108"/>
      <c r="K1" s="1108"/>
      <c r="L1" s="1108"/>
      <c r="M1" s="1108"/>
      <c r="N1" s="1108"/>
      <c r="O1" s="1109"/>
    </row>
    <row r="2" spans="2:15" ht="20" hidden="1" x14ac:dyDescent="0.2">
      <c r="B2" s="1111" t="s">
        <v>26</v>
      </c>
      <c r="C2" s="1112">
        <v>688</v>
      </c>
      <c r="D2" s="1113">
        <f>+COS(($B$132*-1)*3.14159265358979/180)*C2</f>
        <v>688</v>
      </c>
      <c r="E2" s="1114">
        <f>+COS(($B$132*-1)*3.14159265358979/180)*43</f>
        <v>43</v>
      </c>
      <c r="F2" s="1115">
        <f>+COS((($B$132*-1)+72.969997)*3.14159265358979/180)*162.1867</f>
        <v>47.500013702602963</v>
      </c>
      <c r="G2" s="1116" t="s">
        <v>212</v>
      </c>
      <c r="H2" s="1117">
        <v>77</v>
      </c>
      <c r="I2" s="1118"/>
      <c r="J2" s="1118"/>
      <c r="K2" s="1118"/>
      <c r="L2" s="1118"/>
      <c r="M2" s="1118"/>
      <c r="N2" s="1118"/>
      <c r="O2" s="1119"/>
    </row>
    <row r="3" spans="2:15" ht="21" hidden="1" thickBot="1" x14ac:dyDescent="0.25">
      <c r="B3" s="1120" t="s">
        <v>113</v>
      </c>
      <c r="C3" s="1121">
        <f>+C9-47.5</f>
        <v>166.2048075654898</v>
      </c>
      <c r="D3" s="1113">
        <f>+C9-F2</f>
        <v>166.20479386288685</v>
      </c>
      <c r="G3" s="1116" t="s">
        <v>213</v>
      </c>
      <c r="H3" s="1122">
        <v>215</v>
      </c>
      <c r="I3" s="1123"/>
      <c r="J3" s="1118"/>
      <c r="K3" s="1118"/>
      <c r="L3" s="1118"/>
      <c r="M3" s="1118"/>
      <c r="N3" s="1118"/>
      <c r="O3" s="1119"/>
    </row>
    <row r="4" spans="2:15" ht="58" hidden="1" thickBot="1" x14ac:dyDescent="0.25">
      <c r="B4" s="1124" t="s">
        <v>114</v>
      </c>
      <c r="C4" s="1125">
        <v>1075</v>
      </c>
      <c r="D4" s="1113">
        <f>+COS(($B$132*-1)*3.14159265358979/180)*C4</f>
        <v>1075</v>
      </c>
      <c r="G4" s="1126" t="s">
        <v>233</v>
      </c>
      <c r="H4" s="1127">
        <v>860</v>
      </c>
      <c r="I4" s="1128">
        <v>1</v>
      </c>
      <c r="J4" s="1756" t="s">
        <v>228</v>
      </c>
      <c r="K4" s="1757"/>
      <c r="L4" s="1757"/>
      <c r="M4" s="1757"/>
      <c r="N4" s="1118"/>
      <c r="O4" s="1119"/>
    </row>
    <row r="5" spans="2:15" ht="57" hidden="1" x14ac:dyDescent="0.2">
      <c r="B5" s="1124" t="s">
        <v>115</v>
      </c>
      <c r="C5" s="1125">
        <f>+C9+425.5</f>
        <v>639.20480756548977</v>
      </c>
      <c r="D5" s="1113">
        <f>+(COS(($B$132*-1)*3.14159265358979/180)*473)+$D$3</f>
        <v>639.20479386288685</v>
      </c>
      <c r="G5" s="1126" t="s">
        <v>214</v>
      </c>
      <c r="H5" s="1127">
        <v>688</v>
      </c>
      <c r="I5" s="1118"/>
      <c r="J5" s="1129" t="s">
        <v>217</v>
      </c>
      <c r="K5" s="1129" t="s">
        <v>225</v>
      </c>
      <c r="L5" s="1130" t="s">
        <v>224</v>
      </c>
      <c r="M5" s="1755"/>
      <c r="N5" s="1118"/>
      <c r="O5" s="1119"/>
    </row>
    <row r="6" spans="2:15" ht="20" hidden="1" x14ac:dyDescent="0.2">
      <c r="B6" s="1131"/>
      <c r="C6" s="1131"/>
      <c r="G6" s="1126" t="s">
        <v>259</v>
      </c>
      <c r="H6" s="1127">
        <v>602</v>
      </c>
      <c r="I6" s="1118"/>
      <c r="J6" s="1143">
        <f>+H9/H8*BQ56</f>
        <v>437.82216058426258</v>
      </c>
      <c r="K6" s="1143">
        <f>((H8-H9)/H8)*BQ56</f>
        <v>-301.00273540168052</v>
      </c>
      <c r="L6" s="1143">
        <f>+CO56</f>
        <v>200.68057481741798</v>
      </c>
      <c r="M6" s="1129" t="s">
        <v>223</v>
      </c>
      <c r="N6" s="1118"/>
      <c r="O6" s="1119"/>
    </row>
    <row r="7" spans="2:15" ht="20" hidden="1" x14ac:dyDescent="0.2">
      <c r="B7" s="1132" t="s">
        <v>18</v>
      </c>
      <c r="C7" s="1133">
        <f>+C11+C14+C17+30+4.5+0.5</f>
        <v>337.5</v>
      </c>
      <c r="G7" s="1134" t="s">
        <v>230</v>
      </c>
      <c r="H7" s="1135">
        <f>(+SIN(($B$132*-1)*3.14159265358979/180)*H2)</f>
        <v>0</v>
      </c>
      <c r="I7" s="1118"/>
      <c r="J7" s="1144">
        <f>ABS($H$1/J6)</f>
        <v>41.112583191265273</v>
      </c>
      <c r="K7" s="1144">
        <f>ABS($H$1/K6)</f>
        <v>59.800121005476761</v>
      </c>
      <c r="L7" s="1144">
        <f>ABS($H$1/L6)</f>
        <v>89.694779957535275</v>
      </c>
      <c r="M7" s="1136" t="s">
        <v>222</v>
      </c>
      <c r="N7" s="1118"/>
      <c r="O7" s="1119"/>
    </row>
    <row r="8" spans="2:15" ht="20" hidden="1" x14ac:dyDescent="0.2">
      <c r="B8" s="1132" t="s">
        <v>19</v>
      </c>
      <c r="C8" s="1132">
        <f>+AS138</f>
        <v>492.39108855494453</v>
      </c>
      <c r="G8" s="1134" t="s">
        <v>229</v>
      </c>
      <c r="H8" s="1135">
        <f>(+COS(($B$132*-1)*3.14159265358979/180)*H3)</f>
        <v>215</v>
      </c>
      <c r="I8" s="1118"/>
      <c r="J8" s="1760">
        <f>ABS($E$22/BQ56)</f>
        <v>58.471229427577285</v>
      </c>
      <c r="K8" s="1760"/>
      <c r="L8" s="1760">
        <f>ABS($E$22/CO56)</f>
        <v>39.864346647793454</v>
      </c>
      <c r="M8" s="1734" t="s">
        <v>350</v>
      </c>
      <c r="N8" s="1118"/>
      <c r="O8" s="1119"/>
    </row>
    <row r="9" spans="2:15" ht="21" hidden="1" thickBot="1" x14ac:dyDescent="0.25">
      <c r="B9" s="1132" t="s">
        <v>14</v>
      </c>
      <c r="C9" s="1132">
        <f>+AP134</f>
        <v>213.7048075654898</v>
      </c>
      <c r="G9" s="1116" t="s">
        <v>227</v>
      </c>
      <c r="H9" s="1135">
        <f>+D2+H7</f>
        <v>688</v>
      </c>
      <c r="I9" s="1118"/>
      <c r="J9" s="1118"/>
      <c r="K9" s="1118"/>
      <c r="L9" s="1118"/>
      <c r="M9" s="1118"/>
      <c r="N9" s="1118"/>
      <c r="O9" s="1119"/>
    </row>
    <row r="10" spans="2:15" ht="21" hidden="1" thickBot="1" x14ac:dyDescent="0.25">
      <c r="G10" s="1137"/>
      <c r="H10" s="1118"/>
      <c r="I10" s="1128">
        <v>2</v>
      </c>
      <c r="J10" s="1756" t="s">
        <v>235</v>
      </c>
      <c r="K10" s="1756"/>
      <c r="L10" s="1758"/>
      <c r="M10" s="1758"/>
      <c r="N10" s="1118"/>
      <c r="O10" s="1119"/>
    </row>
    <row r="11" spans="2:15" ht="20" hidden="1" x14ac:dyDescent="0.2">
      <c r="B11" s="1132" t="s">
        <v>112</v>
      </c>
      <c r="C11" s="1133">
        <f>+B167*72+31</f>
        <v>103</v>
      </c>
      <c r="G11" s="1116" t="s">
        <v>226</v>
      </c>
      <c r="H11" s="1135">
        <f>+D2-H7</f>
        <v>688</v>
      </c>
      <c r="I11" s="1118"/>
      <c r="J11" s="1130" t="s">
        <v>218</v>
      </c>
      <c r="K11" s="1129" t="s">
        <v>215</v>
      </c>
      <c r="L11" s="1129" t="s">
        <v>216</v>
      </c>
      <c r="M11" s="1755"/>
      <c r="N11" s="1118"/>
      <c r="O11" s="1119"/>
    </row>
    <row r="12" spans="2:15" ht="20" hidden="1" x14ac:dyDescent="0.2">
      <c r="B12" s="1132" t="s">
        <v>150</v>
      </c>
      <c r="C12" s="1133">
        <v>747</v>
      </c>
      <c r="D12" s="1138"/>
      <c r="G12" s="1137"/>
      <c r="H12" s="1139"/>
      <c r="I12" s="1118"/>
      <c r="J12" s="1143">
        <f>(CB59)</f>
        <v>285.31942518258205</v>
      </c>
      <c r="K12" s="1143">
        <f>((+H8-H11)/H8*CZ59)</f>
        <v>-114.79726459831953</v>
      </c>
      <c r="L12" s="1143">
        <f>(H11/H8*CZ59)</f>
        <v>166.97783941573749</v>
      </c>
      <c r="M12" s="1129" t="s">
        <v>223</v>
      </c>
      <c r="N12" s="1118"/>
      <c r="O12" s="1119"/>
    </row>
    <row r="13" spans="2:15" ht="20" hidden="1" x14ac:dyDescent="0.2">
      <c r="D13" s="1138"/>
      <c r="G13" s="1137"/>
      <c r="H13" s="1118"/>
      <c r="I13" s="1118"/>
      <c r="J13" s="1144">
        <f>ABS($H$1/J12)</f>
        <v>63.087187241041903</v>
      </c>
      <c r="K13" s="1144">
        <f>ABS($H$1/K12)</f>
        <v>156.79816120168681</v>
      </c>
      <c r="L13" s="1144">
        <f>ABS($H$1/L12)</f>
        <v>107.79873582615969</v>
      </c>
      <c r="M13" s="1136" t="s">
        <v>222</v>
      </c>
      <c r="N13" s="1118"/>
      <c r="O13" s="1119"/>
    </row>
    <row r="14" spans="2:15" ht="20" hidden="1" x14ac:dyDescent="0.2">
      <c r="B14" s="1132" t="s">
        <v>132</v>
      </c>
      <c r="C14" s="1133">
        <f>(+B191*40.5)+31+(B135*40.5)+31</f>
        <v>143</v>
      </c>
      <c r="D14" s="1138"/>
      <c r="G14" s="1137"/>
      <c r="H14" s="1118"/>
      <c r="I14" s="1118"/>
      <c r="J14" s="1760">
        <f>ABS($E$22/CB59)</f>
        <v>28.038749884907514</v>
      </c>
      <c r="K14" s="1760"/>
      <c r="L14" s="1760">
        <f>ABS($E$22/CZ59)</f>
        <v>153.31375761942712</v>
      </c>
      <c r="M14" s="1734" t="s">
        <v>350</v>
      </c>
      <c r="N14" s="1118"/>
      <c r="O14" s="1119"/>
    </row>
    <row r="15" spans="2:15" ht="19" hidden="1" thickBot="1" x14ac:dyDescent="0.25">
      <c r="B15" s="1132" t="s">
        <v>133</v>
      </c>
      <c r="C15" s="1133">
        <v>492.4</v>
      </c>
      <c r="D15" s="1138"/>
      <c r="G15" s="1137"/>
      <c r="H15" s="1118"/>
      <c r="I15" s="1118"/>
      <c r="J15" s="1118"/>
      <c r="K15" s="1118"/>
      <c r="L15" s="1118"/>
      <c r="M15" s="1118"/>
      <c r="N15" s="1118"/>
      <c r="O15" s="1119"/>
    </row>
    <row r="16" spans="2:15" ht="21" hidden="1" thickBot="1" x14ac:dyDescent="0.25">
      <c r="B16" s="1140"/>
      <c r="C16" s="1140"/>
      <c r="D16" s="1138"/>
      <c r="G16" s="1116" t="s">
        <v>231</v>
      </c>
      <c r="H16" s="1135">
        <f>+D2+H7-BL138</f>
        <v>48.795206137113155</v>
      </c>
      <c r="I16" s="1128" t="s">
        <v>251</v>
      </c>
      <c r="J16" s="1756" t="s">
        <v>232</v>
      </c>
      <c r="K16" s="1757"/>
      <c r="L16" s="1757"/>
      <c r="M16" s="1757"/>
      <c r="N16" s="1118"/>
      <c r="O16" s="1119"/>
    </row>
    <row r="17" spans="2:15" ht="20" hidden="1" x14ac:dyDescent="0.2">
      <c r="B17" s="1132" t="s">
        <v>166</v>
      </c>
      <c r="C17" s="1133">
        <f>+(B220*25.5)+31</f>
        <v>56.5</v>
      </c>
      <c r="D17" s="1138"/>
      <c r="G17" s="1137"/>
      <c r="H17" s="1139"/>
      <c r="I17" s="1141"/>
      <c r="J17" s="1129" t="s">
        <v>217</v>
      </c>
      <c r="K17" s="1129" t="s">
        <v>225</v>
      </c>
      <c r="L17" s="1129"/>
      <c r="M17" s="1755"/>
      <c r="N17" s="1118"/>
      <c r="O17" s="1119"/>
    </row>
    <row r="18" spans="2:15" ht="20" hidden="1" x14ac:dyDescent="0.2">
      <c r="B18" s="1132" t="s">
        <v>207</v>
      </c>
      <c r="C18" s="1142"/>
      <c r="D18" s="1138"/>
      <c r="G18" s="1137"/>
      <c r="H18" s="1118"/>
      <c r="I18" s="1118"/>
      <c r="J18" s="1143">
        <f>+H16/H8*BQ54</f>
        <v>76.597125912910187</v>
      </c>
      <c r="K18" s="1143">
        <f>((H8-H16)/H8)*BQ54</f>
        <v>260.9028740870898</v>
      </c>
      <c r="L18" s="1143"/>
      <c r="M18" s="1129" t="s">
        <v>223</v>
      </c>
      <c r="N18" s="1118"/>
      <c r="O18" s="1119"/>
    </row>
    <row r="19" spans="2:15" ht="20" hidden="1" x14ac:dyDescent="0.2">
      <c r="B19" s="1140"/>
      <c r="C19" s="1140"/>
      <c r="D19" s="1138"/>
      <c r="G19" s="1137"/>
      <c r="H19" s="1118"/>
      <c r="I19" s="1118"/>
      <c r="J19" s="1144">
        <f>ABS($H$1/J18)</f>
        <v>234.99576237972346</v>
      </c>
      <c r="K19" s="1144">
        <f>ABS($H$1/K18)</f>
        <v>68.991190928742213</v>
      </c>
      <c r="L19" s="1144"/>
      <c r="M19" s="1136" t="s">
        <v>222</v>
      </c>
      <c r="N19" s="1118"/>
      <c r="O19" s="1119"/>
    </row>
    <row r="20" spans="2:15" ht="38" hidden="1" x14ac:dyDescent="0.2">
      <c r="B20" s="1145" t="s">
        <v>76</v>
      </c>
      <c r="C20" s="1146">
        <v>5800</v>
      </c>
      <c r="D20" s="1146">
        <v>10000</v>
      </c>
      <c r="G20" s="1137"/>
      <c r="H20" s="1118"/>
      <c r="I20" s="1118"/>
      <c r="J20" s="1760">
        <f>ABS($E$22/BQ54)</f>
        <v>23.703703703703702</v>
      </c>
      <c r="K20" s="1760"/>
      <c r="L20" s="1760"/>
      <c r="M20" s="1734" t="s">
        <v>350</v>
      </c>
      <c r="N20" s="1118"/>
      <c r="O20" s="1119"/>
    </row>
    <row r="21" spans="2:15" ht="39" hidden="1" thickBot="1" x14ac:dyDescent="0.25">
      <c r="B21" s="1145" t="s">
        <v>77</v>
      </c>
      <c r="C21" s="1146">
        <v>5800</v>
      </c>
      <c r="D21" s="1146">
        <v>5800</v>
      </c>
      <c r="G21" s="1137"/>
      <c r="H21" s="1118"/>
      <c r="I21" s="1118"/>
      <c r="J21" s="1118"/>
      <c r="K21" s="1118"/>
      <c r="L21" s="1118"/>
      <c r="M21" s="1118"/>
      <c r="N21" s="1118"/>
      <c r="O21" s="1119"/>
    </row>
    <row r="22" spans="2:15" ht="39" hidden="1" thickBot="1" x14ac:dyDescent="0.25">
      <c r="B22" s="1145" t="s">
        <v>78</v>
      </c>
      <c r="C22" s="1146">
        <v>8000</v>
      </c>
      <c r="D22" s="1146">
        <v>8000</v>
      </c>
      <c r="E22" s="1147">
        <v>8000</v>
      </c>
      <c r="G22" s="1116" t="s">
        <v>219</v>
      </c>
      <c r="H22" s="1135">
        <f>(+COS(($B$132*-1)*3.14159265358979/180)*(H4))</f>
        <v>860</v>
      </c>
      <c r="I22" s="1128" t="s">
        <v>251</v>
      </c>
      <c r="J22" s="1756" t="s">
        <v>254</v>
      </c>
      <c r="K22" s="1757"/>
      <c r="L22" s="1757"/>
      <c r="M22" s="1757"/>
      <c r="N22" s="1118"/>
      <c r="O22" s="1119"/>
    </row>
    <row r="23" spans="2:15" ht="20" hidden="1" x14ac:dyDescent="0.2">
      <c r="B23" s="1146"/>
      <c r="C23" s="1146" t="s">
        <v>20</v>
      </c>
      <c r="D23" s="1146" t="s">
        <v>21</v>
      </c>
      <c r="G23" s="1116" t="s">
        <v>234</v>
      </c>
      <c r="H23" s="1148">
        <f>+BL138-H22+H7</f>
        <v>-220.79520613711315</v>
      </c>
      <c r="I23" s="1141"/>
      <c r="J23" s="1129"/>
      <c r="K23" s="1129" t="s">
        <v>215</v>
      </c>
      <c r="L23" s="1129" t="s">
        <v>216</v>
      </c>
      <c r="M23" s="1755"/>
      <c r="N23" s="1118"/>
      <c r="O23" s="1119"/>
    </row>
    <row r="24" spans="2:15" ht="20" hidden="1" x14ac:dyDescent="0.2">
      <c r="B24" s="1149" t="s">
        <v>64</v>
      </c>
      <c r="C24" s="1146">
        <f>+((C8-C9)/C8)*C7</f>
        <v>191.02015048642676</v>
      </c>
      <c r="D24" s="1146">
        <f>+(C9/C8)*C7</f>
        <v>146.47984951357327</v>
      </c>
      <c r="G24" s="1137"/>
      <c r="H24" s="1118"/>
      <c r="I24" s="1118"/>
      <c r="J24" s="1143"/>
      <c r="K24" s="1143">
        <f>((+H8-H23)/H8*BQ54)</f>
        <v>684.0971259129102</v>
      </c>
      <c r="L24" s="1143">
        <f>(H23/H8*BQ54)</f>
        <v>-346.59712591291014</v>
      </c>
      <c r="M24" s="1129" t="s">
        <v>223</v>
      </c>
      <c r="N24" s="1118"/>
      <c r="O24" s="1119"/>
    </row>
    <row r="25" spans="2:15" ht="20" hidden="1" x14ac:dyDescent="0.2">
      <c r="G25" s="1137"/>
      <c r="H25" s="1118"/>
      <c r="I25" s="1118"/>
      <c r="J25" s="1144"/>
      <c r="K25" s="1144">
        <f>ABS($H$1/K24)</f>
        <v>26.312053242409778</v>
      </c>
      <c r="L25" s="1144">
        <f>ABS($H$1/L24)</f>
        <v>51.933494695287465</v>
      </c>
      <c r="M25" s="1136" t="s">
        <v>222</v>
      </c>
      <c r="N25" s="1118"/>
      <c r="O25" s="1119"/>
    </row>
    <row r="26" spans="2:15" ht="20" hidden="1" x14ac:dyDescent="0.2">
      <c r="G26" s="1137"/>
      <c r="H26" s="1118"/>
      <c r="I26" s="1118"/>
      <c r="J26" s="1760"/>
      <c r="K26" s="1760"/>
      <c r="L26" s="1760">
        <f>ABS($E$22/BQ54)</f>
        <v>23.703703703703702</v>
      </c>
      <c r="M26" s="1734" t="s">
        <v>350</v>
      </c>
      <c r="N26" s="1118"/>
      <c r="O26" s="1119"/>
    </row>
    <row r="27" spans="2:15" ht="19" hidden="1" thickBot="1" x14ac:dyDescent="0.25">
      <c r="G27" s="1137"/>
      <c r="H27" s="1118"/>
      <c r="I27" s="1118"/>
      <c r="J27" s="1118"/>
      <c r="K27" s="1118"/>
      <c r="L27" s="1118"/>
      <c r="M27" s="1118"/>
      <c r="N27" s="1118"/>
      <c r="O27" s="1119"/>
    </row>
    <row r="28" spans="2:15" ht="21" hidden="1" thickBot="1" x14ac:dyDescent="0.25">
      <c r="G28" s="1137"/>
      <c r="H28" s="1118"/>
      <c r="I28" s="1128">
        <v>60</v>
      </c>
      <c r="J28" s="1756" t="s">
        <v>241</v>
      </c>
      <c r="K28" s="1757"/>
      <c r="L28" s="1757"/>
      <c r="M28" s="1757"/>
      <c r="N28" s="1118"/>
      <c r="O28" s="1119"/>
    </row>
    <row r="29" spans="2:15" ht="20" hidden="1" x14ac:dyDescent="0.2">
      <c r="G29" s="1137"/>
      <c r="H29" s="1118"/>
      <c r="I29" s="1118"/>
      <c r="J29" s="1129"/>
      <c r="K29" s="1129" t="s">
        <v>215</v>
      </c>
      <c r="L29" s="1129" t="s">
        <v>216</v>
      </c>
      <c r="M29" s="1755"/>
      <c r="N29" s="1118"/>
      <c r="O29" s="1119"/>
    </row>
    <row r="30" spans="2:15" ht="20" hidden="1" x14ac:dyDescent="0.2">
      <c r="G30" s="1150"/>
      <c r="H30" s="1151"/>
      <c r="I30" s="1118"/>
      <c r="J30" s="1143"/>
      <c r="K30" s="1143">
        <f>((+H8-H23)/H8*BQ54)</f>
        <v>684.0971259129102</v>
      </c>
      <c r="L30" s="1143">
        <f>(H23/H8*BQ54)</f>
        <v>-346.59712591291014</v>
      </c>
      <c r="M30" s="1129" t="s">
        <v>223</v>
      </c>
      <c r="N30" s="1118"/>
      <c r="O30" s="1119"/>
    </row>
    <row r="31" spans="2:15" ht="20" hidden="1" x14ac:dyDescent="0.2">
      <c r="G31" s="1150"/>
      <c r="H31" s="1151"/>
      <c r="I31" s="1118"/>
      <c r="J31" s="1144"/>
      <c r="K31" s="1144">
        <f>ABS($H$1/K30)</f>
        <v>26.312053242409778</v>
      </c>
      <c r="L31" s="1144">
        <f>ABS($H$1/L30)</f>
        <v>51.933494695287465</v>
      </c>
      <c r="M31" s="1136" t="s">
        <v>222</v>
      </c>
      <c r="N31" s="1118"/>
      <c r="O31" s="1119"/>
    </row>
    <row r="32" spans="2:15" ht="20" hidden="1" x14ac:dyDescent="0.2">
      <c r="G32" s="1150"/>
      <c r="H32" s="1151"/>
      <c r="I32" s="1118"/>
      <c r="J32" s="1760"/>
      <c r="K32" s="1760"/>
      <c r="L32" s="1760">
        <f>ABS($E$22/BQ54)*2</f>
        <v>47.407407407407405</v>
      </c>
      <c r="M32" s="1734" t="s">
        <v>350</v>
      </c>
      <c r="N32" s="1730" t="s">
        <v>352</v>
      </c>
      <c r="O32" s="1119"/>
    </row>
    <row r="33" spans="7:15" ht="19" hidden="1" thickBot="1" x14ac:dyDescent="0.25">
      <c r="G33" s="1150"/>
      <c r="H33" s="1151"/>
      <c r="I33" s="1118"/>
      <c r="J33" s="1118"/>
      <c r="K33" s="1118"/>
      <c r="L33" s="1118"/>
      <c r="M33" s="1118"/>
      <c r="N33" s="1118"/>
      <c r="O33" s="1119"/>
    </row>
    <row r="34" spans="7:15" ht="21" hidden="1" thickBot="1" x14ac:dyDescent="0.25">
      <c r="G34" s="1150"/>
      <c r="H34" s="1151"/>
      <c r="I34" s="1128">
        <v>61</v>
      </c>
      <c r="J34" s="1756" t="s">
        <v>255</v>
      </c>
      <c r="K34" s="1757"/>
      <c r="L34" s="1757"/>
      <c r="M34" s="1757"/>
      <c r="N34" s="1118"/>
      <c r="O34" s="1119"/>
    </row>
    <row r="35" spans="7:15" ht="20" hidden="1" x14ac:dyDescent="0.2">
      <c r="G35" s="1150"/>
      <c r="H35" s="1151"/>
      <c r="I35" s="1118"/>
      <c r="J35" s="1129" t="s">
        <v>217</v>
      </c>
      <c r="K35" s="1129" t="s">
        <v>225</v>
      </c>
      <c r="L35" s="1129"/>
      <c r="M35" s="1755"/>
      <c r="N35" s="1118"/>
      <c r="O35" s="1119"/>
    </row>
    <row r="36" spans="7:15" ht="20" hidden="1" x14ac:dyDescent="0.2">
      <c r="G36" s="1150"/>
      <c r="H36" s="1151"/>
      <c r="I36" s="1118"/>
      <c r="J36" s="1143">
        <f>+H16/H8*BQ54</f>
        <v>76.597125912910187</v>
      </c>
      <c r="K36" s="1143">
        <f>((H8-H16)/H8)*BQ54</f>
        <v>260.9028740870898</v>
      </c>
      <c r="L36" s="1143"/>
      <c r="M36" s="1129" t="s">
        <v>223</v>
      </c>
      <c r="N36" s="1118"/>
      <c r="O36" s="1119"/>
    </row>
    <row r="37" spans="7:15" ht="20" hidden="1" x14ac:dyDescent="0.2">
      <c r="G37" s="1150"/>
      <c r="H37" s="1151"/>
      <c r="I37" s="1118"/>
      <c r="J37" s="1144">
        <f>ABS($H$1/J36)</f>
        <v>234.99576237972346</v>
      </c>
      <c r="K37" s="1144">
        <f>ABS($H$1/K36)</f>
        <v>68.991190928742213</v>
      </c>
      <c r="L37" s="1144"/>
      <c r="M37" s="1136" t="s">
        <v>222</v>
      </c>
      <c r="N37" s="1118"/>
      <c r="O37" s="1119"/>
    </row>
    <row r="38" spans="7:15" ht="20" hidden="1" x14ac:dyDescent="0.2">
      <c r="G38" s="1150"/>
      <c r="H38" s="1151"/>
      <c r="I38" s="1118"/>
      <c r="J38" s="1760">
        <f>ABS($E$22/BQ54)*2</f>
        <v>47.407407407407405</v>
      </c>
      <c r="K38" s="1760"/>
      <c r="L38" s="1760"/>
      <c r="M38" s="1734" t="s">
        <v>350</v>
      </c>
      <c r="N38" s="1730" t="s">
        <v>352</v>
      </c>
      <c r="O38" s="1119"/>
    </row>
    <row r="39" spans="7:15" ht="19" hidden="1" thickBot="1" x14ac:dyDescent="0.25">
      <c r="G39" s="1137"/>
      <c r="H39" s="1118"/>
      <c r="I39" s="1118"/>
      <c r="J39" s="1118"/>
      <c r="K39" s="1118"/>
      <c r="L39" s="1118"/>
      <c r="M39" s="1118"/>
      <c r="N39" s="1118"/>
      <c r="O39" s="1119"/>
    </row>
    <row r="40" spans="7:15" ht="24" hidden="1" thickBot="1" x14ac:dyDescent="0.3">
      <c r="G40" s="1137"/>
      <c r="H40" s="1152" t="s">
        <v>262</v>
      </c>
      <c r="I40" s="1128">
        <v>62</v>
      </c>
      <c r="J40" s="1756" t="s">
        <v>256</v>
      </c>
      <c r="K40" s="1757"/>
      <c r="L40" s="1757"/>
      <c r="M40" s="1757"/>
      <c r="N40" s="1118"/>
      <c r="O40" s="1119"/>
    </row>
    <row r="41" spans="7:15" ht="20" hidden="1" x14ac:dyDescent="0.2">
      <c r="G41" s="1137"/>
      <c r="H41" s="1153" t="s">
        <v>250</v>
      </c>
      <c r="I41" s="1118"/>
      <c r="J41" s="1129" t="s">
        <v>217</v>
      </c>
      <c r="K41" s="1129" t="s">
        <v>225</v>
      </c>
      <c r="L41" s="1130" t="s">
        <v>242</v>
      </c>
      <c r="M41" s="1755"/>
      <c r="N41" s="1118"/>
      <c r="O41" s="1119"/>
    </row>
    <row r="42" spans="7:15" ht="23" hidden="1" x14ac:dyDescent="0.25">
      <c r="G42" s="1154" t="s">
        <v>245</v>
      </c>
      <c r="H42" s="1155">
        <f>SUM(BQ128:CA128)</f>
        <v>6</v>
      </c>
      <c r="I42" s="1118"/>
      <c r="J42" s="1143">
        <f>+H43/H8*BQ54/2</f>
        <v>371.25000000000006</v>
      </c>
      <c r="K42" s="1143">
        <f>((H8-H43)/H8)*BQ54/2</f>
        <v>-202.5</v>
      </c>
      <c r="L42" s="1143">
        <f>+BQ54/2</f>
        <v>168.75</v>
      </c>
      <c r="M42" s="1129" t="s">
        <v>223</v>
      </c>
      <c r="N42" s="1118"/>
      <c r="O42" s="1119"/>
    </row>
    <row r="43" spans="7:15" ht="20" hidden="1" x14ac:dyDescent="0.2">
      <c r="G43" s="1116" t="s">
        <v>243</v>
      </c>
      <c r="H43" s="1135">
        <f>$H$5-((H42-1)*$E$2)</f>
        <v>473</v>
      </c>
      <c r="I43" s="1118"/>
      <c r="J43" s="1144">
        <f>ABS($H$1/J42)</f>
        <v>48.484848484848477</v>
      </c>
      <c r="K43" s="1144">
        <f>ABS($H$1/K42)</f>
        <v>88.888888888888886</v>
      </c>
      <c r="L43" s="1144">
        <f>ABS($H$1/L42)</f>
        <v>106.66666666666667</v>
      </c>
      <c r="M43" s="1136" t="s">
        <v>222</v>
      </c>
      <c r="N43" s="1118"/>
      <c r="O43" s="1119"/>
    </row>
    <row r="44" spans="7:15" ht="20" hidden="1" x14ac:dyDescent="0.2">
      <c r="G44" s="1150"/>
      <c r="H44" s="1151"/>
      <c r="I44" s="1118"/>
      <c r="J44" s="1760"/>
      <c r="K44" s="1760"/>
      <c r="L44" s="1760">
        <f>ABS($E$22/BQ54)*2</f>
        <v>47.407407407407405</v>
      </c>
      <c r="M44" s="1734" t="s">
        <v>350</v>
      </c>
      <c r="N44" s="1730" t="s">
        <v>352</v>
      </c>
      <c r="O44" s="1119"/>
    </row>
    <row r="45" spans="7:15" ht="21" hidden="1" thickBot="1" x14ac:dyDescent="0.25">
      <c r="G45" s="1137"/>
      <c r="H45" s="1156" t="s">
        <v>263</v>
      </c>
      <c r="I45" s="1118"/>
      <c r="J45" s="1118"/>
      <c r="K45" s="1118"/>
      <c r="L45" s="1118"/>
      <c r="M45" s="1118"/>
      <c r="N45" s="1118"/>
      <c r="O45" s="1119"/>
    </row>
    <row r="46" spans="7:15" ht="21" hidden="1" thickBot="1" x14ac:dyDescent="0.25">
      <c r="G46" s="1157"/>
      <c r="H46" s="1158" t="s">
        <v>250</v>
      </c>
      <c r="I46" s="1128">
        <v>63</v>
      </c>
      <c r="J46" s="1756" t="s">
        <v>257</v>
      </c>
      <c r="K46" s="1757"/>
      <c r="L46" s="1757"/>
      <c r="M46" s="1757"/>
      <c r="N46" s="1759"/>
      <c r="O46" s="1119"/>
    </row>
    <row r="47" spans="7:15" ht="23" hidden="1" x14ac:dyDescent="0.25">
      <c r="G47" s="1154" t="s">
        <v>245</v>
      </c>
      <c r="H47" s="1159">
        <f>SUM(CQ128:DA128)</f>
        <v>0</v>
      </c>
      <c r="I47" s="1118"/>
      <c r="J47" s="1130" t="s">
        <v>244</v>
      </c>
      <c r="K47" s="1129" t="s">
        <v>215</v>
      </c>
      <c r="L47" s="1129" t="s">
        <v>216</v>
      </c>
      <c r="M47" s="1755"/>
      <c r="N47" s="1118"/>
      <c r="O47" s="1119"/>
    </row>
    <row r="48" spans="7:15" ht="20" hidden="1" x14ac:dyDescent="0.2">
      <c r="G48" s="1116" t="s">
        <v>243</v>
      </c>
      <c r="H48" s="1135">
        <f>($E$2*(H47-1))-$H$4</f>
        <v>-903</v>
      </c>
      <c r="I48" s="1118"/>
      <c r="J48" s="1143">
        <f>+BQ54/2</f>
        <v>168.75</v>
      </c>
      <c r="K48" s="1143">
        <f>((H8-H48)/H8)*BQ54/2</f>
        <v>877.5</v>
      </c>
      <c r="L48" s="1143">
        <f>+H48/H8*BQ54/2</f>
        <v>-708.75</v>
      </c>
      <c r="M48" s="1129" t="s">
        <v>223</v>
      </c>
      <c r="N48" s="1118"/>
      <c r="O48" s="1119"/>
    </row>
    <row r="49" spans="2:144" ht="20" hidden="1" x14ac:dyDescent="0.2">
      <c r="G49" s="1137"/>
      <c r="H49" s="1118"/>
      <c r="I49" s="1118"/>
      <c r="J49" s="1144">
        <f>ABS($H$1/J48)</f>
        <v>106.66666666666667</v>
      </c>
      <c r="K49" s="1144">
        <f>ABS($H$1/K48)</f>
        <v>20.512820512820515</v>
      </c>
      <c r="L49" s="1144">
        <f>ABS($H$1/L48)</f>
        <v>25.396825396825395</v>
      </c>
      <c r="M49" s="1136" t="s">
        <v>222</v>
      </c>
      <c r="O49" s="1160"/>
    </row>
    <row r="50" spans="2:144" ht="20" hidden="1" x14ac:dyDescent="0.2">
      <c r="G50" s="1137"/>
      <c r="H50" s="1118"/>
      <c r="I50" s="1118"/>
      <c r="J50" s="1760">
        <f>ABS($E$22/BQ54)*2</f>
        <v>47.407407407407405</v>
      </c>
      <c r="K50" s="1760"/>
      <c r="L50" s="1760"/>
      <c r="M50" s="1734" t="s">
        <v>350</v>
      </c>
      <c r="N50" s="1730" t="s">
        <v>352</v>
      </c>
      <c r="O50" s="1119"/>
    </row>
    <row r="51" spans="2:144" ht="19" hidden="1" thickBot="1" x14ac:dyDescent="0.25">
      <c r="G51" s="1137"/>
      <c r="H51" s="1118"/>
      <c r="I51" s="1118"/>
      <c r="J51" s="1118"/>
      <c r="K51" s="1118"/>
      <c r="L51" s="1118"/>
      <c r="M51" s="1118"/>
      <c r="N51" s="1118"/>
      <c r="O51" s="1119"/>
    </row>
    <row r="52" spans="2:144" ht="21" hidden="1" thickBot="1" x14ac:dyDescent="0.25">
      <c r="G52" s="1137"/>
      <c r="H52" s="1118"/>
      <c r="I52" s="1128">
        <v>64</v>
      </c>
      <c r="J52" s="1756" t="s">
        <v>258</v>
      </c>
      <c r="K52" s="1757"/>
      <c r="L52" s="1757"/>
      <c r="M52" s="1757"/>
      <c r="N52" s="1118"/>
      <c r="O52" s="1119"/>
    </row>
    <row r="53" spans="2:144" ht="23" hidden="1" x14ac:dyDescent="0.25">
      <c r="G53" s="1154" t="s">
        <v>245</v>
      </c>
      <c r="H53" s="1162" t="s">
        <v>252</v>
      </c>
      <c r="I53" s="1118"/>
      <c r="J53" s="1130" t="s">
        <v>244</v>
      </c>
      <c r="K53" s="1129"/>
      <c r="L53" s="1130" t="s">
        <v>242</v>
      </c>
      <c r="M53" s="1755"/>
      <c r="N53" s="1118"/>
      <c r="O53" s="1119"/>
    </row>
    <row r="54" spans="2:144" ht="39" customHeight="1" thickBot="1" x14ac:dyDescent="0.25">
      <c r="G54" s="1116" t="s">
        <v>243</v>
      </c>
      <c r="H54" s="1163"/>
      <c r="I54" s="1118"/>
      <c r="J54" s="1143">
        <f>+((H6-D3)/H6)*BQ54</f>
        <v>244.32040211175365</v>
      </c>
      <c r="K54" s="1143"/>
      <c r="L54" s="1143">
        <f>+(D3/H6)*BQ54</f>
        <v>93.179597888246363</v>
      </c>
      <c r="M54" s="1129" t="s">
        <v>223</v>
      </c>
      <c r="N54" s="1118"/>
      <c r="O54" s="1119"/>
      <c r="BE54" s="1110"/>
      <c r="BF54" s="1110"/>
      <c r="BG54" s="1110"/>
      <c r="BH54" s="1110"/>
      <c r="BO54" s="1110"/>
      <c r="BP54" s="1164" t="s">
        <v>25</v>
      </c>
      <c r="BQ54" s="1891">
        <f>+C7</f>
        <v>337.5</v>
      </c>
      <c r="BR54" s="1891"/>
      <c r="BS54" s="1165" t="s">
        <v>17</v>
      </c>
      <c r="BT54" s="1165"/>
      <c r="BU54" s="1166" t="s">
        <v>210</v>
      </c>
      <c r="BV54" s="1167"/>
      <c r="BW54" s="1167"/>
      <c r="BX54" s="1167"/>
      <c r="BY54" s="1167"/>
      <c r="BZ54" s="1167"/>
      <c r="CA54" s="1167"/>
      <c r="CB54" s="1167"/>
      <c r="CC54" s="1167"/>
      <c r="CD54" s="1167"/>
      <c r="CE54" s="1167"/>
      <c r="CF54" s="1167"/>
      <c r="CG54" s="1167"/>
      <c r="CH54" s="1167"/>
      <c r="CI54" s="1167"/>
      <c r="CJ54" s="1167"/>
      <c r="CK54" s="1167"/>
      <c r="CL54" s="1167"/>
      <c r="CM54" s="1167"/>
      <c r="CN54" s="1167"/>
      <c r="CO54" s="1167"/>
      <c r="CP54" s="1167"/>
      <c r="CQ54" s="1167"/>
      <c r="CR54" s="1167"/>
      <c r="CS54" s="1167"/>
      <c r="CT54" s="1167"/>
      <c r="CU54" s="1167"/>
      <c r="CV54" s="1167"/>
      <c r="CW54" s="1167"/>
      <c r="CX54" s="1167"/>
      <c r="CY54" s="1167"/>
      <c r="CZ54" s="1167"/>
      <c r="DA54" s="1167"/>
      <c r="DB54" s="1167"/>
      <c r="DC54" s="1167"/>
      <c r="DD54" s="1167"/>
    </row>
    <row r="55" spans="2:144" s="1110" customFormat="1" ht="45" customHeight="1" thickBot="1" x14ac:dyDescent="0.3">
      <c r="B55" s="1131"/>
      <c r="C55" s="1131"/>
      <c r="G55" s="1150"/>
      <c r="H55" s="1151"/>
      <c r="I55" s="1118"/>
      <c r="J55" s="1144">
        <f>ABS($H$1/J54)</f>
        <v>73.673749078747377</v>
      </c>
      <c r="K55" s="1144"/>
      <c r="L55" s="1144">
        <f>ABS($H$1/L54)</f>
        <v>193.17533460047818</v>
      </c>
      <c r="M55" s="1136" t="s">
        <v>222</v>
      </c>
      <c r="N55" s="1118"/>
      <c r="O55" s="1119"/>
      <c r="BD55" s="1118"/>
      <c r="BE55" s="1168"/>
      <c r="BF55" s="1168"/>
      <c r="BG55" s="1168"/>
      <c r="BH55" s="1168"/>
      <c r="BI55" s="1118"/>
      <c r="BJ55" s="1118"/>
      <c r="BK55" s="1118"/>
      <c r="BL55" s="1169">
        <v>1</v>
      </c>
      <c r="BM55" s="1161" t="b">
        <f>AND(BQ56&gt;0,CO56&gt;0)</f>
        <v>1</v>
      </c>
      <c r="BN55" s="1170" t="str">
        <f>IF(BM55=TRUE,"","negative force at the motor")</f>
        <v/>
      </c>
      <c r="BO55" s="1171" t="s">
        <v>128</v>
      </c>
      <c r="BP55" s="1172" t="s">
        <v>27</v>
      </c>
      <c r="BQ55" s="1173" t="s">
        <v>28</v>
      </c>
      <c r="BR55" s="1174"/>
      <c r="BS55" s="1174"/>
      <c r="BT55" s="1174"/>
      <c r="BU55" s="1174"/>
      <c r="BV55" s="1174"/>
      <c r="BW55" s="1174"/>
      <c r="BX55" s="1174"/>
      <c r="BY55" s="1174"/>
      <c r="BZ55" s="1174"/>
      <c r="CA55" s="1174"/>
      <c r="CB55" s="1174"/>
      <c r="CC55" s="1174"/>
      <c r="CD55" s="1174"/>
      <c r="CE55" s="1174"/>
      <c r="CF55" s="1174"/>
      <c r="CG55" s="1174"/>
      <c r="CH55" s="1174"/>
      <c r="CI55" s="1175"/>
      <c r="CJ55" s="1174"/>
      <c r="CK55" s="1176"/>
      <c r="CL55" s="1176"/>
      <c r="CM55" s="1176"/>
      <c r="CN55" s="1176"/>
      <c r="CO55" s="1174"/>
      <c r="CP55" s="1177" t="s">
        <v>29</v>
      </c>
      <c r="CQ55" s="1899"/>
      <c r="CR55" s="1899"/>
      <c r="CS55" s="1899"/>
      <c r="CT55" s="1899"/>
      <c r="CU55" s="1899"/>
      <c r="CV55" s="1899"/>
      <c r="CW55" s="1899"/>
      <c r="CX55" s="1899"/>
      <c r="CY55" s="1899"/>
      <c r="CZ55" s="1899"/>
      <c r="DA55" s="1900"/>
      <c r="DB55" s="1167"/>
      <c r="DC55" s="1167"/>
      <c r="DD55" s="1167"/>
      <c r="DE55" s="1118"/>
      <c r="DF55" s="1118"/>
      <c r="DG55" s="1118"/>
      <c r="DH55" s="1118"/>
      <c r="DI55" s="1118"/>
      <c r="DJ55" s="1118"/>
      <c r="DK55" s="1118"/>
      <c r="DL55" s="1118"/>
      <c r="DM55" s="1118"/>
      <c r="DN55" s="1118"/>
      <c r="DO55" s="1118"/>
      <c r="DP55" s="1118"/>
      <c r="DQ55" s="1118"/>
      <c r="DR55" s="1118"/>
      <c r="DS55" s="1118"/>
      <c r="DT55" s="1118"/>
      <c r="DU55" s="1118"/>
      <c r="DV55" s="1118"/>
      <c r="DW55" s="1118"/>
      <c r="DX55" s="1118"/>
      <c r="DY55" s="1118"/>
      <c r="DZ55" s="1118"/>
      <c r="EA55" s="1118"/>
      <c r="EB55" s="1118"/>
      <c r="EC55" s="1118"/>
      <c r="ED55" s="1118"/>
      <c r="EE55" s="1118"/>
      <c r="EF55" s="1118"/>
      <c r="EG55" s="1118"/>
      <c r="EH55" s="1118"/>
      <c r="EI55" s="1118"/>
      <c r="EJ55" s="1118"/>
      <c r="EK55" s="1118"/>
      <c r="EL55" s="1118"/>
      <c r="EM55" s="1118"/>
      <c r="EN55" s="1118"/>
    </row>
    <row r="56" spans="2:144" ht="45" customHeight="1" thickBot="1" x14ac:dyDescent="0.3">
      <c r="G56" s="1150"/>
      <c r="H56" s="1151"/>
      <c r="J56" s="1760">
        <f>ABS($E$22/BQ54)*2</f>
        <v>47.407407407407405</v>
      </c>
      <c r="K56" s="1760"/>
      <c r="L56" s="1760"/>
      <c r="M56" s="1734" t="s">
        <v>350</v>
      </c>
      <c r="N56" s="1730" t="s">
        <v>352</v>
      </c>
      <c r="O56" s="1119"/>
      <c r="U56" s="1178"/>
      <c r="BE56" s="1168"/>
      <c r="BF56" s="1168"/>
      <c r="BG56" s="1168"/>
      <c r="BH56" s="1168"/>
      <c r="BM56" s="1762" t="b">
        <f>AND(BO56&gt;=10,$BA$138&gt;=10,$BB$138&gt;=10,$BA$170&gt;=10,$BB$170&gt;=10,$BA$194&gt;=10,$BB$194&gt;=10,$BA$223&gt;=10,$BB$223&gt;=10)</f>
        <v>1</v>
      </c>
      <c r="BN56" s="1179" t="str">
        <f>IF(BM56=TRUE,"O K","OVERLOAD")</f>
        <v>O K</v>
      </c>
      <c r="BO56" s="982">
        <f>MIN(J7:L8)</f>
        <v>39.864346647793454</v>
      </c>
      <c r="BP56" s="1180" t="s">
        <v>180</v>
      </c>
      <c r="BQ56" s="1907">
        <f>+((D4-D5)/D4)*C7</f>
        <v>136.81942518258205</v>
      </c>
      <c r="BR56" s="1908"/>
      <c r="BS56" s="1181"/>
      <c r="BT56" s="1181"/>
      <c r="BU56" s="1181"/>
      <c r="BV56" s="1182"/>
      <c r="BW56" s="1182"/>
      <c r="BX56" s="1182"/>
      <c r="BY56" s="1183"/>
      <c r="BZ56" s="1183"/>
      <c r="CA56" s="1183"/>
      <c r="CB56" s="1183"/>
      <c r="CC56" s="1183"/>
      <c r="CD56" s="1183"/>
      <c r="CE56" s="1183"/>
      <c r="CF56" s="1183"/>
      <c r="CG56" s="1183"/>
      <c r="CH56" s="1183"/>
      <c r="CI56" s="1184"/>
      <c r="CJ56" s="1181"/>
      <c r="CK56" s="1181"/>
      <c r="CL56" s="1181"/>
      <c r="CM56" s="1182"/>
      <c r="CN56" s="1182"/>
      <c r="CO56" s="1909">
        <f>+(D5/D4)*C7</f>
        <v>200.68057481741798</v>
      </c>
      <c r="CP56" s="1910"/>
      <c r="CQ56" s="1901"/>
      <c r="CR56" s="1901"/>
      <c r="CS56" s="1901"/>
      <c r="CT56" s="1901"/>
      <c r="CU56" s="1901"/>
      <c r="CV56" s="1901"/>
      <c r="CW56" s="1901"/>
      <c r="CX56" s="1901"/>
      <c r="CY56" s="1901"/>
      <c r="CZ56" s="1901"/>
      <c r="DA56" s="1902"/>
      <c r="DB56" s="1167"/>
      <c r="DC56" s="1167"/>
      <c r="DD56" s="1167"/>
    </row>
    <row r="57" spans="2:144" ht="26" thickBot="1" x14ac:dyDescent="0.3">
      <c r="G57" s="1137"/>
      <c r="H57" s="1118"/>
      <c r="I57" s="1118"/>
      <c r="J57" s="1118"/>
      <c r="K57" s="1118"/>
      <c r="L57" s="1118"/>
      <c r="M57" s="1118"/>
      <c r="N57" s="1118"/>
      <c r="O57" s="1119"/>
      <c r="BE57" s="1168"/>
      <c r="BF57" s="1168"/>
      <c r="BG57" s="1168"/>
      <c r="BH57" s="1168"/>
      <c r="BN57" s="1185"/>
      <c r="BO57" s="1168"/>
      <c r="BP57" s="1186"/>
      <c r="BQ57" s="1187"/>
      <c r="BR57" s="1187"/>
      <c r="BS57" s="1186"/>
      <c r="BT57" s="1186"/>
      <c r="BU57" s="1186"/>
      <c r="BV57" s="1186"/>
      <c r="BW57" s="1186"/>
      <c r="BX57" s="1186"/>
      <c r="BY57" s="1186"/>
      <c r="BZ57" s="1186"/>
      <c r="CA57" s="1186"/>
      <c r="CB57" s="1186"/>
      <c r="CC57" s="1186"/>
      <c r="CD57" s="1186"/>
      <c r="CE57" s="1186"/>
      <c r="CF57" s="1186"/>
      <c r="CG57" s="1186"/>
      <c r="CH57" s="1186"/>
      <c r="CJ57" s="1165"/>
      <c r="CK57" s="1165"/>
      <c r="CL57" s="1187"/>
      <c r="CM57" s="1188"/>
      <c r="CN57" s="1188"/>
      <c r="CO57" s="1188"/>
      <c r="CP57" s="1188"/>
      <c r="CQ57" s="1188"/>
      <c r="CR57" s="1188"/>
      <c r="CS57" s="1188"/>
      <c r="CT57" s="1188"/>
      <c r="CU57" s="1188"/>
      <c r="CV57" s="1188"/>
      <c r="CW57" s="1188"/>
      <c r="CX57" s="1188"/>
      <c r="CY57" s="1188"/>
      <c r="CZ57" s="1188"/>
      <c r="DA57" s="1188"/>
      <c r="DB57" s="1188"/>
      <c r="DC57" s="1167"/>
      <c r="DD57" s="1167"/>
    </row>
    <row r="58" spans="2:144" ht="47" customHeight="1" thickBot="1" x14ac:dyDescent="0.3">
      <c r="F58" s="1189"/>
      <c r="G58" s="1137"/>
      <c r="H58" s="1118"/>
      <c r="I58" s="1118"/>
      <c r="J58" s="1118"/>
      <c r="K58" s="1118"/>
      <c r="L58" s="1118"/>
      <c r="M58" s="1118"/>
      <c r="N58" s="1118"/>
      <c r="O58" s="1119"/>
      <c r="BE58" s="1168"/>
      <c r="BF58" s="1168"/>
      <c r="BG58" s="1168"/>
      <c r="BH58" s="1168"/>
      <c r="BM58" s="1161" t="b">
        <f>AND(CB59&gt;0,CZ59&gt;0)</f>
        <v>1</v>
      </c>
      <c r="BN58" s="1170" t="str">
        <f>IF(BM58=TRUE,"","negative force at the motor")</f>
        <v/>
      </c>
      <c r="BO58" s="1171" t="s">
        <v>128</v>
      </c>
      <c r="BP58" s="1190" t="s">
        <v>27</v>
      </c>
      <c r="BQ58" s="1911"/>
      <c r="BR58" s="1912"/>
      <c r="BS58" s="1912"/>
      <c r="BT58" s="1912"/>
      <c r="BU58" s="1912"/>
      <c r="BV58" s="1912"/>
      <c r="BW58" s="1912"/>
      <c r="BX58" s="1912"/>
      <c r="BY58" s="1912"/>
      <c r="BZ58" s="1912"/>
      <c r="CA58" s="1912"/>
      <c r="CB58" s="1191" t="s">
        <v>28</v>
      </c>
      <c r="CC58" s="1192"/>
      <c r="CD58" s="1192"/>
      <c r="CE58" s="1192"/>
      <c r="CF58" s="1192"/>
      <c r="CG58" s="1192"/>
      <c r="CH58" s="1192"/>
      <c r="CI58" s="1192"/>
      <c r="CJ58" s="1192"/>
      <c r="CK58" s="1192"/>
      <c r="CL58" s="1192"/>
      <c r="CM58" s="1192"/>
      <c r="CN58" s="1193"/>
      <c r="CO58" s="1194"/>
      <c r="CP58" s="1194"/>
      <c r="CQ58" s="1194"/>
      <c r="CR58" s="1194"/>
      <c r="CS58" s="1195"/>
      <c r="CT58" s="1195"/>
      <c r="CU58" s="1193"/>
      <c r="CV58" s="1193"/>
      <c r="CW58" s="1193"/>
      <c r="CX58" s="1193"/>
      <c r="CY58" s="1193"/>
      <c r="CZ58" s="1194"/>
      <c r="DA58" s="1196" t="s">
        <v>29</v>
      </c>
      <c r="DB58" s="1197"/>
      <c r="DC58" s="1167"/>
      <c r="DD58" s="1167"/>
    </row>
    <row r="59" spans="2:144" ht="44" thickBot="1" x14ac:dyDescent="0.3">
      <c r="G59" s="1137"/>
      <c r="H59" s="1118"/>
      <c r="I59" s="1118"/>
      <c r="J59" s="1118"/>
      <c r="K59" s="1118"/>
      <c r="L59" s="1118"/>
      <c r="M59" s="1118"/>
      <c r="N59" s="1118"/>
      <c r="O59" s="1119"/>
      <c r="BL59" s="1169">
        <v>2</v>
      </c>
      <c r="BM59" s="1762" t="b">
        <f>AND(BO59&gt;=10,$BA$138&gt;=10,$BB$138&gt;=10,$BA$170&gt;=10,$BB$170&gt;=10,$BA$194&gt;=10,$BB$194&gt;=10,$BA$223&gt;=10,$BB$223&gt;=10)</f>
        <v>1</v>
      </c>
      <c r="BN59" s="1179" t="str">
        <f>IF(BM59=TRUE,"O K","OVERLOAD")</f>
        <v>O K</v>
      </c>
      <c r="BO59" s="982">
        <f>MIN(J13:L14)</f>
        <v>28.038749884907514</v>
      </c>
      <c r="BP59" s="1198" t="s">
        <v>126</v>
      </c>
      <c r="BQ59" s="1913"/>
      <c r="BR59" s="1914"/>
      <c r="BS59" s="1914"/>
      <c r="BT59" s="1914"/>
      <c r="BU59" s="1914"/>
      <c r="BV59" s="1914"/>
      <c r="BW59" s="1914"/>
      <c r="BX59" s="1914"/>
      <c r="BY59" s="1914"/>
      <c r="BZ59" s="1914"/>
      <c r="CA59" s="1914"/>
      <c r="CB59" s="1915">
        <f>+((D4-D3)/D4)*C7</f>
        <v>285.31942518258205</v>
      </c>
      <c r="CC59" s="1916"/>
      <c r="CD59" s="1199"/>
      <c r="CE59" s="1199"/>
      <c r="CF59" s="1199"/>
      <c r="CG59" s="1199"/>
      <c r="CH59" s="1199"/>
      <c r="CI59" s="1199"/>
      <c r="CJ59" s="1199"/>
      <c r="CK59" s="1199"/>
      <c r="CL59" s="1199"/>
      <c r="CM59" s="1199"/>
      <c r="CN59" s="1200"/>
      <c r="CO59" s="1201"/>
      <c r="CP59" s="1201"/>
      <c r="CQ59" s="1201"/>
      <c r="CR59" s="1201"/>
      <c r="CS59" s="1202"/>
      <c r="CT59" s="1202"/>
      <c r="CU59" s="1203"/>
      <c r="CV59" s="1203"/>
      <c r="CW59" s="1203"/>
      <c r="CX59" s="1203"/>
      <c r="CY59" s="1203"/>
      <c r="CZ59" s="1917">
        <f>+(D3/D4)*C7</f>
        <v>52.180574817417963</v>
      </c>
      <c r="DA59" s="1918"/>
      <c r="DB59" s="1204"/>
      <c r="DC59" s="1167"/>
      <c r="DD59" s="1167"/>
    </row>
    <row r="60" spans="2:144" ht="24" thickBot="1" x14ac:dyDescent="0.3">
      <c r="G60" s="1137"/>
      <c r="H60" s="1118"/>
      <c r="I60" s="1118"/>
      <c r="J60" s="1118"/>
      <c r="K60" s="1118"/>
      <c r="L60" s="1118"/>
      <c r="M60" s="1118"/>
      <c r="N60" s="1118"/>
      <c r="O60" s="1119"/>
      <c r="BN60" s="1185"/>
      <c r="BO60" s="18"/>
      <c r="BP60" s="1205"/>
      <c r="BQ60" s="1205"/>
      <c r="BR60" s="1205"/>
      <c r="BS60" s="1205"/>
      <c r="BT60" s="1205"/>
      <c r="BU60" s="1205"/>
      <c r="BV60" s="1205"/>
      <c r="BW60" s="1205"/>
      <c r="BX60" s="1205"/>
      <c r="BY60" s="1206"/>
      <c r="BZ60" s="1206"/>
      <c r="CA60" s="1188"/>
      <c r="CB60" s="1188"/>
      <c r="CC60" s="1188"/>
      <c r="CD60" s="1188"/>
      <c r="CE60" s="1188"/>
      <c r="CF60" s="1188"/>
      <c r="CG60" s="1188"/>
      <c r="CH60" s="1188"/>
      <c r="CI60" s="1188"/>
      <c r="CJ60" s="1188"/>
      <c r="CK60" s="1188"/>
      <c r="CL60" s="1188"/>
      <c r="CM60" s="1188"/>
      <c r="CN60" s="1139"/>
      <c r="CO60" s="1207"/>
      <c r="CP60" s="1207"/>
      <c r="CQ60" s="1207"/>
      <c r="CR60" s="1207"/>
      <c r="CS60" s="1204"/>
      <c r="CT60" s="1204"/>
      <c r="CU60" s="1204"/>
      <c r="CV60" s="1204"/>
      <c r="CW60" s="1204"/>
      <c r="CX60" s="1204"/>
      <c r="CY60" s="1204"/>
      <c r="CZ60" s="1204"/>
      <c r="DA60" s="1204"/>
      <c r="DB60" s="1204"/>
      <c r="DC60" s="1167"/>
      <c r="DD60" s="1167"/>
    </row>
    <row r="61" spans="2:144" ht="45" customHeight="1" thickBot="1" x14ac:dyDescent="0.25">
      <c r="E61" s="1138"/>
      <c r="F61" s="1138"/>
      <c r="G61" s="1137"/>
      <c r="H61" s="1118"/>
      <c r="I61" s="1118"/>
      <c r="J61" s="1118"/>
      <c r="K61" s="1118"/>
      <c r="L61" s="1118"/>
      <c r="M61" s="1118"/>
      <c r="N61" s="1118"/>
      <c r="O61" s="1119"/>
      <c r="BM61" s="1161" t="b">
        <f>AND(CB62&gt;0,CQ62&gt;0)</f>
        <v>1</v>
      </c>
      <c r="BN61" s="1170" t="str">
        <f>IF(BM61=TRUE,"","negative force at the motor")</f>
        <v/>
      </c>
      <c r="BO61" s="1171" t="s">
        <v>128</v>
      </c>
      <c r="BP61" s="1208" t="s">
        <v>27</v>
      </c>
      <c r="BQ61" s="1895"/>
      <c r="BR61" s="1896"/>
      <c r="BS61" s="1896"/>
      <c r="BT61" s="1896"/>
      <c r="BU61" s="1896"/>
      <c r="BV61" s="1896"/>
      <c r="BW61" s="1896"/>
      <c r="BX61" s="1896"/>
      <c r="BY61" s="1896"/>
      <c r="BZ61" s="1896"/>
      <c r="CA61" s="1896"/>
      <c r="CB61" s="1209" t="s">
        <v>28</v>
      </c>
      <c r="CC61" s="1210"/>
      <c r="CD61" s="1210"/>
      <c r="CE61" s="1210"/>
      <c r="CF61" s="1210"/>
      <c r="CG61" s="1210"/>
      <c r="CH61" s="1210"/>
      <c r="CI61" s="1211"/>
      <c r="CJ61" s="1210"/>
      <c r="CK61" s="1212"/>
      <c r="CL61" s="1212"/>
      <c r="CM61" s="1210"/>
      <c r="CN61" s="1210"/>
      <c r="CO61" s="1210"/>
      <c r="CP61" s="1210"/>
      <c r="CQ61" s="1210"/>
      <c r="CR61" s="1213" t="s">
        <v>29</v>
      </c>
      <c r="CS61" s="1899"/>
      <c r="CT61" s="1899"/>
      <c r="CU61" s="1899"/>
      <c r="CV61" s="1899"/>
      <c r="CW61" s="1899"/>
      <c r="CX61" s="1899"/>
      <c r="CY61" s="1899"/>
      <c r="CZ61" s="1899"/>
      <c r="DA61" s="1900"/>
      <c r="DB61" s="1188"/>
      <c r="DC61" s="1167"/>
      <c r="DD61" s="1167"/>
    </row>
    <row r="62" spans="2:144" ht="45" customHeight="1" thickBot="1" x14ac:dyDescent="0.3">
      <c r="E62" s="1138"/>
      <c r="F62" s="1138"/>
      <c r="G62" s="1137"/>
      <c r="H62" s="1118"/>
      <c r="I62" s="1118"/>
      <c r="J62" s="1118"/>
      <c r="K62" s="1118"/>
      <c r="L62" s="1118"/>
      <c r="M62" s="1118"/>
      <c r="N62" s="1118"/>
      <c r="O62" s="1119"/>
      <c r="BL62" s="1169">
        <v>3</v>
      </c>
      <c r="BM62" s="1762" t="b">
        <f>AND(BO62&gt;=10,$BA$138&gt;=10,$BB$138&gt;=10,$BA$170&gt;=10,$BB$170&gt;=10,$BA$194&gt;=10,$BB$194&gt;=10,$BA$223&gt;=10,$BB$223&gt;=10)</f>
        <v>1</v>
      </c>
      <c r="BN62" s="1179" t="str">
        <f>IF(BM62=TRUE,"O K","OVERLOAD")</f>
        <v>O K</v>
      </c>
      <c r="BO62" s="983">
        <f>+$E$22/(MAX(CB62,CQ62))</f>
        <v>31.253924827862111</v>
      </c>
      <c r="BP62" s="1214" t="s">
        <v>123</v>
      </c>
      <c r="BQ62" s="1897"/>
      <c r="BR62" s="1898"/>
      <c r="BS62" s="1898"/>
      <c r="BT62" s="1898"/>
      <c r="BU62" s="1898"/>
      <c r="BV62" s="1898"/>
      <c r="BW62" s="1898"/>
      <c r="BX62" s="1898"/>
      <c r="BY62" s="1898"/>
      <c r="BZ62" s="1898"/>
      <c r="CA62" s="1898"/>
      <c r="CB62" s="1903">
        <f>+((D2-D3)/D2)*C7</f>
        <v>255.96785184778443</v>
      </c>
      <c r="CC62" s="1904"/>
      <c r="CD62" s="1215"/>
      <c r="CE62" s="1215"/>
      <c r="CF62" s="1215"/>
      <c r="CG62" s="1215"/>
      <c r="CH62" s="1215"/>
      <c r="CI62" s="1216"/>
      <c r="CJ62" s="1215"/>
      <c r="CK62" s="1217"/>
      <c r="CL62" s="1217"/>
      <c r="CM62" s="1218"/>
      <c r="CN62" s="1218"/>
      <c r="CO62" s="1218"/>
      <c r="CP62" s="1218"/>
      <c r="CQ62" s="1905">
        <f>+(D3/D2)*C7</f>
        <v>81.532148152215569</v>
      </c>
      <c r="CR62" s="1906"/>
      <c r="CS62" s="1901"/>
      <c r="CT62" s="1901"/>
      <c r="CU62" s="1901"/>
      <c r="CV62" s="1901"/>
      <c r="CW62" s="1901"/>
      <c r="CX62" s="1901"/>
      <c r="CY62" s="1901"/>
      <c r="CZ62" s="1901"/>
      <c r="DA62" s="1902"/>
      <c r="DB62" s="1188"/>
      <c r="DC62" s="1167"/>
      <c r="DD62" s="1167"/>
    </row>
    <row r="63" spans="2:144" ht="23" hidden="1" x14ac:dyDescent="0.25">
      <c r="E63" s="1138"/>
      <c r="F63" s="1138"/>
      <c r="G63" s="1137"/>
      <c r="H63" s="1118"/>
      <c r="I63" s="1118"/>
      <c r="J63" s="1118"/>
      <c r="K63" s="1118"/>
      <c r="L63" s="1118"/>
      <c r="M63" s="1118"/>
      <c r="N63" s="1118"/>
      <c r="O63" s="1119"/>
      <c r="BN63" s="1185"/>
      <c r="BO63" s="18"/>
      <c r="BP63" s="1205"/>
      <c r="BQ63" s="1205"/>
      <c r="BR63" s="1205"/>
      <c r="BS63" s="1205"/>
      <c r="BT63" s="1205"/>
      <c r="BU63" s="1205"/>
      <c r="BV63" s="1205"/>
      <c r="BW63" s="1205"/>
      <c r="BX63" s="1205"/>
      <c r="BY63" s="1206"/>
      <c r="BZ63" s="1206"/>
      <c r="CA63" s="1188"/>
      <c r="CB63" s="1188"/>
      <c r="CC63" s="1188"/>
      <c r="CD63" s="1188"/>
      <c r="CE63" s="1188"/>
      <c r="CF63" s="1188"/>
      <c r="CG63" s="1188"/>
      <c r="CH63" s="1188"/>
      <c r="CI63" s="1188"/>
      <c r="CJ63" s="1188"/>
      <c r="CK63" s="1205"/>
      <c r="CL63" s="1188"/>
      <c r="CM63" s="1188"/>
      <c r="CN63" s="1139"/>
      <c r="CO63" s="1207"/>
      <c r="CP63" s="1207"/>
      <c r="CQ63" s="1207"/>
      <c r="CR63" s="1207"/>
      <c r="CS63" s="1204"/>
      <c r="CT63" s="1204"/>
      <c r="CU63" s="1204"/>
      <c r="CV63" s="1204"/>
      <c r="CW63" s="1204"/>
      <c r="CX63" s="1204"/>
      <c r="CY63" s="1204"/>
      <c r="CZ63" s="1204"/>
      <c r="DA63" s="1204"/>
      <c r="DB63" s="1204"/>
      <c r="DC63" s="1167"/>
      <c r="DD63" s="1167"/>
    </row>
    <row r="64" spans="2:144" hidden="1" x14ac:dyDescent="0.2">
      <c r="B64" s="1140"/>
      <c r="C64" s="1140"/>
      <c r="D64" s="1138"/>
      <c r="E64" s="1138"/>
      <c r="F64" s="1138"/>
      <c r="G64" s="1137"/>
      <c r="H64" s="1118"/>
      <c r="I64" s="1118"/>
      <c r="J64" s="1118"/>
      <c r="K64" s="1118"/>
      <c r="L64" s="1118"/>
      <c r="M64" s="1118"/>
      <c r="N64" s="1118"/>
      <c r="O64" s="1119"/>
      <c r="U64" s="1178"/>
      <c r="AB64" s="1178"/>
      <c r="AC64" s="1178"/>
      <c r="AD64" s="1178"/>
      <c r="AE64" s="1178"/>
      <c r="BE64" s="1219"/>
      <c r="BF64" s="1219"/>
      <c r="BG64" s="1219"/>
      <c r="BH64" s="1219"/>
      <c r="BN64" s="1185"/>
    </row>
    <row r="65" spans="2:144" hidden="1" x14ac:dyDescent="0.2">
      <c r="B65" s="1140"/>
      <c r="C65" s="1140"/>
      <c r="D65" s="1138"/>
      <c r="E65" s="1138"/>
      <c r="F65" s="1138"/>
      <c r="G65" s="1137"/>
      <c r="H65" s="1118"/>
      <c r="I65" s="1118"/>
      <c r="J65" s="1118"/>
      <c r="K65" s="1118"/>
      <c r="L65" s="1118"/>
      <c r="M65" s="1118"/>
      <c r="N65" s="1118"/>
      <c r="O65" s="1119"/>
      <c r="U65" s="1178"/>
      <c r="AB65" s="1178"/>
      <c r="AC65" s="1178"/>
      <c r="AD65" s="1178"/>
      <c r="AE65" s="1178"/>
      <c r="BE65" s="1219"/>
      <c r="BF65" s="1219"/>
      <c r="BG65" s="1219"/>
      <c r="BH65" s="1219"/>
      <c r="BN65" s="1185"/>
    </row>
    <row r="66" spans="2:144" ht="23" hidden="1" x14ac:dyDescent="0.25">
      <c r="B66" s="1140"/>
      <c r="C66" s="1140"/>
      <c r="D66" s="1138"/>
      <c r="E66" s="1138"/>
      <c r="F66" s="1138"/>
      <c r="G66" s="1137"/>
      <c r="H66" s="1118"/>
      <c r="I66" s="1118"/>
      <c r="J66" s="1118"/>
      <c r="K66" s="1118"/>
      <c r="L66" s="1118"/>
      <c r="M66" s="1118"/>
      <c r="N66" s="1118"/>
      <c r="O66" s="1119"/>
      <c r="U66" s="1178"/>
      <c r="AB66" s="1178"/>
      <c r="AC66" s="1178"/>
      <c r="AD66" s="1178"/>
      <c r="AE66" s="1178"/>
      <c r="BE66" s="1219"/>
      <c r="BF66" s="1219"/>
      <c r="BG66" s="1219"/>
      <c r="BH66" s="1219"/>
      <c r="BN66" s="1185"/>
      <c r="BO66" s="17"/>
      <c r="BP66" s="1220"/>
      <c r="BQ66" s="1221"/>
      <c r="BR66" s="1221"/>
      <c r="BS66" s="1221"/>
      <c r="BT66" s="1221"/>
      <c r="BU66" s="1221"/>
      <c r="BV66" s="1221"/>
      <c r="BW66" s="1221"/>
      <c r="BX66" s="1221"/>
      <c r="BY66" s="1222"/>
      <c r="BZ66" s="1222"/>
      <c r="CA66" s="1223"/>
      <c r="CB66" s="1223"/>
      <c r="CC66" s="1223"/>
      <c r="CD66" s="1223"/>
      <c r="CE66" s="1223"/>
      <c r="CF66" s="1223"/>
      <c r="CG66" s="1223"/>
      <c r="CH66" s="1223"/>
      <c r="CI66" s="1139"/>
      <c r="CJ66" s="1188"/>
      <c r="CK66" s="1224"/>
      <c r="CL66" s="1224"/>
      <c r="CM66" s="1188"/>
      <c r="CN66" s="1188"/>
      <c r="CO66" s="1188"/>
      <c r="CP66" s="1188"/>
      <c r="CQ66" s="1188"/>
      <c r="CR66" s="1188"/>
      <c r="CS66" s="1188"/>
      <c r="CT66" s="1188"/>
      <c r="CU66" s="1188"/>
      <c r="CV66" s="1188"/>
      <c r="CW66" s="1221"/>
      <c r="CX66" s="1221"/>
      <c r="CY66" s="1221"/>
      <c r="CZ66" s="1221"/>
      <c r="DA66" s="1221"/>
      <c r="DB66" s="1221"/>
      <c r="DC66" s="1221"/>
      <c r="DD66" s="1221"/>
    </row>
    <row r="67" spans="2:144" ht="24" hidden="1" thickBot="1" x14ac:dyDescent="0.3">
      <c r="B67" s="1140"/>
      <c r="C67" s="1140"/>
      <c r="D67" s="1138"/>
      <c r="E67" s="1138"/>
      <c r="F67" s="1138"/>
      <c r="G67" s="1137"/>
      <c r="H67" s="1118"/>
      <c r="I67" s="1118"/>
      <c r="J67" s="1118"/>
      <c r="K67" s="1118"/>
      <c r="L67" s="1118"/>
      <c r="M67" s="1118"/>
      <c r="N67" s="1118"/>
      <c r="O67" s="1119"/>
      <c r="U67" s="1178"/>
      <c r="AB67" s="1178"/>
      <c r="AC67" s="1178"/>
      <c r="AD67" s="1178"/>
      <c r="AE67" s="1178"/>
      <c r="BE67" s="1219"/>
      <c r="BF67" s="1219"/>
      <c r="BG67" s="1219"/>
      <c r="BH67" s="1219"/>
      <c r="BN67" s="1185"/>
      <c r="BO67" s="17"/>
      <c r="BP67" s="1220"/>
      <c r="BQ67" s="1221"/>
      <c r="BR67" s="1221"/>
      <c r="BS67" s="1221"/>
      <c r="BT67" s="1221"/>
      <c r="BU67" s="1221"/>
      <c r="BV67" s="1221"/>
      <c r="BW67" s="1221"/>
      <c r="BX67" s="1221"/>
      <c r="BY67" s="1222"/>
      <c r="BZ67" s="1222"/>
      <c r="CA67" s="1223"/>
      <c r="CB67" s="1223"/>
      <c r="CC67" s="1223"/>
      <c r="CD67" s="1223"/>
      <c r="CE67" s="1223"/>
      <c r="CF67" s="1223"/>
      <c r="CG67" s="1223"/>
      <c r="CH67" s="1223"/>
      <c r="CI67" s="1139"/>
      <c r="CJ67" s="1188"/>
      <c r="CK67" s="1224"/>
      <c r="CL67" s="1224"/>
      <c r="CM67" s="1188"/>
      <c r="CN67" s="1188"/>
      <c r="CO67" s="1188"/>
      <c r="CP67" s="1188"/>
      <c r="CQ67" s="1188"/>
      <c r="CR67" s="1188"/>
      <c r="CS67" s="1188"/>
      <c r="CT67" s="1188"/>
      <c r="CU67" s="1188"/>
      <c r="CV67" s="1188"/>
      <c r="CW67" s="1221"/>
      <c r="CX67" s="1221"/>
      <c r="CY67" s="1221"/>
      <c r="CZ67" s="1221"/>
      <c r="DA67" s="1221"/>
      <c r="DB67" s="1221"/>
      <c r="DC67" s="1221"/>
      <c r="DD67" s="1221"/>
    </row>
    <row r="68" spans="2:144" ht="24" hidden="1" thickBot="1" x14ac:dyDescent="0.3">
      <c r="B68" s="1140"/>
      <c r="C68" s="1140"/>
      <c r="D68" s="1138"/>
      <c r="E68" s="1138"/>
      <c r="F68" s="1138"/>
      <c r="G68" s="1137"/>
      <c r="H68" s="1118"/>
      <c r="I68" s="1118"/>
      <c r="J68" s="1118"/>
      <c r="K68" s="1118"/>
      <c r="L68" s="1118"/>
      <c r="M68" s="1118"/>
      <c r="N68" s="1118"/>
      <c r="O68" s="1119"/>
      <c r="U68" s="1178"/>
      <c r="AB68" s="1178"/>
      <c r="AC68" s="1178"/>
      <c r="AD68" s="1178"/>
      <c r="AE68" s="1178"/>
      <c r="BE68" s="1219"/>
      <c r="BF68" s="1219"/>
      <c r="BG68" s="1219"/>
      <c r="BH68" s="1219"/>
      <c r="BN68" s="1185"/>
      <c r="BO68" s="17"/>
      <c r="BP68" s="1220"/>
      <c r="BQ68" s="1221"/>
      <c r="BR68" s="1221"/>
      <c r="BS68" s="1221"/>
      <c r="BT68" s="1221"/>
      <c r="BU68" s="1221"/>
      <c r="BV68" s="1221"/>
      <c r="BW68" s="1221"/>
      <c r="BX68" s="1221"/>
      <c r="BY68" s="1222"/>
      <c r="BZ68" s="1222"/>
      <c r="CA68" s="1123">
        <v>16</v>
      </c>
      <c r="CB68" s="1223"/>
      <c r="CC68" s="1223"/>
      <c r="CD68" s="1223"/>
      <c r="CE68" s="1223"/>
      <c r="CF68" s="1223"/>
      <c r="CG68" s="1223"/>
      <c r="CH68" s="1223"/>
      <c r="CI68" s="1139"/>
      <c r="CJ68" s="1188"/>
      <c r="CK68" s="1224"/>
      <c r="CL68" s="1224"/>
      <c r="CM68" s="1188"/>
      <c r="CN68" s="1188"/>
      <c r="CO68" s="1188"/>
      <c r="CP68" s="1225" t="b">
        <f>IF(CQ86=27,15)</f>
        <v>0</v>
      </c>
      <c r="CQ68" s="1226"/>
      <c r="CR68" s="1227" t="b">
        <f>IF(CQ86=27,17)</f>
        <v>0</v>
      </c>
      <c r="CS68" s="1188"/>
      <c r="CT68" s="1188"/>
      <c r="CU68" s="1188"/>
      <c r="CV68" s="1188"/>
      <c r="CW68" s="1221"/>
      <c r="CX68" s="1221"/>
      <c r="CY68" s="1221"/>
      <c r="CZ68" s="1221"/>
      <c r="DA68" s="1221"/>
      <c r="DB68" s="1221"/>
      <c r="DC68" s="1221"/>
      <c r="DD68" s="1221"/>
      <c r="DG68" s="1891"/>
      <c r="DH68" s="1891"/>
      <c r="DI68" s="1165"/>
      <c r="DJ68" s="1165"/>
      <c r="DK68" s="1166"/>
      <c r="DL68" s="1167"/>
      <c r="DM68" s="1167"/>
      <c r="DN68" s="1167"/>
      <c r="DO68" s="1167"/>
      <c r="DP68" s="1167"/>
      <c r="DQ68" s="1167"/>
      <c r="DR68" s="1167"/>
      <c r="DS68" s="1167"/>
      <c r="DT68" s="1167"/>
      <c r="DU68" s="1167"/>
      <c r="DV68" s="1167"/>
      <c r="DW68" s="1167"/>
      <c r="DX68" s="1167"/>
      <c r="DY68" s="1167"/>
      <c r="DZ68" s="1167"/>
      <c r="EA68" s="1167"/>
      <c r="EB68" s="1167"/>
      <c r="EC68" s="1167"/>
      <c r="ED68" s="1167"/>
      <c r="EE68" s="1167"/>
      <c r="EF68" s="1167"/>
      <c r="EG68" s="1167"/>
      <c r="EH68" s="1167"/>
      <c r="EI68" s="1167"/>
      <c r="EJ68" s="1167"/>
      <c r="EK68" s="1167"/>
      <c r="EL68" s="1167"/>
      <c r="EM68" s="1110"/>
      <c r="EN68" s="1110"/>
    </row>
    <row r="69" spans="2:144" ht="24" hidden="1" thickBot="1" x14ac:dyDescent="0.3">
      <c r="B69" s="1110"/>
      <c r="C69" s="1140"/>
      <c r="E69" s="1110"/>
      <c r="G69" s="1137"/>
      <c r="H69" s="1118"/>
      <c r="I69" s="1118"/>
      <c r="J69" s="1118"/>
      <c r="K69" s="1118"/>
      <c r="L69" s="1118"/>
      <c r="M69" s="1118"/>
      <c r="N69" s="1118"/>
      <c r="O69" s="1119"/>
      <c r="U69" s="1178"/>
      <c r="AB69" s="1178"/>
      <c r="AC69" s="1178"/>
      <c r="AD69" s="1178"/>
      <c r="AE69" s="1178"/>
      <c r="BE69" s="1219"/>
      <c r="BF69" s="1219"/>
      <c r="BG69" s="1219"/>
      <c r="BH69" s="1219"/>
      <c r="BN69" s="1185"/>
      <c r="BO69" s="17"/>
      <c r="BP69" s="1220"/>
      <c r="BQ69" s="1221"/>
      <c r="BR69" s="1221"/>
      <c r="BS69" s="1221"/>
      <c r="BT69" s="1221"/>
      <c r="BU69" s="1221"/>
      <c r="BV69" s="1221"/>
      <c r="BW69" s="1221"/>
      <c r="BX69" s="1221"/>
      <c r="BY69" s="1222"/>
      <c r="BZ69" s="1222"/>
      <c r="CA69" s="1123">
        <v>15</v>
      </c>
      <c r="CB69" s="1223"/>
      <c r="CC69" s="1223"/>
      <c r="CD69" s="1223"/>
      <c r="CE69" s="1223"/>
      <c r="CF69" s="1223"/>
      <c r="CG69" s="1223"/>
      <c r="CH69" s="1223"/>
      <c r="CI69" s="1139"/>
      <c r="CJ69" s="1188"/>
      <c r="CK69" s="1224"/>
      <c r="CL69" s="1224"/>
      <c r="CM69" s="1188"/>
      <c r="CN69" s="1225" t="b">
        <f>IF(CP86=26,13)</f>
        <v>0</v>
      </c>
      <c r="CO69" s="1226"/>
      <c r="CP69" s="1226"/>
      <c r="CQ69" s="1226"/>
      <c r="CR69" s="1227" t="b">
        <f>IF(CP86=26,17)</f>
        <v>0</v>
      </c>
      <c r="CS69" s="1188"/>
      <c r="CT69" s="1188"/>
      <c r="CU69" s="1188"/>
      <c r="CV69" s="1188"/>
      <c r="CW69" s="1221"/>
      <c r="CX69" s="1221"/>
      <c r="CY69" s="1221"/>
      <c r="CZ69" s="1221"/>
      <c r="DA69" s="1221"/>
      <c r="DB69" s="1221"/>
      <c r="DC69" s="1221"/>
      <c r="DD69" s="1221"/>
      <c r="EK69" s="1167"/>
      <c r="EL69" s="1167"/>
    </row>
    <row r="70" spans="2:144" ht="31" hidden="1" thickBot="1" x14ac:dyDescent="0.35">
      <c r="B70" s="1228"/>
      <c r="C70" s="1140"/>
      <c r="E70" s="68"/>
      <c r="G70" s="1137"/>
      <c r="H70" s="1118"/>
      <c r="I70" s="1118"/>
      <c r="J70" s="1118"/>
      <c r="K70" s="1118"/>
      <c r="L70" s="1118"/>
      <c r="M70" s="1118"/>
      <c r="N70" s="1118"/>
      <c r="O70" s="1119"/>
      <c r="U70" s="1178"/>
      <c r="AB70" s="1178"/>
      <c r="AC70" s="1178"/>
      <c r="AD70" s="1178"/>
      <c r="AE70" s="1178"/>
      <c r="BE70" s="1219"/>
      <c r="BF70" s="1219"/>
      <c r="BG70" s="1219"/>
      <c r="BH70" s="1219"/>
      <c r="BN70" s="1185"/>
      <c r="BO70" s="17"/>
      <c r="BP70" s="1220"/>
      <c r="BQ70" s="1221"/>
      <c r="BR70" s="1221"/>
      <c r="BS70" s="1221"/>
      <c r="BT70" s="1221"/>
      <c r="BU70" s="1221"/>
      <c r="BV70" s="1221"/>
      <c r="BW70" s="1221"/>
      <c r="BX70" s="1221"/>
      <c r="BY70" s="1222"/>
      <c r="BZ70" s="1222"/>
      <c r="CA70" s="1123">
        <v>14</v>
      </c>
      <c r="CB70" s="1223"/>
      <c r="CC70" s="1223"/>
      <c r="CD70" s="1223"/>
      <c r="CE70" s="1223"/>
      <c r="CF70" s="1223"/>
      <c r="CG70" s="1223"/>
      <c r="CH70" s="1223"/>
      <c r="CI70" s="1139"/>
      <c r="CJ70" s="1188"/>
      <c r="CK70" s="1224"/>
      <c r="CL70" s="1225" t="b">
        <f>IF(CO86=25,11)</f>
        <v>0</v>
      </c>
      <c r="CM70" s="1226"/>
      <c r="CN70" s="1229"/>
      <c r="CO70" s="1229"/>
      <c r="CP70" s="1229"/>
      <c r="CQ70" s="1229"/>
      <c r="CR70" s="1230" t="b">
        <f>IF(CO86=25,17)</f>
        <v>0</v>
      </c>
      <c r="CS70" s="1188"/>
      <c r="CT70" s="1188"/>
      <c r="CU70" s="1188"/>
      <c r="CV70" s="1188"/>
      <c r="CW70" s="1221"/>
      <c r="CX70" s="1221"/>
      <c r="CY70" s="1221"/>
      <c r="CZ70" s="1221"/>
      <c r="DA70" s="1221"/>
      <c r="DB70" s="1221"/>
      <c r="DC70" s="1221"/>
      <c r="DD70" s="1221"/>
      <c r="EK70" s="1167"/>
      <c r="EL70" s="1167"/>
    </row>
    <row r="71" spans="2:144" ht="21" hidden="1" thickBot="1" x14ac:dyDescent="0.25">
      <c r="B71" s="1231"/>
      <c r="C71" s="1231"/>
      <c r="D71" s="1231"/>
      <c r="E71" s="1231"/>
      <c r="G71" s="1137"/>
      <c r="H71" s="1118"/>
      <c r="I71" s="1118"/>
      <c r="J71" s="1118"/>
      <c r="K71" s="1118"/>
      <c r="L71" s="1118"/>
      <c r="M71" s="1118"/>
      <c r="N71" s="1118"/>
      <c r="O71" s="1119"/>
      <c r="U71" s="1178"/>
      <c r="AB71" s="1178"/>
      <c r="AC71" s="1178"/>
      <c r="AD71" s="1178"/>
      <c r="AE71" s="1178"/>
      <c r="BE71" s="1219"/>
      <c r="BF71" s="1219"/>
      <c r="BG71" s="1219"/>
      <c r="BH71" s="1219"/>
      <c r="BN71" s="1185"/>
      <c r="BO71" s="1219"/>
      <c r="BP71" s="1220"/>
      <c r="BQ71" s="1221"/>
      <c r="BR71" s="1221"/>
      <c r="BS71" s="1221"/>
      <c r="BT71" s="1221"/>
      <c r="BU71" s="1221"/>
      <c r="BV71" s="1221"/>
      <c r="BW71" s="1221"/>
      <c r="BX71" s="1221"/>
      <c r="CA71" s="1123">
        <v>13</v>
      </c>
      <c r="CB71" s="1221"/>
      <c r="CC71" s="1220"/>
      <c r="CD71" s="1220"/>
      <c r="CE71" s="1220"/>
      <c r="CF71" s="1220"/>
      <c r="CG71" s="1220"/>
      <c r="CH71" s="1220"/>
      <c r="CI71" s="1220"/>
      <c r="CJ71" s="1225" t="b">
        <f>IF(CN86=24,9)</f>
        <v>0</v>
      </c>
      <c r="CK71" s="1232"/>
      <c r="CL71" s="1233"/>
      <c r="CM71" s="1234"/>
      <c r="CN71" s="1233"/>
      <c r="CO71" s="1234"/>
      <c r="CP71" s="1234"/>
      <c r="CQ71" s="1235"/>
      <c r="CR71" s="1230" t="b">
        <f>IF(CN86=24,17)</f>
        <v>0</v>
      </c>
      <c r="CS71" s="1167"/>
      <c r="CT71" s="1167"/>
      <c r="CU71" s="1167"/>
      <c r="CV71" s="1167"/>
      <c r="CW71" s="1167"/>
      <c r="CX71" s="1167"/>
      <c r="CY71" s="1167"/>
      <c r="CZ71" s="1167"/>
      <c r="DA71" s="1167"/>
      <c r="DB71" s="1167"/>
      <c r="DC71" s="1167"/>
      <c r="DD71" s="1167"/>
      <c r="EK71" s="1167"/>
      <c r="EL71" s="1167"/>
    </row>
    <row r="72" spans="2:144" ht="21" hidden="1" thickBot="1" x14ac:dyDescent="0.25">
      <c r="B72" s="1236"/>
      <c r="C72" s="1237"/>
      <c r="D72" s="1236"/>
      <c r="E72" s="1236"/>
      <c r="G72" s="1137"/>
      <c r="H72" s="1118"/>
      <c r="I72" s="1118"/>
      <c r="J72" s="1118"/>
      <c r="K72" s="1118"/>
      <c r="L72" s="1118"/>
      <c r="M72" s="1118"/>
      <c r="N72" s="1118"/>
      <c r="O72" s="1119"/>
      <c r="U72" s="1178"/>
      <c r="AB72" s="1178"/>
      <c r="AC72" s="1178"/>
      <c r="AD72" s="1178"/>
      <c r="AE72" s="1178"/>
      <c r="BE72" s="1219"/>
      <c r="BF72" s="1219"/>
      <c r="BG72" s="1219"/>
      <c r="BH72" s="1219"/>
      <c r="BN72" s="1185"/>
      <c r="BO72" s="1219"/>
      <c r="BP72" s="1220"/>
      <c r="BQ72" s="1220"/>
      <c r="BR72" s="1221"/>
      <c r="BS72" s="1220"/>
      <c r="BT72" s="1220"/>
      <c r="BU72" s="1220"/>
      <c r="CA72" s="1123">
        <v>12</v>
      </c>
      <c r="CB72" s="1221"/>
      <c r="CC72" s="1220"/>
      <c r="CD72" s="1220"/>
      <c r="CE72" s="1220"/>
      <c r="CF72" s="1220"/>
      <c r="CG72" s="1220"/>
      <c r="CH72" s="1225" t="b">
        <f>IF(CM86=23,7)</f>
        <v>0</v>
      </c>
      <c r="CI72" s="1232"/>
      <c r="CJ72" s="1232"/>
      <c r="CK72" s="1238"/>
      <c r="CL72" s="1232"/>
      <c r="CM72" s="1232"/>
      <c r="CN72" s="1232"/>
      <c r="CO72" s="1238"/>
      <c r="CP72" s="1238"/>
      <c r="CQ72" s="1239"/>
      <c r="CR72" s="1227" t="b">
        <f>IF(CM86=23,17)</f>
        <v>0</v>
      </c>
      <c r="CS72" s="1167"/>
      <c r="CT72" s="1167"/>
      <c r="CU72" s="1167"/>
      <c r="CV72" s="1167"/>
      <c r="CW72" s="1167"/>
      <c r="CX72" s="1167"/>
      <c r="CY72" s="1167"/>
      <c r="CZ72" s="1167"/>
      <c r="DA72" s="1167"/>
      <c r="DB72" s="1167"/>
      <c r="DC72" s="1167"/>
      <c r="DD72" s="1167"/>
      <c r="EK72" s="1167"/>
      <c r="EL72" s="1167"/>
    </row>
    <row r="73" spans="2:144" ht="21" hidden="1" thickBot="1" x14ac:dyDescent="0.25">
      <c r="B73" s="1140"/>
      <c r="C73" s="1140"/>
      <c r="G73" s="1137"/>
      <c r="H73" s="1118"/>
      <c r="I73" s="1118"/>
      <c r="J73" s="1118"/>
      <c r="K73" s="1118"/>
      <c r="L73" s="1118"/>
      <c r="M73" s="1118"/>
      <c r="N73" s="1118"/>
      <c r="O73" s="1119"/>
      <c r="U73" s="1178"/>
      <c r="AB73" s="1178"/>
      <c r="AC73" s="1178"/>
      <c r="AD73" s="1178"/>
      <c r="AE73" s="1178"/>
      <c r="BE73" s="1219"/>
      <c r="BF73" s="1219"/>
      <c r="BG73" s="1219"/>
      <c r="BH73" s="1219"/>
      <c r="BN73" s="1185"/>
      <c r="BO73" s="1219"/>
      <c r="BP73" s="1220"/>
      <c r="BQ73" s="1220"/>
      <c r="BR73" s="1221"/>
      <c r="BS73" s="1220"/>
      <c r="BT73" s="1220"/>
      <c r="BU73" s="1220"/>
      <c r="CA73" s="1123">
        <v>11</v>
      </c>
      <c r="CB73" s="1221"/>
      <c r="CC73" s="1220"/>
      <c r="CD73" s="1220"/>
      <c r="CE73" s="1220"/>
      <c r="CF73" s="1225" t="b">
        <f>IF(CL86=22,5)</f>
        <v>0</v>
      </c>
      <c r="CG73" s="1232"/>
      <c r="CH73" s="1232"/>
      <c r="CI73" s="1238"/>
      <c r="CJ73" s="1232"/>
      <c r="CK73" s="1238"/>
      <c r="CL73" s="1232"/>
      <c r="CM73" s="1238"/>
      <c r="CN73" s="1232"/>
      <c r="CO73" s="1238"/>
      <c r="CP73" s="1238"/>
      <c r="CQ73" s="1239"/>
      <c r="CR73" s="1227" t="b">
        <f>IF(CL86=22,17)</f>
        <v>0</v>
      </c>
      <c r="CS73" s="1167"/>
      <c r="CT73" s="1167"/>
      <c r="CU73" s="1167"/>
      <c r="CV73" s="1167"/>
      <c r="CW73" s="1167"/>
      <c r="CX73" s="1167"/>
      <c r="CY73" s="1167"/>
      <c r="CZ73" s="1167"/>
      <c r="DA73" s="1167"/>
      <c r="DB73" s="1167"/>
      <c r="DC73" s="1167"/>
      <c r="DD73" s="1167"/>
      <c r="DG73" s="1240"/>
      <c r="DH73" s="1240"/>
      <c r="DI73" s="1240"/>
      <c r="DJ73" s="1240"/>
      <c r="DK73" s="1240"/>
      <c r="DL73" s="1241"/>
      <c r="DM73" s="1240"/>
      <c r="DN73" s="1240"/>
      <c r="DO73" s="1240"/>
      <c r="DP73" s="1240"/>
      <c r="DQ73" s="1240"/>
      <c r="DR73" s="1240"/>
      <c r="DS73" s="1240"/>
      <c r="DT73" s="1240"/>
      <c r="DU73" s="1240"/>
      <c r="DV73" s="1240"/>
      <c r="DW73" s="1240"/>
      <c r="DX73" s="1240"/>
      <c r="DY73" s="1240"/>
      <c r="DZ73" s="1240"/>
      <c r="EA73" s="1240"/>
      <c r="EB73" s="1240"/>
      <c r="EC73" s="1240"/>
      <c r="ED73" s="1241"/>
      <c r="EE73" s="1167"/>
      <c r="EF73" s="1167"/>
      <c r="EG73" s="1167"/>
      <c r="EH73" s="1167"/>
      <c r="EI73" s="1167"/>
      <c r="EJ73" s="1167"/>
      <c r="EK73" s="1167"/>
      <c r="EL73" s="1167"/>
    </row>
    <row r="74" spans="2:144" ht="21" hidden="1" thickBot="1" x14ac:dyDescent="0.25">
      <c r="B74" s="1242"/>
      <c r="C74" s="1140"/>
      <c r="D74" s="1243"/>
      <c r="E74" s="1244"/>
      <c r="F74" s="1138"/>
      <c r="G74" s="1137"/>
      <c r="H74" s="1118"/>
      <c r="I74" s="1118"/>
      <c r="J74" s="1118"/>
      <c r="K74" s="1118"/>
      <c r="L74" s="1118"/>
      <c r="M74" s="1118"/>
      <c r="N74" s="1118"/>
      <c r="O74" s="1119"/>
      <c r="U74" s="1178"/>
      <c r="AB74" s="1178"/>
      <c r="AC74" s="1178"/>
      <c r="AD74" s="1178"/>
      <c r="AE74" s="1178"/>
      <c r="BE74" s="1219"/>
      <c r="BF74" s="1219"/>
      <c r="BG74" s="1219"/>
      <c r="BH74" s="1219"/>
      <c r="BN74" s="1185"/>
      <c r="BO74" s="1219"/>
      <c r="BP74" s="1220"/>
      <c r="BQ74" s="1220"/>
      <c r="BR74" s="1221"/>
      <c r="BS74" s="1220"/>
      <c r="BT74" s="1220"/>
      <c r="BU74" s="1220"/>
      <c r="CA74" s="1123">
        <v>10</v>
      </c>
      <c r="CB74" s="1221"/>
      <c r="CC74" s="1220"/>
      <c r="CD74" s="1225" t="b">
        <f>IF(CK86=21,3)</f>
        <v>0</v>
      </c>
      <c r="CE74" s="1232"/>
      <c r="CF74" s="1232"/>
      <c r="CG74" s="1238"/>
      <c r="CH74" s="1238"/>
      <c r="CI74" s="1238"/>
      <c r="CJ74" s="1232"/>
      <c r="CK74" s="1232"/>
      <c r="CL74" s="1232"/>
      <c r="CM74" s="1238"/>
      <c r="CN74" s="1232"/>
      <c r="CO74" s="1238"/>
      <c r="CP74" s="1238"/>
      <c r="CQ74" s="1239"/>
      <c r="CR74" s="1227" t="b">
        <f>IF(CK86=21,17)</f>
        <v>0</v>
      </c>
      <c r="CS74" s="1167"/>
      <c r="CT74" s="1167"/>
      <c r="CU74" s="1167"/>
      <c r="CV74" s="1167"/>
      <c r="CW74" s="1167"/>
      <c r="CX74" s="1167"/>
      <c r="CY74" s="1167"/>
      <c r="CZ74" s="1167"/>
      <c r="DA74" s="1167"/>
      <c r="DB74" s="1167"/>
      <c r="DC74" s="1167"/>
      <c r="DD74" s="1167"/>
      <c r="DG74" s="1240"/>
      <c r="DH74" s="1240"/>
      <c r="DI74" s="1240"/>
      <c r="DJ74" s="1240"/>
      <c r="DK74" s="1240"/>
      <c r="DL74" s="1241"/>
      <c r="DM74" s="1240"/>
      <c r="DN74" s="1240"/>
      <c r="DO74" s="1240"/>
      <c r="DP74" s="1240"/>
      <c r="DQ74" s="1240"/>
      <c r="DR74" s="1240"/>
      <c r="DS74" s="1240"/>
      <c r="DT74" s="1240"/>
      <c r="DU74" s="1240"/>
      <c r="DV74" s="1240"/>
      <c r="DW74" s="1240"/>
      <c r="DX74" s="1240"/>
      <c r="DY74" s="1240"/>
      <c r="DZ74" s="1240"/>
      <c r="EA74" s="1240"/>
      <c r="EB74" s="1240"/>
      <c r="EC74" s="1240"/>
      <c r="ED74" s="1241"/>
      <c r="EE74" s="1167"/>
      <c r="EF74" s="1167"/>
      <c r="EG74" s="1167"/>
      <c r="EH74" s="1167"/>
      <c r="EI74" s="1167"/>
      <c r="EJ74" s="1167"/>
      <c r="EK74" s="1167"/>
      <c r="EL74" s="1167"/>
    </row>
    <row r="75" spans="2:144" ht="21" hidden="1" thickBot="1" x14ac:dyDescent="0.25">
      <c r="B75" s="1236"/>
      <c r="C75" s="1140"/>
      <c r="D75" s="1236"/>
      <c r="E75" s="20"/>
      <c r="F75" s="1138"/>
      <c r="G75" s="1137"/>
      <c r="H75" s="1118"/>
      <c r="I75" s="1118"/>
      <c r="J75" s="1118"/>
      <c r="K75" s="1118"/>
      <c r="L75" s="1118"/>
      <c r="M75" s="1118"/>
      <c r="N75" s="1118"/>
      <c r="O75" s="1119"/>
      <c r="U75" s="1178"/>
      <c r="AB75" s="1178"/>
      <c r="AC75" s="1178"/>
      <c r="AD75" s="1178"/>
      <c r="AE75" s="1178"/>
      <c r="BE75" s="1219"/>
      <c r="BF75" s="1219"/>
      <c r="BG75" s="1219"/>
      <c r="BH75" s="1219"/>
      <c r="BN75" s="1185"/>
      <c r="BO75" s="1219"/>
      <c r="BP75" s="1220"/>
      <c r="BQ75" s="1220"/>
      <c r="BR75" s="1221"/>
      <c r="BS75" s="1220"/>
      <c r="BT75" s="1220"/>
      <c r="BU75" s="1220"/>
      <c r="CA75" s="1123">
        <v>9</v>
      </c>
      <c r="CB75" s="1225" t="b">
        <f>IF(CJ86=20,1)</f>
        <v>0</v>
      </c>
      <c r="CC75" s="1232"/>
      <c r="CD75" s="1232"/>
      <c r="CE75" s="1238"/>
      <c r="CF75" s="1232"/>
      <c r="CG75" s="1232"/>
      <c r="CH75" s="1232"/>
      <c r="CI75" s="1232"/>
      <c r="CJ75" s="1232"/>
      <c r="CK75" s="1232"/>
      <c r="CL75" s="1232"/>
      <c r="CM75" s="1232"/>
      <c r="CN75" s="1232"/>
      <c r="CO75" s="1238"/>
      <c r="CP75" s="1238"/>
      <c r="CQ75" s="1239"/>
      <c r="CR75" s="1227" t="b">
        <f>IF(CJ86=20,17)</f>
        <v>0</v>
      </c>
      <c r="CS75" s="1167"/>
      <c r="CT75" s="1167"/>
      <c r="CU75" s="1167"/>
      <c r="CV75" s="1167"/>
      <c r="CW75" s="1167"/>
      <c r="CX75" s="1167"/>
      <c r="CY75" s="1167"/>
      <c r="CZ75" s="1167"/>
      <c r="DA75" s="1167"/>
      <c r="DB75" s="1167"/>
      <c r="DC75" s="1167"/>
      <c r="DD75" s="1167"/>
      <c r="EK75" s="1167"/>
      <c r="EL75" s="1167"/>
    </row>
    <row r="76" spans="2:144" ht="21" hidden="1" thickBot="1" x14ac:dyDescent="0.25">
      <c r="B76" s="1140"/>
      <c r="C76" s="1140"/>
      <c r="F76" s="1138"/>
      <c r="G76" s="1137"/>
      <c r="H76" s="1118"/>
      <c r="I76" s="1118"/>
      <c r="J76" s="1118"/>
      <c r="K76" s="1118"/>
      <c r="L76" s="1118"/>
      <c r="M76" s="1118"/>
      <c r="N76" s="1118"/>
      <c r="O76" s="1119"/>
      <c r="U76" s="1178"/>
      <c r="AB76" s="1178"/>
      <c r="AC76" s="1178"/>
      <c r="AD76" s="1178"/>
      <c r="AE76" s="1178"/>
      <c r="BE76" s="1219"/>
      <c r="BF76" s="1219"/>
      <c r="BG76" s="1219"/>
      <c r="BH76" s="1219"/>
      <c r="BN76" s="1185"/>
      <c r="BO76" s="1219"/>
      <c r="BP76" s="1220"/>
      <c r="BQ76" s="1220"/>
      <c r="BR76" s="1221"/>
      <c r="BS76" s="1220"/>
      <c r="BT76" s="1220"/>
      <c r="BU76" s="1220"/>
      <c r="CA76" s="1123">
        <v>8</v>
      </c>
      <c r="CB76" s="1245" t="b">
        <f>IF(CI86=19,1)</f>
        <v>0</v>
      </c>
      <c r="CC76" s="1234"/>
      <c r="CD76" s="1233"/>
      <c r="CE76" s="1233"/>
      <c r="CF76" s="1233"/>
      <c r="CG76" s="1233"/>
      <c r="CH76" s="1233"/>
      <c r="CI76" s="1233"/>
      <c r="CJ76" s="1233"/>
      <c r="CK76" s="1233"/>
      <c r="CL76" s="1233"/>
      <c r="CM76" s="1233"/>
      <c r="CN76" s="1233"/>
      <c r="CO76" s="1234"/>
      <c r="CP76" s="1230" t="b">
        <f>IF(CI86=19,15)</f>
        <v>0</v>
      </c>
      <c r="CQ76" s="1167"/>
      <c r="CR76" s="1167"/>
      <c r="CS76" s="1167"/>
      <c r="CT76" s="1167"/>
      <c r="CU76" s="1167"/>
      <c r="CV76" s="1167"/>
      <c r="CW76" s="1167"/>
      <c r="CX76" s="1167"/>
      <c r="CY76" s="1167"/>
      <c r="CZ76" s="1167"/>
      <c r="DA76" s="1167"/>
      <c r="DB76" s="1167"/>
      <c r="DC76" s="1167"/>
      <c r="DD76" s="1167"/>
      <c r="EK76" s="1167"/>
      <c r="EL76" s="1167"/>
    </row>
    <row r="77" spans="2:144" ht="21" hidden="1" thickBot="1" x14ac:dyDescent="0.25">
      <c r="B77" s="1140"/>
      <c r="C77" s="1140"/>
      <c r="G77" s="1137"/>
      <c r="H77" s="1118"/>
      <c r="I77" s="1118"/>
      <c r="J77" s="1118"/>
      <c r="K77" s="1118"/>
      <c r="L77" s="1118"/>
      <c r="M77" s="1118"/>
      <c r="N77" s="1118"/>
      <c r="O77" s="1119"/>
      <c r="U77" s="1178"/>
      <c r="AB77" s="1178"/>
      <c r="AC77" s="1178"/>
      <c r="AD77" s="1178"/>
      <c r="AE77" s="1178"/>
      <c r="BE77" s="1219"/>
      <c r="BF77" s="1219"/>
      <c r="BG77" s="1219"/>
      <c r="BH77" s="1219"/>
      <c r="BN77" s="1185"/>
      <c r="BO77" s="1219"/>
      <c r="BP77" s="1220"/>
      <c r="BQ77" s="1220"/>
      <c r="BR77" s="1221"/>
      <c r="BS77" s="1220"/>
      <c r="BT77" s="1220"/>
      <c r="BU77" s="1220"/>
      <c r="CA77" s="1123">
        <v>7</v>
      </c>
      <c r="CB77" s="1245" t="b">
        <f>IF(CH86=18,1)</f>
        <v>0</v>
      </c>
      <c r="CC77" s="1233"/>
      <c r="CD77" s="1233"/>
      <c r="CE77" s="1233"/>
      <c r="CF77" s="1233"/>
      <c r="CG77" s="1233"/>
      <c r="CH77" s="1233"/>
      <c r="CI77" s="1233"/>
      <c r="CJ77" s="1233"/>
      <c r="CK77" s="1233"/>
      <c r="CL77" s="1233"/>
      <c r="CM77" s="1233"/>
      <c r="CN77" s="1230" t="b">
        <f>IF(CH86=18,13)</f>
        <v>0</v>
      </c>
      <c r="CO77" s="1221"/>
      <c r="CQ77" s="1167"/>
      <c r="CR77" s="1167"/>
      <c r="CS77" s="1167"/>
      <c r="CT77" s="1167"/>
      <c r="CU77" s="1167"/>
      <c r="CV77" s="1167"/>
      <c r="CW77" s="1167"/>
      <c r="CX77" s="1167"/>
      <c r="CY77" s="1167"/>
      <c r="CZ77" s="1167"/>
      <c r="DA77" s="1167"/>
      <c r="DB77" s="1167"/>
      <c r="DC77" s="1167"/>
      <c r="DD77" s="1167"/>
      <c r="EK77" s="1167"/>
      <c r="EL77" s="1167"/>
    </row>
    <row r="78" spans="2:144" ht="21" hidden="1" thickBot="1" x14ac:dyDescent="0.25">
      <c r="G78" s="1137"/>
      <c r="H78" s="1118"/>
      <c r="I78" s="1118"/>
      <c r="J78" s="1118"/>
      <c r="K78" s="1118"/>
      <c r="L78" s="1118"/>
      <c r="M78" s="1118"/>
      <c r="N78" s="1118"/>
      <c r="O78" s="1119"/>
      <c r="U78" s="1178"/>
      <c r="AB78" s="1178"/>
      <c r="AC78" s="1178"/>
      <c r="AD78" s="1178"/>
      <c r="AE78" s="1178"/>
      <c r="BE78" s="1219"/>
      <c r="BF78" s="1219"/>
      <c r="BG78" s="1219"/>
      <c r="BH78" s="1219"/>
      <c r="BN78" s="1185"/>
      <c r="BO78" s="1219"/>
      <c r="BP78" s="1220"/>
      <c r="BQ78" s="1220"/>
      <c r="BR78" s="1221"/>
      <c r="BS78" s="1220"/>
      <c r="BT78" s="1220"/>
      <c r="BU78" s="1220"/>
      <c r="CA78" s="1123">
        <v>6</v>
      </c>
      <c r="CB78" s="1245" t="b">
        <f>IF(CG86=17,1)</f>
        <v>0</v>
      </c>
      <c r="CC78" s="1233"/>
      <c r="CD78" s="1233"/>
      <c r="CE78" s="1233"/>
      <c r="CF78" s="1233"/>
      <c r="CG78" s="1233"/>
      <c r="CH78" s="1233"/>
      <c r="CI78" s="1233"/>
      <c r="CJ78" s="1233"/>
      <c r="CK78" s="1233"/>
      <c r="CL78" s="1230" t="b">
        <f>IF(CG86=17,11)</f>
        <v>0</v>
      </c>
      <c r="CM78" s="1220"/>
      <c r="CN78" s="1220"/>
      <c r="CO78" s="1221"/>
      <c r="CQ78" s="1167"/>
      <c r="CR78" s="1167"/>
      <c r="CS78" s="1167"/>
      <c r="CT78" s="1167"/>
      <c r="CU78" s="1167"/>
      <c r="CV78" s="1167"/>
      <c r="CW78" s="1167"/>
      <c r="CX78" s="1167"/>
      <c r="CY78" s="1167"/>
      <c r="CZ78" s="1167"/>
      <c r="DA78" s="1167"/>
      <c r="DB78" s="1167"/>
      <c r="DC78" s="1167"/>
      <c r="DD78" s="1167"/>
      <c r="EK78" s="1167"/>
      <c r="EL78" s="1167"/>
    </row>
    <row r="79" spans="2:144" ht="21" hidden="1" thickBot="1" x14ac:dyDescent="0.25">
      <c r="G79" s="1246"/>
      <c r="H79" s="1118"/>
      <c r="I79" s="1118"/>
      <c r="J79" s="1118"/>
      <c r="K79" s="1118"/>
      <c r="L79" s="1118"/>
      <c r="M79" s="1118"/>
      <c r="N79" s="1118"/>
      <c r="O79" s="1119"/>
      <c r="U79" s="1178"/>
      <c r="AB79" s="1178"/>
      <c r="AC79" s="1178"/>
      <c r="AD79" s="1178"/>
      <c r="AE79" s="1178"/>
      <c r="BE79" s="1219"/>
      <c r="BF79" s="1219"/>
      <c r="BG79" s="1219"/>
      <c r="BH79" s="1219"/>
      <c r="BN79" s="1185"/>
      <c r="BO79" s="1219"/>
      <c r="BP79" s="1220"/>
      <c r="BQ79" s="1220"/>
      <c r="BR79" s="1221"/>
      <c r="BS79" s="1220"/>
      <c r="BT79" s="1220"/>
      <c r="BU79" s="1220"/>
      <c r="CA79" s="1123">
        <v>5</v>
      </c>
      <c r="CB79" s="1225">
        <f>IF(CF86=16,1)</f>
        <v>1</v>
      </c>
      <c r="CC79" s="1232"/>
      <c r="CD79" s="1232"/>
      <c r="CE79" s="1238"/>
      <c r="CF79" s="1232"/>
      <c r="CG79" s="1238"/>
      <c r="CH79" s="1232"/>
      <c r="CI79" s="1232"/>
      <c r="CJ79" s="1227">
        <f>IF(CF86=16,9)</f>
        <v>9</v>
      </c>
      <c r="CK79" s="1220"/>
      <c r="CL79" s="1220"/>
      <c r="CM79" s="1220"/>
      <c r="CN79" s="1220"/>
      <c r="CO79" s="1221"/>
      <c r="CQ79" s="1167"/>
      <c r="CR79" s="1167"/>
      <c r="CS79" s="1167"/>
      <c r="CT79" s="1167"/>
      <c r="CU79" s="1167"/>
      <c r="CV79" s="1167"/>
      <c r="CW79" s="1167"/>
      <c r="CX79" s="1167"/>
      <c r="CY79" s="1167"/>
      <c r="CZ79" s="1167"/>
      <c r="DA79" s="1167"/>
      <c r="DB79" s="1167"/>
      <c r="DC79" s="1167"/>
      <c r="DD79" s="1167"/>
      <c r="EK79" s="1167"/>
      <c r="EL79" s="1167"/>
    </row>
    <row r="80" spans="2:144" ht="21" hidden="1" thickBot="1" x14ac:dyDescent="0.25">
      <c r="B80" s="1247"/>
      <c r="C80" s="1247"/>
      <c r="D80" s="593"/>
      <c r="E80" s="593"/>
      <c r="F80" s="593"/>
      <c r="G80" s="1137"/>
      <c r="H80" s="1118"/>
      <c r="I80" s="1118"/>
      <c r="J80" s="1118"/>
      <c r="K80" s="1118"/>
      <c r="L80" s="1118"/>
      <c r="M80" s="1118"/>
      <c r="N80" s="1118"/>
      <c r="O80" s="1119"/>
      <c r="BD80" s="1248"/>
      <c r="BE80" s="1219"/>
      <c r="BF80" s="1219"/>
      <c r="BG80" s="1219"/>
      <c r="BH80" s="1219"/>
      <c r="BN80" s="1185"/>
      <c r="BO80" s="1219"/>
      <c r="BP80" s="1220"/>
      <c r="BQ80" s="1220"/>
      <c r="BR80" s="1221"/>
      <c r="BS80" s="1220"/>
      <c r="BT80" s="1220"/>
      <c r="BU80" s="1220"/>
      <c r="CA80" s="1123">
        <v>4</v>
      </c>
      <c r="CB80" s="1225" t="b">
        <f>IF(CE86=15,1)</f>
        <v>0</v>
      </c>
      <c r="CC80" s="1238"/>
      <c r="CD80" s="1238"/>
      <c r="CE80" s="1232"/>
      <c r="CF80" s="1238"/>
      <c r="CG80" s="1238"/>
      <c r="CH80" s="1227" t="b">
        <f>IF(CE86=15,7)</f>
        <v>0</v>
      </c>
      <c r="CI80" s="1220"/>
      <c r="CJ80" s="1220"/>
      <c r="CK80" s="1220"/>
      <c r="CL80" s="1220"/>
      <c r="CM80" s="1220"/>
      <c r="CN80" s="1220"/>
      <c r="CO80" s="1221"/>
      <c r="CQ80" s="1167"/>
      <c r="CR80" s="1167"/>
      <c r="CS80" s="1167"/>
      <c r="CT80" s="1167"/>
      <c r="CU80" s="1167"/>
      <c r="CV80" s="1167"/>
      <c r="CW80" s="1167"/>
      <c r="CX80" s="1167"/>
      <c r="CY80" s="1167"/>
      <c r="CZ80" s="1167"/>
      <c r="DA80" s="1167"/>
      <c r="DB80" s="1167"/>
      <c r="DC80" s="1167"/>
      <c r="DD80" s="1167"/>
      <c r="EK80" s="1167"/>
      <c r="EL80" s="1167"/>
    </row>
    <row r="81" spans="2:142" ht="21" hidden="1" thickBot="1" x14ac:dyDescent="0.25">
      <c r="G81" s="1137"/>
      <c r="H81" s="1118"/>
      <c r="I81" s="1118"/>
      <c r="J81" s="1118"/>
      <c r="K81" s="1118"/>
      <c r="L81" s="1118"/>
      <c r="M81" s="1118"/>
      <c r="N81" s="1118"/>
      <c r="O81" s="1119"/>
      <c r="BD81" s="1248"/>
      <c r="BE81" s="1219"/>
      <c r="BF81" s="1219"/>
      <c r="BG81" s="1219"/>
      <c r="BH81" s="1219"/>
      <c r="BN81" s="1185"/>
      <c r="BO81" s="1219"/>
      <c r="BP81" s="1220"/>
      <c r="BQ81" s="1220"/>
      <c r="BR81" s="1221"/>
      <c r="BS81" s="1220"/>
      <c r="BT81" s="1220"/>
      <c r="BU81" s="1220"/>
      <c r="CA81" s="1123">
        <v>3</v>
      </c>
      <c r="CB81" s="1245" t="b">
        <f>IF(CD86=14,1)</f>
        <v>0</v>
      </c>
      <c r="CC81" s="1233"/>
      <c r="CD81" s="1233"/>
      <c r="CE81" s="1233"/>
      <c r="CF81" s="1230" t="b">
        <f>IF(CD86=14,5)</f>
        <v>0</v>
      </c>
      <c r="CG81" s="1220"/>
      <c r="CH81" s="1220"/>
      <c r="CI81" s="1220"/>
      <c r="CJ81" s="1220"/>
      <c r="CK81" s="1220"/>
      <c r="CL81" s="1220"/>
      <c r="CM81" s="1220"/>
      <c r="CN81" s="1220"/>
      <c r="CO81" s="1221"/>
      <c r="CQ81" s="1167"/>
      <c r="CR81" s="1167"/>
      <c r="CS81" s="1167"/>
      <c r="CT81" s="1167"/>
      <c r="CU81" s="1167"/>
      <c r="CV81" s="1167"/>
      <c r="CW81" s="1167"/>
      <c r="CX81" s="1167"/>
      <c r="CY81" s="1167"/>
      <c r="CZ81" s="1167"/>
      <c r="DA81" s="1167"/>
      <c r="DB81" s="1167"/>
      <c r="DC81" s="1167"/>
      <c r="DD81" s="1167"/>
      <c r="EK81" s="1167"/>
      <c r="EL81" s="1167"/>
    </row>
    <row r="82" spans="2:142" ht="21" hidden="1" thickBot="1" x14ac:dyDescent="0.25">
      <c r="B82" s="1118"/>
      <c r="G82" s="1137"/>
      <c r="H82" s="1118"/>
      <c r="I82" s="1118"/>
      <c r="J82" s="1118"/>
      <c r="K82" s="1118"/>
      <c r="L82" s="1118"/>
      <c r="M82" s="1118"/>
      <c r="N82" s="1118"/>
      <c r="O82" s="1119"/>
      <c r="BD82" s="1248"/>
      <c r="BE82" s="1219"/>
      <c r="BF82" s="1219"/>
      <c r="BG82" s="1219"/>
      <c r="BH82" s="1219"/>
      <c r="BN82" s="1185"/>
      <c r="BO82" s="1219"/>
      <c r="BP82" s="1220"/>
      <c r="BQ82" s="1220"/>
      <c r="BR82" s="1221"/>
      <c r="BS82" s="1220"/>
      <c r="BT82" s="1220"/>
      <c r="BU82" s="1220"/>
      <c r="CA82" s="1123">
        <v>2</v>
      </c>
      <c r="CB82" s="1245" t="b">
        <f>IF(CC86=13,1)</f>
        <v>0</v>
      </c>
      <c r="CC82" s="1233"/>
      <c r="CD82" s="1230" t="b">
        <f>IF(CC86=13,3)</f>
        <v>0</v>
      </c>
      <c r="CE82" s="1220"/>
      <c r="CF82" s="1220"/>
      <c r="CG82" s="1220"/>
      <c r="CH82" s="1220"/>
      <c r="CI82" s="1220"/>
      <c r="CJ82" s="1220"/>
      <c r="CK82" s="1220"/>
      <c r="CL82" s="1220"/>
      <c r="CM82" s="1220"/>
      <c r="CN82" s="1220"/>
      <c r="CO82" s="1221"/>
      <c r="CQ82" s="1167"/>
      <c r="CR82" s="1167"/>
      <c r="CS82" s="1167"/>
      <c r="CT82" s="1167"/>
      <c r="CU82" s="1167"/>
      <c r="CV82" s="1167"/>
      <c r="CW82" s="1167"/>
      <c r="CX82" s="1167"/>
      <c r="CY82" s="1167"/>
      <c r="CZ82" s="1167"/>
      <c r="DA82" s="1167"/>
      <c r="DB82" s="1167"/>
      <c r="DC82" s="1167"/>
      <c r="DD82" s="1167"/>
      <c r="EK82" s="1167"/>
      <c r="EL82" s="1167"/>
    </row>
    <row r="83" spans="2:142" ht="21" thickBot="1" x14ac:dyDescent="0.25">
      <c r="B83" s="1247"/>
      <c r="C83" s="1247"/>
      <c r="D83" s="593"/>
      <c r="E83" s="593"/>
      <c r="F83" s="593"/>
      <c r="G83" s="1137"/>
      <c r="H83" s="1118"/>
      <c r="I83" s="1118"/>
      <c r="J83" s="1118"/>
      <c r="K83" s="1249">
        <v>5</v>
      </c>
      <c r="L83" s="1118"/>
      <c r="M83" s="1249">
        <v>51</v>
      </c>
      <c r="N83" s="1118"/>
      <c r="O83" s="1119"/>
      <c r="BD83" s="1248"/>
      <c r="BE83" s="1219"/>
      <c r="BF83" s="1219"/>
      <c r="BG83" s="1219"/>
      <c r="BH83" s="1219"/>
      <c r="BN83" s="1185"/>
      <c r="BO83" s="1219"/>
      <c r="BP83" s="1220"/>
      <c r="BQ83" s="1220"/>
      <c r="BR83" s="1221"/>
      <c r="BS83" s="1220"/>
      <c r="BT83" s="1220"/>
      <c r="BU83" s="1220"/>
      <c r="BV83" s="1165"/>
      <c r="BW83" s="1220"/>
      <c r="CA83" s="1220"/>
      <c r="CB83" s="1220"/>
      <c r="CC83" s="1220"/>
      <c r="CD83" s="1220"/>
      <c r="CE83" s="1220"/>
      <c r="CF83" s="1220"/>
      <c r="CG83" s="1220"/>
      <c r="CH83" s="1220"/>
      <c r="CI83" s="1220"/>
      <c r="CJ83" s="1220"/>
      <c r="CK83" s="1220"/>
      <c r="CL83" s="1221"/>
      <c r="CM83" s="1240"/>
      <c r="CN83" s="1240"/>
      <c r="CO83" s="1240"/>
      <c r="CQ83" s="1167"/>
      <c r="CR83" s="1167"/>
      <c r="CS83" s="1167"/>
      <c r="CT83" s="1167"/>
      <c r="CU83" s="1167"/>
      <c r="CV83" s="1167"/>
      <c r="CW83" s="1167"/>
      <c r="CX83" s="1167"/>
      <c r="CY83" s="1167"/>
      <c r="CZ83" s="1167"/>
      <c r="DA83" s="1167"/>
      <c r="DB83" s="1167"/>
      <c r="DC83" s="1167"/>
      <c r="DD83" s="1167"/>
      <c r="EK83" s="1167"/>
      <c r="EL83" s="1167"/>
    </row>
    <row r="84" spans="2:142" ht="45" customHeight="1" thickBot="1" x14ac:dyDescent="0.3">
      <c r="B84" s="1247"/>
      <c r="C84" s="1247"/>
      <c r="D84" s="593"/>
      <c r="E84" s="593"/>
      <c r="F84" s="593"/>
      <c r="G84" s="1137"/>
      <c r="H84" s="1118"/>
      <c r="I84" s="1118"/>
      <c r="J84" s="1118"/>
      <c r="K84" s="1250" t="s">
        <v>236</v>
      </c>
      <c r="L84" s="1250" t="s">
        <v>238</v>
      </c>
      <c r="M84" s="1250" t="s">
        <v>237</v>
      </c>
      <c r="N84" s="1118"/>
      <c r="O84" s="1119"/>
      <c r="BD84" s="1248"/>
      <c r="BE84" s="1219"/>
      <c r="BF84" s="1219"/>
      <c r="BG84" s="1219"/>
      <c r="BH84" s="1219"/>
      <c r="BI84" s="1219"/>
      <c r="BK84" s="1219"/>
      <c r="BL84" s="1219"/>
      <c r="BM84" s="1251"/>
      <c r="BN84" s="1252"/>
      <c r="BO84" s="1171" t="s">
        <v>128</v>
      </c>
      <c r="BP84" s="1253" t="s">
        <v>125</v>
      </c>
      <c r="BQ84" s="1254"/>
      <c r="BR84" s="1255"/>
      <c r="BS84" s="1255"/>
      <c r="BT84" s="1255"/>
      <c r="BU84" s="1255"/>
      <c r="BV84" s="1255"/>
      <c r="BW84" s="1255"/>
      <c r="BX84" s="1255"/>
      <c r="BY84" s="1255"/>
      <c r="BZ84" s="1255"/>
      <c r="CA84" s="1255"/>
      <c r="CB84" s="1256">
        <f>SUM(CB68:CB83)</f>
        <v>1</v>
      </c>
      <c r="CC84" s="1257">
        <f t="shared" ref="CC84:CR84" si="0">SUM(CC68:CC83)</f>
        <v>0</v>
      </c>
      <c r="CD84" s="1257">
        <f t="shared" si="0"/>
        <v>0</v>
      </c>
      <c r="CE84" s="1257">
        <f t="shared" si="0"/>
        <v>0</v>
      </c>
      <c r="CF84" s="1257">
        <f t="shared" si="0"/>
        <v>0</v>
      </c>
      <c r="CG84" s="1257">
        <f t="shared" si="0"/>
        <v>0</v>
      </c>
      <c r="CH84" s="1257">
        <f t="shared" si="0"/>
        <v>0</v>
      </c>
      <c r="CI84" s="1257">
        <f t="shared" si="0"/>
        <v>0</v>
      </c>
      <c r="CJ84" s="1257">
        <f t="shared" si="0"/>
        <v>9</v>
      </c>
      <c r="CK84" s="1257">
        <f t="shared" si="0"/>
        <v>0</v>
      </c>
      <c r="CL84" s="1257">
        <f t="shared" si="0"/>
        <v>0</v>
      </c>
      <c r="CM84" s="1257">
        <f t="shared" si="0"/>
        <v>0</v>
      </c>
      <c r="CN84" s="1257">
        <f t="shared" si="0"/>
        <v>0</v>
      </c>
      <c r="CO84" s="1257">
        <f t="shared" si="0"/>
        <v>0</v>
      </c>
      <c r="CP84" s="1257">
        <f t="shared" si="0"/>
        <v>0</v>
      </c>
      <c r="CQ84" s="1257">
        <f t="shared" si="0"/>
        <v>0</v>
      </c>
      <c r="CR84" s="1258">
        <f t="shared" si="0"/>
        <v>0</v>
      </c>
      <c r="CS84" s="1255"/>
      <c r="CT84" s="1255"/>
      <c r="CU84" s="1259"/>
      <c r="CV84" s="1259"/>
      <c r="CW84" s="1259"/>
      <c r="CX84" s="1259"/>
      <c r="CY84" s="1259"/>
      <c r="CZ84" s="1259"/>
      <c r="DA84" s="1260"/>
      <c r="DB84" s="1188"/>
      <c r="DC84" s="1167"/>
      <c r="DD84" s="1167"/>
      <c r="EK84" s="1167"/>
      <c r="EL84" s="1167"/>
    </row>
    <row r="85" spans="2:142" ht="45" customHeight="1" thickBot="1" x14ac:dyDescent="0.3">
      <c r="G85" s="1137"/>
      <c r="H85" s="1118"/>
      <c r="I85" s="1118"/>
      <c r="J85" s="1261" t="s">
        <v>264</v>
      </c>
      <c r="K85" s="1080">
        <f>+MIN(J19:K20)</f>
        <v>23.703703703703702</v>
      </c>
      <c r="L85" s="1081">
        <f>+$E$22/(BQ54)</f>
        <v>23.703703703703702</v>
      </c>
      <c r="M85" s="1081">
        <f>+MIN(K25:L26)</f>
        <v>23.703703703703702</v>
      </c>
      <c r="N85" s="1118"/>
      <c r="O85" s="1119"/>
      <c r="BD85" s="1219"/>
      <c r="BE85" s="1219"/>
      <c r="BF85" s="1219"/>
      <c r="BG85" s="1219"/>
      <c r="BH85" s="1219"/>
      <c r="BI85" s="1219"/>
      <c r="BJ85" s="1219"/>
      <c r="BK85" s="1219"/>
      <c r="BL85" s="1169">
        <v>4</v>
      </c>
      <c r="BM85" s="1762" t="b">
        <f>AND(BO85&gt;=10,$BA$138&gt;=10,$BB$138&gt;=10,$BA$170&gt;=10,$BB$170&gt;=10,$BA$194&gt;=10,$BB$194&gt;=10,$BA$223&gt;=10,$BB$223&gt;=10)</f>
        <v>1</v>
      </c>
      <c r="BN85" s="1179" t="str">
        <f>IF(BM85=TRUE,"O K","OVERLOAD")</f>
        <v>O K</v>
      </c>
      <c r="BO85" s="982">
        <f>+$E$22/(BQ54/2)</f>
        <v>47.407407407407405</v>
      </c>
      <c r="BP85" s="1262"/>
      <c r="BQ85" s="1240"/>
      <c r="BR85" s="1241"/>
      <c r="BS85" s="1240"/>
      <c r="BT85" s="1240"/>
      <c r="BU85" s="1240"/>
      <c r="BV85" s="1241"/>
      <c r="BW85" s="1240"/>
      <c r="BX85" s="1240"/>
      <c r="BY85" s="1240"/>
      <c r="BZ85" s="1240"/>
      <c r="CA85" s="1240"/>
      <c r="CB85" s="1240"/>
      <c r="CC85" s="1240"/>
      <c r="CD85" s="1240"/>
      <c r="CE85" s="1240"/>
      <c r="CF85" s="1240"/>
      <c r="CG85" s="1240"/>
      <c r="CH85" s="1240"/>
      <c r="CI85" s="1240"/>
      <c r="CJ85" s="1240"/>
      <c r="CK85" s="1240"/>
      <c r="CL85" s="1240"/>
      <c r="CM85" s="1240"/>
      <c r="CN85" s="1240"/>
      <c r="CO85" s="1240"/>
      <c r="CP85" s="1240"/>
      <c r="CQ85" s="1240"/>
      <c r="CR85" s="1240"/>
      <c r="CS85" s="1167"/>
      <c r="CT85" s="1167"/>
      <c r="CU85" s="1167"/>
      <c r="CV85" s="1167"/>
      <c r="CW85" s="1167"/>
      <c r="CX85" s="1167"/>
      <c r="CY85" s="1167"/>
      <c r="CZ85" s="1167"/>
      <c r="DA85" s="1167"/>
      <c r="DB85" s="1167"/>
      <c r="DC85" s="1167"/>
      <c r="DD85" s="1167"/>
      <c r="EK85" s="1167"/>
      <c r="EL85" s="1167"/>
    </row>
    <row r="86" spans="2:142" ht="21" hidden="1" thickBot="1" x14ac:dyDescent="0.25">
      <c r="B86" s="1263"/>
      <c r="C86" s="1263"/>
      <c r="G86" s="1137"/>
      <c r="H86" s="1118"/>
      <c r="I86" s="1128">
        <v>6</v>
      </c>
      <c r="J86" s="1128">
        <v>61</v>
      </c>
      <c r="K86" s="1128">
        <v>62</v>
      </c>
      <c r="L86" s="1128">
        <v>63</v>
      </c>
      <c r="M86" s="1249">
        <v>64</v>
      </c>
      <c r="N86" s="1118"/>
      <c r="O86" s="1119"/>
      <c r="U86" s="1131"/>
      <c r="V86" s="1131"/>
      <c r="W86" s="1131"/>
      <c r="X86" s="1131"/>
      <c r="Y86" s="1131"/>
      <c r="Z86" s="1131"/>
      <c r="AA86" s="1131"/>
      <c r="AF86" s="1131"/>
      <c r="AG86" s="1131"/>
      <c r="AH86" s="1131"/>
      <c r="AI86" s="1131"/>
      <c r="AJ86" s="1131"/>
      <c r="AK86" s="1131"/>
      <c r="AL86" s="1131"/>
      <c r="AM86" s="1131"/>
      <c r="AN86" s="1131"/>
      <c r="AO86" s="1131"/>
      <c r="AP86" s="1131"/>
      <c r="AQ86" s="1131"/>
      <c r="AR86" s="1131"/>
      <c r="AS86" s="1131"/>
      <c r="AT86" s="1131"/>
      <c r="AU86" s="1131"/>
      <c r="AV86" s="1131"/>
      <c r="AW86" s="1131"/>
      <c r="AX86" s="1131"/>
      <c r="AY86" s="1131"/>
      <c r="AZ86" s="1131"/>
      <c r="BA86" s="1131"/>
      <c r="BB86" s="1131"/>
      <c r="BC86" s="1248"/>
      <c r="BD86" s="1219"/>
      <c r="BE86" s="1219"/>
      <c r="BF86" s="1219"/>
      <c r="BG86" s="1219"/>
      <c r="BH86" s="1219"/>
      <c r="BI86" s="1219"/>
      <c r="BJ86" s="1219"/>
      <c r="BK86" s="1219"/>
      <c r="BL86" s="1219"/>
      <c r="BM86" s="1251"/>
      <c r="BN86" s="1252"/>
      <c r="BO86" s="1219"/>
      <c r="BP86" s="1165"/>
      <c r="BQ86" s="1264" t="b">
        <f>+BK163</f>
        <v>0</v>
      </c>
      <c r="BR86" s="1264" t="b">
        <f>+BK164</f>
        <v>0</v>
      </c>
      <c r="BS86" s="1264" t="b">
        <f>+BK165</f>
        <v>0</v>
      </c>
      <c r="BT86" s="1264" t="b">
        <f>+BK166</f>
        <v>0</v>
      </c>
      <c r="BU86" s="1264" t="b">
        <f>+BK167</f>
        <v>0</v>
      </c>
      <c r="BV86" s="1264" t="b">
        <f>+BK168</f>
        <v>0</v>
      </c>
      <c r="BW86" s="1264" t="b">
        <f>+BK169</f>
        <v>0</v>
      </c>
      <c r="BX86" s="1264" t="b">
        <f>+BK170</f>
        <v>0</v>
      </c>
      <c r="BY86" s="1264" t="b">
        <f>+BK171</f>
        <v>0</v>
      </c>
      <c r="BZ86" s="1264" t="b">
        <f>+BK172</f>
        <v>0</v>
      </c>
      <c r="CA86" s="1264" t="b">
        <f>+BK173</f>
        <v>0</v>
      </c>
      <c r="CB86" s="1264" t="b">
        <f>+BK174</f>
        <v>0</v>
      </c>
      <c r="CC86" s="1264" t="b">
        <f>+BK175</f>
        <v>0</v>
      </c>
      <c r="CD86" s="1264" t="b">
        <f>+BK176</f>
        <v>0</v>
      </c>
      <c r="CE86" s="1264" t="b">
        <f>+BK177</f>
        <v>0</v>
      </c>
      <c r="CF86" s="1264">
        <f>+BK178</f>
        <v>16</v>
      </c>
      <c r="CG86" s="1264" t="b">
        <f>+BK179</f>
        <v>0</v>
      </c>
      <c r="CH86" s="1264" t="b">
        <f>+BK180</f>
        <v>0</v>
      </c>
      <c r="CI86" s="1264" t="b">
        <f>+BK181</f>
        <v>0</v>
      </c>
      <c r="CJ86" s="1264" t="b">
        <f>+BK182</f>
        <v>0</v>
      </c>
      <c r="CK86" s="1264" t="b">
        <f>+BK183</f>
        <v>0</v>
      </c>
      <c r="CL86" s="1264" t="b">
        <f>+BK184</f>
        <v>0</v>
      </c>
      <c r="CM86" s="1264" t="b">
        <f>+BK188</f>
        <v>0</v>
      </c>
      <c r="CN86" s="1264" t="b">
        <f>+BK189</f>
        <v>0</v>
      </c>
      <c r="CO86" s="1264" t="b">
        <f>+BK190</f>
        <v>0</v>
      </c>
      <c r="CP86" s="1264" t="b">
        <f>+BK191</f>
        <v>0</v>
      </c>
      <c r="CQ86" s="1264" t="b">
        <f>+BK192</f>
        <v>0</v>
      </c>
      <c r="CR86" s="1264" t="b">
        <f>+BK193</f>
        <v>0</v>
      </c>
      <c r="CS86" s="1264" t="b">
        <f>+BK194</f>
        <v>0</v>
      </c>
      <c r="CT86" s="1264" t="b">
        <f>+BK195</f>
        <v>0</v>
      </c>
      <c r="CU86" s="1264" t="b">
        <f>+BK196</f>
        <v>0</v>
      </c>
      <c r="CV86" s="1264" t="b">
        <f>+BK197</f>
        <v>0</v>
      </c>
      <c r="CW86" s="1264" t="b">
        <f>+BK198</f>
        <v>0</v>
      </c>
      <c r="CX86" s="1264" t="b">
        <f>+BK199</f>
        <v>0</v>
      </c>
      <c r="CY86" s="1264" t="b">
        <f>+BK200</f>
        <v>0</v>
      </c>
      <c r="CZ86" s="1264" t="b">
        <f>+BK201</f>
        <v>0</v>
      </c>
      <c r="DA86" s="1264" t="b">
        <f>+BK202</f>
        <v>0</v>
      </c>
      <c r="DB86" s="1265"/>
      <c r="DC86" s="1167"/>
      <c r="DD86" s="1167"/>
      <c r="EK86" s="1167"/>
      <c r="EL86" s="1167"/>
    </row>
    <row r="87" spans="2:142" ht="20" hidden="1" x14ac:dyDescent="0.2">
      <c r="E87" s="1266"/>
      <c r="F87" s="1266"/>
      <c r="G87" s="1137"/>
      <c r="H87" s="1118"/>
      <c r="I87" s="1118"/>
      <c r="J87" s="1118"/>
      <c r="K87" s="1118"/>
      <c r="L87" s="1118"/>
      <c r="M87" s="1118"/>
      <c r="N87" s="1118"/>
      <c r="O87" s="1119"/>
      <c r="BD87" s="1219"/>
      <c r="BE87" s="1219"/>
      <c r="BF87" s="1219"/>
      <c r="BG87" s="1219"/>
      <c r="BH87" s="1219"/>
      <c r="BI87" s="1219"/>
      <c r="BJ87" s="1219"/>
      <c r="BK87" s="1219"/>
      <c r="BL87" s="1219"/>
      <c r="BM87" s="1251"/>
      <c r="BN87" s="1252"/>
      <c r="BO87" s="1219"/>
      <c r="BP87" s="1167"/>
      <c r="BQ87" s="1265" t="b">
        <f>+BQ86</f>
        <v>0</v>
      </c>
      <c r="BR87" s="1265" t="b">
        <f t="shared" ref="BR87:CI87" si="1">+BR86</f>
        <v>0</v>
      </c>
      <c r="BS87" s="1265" t="b">
        <f t="shared" si="1"/>
        <v>0</v>
      </c>
      <c r="BT87" s="1265" t="b">
        <f t="shared" si="1"/>
        <v>0</v>
      </c>
      <c r="BU87" s="1265" t="b">
        <f t="shared" si="1"/>
        <v>0</v>
      </c>
      <c r="BV87" s="1265" t="b">
        <f t="shared" si="1"/>
        <v>0</v>
      </c>
      <c r="BW87" s="1265" t="b">
        <f>+BW86</f>
        <v>0</v>
      </c>
      <c r="BX87" s="1265" t="b">
        <f t="shared" si="1"/>
        <v>0</v>
      </c>
      <c r="BY87" s="1265" t="b">
        <f t="shared" si="1"/>
        <v>0</v>
      </c>
      <c r="BZ87" s="1265" t="b">
        <f t="shared" si="1"/>
        <v>0</v>
      </c>
      <c r="CA87" s="1265" t="b">
        <f t="shared" si="1"/>
        <v>0</v>
      </c>
      <c r="CB87" s="1265" t="b">
        <f>+CB86</f>
        <v>0</v>
      </c>
      <c r="CC87" s="1265" t="b">
        <f>+CC86</f>
        <v>0</v>
      </c>
      <c r="CD87" s="1265" t="b">
        <f>+CD86</f>
        <v>0</v>
      </c>
      <c r="CE87" s="1265" t="b">
        <f>+CE86</f>
        <v>0</v>
      </c>
      <c r="CF87" s="1265">
        <f>+CF86</f>
        <v>16</v>
      </c>
      <c r="CG87" s="1265" t="b">
        <f t="shared" si="1"/>
        <v>0</v>
      </c>
      <c r="CH87" s="1265" t="b">
        <f t="shared" si="1"/>
        <v>0</v>
      </c>
      <c r="CI87" s="1265" t="b">
        <f t="shared" si="1"/>
        <v>0</v>
      </c>
      <c r="CJ87" s="1265" t="b">
        <f>+CJ86</f>
        <v>0</v>
      </c>
      <c r="CK87" s="1265" t="b">
        <f>+CK86</f>
        <v>0</v>
      </c>
      <c r="CL87" s="1265" t="b">
        <f t="shared" ref="CL87:DA87" si="2">+CL86</f>
        <v>0</v>
      </c>
      <c r="CM87" s="1265" t="b">
        <f t="shared" si="2"/>
        <v>0</v>
      </c>
      <c r="CN87" s="1265" t="b">
        <f t="shared" si="2"/>
        <v>0</v>
      </c>
      <c r="CO87" s="1265" t="b">
        <f t="shared" si="2"/>
        <v>0</v>
      </c>
      <c r="CP87" s="1265" t="b">
        <f t="shared" si="2"/>
        <v>0</v>
      </c>
      <c r="CQ87" s="1265" t="b">
        <f t="shared" si="2"/>
        <v>0</v>
      </c>
      <c r="CR87" s="1265" t="b">
        <f t="shared" si="2"/>
        <v>0</v>
      </c>
      <c r="CS87" s="1265" t="b">
        <f t="shared" si="2"/>
        <v>0</v>
      </c>
      <c r="CT87" s="1265" t="b">
        <f t="shared" si="2"/>
        <v>0</v>
      </c>
      <c r="CU87" s="1265" t="b">
        <f t="shared" si="2"/>
        <v>0</v>
      </c>
      <c r="CV87" s="1265" t="b">
        <f t="shared" si="2"/>
        <v>0</v>
      </c>
      <c r="CW87" s="1265" t="b">
        <f t="shared" si="2"/>
        <v>0</v>
      </c>
      <c r="CX87" s="1265" t="b">
        <f t="shared" si="2"/>
        <v>0</v>
      </c>
      <c r="CY87" s="1265" t="b">
        <f t="shared" si="2"/>
        <v>0</v>
      </c>
      <c r="CZ87" s="1265" t="b">
        <f t="shared" si="2"/>
        <v>0</v>
      </c>
      <c r="DA87" s="1265" t="b">
        <f t="shared" si="2"/>
        <v>0</v>
      </c>
      <c r="DB87" s="1265"/>
      <c r="DC87" s="1167"/>
      <c r="DD87" s="1167"/>
      <c r="EK87" s="1167"/>
      <c r="EL87" s="1167"/>
    </row>
    <row r="88" spans="2:142" ht="21" thickBot="1" x14ac:dyDescent="0.25">
      <c r="E88" s="1266"/>
      <c r="F88" s="1266"/>
      <c r="G88" s="1137"/>
      <c r="H88" s="1118"/>
      <c r="I88" s="1118"/>
      <c r="J88" s="1118"/>
      <c r="K88" s="1118"/>
      <c r="L88" s="1118"/>
      <c r="M88" s="1118"/>
      <c r="N88" s="1118"/>
      <c r="O88" s="1119"/>
      <c r="V88" s="1267"/>
      <c r="W88" s="1267"/>
      <c r="X88" s="1267"/>
      <c r="Y88" s="1267"/>
      <c r="Z88" s="1267"/>
      <c r="AA88" s="1267"/>
      <c r="AF88" s="1268"/>
      <c r="AG88" s="1268"/>
      <c r="AH88" s="1268"/>
      <c r="AI88" s="1268"/>
      <c r="AJ88" s="1268"/>
      <c r="AK88" s="1268"/>
      <c r="AL88" s="1268"/>
      <c r="AM88" s="1268"/>
      <c r="AN88" s="1268"/>
      <c r="AO88" s="1268"/>
      <c r="AP88" s="1268"/>
      <c r="AQ88" s="1268"/>
      <c r="AR88" s="1268"/>
      <c r="AS88" s="1268"/>
      <c r="AT88" s="1268"/>
      <c r="AU88" s="1268"/>
      <c r="AV88" s="1268"/>
      <c r="AW88" s="1268"/>
      <c r="AX88" s="1268"/>
      <c r="AY88" s="1268"/>
      <c r="AZ88" s="1268"/>
      <c r="BA88" s="1268"/>
      <c r="BB88" s="1268"/>
      <c r="BC88" s="1269"/>
      <c r="BD88" s="1219"/>
      <c r="BE88" s="1219"/>
      <c r="BF88" s="1219"/>
      <c r="BG88" s="1219"/>
      <c r="BH88" s="1219"/>
      <c r="BI88" s="1219"/>
      <c r="BJ88" s="1219"/>
      <c r="BK88" s="1219"/>
      <c r="BL88" s="1219"/>
      <c r="BM88" s="1251"/>
      <c r="BN88" s="1252"/>
      <c r="BO88" s="1219"/>
      <c r="BP88" s="1167"/>
      <c r="BQ88" s="1265"/>
      <c r="BR88" s="1265"/>
      <c r="BS88" s="1265"/>
      <c r="BT88" s="1265"/>
      <c r="BU88" s="1265"/>
      <c r="BV88" s="1265"/>
      <c r="BW88" s="1265"/>
      <c r="BX88" s="1265"/>
      <c r="BY88" s="1265"/>
      <c r="BZ88" s="1265"/>
      <c r="CA88" s="1265"/>
      <c r="CB88" s="1265"/>
      <c r="CC88" s="1265"/>
      <c r="CD88" s="1265"/>
      <c r="CE88" s="1265"/>
      <c r="CF88" s="1265"/>
      <c r="CG88" s="1265"/>
      <c r="CH88" s="1265"/>
      <c r="CI88" s="1265"/>
      <c r="CJ88" s="1265"/>
      <c r="CK88" s="1265"/>
      <c r="CL88" s="1265"/>
      <c r="CM88" s="1265"/>
      <c r="CN88" s="1265"/>
      <c r="CO88" s="1265"/>
      <c r="CP88" s="1265"/>
      <c r="CQ88" s="1265"/>
      <c r="CR88" s="1265"/>
      <c r="CS88" s="1265"/>
      <c r="CT88" s="1265"/>
      <c r="CU88" s="1265"/>
      <c r="CV88" s="1265"/>
      <c r="CW88" s="1265"/>
      <c r="CX88" s="1265"/>
      <c r="CY88" s="1265"/>
      <c r="CZ88" s="1265"/>
      <c r="DA88" s="1265"/>
      <c r="DB88" s="1265"/>
      <c r="DC88" s="1167"/>
      <c r="DD88" s="1167"/>
      <c r="EK88" s="1167"/>
      <c r="EL88" s="1167"/>
    </row>
    <row r="89" spans="2:142" ht="45" customHeight="1" thickBot="1" x14ac:dyDescent="0.3">
      <c r="E89" s="1266"/>
      <c r="F89" s="1266"/>
      <c r="G89" s="1137"/>
      <c r="H89" s="1118"/>
      <c r="I89" s="1118"/>
      <c r="J89" s="1118"/>
      <c r="K89" s="1118"/>
      <c r="L89" s="1118"/>
      <c r="M89" s="1118"/>
      <c r="N89" s="1118"/>
      <c r="O89" s="1119"/>
      <c r="BD89" s="1219"/>
      <c r="BE89" s="1219"/>
      <c r="BF89" s="1219"/>
      <c r="BG89" s="1219"/>
      <c r="BH89" s="1219"/>
      <c r="BI89" s="1219"/>
      <c r="BJ89" s="1219"/>
      <c r="BK89" s="1219"/>
      <c r="BL89" s="1219"/>
      <c r="BM89" s="1251"/>
      <c r="BN89" s="1252"/>
      <c r="BO89" s="1171" t="s">
        <v>128</v>
      </c>
      <c r="BP89" s="1270" t="s">
        <v>129</v>
      </c>
      <c r="BQ89" s="1271" t="str">
        <f>IF(BQ87=1,17,"")</f>
        <v/>
      </c>
      <c r="BR89" s="1272" t="str">
        <f>IF(BR87=2,16,"")</f>
        <v/>
      </c>
      <c r="BS89" s="1272" t="str">
        <f>IF(BS87=3,15,"")</f>
        <v/>
      </c>
      <c r="BT89" s="1272" t="str">
        <f>IF(BT87=4,14,"")</f>
        <v/>
      </c>
      <c r="BU89" s="1272" t="str">
        <f>IF(BU87=5,13,"")</f>
        <v/>
      </c>
      <c r="BV89" s="1272" t="str">
        <f>IF(BV87=6,12,"")</f>
        <v/>
      </c>
      <c r="BW89" s="1272" t="str">
        <f>IF(BW87=7,11,"")</f>
        <v/>
      </c>
      <c r="BX89" s="1272" t="str">
        <f>IF(BX87=8,10,"")</f>
        <v/>
      </c>
      <c r="BY89" s="1272" t="str">
        <f>IF(BY87=9,9,"")</f>
        <v/>
      </c>
      <c r="BZ89" s="1272" t="str">
        <f>IF(BZ87=10,8,"")</f>
        <v/>
      </c>
      <c r="CA89" s="1272" t="str">
        <f>IF(CA87=11,7,"")</f>
        <v/>
      </c>
      <c r="CB89" s="1273" t="str">
        <f>IF(CB87=12,1,"")</f>
        <v/>
      </c>
      <c r="CC89" s="1274" t="str">
        <f>IF(CC87=13,2,"")</f>
        <v/>
      </c>
      <c r="CD89" s="1274" t="str">
        <f>IF(CD87=14,3,"")</f>
        <v/>
      </c>
      <c r="CE89" s="1274" t="str">
        <f>IF(CE87=15,4,"")</f>
        <v/>
      </c>
      <c r="CF89" s="1274">
        <f>IF(CF87=16,5,"")</f>
        <v>5</v>
      </c>
      <c r="CG89" s="1274" t="str">
        <f>IF(CG87=17,6,"")</f>
        <v/>
      </c>
      <c r="CH89" s="1274" t="str">
        <f>IF(CH87=18,7,"")</f>
        <v/>
      </c>
      <c r="CI89" s="1274" t="str">
        <f>IF(CI87=19,8,"")</f>
        <v/>
      </c>
      <c r="CJ89" s="1274" t="str">
        <f>IF(CJ87=20,9,"")</f>
        <v/>
      </c>
      <c r="CK89" s="1274" t="str">
        <f>IF(CK87=21,10,"")</f>
        <v/>
      </c>
      <c r="CL89" s="1274" t="str">
        <f>IF(CL87=22,11,"")</f>
        <v/>
      </c>
      <c r="CM89" s="1274" t="str">
        <f>IF(CM87=23,12,"")</f>
        <v/>
      </c>
      <c r="CN89" s="1274" t="str">
        <f>IF(CN87=24,13,"")</f>
        <v/>
      </c>
      <c r="CO89" s="1274" t="str">
        <f>IF(CO87=25,14,"")</f>
        <v/>
      </c>
      <c r="CP89" s="1274" t="str">
        <f>IF(CP87=26,15,"")</f>
        <v/>
      </c>
      <c r="CQ89" s="1274" t="str">
        <f>IF(CQ87=27,16,"")</f>
        <v/>
      </c>
      <c r="CR89" s="1275" t="str">
        <f>IF(CR87=28,17,"")</f>
        <v/>
      </c>
      <c r="CS89" s="1276" t="str">
        <f>IF(CS87=29,9,"")</f>
        <v/>
      </c>
      <c r="CT89" s="1276" t="str">
        <f>IF(CT87=30,10,"")</f>
        <v/>
      </c>
      <c r="CU89" s="1276" t="str">
        <f>IF(CU87=31,11,"")</f>
        <v/>
      </c>
      <c r="CV89" s="1276" t="str">
        <f>IF(CV87=32,12,"")</f>
        <v/>
      </c>
      <c r="CW89" s="1276" t="str">
        <f>IF(CW87=33,13,"")</f>
        <v/>
      </c>
      <c r="CX89" s="1276" t="str">
        <f>IF(CX87=34,14,"")</f>
        <v/>
      </c>
      <c r="CY89" s="1276" t="str">
        <f>IF(CY87=35,15,"")</f>
        <v/>
      </c>
      <c r="CZ89" s="1276" t="str">
        <f>IF(CZ87=36,16,"")</f>
        <v/>
      </c>
      <c r="DA89" s="1277" t="str">
        <f>IF(DA87=37,17,"")</f>
        <v/>
      </c>
      <c r="DB89" s="1278"/>
      <c r="DC89" s="1167"/>
      <c r="DD89" s="1167"/>
      <c r="EK89" s="1167"/>
      <c r="EL89" s="1167"/>
    </row>
    <row r="90" spans="2:142" ht="45" customHeight="1" thickBot="1" x14ac:dyDescent="0.3">
      <c r="E90" s="1266"/>
      <c r="F90" s="1266"/>
      <c r="G90" s="1137"/>
      <c r="H90" s="1118"/>
      <c r="I90" s="1118"/>
      <c r="J90" s="1118"/>
      <c r="K90" s="1118"/>
      <c r="L90" s="1118"/>
      <c r="M90" s="1118"/>
      <c r="N90" s="1118"/>
      <c r="O90" s="1119"/>
      <c r="BD90" s="1219"/>
      <c r="BE90" s="1219"/>
      <c r="BF90" s="1219"/>
      <c r="BG90" s="1219"/>
      <c r="BH90" s="1219"/>
      <c r="BI90" s="1219"/>
      <c r="BJ90" s="1219"/>
      <c r="BK90" s="1219"/>
      <c r="BL90" s="1169">
        <v>5</v>
      </c>
      <c r="BM90" s="1762" t="b">
        <f>AND(BO90&gt;=10,$BA$138&gt;=10,$BB$138&gt;=10,$BA$170&gt;=10,$BB$170&gt;=10,$BA$194&gt;=10,$BB$194&gt;=10,$BA$223&gt;=10,$BB$223&gt;=10)</f>
        <v>1</v>
      </c>
      <c r="BN90" s="1179" t="str">
        <f>IF(BM90=TRUE,"O K","OVERLOAD")</f>
        <v>O K</v>
      </c>
      <c r="BO90" s="982">
        <f>IF(SUM(BQ89:CA89)&gt;0,K85,0)+IF(SUM(CB89:CR89)&gt;0,L85,0)+IF(SUM(CS89:DA89)&gt;0,M85,0)</f>
        <v>23.703703703703702</v>
      </c>
      <c r="BP90" s="1279" t="s">
        <v>185</v>
      </c>
      <c r="BQ90" s="1280">
        <v>-10</v>
      </c>
      <c r="BR90" s="1280">
        <v>-9</v>
      </c>
      <c r="BS90" s="1280">
        <v>-8</v>
      </c>
      <c r="BT90" s="1280">
        <v>-7</v>
      </c>
      <c r="BU90" s="1280">
        <v>-6</v>
      </c>
      <c r="BV90" s="1280">
        <v>-5</v>
      </c>
      <c r="BW90" s="1280">
        <v>-4</v>
      </c>
      <c r="BX90" s="1280">
        <v>-3</v>
      </c>
      <c r="BY90" s="1280">
        <v>-2</v>
      </c>
      <c r="BZ90" s="1280">
        <v>-1</v>
      </c>
      <c r="CA90" s="1280">
        <v>0</v>
      </c>
      <c r="CB90" s="1280">
        <v>1</v>
      </c>
      <c r="CC90" s="1280">
        <v>2</v>
      </c>
      <c r="CD90" s="1280">
        <v>3</v>
      </c>
      <c r="CE90" s="1280">
        <v>4</v>
      </c>
      <c r="CF90" s="1280">
        <v>5</v>
      </c>
      <c r="CG90" s="1280">
        <v>6</v>
      </c>
      <c r="CH90" s="1280">
        <v>7</v>
      </c>
      <c r="CI90" s="1280">
        <v>8</v>
      </c>
      <c r="CJ90" s="1280">
        <v>9</v>
      </c>
      <c r="CK90" s="1280">
        <v>10</v>
      </c>
      <c r="CL90" s="1280">
        <v>11</v>
      </c>
      <c r="CM90" s="1280">
        <v>12</v>
      </c>
      <c r="CN90" s="1280">
        <v>13</v>
      </c>
      <c r="CO90" s="1280">
        <v>14</v>
      </c>
      <c r="CP90" s="1280">
        <v>15</v>
      </c>
      <c r="CQ90" s="1280">
        <v>16</v>
      </c>
      <c r="CR90" s="1280">
        <v>17</v>
      </c>
      <c r="CS90" s="1280">
        <v>18</v>
      </c>
      <c r="CT90" s="1280">
        <v>19</v>
      </c>
      <c r="CU90" s="1280">
        <v>20</v>
      </c>
      <c r="CV90" s="1280">
        <v>21</v>
      </c>
      <c r="CW90" s="1280">
        <v>22</v>
      </c>
      <c r="CX90" s="1280">
        <v>23</v>
      </c>
      <c r="CY90" s="1280">
        <v>24</v>
      </c>
      <c r="CZ90" s="1280">
        <v>25</v>
      </c>
      <c r="DA90" s="1281">
        <v>26</v>
      </c>
      <c r="DB90" s="1278"/>
      <c r="DC90" s="1167"/>
      <c r="DD90" s="1167"/>
      <c r="EK90" s="1167"/>
      <c r="EL90" s="1167"/>
    </row>
    <row r="91" spans="2:142" ht="100.5" customHeight="1" thickBot="1" x14ac:dyDescent="0.25">
      <c r="G91" s="1137"/>
      <c r="H91" s="1118"/>
      <c r="I91" s="1118"/>
      <c r="J91" s="1118"/>
      <c r="K91" s="1118"/>
      <c r="L91" s="1118"/>
      <c r="M91" s="1118"/>
      <c r="N91" s="1118"/>
      <c r="O91" s="1119"/>
      <c r="BD91" s="1219"/>
      <c r="BE91" s="1219"/>
      <c r="BF91" s="1219"/>
      <c r="BG91" s="1219"/>
      <c r="BH91" s="1219"/>
      <c r="BI91" s="1219"/>
      <c r="BJ91" s="1219"/>
      <c r="BK91" s="1219"/>
      <c r="BL91" s="1219"/>
      <c r="BM91" s="1251"/>
      <c r="BN91" s="1219"/>
      <c r="BP91" s="1167"/>
      <c r="BQ91" s="1282"/>
      <c r="BR91" s="1282"/>
      <c r="BS91" s="1282"/>
      <c r="BT91" s="1282"/>
      <c r="BU91" s="1282"/>
      <c r="BV91" s="1282"/>
      <c r="BW91" s="1282"/>
      <c r="BX91" s="1282"/>
      <c r="BY91" s="1282"/>
      <c r="BZ91" s="1282"/>
      <c r="CA91" s="1282"/>
      <c r="CB91" s="1282"/>
      <c r="CC91" s="1282"/>
      <c r="CD91" s="1282"/>
      <c r="CE91" s="1282"/>
      <c r="CF91" s="1282"/>
      <c r="CG91" s="1282"/>
      <c r="CH91" s="1282"/>
      <c r="CI91" s="1282"/>
      <c r="CJ91" s="1282"/>
      <c r="CK91" s="1282"/>
      <c r="CL91" s="1282"/>
      <c r="CM91" s="1282"/>
      <c r="CN91" s="1282"/>
      <c r="CO91" s="1282"/>
      <c r="CP91" s="1282"/>
      <c r="CQ91" s="1282"/>
      <c r="CR91" s="1282"/>
      <c r="CS91" s="1282"/>
      <c r="CT91" s="1282"/>
      <c r="CU91" s="1282"/>
      <c r="CV91" s="1282"/>
      <c r="CW91" s="1282"/>
      <c r="CX91" s="1282"/>
      <c r="CY91" s="1282"/>
      <c r="CZ91" s="1282"/>
      <c r="DA91" s="1282"/>
      <c r="DB91" s="1282"/>
      <c r="DC91" s="1167"/>
      <c r="DD91" s="1167"/>
      <c r="EK91" s="1167"/>
      <c r="EL91" s="1167"/>
    </row>
    <row r="92" spans="2:142" ht="24" hidden="1" thickBot="1" x14ac:dyDescent="0.3">
      <c r="E92" s="1138"/>
      <c r="F92" s="1138"/>
      <c r="G92" s="1137"/>
      <c r="H92" s="1118"/>
      <c r="I92" s="1118"/>
      <c r="J92" s="1118"/>
      <c r="K92" s="1118"/>
      <c r="L92" s="1118"/>
      <c r="M92" s="1118"/>
      <c r="N92" s="1118"/>
      <c r="O92" s="1119"/>
      <c r="BN92" s="1185"/>
      <c r="BO92" s="18"/>
      <c r="BP92" s="1283"/>
      <c r="BQ92" s="1284"/>
      <c r="BR92" s="1284"/>
      <c r="BS92" s="1284"/>
      <c r="BT92" s="1284"/>
      <c r="BU92" s="1284"/>
      <c r="BV92" s="1284"/>
      <c r="BW92" s="1284"/>
      <c r="BX92" s="1284"/>
      <c r="BY92" s="1206"/>
      <c r="BZ92" s="1206"/>
      <c r="CA92" s="1188"/>
      <c r="CB92" s="1188"/>
      <c r="CC92" s="1188"/>
      <c r="CD92" s="1188"/>
      <c r="CE92" s="1188"/>
      <c r="CF92" s="1188"/>
      <c r="CG92" s="1188"/>
      <c r="CH92" s="1188"/>
      <c r="CI92" s="1188"/>
      <c r="CJ92" s="1188"/>
      <c r="CK92" s="1188"/>
      <c r="CL92" s="1188"/>
      <c r="CM92" s="1188"/>
      <c r="CN92" s="1139"/>
      <c r="CO92" s="1207"/>
      <c r="CP92" s="1207"/>
      <c r="CQ92" s="1207"/>
      <c r="CR92" s="1207"/>
      <c r="CS92" s="1204"/>
      <c r="CT92" s="1204"/>
      <c r="CU92" s="1204"/>
      <c r="CV92" s="1204"/>
      <c r="CW92" s="1204"/>
      <c r="CX92" s="1204"/>
      <c r="CY92" s="1204"/>
      <c r="CZ92" s="1204"/>
      <c r="DA92" s="1204"/>
      <c r="DB92" s="1204"/>
      <c r="DC92" s="17"/>
      <c r="DD92" s="1167"/>
    </row>
    <row r="93" spans="2:142" ht="24" hidden="1" thickBot="1" x14ac:dyDescent="0.3">
      <c r="E93" s="1138"/>
      <c r="F93" s="1138"/>
      <c r="G93" s="1137"/>
      <c r="H93" s="1118"/>
      <c r="I93" s="1118"/>
      <c r="J93" s="1118"/>
      <c r="K93" s="1118"/>
      <c r="L93" s="1118"/>
      <c r="M93" s="1118"/>
      <c r="N93" s="1118"/>
      <c r="O93" s="1119"/>
      <c r="BN93" s="1185"/>
      <c r="BO93" s="18"/>
      <c r="BP93" s="1283">
        <v>36</v>
      </c>
      <c r="BQ93" s="1284"/>
      <c r="BR93" s="1284"/>
      <c r="BS93" s="1284"/>
      <c r="BT93" s="1284"/>
      <c r="BU93" s="1284"/>
      <c r="BV93" s="1284"/>
      <c r="BW93" s="1284"/>
      <c r="BX93" s="1284"/>
      <c r="BY93" s="1206"/>
      <c r="BZ93" s="1206"/>
      <c r="CA93" s="1188"/>
      <c r="CB93" s="1188"/>
      <c r="CC93" s="1188"/>
      <c r="CD93" s="1188"/>
      <c r="CE93" s="1188"/>
      <c r="CF93" s="1188"/>
      <c r="CG93" s="1188"/>
      <c r="CH93" s="1285"/>
      <c r="CI93" s="1286"/>
      <c r="CJ93" s="1287"/>
      <c r="CK93" s="1188"/>
      <c r="CL93" s="1188"/>
      <c r="CM93" s="1188"/>
      <c r="CN93" s="1139"/>
      <c r="CO93" s="1207"/>
      <c r="CP93" s="1207"/>
      <c r="CQ93" s="1207"/>
      <c r="CR93" s="1207"/>
      <c r="CS93" s="1204"/>
      <c r="CT93" s="1204"/>
      <c r="CU93" s="1204"/>
      <c r="CV93" s="1204"/>
      <c r="CW93" s="1204"/>
      <c r="CX93" s="1204"/>
      <c r="CY93" s="1288" t="b">
        <f>IF(CZ86=36,35)</f>
        <v>0</v>
      </c>
      <c r="CZ93" s="1289"/>
      <c r="DA93" s="1227" t="b">
        <f>IF(CZ86=36,37)</f>
        <v>0</v>
      </c>
      <c r="DB93" s="1204"/>
      <c r="DC93" s="17"/>
      <c r="DD93" s="1167"/>
    </row>
    <row r="94" spans="2:142" ht="24" hidden="1" thickBot="1" x14ac:dyDescent="0.3">
      <c r="E94" s="1138"/>
      <c r="F94" s="1138"/>
      <c r="G94" s="1137"/>
      <c r="H94" s="1118"/>
      <c r="I94" s="1118"/>
      <c r="J94" s="1118"/>
      <c r="K94" s="1118"/>
      <c r="L94" s="1118"/>
      <c r="M94" s="1118"/>
      <c r="N94" s="1118"/>
      <c r="O94" s="1119"/>
      <c r="BN94" s="1185"/>
      <c r="BO94" s="18"/>
      <c r="BP94" s="1283">
        <v>35</v>
      </c>
      <c r="BQ94" s="1284"/>
      <c r="BR94" s="1284"/>
      <c r="BS94" s="1284"/>
      <c r="BT94" s="1284"/>
      <c r="BU94" s="1284"/>
      <c r="BV94" s="1284"/>
      <c r="BW94" s="1284"/>
      <c r="BX94" s="1284"/>
      <c r="BY94" s="1206"/>
      <c r="BZ94" s="1206"/>
      <c r="CA94" s="1188"/>
      <c r="CB94" s="1188"/>
      <c r="CC94" s="1188"/>
      <c r="CD94" s="1188"/>
      <c r="CE94" s="1188"/>
      <c r="CF94" s="1188"/>
      <c r="CG94" s="1188"/>
      <c r="CH94" s="1290"/>
      <c r="CI94" s="1188"/>
      <c r="CJ94" s="1291"/>
      <c r="CK94" s="1188"/>
      <c r="CL94" s="1188"/>
      <c r="CM94" s="1188"/>
      <c r="CN94" s="1139"/>
      <c r="CO94" s="1207"/>
      <c r="CP94" s="1207"/>
      <c r="CQ94" s="1207"/>
      <c r="CR94" s="1207"/>
      <c r="CS94" s="1204"/>
      <c r="CT94" s="1204"/>
      <c r="CU94" s="1204"/>
      <c r="CV94" s="1204"/>
      <c r="CW94" s="1288" t="b">
        <f>IF(CY86=35,33)</f>
        <v>0</v>
      </c>
      <c r="CX94" s="1289"/>
      <c r="CY94" s="1289"/>
      <c r="CZ94" s="1289"/>
      <c r="DA94" s="1227" t="b">
        <f>IF(CY86=35,37)</f>
        <v>0</v>
      </c>
      <c r="DB94" s="1204"/>
      <c r="DC94" s="17"/>
      <c r="DD94" s="1167"/>
    </row>
    <row r="95" spans="2:142" ht="24" hidden="1" thickBot="1" x14ac:dyDescent="0.3">
      <c r="E95" s="1138"/>
      <c r="F95" s="1138"/>
      <c r="G95" s="1137"/>
      <c r="H95" s="1118"/>
      <c r="I95" s="1118"/>
      <c r="J95" s="1118"/>
      <c r="K95" s="1118"/>
      <c r="L95" s="1118"/>
      <c r="M95" s="1118"/>
      <c r="N95" s="1118"/>
      <c r="O95" s="1119"/>
      <c r="BN95" s="1185"/>
      <c r="BO95" s="18"/>
      <c r="BP95" s="1283">
        <v>34</v>
      </c>
      <c r="BQ95" s="1284"/>
      <c r="BR95" s="1284"/>
      <c r="BS95" s="1284"/>
      <c r="BT95" s="1284"/>
      <c r="BU95" s="1284"/>
      <c r="BV95" s="1284"/>
      <c r="BW95" s="1284"/>
      <c r="BX95" s="1284"/>
      <c r="BY95" s="1206"/>
      <c r="BZ95" s="1206"/>
      <c r="CA95" s="1188"/>
      <c r="CB95" s="1188"/>
      <c r="CC95" s="1188"/>
      <c r="CD95" s="1188"/>
      <c r="CE95" s="1188"/>
      <c r="CF95" s="1188"/>
      <c r="CG95" s="1188"/>
      <c r="CH95" s="1290"/>
      <c r="CI95" s="1188"/>
      <c r="CJ95" s="1291"/>
      <c r="CK95" s="1188"/>
      <c r="CL95" s="1188"/>
      <c r="CM95" s="1188"/>
      <c r="CN95" s="1139"/>
      <c r="CO95" s="1207"/>
      <c r="CP95" s="1207"/>
      <c r="CQ95" s="1207"/>
      <c r="CR95" s="1207"/>
      <c r="CS95" s="1204"/>
      <c r="CT95" s="1204"/>
      <c r="CU95" s="1288" t="b">
        <f>IF(CX86=34,31)</f>
        <v>0</v>
      </c>
      <c r="CV95" s="1289"/>
      <c r="CW95" s="1289"/>
      <c r="CX95" s="1289"/>
      <c r="CY95" s="1289"/>
      <c r="CZ95" s="1289"/>
      <c r="DA95" s="1227" t="b">
        <f>IF(CX86=34,37)</f>
        <v>0</v>
      </c>
      <c r="DB95" s="1204"/>
      <c r="DC95" s="17"/>
      <c r="DD95" s="1167"/>
    </row>
    <row r="96" spans="2:142" ht="24" hidden="1" thickBot="1" x14ac:dyDescent="0.3">
      <c r="E96" s="1138"/>
      <c r="F96" s="1138"/>
      <c r="G96" s="1137"/>
      <c r="H96" s="1118"/>
      <c r="I96" s="1118"/>
      <c r="J96" s="1118"/>
      <c r="K96" s="1118"/>
      <c r="L96" s="1118"/>
      <c r="M96" s="1118"/>
      <c r="N96" s="1118"/>
      <c r="O96" s="1119"/>
      <c r="BN96" s="1185"/>
      <c r="BO96" s="18"/>
      <c r="BP96" s="1283">
        <v>33</v>
      </c>
      <c r="BQ96" s="1284"/>
      <c r="BR96" s="1284"/>
      <c r="BS96" s="1284"/>
      <c r="BT96" s="1284"/>
      <c r="BU96" s="1284"/>
      <c r="BV96" s="1284"/>
      <c r="BW96" s="1284"/>
      <c r="BX96" s="1284"/>
      <c r="BY96" s="1206"/>
      <c r="BZ96" s="1206"/>
      <c r="CA96" s="1188"/>
      <c r="CB96" s="1188"/>
      <c r="CC96" s="1188"/>
      <c r="CD96" s="1188"/>
      <c r="CE96" s="1188"/>
      <c r="CF96" s="1188"/>
      <c r="CG96" s="1188"/>
      <c r="CH96" s="1290"/>
      <c r="CI96" s="1188"/>
      <c r="CJ96" s="1291"/>
      <c r="CK96" s="1188"/>
      <c r="CL96" s="1188"/>
      <c r="CM96" s="1188"/>
      <c r="CN96" s="1139"/>
      <c r="CO96" s="1207"/>
      <c r="CP96" s="1207"/>
      <c r="CQ96" s="1207"/>
      <c r="CR96" s="1207"/>
      <c r="CS96" s="1288" t="b">
        <f>IF(CW86=33,29)</f>
        <v>0</v>
      </c>
      <c r="CT96" s="1289"/>
      <c r="CU96" s="1289"/>
      <c r="CV96" s="1289"/>
      <c r="CW96" s="1289"/>
      <c r="CX96" s="1289"/>
      <c r="CY96" s="1289"/>
      <c r="CZ96" s="1289"/>
      <c r="DA96" s="1227" t="b">
        <f>IF(CW86=33,37)</f>
        <v>0</v>
      </c>
      <c r="DB96" s="1204"/>
      <c r="DC96" s="17"/>
      <c r="DD96" s="1167"/>
    </row>
    <row r="97" spans="5:108" ht="21" hidden="1" thickBot="1" x14ac:dyDescent="0.25">
      <c r="E97" s="1138"/>
      <c r="F97" s="1138"/>
      <c r="G97" s="1137"/>
      <c r="H97" s="1118"/>
      <c r="I97" s="1118"/>
      <c r="J97" s="1118"/>
      <c r="K97" s="1118"/>
      <c r="L97" s="1118"/>
      <c r="M97" s="1118"/>
      <c r="N97" s="1118"/>
      <c r="O97" s="1119"/>
      <c r="BN97" s="1185"/>
      <c r="BP97" s="1283">
        <v>32</v>
      </c>
      <c r="BQ97" s="1240"/>
      <c r="BR97" s="1240"/>
      <c r="BS97" s="1240"/>
      <c r="BT97" s="1240"/>
      <c r="BU97" s="1240"/>
      <c r="BV97" s="1241"/>
      <c r="BW97" s="1240"/>
      <c r="BX97" s="1240"/>
      <c r="BY97" s="1240"/>
      <c r="BZ97" s="1240"/>
      <c r="CA97" s="1240"/>
      <c r="CB97" s="1240"/>
      <c r="CC97" s="1240"/>
      <c r="CD97" s="1240"/>
      <c r="CE97" s="1240"/>
      <c r="CF97" s="1240"/>
      <c r="CG97" s="1240"/>
      <c r="CH97" s="1292"/>
      <c r="CI97" s="1240"/>
      <c r="CJ97" s="1293"/>
      <c r="CK97" s="1240"/>
      <c r="CL97" s="1240"/>
      <c r="CM97" s="1240"/>
      <c r="CN97" s="1241"/>
      <c r="CO97" s="1167"/>
      <c r="CP97" s="1167"/>
      <c r="CQ97" s="1288" t="b">
        <f>IF(CV86=32,27)</f>
        <v>0</v>
      </c>
      <c r="CR97" s="1239"/>
      <c r="CS97" s="1239"/>
      <c r="CT97" s="1239"/>
      <c r="CU97" s="1239"/>
      <c r="CV97" s="1239"/>
      <c r="CW97" s="1239"/>
      <c r="CX97" s="1239"/>
      <c r="CY97" s="1239"/>
      <c r="CZ97" s="1239"/>
      <c r="DA97" s="1227" t="b">
        <f>IF(CV86=32,37)</f>
        <v>0</v>
      </c>
      <c r="DB97" s="1167"/>
      <c r="DC97" s="1167"/>
      <c r="DD97" s="1167"/>
    </row>
    <row r="98" spans="5:108" ht="21" hidden="1" thickBot="1" x14ac:dyDescent="0.25">
      <c r="E98" s="1138"/>
      <c r="F98" s="1138"/>
      <c r="G98" s="1137"/>
      <c r="H98" s="1118"/>
      <c r="I98" s="1118"/>
      <c r="J98" s="1118"/>
      <c r="K98" s="1118"/>
      <c r="L98" s="1118"/>
      <c r="M98" s="1118"/>
      <c r="N98" s="1118"/>
      <c r="O98" s="1119"/>
      <c r="BN98" s="1185"/>
      <c r="BP98" s="1283">
        <v>31</v>
      </c>
      <c r="BQ98" s="1240"/>
      <c r="BR98" s="1240"/>
      <c r="BS98" s="1240"/>
      <c r="BT98" s="1240"/>
      <c r="BU98" s="1240"/>
      <c r="BV98" s="1241"/>
      <c r="BW98" s="1240"/>
      <c r="BX98" s="1240"/>
      <c r="BY98" s="1240"/>
      <c r="BZ98" s="1240"/>
      <c r="CA98" s="1240"/>
      <c r="CB98" s="1240"/>
      <c r="CC98" s="1240"/>
      <c r="CD98" s="1240"/>
      <c r="CE98" s="1240"/>
      <c r="CF98" s="1240"/>
      <c r="CG98" s="1240"/>
      <c r="CH98" s="1292"/>
      <c r="CI98" s="1240"/>
      <c r="CJ98" s="1293"/>
      <c r="CK98" s="1240"/>
      <c r="CL98" s="1240"/>
      <c r="CM98" s="1240"/>
      <c r="CN98" s="1241"/>
      <c r="CO98" s="1288" t="b">
        <f>IF(CU86=31,25)</f>
        <v>0</v>
      </c>
      <c r="CP98" s="1239"/>
      <c r="CQ98" s="1239"/>
      <c r="CR98" s="1239"/>
      <c r="CS98" s="1239"/>
      <c r="CT98" s="1239"/>
      <c r="CU98" s="1239"/>
      <c r="CV98" s="1239"/>
      <c r="CW98" s="1239"/>
      <c r="CX98" s="1239"/>
      <c r="CY98" s="1239"/>
      <c r="CZ98" s="1239"/>
      <c r="DA98" s="1227" t="b">
        <f>IF(CU86=31,37)</f>
        <v>0</v>
      </c>
      <c r="DB98" s="1167"/>
      <c r="DC98" s="1167"/>
      <c r="DD98" s="1167"/>
    </row>
    <row r="99" spans="5:108" ht="21" hidden="1" thickBot="1" x14ac:dyDescent="0.25">
      <c r="E99" s="1138"/>
      <c r="F99" s="1138"/>
      <c r="G99" s="1137"/>
      <c r="H99" s="1118"/>
      <c r="I99" s="1118"/>
      <c r="J99" s="1118"/>
      <c r="K99" s="1118"/>
      <c r="L99" s="1118"/>
      <c r="M99" s="1118"/>
      <c r="N99" s="1118"/>
      <c r="O99" s="1119"/>
      <c r="BN99" s="1185"/>
      <c r="BP99" s="1283">
        <v>30</v>
      </c>
      <c r="BQ99" s="1240"/>
      <c r="BR99" s="1240"/>
      <c r="BS99" s="1240"/>
      <c r="BT99" s="1240"/>
      <c r="BU99" s="1240"/>
      <c r="BV99" s="1241"/>
      <c r="BW99" s="1240"/>
      <c r="BX99" s="1240"/>
      <c r="BY99" s="1240"/>
      <c r="BZ99" s="1240"/>
      <c r="CA99" s="1240"/>
      <c r="CB99" s="1240"/>
      <c r="CC99" s="1240"/>
      <c r="CD99" s="1240"/>
      <c r="CE99" s="1240"/>
      <c r="CF99" s="1240"/>
      <c r="CG99" s="1240"/>
      <c r="CH99" s="1292"/>
      <c r="CI99" s="1240"/>
      <c r="CJ99" s="1293"/>
      <c r="CK99" s="1240"/>
      <c r="CL99" s="1240"/>
      <c r="CM99" s="1288" t="b">
        <f>IF(CT86=30,23)</f>
        <v>0</v>
      </c>
      <c r="CN99" s="1294"/>
      <c r="CO99" s="1239"/>
      <c r="CP99" s="1239"/>
      <c r="CQ99" s="1239"/>
      <c r="CR99" s="1239"/>
      <c r="CS99" s="1239"/>
      <c r="CT99" s="1239"/>
      <c r="CU99" s="1239"/>
      <c r="CV99" s="1239"/>
      <c r="CW99" s="1239"/>
      <c r="CX99" s="1239"/>
      <c r="CY99" s="1239"/>
      <c r="CZ99" s="1239"/>
      <c r="DA99" s="1227" t="b">
        <f>IF(CT86=30,37)</f>
        <v>0</v>
      </c>
      <c r="DB99" s="1167"/>
      <c r="DC99" s="1167"/>
      <c r="DD99" s="1167"/>
    </row>
    <row r="100" spans="5:108" ht="21" hidden="1" thickBot="1" x14ac:dyDescent="0.25">
      <c r="E100" s="1138"/>
      <c r="F100" s="1138"/>
      <c r="G100" s="1137"/>
      <c r="H100" s="1118"/>
      <c r="I100" s="1118"/>
      <c r="J100" s="1118"/>
      <c r="K100" s="1118"/>
      <c r="L100" s="1118"/>
      <c r="M100" s="1118"/>
      <c r="N100" s="1118"/>
      <c r="O100" s="1119"/>
      <c r="BE100" s="1178"/>
      <c r="BF100" s="1178"/>
      <c r="BG100" s="1178"/>
      <c r="BH100" s="1178"/>
      <c r="BN100" s="1185"/>
      <c r="BO100" s="1178"/>
      <c r="BP100" s="1283">
        <v>29</v>
      </c>
      <c r="BQ100" s="1167"/>
      <c r="BR100" s="1167"/>
      <c r="BS100" s="1167"/>
      <c r="BT100" s="1167"/>
      <c r="BU100" s="1167"/>
      <c r="BV100" s="1167"/>
      <c r="BW100" s="1167"/>
      <c r="BX100" s="1167"/>
      <c r="BY100" s="1167"/>
      <c r="BZ100" s="1167"/>
      <c r="CA100" s="1167"/>
      <c r="CB100" s="1167"/>
      <c r="CC100" s="1167"/>
      <c r="CD100" s="1167"/>
      <c r="CE100" s="1167"/>
      <c r="CF100" s="1167"/>
      <c r="CG100" s="1167"/>
      <c r="CH100" s="1295"/>
      <c r="CI100" s="1167"/>
      <c r="CJ100" s="1296"/>
      <c r="CK100" s="1225" t="b">
        <f>IF(CS86=29,21)</f>
        <v>0</v>
      </c>
      <c r="CL100" s="1239"/>
      <c r="CM100" s="1239"/>
      <c r="CN100" s="1239"/>
      <c r="CO100" s="1239"/>
      <c r="CP100" s="1239"/>
      <c r="CQ100" s="1239"/>
      <c r="CR100" s="1238"/>
      <c r="CS100" s="1239"/>
      <c r="CT100" s="1238"/>
      <c r="CU100" s="1297"/>
      <c r="CV100" s="1297"/>
      <c r="CW100" s="1297"/>
      <c r="CX100" s="1297"/>
      <c r="CY100" s="1297"/>
      <c r="CZ100" s="1297"/>
      <c r="DA100" s="1227" t="b">
        <f>IF(CS86=29,37)</f>
        <v>0</v>
      </c>
      <c r="DB100" s="1165"/>
      <c r="DC100" s="1167"/>
      <c r="DD100" s="1167"/>
    </row>
    <row r="101" spans="5:108" ht="21" hidden="1" thickBot="1" x14ac:dyDescent="0.25">
      <c r="E101" s="1138"/>
      <c r="F101" s="1138"/>
      <c r="G101" s="1137"/>
      <c r="H101" s="1118"/>
      <c r="I101" s="1118"/>
      <c r="J101" s="1118"/>
      <c r="K101" s="1118"/>
      <c r="L101" s="1118"/>
      <c r="M101" s="1118"/>
      <c r="N101" s="1118"/>
      <c r="O101" s="1119"/>
      <c r="BE101" s="1178"/>
      <c r="BF101" s="1178"/>
      <c r="BG101" s="1178"/>
      <c r="BH101" s="1178"/>
      <c r="BN101" s="1185"/>
      <c r="BO101" s="1178"/>
      <c r="BP101" s="1283">
        <v>28</v>
      </c>
      <c r="BQ101" s="1167"/>
      <c r="BR101" s="1167"/>
      <c r="BS101" s="1167"/>
      <c r="BT101" s="1167"/>
      <c r="BU101" s="1167"/>
      <c r="BV101" s="1167"/>
      <c r="BW101" s="1167"/>
      <c r="BX101" s="1167"/>
      <c r="BY101" s="1167"/>
      <c r="BZ101" s="1167"/>
      <c r="CA101" s="1167"/>
      <c r="CB101" s="1167"/>
      <c r="CC101" s="1167"/>
      <c r="CD101" s="1167"/>
      <c r="CE101" s="1167"/>
      <c r="CF101" s="1167"/>
      <c r="CG101" s="1167"/>
      <c r="CH101" s="1295"/>
      <c r="CI101" s="1167"/>
      <c r="CJ101" s="1296"/>
      <c r="CK101" s="1245" t="b">
        <f>IF(CR86=28,21)</f>
        <v>0</v>
      </c>
      <c r="CL101" s="1235"/>
      <c r="CM101" s="1235"/>
      <c r="CN101" s="1235"/>
      <c r="CO101" s="1235"/>
      <c r="CP101" s="1234"/>
      <c r="CQ101" s="1235"/>
      <c r="CR101" s="1235"/>
      <c r="CS101" s="1235"/>
      <c r="CT101" s="1234"/>
      <c r="CU101" s="1298"/>
      <c r="CV101" s="1298"/>
      <c r="CW101" s="1298"/>
      <c r="CX101" s="1298"/>
      <c r="CY101" s="1230" t="b">
        <f>IF(CR86=28,35)</f>
        <v>0</v>
      </c>
      <c r="CZ101" s="1165"/>
      <c r="DA101" s="1165"/>
      <c r="DB101" s="1165"/>
      <c r="DC101" s="1167"/>
      <c r="DD101" s="1167"/>
    </row>
    <row r="102" spans="5:108" ht="21" hidden="1" thickBot="1" x14ac:dyDescent="0.25">
      <c r="E102" s="1138"/>
      <c r="F102" s="1138"/>
      <c r="G102" s="1137"/>
      <c r="H102" s="1118"/>
      <c r="I102" s="1118"/>
      <c r="J102" s="1118"/>
      <c r="K102" s="1118"/>
      <c r="L102" s="1118"/>
      <c r="M102" s="1118"/>
      <c r="N102" s="1118"/>
      <c r="O102" s="1119"/>
      <c r="BE102" s="1178"/>
      <c r="BF102" s="1178"/>
      <c r="BG102" s="1178"/>
      <c r="BH102" s="1178"/>
      <c r="BN102" s="1185"/>
      <c r="BO102" s="1178"/>
      <c r="BP102" s="1283">
        <v>27</v>
      </c>
      <c r="BQ102" s="1167"/>
      <c r="BR102" s="1167"/>
      <c r="BS102" s="1167"/>
      <c r="BT102" s="1167"/>
      <c r="BU102" s="1167"/>
      <c r="BV102" s="1167"/>
      <c r="BW102" s="1167"/>
      <c r="BX102" s="1167"/>
      <c r="BY102" s="1167"/>
      <c r="BZ102" s="1167"/>
      <c r="CA102" s="1167"/>
      <c r="CB102" s="1167"/>
      <c r="CC102" s="1167"/>
      <c r="CD102" s="1167"/>
      <c r="CE102" s="1167"/>
      <c r="CF102" s="1167"/>
      <c r="CG102" s="1167"/>
      <c r="CH102" s="1295"/>
      <c r="CI102" s="1167"/>
      <c r="CJ102" s="1296"/>
      <c r="CK102" s="1245" t="b">
        <f>IF(CQ86=27,21)</f>
        <v>0</v>
      </c>
      <c r="CL102" s="1235"/>
      <c r="CM102" s="1235"/>
      <c r="CN102" s="1234"/>
      <c r="CO102" s="1235"/>
      <c r="CP102" s="1235"/>
      <c r="CQ102" s="1235"/>
      <c r="CR102" s="1235"/>
      <c r="CS102" s="1235"/>
      <c r="CT102" s="1234"/>
      <c r="CU102" s="1298"/>
      <c r="CV102" s="1298"/>
      <c r="CW102" s="1230" t="b">
        <f>IF(CQ86=27,33)</f>
        <v>0</v>
      </c>
      <c r="CX102" s="1165"/>
      <c r="CY102" s="1165"/>
      <c r="CZ102" s="1165"/>
      <c r="DA102" s="1165"/>
      <c r="DB102" s="1165"/>
      <c r="DC102" s="1167"/>
      <c r="DD102" s="1167"/>
    </row>
    <row r="103" spans="5:108" ht="21" hidden="1" thickBot="1" x14ac:dyDescent="0.25">
      <c r="E103" s="1138"/>
      <c r="F103" s="1138"/>
      <c r="G103" s="1137"/>
      <c r="H103" s="1118"/>
      <c r="I103" s="1118"/>
      <c r="J103" s="1118"/>
      <c r="K103" s="1118"/>
      <c r="L103" s="1118"/>
      <c r="M103" s="1118"/>
      <c r="N103" s="1118"/>
      <c r="O103" s="1119"/>
      <c r="BN103" s="1185"/>
      <c r="BP103" s="1283">
        <v>26</v>
      </c>
      <c r="BQ103" s="1167"/>
      <c r="BR103" s="1167"/>
      <c r="BS103" s="1167"/>
      <c r="BT103" s="1167"/>
      <c r="BU103" s="1167"/>
      <c r="BV103" s="1167"/>
      <c r="BW103" s="1167"/>
      <c r="BX103" s="1167"/>
      <c r="BY103" s="1167"/>
      <c r="BZ103" s="1167"/>
      <c r="CA103" s="1167"/>
      <c r="CB103" s="1167"/>
      <c r="CC103" s="1167"/>
      <c r="CD103" s="1167"/>
      <c r="CE103" s="1167"/>
      <c r="CF103" s="1167"/>
      <c r="CG103" s="1167"/>
      <c r="CH103" s="1295"/>
      <c r="CI103" s="1167"/>
      <c r="CJ103" s="1296"/>
      <c r="CK103" s="1245" t="b">
        <f>IF(CP86=26,21)</f>
        <v>0</v>
      </c>
      <c r="CL103" s="1234"/>
      <c r="CM103" s="1235"/>
      <c r="CN103" s="1235"/>
      <c r="CO103" s="1235"/>
      <c r="CP103" s="1235"/>
      <c r="CQ103" s="1235"/>
      <c r="CR103" s="1235"/>
      <c r="CS103" s="1235"/>
      <c r="CT103" s="1234"/>
      <c r="CU103" s="1230" t="b">
        <f>IF(CP86=26,31)</f>
        <v>0</v>
      </c>
      <c r="CV103" s="1165"/>
      <c r="CW103" s="1165"/>
      <c r="CX103" s="1165"/>
      <c r="CY103" s="1165"/>
      <c r="CZ103" s="1165"/>
      <c r="DA103" s="1165"/>
      <c r="DB103" s="1165"/>
      <c r="DC103" s="1167"/>
      <c r="DD103" s="1167"/>
    </row>
    <row r="104" spans="5:108" ht="21" hidden="1" thickBot="1" x14ac:dyDescent="0.25">
      <c r="E104" s="1138"/>
      <c r="F104" s="1138"/>
      <c r="G104" s="1137"/>
      <c r="H104" s="1118"/>
      <c r="I104" s="1118"/>
      <c r="J104" s="1118"/>
      <c r="K104" s="1118"/>
      <c r="L104" s="1118"/>
      <c r="M104" s="1118"/>
      <c r="N104" s="1118"/>
      <c r="O104" s="1119"/>
      <c r="BE104" s="1248"/>
      <c r="BF104" s="1248"/>
      <c r="BG104" s="1248"/>
      <c r="BH104" s="1248"/>
      <c r="BN104" s="1185"/>
      <c r="BO104" s="1248"/>
      <c r="BP104" s="1283">
        <v>25</v>
      </c>
      <c r="BQ104" s="1167"/>
      <c r="BR104" s="1167"/>
      <c r="BS104" s="1167"/>
      <c r="BT104" s="1167"/>
      <c r="BU104" s="1167"/>
      <c r="BV104" s="1167"/>
      <c r="BW104" s="1167"/>
      <c r="BX104" s="1167"/>
      <c r="BY104" s="1167"/>
      <c r="BZ104" s="1167"/>
      <c r="CA104" s="1167"/>
      <c r="CC104" s="1167"/>
      <c r="CD104" s="1167"/>
      <c r="CE104" s="1167"/>
      <c r="CF104" s="1167"/>
      <c r="CG104" s="1167"/>
      <c r="CH104" s="1295"/>
      <c r="CI104" s="1167"/>
      <c r="CK104" s="1299" t="b">
        <f>IF(CO86=25,21)</f>
        <v>0</v>
      </c>
      <c r="CL104" s="1235"/>
      <c r="CM104" s="1235"/>
      <c r="CN104" s="1235"/>
      <c r="CO104" s="1235"/>
      <c r="CP104" s="1235"/>
      <c r="CQ104" s="1235"/>
      <c r="CR104" s="1235"/>
      <c r="CS104" s="1230" t="b">
        <f>IF(CO86=25,29)</f>
        <v>0</v>
      </c>
      <c r="CU104" s="1165"/>
      <c r="CV104" s="1165"/>
      <c r="CW104" s="1165"/>
      <c r="CX104" s="1165"/>
      <c r="CY104" s="1165"/>
      <c r="CZ104" s="1165"/>
      <c r="DA104" s="1165"/>
      <c r="DB104" s="1165"/>
      <c r="DC104" s="1167"/>
      <c r="DD104" s="1167"/>
    </row>
    <row r="105" spans="5:108" ht="21" hidden="1" thickBot="1" x14ac:dyDescent="0.25">
      <c r="E105" s="1138"/>
      <c r="F105" s="1138"/>
      <c r="G105" s="1137"/>
      <c r="H105" s="1118"/>
      <c r="I105" s="1118"/>
      <c r="J105" s="1118"/>
      <c r="K105" s="1118"/>
      <c r="L105" s="1118"/>
      <c r="M105" s="1118"/>
      <c r="N105" s="1118"/>
      <c r="O105" s="1119"/>
      <c r="BE105" s="1248"/>
      <c r="BF105" s="1248"/>
      <c r="BG105" s="1248"/>
      <c r="BH105" s="1248"/>
      <c r="BN105" s="1185"/>
      <c r="BO105" s="1248"/>
      <c r="BP105" s="1283">
        <v>24</v>
      </c>
      <c r="BQ105" s="1167"/>
      <c r="BR105" s="1167"/>
      <c r="BS105" s="1167"/>
      <c r="BT105" s="1167"/>
      <c r="BU105" s="1167"/>
      <c r="BV105" s="1167"/>
      <c r="BW105" s="1167"/>
      <c r="BX105" s="1167"/>
      <c r="BY105" s="1167"/>
      <c r="BZ105" s="1167"/>
      <c r="CA105" s="1167"/>
      <c r="CB105" s="1225" t="b">
        <f>IF(CN86=24,12)</f>
        <v>0</v>
      </c>
      <c r="CC105" s="1239"/>
      <c r="CD105" s="1239"/>
      <c r="CE105" s="1239"/>
      <c r="CF105" s="1239"/>
      <c r="CG105" s="1239"/>
      <c r="CH105" s="1238"/>
      <c r="CI105" s="1239"/>
      <c r="CJ105" s="1300"/>
      <c r="CK105" s="1239"/>
      <c r="CL105" s="1239"/>
      <c r="CM105" s="1239"/>
      <c r="CN105" s="1239"/>
      <c r="CO105" s="1239"/>
      <c r="CP105" s="1239"/>
      <c r="CQ105" s="1239"/>
      <c r="CR105" s="1239"/>
      <c r="CS105" s="1239"/>
      <c r="CT105" s="1238"/>
      <c r="CU105" s="1297"/>
      <c r="CV105" s="1297"/>
      <c r="CW105" s="1297"/>
      <c r="CX105" s="1297"/>
      <c r="CY105" s="1297"/>
      <c r="CZ105" s="1227" t="b">
        <f>IF(CN86=24,36)</f>
        <v>0</v>
      </c>
      <c r="DA105" s="1165"/>
      <c r="DB105" s="1165"/>
      <c r="DC105" s="1167"/>
      <c r="DD105" s="1167"/>
    </row>
    <row r="106" spans="5:108" ht="21" hidden="1" thickBot="1" x14ac:dyDescent="0.25">
      <c r="E106" s="1138"/>
      <c r="F106" s="1138"/>
      <c r="G106" s="1137"/>
      <c r="H106" s="1118"/>
      <c r="I106" s="1118"/>
      <c r="J106" s="1118"/>
      <c r="K106" s="1118"/>
      <c r="L106" s="1118"/>
      <c r="M106" s="1118"/>
      <c r="N106" s="1118"/>
      <c r="O106" s="1119"/>
      <c r="BE106" s="1248"/>
      <c r="BF106" s="1248"/>
      <c r="BG106" s="1248"/>
      <c r="BH106" s="1248"/>
      <c r="BN106" s="1185"/>
      <c r="BO106" s="1248"/>
      <c r="BP106" s="1283">
        <v>23</v>
      </c>
      <c r="BQ106" s="1167"/>
      <c r="BR106" s="1167"/>
      <c r="BS106" s="1167"/>
      <c r="BT106" s="1167"/>
      <c r="BU106" s="1167"/>
      <c r="BV106" s="1167"/>
      <c r="BW106" s="1167"/>
      <c r="BX106" s="1167"/>
      <c r="BY106" s="1167"/>
      <c r="BZ106" s="1167"/>
      <c r="CA106" s="1167"/>
      <c r="CB106" s="1245" t="b">
        <f>IF(CM86=23,12)</f>
        <v>0</v>
      </c>
      <c r="CC106" s="1235"/>
      <c r="CD106" s="1235"/>
      <c r="CE106" s="1235"/>
      <c r="CF106" s="1234"/>
      <c r="CG106" s="1235"/>
      <c r="CH106" s="1301"/>
      <c r="CI106" s="1235"/>
      <c r="CJ106" s="1302"/>
      <c r="CK106" s="1235"/>
      <c r="CL106" s="1235"/>
      <c r="CM106" s="1235"/>
      <c r="CN106" s="1235"/>
      <c r="CO106" s="1235"/>
      <c r="CP106" s="1235"/>
      <c r="CQ106" s="1235"/>
      <c r="CR106" s="1235"/>
      <c r="CS106" s="1235"/>
      <c r="CT106" s="1234"/>
      <c r="CU106" s="1298"/>
      <c r="CV106" s="1298"/>
      <c r="CW106" s="1298"/>
      <c r="CX106" s="1230" t="b">
        <f>IF(CM86=23,34)</f>
        <v>0</v>
      </c>
      <c r="CY106" s="1165"/>
      <c r="CZ106" s="1165"/>
      <c r="DA106" s="1165"/>
      <c r="DB106" s="1165"/>
      <c r="DC106" s="1167"/>
      <c r="DD106" s="1167"/>
    </row>
    <row r="107" spans="5:108" ht="21" hidden="1" thickBot="1" x14ac:dyDescent="0.25">
      <c r="E107" s="1138"/>
      <c r="F107" s="1138"/>
      <c r="G107" s="1137"/>
      <c r="H107" s="1118"/>
      <c r="I107" s="1118"/>
      <c r="J107" s="1118"/>
      <c r="K107" s="1118"/>
      <c r="L107" s="1118"/>
      <c r="M107" s="1118"/>
      <c r="N107" s="1118"/>
      <c r="O107" s="1119"/>
      <c r="U107" s="1178"/>
      <c r="AB107" s="1178"/>
      <c r="AC107" s="1178"/>
      <c r="AD107" s="1178"/>
      <c r="AE107" s="1178"/>
      <c r="BE107" s="1248"/>
      <c r="BF107" s="1248"/>
      <c r="BG107" s="1248"/>
      <c r="BH107" s="1248"/>
      <c r="BN107" s="1185"/>
      <c r="BO107" s="1248"/>
      <c r="BP107" s="1283">
        <v>22</v>
      </c>
      <c r="BQ107" s="1165"/>
      <c r="BR107" s="1165"/>
      <c r="BS107" s="1165"/>
      <c r="BT107" s="1165"/>
      <c r="BU107" s="1165"/>
      <c r="BV107" s="1165"/>
      <c r="BW107" s="1165"/>
      <c r="BX107" s="1165"/>
      <c r="BY107" s="1165"/>
      <c r="BZ107" s="1165"/>
      <c r="CA107" s="1165"/>
      <c r="CB107" s="1245" t="b">
        <f>IF(CL86=22,12)</f>
        <v>0</v>
      </c>
      <c r="CC107" s="1298"/>
      <c r="CD107" s="1298"/>
      <c r="CE107" s="1298"/>
      <c r="CF107" s="1234"/>
      <c r="CG107" s="1298"/>
      <c r="CH107" s="1303"/>
      <c r="CI107" s="1298"/>
      <c r="CJ107" s="1304"/>
      <c r="CK107" s="1298"/>
      <c r="CL107" s="1298"/>
      <c r="CM107" s="1298"/>
      <c r="CN107" s="1298"/>
      <c r="CO107" s="1235"/>
      <c r="CP107" s="1235"/>
      <c r="CQ107" s="1234"/>
      <c r="CR107" s="1235"/>
      <c r="CS107" s="1235"/>
      <c r="CT107" s="1235"/>
      <c r="CU107" s="1235"/>
      <c r="CV107" s="1230" t="b">
        <f>IF(CL86=22,32)</f>
        <v>0</v>
      </c>
      <c r="CW107" s="1167"/>
      <c r="CX107" s="1167"/>
      <c r="CY107" s="1167"/>
      <c r="CZ107" s="1167"/>
      <c r="DA107" s="1167"/>
      <c r="DB107" s="1167"/>
      <c r="DC107" s="1167"/>
      <c r="DD107" s="1167"/>
    </row>
    <row r="108" spans="5:108" ht="21" hidden="1" thickBot="1" x14ac:dyDescent="0.25">
      <c r="E108" s="1138"/>
      <c r="F108" s="1138"/>
      <c r="G108" s="1137"/>
      <c r="H108" s="1118"/>
      <c r="I108" s="1118"/>
      <c r="J108" s="1118"/>
      <c r="K108" s="1118"/>
      <c r="L108" s="1118"/>
      <c r="M108" s="1118"/>
      <c r="N108" s="1118"/>
      <c r="O108" s="1119"/>
      <c r="BE108" s="1248"/>
      <c r="BF108" s="1248"/>
      <c r="BG108" s="1248"/>
      <c r="BH108" s="1248"/>
      <c r="BN108" s="1185"/>
      <c r="BO108" s="1248"/>
      <c r="BP108" s="1283">
        <v>21</v>
      </c>
      <c r="BQ108" s="1167"/>
      <c r="BR108" s="1167"/>
      <c r="BS108" s="1167"/>
      <c r="BT108" s="1167"/>
      <c r="BU108" s="1167"/>
      <c r="BV108" s="1167"/>
      <c r="BW108" s="1167"/>
      <c r="BX108" s="1167"/>
      <c r="BY108" s="1167"/>
      <c r="BZ108" s="1167"/>
      <c r="CA108" s="1167"/>
      <c r="CB108" s="1245" t="b">
        <f>IF(CK86=21,12)</f>
        <v>0</v>
      </c>
      <c r="CC108" s="1235"/>
      <c r="CD108" s="1235"/>
      <c r="CE108" s="1235"/>
      <c r="CF108" s="1235"/>
      <c r="CG108" s="1235"/>
      <c r="CH108" s="1301"/>
      <c r="CI108" s="1235"/>
      <c r="CJ108" s="1302"/>
      <c r="CK108" s="1235"/>
      <c r="CL108" s="1235"/>
      <c r="CM108" s="1235"/>
      <c r="CN108" s="1235"/>
      <c r="CO108" s="1235"/>
      <c r="CP108" s="1235"/>
      <c r="CQ108" s="1235"/>
      <c r="CR108" s="1235"/>
      <c r="CS108" s="1235"/>
      <c r="CT108" s="1230" t="b">
        <f>IF(CK86=21,30)</f>
        <v>0</v>
      </c>
      <c r="CU108" s="1165"/>
      <c r="CV108" s="1165"/>
      <c r="CW108" s="1165"/>
      <c r="CX108" s="1165"/>
      <c r="CY108" s="1165"/>
      <c r="CZ108" s="1165"/>
      <c r="DA108" s="1165"/>
      <c r="DB108" s="1165"/>
      <c r="DC108" s="1167"/>
      <c r="DD108" s="1167"/>
    </row>
    <row r="109" spans="5:108" ht="21" hidden="1" thickBot="1" x14ac:dyDescent="0.25">
      <c r="E109" s="1138"/>
      <c r="F109" s="1138"/>
      <c r="G109" s="1137"/>
      <c r="H109" s="1118"/>
      <c r="I109" s="1118"/>
      <c r="J109" s="1118"/>
      <c r="K109" s="1118"/>
      <c r="L109" s="1118"/>
      <c r="M109" s="1118"/>
      <c r="N109" s="1118"/>
      <c r="O109" s="1119"/>
      <c r="T109" s="1268"/>
      <c r="BE109" s="1219"/>
      <c r="BF109" s="1219"/>
      <c r="BG109" s="1219"/>
      <c r="BH109" s="1219"/>
      <c r="BN109" s="1185"/>
      <c r="BO109" s="1219"/>
      <c r="BP109" s="1283">
        <v>20</v>
      </c>
      <c r="BQ109" s="1167"/>
      <c r="BR109" s="1167"/>
      <c r="BS109" s="1167"/>
      <c r="BT109" s="1167"/>
      <c r="BU109" s="1167"/>
      <c r="BV109" s="1167"/>
      <c r="BW109" s="1167"/>
      <c r="BX109" s="1167"/>
      <c r="CA109" s="1305"/>
      <c r="CB109" s="1225" t="b">
        <f>IF(CJ86=20,12)</f>
        <v>0</v>
      </c>
      <c r="CC109" s="1239"/>
      <c r="CD109" s="1239"/>
      <c r="CE109" s="1239"/>
      <c r="CF109" s="1239"/>
      <c r="CG109" s="1239"/>
      <c r="CH109" s="1306"/>
      <c r="CI109" s="1239"/>
      <c r="CJ109" s="1300"/>
      <c r="CK109" s="1239"/>
      <c r="CL109" s="1239"/>
      <c r="CM109" s="1239"/>
      <c r="CN109" s="1239"/>
      <c r="CO109" s="1239"/>
      <c r="CP109" s="1239"/>
      <c r="CQ109" s="1239"/>
      <c r="CR109" s="1227" t="b">
        <f>IF(CJ86=20,28)</f>
        <v>0</v>
      </c>
      <c r="CS109" s="1305"/>
      <c r="CU109" s="1165"/>
      <c r="CV109" s="1165"/>
      <c r="CW109" s="1165"/>
      <c r="CX109" s="1165"/>
      <c r="CY109" s="1165"/>
      <c r="CZ109" s="1165"/>
      <c r="DA109" s="1165"/>
      <c r="DB109" s="1165"/>
      <c r="DC109" s="1167"/>
      <c r="DD109" s="1167"/>
    </row>
    <row r="110" spans="5:108" ht="21" hidden="1" thickBot="1" x14ac:dyDescent="0.25">
      <c r="E110" s="1138"/>
      <c r="F110" s="1138"/>
      <c r="G110" s="1137"/>
      <c r="H110" s="1118"/>
      <c r="I110" s="1118"/>
      <c r="J110" s="1118"/>
      <c r="K110" s="1118"/>
      <c r="L110" s="1118"/>
      <c r="M110" s="1118"/>
      <c r="N110" s="1118"/>
      <c r="O110" s="1119"/>
      <c r="U110" s="1178"/>
      <c r="AB110" s="1178"/>
      <c r="AC110" s="1178"/>
      <c r="AD110" s="1178"/>
      <c r="AE110" s="1178"/>
      <c r="BE110" s="1219"/>
      <c r="BF110" s="1219"/>
      <c r="BG110" s="1219"/>
      <c r="BH110" s="1219"/>
      <c r="BN110" s="1185"/>
      <c r="BO110" s="1219"/>
      <c r="BP110" s="1283">
        <v>19</v>
      </c>
      <c r="BQ110" s="1167"/>
      <c r="BR110" s="1167"/>
      <c r="BS110" s="1167"/>
      <c r="BT110" s="1167"/>
      <c r="BU110" s="1167"/>
      <c r="BV110" s="1167"/>
      <c r="BW110" s="1167"/>
      <c r="BX110" s="1167"/>
      <c r="BZ110" s="1307"/>
      <c r="CA110" s="1307"/>
      <c r="CB110" s="1225" t="b">
        <f>IF(CI86=19,12)</f>
        <v>0</v>
      </c>
      <c r="CC110" s="1297"/>
      <c r="CD110" s="1297"/>
      <c r="CE110" s="1238"/>
      <c r="CF110" s="1297"/>
      <c r="CG110" s="1297"/>
      <c r="CH110" s="1308"/>
      <c r="CI110" s="1297"/>
      <c r="CJ110" s="1309"/>
      <c r="CK110" s="1238"/>
      <c r="CL110" s="1297"/>
      <c r="CM110" s="1297"/>
      <c r="CN110" s="1297"/>
      <c r="CO110" s="1239"/>
      <c r="CP110" s="1227" t="b">
        <f>IF(CI86=19,26)</f>
        <v>0</v>
      </c>
      <c r="CQ110" s="1310"/>
      <c r="CR110" s="1305"/>
      <c r="CT110" s="1167"/>
      <c r="CU110" s="1167"/>
      <c r="CV110" s="1167"/>
      <c r="CW110" s="1167"/>
      <c r="CX110" s="1167"/>
      <c r="CY110" s="1167"/>
      <c r="CZ110" s="1167"/>
      <c r="DA110" s="1167"/>
      <c r="DB110" s="1167"/>
      <c r="DC110" s="1167"/>
      <c r="DD110" s="1167"/>
    </row>
    <row r="111" spans="5:108" ht="21" hidden="1" thickBot="1" x14ac:dyDescent="0.25">
      <c r="E111" s="1138"/>
      <c r="F111" s="1138"/>
      <c r="G111" s="1137"/>
      <c r="H111" s="1118"/>
      <c r="I111" s="1118"/>
      <c r="J111" s="1118"/>
      <c r="K111" s="1118"/>
      <c r="L111" s="1118"/>
      <c r="M111" s="1118"/>
      <c r="N111" s="1118"/>
      <c r="O111" s="1119"/>
      <c r="U111" s="1178"/>
      <c r="AB111" s="1178"/>
      <c r="AC111" s="1178"/>
      <c r="AD111" s="1178"/>
      <c r="AE111" s="1178"/>
      <c r="BE111" s="1219"/>
      <c r="BF111" s="1219"/>
      <c r="BG111" s="1219"/>
      <c r="BH111" s="1219"/>
      <c r="BN111" s="1185"/>
      <c r="BO111" s="1219"/>
      <c r="BP111" s="1283">
        <v>18</v>
      </c>
      <c r="BQ111" s="1165"/>
      <c r="BR111" s="1165"/>
      <c r="BS111" s="1165"/>
      <c r="BT111" s="1165"/>
      <c r="BU111" s="1165"/>
      <c r="BV111" s="1165"/>
      <c r="BW111" s="1165"/>
      <c r="BX111" s="1165"/>
      <c r="BZ111" s="1225" t="b">
        <f>IF(CH86=18,10)</f>
        <v>0</v>
      </c>
      <c r="CA111" s="1297"/>
      <c r="CB111" s="1297"/>
      <c r="CC111" s="1297"/>
      <c r="CD111" s="1297"/>
      <c r="CE111" s="1238"/>
      <c r="CF111" s="1297"/>
      <c r="CG111" s="1297"/>
      <c r="CH111" s="1308"/>
      <c r="CI111" s="1297"/>
      <c r="CJ111" s="1309"/>
      <c r="CK111" s="1238"/>
      <c r="CL111" s="1297"/>
      <c r="CM111" s="1297"/>
      <c r="CN111" s="1297"/>
      <c r="CO111" s="1239"/>
      <c r="CP111" s="1227" t="b">
        <f>IF(CH86=18,26)</f>
        <v>0</v>
      </c>
      <c r="CR111" s="1167"/>
      <c r="CS111" s="1167"/>
      <c r="CT111" s="1167"/>
      <c r="CU111" s="1167"/>
      <c r="CV111" s="1167"/>
      <c r="CW111" s="1167"/>
      <c r="CX111" s="1167"/>
      <c r="CY111" s="1167"/>
      <c r="CZ111" s="1167"/>
      <c r="DA111" s="1167"/>
      <c r="DB111" s="1167"/>
      <c r="DC111" s="1167"/>
      <c r="DD111" s="1167"/>
    </row>
    <row r="112" spans="5:108" ht="21" hidden="1" thickBot="1" x14ac:dyDescent="0.25">
      <c r="E112" s="1138"/>
      <c r="F112" s="1138"/>
      <c r="G112" s="1137"/>
      <c r="H112" s="1118"/>
      <c r="I112" s="1118"/>
      <c r="J112" s="1118"/>
      <c r="K112" s="1118"/>
      <c r="L112" s="1118"/>
      <c r="M112" s="1118"/>
      <c r="N112" s="1118"/>
      <c r="O112" s="1119"/>
      <c r="U112" s="1178"/>
      <c r="AB112" s="1178"/>
      <c r="AC112" s="1178"/>
      <c r="AD112" s="1178"/>
      <c r="AE112" s="1178"/>
      <c r="BE112" s="1219"/>
      <c r="BF112" s="1219"/>
      <c r="BG112" s="1219"/>
      <c r="BH112" s="1219"/>
      <c r="BN112" s="1185"/>
      <c r="BO112" s="1219"/>
      <c r="BP112" s="1283">
        <v>17</v>
      </c>
      <c r="BQ112" s="1165"/>
      <c r="BR112" s="1165"/>
      <c r="BS112" s="1165"/>
      <c r="BT112" s="1165"/>
      <c r="BU112" s="1165"/>
      <c r="BV112" s="1165"/>
      <c r="BW112" s="1165"/>
      <c r="BX112" s="1225" t="b">
        <f>IF(CG86=17,8)</f>
        <v>0</v>
      </c>
      <c r="BY112" s="1238"/>
      <c r="BZ112" s="1238"/>
      <c r="CA112" s="1297"/>
      <c r="CB112" s="1297"/>
      <c r="CC112" s="1297"/>
      <c r="CD112" s="1297"/>
      <c r="CE112" s="1297"/>
      <c r="CF112" s="1297"/>
      <c r="CG112" s="1297"/>
      <c r="CH112" s="1308"/>
      <c r="CI112" s="1297"/>
      <c r="CJ112" s="1309"/>
      <c r="CK112" s="1297"/>
      <c r="CL112" s="1297"/>
      <c r="CM112" s="1297"/>
      <c r="CN112" s="1238"/>
      <c r="CO112" s="1238"/>
      <c r="CP112" s="1227" t="b">
        <f>IF(CG86=17,26)</f>
        <v>0</v>
      </c>
      <c r="CQ112" s="1167"/>
      <c r="CR112" s="1167"/>
      <c r="CS112" s="1167"/>
      <c r="CT112" s="1167"/>
      <c r="CU112" s="1167"/>
      <c r="CV112" s="1167"/>
      <c r="CW112" s="1167"/>
      <c r="CX112" s="1167"/>
      <c r="CY112" s="1167"/>
      <c r="CZ112" s="1167"/>
      <c r="DA112" s="1167"/>
      <c r="DB112" s="1167"/>
      <c r="DC112" s="1167"/>
      <c r="DD112" s="1167"/>
    </row>
    <row r="113" spans="2:108" ht="21" hidden="1" thickBot="1" x14ac:dyDescent="0.25">
      <c r="E113" s="1138"/>
      <c r="F113" s="1138"/>
      <c r="G113" s="1137"/>
      <c r="H113" s="1118"/>
      <c r="I113" s="1118"/>
      <c r="J113" s="1118"/>
      <c r="K113" s="1118"/>
      <c r="L113" s="1118"/>
      <c r="M113" s="1118"/>
      <c r="N113" s="1118"/>
      <c r="O113" s="1119"/>
      <c r="U113" s="1178"/>
      <c r="AB113" s="1178"/>
      <c r="AC113" s="1178"/>
      <c r="AD113" s="1178"/>
      <c r="AE113" s="1178"/>
      <c r="BE113" s="1219"/>
      <c r="BF113" s="1219"/>
      <c r="BG113" s="1219"/>
      <c r="BH113" s="1219"/>
      <c r="BN113" s="1185"/>
      <c r="BO113" s="1219"/>
      <c r="BP113" s="1283">
        <v>16</v>
      </c>
      <c r="BQ113" s="1165"/>
      <c r="BR113" s="1165"/>
      <c r="BS113" s="1165"/>
      <c r="BT113" s="1165"/>
      <c r="BU113" s="1165"/>
      <c r="BV113" s="1311">
        <f>IF(CF86=16,6)</f>
        <v>6</v>
      </c>
      <c r="BW113" s="1312"/>
      <c r="BX113" s="1313"/>
      <c r="BY113" s="1313"/>
      <c r="BZ113" s="1312"/>
      <c r="CA113" s="1312"/>
      <c r="CB113" s="1312"/>
      <c r="CC113" s="1312"/>
      <c r="CD113" s="1312"/>
      <c r="CE113" s="1312"/>
      <c r="CF113" s="1312"/>
      <c r="CG113" s="1312"/>
      <c r="CH113" s="1314"/>
      <c r="CI113" s="1312"/>
      <c r="CJ113" s="1315"/>
      <c r="CK113" s="1312"/>
      <c r="CL113" s="1312"/>
      <c r="CM113" s="1313"/>
      <c r="CN113" s="1313"/>
      <c r="CO113" s="1316"/>
      <c r="CP113" s="1317">
        <f>IF(CF86=16,26)</f>
        <v>26</v>
      </c>
      <c r="CQ113" s="1167"/>
      <c r="CR113" s="1167"/>
      <c r="CS113" s="1167"/>
      <c r="CT113" s="1167"/>
      <c r="CU113" s="1167"/>
      <c r="CV113" s="1167"/>
      <c r="CW113" s="1167"/>
      <c r="CX113" s="1167"/>
      <c r="CY113" s="1167"/>
      <c r="CZ113" s="1167"/>
      <c r="DA113" s="1167"/>
      <c r="DB113" s="1167"/>
      <c r="DC113" s="1167"/>
      <c r="DD113" s="1167"/>
    </row>
    <row r="114" spans="2:108" ht="21" hidden="1" thickBot="1" x14ac:dyDescent="0.25">
      <c r="E114" s="1138"/>
      <c r="F114" s="1138"/>
      <c r="G114" s="1137"/>
      <c r="H114" s="1118"/>
      <c r="I114" s="1118"/>
      <c r="J114" s="1118"/>
      <c r="K114" s="1118"/>
      <c r="L114" s="1118"/>
      <c r="M114" s="1118"/>
      <c r="N114" s="1118"/>
      <c r="O114" s="1119"/>
      <c r="U114" s="1178"/>
      <c r="AB114" s="1178"/>
      <c r="AC114" s="1178"/>
      <c r="AD114" s="1178"/>
      <c r="AE114" s="1178"/>
      <c r="BE114" s="1219"/>
      <c r="BF114" s="1219"/>
      <c r="BG114" s="1219"/>
      <c r="BH114" s="1219"/>
      <c r="BN114" s="1185"/>
      <c r="BO114" s="1219"/>
      <c r="BP114" s="1283">
        <v>15</v>
      </c>
      <c r="BQ114" s="1165"/>
      <c r="BR114" s="1165"/>
      <c r="BS114" s="1165"/>
      <c r="BT114" s="1225" t="b">
        <f>IF(CE86=15,4)</f>
        <v>0</v>
      </c>
      <c r="BU114" s="1297"/>
      <c r="BV114" s="1297"/>
      <c r="BW114" s="1297"/>
      <c r="BX114" s="1238"/>
      <c r="BY114" s="1297"/>
      <c r="BZ114" s="1297"/>
      <c r="CA114" s="1238"/>
      <c r="CB114" s="1297"/>
      <c r="CC114" s="1297"/>
      <c r="CD114" s="1297"/>
      <c r="CE114" s="1297"/>
      <c r="CF114" s="1297"/>
      <c r="CG114" s="1297"/>
      <c r="CH114" s="1308"/>
      <c r="CI114" s="1238"/>
      <c r="CJ114" s="1309"/>
      <c r="CK114" s="1297"/>
      <c r="CL114" s="1238"/>
      <c r="CM114" s="1297"/>
      <c r="CN114" s="1297"/>
      <c r="CO114" s="1239"/>
      <c r="CP114" s="1227" t="b">
        <f>IF(CE86=15,26)</f>
        <v>0</v>
      </c>
      <c r="CQ114" s="1167"/>
      <c r="CR114" s="1167"/>
      <c r="CS114" s="1167"/>
      <c r="CT114" s="1167"/>
      <c r="CU114" s="1167"/>
      <c r="CV114" s="1167"/>
      <c r="CW114" s="1167"/>
      <c r="CX114" s="1167"/>
      <c r="CY114" s="1167"/>
      <c r="CZ114" s="1167"/>
      <c r="DA114" s="1167"/>
      <c r="DB114" s="1167"/>
      <c r="DC114" s="1167"/>
      <c r="DD114" s="1167"/>
    </row>
    <row r="115" spans="2:108" ht="21" hidden="1" thickBot="1" x14ac:dyDescent="0.25">
      <c r="E115" s="1138"/>
      <c r="F115" s="1138"/>
      <c r="G115" s="1137"/>
      <c r="H115" s="1118"/>
      <c r="I115" s="1118"/>
      <c r="J115" s="1118"/>
      <c r="K115" s="1118"/>
      <c r="L115" s="1118"/>
      <c r="M115" s="1118"/>
      <c r="N115" s="1118"/>
      <c r="O115" s="1119"/>
      <c r="U115" s="1178"/>
      <c r="AB115" s="1178"/>
      <c r="AC115" s="1178"/>
      <c r="AD115" s="1178"/>
      <c r="AE115" s="1178"/>
      <c r="BE115" s="1219"/>
      <c r="BF115" s="1219"/>
      <c r="BG115" s="1219"/>
      <c r="BH115" s="1219"/>
      <c r="BN115" s="1185"/>
      <c r="BO115" s="1219"/>
      <c r="BP115" s="1283">
        <v>14</v>
      </c>
      <c r="BQ115" s="1165"/>
      <c r="BR115" s="1225" t="b">
        <f>IF(CD86=14,2)</f>
        <v>0</v>
      </c>
      <c r="BS115" s="1297"/>
      <c r="BT115" s="1297"/>
      <c r="BU115" s="1297"/>
      <c r="BV115" s="1238"/>
      <c r="BW115" s="1297"/>
      <c r="BX115" s="1297"/>
      <c r="BY115" s="1238"/>
      <c r="BZ115" s="1297"/>
      <c r="CA115" s="1297"/>
      <c r="CB115" s="1297"/>
      <c r="CC115" s="1297"/>
      <c r="CD115" s="1297"/>
      <c r="CE115" s="1297"/>
      <c r="CF115" s="1297"/>
      <c r="CG115" s="1297"/>
      <c r="CH115" s="1308"/>
      <c r="CI115" s="1238"/>
      <c r="CJ115" s="1309"/>
      <c r="CK115" s="1297"/>
      <c r="CL115" s="1238"/>
      <c r="CM115" s="1297"/>
      <c r="CN115" s="1297"/>
      <c r="CO115" s="1239"/>
      <c r="CP115" s="1227" t="b">
        <f>IF(CD86=14,26)</f>
        <v>0</v>
      </c>
      <c r="CQ115" s="1167"/>
      <c r="CR115" s="1167"/>
      <c r="CS115" s="1167"/>
      <c r="CT115" s="1167"/>
      <c r="CU115" s="1167"/>
      <c r="CV115" s="1167"/>
      <c r="CW115" s="1167"/>
      <c r="CX115" s="1167"/>
      <c r="CY115" s="1167"/>
      <c r="CZ115" s="1167"/>
      <c r="DA115" s="1167"/>
      <c r="DB115" s="1167"/>
      <c r="DC115" s="1167"/>
      <c r="DD115" s="1167"/>
    </row>
    <row r="116" spans="2:108" ht="21" hidden="1" thickBot="1" x14ac:dyDescent="0.25">
      <c r="E116" s="1138"/>
      <c r="F116" s="1138"/>
      <c r="G116" s="1137"/>
      <c r="H116" s="1118"/>
      <c r="I116" s="1118"/>
      <c r="J116" s="1118"/>
      <c r="K116" s="1118"/>
      <c r="L116" s="1118"/>
      <c r="M116" s="1118"/>
      <c r="N116" s="1118"/>
      <c r="O116" s="1119"/>
      <c r="U116" s="1178"/>
      <c r="AB116" s="1178"/>
      <c r="AC116" s="1178"/>
      <c r="AD116" s="1178"/>
      <c r="AE116" s="1178"/>
      <c r="BE116" s="1219"/>
      <c r="BF116" s="1219"/>
      <c r="BG116" s="1219"/>
      <c r="BH116" s="1219"/>
      <c r="BN116" s="1185"/>
      <c r="BO116" s="1219"/>
      <c r="BP116" s="1283">
        <v>13</v>
      </c>
      <c r="BQ116" s="1165"/>
      <c r="BR116" s="1165"/>
      <c r="BS116" s="1165"/>
      <c r="BU116" s="1318"/>
      <c r="BV116" s="1318"/>
      <c r="BW116" s="1319"/>
      <c r="BX116" s="1318"/>
      <c r="BY116" s="1245" t="b">
        <f>IF(CC86=13,9)</f>
        <v>0</v>
      </c>
      <c r="BZ116" s="1298"/>
      <c r="CA116" s="1298"/>
      <c r="CB116" s="1298"/>
      <c r="CC116" s="1298"/>
      <c r="CD116" s="1298"/>
      <c r="CE116" s="1298"/>
      <c r="CF116" s="1298"/>
      <c r="CG116" s="1230" t="b">
        <f>IF(CC86=13,17)</f>
        <v>0</v>
      </c>
      <c r="CH116" s="1320"/>
      <c r="CI116" s="1319"/>
      <c r="CJ116" s="1321"/>
      <c r="CK116" s="1318"/>
      <c r="CM116" s="1165"/>
      <c r="CN116" s="1165"/>
      <c r="CO116" s="1167"/>
      <c r="CP116" s="1167"/>
      <c r="CQ116" s="1167"/>
      <c r="CR116" s="1167"/>
      <c r="CS116" s="1167"/>
      <c r="CT116" s="1167"/>
      <c r="CU116" s="1167"/>
      <c r="CV116" s="1167"/>
      <c r="CW116" s="1167"/>
      <c r="CX116" s="1167"/>
      <c r="CY116" s="1167"/>
      <c r="CZ116" s="1167"/>
      <c r="DA116" s="1167"/>
      <c r="DB116" s="1167"/>
      <c r="DC116" s="1167"/>
      <c r="DD116" s="1167"/>
    </row>
    <row r="117" spans="2:108" ht="21" hidden="1" thickBot="1" x14ac:dyDescent="0.25">
      <c r="E117" s="1138"/>
      <c r="F117" s="1138"/>
      <c r="G117" s="1137"/>
      <c r="H117" s="1118"/>
      <c r="I117" s="1118"/>
      <c r="J117" s="1118"/>
      <c r="K117" s="1118"/>
      <c r="L117" s="1118"/>
      <c r="M117" s="1118"/>
      <c r="N117" s="1118"/>
      <c r="O117" s="1119"/>
      <c r="U117" s="1178"/>
      <c r="AB117" s="1178"/>
      <c r="AC117" s="1178"/>
      <c r="AD117" s="1178"/>
      <c r="AE117" s="1178"/>
      <c r="BE117" s="1219"/>
      <c r="BF117" s="1219"/>
      <c r="BG117" s="1219"/>
      <c r="BH117" s="1219"/>
      <c r="BN117" s="1185"/>
      <c r="BO117" s="1219"/>
      <c r="BP117" s="1283">
        <v>12</v>
      </c>
      <c r="BQ117" s="1165"/>
      <c r="BS117" s="1307"/>
      <c r="BT117" s="1307"/>
      <c r="BU117" s="1310"/>
      <c r="BV117" s="1307"/>
      <c r="BW117" s="1225" t="b">
        <f>IF(CB86=12,7)</f>
        <v>0</v>
      </c>
      <c r="BX117" s="1297"/>
      <c r="BY117" s="1297"/>
      <c r="BZ117" s="1297"/>
      <c r="CA117" s="1297"/>
      <c r="CB117" s="1297"/>
      <c r="CC117" s="1297"/>
      <c r="CD117" s="1297"/>
      <c r="CE117" s="1297"/>
      <c r="CF117" s="1297"/>
      <c r="CG117" s="1227" t="b">
        <f>IF(CB86=12,17)</f>
        <v>0</v>
      </c>
      <c r="CH117" s="1322"/>
      <c r="CI117" s="1310"/>
      <c r="CJ117" s="1323"/>
      <c r="CK117" s="1307"/>
      <c r="CM117" s="1165"/>
      <c r="CN117" s="1165"/>
      <c r="CO117" s="1167"/>
      <c r="CP117" s="1167"/>
      <c r="CQ117" s="1167"/>
      <c r="CR117" s="1167"/>
      <c r="CS117" s="1167"/>
      <c r="CT117" s="1167"/>
      <c r="CU117" s="1167"/>
      <c r="CV117" s="1167"/>
      <c r="CW117" s="1167"/>
      <c r="CX117" s="1167"/>
      <c r="CY117" s="1167"/>
      <c r="CZ117" s="1167"/>
      <c r="DA117" s="1167"/>
      <c r="DB117" s="1167"/>
      <c r="DC117" s="1167"/>
      <c r="DD117" s="1167"/>
    </row>
    <row r="118" spans="2:108" ht="21" hidden="1" thickBot="1" x14ac:dyDescent="0.25">
      <c r="D118" s="1138"/>
      <c r="E118" s="1138"/>
      <c r="F118" s="1138"/>
      <c r="G118" s="1137"/>
      <c r="H118" s="1118"/>
      <c r="I118" s="1118"/>
      <c r="J118" s="1118"/>
      <c r="K118" s="1118"/>
      <c r="L118" s="1118"/>
      <c r="M118" s="1118"/>
      <c r="N118" s="1118"/>
      <c r="O118" s="1119"/>
      <c r="U118" s="1178"/>
      <c r="AB118" s="1178"/>
      <c r="AC118" s="1178"/>
      <c r="AD118" s="1178"/>
      <c r="AE118" s="1178"/>
      <c r="BE118" s="1219"/>
      <c r="BF118" s="1219"/>
      <c r="BG118" s="1219"/>
      <c r="BH118" s="1219"/>
      <c r="BN118" s="1185"/>
      <c r="BO118" s="1219"/>
      <c r="BP118" s="1283">
        <v>11</v>
      </c>
      <c r="BR118" s="1318"/>
      <c r="BS118" s="1319"/>
      <c r="BT118" s="1318"/>
      <c r="BU118" s="1225" t="b">
        <f>IF(CA86=11,5)</f>
        <v>0</v>
      </c>
      <c r="BV118" s="1297"/>
      <c r="BW118" s="1297"/>
      <c r="BX118" s="1297"/>
      <c r="BY118" s="1297"/>
      <c r="BZ118" s="1297"/>
      <c r="CA118" s="1297"/>
      <c r="CB118" s="1297"/>
      <c r="CC118" s="1297"/>
      <c r="CD118" s="1297"/>
      <c r="CE118" s="1297"/>
      <c r="CF118" s="1297"/>
      <c r="CG118" s="1227" t="b">
        <f>IF(CA86=11,17)</f>
        <v>0</v>
      </c>
      <c r="CH118" s="1320"/>
      <c r="CI118" s="1319"/>
      <c r="CJ118" s="1321"/>
      <c r="CL118" s="1165"/>
      <c r="CM118" s="1165"/>
      <c r="CN118" s="1165"/>
      <c r="CO118" s="1167"/>
      <c r="CP118" s="1167"/>
      <c r="CQ118" s="1167"/>
      <c r="CR118" s="1167"/>
      <c r="CS118" s="1167"/>
      <c r="CT118" s="1167"/>
      <c r="CU118" s="1167"/>
      <c r="CV118" s="1167"/>
      <c r="CW118" s="1167"/>
      <c r="CX118" s="1167"/>
      <c r="CY118" s="1167"/>
      <c r="CZ118" s="1167"/>
      <c r="DA118" s="1167"/>
      <c r="DB118" s="1167"/>
      <c r="DC118" s="1167"/>
      <c r="DD118" s="1167"/>
    </row>
    <row r="119" spans="2:108" ht="21" hidden="1" thickBot="1" x14ac:dyDescent="0.25">
      <c r="B119" s="1140"/>
      <c r="C119" s="1140"/>
      <c r="D119" s="1138"/>
      <c r="E119" s="1138"/>
      <c r="F119" s="1138"/>
      <c r="G119" s="1137"/>
      <c r="H119" s="1118"/>
      <c r="I119" s="1118"/>
      <c r="J119" s="1118"/>
      <c r="K119" s="1118"/>
      <c r="L119" s="1118"/>
      <c r="M119" s="1118"/>
      <c r="N119" s="1118"/>
      <c r="O119" s="1119"/>
      <c r="U119" s="1178"/>
      <c r="AB119" s="1178"/>
      <c r="AC119" s="1178"/>
      <c r="AD119" s="1178"/>
      <c r="AE119" s="1178"/>
      <c r="BE119" s="1219"/>
      <c r="BF119" s="1219"/>
      <c r="BG119" s="1219"/>
      <c r="BH119" s="1219"/>
      <c r="BN119" s="1185"/>
      <c r="BO119" s="1219"/>
      <c r="BP119" s="1283">
        <v>10</v>
      </c>
      <c r="BR119" s="1318"/>
      <c r="BS119" s="1225" t="b">
        <f>IF(BZ86=10,3)</f>
        <v>0</v>
      </c>
      <c r="BT119" s="1297"/>
      <c r="BU119" s="1297"/>
      <c r="BV119" s="1297"/>
      <c r="BW119" s="1297"/>
      <c r="BX119" s="1297"/>
      <c r="BY119" s="1297"/>
      <c r="BZ119" s="1297"/>
      <c r="CA119" s="1297"/>
      <c r="CB119" s="1297"/>
      <c r="CC119" s="1297"/>
      <c r="CD119" s="1297"/>
      <c r="CE119" s="1297"/>
      <c r="CF119" s="1297"/>
      <c r="CG119" s="1227" t="b">
        <f>IF(BZ86=10,17)</f>
        <v>0</v>
      </c>
      <c r="CH119" s="1320"/>
      <c r="CJ119" s="1324"/>
      <c r="CK119" s="1165"/>
      <c r="CL119" s="1165"/>
      <c r="CM119" s="1165"/>
      <c r="CN119" s="1165"/>
      <c r="CO119" s="1167"/>
      <c r="CP119" s="1167"/>
      <c r="CQ119" s="1167"/>
      <c r="CR119" s="1167"/>
      <c r="CS119" s="1167"/>
      <c r="CT119" s="1167"/>
      <c r="CU119" s="1167"/>
      <c r="CV119" s="1167"/>
      <c r="CW119" s="1167"/>
      <c r="CX119" s="1167"/>
      <c r="CY119" s="1167"/>
      <c r="CZ119" s="1167"/>
      <c r="DA119" s="1167"/>
      <c r="DB119" s="1167"/>
      <c r="DC119" s="1167"/>
      <c r="DD119" s="1167"/>
    </row>
    <row r="120" spans="2:108" ht="21" hidden="1" thickBot="1" x14ac:dyDescent="0.25">
      <c r="B120" s="1140"/>
      <c r="C120" s="1140"/>
      <c r="D120" s="1138"/>
      <c r="E120" s="1138"/>
      <c r="F120" s="1138"/>
      <c r="G120" s="1137"/>
      <c r="H120" s="1118"/>
      <c r="I120" s="1118"/>
      <c r="J120" s="1118"/>
      <c r="K120" s="1118"/>
      <c r="L120" s="1118"/>
      <c r="M120" s="1118"/>
      <c r="N120" s="1118"/>
      <c r="O120" s="1119"/>
      <c r="U120" s="1178"/>
      <c r="AB120" s="1178"/>
      <c r="AC120" s="1178"/>
      <c r="AD120" s="1178"/>
      <c r="AE120" s="1178"/>
      <c r="BF120" s="1219"/>
      <c r="BG120" s="1219"/>
      <c r="BH120" s="1219"/>
      <c r="BN120" s="1185"/>
      <c r="BO120" s="1219"/>
      <c r="BP120" s="1283">
        <v>9</v>
      </c>
      <c r="BQ120" s="1225" t="b">
        <f>IF(BY86=9,1)</f>
        <v>0</v>
      </c>
      <c r="BR120" s="1297"/>
      <c r="BS120" s="1297"/>
      <c r="BT120" s="1297"/>
      <c r="BU120" s="1297"/>
      <c r="BV120" s="1297"/>
      <c r="BW120" s="1297"/>
      <c r="BX120" s="1297"/>
      <c r="BY120" s="1297"/>
      <c r="BZ120" s="1297"/>
      <c r="CA120" s="1297"/>
      <c r="CB120" s="1297"/>
      <c r="CC120" s="1297"/>
      <c r="CD120" s="1297"/>
      <c r="CE120" s="1297"/>
      <c r="CF120" s="1297"/>
      <c r="CG120" s="1227" t="b">
        <f>IF(BY86=9,17)</f>
        <v>0</v>
      </c>
      <c r="CH120" s="1165"/>
      <c r="CI120" s="1165"/>
      <c r="CJ120" s="1324"/>
      <c r="CK120" s="1165"/>
      <c r="CL120" s="1165"/>
      <c r="CM120" s="1165"/>
      <c r="CN120" s="1165"/>
      <c r="CO120" s="1167"/>
      <c r="CP120" s="1167"/>
      <c r="CQ120" s="1167"/>
      <c r="CR120" s="1167"/>
      <c r="CS120" s="1167"/>
      <c r="CT120" s="1167"/>
      <c r="CU120" s="1167"/>
      <c r="CV120" s="1167"/>
      <c r="CW120" s="1167"/>
      <c r="CX120" s="1167"/>
      <c r="CY120" s="1167"/>
      <c r="CZ120" s="1167"/>
      <c r="DA120" s="1167"/>
      <c r="DB120" s="1167"/>
      <c r="DC120" s="1167"/>
      <c r="DD120" s="1167"/>
    </row>
    <row r="121" spans="2:108" ht="21" hidden="1" thickBot="1" x14ac:dyDescent="0.25">
      <c r="B121" s="1268"/>
      <c r="E121" s="1138"/>
      <c r="F121" s="1138"/>
      <c r="G121" s="1137"/>
      <c r="H121" s="1118"/>
      <c r="I121" s="1118"/>
      <c r="J121" s="1118"/>
      <c r="K121" s="1118"/>
      <c r="L121" s="1118"/>
      <c r="M121" s="1118"/>
      <c r="N121" s="1118"/>
      <c r="O121" s="1119"/>
      <c r="U121" s="1178"/>
      <c r="AB121" s="1178"/>
      <c r="AC121" s="1178"/>
      <c r="AD121" s="1178"/>
      <c r="AE121" s="1178"/>
      <c r="BE121" s="1219"/>
      <c r="BF121" s="1219"/>
      <c r="BG121" s="1219"/>
      <c r="BH121" s="1219"/>
      <c r="BN121" s="1185"/>
      <c r="BO121" s="1219"/>
      <c r="BP121" s="1283">
        <v>8</v>
      </c>
      <c r="BQ121" s="1225" t="b">
        <f>IF(BX86=8,1)</f>
        <v>0</v>
      </c>
      <c r="BR121" s="1297"/>
      <c r="BS121" s="1238"/>
      <c r="BT121" s="1297"/>
      <c r="BU121" s="1297"/>
      <c r="BV121" s="1297"/>
      <c r="BW121" s="1297"/>
      <c r="BX121" s="1297"/>
      <c r="BY121" s="1297"/>
      <c r="BZ121" s="1297"/>
      <c r="CA121" s="1297"/>
      <c r="CB121" s="1297"/>
      <c r="CC121" s="1238"/>
      <c r="CD121" s="1297"/>
      <c r="CE121" s="1227" t="b">
        <f>IF(BX86=8,15)</f>
        <v>0</v>
      </c>
      <c r="CF121" s="1165"/>
      <c r="CG121" s="1165"/>
      <c r="CH121" s="1325"/>
      <c r="CI121" s="1165"/>
      <c r="CJ121" s="1324"/>
      <c r="CK121" s="1165"/>
      <c r="CL121" s="1165"/>
      <c r="CM121" s="1165"/>
      <c r="CN121" s="1165"/>
      <c r="CO121" s="1167"/>
      <c r="CP121" s="1167"/>
      <c r="CQ121" s="1167"/>
      <c r="CR121" s="1167"/>
      <c r="CS121" s="1167"/>
      <c r="CT121" s="1167"/>
      <c r="CU121" s="1167"/>
      <c r="CV121" s="1167"/>
      <c r="CW121" s="1167"/>
      <c r="CX121" s="1167"/>
      <c r="CY121" s="1167"/>
      <c r="CZ121" s="1167"/>
      <c r="DA121" s="1167"/>
      <c r="DB121" s="1167"/>
      <c r="DC121" s="1167"/>
      <c r="DD121" s="1167"/>
    </row>
    <row r="122" spans="2:108" ht="21" hidden="1" thickBot="1" x14ac:dyDescent="0.25">
      <c r="B122" s="1140"/>
      <c r="C122" s="1140"/>
      <c r="D122" s="1138"/>
      <c r="E122" s="1138"/>
      <c r="F122" s="1138"/>
      <c r="G122" s="1137"/>
      <c r="H122" s="1118"/>
      <c r="I122" s="1118"/>
      <c r="J122" s="1118"/>
      <c r="K122" s="1118"/>
      <c r="L122" s="1118"/>
      <c r="M122" s="1118"/>
      <c r="N122" s="1118"/>
      <c r="O122" s="1119"/>
      <c r="U122" s="1178"/>
      <c r="AB122" s="1178"/>
      <c r="AC122" s="1178"/>
      <c r="AD122" s="1178"/>
      <c r="AE122" s="1178"/>
      <c r="BF122" s="1219"/>
      <c r="BG122" s="1219"/>
      <c r="BH122" s="1219"/>
      <c r="BN122" s="1185"/>
      <c r="BO122" s="1219"/>
      <c r="BP122" s="1283">
        <v>7</v>
      </c>
      <c r="BQ122" s="1225" t="b">
        <f>IF(BW86=7,1)</f>
        <v>0</v>
      </c>
      <c r="BR122" s="1238"/>
      <c r="BS122" s="1297"/>
      <c r="BT122" s="1297"/>
      <c r="BU122" s="1297"/>
      <c r="BV122" s="1297"/>
      <c r="BW122" s="1297"/>
      <c r="BX122" s="1297"/>
      <c r="BY122" s="1297"/>
      <c r="BZ122" s="1297"/>
      <c r="CA122" s="1238"/>
      <c r="CB122" s="1238"/>
      <c r="CC122" s="1227" t="b">
        <f>IF(BW86=7,13)</f>
        <v>0</v>
      </c>
      <c r="CD122" s="1165"/>
      <c r="CE122" s="1165"/>
      <c r="CF122" s="1165"/>
      <c r="CG122" s="1165"/>
      <c r="CH122" s="1325"/>
      <c r="CI122" s="1165"/>
      <c r="CJ122" s="1324"/>
      <c r="CK122" s="1165"/>
      <c r="CL122" s="1165"/>
      <c r="CM122" s="1165"/>
      <c r="CN122" s="1165"/>
      <c r="CO122" s="1167"/>
      <c r="CP122" s="1167"/>
      <c r="CQ122" s="1167"/>
      <c r="CR122" s="1167"/>
      <c r="CS122" s="1167"/>
      <c r="CT122" s="1167"/>
      <c r="CU122" s="1167"/>
      <c r="CV122" s="1167"/>
      <c r="CW122" s="1167"/>
      <c r="CX122" s="1167"/>
      <c r="CY122" s="1167"/>
      <c r="CZ122" s="1167"/>
      <c r="DA122" s="1167"/>
      <c r="DB122" s="1167"/>
      <c r="DC122" s="1167"/>
      <c r="DD122" s="1167"/>
    </row>
    <row r="123" spans="2:108" ht="21" hidden="1" thickBot="1" x14ac:dyDescent="0.25">
      <c r="B123" s="1140"/>
      <c r="C123" s="1140"/>
      <c r="D123" s="1138"/>
      <c r="E123" s="1138"/>
      <c r="F123" s="1138"/>
      <c r="G123" s="1137"/>
      <c r="H123" s="1118"/>
      <c r="I123" s="1118"/>
      <c r="J123" s="1118"/>
      <c r="K123" s="1118"/>
      <c r="L123" s="1118"/>
      <c r="M123" s="1118"/>
      <c r="N123" s="1118"/>
      <c r="O123" s="1119"/>
      <c r="U123" s="1178"/>
      <c r="AB123" s="1178"/>
      <c r="AC123" s="1178"/>
      <c r="AD123" s="1178"/>
      <c r="AE123" s="1178"/>
      <c r="BF123" s="1219"/>
      <c r="BG123" s="1219"/>
      <c r="BH123" s="1219"/>
      <c r="BN123" s="1185"/>
      <c r="BO123" s="1219"/>
      <c r="BP123" s="1283">
        <v>6</v>
      </c>
      <c r="BQ123" s="1245" t="b">
        <f>IF(BV86=6,1)</f>
        <v>0</v>
      </c>
      <c r="BR123" s="1298"/>
      <c r="BS123" s="1298"/>
      <c r="BT123" s="1298"/>
      <c r="BU123" s="1298"/>
      <c r="BV123" s="1298"/>
      <c r="BW123" s="1298"/>
      <c r="BX123" s="1298"/>
      <c r="BY123" s="1298"/>
      <c r="BZ123" s="1298"/>
      <c r="CA123" s="1230" t="b">
        <f>IF(BV86=6,11)</f>
        <v>0</v>
      </c>
      <c r="CB123" s="1165"/>
      <c r="CC123" s="1165"/>
      <c r="CD123" s="1165"/>
      <c r="CE123" s="1165"/>
      <c r="CF123" s="1165"/>
      <c r="CG123" s="1165"/>
      <c r="CH123" s="1325"/>
      <c r="CI123" s="1165"/>
      <c r="CJ123" s="1324"/>
      <c r="CK123" s="1165"/>
      <c r="CL123" s="1165"/>
      <c r="CM123" s="1165"/>
      <c r="CN123" s="1165"/>
      <c r="CO123" s="1167"/>
      <c r="CP123" s="1167"/>
      <c r="CQ123" s="1167"/>
      <c r="CR123" s="1167"/>
      <c r="CS123" s="1167"/>
      <c r="CT123" s="1167"/>
      <c r="CU123" s="1167"/>
      <c r="CV123" s="1167"/>
      <c r="CW123" s="1167"/>
      <c r="CX123" s="1167"/>
      <c r="CY123" s="1167"/>
      <c r="CZ123" s="1167"/>
      <c r="DA123" s="1167"/>
      <c r="DB123" s="1167"/>
      <c r="DC123" s="1167"/>
      <c r="DD123" s="1167"/>
    </row>
    <row r="124" spans="2:108" ht="148" hidden="1" thickBot="1" x14ac:dyDescent="0.25">
      <c r="B124" s="19"/>
      <c r="C124" s="1140"/>
      <c r="D124" s="1138"/>
      <c r="E124" s="19"/>
      <c r="F124" s="1138"/>
      <c r="G124" s="1137"/>
      <c r="H124" s="1118"/>
      <c r="I124" s="1326" t="s">
        <v>247</v>
      </c>
      <c r="J124" s="1326" t="s">
        <v>246</v>
      </c>
      <c r="K124" s="1327" t="s">
        <v>248</v>
      </c>
      <c r="L124" s="1328" t="s">
        <v>249</v>
      </c>
      <c r="M124" s="1329" t="s">
        <v>253</v>
      </c>
      <c r="N124" s="1118"/>
      <c r="O124" s="1119"/>
      <c r="U124" s="1178"/>
      <c r="AB124" s="1178"/>
      <c r="AC124" s="1178"/>
      <c r="AD124" s="1178"/>
      <c r="AE124" s="1178"/>
      <c r="BE124" s="1219"/>
      <c r="BF124" s="1219"/>
      <c r="BG124" s="1219"/>
      <c r="BH124" s="1219"/>
      <c r="BN124" s="1185"/>
      <c r="BO124" s="1219"/>
      <c r="BP124" s="1283">
        <v>5</v>
      </c>
      <c r="BQ124" s="1245" t="b">
        <f>IF(BU86=5,1)</f>
        <v>0</v>
      </c>
      <c r="BR124" s="1234"/>
      <c r="BS124" s="1298"/>
      <c r="BT124" s="1298"/>
      <c r="BU124" s="1298"/>
      <c r="BV124" s="1298"/>
      <c r="BW124" s="1298"/>
      <c r="BX124" s="1234"/>
      <c r="BY124" s="1230" t="b">
        <f>IF(BU86=5,9)</f>
        <v>0</v>
      </c>
      <c r="BZ124" s="1165"/>
      <c r="CA124" s="1165"/>
      <c r="CB124" s="1165"/>
      <c r="CC124" s="1165"/>
      <c r="CD124" s="1165"/>
      <c r="CE124" s="1165"/>
      <c r="CF124" s="1165"/>
      <c r="CG124" s="1165"/>
      <c r="CH124" s="1325"/>
      <c r="CI124" s="1165"/>
      <c r="CJ124" s="1324"/>
      <c r="CK124" s="1165"/>
      <c r="CL124" s="1165"/>
      <c r="CM124" s="1165"/>
      <c r="CN124" s="1165"/>
      <c r="CO124" s="1167"/>
      <c r="CP124" s="1167"/>
      <c r="CQ124" s="1167"/>
      <c r="CR124" s="1167"/>
      <c r="CS124" s="1167"/>
      <c r="CT124" s="1167"/>
      <c r="CU124" s="1167"/>
      <c r="CV124" s="1167"/>
      <c r="CW124" s="1167"/>
      <c r="CX124" s="1167"/>
      <c r="CY124" s="1167"/>
      <c r="CZ124" s="1167"/>
      <c r="DA124" s="1167"/>
      <c r="DB124" s="1167"/>
      <c r="DC124" s="1167"/>
      <c r="DD124" s="1167"/>
    </row>
    <row r="125" spans="2:108" ht="106" hidden="1" thickBot="1" x14ac:dyDescent="0.25">
      <c r="B125" s="1140"/>
      <c r="C125" s="1140"/>
      <c r="D125" s="1138"/>
      <c r="E125" s="1138"/>
      <c r="F125" s="1138"/>
      <c r="G125" s="1137"/>
      <c r="H125" s="1118"/>
      <c r="I125" s="1250" t="s">
        <v>240</v>
      </c>
      <c r="J125" s="1330" t="s">
        <v>239</v>
      </c>
      <c r="K125" s="1331" t="s">
        <v>128</v>
      </c>
      <c r="L125" s="1332" t="s">
        <v>128</v>
      </c>
      <c r="M125" s="1333" t="s">
        <v>128</v>
      </c>
      <c r="N125" s="1118"/>
      <c r="O125" s="1119"/>
      <c r="U125" s="1178"/>
      <c r="AB125" s="1178"/>
      <c r="AC125" s="1178"/>
      <c r="AD125" s="1178"/>
      <c r="AE125" s="1178"/>
      <c r="BF125" s="1219"/>
      <c r="BG125" s="1219"/>
      <c r="BH125" s="1219"/>
      <c r="BN125" s="1185"/>
      <c r="BO125" s="1219"/>
      <c r="BP125" s="1283">
        <v>4</v>
      </c>
      <c r="BQ125" s="1245" t="b">
        <f>IF(BT86=4,1)</f>
        <v>0</v>
      </c>
      <c r="BR125" s="1298"/>
      <c r="BS125" s="1298"/>
      <c r="BT125" s="1298"/>
      <c r="BU125" s="1298"/>
      <c r="BV125" s="1298"/>
      <c r="BW125" s="1230" t="b">
        <f>IF(BT86=4,7)</f>
        <v>0</v>
      </c>
      <c r="BX125" s="1165"/>
      <c r="BY125" s="1334"/>
      <c r="BZ125" s="1334"/>
      <c r="CA125" s="1165"/>
      <c r="CB125" s="1334"/>
      <c r="CC125" s="1165"/>
      <c r="CD125" s="1165"/>
      <c r="CE125" s="1165"/>
      <c r="CF125" s="1165"/>
      <c r="CG125" s="1165"/>
      <c r="CH125" s="1325"/>
      <c r="CI125" s="1165"/>
      <c r="CJ125" s="1324"/>
      <c r="CK125" s="1165"/>
      <c r="CL125" s="1165"/>
      <c r="CM125" s="1165"/>
      <c r="CN125" s="1165"/>
      <c r="CO125" s="1167"/>
      <c r="CP125" s="1167"/>
      <c r="CQ125" s="1167"/>
      <c r="CR125" s="1167"/>
      <c r="CS125" s="1167"/>
      <c r="CT125" s="1167"/>
      <c r="CU125" s="1167"/>
      <c r="CV125" s="1167"/>
      <c r="CW125" s="1167"/>
      <c r="CX125" s="1167"/>
      <c r="CY125" s="1167"/>
      <c r="CZ125" s="1167"/>
      <c r="DA125" s="1167"/>
      <c r="DB125" s="1167"/>
      <c r="DC125" s="1167"/>
      <c r="DD125" s="1167"/>
    </row>
    <row r="126" spans="2:108" ht="145" hidden="1" thickBot="1" x14ac:dyDescent="0.3">
      <c r="B126" s="1140"/>
      <c r="C126" s="1140"/>
      <c r="D126" s="1138"/>
      <c r="E126" s="1138"/>
      <c r="F126" s="1138"/>
      <c r="G126" s="1137"/>
      <c r="H126" s="1261" t="s">
        <v>265</v>
      </c>
      <c r="I126" s="1080">
        <f>+MIN(K31:L32)</f>
        <v>26.312053242409778</v>
      </c>
      <c r="J126" s="1080">
        <f>+MIN(J37:K38)</f>
        <v>47.407407407407405</v>
      </c>
      <c r="K126" s="1082">
        <f>+MIN(J43:L44)</f>
        <v>47.407407407407405</v>
      </c>
      <c r="L126" s="1083">
        <f>+MIN(J49:L50)</f>
        <v>20.512820512820515</v>
      </c>
      <c r="M126" s="1084">
        <f>+MIN(J55:L56)</f>
        <v>47.407407407407405</v>
      </c>
      <c r="N126" s="1118"/>
      <c r="O126" s="1119"/>
      <c r="U126" s="1178"/>
      <c r="AB126" s="1178"/>
      <c r="AC126" s="1178"/>
      <c r="AD126" s="1178"/>
      <c r="AE126" s="1178"/>
      <c r="BE126" s="1219"/>
      <c r="BF126" s="1219"/>
      <c r="BG126" s="1219"/>
      <c r="BH126" s="1219"/>
      <c r="BN126" s="1185"/>
      <c r="BO126" s="1219"/>
      <c r="BP126" s="1283">
        <v>3</v>
      </c>
      <c r="BQ126" s="1245" t="b">
        <f>IF(BS86=3,1)</f>
        <v>0</v>
      </c>
      <c r="BR126" s="1298"/>
      <c r="BS126" s="1298"/>
      <c r="BT126" s="1298"/>
      <c r="BU126" s="1230" t="b">
        <f>IF(BS86=3,5)</f>
        <v>0</v>
      </c>
      <c r="BV126" s="1165"/>
      <c r="BW126" s="1165"/>
      <c r="BX126" s="1165"/>
      <c r="BY126" s="1165"/>
      <c r="BZ126" s="1165"/>
      <c r="CA126" s="1165"/>
      <c r="CB126" s="1165"/>
      <c r="CC126" s="1165"/>
      <c r="CD126" s="1165"/>
      <c r="CE126" s="1165"/>
      <c r="CF126" s="1165"/>
      <c r="CG126" s="1165"/>
      <c r="CH126" s="1325"/>
      <c r="CI126" s="1165"/>
      <c r="CJ126" s="1324"/>
      <c r="CK126" s="1165"/>
      <c r="CL126" s="1165"/>
      <c r="CM126" s="1165"/>
      <c r="CN126" s="1165"/>
      <c r="CO126" s="1167"/>
      <c r="CP126" s="1167"/>
      <c r="CQ126" s="1167"/>
      <c r="CR126" s="1167"/>
      <c r="CS126" s="1167"/>
      <c r="CT126" s="1167"/>
      <c r="CU126" s="1167"/>
      <c r="CV126" s="1167"/>
      <c r="CW126" s="1167"/>
      <c r="CX126" s="1167"/>
      <c r="CY126" s="1167"/>
      <c r="CZ126" s="1167"/>
      <c r="DA126" s="1167"/>
      <c r="DB126" s="1167"/>
      <c r="DC126" s="1167"/>
      <c r="DD126" s="1167"/>
    </row>
    <row r="127" spans="2:108" ht="20" hidden="1" x14ac:dyDescent="0.2">
      <c r="E127" s="1138"/>
      <c r="F127" s="1138"/>
      <c r="G127" s="1335"/>
      <c r="H127" s="1248"/>
      <c r="I127" s="1248"/>
      <c r="J127" s="1248"/>
      <c r="K127" s="1248"/>
      <c r="L127" s="1248"/>
      <c r="M127" s="1248"/>
      <c r="N127" s="1248"/>
      <c r="O127" s="1336"/>
      <c r="U127" s="1178"/>
      <c r="AB127" s="1178"/>
      <c r="AC127" s="1178"/>
      <c r="AD127" s="1178"/>
      <c r="AE127" s="1178"/>
      <c r="BE127" s="1219"/>
      <c r="BF127" s="1219"/>
      <c r="BG127" s="1219"/>
      <c r="BH127" s="1219"/>
      <c r="BN127" s="1185"/>
      <c r="BO127" s="1219"/>
      <c r="BP127" s="1283">
        <v>2</v>
      </c>
      <c r="BQ127" s="1337" t="b">
        <f>IF(BR86=2,1)</f>
        <v>0</v>
      </c>
      <c r="BR127" s="1338"/>
      <c r="BS127" s="1339" t="b">
        <f>IF(BR86=2,3)</f>
        <v>0</v>
      </c>
      <c r="BT127" s="1165"/>
      <c r="BU127" s="1165"/>
      <c r="BV127" s="1165"/>
      <c r="BW127" s="1165"/>
      <c r="BX127" s="1165"/>
      <c r="BY127" s="1165"/>
      <c r="BZ127" s="1165"/>
      <c r="CA127" s="1165"/>
      <c r="CB127" s="1165"/>
      <c r="CC127" s="1165"/>
      <c r="CD127" s="1165"/>
      <c r="CE127" s="1165"/>
      <c r="CF127" s="1165"/>
      <c r="CG127" s="1165"/>
      <c r="CH127" s="1325"/>
      <c r="CI127" s="1165"/>
      <c r="CJ127" s="1324"/>
      <c r="CK127" s="1165"/>
      <c r="CL127" s="1165"/>
      <c r="CM127" s="1165"/>
      <c r="CN127" s="1165"/>
      <c r="CO127" s="1167"/>
      <c r="CP127" s="1167"/>
      <c r="CQ127" s="1167"/>
      <c r="CR127" s="1167"/>
      <c r="CS127" s="1167"/>
      <c r="CT127" s="1167"/>
      <c r="CU127" s="1167"/>
      <c r="CV127" s="1167"/>
      <c r="CW127" s="1167"/>
      <c r="CX127" s="1167"/>
      <c r="CY127" s="1167"/>
      <c r="CZ127" s="1167"/>
      <c r="DA127" s="1167"/>
      <c r="DB127" s="1167"/>
      <c r="DC127" s="1167"/>
      <c r="DD127" s="1167"/>
    </row>
    <row r="128" spans="2:108" ht="31" hidden="1" thickBot="1" x14ac:dyDescent="0.25">
      <c r="E128" s="1138"/>
      <c r="F128" s="1138"/>
      <c r="G128" s="1137"/>
      <c r="H128" s="1340"/>
      <c r="I128" s="1340"/>
      <c r="J128" s="1340"/>
      <c r="K128" s="1340"/>
      <c r="L128" s="1340"/>
      <c r="M128" s="1340"/>
      <c r="N128" s="1340"/>
      <c r="O128" s="1341"/>
      <c r="U128" s="1178"/>
      <c r="AB128" s="1178"/>
      <c r="AC128" s="1178"/>
      <c r="AD128" s="1178"/>
      <c r="AE128" s="1178"/>
      <c r="BE128" s="1219"/>
      <c r="BF128" s="1219"/>
      <c r="BG128" s="1219"/>
      <c r="BH128" s="1219"/>
      <c r="BN128" s="1185"/>
      <c r="BO128" s="1219"/>
      <c r="BP128" s="1342"/>
      <c r="BQ128" s="1343">
        <f>SUM(BQ93:BQ127)</f>
        <v>0</v>
      </c>
      <c r="BR128" s="1343">
        <f t="shared" ref="BR128:DA128" si="3">SUM(BR93:BR127)</f>
        <v>0</v>
      </c>
      <c r="BS128" s="1343">
        <f t="shared" si="3"/>
        <v>0</v>
      </c>
      <c r="BT128" s="1343">
        <f t="shared" si="3"/>
        <v>0</v>
      </c>
      <c r="BU128" s="1343">
        <f t="shared" si="3"/>
        <v>0</v>
      </c>
      <c r="BV128" s="1343">
        <f t="shared" si="3"/>
        <v>6</v>
      </c>
      <c r="BW128" s="1343">
        <f t="shared" si="3"/>
        <v>0</v>
      </c>
      <c r="BX128" s="1343">
        <f t="shared" si="3"/>
        <v>0</v>
      </c>
      <c r="BY128" s="1343">
        <f t="shared" si="3"/>
        <v>0</v>
      </c>
      <c r="BZ128" s="1343">
        <f t="shared" si="3"/>
        <v>0</v>
      </c>
      <c r="CA128" s="1343">
        <f t="shared" si="3"/>
        <v>0</v>
      </c>
      <c r="CB128" s="1343">
        <f t="shared" si="3"/>
        <v>0</v>
      </c>
      <c r="CC128" s="1343">
        <f t="shared" si="3"/>
        <v>0</v>
      </c>
      <c r="CD128" s="1343">
        <f t="shared" si="3"/>
        <v>0</v>
      </c>
      <c r="CE128" s="1343">
        <f t="shared" si="3"/>
        <v>0</v>
      </c>
      <c r="CF128" s="1343">
        <f t="shared" si="3"/>
        <v>0</v>
      </c>
      <c r="CG128" s="1344">
        <f t="shared" si="3"/>
        <v>0</v>
      </c>
      <c r="CH128" s="1345"/>
      <c r="CI128" s="1346"/>
      <c r="CJ128" s="1347"/>
      <c r="CK128" s="1348">
        <f t="shared" si="3"/>
        <v>0</v>
      </c>
      <c r="CL128" s="1343">
        <f t="shared" si="3"/>
        <v>0</v>
      </c>
      <c r="CM128" s="1343">
        <f t="shared" si="3"/>
        <v>0</v>
      </c>
      <c r="CN128" s="1343">
        <f t="shared" si="3"/>
        <v>0</v>
      </c>
      <c r="CO128" s="1343">
        <f t="shared" si="3"/>
        <v>0</v>
      </c>
      <c r="CP128" s="1343">
        <f t="shared" si="3"/>
        <v>26</v>
      </c>
      <c r="CQ128" s="1343">
        <f t="shared" si="3"/>
        <v>0</v>
      </c>
      <c r="CR128" s="1343">
        <f t="shared" si="3"/>
        <v>0</v>
      </c>
      <c r="CS128" s="1343">
        <f t="shared" si="3"/>
        <v>0</v>
      </c>
      <c r="CT128" s="1343">
        <f t="shared" si="3"/>
        <v>0</v>
      </c>
      <c r="CU128" s="1343">
        <f t="shared" si="3"/>
        <v>0</v>
      </c>
      <c r="CV128" s="1343">
        <f t="shared" si="3"/>
        <v>0</v>
      </c>
      <c r="CW128" s="1343">
        <f t="shared" si="3"/>
        <v>0</v>
      </c>
      <c r="CX128" s="1343">
        <f t="shared" si="3"/>
        <v>0</v>
      </c>
      <c r="CY128" s="1343">
        <f t="shared" si="3"/>
        <v>0</v>
      </c>
      <c r="CZ128" s="1343">
        <f t="shared" si="3"/>
        <v>0</v>
      </c>
      <c r="DA128" s="1343">
        <f t="shared" si="3"/>
        <v>0</v>
      </c>
      <c r="DB128" s="1167"/>
      <c r="DC128" s="1167"/>
      <c r="DD128" s="1167"/>
    </row>
    <row r="129" spans="2:108" ht="57.75" customHeight="1" thickBot="1" x14ac:dyDescent="0.25">
      <c r="B129" s="1263"/>
      <c r="D129" s="1349" t="str">
        <f>IF(BL138&gt;0," ","change the angle of frame or of cabinets")</f>
        <v xml:space="preserve"> </v>
      </c>
      <c r="E129" s="1138"/>
      <c r="F129" s="1138"/>
      <c r="G129" s="1137"/>
      <c r="H129" s="1118"/>
      <c r="I129" s="1118"/>
      <c r="J129" s="1118"/>
      <c r="K129" s="1118"/>
      <c r="L129" s="1118"/>
      <c r="M129" s="1118"/>
      <c r="N129" s="1118"/>
      <c r="O129" s="1119"/>
      <c r="U129" s="1178"/>
      <c r="AB129" s="1178"/>
      <c r="AC129" s="1178"/>
      <c r="AD129" s="1178"/>
      <c r="AE129" s="1178"/>
      <c r="BE129" s="1219"/>
      <c r="BF129" s="1219"/>
      <c r="BG129" s="1219"/>
      <c r="BH129" s="1219"/>
      <c r="BN129" s="1185"/>
      <c r="BO129" s="1219"/>
      <c r="BP129" s="1342"/>
      <c r="BQ129" s="1350"/>
      <c r="BR129" s="1350"/>
      <c r="BS129" s="1350"/>
      <c r="BT129" s="1350"/>
      <c r="BU129" s="1350"/>
      <c r="BV129" s="1350"/>
      <c r="BW129" s="1350"/>
      <c r="BX129" s="1350"/>
      <c r="BY129" s="1350"/>
      <c r="BZ129" s="1350"/>
      <c r="CA129" s="1350"/>
      <c r="CB129" s="1350"/>
      <c r="CC129" s="1350"/>
      <c r="CD129" s="1350"/>
      <c r="CE129" s="1350"/>
      <c r="CF129" s="1350"/>
      <c r="CG129" s="1350"/>
      <c r="CH129" s="1350"/>
      <c r="CI129" s="1350"/>
      <c r="CJ129" s="1350"/>
      <c r="CK129" s="1351"/>
      <c r="CL129" s="1350"/>
      <c r="CM129" s="1350"/>
      <c r="CN129" s="1350"/>
      <c r="CO129" s="1350"/>
      <c r="CP129" s="1350"/>
      <c r="CQ129" s="1350"/>
      <c r="CR129" s="1350"/>
      <c r="CS129" s="1350"/>
      <c r="CT129" s="1350"/>
      <c r="CU129" s="1350"/>
      <c r="CV129" s="1350"/>
      <c r="CW129" s="1350"/>
      <c r="CX129" s="1350"/>
      <c r="CY129" s="1350"/>
      <c r="CZ129" s="1350"/>
      <c r="DA129" s="1350"/>
      <c r="DB129" s="1167"/>
      <c r="DC129" s="1167"/>
      <c r="DD129" s="1167"/>
    </row>
    <row r="130" spans="2:108" ht="54" customHeight="1" thickBot="1" x14ac:dyDescent="0.3">
      <c r="B130" s="1893" t="s">
        <v>116</v>
      </c>
      <c r="D130" s="1349" t="str">
        <f>IF(DD138&lt;0," ","change the angle of frame or of cabinets")</f>
        <v xml:space="preserve"> </v>
      </c>
      <c r="E130" s="1138"/>
      <c r="F130" s="1138"/>
      <c r="G130" s="1137"/>
      <c r="H130" s="1118"/>
      <c r="I130" s="1352" t="s">
        <v>263</v>
      </c>
      <c r="J130" s="1352" t="s">
        <v>262</v>
      </c>
      <c r="K130" s="1118"/>
      <c r="L130" s="1118"/>
      <c r="M130" s="1118"/>
      <c r="N130" s="1118"/>
      <c r="O130" s="1119"/>
      <c r="U130" s="1178"/>
      <c r="AB130" s="1178"/>
      <c r="AC130" s="1178"/>
      <c r="AD130" s="1178"/>
      <c r="AE130" s="1178"/>
      <c r="BE130" s="1219"/>
      <c r="BF130" s="1219"/>
      <c r="BG130" s="1219"/>
      <c r="BH130" s="1219"/>
      <c r="BN130" s="1185"/>
      <c r="BO130" s="1171" t="s">
        <v>128</v>
      </c>
      <c r="BP130" s="1353" t="s">
        <v>124</v>
      </c>
      <c r="BQ130" s="1354" t="str">
        <f>IF(BQ128=1,17,"")</f>
        <v/>
      </c>
      <c r="BR130" s="1355" t="str">
        <f>IF(BR128=2,16,"")</f>
        <v/>
      </c>
      <c r="BS130" s="1355" t="str">
        <f>IF(BS128=3,15,"")</f>
        <v/>
      </c>
      <c r="BT130" s="1355" t="str">
        <f>IF(BT128=4,14,"")</f>
        <v/>
      </c>
      <c r="BU130" s="1355" t="str">
        <f>IF(BU128=5,13,"")</f>
        <v/>
      </c>
      <c r="BV130" s="1355">
        <f>IF(BV128=6,12,"")</f>
        <v>12</v>
      </c>
      <c r="BW130" s="1355" t="str">
        <f>IF(BW128=7,11,"")</f>
        <v/>
      </c>
      <c r="BX130" s="1355" t="str">
        <f>IF(BX128=8,10,"")</f>
        <v/>
      </c>
      <c r="BY130" s="1355" t="str">
        <f>IF(BY128=9,9,"")</f>
        <v/>
      </c>
      <c r="BZ130" s="1355" t="str">
        <f>IF(BZ128=10,8,"")</f>
        <v/>
      </c>
      <c r="CA130" s="1355" t="str">
        <f>IF(CA128=11,7,"")</f>
        <v/>
      </c>
      <c r="CB130" s="1356" t="str">
        <f>IF(CB128=12,"6  ADS ","")</f>
        <v/>
      </c>
      <c r="CC130" s="1355" t="str">
        <f>IF(CC128=13,5,"")</f>
        <v/>
      </c>
      <c r="CD130" s="1355" t="str">
        <f>IF(CD128=14,4,"")</f>
        <v/>
      </c>
      <c r="CE130" s="1355" t="str">
        <f>IF(CE128=15,3,"")</f>
        <v/>
      </c>
      <c r="CF130" s="1355" t="str">
        <f>IF(CF128=16,2,"")</f>
        <v/>
      </c>
      <c r="CG130" s="1355" t="str">
        <f>IF(CG128=17,1,"")</f>
        <v/>
      </c>
      <c r="CH130" s="1357"/>
      <c r="CI130" s="1358"/>
      <c r="CJ130" s="1359"/>
      <c r="CK130" s="1360" t="str">
        <f>IF(CK128=21,1,"")</f>
        <v/>
      </c>
      <c r="CL130" s="1360" t="str">
        <f>IF(CL128=22,2,"")</f>
        <v/>
      </c>
      <c r="CM130" s="1360" t="str">
        <f>IF(CM128=23,3,"")</f>
        <v/>
      </c>
      <c r="CN130" s="1360" t="str">
        <f>IF(CN128=24,4,"")</f>
        <v/>
      </c>
      <c r="CO130" s="1360" t="str">
        <f>IF(CO128=25,5,"")</f>
        <v/>
      </c>
      <c r="CP130" s="1361" t="str">
        <f>IF(CP128=26,"6  ADS ","")</f>
        <v xml:space="preserve">6  ADS </v>
      </c>
      <c r="CQ130" s="1360" t="str">
        <f>IF(CQ128=27,7,"")</f>
        <v/>
      </c>
      <c r="CR130" s="1360" t="str">
        <f>IF(CR128=28,8,"")</f>
        <v/>
      </c>
      <c r="CS130" s="1360" t="str">
        <f>IF(CS128=29,9,"")</f>
        <v/>
      </c>
      <c r="CT130" s="1360" t="str">
        <f>IF(CT128=30,10,"")</f>
        <v/>
      </c>
      <c r="CU130" s="1360" t="str">
        <f>IF(CU128=31,11,"")</f>
        <v/>
      </c>
      <c r="CV130" s="1360" t="str">
        <f>IF(CV128=32,12,"")</f>
        <v/>
      </c>
      <c r="CW130" s="1360" t="str">
        <f>IF(CW128=33,13,"")</f>
        <v/>
      </c>
      <c r="CX130" s="1360" t="str">
        <f>IF(CX128=34,14,"")</f>
        <v/>
      </c>
      <c r="CY130" s="1360" t="str">
        <f>IF(CY128=35,15,"")</f>
        <v/>
      </c>
      <c r="CZ130" s="1360" t="str">
        <f>IF(CZ128=36,16,"")</f>
        <v/>
      </c>
      <c r="DA130" s="1362" t="str">
        <f>IF(DA128=37,17,"")</f>
        <v/>
      </c>
      <c r="DB130" s="1363"/>
      <c r="DC130" s="1167"/>
      <c r="DD130" s="1167"/>
    </row>
    <row r="131" spans="2:108" ht="54" customHeight="1" thickBot="1" x14ac:dyDescent="0.3">
      <c r="B131" s="1894"/>
      <c r="C131" s="609"/>
      <c r="D131" s="1349" t="str">
        <f>IF(BL138&gt;(+COS(($B$132*-1)*3.14159265358979/180)*451.5)," ","USE EXBAR AR AT THE FRONT")</f>
        <v xml:space="preserve"> </v>
      </c>
      <c r="E131" s="1138"/>
      <c r="F131" s="1138"/>
      <c r="G131" s="1364"/>
      <c r="H131" s="1365"/>
      <c r="I131" s="1366">
        <f>COUNTIF(CK128:DA128,"&gt;0")</f>
        <v>1</v>
      </c>
      <c r="J131" s="1366">
        <f>COUNTIF(BQ128:CG128,"&gt;0")</f>
        <v>1</v>
      </c>
      <c r="K131" s="1366" t="b">
        <f>AND(IF(SUM(BQ130:CA130)&gt;0,1,0),IF(CP130="6  ADS ",1,0))</f>
        <v>1</v>
      </c>
      <c r="L131" s="1366" t="b">
        <f>AND(IF(SUM(CQ130:DA130)&gt;0,1,0),IF(CB130="6  ADS ",1,0))</f>
        <v>0</v>
      </c>
      <c r="M131" s="1366" t="b">
        <f>AND(IF(CP130="6  ADS ",1,0),IF(CB130="6  ADS ",1,0))</f>
        <v>0</v>
      </c>
      <c r="N131" s="1365"/>
      <c r="O131" s="1367"/>
      <c r="U131" s="1178"/>
      <c r="AB131" s="1178"/>
      <c r="AC131" s="1178"/>
      <c r="AD131" s="1178"/>
      <c r="AE131" s="1178"/>
      <c r="AL131" s="1368" t="s">
        <v>174</v>
      </c>
      <c r="AM131" s="1369"/>
      <c r="AN131" s="1369"/>
      <c r="AO131" s="1369"/>
      <c r="AP131" s="1370" t="s">
        <v>178</v>
      </c>
      <c r="BE131" s="1219"/>
      <c r="BF131" s="1219"/>
      <c r="BG131" s="1219"/>
      <c r="BH131" s="1219"/>
      <c r="BL131" s="1169">
        <v>6</v>
      </c>
      <c r="BM131" s="1762" t="b">
        <f>AND(BO131&gt;=10,$BA$138&gt;=10,$BB$138&gt;=10,$BA$170&gt;=10,$BB$170&gt;=10,$BA$194&gt;=10,$BB$194&gt;=10,$BA$223&gt;=10,$BB$223&gt;=10)</f>
        <v>1</v>
      </c>
      <c r="BN131" s="1179" t="str">
        <f>IF(BM131=TRUE,"O K","OVERLOAD")</f>
        <v>O K</v>
      </c>
      <c r="BO131" s="982">
        <f>SUM(I132:M132)</f>
        <v>47.407407407407405</v>
      </c>
      <c r="BP131" s="1279" t="s">
        <v>185</v>
      </c>
      <c r="BQ131" s="1280">
        <v>-10</v>
      </c>
      <c r="BR131" s="1280">
        <v>-9</v>
      </c>
      <c r="BS131" s="1280">
        <v>-8</v>
      </c>
      <c r="BT131" s="1280">
        <v>-7</v>
      </c>
      <c r="BU131" s="1280">
        <v>-6</v>
      </c>
      <c r="BV131" s="1280">
        <v>-5</v>
      </c>
      <c r="BW131" s="1280">
        <v>-4</v>
      </c>
      <c r="BX131" s="1280">
        <v>-3</v>
      </c>
      <c r="BY131" s="1280">
        <v>-2</v>
      </c>
      <c r="BZ131" s="1280">
        <v>-1</v>
      </c>
      <c r="CA131" s="1280">
        <v>0</v>
      </c>
      <c r="CB131" s="1280">
        <v>1</v>
      </c>
      <c r="CC131" s="1280">
        <v>2</v>
      </c>
      <c r="CD131" s="1280">
        <v>3</v>
      </c>
      <c r="CE131" s="1280">
        <v>4</v>
      </c>
      <c r="CF131" s="1280">
        <v>5</v>
      </c>
      <c r="CG131" s="1280">
        <v>6</v>
      </c>
      <c r="CH131" s="1280">
        <v>7</v>
      </c>
      <c r="CI131" s="1280">
        <v>8</v>
      </c>
      <c r="CJ131" s="1280">
        <v>9</v>
      </c>
      <c r="CK131" s="1280">
        <v>10</v>
      </c>
      <c r="CL131" s="1280">
        <v>11</v>
      </c>
      <c r="CM131" s="1280">
        <v>12</v>
      </c>
      <c r="CN131" s="1280">
        <v>13</v>
      </c>
      <c r="CO131" s="1280">
        <v>14</v>
      </c>
      <c r="CP131" s="1280">
        <v>15</v>
      </c>
      <c r="CQ131" s="1280">
        <v>16</v>
      </c>
      <c r="CR131" s="1280">
        <v>17</v>
      </c>
      <c r="CS131" s="1280">
        <v>18</v>
      </c>
      <c r="CT131" s="1280">
        <v>19</v>
      </c>
      <c r="CU131" s="1280">
        <v>20</v>
      </c>
      <c r="CV131" s="1280">
        <v>21</v>
      </c>
      <c r="CW131" s="1280">
        <v>22</v>
      </c>
      <c r="CX131" s="1280">
        <v>23</v>
      </c>
      <c r="CY131" s="1280">
        <v>24</v>
      </c>
      <c r="CZ131" s="1280">
        <v>25</v>
      </c>
      <c r="DA131" s="1281">
        <v>26</v>
      </c>
      <c r="DB131" s="1363"/>
      <c r="DC131" s="1167"/>
      <c r="DD131" s="1167"/>
    </row>
    <row r="132" spans="2:108" ht="54" customHeight="1" thickBot="1" x14ac:dyDescent="0.3">
      <c r="B132" s="1371">
        <v>0</v>
      </c>
      <c r="C132" s="609"/>
      <c r="D132" s="1372" t="str">
        <f>IF(DD138&lt;-(+COS(($B$132*-1)*3.14159265358979/180)*365.5)," ","USE EXBAR AR AT THE BACK")</f>
        <v xml:space="preserve"> </v>
      </c>
      <c r="E132" s="1138"/>
      <c r="F132" s="1138"/>
      <c r="G132" s="1373"/>
      <c r="H132" s="1374"/>
      <c r="I132" s="1375">
        <f>IF(I131=2,I126,0)</f>
        <v>0</v>
      </c>
      <c r="J132" s="1375">
        <f>IF(J131=2,J126,0)</f>
        <v>0</v>
      </c>
      <c r="K132" s="1375">
        <f t="shared" ref="K132:M132" si="4">IF(K131=TRUE,K126,0)</f>
        <v>47.407407407407405</v>
      </c>
      <c r="L132" s="1375">
        <f t="shared" si="4"/>
        <v>0</v>
      </c>
      <c r="M132" s="1375">
        <f t="shared" si="4"/>
        <v>0</v>
      </c>
      <c r="N132" s="1374"/>
      <c r="O132" s="1376"/>
      <c r="U132" s="1178"/>
      <c r="AB132" s="1178"/>
      <c r="AC132" s="1178"/>
      <c r="AD132" s="1178"/>
      <c r="AE132" s="1178"/>
      <c r="AL132" s="1377" t="s">
        <v>175</v>
      </c>
      <c r="AM132" s="1368" t="s">
        <v>176</v>
      </c>
      <c r="AN132" s="1368" t="s">
        <v>177</v>
      </c>
      <c r="AO132" s="1378" t="s">
        <v>181</v>
      </c>
      <c r="AP132" s="1379" t="s">
        <v>179</v>
      </c>
      <c r="BE132" s="1219"/>
      <c r="BF132" s="1219"/>
      <c r="BG132" s="1219"/>
      <c r="BH132" s="1219"/>
      <c r="BN132" s="1185"/>
      <c r="BO132" s="1219"/>
      <c r="BP132" s="1219"/>
      <c r="BQ132" s="1363"/>
      <c r="BR132" s="1363"/>
      <c r="BS132" s="1363"/>
      <c r="BT132" s="1363"/>
      <c r="BU132" s="1363"/>
      <c r="BV132" s="1363"/>
      <c r="BW132" s="1363"/>
      <c r="BX132" s="1363"/>
      <c r="BY132" s="1363"/>
      <c r="BZ132" s="1363"/>
      <c r="CA132" s="1363"/>
      <c r="CB132" s="1380"/>
      <c r="CC132" s="1363"/>
      <c r="CD132" s="1363"/>
      <c r="CE132" s="1363"/>
      <c r="CF132" s="1363"/>
      <c r="CG132" s="1363"/>
      <c r="CH132" s="1363"/>
      <c r="CI132" s="1363"/>
      <c r="CJ132" s="1363"/>
      <c r="CK132" s="1363"/>
      <c r="CL132" s="1363"/>
      <c r="CM132" s="1363"/>
      <c r="CN132" s="1363"/>
      <c r="CO132" s="1363"/>
      <c r="CP132" s="1380"/>
      <c r="CQ132" s="1363"/>
      <c r="CR132" s="1363"/>
      <c r="CS132" s="1363"/>
      <c r="CT132" s="1363"/>
      <c r="CU132" s="1363"/>
      <c r="CV132" s="1363"/>
      <c r="CW132" s="1363"/>
      <c r="CX132" s="1363"/>
      <c r="CY132" s="1363"/>
      <c r="CZ132" s="1363"/>
      <c r="DA132" s="1363"/>
      <c r="DB132" s="1363"/>
      <c r="DC132" s="1167"/>
      <c r="DD132" s="1167"/>
    </row>
    <row r="133" spans="2:108" ht="22.5" customHeight="1" thickBot="1" x14ac:dyDescent="0.25">
      <c r="B133" s="1140"/>
      <c r="C133" s="1140"/>
      <c r="D133" s="1138"/>
      <c r="E133" s="1138"/>
      <c r="F133" s="1138"/>
      <c r="G133" s="1138"/>
      <c r="U133" s="1178"/>
      <c r="AB133" s="1178"/>
      <c r="AC133" s="1178"/>
      <c r="AD133" s="1178"/>
      <c r="AE133" s="1178"/>
      <c r="BE133" s="1219"/>
      <c r="BF133" s="1219"/>
      <c r="BG133" s="1219"/>
      <c r="BH133" s="1219"/>
      <c r="BM133" s="1118"/>
      <c r="BO133" s="1219"/>
      <c r="BP133" s="1219"/>
      <c r="DB133" s="1167"/>
      <c r="DC133" s="1167"/>
      <c r="DD133" s="1167"/>
    </row>
    <row r="134" spans="2:108" ht="63" customHeight="1" thickBot="1" x14ac:dyDescent="0.3">
      <c r="B134" s="1381" t="s">
        <v>118</v>
      </c>
      <c r="C134" s="1382"/>
      <c r="D134" s="1383"/>
      <c r="E134" s="1139"/>
      <c r="F134" s="1139"/>
      <c r="G134" s="1139"/>
      <c r="H134" s="1384"/>
      <c r="I134" s="1384"/>
      <c r="J134" s="1384"/>
      <c r="K134" s="1384"/>
      <c r="L134" s="1384"/>
      <c r="M134" s="1384"/>
      <c r="N134" s="1384"/>
      <c r="O134" s="1384"/>
      <c r="P134" s="1384"/>
      <c r="Q134" s="1384"/>
      <c r="R134" s="1384"/>
      <c r="S134" s="1385" t="s">
        <v>66</v>
      </c>
      <c r="T134" s="1385">
        <f>SUM(V138:V157)/B135</f>
        <v>213.83080000000001</v>
      </c>
      <c r="U134" s="1386"/>
      <c r="V134" s="1131"/>
      <c r="AB134" s="1131"/>
      <c r="AC134" s="1131"/>
      <c r="AD134" s="1131"/>
      <c r="AE134" s="1131"/>
      <c r="AF134" s="1131"/>
      <c r="AG134" s="1131"/>
      <c r="AH134" s="1131"/>
      <c r="AI134" s="1131"/>
      <c r="AJ134" s="1131"/>
      <c r="AK134" s="1131"/>
      <c r="AL134" s="1377">
        <v>6.8623010000000004</v>
      </c>
      <c r="AM134" s="1368">
        <f>+$B$132-AL134</f>
        <v>-6.8623010000000004</v>
      </c>
      <c r="AN134" s="1387">
        <f>COS(AM134*3.14159265358979/180)</f>
        <v>0.99283617366519983</v>
      </c>
      <c r="AO134" s="1388">
        <f>+AN134*378.71303</f>
        <v>375.99999562235405</v>
      </c>
      <c r="AP134" s="1389">
        <f>+((AP138*(AR138-31-31-31))+(AO134*31)+(AP164*31)+(AP188*31))/(AR138+31)</f>
        <v>213.7048075654898</v>
      </c>
      <c r="AQ134" s="1100" t="s">
        <v>271</v>
      </c>
      <c r="AR134" s="1131"/>
      <c r="AS134" s="1131"/>
      <c r="AT134" s="1131"/>
      <c r="AU134" s="1131"/>
      <c r="AV134" s="1131"/>
      <c r="AW134" s="1131"/>
      <c r="AX134" s="1131"/>
      <c r="AY134" s="1131"/>
      <c r="AZ134" s="1131"/>
      <c r="BA134" s="1131"/>
      <c r="BB134" s="1131"/>
      <c r="BC134" s="1248"/>
      <c r="BE134" s="1219"/>
      <c r="BF134" s="1219"/>
      <c r="BG134" s="1219"/>
      <c r="BH134" s="1219"/>
      <c r="BI134" s="1219"/>
      <c r="BJ134" s="1219"/>
      <c r="BK134" s="1219"/>
      <c r="BL134" s="1219"/>
      <c r="BM134" s="1251"/>
      <c r="BN134" s="1219"/>
      <c r="BO134" s="1219"/>
      <c r="BP134" s="1167"/>
      <c r="BQ134" s="1282"/>
      <c r="BR134" s="1282"/>
      <c r="BS134" s="1282"/>
      <c r="BT134" s="1282"/>
      <c r="BU134" s="1282"/>
      <c r="BV134" s="1282"/>
      <c r="BW134" s="1282"/>
      <c r="BX134" s="1282"/>
      <c r="BY134" s="1282"/>
      <c r="BZ134" s="1282"/>
      <c r="CA134" s="1282"/>
      <c r="CB134" s="1282"/>
      <c r="CC134" s="1282"/>
      <c r="CD134" s="1282"/>
      <c r="CE134" s="1282"/>
      <c r="CF134" s="1282"/>
      <c r="CG134" s="1282"/>
      <c r="CH134" s="1282"/>
      <c r="CI134" s="1282"/>
      <c r="CJ134" s="1282"/>
      <c r="CK134" s="1282"/>
      <c r="CL134" s="1282"/>
      <c r="CM134" s="1282"/>
      <c r="CN134" s="1282"/>
      <c r="CO134" s="1282"/>
      <c r="CP134" s="1282"/>
      <c r="CQ134" s="1282"/>
      <c r="CR134" s="1282"/>
      <c r="CS134" s="1282"/>
      <c r="CT134" s="1282"/>
      <c r="CU134" s="1282"/>
      <c r="CV134" s="1282"/>
      <c r="CW134" s="1282"/>
      <c r="CX134" s="1282"/>
      <c r="CY134" s="1282"/>
      <c r="CZ134" s="1282"/>
      <c r="DA134" s="1282"/>
      <c r="DB134" s="1282"/>
    </row>
    <row r="135" spans="2:108" ht="32.25" customHeight="1" thickBot="1" x14ac:dyDescent="0.3">
      <c r="B135" s="1390">
        <v>1</v>
      </c>
      <c r="C135" s="1391"/>
      <c r="D135" s="1392" t="s">
        <v>139</v>
      </c>
      <c r="E135" s="1393"/>
      <c r="F135" s="1393"/>
      <c r="G135" s="1393"/>
      <c r="H135" s="1394"/>
      <c r="I135" s="1395"/>
      <c r="J135" s="1395"/>
      <c r="K135" s="1395"/>
      <c r="L135" s="1395"/>
      <c r="M135" s="1395"/>
      <c r="N135" s="1395"/>
      <c r="O135" s="1395"/>
      <c r="P135" s="1395"/>
      <c r="Q135" s="1395"/>
      <c r="R135" s="1395"/>
      <c r="S135" s="1396"/>
      <c r="T135" s="1397"/>
      <c r="U135" s="1268"/>
      <c r="V135" s="1398"/>
      <c r="W135" s="1890" t="s">
        <v>93</v>
      </c>
      <c r="X135" s="1890"/>
      <c r="Y135" s="1890"/>
      <c r="Z135" s="1890"/>
      <c r="AA135" s="1890"/>
      <c r="AB135" s="1398"/>
      <c r="AC135" s="1398"/>
      <c r="AD135" s="1398"/>
      <c r="AE135" s="1398"/>
      <c r="AF135" s="1398"/>
      <c r="AG135" s="1398"/>
      <c r="AH135" s="1398"/>
      <c r="AI135" s="1398"/>
      <c r="AJ135" s="1398"/>
      <c r="AK135" s="1398"/>
      <c r="AL135" s="1398"/>
      <c r="AM135" s="1398"/>
      <c r="AN135" s="1398"/>
      <c r="AO135" s="1398"/>
      <c r="AP135" s="1398"/>
      <c r="AQ135" s="1398"/>
      <c r="AR135" s="1398"/>
      <c r="AS135" s="1398"/>
      <c r="AT135" s="1398"/>
      <c r="AU135" s="1398"/>
      <c r="AV135" s="1398"/>
      <c r="AW135" s="1398"/>
      <c r="AX135" s="1398"/>
      <c r="AY135" s="1398"/>
      <c r="AZ135" s="1398"/>
      <c r="BA135" s="1888" t="s">
        <v>52</v>
      </c>
      <c r="BB135" s="1889"/>
      <c r="BC135" s="1399"/>
      <c r="BE135" s="1219"/>
      <c r="BF135" s="1219"/>
      <c r="BG135" s="1219"/>
      <c r="BH135" s="1219"/>
      <c r="BI135" s="1219"/>
      <c r="BJ135" s="1219"/>
      <c r="BK135" s="1219"/>
      <c r="BL135" s="1219"/>
      <c r="BM135" s="1251"/>
      <c r="BN135" s="1219"/>
      <c r="BO135" s="1219"/>
      <c r="BP135" s="1165"/>
      <c r="BQ135" s="1165"/>
      <c r="BR135" s="1165"/>
      <c r="BS135" s="1165"/>
      <c r="BT135" s="1165"/>
      <c r="BU135" s="1165"/>
      <c r="BV135" s="1400"/>
      <c r="BW135" s="1400"/>
      <c r="BX135" s="1400"/>
      <c r="BY135" s="1400"/>
      <c r="BZ135" s="1400"/>
      <c r="CA135" s="1400"/>
      <c r="CB135" s="1400"/>
      <c r="CC135" s="1400"/>
      <c r="CD135" s="1400"/>
      <c r="CE135" s="1400"/>
      <c r="CF135" s="1400"/>
      <c r="CG135" s="1400"/>
      <c r="CH135" s="1400"/>
      <c r="CI135" s="1400"/>
      <c r="CJ135" s="1167"/>
      <c r="CK135" s="1167"/>
      <c r="CL135" s="1167"/>
      <c r="CM135" s="1167"/>
      <c r="CN135" s="1167"/>
      <c r="CO135" s="1167"/>
      <c r="CP135" s="1167"/>
      <c r="CQ135" s="1167"/>
      <c r="CR135" s="1167"/>
      <c r="CS135" s="1167"/>
      <c r="CT135" s="1167"/>
      <c r="CU135" s="1167"/>
      <c r="CV135" s="1167"/>
      <c r="CW135" s="1167"/>
      <c r="CX135" s="1167"/>
      <c r="CY135" s="1167"/>
      <c r="CZ135" s="1167"/>
      <c r="DA135" s="1167"/>
      <c r="DB135" s="1167"/>
      <c r="DC135" s="1167"/>
      <c r="DD135" s="1167"/>
    </row>
    <row r="136" spans="2:108" ht="77" hidden="1" thickBot="1" x14ac:dyDescent="0.25">
      <c r="C136" s="1401"/>
      <c r="D136" s="1402" t="s">
        <v>13</v>
      </c>
      <c r="H136" s="1403" t="s">
        <v>4</v>
      </c>
      <c r="I136" s="1403" t="s">
        <v>1</v>
      </c>
      <c r="J136" s="1384" t="s">
        <v>0</v>
      </c>
      <c r="K136" s="1384" t="s">
        <v>2</v>
      </c>
      <c r="L136" s="1384" t="s">
        <v>3</v>
      </c>
      <c r="M136" s="1384" t="s">
        <v>8</v>
      </c>
      <c r="N136" s="1384" t="s">
        <v>5</v>
      </c>
      <c r="O136" s="1384" t="s">
        <v>6</v>
      </c>
      <c r="P136" s="1384" t="s">
        <v>7</v>
      </c>
      <c r="Q136" s="1384" t="s">
        <v>9</v>
      </c>
      <c r="R136" s="1404" t="s">
        <v>10</v>
      </c>
      <c r="S136" s="1384" t="s">
        <v>11</v>
      </c>
      <c r="T136" s="1405" t="s">
        <v>12</v>
      </c>
      <c r="V136" s="631"/>
      <c r="W136" s="622" t="s">
        <v>140</v>
      </c>
      <c r="X136" s="623" t="s">
        <v>94</v>
      </c>
      <c r="Y136" s="622" t="s">
        <v>141</v>
      </c>
      <c r="Z136" s="624" t="s">
        <v>100</v>
      </c>
      <c r="AA136" s="624" t="s">
        <v>96</v>
      </c>
      <c r="AB136" s="631"/>
      <c r="AC136" s="1385" t="s">
        <v>99</v>
      </c>
      <c r="AD136" s="1385"/>
      <c r="AE136" s="1385"/>
      <c r="AF136" s="631"/>
      <c r="AG136" s="631"/>
      <c r="AH136" s="631"/>
      <c r="AI136" s="631"/>
      <c r="AJ136" s="631"/>
      <c r="AK136" s="631"/>
      <c r="AL136" s="631"/>
      <c r="AM136" s="631"/>
      <c r="AN136" s="631"/>
      <c r="AO136" s="631"/>
      <c r="AP136" s="631"/>
      <c r="AQ136" s="631"/>
      <c r="AR136" s="631"/>
      <c r="AS136" s="631"/>
      <c r="AT136" s="631"/>
      <c r="AU136" s="631" t="s">
        <v>135</v>
      </c>
      <c r="AV136" s="631"/>
      <c r="AW136" s="631"/>
      <c r="AX136" s="631"/>
      <c r="AY136" s="1406"/>
      <c r="AZ136" s="631"/>
      <c r="BA136" s="631"/>
      <c r="BB136" s="631"/>
      <c r="BC136" s="1407"/>
      <c r="BE136" s="1219"/>
      <c r="BF136" s="1219"/>
      <c r="BG136" s="1219"/>
      <c r="BH136" s="1219"/>
      <c r="BI136" s="1219"/>
      <c r="BJ136" s="1219"/>
      <c r="BK136" s="1219"/>
      <c r="BL136" s="1219"/>
      <c r="BM136" s="1251"/>
      <c r="BN136" s="1219"/>
      <c r="BO136" s="1219"/>
      <c r="BP136" s="1248"/>
      <c r="BQ136" s="1248"/>
      <c r="BR136" s="1248"/>
      <c r="BS136" s="1248"/>
      <c r="BT136" s="1248"/>
      <c r="BU136" s="1248"/>
      <c r="BV136" s="1408"/>
      <c r="BW136" s="1408"/>
      <c r="BX136" s="1408"/>
      <c r="BY136" s="1408"/>
      <c r="BZ136" s="1408"/>
      <c r="CA136" s="1408"/>
      <c r="CB136" s="1408"/>
      <c r="CC136" s="1408"/>
      <c r="CD136" s="1408"/>
      <c r="CE136" s="1408"/>
      <c r="CF136" s="1408"/>
      <c r="CG136" s="1408"/>
      <c r="CH136" s="1408"/>
      <c r="CI136" s="1408"/>
    </row>
    <row r="137" spans="2:108" ht="37.5" customHeight="1" thickBot="1" x14ac:dyDescent="0.25">
      <c r="B137" s="1409"/>
      <c r="C137" s="1410"/>
      <c r="D137" s="1411" t="s">
        <v>22</v>
      </c>
      <c r="E137" s="1393"/>
      <c r="F137" s="1412"/>
      <c r="G137" s="1413"/>
      <c r="H137" s="1414"/>
      <c r="I137" s="1415"/>
      <c r="R137" s="1404"/>
      <c r="T137" s="1416"/>
      <c r="V137" s="631"/>
      <c r="W137" s="631"/>
      <c r="X137" s="631"/>
      <c r="Y137" s="631"/>
      <c r="Z137" s="631"/>
      <c r="AA137" s="631"/>
      <c r="AB137" s="631"/>
      <c r="AC137" s="1145">
        <f>SUM(AC138:AC157)</f>
        <v>213.83080000000001</v>
      </c>
      <c r="AD137" s="644"/>
      <c r="AE137" s="644"/>
      <c r="AF137" s="631" t="s">
        <v>38</v>
      </c>
      <c r="AG137" s="631"/>
      <c r="AH137" s="1417" t="s">
        <v>31</v>
      </c>
      <c r="AI137" s="1418"/>
      <c r="AJ137" s="1419" t="s">
        <v>120</v>
      </c>
      <c r="AK137" s="1420" t="s">
        <v>32</v>
      </c>
      <c r="AL137" s="1421" t="s">
        <v>142</v>
      </c>
      <c r="AM137" s="1419" t="s">
        <v>121</v>
      </c>
      <c r="AN137" s="1422" t="s">
        <v>34</v>
      </c>
      <c r="AO137" s="1421" t="s">
        <v>143</v>
      </c>
      <c r="AP137" s="1423" t="s">
        <v>48</v>
      </c>
      <c r="AQ137" s="1424" t="s">
        <v>36</v>
      </c>
      <c r="AR137" s="1423" t="s">
        <v>144</v>
      </c>
      <c r="AS137" s="631" t="s">
        <v>37</v>
      </c>
      <c r="AT137" s="631" t="s">
        <v>39</v>
      </c>
      <c r="AU137" s="1423" t="s">
        <v>145</v>
      </c>
      <c r="AV137" s="631"/>
      <c r="AW137" s="1425" t="s">
        <v>41</v>
      </c>
      <c r="AX137" s="1425" t="s">
        <v>42</v>
      </c>
      <c r="AY137" s="1426" t="s">
        <v>23</v>
      </c>
      <c r="AZ137" s="1426" t="s">
        <v>24</v>
      </c>
      <c r="BA137" s="1427" t="s">
        <v>23</v>
      </c>
      <c r="BB137" s="1427" t="s">
        <v>24</v>
      </c>
      <c r="BE137" s="1219"/>
      <c r="BF137" s="1219"/>
      <c r="BG137" s="1219"/>
      <c r="BH137" s="1219"/>
      <c r="BI137" s="1219"/>
      <c r="BJ137" s="1219"/>
      <c r="BL137" s="1146" t="s">
        <v>59</v>
      </c>
      <c r="BM137" s="1251"/>
      <c r="BN137" s="1131"/>
      <c r="BO137" s="1219"/>
      <c r="BP137" s="1110"/>
      <c r="BS137" s="1248"/>
      <c r="BT137" s="1248"/>
      <c r="BU137" s="1248"/>
      <c r="BV137" s="1408"/>
      <c r="BW137" s="1408"/>
      <c r="BX137" s="1408"/>
      <c r="BY137" s="1408"/>
      <c r="BZ137" s="1408"/>
      <c r="CA137" s="1408"/>
      <c r="CB137" s="1408"/>
      <c r="CC137" s="1408"/>
      <c r="CD137" s="1408"/>
      <c r="CE137" s="1408"/>
      <c r="CF137" s="1408"/>
      <c r="CG137" s="1408"/>
      <c r="CH137" s="1408"/>
      <c r="CI137" s="1408"/>
      <c r="CR137" s="1110"/>
      <c r="DD137" s="1146" t="s">
        <v>58</v>
      </c>
    </row>
    <row r="138" spans="2:108" ht="21" customHeight="1" thickBot="1" x14ac:dyDescent="0.25">
      <c r="B138" s="1428">
        <v>1</v>
      </c>
      <c r="C138" s="1429">
        <f>+(B132*-1)+D138</f>
        <v>0</v>
      </c>
      <c r="D138" s="1430">
        <v>0</v>
      </c>
      <c r="E138" s="1431" t="s">
        <v>119</v>
      </c>
      <c r="F138" s="1432"/>
      <c r="G138" s="1432">
        <f>+D138</f>
        <v>0</v>
      </c>
      <c r="H138" s="1433">
        <v>279.06049999999999</v>
      </c>
      <c r="I138" s="1434">
        <v>79.962900599999998</v>
      </c>
      <c r="J138" s="1435">
        <f>+I138-C138</f>
        <v>79.962900599999998</v>
      </c>
      <c r="K138" s="1435">
        <f>+J138/2</f>
        <v>39.981450299999999</v>
      </c>
      <c r="L138" s="1435">
        <f t="shared" ref="L138:L157" si="5">SIN(K138*3.14159265358979/180)</f>
        <v>0.64253956655634092</v>
      </c>
      <c r="M138" s="1435">
        <f t="shared" ref="M138:M157" si="6">+L138*H138</f>
        <v>179.30741271299578</v>
      </c>
      <c r="N138" s="1435">
        <f t="shared" ref="N138:N157" si="7">+M138*2</f>
        <v>358.61482542599157</v>
      </c>
      <c r="O138" s="1435">
        <f>+C138/2</f>
        <v>0</v>
      </c>
      <c r="P138" s="1435">
        <f t="shared" ref="P138:P157" si="8">SIN(O138*3.14159265358979/180)</f>
        <v>0</v>
      </c>
      <c r="Q138" s="1435">
        <f t="shared" ref="Q138:Q157" si="9">+P138*N138</f>
        <v>0</v>
      </c>
      <c r="R138" s="1436">
        <v>213.83080000000001</v>
      </c>
      <c r="S138" s="1435">
        <f>+R138+Q138</f>
        <v>213.83080000000001</v>
      </c>
      <c r="T138" s="1437">
        <f t="shared" ref="T138:T157" si="10">+S138</f>
        <v>213.83080000000001</v>
      </c>
      <c r="U138" s="1384"/>
      <c r="V138" s="1438">
        <f t="shared" ref="V138:V157" si="11">IF(B138&lt;($B$135+1),T138,0)</f>
        <v>213.83080000000001</v>
      </c>
      <c r="W138" s="1439">
        <v>39.981450000000002</v>
      </c>
      <c r="X138" s="1438">
        <f>+W138+AI159</f>
        <v>39.981450000000002</v>
      </c>
      <c r="Y138" s="1439">
        <v>279.06049999999999</v>
      </c>
      <c r="Z138" s="624">
        <f>+COS(X138*3.14159265358979/180)*Y138</f>
        <v>213.83080883710866</v>
      </c>
      <c r="AA138" s="1440">
        <f>+AC137-Z138</f>
        <v>-8.8371086519600794E-6</v>
      </c>
      <c r="AB138" s="1441" t="str">
        <f>IF(AZ138&lt;0,"use the locking pin"," ")</f>
        <v xml:space="preserve"> </v>
      </c>
      <c r="AC138" s="1442">
        <f>IF(AD138=1,AF138)</f>
        <v>213.83080000000001</v>
      </c>
      <c r="AD138" s="1442">
        <f t="shared" ref="AD138:AD157" si="12">MAX(AE$138:AE$157)</f>
        <v>1</v>
      </c>
      <c r="AE138" s="1442">
        <f>IF(V138=0,0,1)</f>
        <v>1</v>
      </c>
      <c r="AF138" s="1438">
        <f>SUM(V138:V157)/($B$135)</f>
        <v>213.83080000000001</v>
      </c>
      <c r="AG138" s="1438"/>
      <c r="AH138" s="1443">
        <f>C138</f>
        <v>0</v>
      </c>
      <c r="AI138" s="1444">
        <f>IF(B138&lt;($B$135+1),AH138)</f>
        <v>0</v>
      </c>
      <c r="AJ138" s="1445">
        <f>66.2555484-AH138</f>
        <v>66.255548399999995</v>
      </c>
      <c r="AK138" s="1446">
        <f t="shared" ref="AK138:AK157" si="13">SIN(AJ138*3.14159265358979/180)</f>
        <v>0.91535047595051022</v>
      </c>
      <c r="AL138" s="1447">
        <f>+AK138*304.3209</f>
        <v>278.56028065668761</v>
      </c>
      <c r="AM138" s="1445">
        <f>50.0185497+AH138</f>
        <v>50.018549700000001</v>
      </c>
      <c r="AN138" s="1448">
        <f>SIN(AM138*3.14159265358979/180)</f>
        <v>0.76625250760411079</v>
      </c>
      <c r="AO138" s="1449">
        <f>+AN138*279.0605</f>
        <v>213.83080789825695</v>
      </c>
      <c r="AP138" s="1450">
        <f t="shared" ref="AP138:AP157" si="14">+((AF138*AQ138)+($AG$170*$AQ$170)+($AQ$194*$AG$194)+($AG$223*$AQ$223))/AR138</f>
        <v>166.26165095620024</v>
      </c>
      <c r="AQ138" s="1451">
        <f>40.5*B135</f>
        <v>40.5</v>
      </c>
      <c r="AR138" s="1450">
        <f>+AQ138+$AQ$194+$AQ$170+$AQ$223+31+31+31</f>
        <v>271.5</v>
      </c>
      <c r="AS138" s="1452">
        <f>+AO138+AL138</f>
        <v>492.39108855494453</v>
      </c>
      <c r="AT138" s="1453">
        <f>+V138-AO138</f>
        <v>-7.8982569391428115E-6</v>
      </c>
      <c r="AU138" s="1454">
        <f>+AP138-AT138</f>
        <v>166.26165885445718</v>
      </c>
      <c r="AV138" s="1453"/>
      <c r="AW138" s="1455">
        <f>+((AS138-AU138)/AS138)*AR138</f>
        <v>179.82482262938419</v>
      </c>
      <c r="AX138" s="1455">
        <f>+(AU138/AS138)*AR138</f>
        <v>91.675177370615785</v>
      </c>
      <c r="AY138" s="1456">
        <f t="shared" ref="AY138:AY157" si="15">2*$C$20/AW138</f>
        <v>64.507223365415996</v>
      </c>
      <c r="AZ138" s="1456">
        <f t="shared" ref="AZ138:AZ157" si="16">$D$20/AX138</f>
        <v>109.08078159012379</v>
      </c>
      <c r="BA138" s="1457">
        <f>ABS(AY138)</f>
        <v>64.507223365415996</v>
      </c>
      <c r="BB138" s="1457">
        <f>ABS(AZ138)</f>
        <v>109.08078159012379</v>
      </c>
      <c r="BC138" s="1319"/>
      <c r="BE138" s="1219"/>
      <c r="BF138" s="1219"/>
      <c r="BG138" s="1219"/>
      <c r="BH138" s="1219"/>
      <c r="BI138" s="1219"/>
      <c r="BJ138" s="1219"/>
      <c r="BK138" s="1386"/>
      <c r="BL138" s="1146">
        <f>-+BH163</f>
        <v>639.20479386288685</v>
      </c>
      <c r="BM138" s="1251"/>
      <c r="BN138" s="1131"/>
      <c r="BO138" s="1219"/>
      <c r="BP138" s="1110"/>
      <c r="BS138" s="1248"/>
      <c r="BT138" s="1248"/>
      <c r="BU138" s="1248"/>
      <c r="BV138" s="1408"/>
      <c r="BW138" s="1408"/>
      <c r="BX138" s="1408"/>
      <c r="BY138" s="1408"/>
      <c r="BZ138" s="1408"/>
      <c r="CA138" s="1408"/>
      <c r="CB138" s="1408"/>
      <c r="CC138" s="1408"/>
      <c r="CD138" s="1408"/>
      <c r="CE138" s="1408"/>
      <c r="CF138" s="1408"/>
      <c r="CG138" s="1408"/>
      <c r="CH138" s="1408"/>
      <c r="CI138" s="1408"/>
      <c r="CP138" s="1386"/>
      <c r="CR138" s="1110"/>
      <c r="DD138" s="1146">
        <f>+-BH202</f>
        <v>-908.79520613711315</v>
      </c>
    </row>
    <row r="139" spans="2:108" ht="21" customHeight="1" thickBot="1" x14ac:dyDescent="0.25">
      <c r="B139" s="1458">
        <v>2</v>
      </c>
      <c r="C139" s="1459"/>
      <c r="D139" s="1430">
        <v>0</v>
      </c>
      <c r="E139" s="1460" t="s">
        <v>130</v>
      </c>
      <c r="F139" s="1432"/>
      <c r="G139" s="1432" t="e">
        <f>+D139+BC139</f>
        <v>#DIV/0!</v>
      </c>
      <c r="H139" s="1433">
        <v>279.06049999999999</v>
      </c>
      <c r="I139" s="1434">
        <v>79.962900599999998</v>
      </c>
      <c r="J139" s="1461">
        <f t="shared" ref="J139:J157" si="17">+I139-D139</f>
        <v>79.962900599999998</v>
      </c>
      <c r="K139" s="1461">
        <f t="shared" ref="K139:K157" si="18">+J139/2</f>
        <v>39.981450299999999</v>
      </c>
      <c r="L139" s="1461">
        <f t="shared" si="5"/>
        <v>0.64253956655634092</v>
      </c>
      <c r="M139" s="1461">
        <f t="shared" si="6"/>
        <v>179.30741271299578</v>
      </c>
      <c r="N139" s="1461">
        <f t="shared" si="7"/>
        <v>358.61482542599157</v>
      </c>
      <c r="O139" s="1461">
        <f>+C138+(D139/2)</f>
        <v>0</v>
      </c>
      <c r="P139" s="1461">
        <f t="shared" si="8"/>
        <v>0</v>
      </c>
      <c r="Q139" s="1461">
        <f t="shared" si="9"/>
        <v>0</v>
      </c>
      <c r="R139" s="1461">
        <f t="shared" ref="R139:R157" si="19">+T138</f>
        <v>213.83080000000001</v>
      </c>
      <c r="S139" s="1461">
        <f>+R139+Q139</f>
        <v>213.83080000000001</v>
      </c>
      <c r="T139" s="1462">
        <f t="shared" si="10"/>
        <v>213.83080000000001</v>
      </c>
      <c r="V139" s="1463">
        <f t="shared" si="11"/>
        <v>0</v>
      </c>
      <c r="W139" s="1463"/>
      <c r="X139" s="1463"/>
      <c r="Y139" s="1463"/>
      <c r="Z139" s="1463"/>
      <c r="AA139" s="1463"/>
      <c r="AB139" s="1441" t="e">
        <f>IF(AZ139&lt;0,"use the locking pin"," ")</f>
        <v>#DIV/0!</v>
      </c>
      <c r="AC139" s="1442" t="b">
        <f>IF(AD139=2,AF139)</f>
        <v>0</v>
      </c>
      <c r="AD139" s="1442">
        <f t="shared" si="12"/>
        <v>1</v>
      </c>
      <c r="AE139" s="1442">
        <f>IF(V139=0,0,2)</f>
        <v>0</v>
      </c>
      <c r="AF139" s="1463" t="e">
        <f>SUM(V139:V157)/($B$135-B138)</f>
        <v>#DIV/0!</v>
      </c>
      <c r="AG139" s="1463"/>
      <c r="AH139" s="1464">
        <f>SUM(D139)+$C$138</f>
        <v>0</v>
      </c>
      <c r="AI139" s="1444" t="b">
        <f t="shared" ref="AI139:AI157" si="20">IF(B139&lt;($B$135+1),AH139)</f>
        <v>0</v>
      </c>
      <c r="AJ139" s="1445">
        <f t="shared" ref="AJ139:AJ157" si="21">66.2555484-AH139</f>
        <v>66.255548399999995</v>
      </c>
      <c r="AK139" s="1465">
        <f t="shared" si="13"/>
        <v>0.91535047595051022</v>
      </c>
      <c r="AL139" s="1447">
        <f t="shared" ref="AL139:AL157" si="22">+AK139*304.3209</f>
        <v>278.56028065668761</v>
      </c>
      <c r="AM139" s="1445">
        <f t="shared" ref="AM139:AM157" si="23">50.0185497+AH139</f>
        <v>50.018549700000001</v>
      </c>
      <c r="AN139" s="1466">
        <f t="shared" ref="AN139:AN157" si="24">SIN(AM139*3.14159265358979/180)</f>
        <v>0.76625250760411079</v>
      </c>
      <c r="AO139" s="1449">
        <f t="shared" ref="AO139:AO157" si="25">+AN139*279.0605</f>
        <v>213.83080789825695</v>
      </c>
      <c r="AP139" s="1450" t="e">
        <f t="shared" si="14"/>
        <v>#DIV/0!</v>
      </c>
      <c r="AQ139" s="1449">
        <f>40.5*($B$135-B138)</f>
        <v>0</v>
      </c>
      <c r="AR139" s="1450">
        <f>+AQ139+$AQ$194+$AQ$170+$AQ$223+31+31+31</f>
        <v>231</v>
      </c>
      <c r="AS139" s="1467">
        <f t="shared" ref="AS139:AS157" si="26">+AO139+AL139</f>
        <v>492.39108855494453</v>
      </c>
      <c r="AT139" s="1468">
        <f>+V139-AO139</f>
        <v>-213.83080789825695</v>
      </c>
      <c r="AU139" s="1469" t="e">
        <f t="shared" ref="AU139:AU157" si="27">+AP139-AT139</f>
        <v>#DIV/0!</v>
      </c>
      <c r="AV139" s="1468"/>
      <c r="AW139" s="1470" t="e">
        <f t="shared" ref="AW139:AW157" si="28">+((AS139-AU139)/AS139)*AR139</f>
        <v>#DIV/0!</v>
      </c>
      <c r="AX139" s="1470" t="e">
        <f t="shared" ref="AX139:AX157" si="29">+(AU139/AS139)*AR139</f>
        <v>#DIV/0!</v>
      </c>
      <c r="AY139" s="1456" t="e">
        <f t="shared" si="15"/>
        <v>#DIV/0!</v>
      </c>
      <c r="AZ139" s="1456" t="e">
        <f t="shared" si="16"/>
        <v>#DIV/0!</v>
      </c>
      <c r="BA139" s="1457" t="e">
        <f t="shared" ref="BA139:BB157" si="30">ABS(AY139)</f>
        <v>#DIV/0!</v>
      </c>
      <c r="BB139" s="1457" t="e">
        <f t="shared" si="30"/>
        <v>#DIV/0!</v>
      </c>
      <c r="BC139" s="1118" t="e">
        <f t="shared" ref="BC139:BC157" si="31">IF(AZ139&lt;0,0.3,0)</f>
        <v>#DIV/0!</v>
      </c>
      <c r="BM139" s="1251"/>
      <c r="BN139" s="1219"/>
      <c r="BO139" s="1219"/>
      <c r="BP139" s="1248"/>
      <c r="BQ139" s="1248"/>
      <c r="BR139" s="1248"/>
      <c r="BS139" s="1248"/>
      <c r="BT139" s="1248"/>
      <c r="BU139" s="1248"/>
      <c r="BV139" s="1408"/>
      <c r="BW139" s="1408"/>
      <c r="BX139" s="1408"/>
      <c r="BY139" s="1408"/>
      <c r="BZ139" s="1408"/>
      <c r="CA139" s="1408"/>
      <c r="CB139" s="1408"/>
      <c r="CC139" s="1408"/>
      <c r="CD139" s="1408"/>
      <c r="CE139" s="1408"/>
      <c r="CF139" s="1408"/>
      <c r="CG139" s="1408"/>
      <c r="CH139" s="1408"/>
      <c r="CI139" s="1408"/>
    </row>
    <row r="140" spans="2:108" ht="21" customHeight="1" thickBot="1" x14ac:dyDescent="0.35">
      <c r="B140" s="1458">
        <v>3</v>
      </c>
      <c r="C140" s="1459"/>
      <c r="D140" s="1430">
        <v>0</v>
      </c>
      <c r="E140" s="1460" t="s">
        <v>130</v>
      </c>
      <c r="F140" s="1432"/>
      <c r="G140" s="1432">
        <f>+D140+BC140</f>
        <v>0</v>
      </c>
      <c r="H140" s="1433">
        <v>279.06049999999999</v>
      </c>
      <c r="I140" s="1434">
        <v>79.962900599999998</v>
      </c>
      <c r="J140" s="1461">
        <f t="shared" si="17"/>
        <v>79.962900599999998</v>
      </c>
      <c r="K140" s="1461">
        <f t="shared" si="18"/>
        <v>39.981450299999999</v>
      </c>
      <c r="L140" s="1461">
        <f t="shared" si="5"/>
        <v>0.64253956655634092</v>
      </c>
      <c r="M140" s="1461">
        <f t="shared" si="6"/>
        <v>179.30741271299578</v>
      </c>
      <c r="N140" s="1461">
        <f t="shared" si="7"/>
        <v>358.61482542599157</v>
      </c>
      <c r="O140" s="1461">
        <f>+C138+D139+(D140/2)</f>
        <v>0</v>
      </c>
      <c r="P140" s="1461">
        <f t="shared" si="8"/>
        <v>0</v>
      </c>
      <c r="Q140" s="1461">
        <f t="shared" si="9"/>
        <v>0</v>
      </c>
      <c r="R140" s="1461">
        <f t="shared" si="19"/>
        <v>213.83080000000001</v>
      </c>
      <c r="S140" s="1461">
        <f t="shared" ref="S140:S157" si="32">+S139+Q140</f>
        <v>213.83080000000001</v>
      </c>
      <c r="T140" s="1462">
        <f t="shared" si="10"/>
        <v>213.83080000000001</v>
      </c>
      <c r="V140" s="1463">
        <f t="shared" si="11"/>
        <v>0</v>
      </c>
      <c r="W140" s="1463"/>
      <c r="X140" s="1463"/>
      <c r="Y140" s="1463"/>
      <c r="Z140" s="1463"/>
      <c r="AA140" s="1463"/>
      <c r="AB140" s="1441" t="str">
        <f t="shared" ref="AB140:AB157" si="33">IF(AZ140&lt;0,"use the locking pin"," ")</f>
        <v xml:space="preserve"> </v>
      </c>
      <c r="AC140" s="1442" t="b">
        <f>IF(AD140=3,AF140)</f>
        <v>0</v>
      </c>
      <c r="AD140" s="1442">
        <f t="shared" si="12"/>
        <v>1</v>
      </c>
      <c r="AE140" s="1442">
        <f>IF(V140=0,0,3)</f>
        <v>0</v>
      </c>
      <c r="AF140" s="1463">
        <f>SUM(V140:V157)/($B$135-B139)</f>
        <v>0</v>
      </c>
      <c r="AG140" s="1463"/>
      <c r="AH140" s="1464">
        <f>SUM(D139:D140)+$C$138</f>
        <v>0</v>
      </c>
      <c r="AI140" s="1444" t="b">
        <f t="shared" si="20"/>
        <v>0</v>
      </c>
      <c r="AJ140" s="1445">
        <f t="shared" si="21"/>
        <v>66.255548399999995</v>
      </c>
      <c r="AK140" s="1465">
        <f t="shared" si="13"/>
        <v>0.91535047595051022</v>
      </c>
      <c r="AL140" s="1447">
        <f t="shared" si="22"/>
        <v>278.56028065668761</v>
      </c>
      <c r="AM140" s="1445">
        <f t="shared" si="23"/>
        <v>50.018549700000001</v>
      </c>
      <c r="AN140" s="1466">
        <f t="shared" si="24"/>
        <v>0.76625250760411079</v>
      </c>
      <c r="AO140" s="1449">
        <f t="shared" si="25"/>
        <v>213.83080789825695</v>
      </c>
      <c r="AP140" s="1450">
        <f t="shared" si="14"/>
        <v>191.49548994545071</v>
      </c>
      <c r="AQ140" s="1449">
        <f t="shared" ref="AQ140:AQ157" si="34">40.5*($B$135-B139)</f>
        <v>-40.5</v>
      </c>
      <c r="AR140" s="1450">
        <f t="shared" ref="AR140:AR157" si="35">+AQ140+$AQ$194+$AQ$170+$AQ$223+31+31+31</f>
        <v>190.5</v>
      </c>
      <c r="AS140" s="1467">
        <f t="shared" si="26"/>
        <v>492.39108855494453</v>
      </c>
      <c r="AT140" s="1468">
        <f>+V140-AO140</f>
        <v>-213.83080789825695</v>
      </c>
      <c r="AU140" s="1469">
        <f t="shared" si="27"/>
        <v>405.32629784370766</v>
      </c>
      <c r="AV140" s="1468"/>
      <c r="AW140" s="1470">
        <f t="shared" si="28"/>
        <v>33.684286771245773</v>
      </c>
      <c r="AX140" s="1470">
        <f t="shared" si="29"/>
        <v>156.81571322875425</v>
      </c>
      <c r="AY140" s="1456">
        <f t="shared" si="15"/>
        <v>344.37422050159643</v>
      </c>
      <c r="AZ140" s="1456">
        <f t="shared" si="16"/>
        <v>63.769119778274664</v>
      </c>
      <c r="BA140" s="1457">
        <f t="shared" si="30"/>
        <v>344.37422050159643</v>
      </c>
      <c r="BB140" s="1457">
        <f t="shared" si="30"/>
        <v>63.769119778274664</v>
      </c>
      <c r="BC140" s="1118">
        <f t="shared" si="31"/>
        <v>0</v>
      </c>
      <c r="BM140" s="1471"/>
      <c r="BN140" s="1471"/>
      <c r="BO140" s="1471"/>
      <c r="BP140" s="1248"/>
      <c r="BQ140" s="1248"/>
      <c r="BR140" s="1248"/>
      <c r="BS140" s="1248"/>
      <c r="BT140" s="1248"/>
      <c r="BU140" s="1248"/>
      <c r="BV140" s="1408"/>
      <c r="BW140" s="1408"/>
      <c r="BX140" s="1408"/>
      <c r="BY140" s="1408"/>
      <c r="BZ140" s="1408"/>
      <c r="CA140" s="1408"/>
      <c r="CB140" s="1408"/>
      <c r="CC140" s="1408"/>
      <c r="CD140" s="1408"/>
      <c r="CE140" s="1408"/>
      <c r="CF140" s="1408"/>
      <c r="CG140" s="1408"/>
      <c r="CH140" s="1408"/>
      <c r="CI140" s="1408"/>
    </row>
    <row r="141" spans="2:108" ht="21" customHeight="1" thickBot="1" x14ac:dyDescent="0.35">
      <c r="B141" s="1458">
        <v>4</v>
      </c>
      <c r="C141" s="1459"/>
      <c r="D141" s="1430">
        <v>0</v>
      </c>
      <c r="E141" s="1460" t="s">
        <v>130</v>
      </c>
      <c r="F141" s="1432"/>
      <c r="G141" s="1432">
        <f>+D141+BC141</f>
        <v>0</v>
      </c>
      <c r="H141" s="1433">
        <v>279.06049999999999</v>
      </c>
      <c r="I141" s="1434">
        <v>79.962900599999998</v>
      </c>
      <c r="J141" s="1461">
        <f t="shared" si="17"/>
        <v>79.962900599999998</v>
      </c>
      <c r="K141" s="1461">
        <f t="shared" si="18"/>
        <v>39.981450299999999</v>
      </c>
      <c r="L141" s="1461">
        <f t="shared" si="5"/>
        <v>0.64253956655634092</v>
      </c>
      <c r="M141" s="1461">
        <f t="shared" si="6"/>
        <v>179.30741271299578</v>
      </c>
      <c r="N141" s="1461">
        <f t="shared" si="7"/>
        <v>358.61482542599157</v>
      </c>
      <c r="O141" s="1461">
        <f>+C138+D139+D140+(D141/2)</f>
        <v>0</v>
      </c>
      <c r="P141" s="1461">
        <f t="shared" si="8"/>
        <v>0</v>
      </c>
      <c r="Q141" s="1461">
        <f t="shared" si="9"/>
        <v>0</v>
      </c>
      <c r="R141" s="1461">
        <f t="shared" si="19"/>
        <v>213.83080000000001</v>
      </c>
      <c r="S141" s="1461">
        <f t="shared" si="32"/>
        <v>213.83080000000001</v>
      </c>
      <c r="T141" s="1462">
        <f t="shared" si="10"/>
        <v>213.83080000000001</v>
      </c>
      <c r="V141" s="1463">
        <f t="shared" si="11"/>
        <v>0</v>
      </c>
      <c r="W141" s="1463"/>
      <c r="X141" s="1463"/>
      <c r="Y141" s="1463"/>
      <c r="Z141" s="1463"/>
      <c r="AA141" s="1463"/>
      <c r="AB141" s="1441" t="str">
        <f t="shared" si="33"/>
        <v xml:space="preserve"> </v>
      </c>
      <c r="AC141" s="1442" t="b">
        <f>IF(AD141=4,AF141)</f>
        <v>0</v>
      </c>
      <c r="AD141" s="1442">
        <f t="shared" si="12"/>
        <v>1</v>
      </c>
      <c r="AE141" s="1442">
        <f>IF(V141=0,0,4)</f>
        <v>0</v>
      </c>
      <c r="AF141" s="1463">
        <f>SUM(V141:V157)/($B$135-B140)</f>
        <v>0</v>
      </c>
      <c r="AG141" s="1463"/>
      <c r="AH141" s="1464">
        <f>SUM(D139:D141)+$C$138</f>
        <v>0</v>
      </c>
      <c r="AI141" s="1444" t="b">
        <f t="shared" si="20"/>
        <v>0</v>
      </c>
      <c r="AJ141" s="1445">
        <f t="shared" si="21"/>
        <v>66.255548399999995</v>
      </c>
      <c r="AK141" s="1465">
        <f t="shared" si="13"/>
        <v>0.91535047595051022</v>
      </c>
      <c r="AL141" s="1447">
        <f t="shared" si="22"/>
        <v>278.56028065668761</v>
      </c>
      <c r="AM141" s="1445">
        <f t="shared" si="23"/>
        <v>50.018549700000001</v>
      </c>
      <c r="AN141" s="1466">
        <f t="shared" si="24"/>
        <v>0.76625250760411079</v>
      </c>
      <c r="AO141" s="1449">
        <f t="shared" si="25"/>
        <v>213.83080789825695</v>
      </c>
      <c r="AP141" s="1450">
        <f t="shared" si="14"/>
        <v>243.19927223072241</v>
      </c>
      <c r="AQ141" s="1449">
        <f t="shared" si="34"/>
        <v>-81</v>
      </c>
      <c r="AR141" s="1450">
        <f t="shared" si="35"/>
        <v>150</v>
      </c>
      <c r="AS141" s="1467">
        <f t="shared" si="26"/>
        <v>492.39108855494453</v>
      </c>
      <c r="AT141" s="1468">
        <f>+V141-AO141</f>
        <v>-213.83080789825695</v>
      </c>
      <c r="AU141" s="1469">
        <f t="shared" si="27"/>
        <v>457.03008012897936</v>
      </c>
      <c r="AV141" s="1468"/>
      <c r="AW141" s="1470">
        <f t="shared" si="28"/>
        <v>10.772232453396443</v>
      </c>
      <c r="AX141" s="1470">
        <f t="shared" si="29"/>
        <v>139.22776754660356</v>
      </c>
      <c r="AY141" s="1456">
        <f t="shared" si="15"/>
        <v>1076.8427111264728</v>
      </c>
      <c r="AZ141" s="1456">
        <f t="shared" si="16"/>
        <v>71.824752893870183</v>
      </c>
      <c r="BA141" s="1457">
        <f t="shared" si="30"/>
        <v>1076.8427111264728</v>
      </c>
      <c r="BB141" s="1457">
        <f t="shared" si="30"/>
        <v>71.824752893870183</v>
      </c>
      <c r="BC141" s="1118">
        <f t="shared" si="31"/>
        <v>0</v>
      </c>
      <c r="BM141" s="1471"/>
      <c r="BN141" s="1471"/>
      <c r="BO141" s="1471"/>
      <c r="BP141" s="1248"/>
      <c r="BQ141" s="1248"/>
      <c r="BR141" s="1248"/>
      <c r="BS141" s="1248"/>
      <c r="BT141" s="1248"/>
      <c r="BU141" s="1248"/>
      <c r="BV141" s="1408"/>
      <c r="BW141" s="1408"/>
      <c r="BX141" s="1408"/>
      <c r="BY141" s="1408"/>
      <c r="BZ141" s="1408"/>
      <c r="CA141" s="1408"/>
      <c r="CB141" s="1408"/>
      <c r="CC141" s="1408"/>
      <c r="CD141" s="1408"/>
      <c r="CE141" s="1408"/>
      <c r="CF141" s="1408"/>
      <c r="CG141" s="1408"/>
      <c r="CH141" s="1408"/>
      <c r="CI141" s="1408"/>
    </row>
    <row r="142" spans="2:108" ht="21" customHeight="1" thickBot="1" x14ac:dyDescent="0.35">
      <c r="B142" s="1458">
        <v>5</v>
      </c>
      <c r="C142" s="1459"/>
      <c r="D142" s="1430">
        <v>0</v>
      </c>
      <c r="E142" s="1460" t="s">
        <v>130</v>
      </c>
      <c r="F142" s="1432"/>
      <c r="G142" s="1432">
        <f>+D142+BC142</f>
        <v>0</v>
      </c>
      <c r="H142" s="1433">
        <v>279.06049999999999</v>
      </c>
      <c r="I142" s="1434">
        <v>79.962900599999998</v>
      </c>
      <c r="J142" s="1461">
        <f t="shared" si="17"/>
        <v>79.962900599999998</v>
      </c>
      <c r="K142" s="1461">
        <f t="shared" si="18"/>
        <v>39.981450299999999</v>
      </c>
      <c r="L142" s="1461">
        <f t="shared" si="5"/>
        <v>0.64253956655634092</v>
      </c>
      <c r="M142" s="1461">
        <f t="shared" si="6"/>
        <v>179.30741271299578</v>
      </c>
      <c r="N142" s="1461">
        <f t="shared" si="7"/>
        <v>358.61482542599157</v>
      </c>
      <c r="O142" s="1461">
        <f>+C138+D139+D140+D141+(D142/2)</f>
        <v>0</v>
      </c>
      <c r="P142" s="1461">
        <f t="shared" si="8"/>
        <v>0</v>
      </c>
      <c r="Q142" s="1461">
        <f t="shared" si="9"/>
        <v>0</v>
      </c>
      <c r="R142" s="1461">
        <f t="shared" si="19"/>
        <v>213.83080000000001</v>
      </c>
      <c r="S142" s="1461">
        <f t="shared" si="32"/>
        <v>213.83080000000001</v>
      </c>
      <c r="T142" s="1462">
        <f t="shared" si="10"/>
        <v>213.83080000000001</v>
      </c>
      <c r="V142" s="1463">
        <f t="shared" si="11"/>
        <v>0</v>
      </c>
      <c r="W142" s="1463"/>
      <c r="X142" s="1463"/>
      <c r="Y142" s="1463"/>
      <c r="Z142" s="1463"/>
      <c r="AA142" s="1463"/>
      <c r="AB142" s="1441" t="str">
        <f t="shared" si="33"/>
        <v xml:space="preserve"> </v>
      </c>
      <c r="AC142" s="1442" t="b">
        <f>IF(AD142=5,AF142)</f>
        <v>0</v>
      </c>
      <c r="AD142" s="1442">
        <f t="shared" si="12"/>
        <v>1</v>
      </c>
      <c r="AE142" s="1442">
        <f>IF(V142=0,0,5)</f>
        <v>0</v>
      </c>
      <c r="AF142" s="1463">
        <f>SUM(V142:V157)/($B$135-B141)</f>
        <v>0</v>
      </c>
      <c r="AG142" s="1463"/>
      <c r="AH142" s="1464">
        <f>SUM(D139:D142)+$C$138</f>
        <v>0</v>
      </c>
      <c r="AI142" s="1444" t="b">
        <f t="shared" si="20"/>
        <v>0</v>
      </c>
      <c r="AJ142" s="1445">
        <f t="shared" si="21"/>
        <v>66.255548399999995</v>
      </c>
      <c r="AK142" s="1465">
        <f t="shared" si="13"/>
        <v>0.91535047595051022</v>
      </c>
      <c r="AL142" s="1447">
        <f t="shared" si="22"/>
        <v>278.56028065668761</v>
      </c>
      <c r="AM142" s="1445">
        <f t="shared" si="23"/>
        <v>50.018549700000001</v>
      </c>
      <c r="AN142" s="1466">
        <f t="shared" si="24"/>
        <v>0.76625250760411079</v>
      </c>
      <c r="AO142" s="1449">
        <f t="shared" si="25"/>
        <v>213.83080789825695</v>
      </c>
      <c r="AP142" s="1450">
        <f t="shared" si="14"/>
        <v>333.14968798729097</v>
      </c>
      <c r="AQ142" s="1449">
        <f t="shared" si="34"/>
        <v>-121.5</v>
      </c>
      <c r="AR142" s="1450">
        <f t="shared" si="35"/>
        <v>109.5</v>
      </c>
      <c r="AS142" s="1467">
        <f t="shared" si="26"/>
        <v>492.39108855494453</v>
      </c>
      <c r="AT142" s="1468">
        <f t="shared" ref="AT142:AT157" si="36">+V142-AO142</f>
        <v>-213.83080789825695</v>
      </c>
      <c r="AU142" s="1469">
        <f t="shared" si="27"/>
        <v>546.98049588554795</v>
      </c>
      <c r="AV142" s="1468"/>
      <c r="AW142" s="1470">
        <f t="shared" si="28"/>
        <v>-12.139821864452889</v>
      </c>
      <c r="AX142" s="1470">
        <f t="shared" si="29"/>
        <v>121.6398218644529</v>
      </c>
      <c r="AY142" s="1456">
        <f t="shared" si="15"/>
        <v>-955.53296658877969</v>
      </c>
      <c r="AZ142" s="1456">
        <f t="shared" si="16"/>
        <v>82.209919800304519</v>
      </c>
      <c r="BA142" s="1457">
        <f t="shared" si="30"/>
        <v>955.53296658877969</v>
      </c>
      <c r="BB142" s="1457">
        <f t="shared" si="30"/>
        <v>82.209919800304519</v>
      </c>
      <c r="BC142" s="1118">
        <f t="shared" si="31"/>
        <v>0</v>
      </c>
      <c r="BM142" s="1471"/>
      <c r="BN142" s="1471"/>
      <c r="BO142" s="1471"/>
      <c r="BP142" s="1248"/>
      <c r="BQ142" s="1248"/>
      <c r="BR142" s="1248"/>
      <c r="BS142" s="1248"/>
      <c r="BT142" s="1248"/>
      <c r="BU142" s="1248"/>
      <c r="BV142" s="1408"/>
      <c r="BW142" s="1408"/>
      <c r="BX142" s="1408"/>
      <c r="BY142" s="1408"/>
      <c r="BZ142" s="1408"/>
      <c r="CA142" s="1408"/>
      <c r="CB142" s="1408"/>
      <c r="CC142" s="1408"/>
      <c r="CD142" s="1408"/>
      <c r="CE142" s="1408"/>
      <c r="CF142" s="1408"/>
      <c r="CG142" s="1408"/>
      <c r="CH142" s="1408"/>
      <c r="CI142" s="1408"/>
    </row>
    <row r="143" spans="2:108" ht="21" customHeight="1" thickBot="1" x14ac:dyDescent="0.35">
      <c r="B143" s="1458">
        <v>6</v>
      </c>
      <c r="C143" s="1459"/>
      <c r="D143" s="1430">
        <v>0</v>
      </c>
      <c r="E143" s="1460" t="s">
        <v>130</v>
      </c>
      <c r="F143" s="1432"/>
      <c r="G143" s="1432">
        <f t="shared" ref="G143:G157" si="37">+D143+BC143</f>
        <v>0</v>
      </c>
      <c r="H143" s="1433">
        <v>279.06049999999999</v>
      </c>
      <c r="I143" s="1434">
        <v>79.962900599999998</v>
      </c>
      <c r="J143" s="1461">
        <f t="shared" si="17"/>
        <v>79.962900599999998</v>
      </c>
      <c r="K143" s="1461">
        <f t="shared" si="18"/>
        <v>39.981450299999999</v>
      </c>
      <c r="L143" s="1461">
        <f t="shared" si="5"/>
        <v>0.64253956655634092</v>
      </c>
      <c r="M143" s="1461">
        <f t="shared" si="6"/>
        <v>179.30741271299578</v>
      </c>
      <c r="N143" s="1461">
        <f t="shared" si="7"/>
        <v>358.61482542599157</v>
      </c>
      <c r="O143" s="1461">
        <f>+C138+D139+D140+D141+D142+(D143/2)</f>
        <v>0</v>
      </c>
      <c r="P143" s="1461">
        <f t="shared" si="8"/>
        <v>0</v>
      </c>
      <c r="Q143" s="1461">
        <f t="shared" si="9"/>
        <v>0</v>
      </c>
      <c r="R143" s="1461">
        <f t="shared" si="19"/>
        <v>213.83080000000001</v>
      </c>
      <c r="S143" s="1461">
        <f t="shared" si="32"/>
        <v>213.83080000000001</v>
      </c>
      <c r="T143" s="1462">
        <f t="shared" si="10"/>
        <v>213.83080000000001</v>
      </c>
      <c r="V143" s="1463">
        <f t="shared" si="11"/>
        <v>0</v>
      </c>
      <c r="W143" s="1463"/>
      <c r="X143" s="1463"/>
      <c r="Y143" s="1463"/>
      <c r="Z143" s="1463"/>
      <c r="AA143" s="1463"/>
      <c r="AB143" s="1441" t="str">
        <f t="shared" si="33"/>
        <v xml:space="preserve"> </v>
      </c>
      <c r="AC143" s="1442" t="b">
        <f>IF(AD143=6,AF143)</f>
        <v>0</v>
      </c>
      <c r="AD143" s="1442">
        <f t="shared" si="12"/>
        <v>1</v>
      </c>
      <c r="AE143" s="1442">
        <f>IF(V143=0,0,6)</f>
        <v>0</v>
      </c>
      <c r="AF143" s="1463">
        <f>SUM(V143:V157)/($B$135-B142)</f>
        <v>0</v>
      </c>
      <c r="AG143" s="1463"/>
      <c r="AH143" s="1464">
        <f>SUM(D139:D143)+$C$138</f>
        <v>0</v>
      </c>
      <c r="AI143" s="1444" t="b">
        <f t="shared" si="20"/>
        <v>0</v>
      </c>
      <c r="AJ143" s="1445">
        <f t="shared" si="21"/>
        <v>66.255548399999995</v>
      </c>
      <c r="AK143" s="1465">
        <f t="shared" si="13"/>
        <v>0.91535047595051022</v>
      </c>
      <c r="AL143" s="1447">
        <f t="shared" si="22"/>
        <v>278.56028065668761</v>
      </c>
      <c r="AM143" s="1445">
        <f t="shared" si="23"/>
        <v>50.018549700000001</v>
      </c>
      <c r="AN143" s="1466">
        <f t="shared" si="24"/>
        <v>0.76625250760411079</v>
      </c>
      <c r="AO143" s="1449">
        <f t="shared" si="25"/>
        <v>213.83080789825695</v>
      </c>
      <c r="AP143" s="1450">
        <f t="shared" si="14"/>
        <v>528.69407006678784</v>
      </c>
      <c r="AQ143" s="1449">
        <f t="shared" si="34"/>
        <v>-162</v>
      </c>
      <c r="AR143" s="1450">
        <f t="shared" si="35"/>
        <v>69</v>
      </c>
      <c r="AS143" s="1467">
        <f t="shared" si="26"/>
        <v>492.39108855494453</v>
      </c>
      <c r="AT143" s="1468">
        <f t="shared" si="36"/>
        <v>-213.83080789825695</v>
      </c>
      <c r="AU143" s="1469">
        <f t="shared" si="27"/>
        <v>742.52487796504477</v>
      </c>
      <c r="AV143" s="1468"/>
      <c r="AW143" s="1470">
        <f t="shared" si="28"/>
        <v>-35.051876182302209</v>
      </c>
      <c r="AX143" s="1470">
        <f t="shared" si="29"/>
        <v>104.05187618230219</v>
      </c>
      <c r="AY143" s="1456">
        <f t="shared" si="15"/>
        <v>-330.93806276358106</v>
      </c>
      <c r="AZ143" s="1456">
        <f t="shared" si="16"/>
        <v>96.105907619384794</v>
      </c>
      <c r="BA143" s="1457">
        <f t="shared" si="30"/>
        <v>330.93806276358106</v>
      </c>
      <c r="BB143" s="1457">
        <f t="shared" si="30"/>
        <v>96.105907619384794</v>
      </c>
      <c r="BC143" s="1118">
        <f t="shared" si="31"/>
        <v>0</v>
      </c>
      <c r="BM143" s="1471"/>
      <c r="BN143" s="1471"/>
      <c r="BO143" s="1471"/>
      <c r="CI143" s="1472"/>
      <c r="CJ143" s="1472"/>
      <c r="CK143" s="1472"/>
      <c r="CL143" s="1472"/>
      <c r="CM143" s="1472"/>
      <c r="CN143" s="1472"/>
    </row>
    <row r="144" spans="2:108" ht="21" customHeight="1" thickBot="1" x14ac:dyDescent="0.35">
      <c r="B144" s="1458">
        <v>7</v>
      </c>
      <c r="C144" s="1459"/>
      <c r="D144" s="1430">
        <v>0</v>
      </c>
      <c r="E144" s="1460" t="s">
        <v>130</v>
      </c>
      <c r="F144" s="1432"/>
      <c r="G144" s="1432">
        <f t="shared" si="37"/>
        <v>0</v>
      </c>
      <c r="H144" s="1433">
        <v>279.06049999999999</v>
      </c>
      <c r="I144" s="1434">
        <v>79.962900599999998</v>
      </c>
      <c r="J144" s="1461">
        <f t="shared" si="17"/>
        <v>79.962900599999998</v>
      </c>
      <c r="K144" s="1461">
        <f t="shared" si="18"/>
        <v>39.981450299999999</v>
      </c>
      <c r="L144" s="1461">
        <f t="shared" si="5"/>
        <v>0.64253956655634092</v>
      </c>
      <c r="M144" s="1461">
        <f t="shared" si="6"/>
        <v>179.30741271299578</v>
      </c>
      <c r="N144" s="1461">
        <f t="shared" si="7"/>
        <v>358.61482542599157</v>
      </c>
      <c r="O144" s="1461">
        <f>+C138+D139+D140+D141+D142+D143+(D144/2)</f>
        <v>0</v>
      </c>
      <c r="P144" s="1461">
        <f t="shared" si="8"/>
        <v>0</v>
      </c>
      <c r="Q144" s="1461">
        <f t="shared" si="9"/>
        <v>0</v>
      </c>
      <c r="R144" s="1461">
        <f t="shared" si="19"/>
        <v>213.83080000000001</v>
      </c>
      <c r="S144" s="1461">
        <f t="shared" si="32"/>
        <v>213.83080000000001</v>
      </c>
      <c r="T144" s="1462">
        <f t="shared" si="10"/>
        <v>213.83080000000001</v>
      </c>
      <c r="V144" s="1463">
        <f t="shared" si="11"/>
        <v>0</v>
      </c>
      <c r="W144" s="1463"/>
      <c r="X144" s="1463"/>
      <c r="Y144" s="1463"/>
      <c r="Z144" s="1463"/>
      <c r="AA144" s="1463"/>
      <c r="AB144" s="1441" t="str">
        <f t="shared" si="33"/>
        <v xml:space="preserve"> </v>
      </c>
      <c r="AC144" s="1442" t="b">
        <f>IF(AD144=7,AF144)</f>
        <v>0</v>
      </c>
      <c r="AD144" s="1442">
        <f t="shared" si="12"/>
        <v>1</v>
      </c>
      <c r="AE144" s="1442">
        <f>IF(V144=0,0,7)</f>
        <v>0</v>
      </c>
      <c r="AF144" s="1463">
        <f>SUM(V144:V157)/($B$135-B143)</f>
        <v>0</v>
      </c>
      <c r="AG144" s="1463"/>
      <c r="AH144" s="1464">
        <f>SUM(D139:D144)+$C$138</f>
        <v>0</v>
      </c>
      <c r="AI144" s="1444" t="b">
        <f t="shared" si="20"/>
        <v>0</v>
      </c>
      <c r="AJ144" s="1445">
        <f t="shared" si="21"/>
        <v>66.255548399999995</v>
      </c>
      <c r="AK144" s="1465">
        <f t="shared" si="13"/>
        <v>0.91535047595051022</v>
      </c>
      <c r="AL144" s="1447">
        <f t="shared" si="22"/>
        <v>278.56028065668761</v>
      </c>
      <c r="AM144" s="1445">
        <f t="shared" si="23"/>
        <v>50.018549700000001</v>
      </c>
      <c r="AN144" s="1466">
        <f t="shared" si="24"/>
        <v>0.76625250760411079</v>
      </c>
      <c r="AO144" s="1449">
        <f t="shared" si="25"/>
        <v>213.83080789825695</v>
      </c>
      <c r="AP144" s="1450">
        <f t="shared" si="14"/>
        <v>1279.9961696353812</v>
      </c>
      <c r="AQ144" s="1449">
        <f t="shared" si="34"/>
        <v>-202.5</v>
      </c>
      <c r="AR144" s="1450">
        <f t="shared" si="35"/>
        <v>28.5</v>
      </c>
      <c r="AS144" s="1467">
        <f t="shared" si="26"/>
        <v>492.39108855494453</v>
      </c>
      <c r="AT144" s="1468">
        <f t="shared" si="36"/>
        <v>-213.83080789825695</v>
      </c>
      <c r="AU144" s="1469">
        <f t="shared" si="27"/>
        <v>1493.8269775336382</v>
      </c>
      <c r="AV144" s="1468"/>
      <c r="AW144" s="1470">
        <f t="shared" si="28"/>
        <v>-57.963930500151541</v>
      </c>
      <c r="AX144" s="1470">
        <f t="shared" si="29"/>
        <v>86.463930500151534</v>
      </c>
      <c r="AY144" s="1456">
        <f t="shared" si="15"/>
        <v>-200.12445498273573</v>
      </c>
      <c r="AZ144" s="1456">
        <f t="shared" si="16"/>
        <v>115.65516328201706</v>
      </c>
      <c r="BA144" s="1457">
        <f t="shared" si="30"/>
        <v>200.12445498273573</v>
      </c>
      <c r="BB144" s="1457">
        <f t="shared" si="30"/>
        <v>115.65516328201706</v>
      </c>
      <c r="BC144" s="1118">
        <f t="shared" si="31"/>
        <v>0</v>
      </c>
      <c r="BM144" s="1471"/>
      <c r="BN144" s="1471"/>
      <c r="BO144" s="1471"/>
    </row>
    <row r="145" spans="1:129" ht="21" customHeight="1" thickBot="1" x14ac:dyDescent="0.35">
      <c r="B145" s="1458">
        <v>8</v>
      </c>
      <c r="C145" s="1459"/>
      <c r="D145" s="1430">
        <v>0</v>
      </c>
      <c r="E145" s="1460" t="s">
        <v>130</v>
      </c>
      <c r="F145" s="1432"/>
      <c r="G145" s="1432">
        <f t="shared" si="37"/>
        <v>0</v>
      </c>
      <c r="H145" s="1433">
        <v>279.06049999999999</v>
      </c>
      <c r="I145" s="1434">
        <v>79.962900599999998</v>
      </c>
      <c r="J145" s="1461">
        <f t="shared" si="17"/>
        <v>79.962900599999998</v>
      </c>
      <c r="K145" s="1461">
        <f t="shared" si="18"/>
        <v>39.981450299999999</v>
      </c>
      <c r="L145" s="1461">
        <f t="shared" si="5"/>
        <v>0.64253956655634092</v>
      </c>
      <c r="M145" s="1461">
        <f t="shared" si="6"/>
        <v>179.30741271299578</v>
      </c>
      <c r="N145" s="1461">
        <f t="shared" si="7"/>
        <v>358.61482542599157</v>
      </c>
      <c r="O145" s="1461">
        <f>+C138+D139+D140+D141+D142+D143+D144+(D145/2)</f>
        <v>0</v>
      </c>
      <c r="P145" s="1461">
        <f t="shared" si="8"/>
        <v>0</v>
      </c>
      <c r="Q145" s="1461">
        <f t="shared" si="9"/>
        <v>0</v>
      </c>
      <c r="R145" s="1461">
        <f t="shared" si="19"/>
        <v>213.83080000000001</v>
      </c>
      <c r="S145" s="1461">
        <f t="shared" si="32"/>
        <v>213.83080000000001</v>
      </c>
      <c r="T145" s="1462">
        <f t="shared" si="10"/>
        <v>213.83080000000001</v>
      </c>
      <c r="V145" s="1463">
        <f t="shared" si="11"/>
        <v>0</v>
      </c>
      <c r="W145" s="1463"/>
      <c r="X145" s="1463"/>
      <c r="Y145" s="1463"/>
      <c r="Z145" s="1463"/>
      <c r="AA145" s="1463"/>
      <c r="AB145" s="1441" t="str">
        <f t="shared" si="33"/>
        <v xml:space="preserve"> </v>
      </c>
      <c r="AC145" s="1442" t="b">
        <f>IF(AD145=8,AF145)</f>
        <v>0</v>
      </c>
      <c r="AD145" s="1442">
        <f t="shared" si="12"/>
        <v>1</v>
      </c>
      <c r="AE145" s="1442">
        <f>IF(V145=0,0,8)</f>
        <v>0</v>
      </c>
      <c r="AF145" s="1463">
        <f>SUM(V145:V157)/($B$135-B144)</f>
        <v>0</v>
      </c>
      <c r="AG145" s="1463"/>
      <c r="AH145" s="1464">
        <f>SUM(D139:D145)+$C$138</f>
        <v>0</v>
      </c>
      <c r="AI145" s="1444" t="b">
        <f t="shared" si="20"/>
        <v>0</v>
      </c>
      <c r="AJ145" s="1445">
        <f t="shared" si="21"/>
        <v>66.255548399999995</v>
      </c>
      <c r="AK145" s="1465">
        <f t="shared" si="13"/>
        <v>0.91535047595051022</v>
      </c>
      <c r="AL145" s="1447">
        <f t="shared" si="22"/>
        <v>278.56028065668761</v>
      </c>
      <c r="AM145" s="1445">
        <f t="shared" si="23"/>
        <v>50.018549700000001</v>
      </c>
      <c r="AN145" s="1466">
        <f t="shared" si="24"/>
        <v>0.76625250760411079</v>
      </c>
      <c r="AO145" s="1449">
        <f t="shared" si="25"/>
        <v>213.83080789825695</v>
      </c>
      <c r="AP145" s="1450">
        <f t="shared" si="14"/>
        <v>-3039.9909028840302</v>
      </c>
      <c r="AQ145" s="1449">
        <f t="shared" si="34"/>
        <v>-243</v>
      </c>
      <c r="AR145" s="1450">
        <f t="shared" si="35"/>
        <v>-12</v>
      </c>
      <c r="AS145" s="1467">
        <f t="shared" si="26"/>
        <v>492.39108855494453</v>
      </c>
      <c r="AT145" s="1468">
        <f t="shared" si="36"/>
        <v>-213.83080789825695</v>
      </c>
      <c r="AU145" s="1469">
        <f t="shared" si="27"/>
        <v>-2826.1600949857734</v>
      </c>
      <c r="AV145" s="1468"/>
      <c r="AW145" s="1470">
        <f t="shared" si="28"/>
        <v>-80.875984818000859</v>
      </c>
      <c r="AX145" s="1470">
        <f t="shared" si="29"/>
        <v>68.875984818000873</v>
      </c>
      <c r="AY145" s="1456">
        <f t="shared" si="15"/>
        <v>-143.42947447383844</v>
      </c>
      <c r="AZ145" s="1456">
        <f t="shared" si="16"/>
        <v>145.18848661727563</v>
      </c>
      <c r="BA145" s="1457">
        <f t="shared" si="30"/>
        <v>143.42947447383844</v>
      </c>
      <c r="BB145" s="1457">
        <f t="shared" si="30"/>
        <v>145.18848661727563</v>
      </c>
      <c r="BC145" s="1118">
        <f t="shared" si="31"/>
        <v>0</v>
      </c>
      <c r="BM145" s="1471"/>
      <c r="BN145" s="1471"/>
      <c r="BO145" s="1471"/>
    </row>
    <row r="146" spans="1:129" ht="21" customHeight="1" thickBot="1" x14ac:dyDescent="0.35">
      <c r="B146" s="1458">
        <v>9</v>
      </c>
      <c r="C146" s="1459"/>
      <c r="D146" s="1430">
        <v>0</v>
      </c>
      <c r="E146" s="1460" t="s">
        <v>130</v>
      </c>
      <c r="F146" s="1432"/>
      <c r="G146" s="1432">
        <f t="shared" si="37"/>
        <v>0</v>
      </c>
      <c r="H146" s="1433">
        <v>279.06049999999999</v>
      </c>
      <c r="I146" s="1434">
        <v>79.962900599999998</v>
      </c>
      <c r="J146" s="1461">
        <f t="shared" si="17"/>
        <v>79.962900599999998</v>
      </c>
      <c r="K146" s="1461">
        <f t="shared" si="18"/>
        <v>39.981450299999999</v>
      </c>
      <c r="L146" s="1461">
        <f t="shared" si="5"/>
        <v>0.64253956655634092</v>
      </c>
      <c r="M146" s="1461">
        <f t="shared" si="6"/>
        <v>179.30741271299578</v>
      </c>
      <c r="N146" s="1461">
        <f t="shared" si="7"/>
        <v>358.61482542599157</v>
      </c>
      <c r="O146" s="1461">
        <f>+C138+D139+D140+D141+D142+D143+D144+D145+(D146/2)</f>
        <v>0</v>
      </c>
      <c r="P146" s="1461">
        <f t="shared" si="8"/>
        <v>0</v>
      </c>
      <c r="Q146" s="1461">
        <f t="shared" si="9"/>
        <v>0</v>
      </c>
      <c r="R146" s="1461">
        <f t="shared" si="19"/>
        <v>213.83080000000001</v>
      </c>
      <c r="S146" s="1461">
        <f t="shared" si="32"/>
        <v>213.83080000000001</v>
      </c>
      <c r="T146" s="1462">
        <f t="shared" si="10"/>
        <v>213.83080000000001</v>
      </c>
      <c r="V146" s="1463">
        <f t="shared" si="11"/>
        <v>0</v>
      </c>
      <c r="W146" s="1463"/>
      <c r="X146" s="1463"/>
      <c r="Y146" s="1463"/>
      <c r="Z146" s="1463"/>
      <c r="AA146" s="1463"/>
      <c r="AB146" s="1441" t="str">
        <f t="shared" si="33"/>
        <v xml:space="preserve"> </v>
      </c>
      <c r="AC146" s="1442" t="b">
        <f>IF(AD146=9,AF146)</f>
        <v>0</v>
      </c>
      <c r="AD146" s="1442">
        <f t="shared" si="12"/>
        <v>1</v>
      </c>
      <c r="AE146" s="1442">
        <f>IF(V146=0,0,9)</f>
        <v>0</v>
      </c>
      <c r="AF146" s="1463">
        <f>SUM(V146:V157)/($B$135-B145)</f>
        <v>0</v>
      </c>
      <c r="AG146" s="1463"/>
      <c r="AH146" s="1464">
        <f>SUM(D139:D146)+$C$138</f>
        <v>0</v>
      </c>
      <c r="AI146" s="1444" t="b">
        <f t="shared" si="20"/>
        <v>0</v>
      </c>
      <c r="AJ146" s="1445">
        <f t="shared" si="21"/>
        <v>66.255548399999995</v>
      </c>
      <c r="AK146" s="1465">
        <f t="shared" si="13"/>
        <v>0.91535047595051022</v>
      </c>
      <c r="AL146" s="1447">
        <f t="shared" si="22"/>
        <v>278.56028065668761</v>
      </c>
      <c r="AM146" s="1445">
        <f t="shared" si="23"/>
        <v>50.018549700000001</v>
      </c>
      <c r="AN146" s="1466">
        <f t="shared" si="24"/>
        <v>0.76625250760411079</v>
      </c>
      <c r="AO146" s="1449">
        <f t="shared" si="25"/>
        <v>213.83080789825695</v>
      </c>
      <c r="AP146" s="1450">
        <f t="shared" si="14"/>
        <v>-694.85506351634979</v>
      </c>
      <c r="AQ146" s="1449">
        <f t="shared" si="34"/>
        <v>-283.5</v>
      </c>
      <c r="AR146" s="1450">
        <f t="shared" si="35"/>
        <v>-52.5</v>
      </c>
      <c r="AS146" s="1467">
        <f t="shared" si="26"/>
        <v>492.39108855494453</v>
      </c>
      <c r="AT146" s="1468">
        <f t="shared" si="36"/>
        <v>-213.83080789825695</v>
      </c>
      <c r="AU146" s="1469">
        <f t="shared" si="27"/>
        <v>-481.02425561809287</v>
      </c>
      <c r="AV146" s="1468"/>
      <c r="AW146" s="1470">
        <f t="shared" si="28"/>
        <v>-103.7880391358502</v>
      </c>
      <c r="AX146" s="1470">
        <f t="shared" si="29"/>
        <v>51.288039135850198</v>
      </c>
      <c r="AY146" s="1456">
        <f t="shared" si="15"/>
        <v>-111.7662506834389</v>
      </c>
      <c r="AZ146" s="1456">
        <f t="shared" si="16"/>
        <v>194.97723384417768</v>
      </c>
      <c r="BA146" s="1457">
        <f t="shared" si="30"/>
        <v>111.7662506834389</v>
      </c>
      <c r="BB146" s="1457">
        <f t="shared" si="30"/>
        <v>194.97723384417768</v>
      </c>
      <c r="BC146" s="1118">
        <f t="shared" si="31"/>
        <v>0</v>
      </c>
      <c r="BM146" s="1471"/>
      <c r="BN146" s="1471"/>
      <c r="BO146" s="1471"/>
    </row>
    <row r="147" spans="1:129" ht="21" customHeight="1" thickBot="1" x14ac:dyDescent="0.35">
      <c r="B147" s="1458">
        <v>10</v>
      </c>
      <c r="C147" s="1459"/>
      <c r="D147" s="1430">
        <v>0</v>
      </c>
      <c r="E147" s="1460" t="s">
        <v>130</v>
      </c>
      <c r="F147" s="1432"/>
      <c r="G147" s="1432">
        <f t="shared" si="37"/>
        <v>0</v>
      </c>
      <c r="H147" s="1433">
        <v>279.06049999999999</v>
      </c>
      <c r="I147" s="1434">
        <v>79.962900599999998</v>
      </c>
      <c r="J147" s="1461">
        <f t="shared" si="17"/>
        <v>79.962900599999998</v>
      </c>
      <c r="K147" s="1461">
        <f t="shared" si="18"/>
        <v>39.981450299999999</v>
      </c>
      <c r="L147" s="1461">
        <f t="shared" si="5"/>
        <v>0.64253956655634092</v>
      </c>
      <c r="M147" s="1461">
        <f t="shared" si="6"/>
        <v>179.30741271299578</v>
      </c>
      <c r="N147" s="1461">
        <f t="shared" si="7"/>
        <v>358.61482542599157</v>
      </c>
      <c r="O147" s="1461">
        <f>+C138+D139+D140+D141+D142+D143+D144+D145+D146+(D147/2)</f>
        <v>0</v>
      </c>
      <c r="P147" s="1461">
        <f t="shared" si="8"/>
        <v>0</v>
      </c>
      <c r="Q147" s="1461">
        <f t="shared" si="9"/>
        <v>0</v>
      </c>
      <c r="R147" s="1461">
        <f t="shared" si="19"/>
        <v>213.83080000000001</v>
      </c>
      <c r="S147" s="1461">
        <f t="shared" si="32"/>
        <v>213.83080000000001</v>
      </c>
      <c r="T147" s="1462">
        <f t="shared" si="10"/>
        <v>213.83080000000001</v>
      </c>
      <c r="V147" s="1463">
        <f t="shared" si="11"/>
        <v>0</v>
      </c>
      <c r="W147" s="1463"/>
      <c r="X147" s="1463"/>
      <c r="Y147" s="1463"/>
      <c r="Z147" s="1463"/>
      <c r="AA147" s="1463"/>
      <c r="AB147" s="1441" t="str">
        <f t="shared" si="33"/>
        <v xml:space="preserve"> </v>
      </c>
      <c r="AC147" s="1442" t="b">
        <f>IF(AD147=10,AF147)</f>
        <v>0</v>
      </c>
      <c r="AD147" s="1442">
        <f t="shared" si="12"/>
        <v>1</v>
      </c>
      <c r="AE147" s="1442">
        <f>IF(V147=0,0,10)</f>
        <v>0</v>
      </c>
      <c r="AF147" s="1463">
        <f>SUM(V147:V157)/($B$135-B146)</f>
        <v>0</v>
      </c>
      <c r="AG147" s="1463"/>
      <c r="AH147" s="1464">
        <f>SUM(D139:D147)+$C$138</f>
        <v>0</v>
      </c>
      <c r="AI147" s="1444" t="b">
        <f t="shared" si="20"/>
        <v>0</v>
      </c>
      <c r="AJ147" s="1445">
        <f t="shared" si="21"/>
        <v>66.255548399999995</v>
      </c>
      <c r="AK147" s="1465">
        <f t="shared" si="13"/>
        <v>0.91535047595051022</v>
      </c>
      <c r="AL147" s="1447">
        <f t="shared" si="22"/>
        <v>278.56028065668761</v>
      </c>
      <c r="AM147" s="1445">
        <f t="shared" si="23"/>
        <v>50.018549700000001</v>
      </c>
      <c r="AN147" s="1466">
        <f t="shared" si="24"/>
        <v>0.76625250760411079</v>
      </c>
      <c r="AO147" s="1449">
        <f t="shared" si="25"/>
        <v>213.83080789825695</v>
      </c>
      <c r="AP147" s="1450">
        <f t="shared" si="14"/>
        <v>-392.2568906947136</v>
      </c>
      <c r="AQ147" s="1449">
        <f t="shared" si="34"/>
        <v>-324</v>
      </c>
      <c r="AR147" s="1450">
        <f t="shared" si="35"/>
        <v>-93</v>
      </c>
      <c r="AS147" s="1467">
        <f t="shared" si="26"/>
        <v>492.39108855494453</v>
      </c>
      <c r="AT147" s="1468">
        <f t="shared" si="36"/>
        <v>-213.83080789825695</v>
      </c>
      <c r="AU147" s="1469">
        <f t="shared" si="27"/>
        <v>-178.42608279645665</v>
      </c>
      <c r="AV147" s="1468"/>
      <c r="AW147" s="1470">
        <f t="shared" si="28"/>
        <v>-126.70009345369952</v>
      </c>
      <c r="AX147" s="1470">
        <f t="shared" si="29"/>
        <v>33.700093453699523</v>
      </c>
      <c r="AY147" s="1456">
        <f t="shared" si="15"/>
        <v>-91.554786455142036</v>
      </c>
      <c r="AZ147" s="1456">
        <f t="shared" si="16"/>
        <v>296.73508216643302</v>
      </c>
      <c r="BA147" s="1457">
        <f t="shared" si="30"/>
        <v>91.554786455142036</v>
      </c>
      <c r="BB147" s="1457">
        <f t="shared" si="30"/>
        <v>296.73508216643302</v>
      </c>
      <c r="BC147" s="1118">
        <f t="shared" si="31"/>
        <v>0</v>
      </c>
      <c r="BM147" s="1471"/>
      <c r="BN147" s="1471"/>
      <c r="BO147" s="1471"/>
    </row>
    <row r="148" spans="1:129" ht="21" customHeight="1" thickBot="1" x14ac:dyDescent="0.35">
      <c r="A148" s="1473"/>
      <c r="B148" s="1458">
        <v>11</v>
      </c>
      <c r="C148" s="1459"/>
      <c r="D148" s="1430">
        <v>3</v>
      </c>
      <c r="E148" s="1460" t="s">
        <v>130</v>
      </c>
      <c r="F148" s="1432"/>
      <c r="G148" s="1432">
        <f t="shared" si="37"/>
        <v>3</v>
      </c>
      <c r="H148" s="1433">
        <v>279.06049999999999</v>
      </c>
      <c r="I148" s="1434">
        <v>79.962900599999998</v>
      </c>
      <c r="J148" s="1461">
        <f t="shared" si="17"/>
        <v>76.962900599999998</v>
      </c>
      <c r="K148" s="1461">
        <f t="shared" si="18"/>
        <v>38.481450299999999</v>
      </c>
      <c r="L148" s="1461">
        <f t="shared" si="5"/>
        <v>0.62226123201233485</v>
      </c>
      <c r="M148" s="1461">
        <f t="shared" si="6"/>
        <v>173.64853053597815</v>
      </c>
      <c r="N148" s="1461">
        <f t="shared" si="7"/>
        <v>347.29706107195631</v>
      </c>
      <c r="O148" s="1461">
        <f>+C138+D139+D140+D141+D142+D143+D144+D145+D146+D147+(D148/2)</f>
        <v>1.5</v>
      </c>
      <c r="P148" s="1461">
        <f t="shared" si="8"/>
        <v>2.6176948307873125E-2</v>
      </c>
      <c r="Q148" s="1461">
        <f t="shared" si="9"/>
        <v>9.091177215156856</v>
      </c>
      <c r="R148" s="1461">
        <f t="shared" si="19"/>
        <v>213.83080000000001</v>
      </c>
      <c r="S148" s="1461">
        <f t="shared" si="32"/>
        <v>222.92197721515686</v>
      </c>
      <c r="T148" s="1462">
        <f t="shared" si="10"/>
        <v>222.92197721515686</v>
      </c>
      <c r="V148" s="1463">
        <f t="shared" si="11"/>
        <v>0</v>
      </c>
      <c r="W148" s="1463"/>
      <c r="X148" s="1463"/>
      <c r="Y148" s="1463"/>
      <c r="Z148" s="1463"/>
      <c r="AA148" s="1463"/>
      <c r="AB148" s="1441" t="str">
        <f t="shared" si="33"/>
        <v xml:space="preserve"> </v>
      </c>
      <c r="AC148" s="1442" t="b">
        <f>IF(AD148=11,AF148)</f>
        <v>0</v>
      </c>
      <c r="AD148" s="1442">
        <f t="shared" si="12"/>
        <v>1</v>
      </c>
      <c r="AE148" s="1442">
        <f>IF(V148=0,0,11)</f>
        <v>0</v>
      </c>
      <c r="AF148" s="1463">
        <f>SUM(V148:V157)/($B$135-B147)</f>
        <v>0</v>
      </c>
      <c r="AG148" s="1463"/>
      <c r="AH148" s="1464">
        <f>SUM(D139:D148)+$C$138</f>
        <v>3</v>
      </c>
      <c r="AI148" s="1444" t="b">
        <f t="shared" si="20"/>
        <v>0</v>
      </c>
      <c r="AJ148" s="1445">
        <f t="shared" si="21"/>
        <v>63.255548399999995</v>
      </c>
      <c r="AK148" s="1465">
        <f t="shared" si="13"/>
        <v>0.89302252578859875</v>
      </c>
      <c r="AL148" s="1447">
        <f t="shared" si="22"/>
        <v>271.76541876825956</v>
      </c>
      <c r="AM148" s="1445">
        <f t="shared" si="23"/>
        <v>53.018549700000001</v>
      </c>
      <c r="AN148" s="1466">
        <f t="shared" si="24"/>
        <v>0.79883030781287157</v>
      </c>
      <c r="AO148" s="1449">
        <f t="shared" si="25"/>
        <v>222.92198511341383</v>
      </c>
      <c r="AP148" s="1450">
        <f t="shared" si="14"/>
        <v>-273.25760924800272</v>
      </c>
      <c r="AQ148" s="1449">
        <f t="shared" si="34"/>
        <v>-364.5</v>
      </c>
      <c r="AR148" s="1450">
        <f t="shared" si="35"/>
        <v>-133.5</v>
      </c>
      <c r="AS148" s="1467">
        <f t="shared" si="26"/>
        <v>494.68740388167339</v>
      </c>
      <c r="AT148" s="1468">
        <f t="shared" si="36"/>
        <v>-222.92198511341383</v>
      </c>
      <c r="AU148" s="1469">
        <f t="shared" si="27"/>
        <v>-50.335624134588898</v>
      </c>
      <c r="AV148" s="1468"/>
      <c r="AW148" s="1470">
        <f t="shared" si="28"/>
        <v>-147.08394365661866</v>
      </c>
      <c r="AX148" s="1470">
        <f t="shared" si="29"/>
        <v>13.583943656618676</v>
      </c>
      <c r="AY148" s="1456">
        <f t="shared" si="15"/>
        <v>-78.866528266887471</v>
      </c>
      <c r="AZ148" s="1456">
        <f t="shared" si="16"/>
        <v>736.16324189680915</v>
      </c>
      <c r="BA148" s="1457">
        <f t="shared" si="30"/>
        <v>78.866528266887471</v>
      </c>
      <c r="BB148" s="1457">
        <f t="shared" si="30"/>
        <v>736.16324189680915</v>
      </c>
      <c r="BC148" s="1118">
        <f t="shared" si="31"/>
        <v>0</v>
      </c>
      <c r="BM148" s="1471"/>
      <c r="BN148" s="1471"/>
      <c r="BO148" s="1471"/>
    </row>
    <row r="149" spans="1:129" ht="21" customHeight="1" thickBot="1" x14ac:dyDescent="0.35">
      <c r="A149" s="1473"/>
      <c r="B149" s="1458">
        <v>12</v>
      </c>
      <c r="C149" s="1459"/>
      <c r="D149" s="1430">
        <v>0</v>
      </c>
      <c r="E149" s="1460" t="s">
        <v>130</v>
      </c>
      <c r="F149" s="1432"/>
      <c r="G149" s="1432">
        <f t="shared" si="37"/>
        <v>0.3</v>
      </c>
      <c r="H149" s="1433">
        <v>279.06049999999999</v>
      </c>
      <c r="I149" s="1434">
        <v>79.962900599999998</v>
      </c>
      <c r="J149" s="1461">
        <f t="shared" si="17"/>
        <v>79.962900599999998</v>
      </c>
      <c r="K149" s="1461">
        <f t="shared" si="18"/>
        <v>39.981450299999999</v>
      </c>
      <c r="L149" s="1461">
        <f t="shared" si="5"/>
        <v>0.64253956655634092</v>
      </c>
      <c r="M149" s="1461">
        <f t="shared" si="6"/>
        <v>179.30741271299578</v>
      </c>
      <c r="N149" s="1461">
        <f t="shared" si="7"/>
        <v>358.61482542599157</v>
      </c>
      <c r="O149" s="1461">
        <f>+C138+D139+D140+D141+D142+D143+D144+D145+D146+D147+D148+(D149/2)</f>
        <v>3</v>
      </c>
      <c r="P149" s="1461">
        <f t="shared" si="8"/>
        <v>5.2335956242943779E-2</v>
      </c>
      <c r="Q149" s="1461">
        <f t="shared" si="9"/>
        <v>18.768449811565617</v>
      </c>
      <c r="R149" s="1461">
        <f t="shared" si="19"/>
        <v>222.92197721515686</v>
      </c>
      <c r="S149" s="1461">
        <f t="shared" si="32"/>
        <v>241.69042702672249</v>
      </c>
      <c r="T149" s="1462">
        <f t="shared" si="10"/>
        <v>241.69042702672249</v>
      </c>
      <c r="V149" s="1463">
        <f t="shared" si="11"/>
        <v>0</v>
      </c>
      <c r="W149" s="1463"/>
      <c r="X149" s="1463"/>
      <c r="Y149" s="1463"/>
      <c r="Z149" s="1463"/>
      <c r="AA149" s="1463"/>
      <c r="AB149" s="1441" t="str">
        <f t="shared" si="33"/>
        <v>use the locking pin</v>
      </c>
      <c r="AC149" s="1442" t="b">
        <f>IF(AD149=12,AF149)</f>
        <v>0</v>
      </c>
      <c r="AD149" s="1442">
        <f t="shared" si="12"/>
        <v>1</v>
      </c>
      <c r="AE149" s="1442">
        <f>IF(V149=0,0,12)</f>
        <v>0</v>
      </c>
      <c r="AF149" s="1463">
        <f>SUM(V149:V157)/($B$135-B148)</f>
        <v>0</v>
      </c>
      <c r="AG149" s="1463"/>
      <c r="AH149" s="1464">
        <f>SUM(D139:D149)+$C$138</f>
        <v>3</v>
      </c>
      <c r="AI149" s="1444" t="b">
        <f t="shared" si="20"/>
        <v>0</v>
      </c>
      <c r="AJ149" s="1445">
        <f t="shared" si="21"/>
        <v>63.255548399999995</v>
      </c>
      <c r="AK149" s="1465">
        <f t="shared" si="13"/>
        <v>0.89302252578859875</v>
      </c>
      <c r="AL149" s="1447">
        <f t="shared" si="22"/>
        <v>271.76541876825956</v>
      </c>
      <c r="AM149" s="1445">
        <f t="shared" si="23"/>
        <v>53.018549700000001</v>
      </c>
      <c r="AN149" s="1466">
        <f t="shared" si="24"/>
        <v>0.79883030781287157</v>
      </c>
      <c r="AO149" s="1449">
        <f t="shared" si="25"/>
        <v>222.92198511341383</v>
      </c>
      <c r="AP149" s="1450">
        <f t="shared" si="14"/>
        <v>-209.65454502648484</v>
      </c>
      <c r="AQ149" s="1449">
        <f t="shared" si="34"/>
        <v>-405</v>
      </c>
      <c r="AR149" s="1450">
        <f t="shared" si="35"/>
        <v>-174</v>
      </c>
      <c r="AS149" s="1467">
        <f t="shared" si="26"/>
        <v>494.68740388167339</v>
      </c>
      <c r="AT149" s="1468">
        <f t="shared" si="36"/>
        <v>-222.92198511341383</v>
      </c>
      <c r="AU149" s="1469">
        <f t="shared" si="27"/>
        <v>13.267440086928985</v>
      </c>
      <c r="AV149" s="1468"/>
      <c r="AW149" s="1470">
        <f t="shared" si="28"/>
        <v>-169.33334676199308</v>
      </c>
      <c r="AX149" s="1470">
        <f t="shared" si="29"/>
        <v>-4.6666532380069103</v>
      </c>
      <c r="AY149" s="1456">
        <f t="shared" si="15"/>
        <v>-68.503931575299276</v>
      </c>
      <c r="AZ149" s="1456">
        <f t="shared" si="16"/>
        <v>-2142.8633090962035</v>
      </c>
      <c r="BA149" s="1457">
        <f t="shared" si="30"/>
        <v>68.503931575299276</v>
      </c>
      <c r="BB149" s="1457">
        <f t="shared" si="30"/>
        <v>2142.8633090962035</v>
      </c>
      <c r="BC149" s="1118">
        <f t="shared" si="31"/>
        <v>0.3</v>
      </c>
      <c r="BM149" s="1471"/>
      <c r="BN149" s="1471"/>
      <c r="BO149" s="1471"/>
    </row>
    <row r="150" spans="1:129" ht="21" customHeight="1" thickBot="1" x14ac:dyDescent="0.35">
      <c r="B150" s="1458">
        <v>13</v>
      </c>
      <c r="C150" s="1459"/>
      <c r="D150" s="1430">
        <v>0</v>
      </c>
      <c r="E150" s="1460" t="s">
        <v>130</v>
      </c>
      <c r="F150" s="1432"/>
      <c r="G150" s="1432">
        <f t="shared" si="37"/>
        <v>0.3</v>
      </c>
      <c r="H150" s="1433">
        <v>279.06049999999999</v>
      </c>
      <c r="I150" s="1434">
        <v>79.962900599999998</v>
      </c>
      <c r="J150" s="1461">
        <f t="shared" si="17"/>
        <v>79.962900599999998</v>
      </c>
      <c r="K150" s="1461">
        <f t="shared" si="18"/>
        <v>39.981450299999999</v>
      </c>
      <c r="L150" s="1461">
        <f t="shared" si="5"/>
        <v>0.64253956655634092</v>
      </c>
      <c r="M150" s="1461">
        <f t="shared" si="6"/>
        <v>179.30741271299578</v>
      </c>
      <c r="N150" s="1461">
        <f t="shared" si="7"/>
        <v>358.61482542599157</v>
      </c>
      <c r="O150" s="1461">
        <f>+C138+D139+D140+D141+D142+D143+D144+D145+D146+D147+D148+D149+(D150/2)</f>
        <v>3</v>
      </c>
      <c r="P150" s="1461">
        <f t="shared" si="8"/>
        <v>5.2335956242943779E-2</v>
      </c>
      <c r="Q150" s="1461">
        <f t="shared" si="9"/>
        <v>18.768449811565617</v>
      </c>
      <c r="R150" s="1461">
        <f t="shared" si="19"/>
        <v>241.69042702672249</v>
      </c>
      <c r="S150" s="1461">
        <f t="shared" si="32"/>
        <v>260.45887683828812</v>
      </c>
      <c r="T150" s="1462">
        <f t="shared" si="10"/>
        <v>260.45887683828812</v>
      </c>
      <c r="V150" s="1463">
        <f t="shared" si="11"/>
        <v>0</v>
      </c>
      <c r="W150" s="1463"/>
      <c r="X150" s="1463"/>
      <c r="Y150" s="1463"/>
      <c r="Z150" s="1463"/>
      <c r="AA150" s="1463"/>
      <c r="AB150" s="1441" t="str">
        <f t="shared" si="33"/>
        <v>use the locking pin</v>
      </c>
      <c r="AC150" s="1442" t="b">
        <f>IF(AD150=13,AF150)</f>
        <v>0</v>
      </c>
      <c r="AD150" s="1442">
        <f t="shared" si="12"/>
        <v>1</v>
      </c>
      <c r="AE150" s="1442">
        <f>IF(V150=0,0,13)</f>
        <v>0</v>
      </c>
      <c r="AF150" s="1463">
        <f>SUM(V150:V157)/($B$135-B149)</f>
        <v>0</v>
      </c>
      <c r="AG150" s="1463"/>
      <c r="AH150" s="1464">
        <f>SUM(D139:D150)+$C$138</f>
        <v>3</v>
      </c>
      <c r="AI150" s="1444" t="b">
        <f t="shared" si="20"/>
        <v>0</v>
      </c>
      <c r="AJ150" s="1445">
        <f t="shared" si="21"/>
        <v>63.255548399999995</v>
      </c>
      <c r="AK150" s="1465">
        <f t="shared" si="13"/>
        <v>0.89302252578859875</v>
      </c>
      <c r="AL150" s="1447">
        <f t="shared" si="22"/>
        <v>271.76541876825956</v>
      </c>
      <c r="AM150" s="1445">
        <f t="shared" si="23"/>
        <v>53.018549700000001</v>
      </c>
      <c r="AN150" s="1466">
        <f t="shared" si="24"/>
        <v>0.79883030781287157</v>
      </c>
      <c r="AO150" s="1449">
        <f t="shared" si="25"/>
        <v>222.92198511341383</v>
      </c>
      <c r="AP150" s="1450">
        <f t="shared" si="14"/>
        <v>-170.06942114036534</v>
      </c>
      <c r="AQ150" s="1449">
        <f t="shared" si="34"/>
        <v>-445.5</v>
      </c>
      <c r="AR150" s="1450">
        <f t="shared" si="35"/>
        <v>-214.5</v>
      </c>
      <c r="AS150" s="1467">
        <f t="shared" si="26"/>
        <v>494.68740388167339</v>
      </c>
      <c r="AT150" s="1468">
        <f t="shared" si="36"/>
        <v>-222.92198511341383</v>
      </c>
      <c r="AU150" s="1469">
        <f t="shared" si="27"/>
        <v>52.85256397304849</v>
      </c>
      <c r="AV150" s="1468"/>
      <c r="AW150" s="1470">
        <f t="shared" si="28"/>
        <v>-191.58274986736751</v>
      </c>
      <c r="AX150" s="1470">
        <f t="shared" si="29"/>
        <v>-22.917250132632489</v>
      </c>
      <c r="AY150" s="1456">
        <f t="shared" si="15"/>
        <v>-60.548248775167202</v>
      </c>
      <c r="AZ150" s="1456">
        <f t="shared" si="16"/>
        <v>-436.35252668297801</v>
      </c>
      <c r="BA150" s="1457">
        <f t="shared" si="30"/>
        <v>60.548248775167202</v>
      </c>
      <c r="BB150" s="1457">
        <f t="shared" si="30"/>
        <v>436.35252668297801</v>
      </c>
      <c r="BC150" s="1118">
        <f t="shared" si="31"/>
        <v>0.3</v>
      </c>
      <c r="BM150" s="1471"/>
      <c r="BN150" s="1471"/>
      <c r="BO150" s="1471"/>
      <c r="DE150" s="1248"/>
    </row>
    <row r="151" spans="1:129" ht="21" customHeight="1" thickBot="1" x14ac:dyDescent="0.35">
      <c r="B151" s="1458">
        <v>14</v>
      </c>
      <c r="C151" s="1459"/>
      <c r="D151" s="1430">
        <v>0</v>
      </c>
      <c r="E151" s="1460" t="s">
        <v>130</v>
      </c>
      <c r="F151" s="1432"/>
      <c r="G151" s="1432">
        <f t="shared" si="37"/>
        <v>0.3</v>
      </c>
      <c r="H151" s="1433">
        <v>279.06049999999999</v>
      </c>
      <c r="I151" s="1434">
        <v>79.962900599999998</v>
      </c>
      <c r="J151" s="1461">
        <f t="shared" si="17"/>
        <v>79.962900599999998</v>
      </c>
      <c r="K151" s="1461">
        <f t="shared" si="18"/>
        <v>39.981450299999999</v>
      </c>
      <c r="L151" s="1461">
        <f t="shared" si="5"/>
        <v>0.64253956655634092</v>
      </c>
      <c r="M151" s="1461">
        <f t="shared" si="6"/>
        <v>179.30741271299578</v>
      </c>
      <c r="N151" s="1461">
        <f t="shared" si="7"/>
        <v>358.61482542599157</v>
      </c>
      <c r="O151" s="1461">
        <f>+C138+D139+D140+D141+D142+D143+D144+D145+D146+D147+D148+D149+D150+(D151/2)</f>
        <v>3</v>
      </c>
      <c r="P151" s="1461">
        <f t="shared" si="8"/>
        <v>5.2335956242943779E-2</v>
      </c>
      <c r="Q151" s="1461">
        <f t="shared" si="9"/>
        <v>18.768449811565617</v>
      </c>
      <c r="R151" s="1461">
        <f t="shared" si="19"/>
        <v>260.45887683828812</v>
      </c>
      <c r="S151" s="1461">
        <f t="shared" si="32"/>
        <v>279.22732664985375</v>
      </c>
      <c r="T151" s="1462">
        <f t="shared" si="10"/>
        <v>279.22732664985375</v>
      </c>
      <c r="V151" s="1463">
        <f t="shared" si="11"/>
        <v>0</v>
      </c>
      <c r="W151" s="1463"/>
      <c r="X151" s="1463"/>
      <c r="Y151" s="1463"/>
      <c r="Z151" s="1463"/>
      <c r="AA151" s="1463"/>
      <c r="AB151" s="1441" t="str">
        <f t="shared" si="33"/>
        <v>use the locking pin</v>
      </c>
      <c r="AC151" s="1442" t="b">
        <f>IF(AD151=14,AF151)</f>
        <v>0</v>
      </c>
      <c r="AD151" s="1442">
        <f t="shared" si="12"/>
        <v>1</v>
      </c>
      <c r="AE151" s="1442">
        <f>IF(V151=0,0,14)</f>
        <v>0</v>
      </c>
      <c r="AF151" s="1463">
        <f>SUM(V151:V157)/($B$135-B150)</f>
        <v>0</v>
      </c>
      <c r="AG151" s="1463"/>
      <c r="AH151" s="1464">
        <f>SUM(D139:D151)+$C$138</f>
        <v>3</v>
      </c>
      <c r="AI151" s="1444" t="b">
        <f t="shared" si="20"/>
        <v>0</v>
      </c>
      <c r="AJ151" s="1445">
        <f t="shared" si="21"/>
        <v>63.255548399999995</v>
      </c>
      <c r="AK151" s="1465">
        <f t="shared" si="13"/>
        <v>0.89302252578859875</v>
      </c>
      <c r="AL151" s="1447">
        <f t="shared" si="22"/>
        <v>271.76541876825956</v>
      </c>
      <c r="AM151" s="1445">
        <f t="shared" si="23"/>
        <v>53.018549700000001</v>
      </c>
      <c r="AN151" s="1466">
        <f t="shared" si="24"/>
        <v>0.79883030781287157</v>
      </c>
      <c r="AO151" s="1449">
        <f t="shared" si="25"/>
        <v>222.92198511341383</v>
      </c>
      <c r="AP151" s="1450">
        <f t="shared" si="14"/>
        <v>-143.05839542983671</v>
      </c>
      <c r="AQ151" s="1449">
        <f t="shared" si="34"/>
        <v>-486</v>
      </c>
      <c r="AR151" s="1450">
        <f t="shared" si="35"/>
        <v>-255</v>
      </c>
      <c r="AS151" s="1467">
        <f t="shared" si="26"/>
        <v>494.68740388167339</v>
      </c>
      <c r="AT151" s="1468">
        <f t="shared" si="36"/>
        <v>-222.92198511341383</v>
      </c>
      <c r="AU151" s="1469">
        <f t="shared" si="27"/>
        <v>79.863589683577118</v>
      </c>
      <c r="AV151" s="1468"/>
      <c r="AW151" s="1470">
        <f t="shared" si="28"/>
        <v>-213.83215297274194</v>
      </c>
      <c r="AX151" s="1470">
        <f t="shared" si="29"/>
        <v>-41.167847027258084</v>
      </c>
      <c r="AY151" s="1456">
        <f t="shared" si="15"/>
        <v>-54.248156036097619</v>
      </c>
      <c r="AZ151" s="1456">
        <f t="shared" si="16"/>
        <v>-242.90801492190721</v>
      </c>
      <c r="BA151" s="1457">
        <f t="shared" si="30"/>
        <v>54.248156036097619</v>
      </c>
      <c r="BB151" s="1457">
        <f t="shared" si="30"/>
        <v>242.90801492190721</v>
      </c>
      <c r="BC151" s="1118">
        <f t="shared" si="31"/>
        <v>0.3</v>
      </c>
      <c r="BM151" s="1471"/>
      <c r="BN151" s="1471"/>
      <c r="BO151" s="1471"/>
      <c r="DE151" s="1248"/>
    </row>
    <row r="152" spans="1:129" ht="21" customHeight="1" thickBot="1" x14ac:dyDescent="0.35">
      <c r="B152" s="1458">
        <v>15</v>
      </c>
      <c r="C152" s="1459"/>
      <c r="D152" s="1430">
        <v>0</v>
      </c>
      <c r="E152" s="1460" t="s">
        <v>130</v>
      </c>
      <c r="F152" s="1432"/>
      <c r="G152" s="1432">
        <f t="shared" si="37"/>
        <v>0.3</v>
      </c>
      <c r="H152" s="1433">
        <v>279.06049999999999</v>
      </c>
      <c r="I152" s="1434">
        <v>79.962900599999998</v>
      </c>
      <c r="J152" s="1461">
        <f t="shared" si="17"/>
        <v>79.962900599999998</v>
      </c>
      <c r="K152" s="1461">
        <f t="shared" si="18"/>
        <v>39.981450299999999</v>
      </c>
      <c r="L152" s="1461">
        <f t="shared" si="5"/>
        <v>0.64253956655634092</v>
      </c>
      <c r="M152" s="1461">
        <f t="shared" si="6"/>
        <v>179.30741271299578</v>
      </c>
      <c r="N152" s="1461">
        <f t="shared" si="7"/>
        <v>358.61482542599157</v>
      </c>
      <c r="O152" s="1461">
        <f>+C138+D139+D140+D141+D142+D143+D144+D145+D146+D147+D148+D149+D150+D151+(D152/2)</f>
        <v>3</v>
      </c>
      <c r="P152" s="1461">
        <f t="shared" si="8"/>
        <v>5.2335956242943779E-2</v>
      </c>
      <c r="Q152" s="1461">
        <f t="shared" si="9"/>
        <v>18.768449811565617</v>
      </c>
      <c r="R152" s="1461">
        <f t="shared" si="19"/>
        <v>279.22732664985375</v>
      </c>
      <c r="S152" s="1461">
        <f t="shared" si="32"/>
        <v>297.99577646141938</v>
      </c>
      <c r="T152" s="1462">
        <f t="shared" si="10"/>
        <v>297.99577646141938</v>
      </c>
      <c r="V152" s="1463">
        <f t="shared" si="11"/>
        <v>0</v>
      </c>
      <c r="W152" s="1463"/>
      <c r="X152" s="1463"/>
      <c r="Y152" s="1463"/>
      <c r="Z152" s="1463"/>
      <c r="AA152" s="1463"/>
      <c r="AB152" s="1441" t="str">
        <f t="shared" si="33"/>
        <v>use the locking pin</v>
      </c>
      <c r="AC152" s="1442" t="b">
        <f>IF(AD152=15,AF152)</f>
        <v>0</v>
      </c>
      <c r="AD152" s="1442">
        <f t="shared" si="12"/>
        <v>1</v>
      </c>
      <c r="AE152" s="1442">
        <f>IF(V152=0,0,15)</f>
        <v>0</v>
      </c>
      <c r="AF152" s="1463">
        <f>SUM(V152:V157)/($B$135-B151)</f>
        <v>0</v>
      </c>
      <c r="AG152" s="1463"/>
      <c r="AH152" s="1464">
        <f>SUM(D139:D152)+$C$138</f>
        <v>3</v>
      </c>
      <c r="AI152" s="1444" t="b">
        <f t="shared" si="20"/>
        <v>0</v>
      </c>
      <c r="AJ152" s="1445">
        <f t="shared" si="21"/>
        <v>63.255548399999995</v>
      </c>
      <c r="AK152" s="1465">
        <f t="shared" si="13"/>
        <v>0.89302252578859875</v>
      </c>
      <c r="AL152" s="1447">
        <f t="shared" si="22"/>
        <v>271.76541876825956</v>
      </c>
      <c r="AM152" s="1445">
        <f t="shared" si="23"/>
        <v>53.018549700000001</v>
      </c>
      <c r="AN152" s="1466">
        <f t="shared" si="24"/>
        <v>0.79883030781287157</v>
      </c>
      <c r="AO152" s="1449">
        <f t="shared" si="25"/>
        <v>222.92198511341383</v>
      </c>
      <c r="AP152" s="1450">
        <f t="shared" si="14"/>
        <v>-123.45140722371697</v>
      </c>
      <c r="AQ152" s="1449">
        <f t="shared" si="34"/>
        <v>-526.5</v>
      </c>
      <c r="AR152" s="1450">
        <f t="shared" si="35"/>
        <v>-295.5</v>
      </c>
      <c r="AS152" s="1467">
        <f t="shared" si="26"/>
        <v>494.68740388167339</v>
      </c>
      <c r="AT152" s="1468">
        <f t="shared" si="36"/>
        <v>-222.92198511341383</v>
      </c>
      <c r="AU152" s="1469">
        <f t="shared" si="27"/>
        <v>99.470577889696855</v>
      </c>
      <c r="AV152" s="1468"/>
      <c r="AW152" s="1470">
        <f t="shared" si="28"/>
        <v>-236.08155607811634</v>
      </c>
      <c r="AX152" s="1470">
        <f t="shared" si="29"/>
        <v>-59.41844392188365</v>
      </c>
      <c r="AY152" s="1456">
        <f t="shared" si="15"/>
        <v>-49.135562272224732</v>
      </c>
      <c r="AZ152" s="1456">
        <f t="shared" si="16"/>
        <v>-168.29791122007197</v>
      </c>
      <c r="BA152" s="1457">
        <f t="shared" si="30"/>
        <v>49.135562272224732</v>
      </c>
      <c r="BB152" s="1457">
        <f t="shared" si="30"/>
        <v>168.29791122007197</v>
      </c>
      <c r="BC152" s="1118">
        <f t="shared" si="31"/>
        <v>0.3</v>
      </c>
      <c r="BM152" s="1471"/>
      <c r="BN152" s="1471"/>
      <c r="BO152" s="1471"/>
      <c r="DE152" s="1248"/>
    </row>
    <row r="153" spans="1:129" ht="21" customHeight="1" thickBot="1" x14ac:dyDescent="0.35">
      <c r="B153" s="1458">
        <v>16</v>
      </c>
      <c r="C153" s="1459"/>
      <c r="D153" s="1430">
        <v>0</v>
      </c>
      <c r="E153" s="1460" t="s">
        <v>130</v>
      </c>
      <c r="F153" s="1432"/>
      <c r="G153" s="1432">
        <f t="shared" si="37"/>
        <v>0.3</v>
      </c>
      <c r="H153" s="1433">
        <v>279.06049999999999</v>
      </c>
      <c r="I153" s="1434">
        <v>79.962900599999998</v>
      </c>
      <c r="J153" s="1461">
        <f t="shared" si="17"/>
        <v>79.962900599999998</v>
      </c>
      <c r="K153" s="1461">
        <f t="shared" si="18"/>
        <v>39.981450299999999</v>
      </c>
      <c r="L153" s="1461">
        <f t="shared" si="5"/>
        <v>0.64253956655634092</v>
      </c>
      <c r="M153" s="1461">
        <f t="shared" si="6"/>
        <v>179.30741271299578</v>
      </c>
      <c r="N153" s="1461">
        <f t="shared" si="7"/>
        <v>358.61482542599157</v>
      </c>
      <c r="O153" s="1461">
        <f>+C138+D139+D140+D141+D142+D143+D144+D145+D146+D147+D148+D149+D150+D151+D152+(D153/2)</f>
        <v>3</v>
      </c>
      <c r="P153" s="1461">
        <f t="shared" si="8"/>
        <v>5.2335956242943779E-2</v>
      </c>
      <c r="Q153" s="1461">
        <f t="shared" si="9"/>
        <v>18.768449811565617</v>
      </c>
      <c r="R153" s="1461">
        <f t="shared" si="19"/>
        <v>297.99577646141938</v>
      </c>
      <c r="S153" s="1461">
        <f t="shared" si="32"/>
        <v>316.76422627298501</v>
      </c>
      <c r="T153" s="1462">
        <f t="shared" si="10"/>
        <v>316.76422627298501</v>
      </c>
      <c r="V153" s="1463">
        <f t="shared" si="11"/>
        <v>0</v>
      </c>
      <c r="W153" s="1463"/>
      <c r="X153" s="1463"/>
      <c r="Y153" s="1463"/>
      <c r="Z153" s="1463"/>
      <c r="AA153" s="1463"/>
      <c r="AB153" s="1441" t="str">
        <f t="shared" si="33"/>
        <v>use the locking pin</v>
      </c>
      <c r="AC153" s="1442" t="b">
        <f>IF(AD153=16,AF153)</f>
        <v>0</v>
      </c>
      <c r="AD153" s="1442">
        <f t="shared" si="12"/>
        <v>1</v>
      </c>
      <c r="AE153" s="1442">
        <f>IF(V153=0,0,16)</f>
        <v>0</v>
      </c>
      <c r="AF153" s="1463">
        <f>SUM(V153:V157)/($B$135-B152)</f>
        <v>0</v>
      </c>
      <c r="AG153" s="1463"/>
      <c r="AH153" s="1464">
        <f>SUM(D139:D153)+$C$138</f>
        <v>3</v>
      </c>
      <c r="AI153" s="1444" t="b">
        <f t="shared" si="20"/>
        <v>0</v>
      </c>
      <c r="AJ153" s="1445">
        <f t="shared" si="21"/>
        <v>63.255548399999995</v>
      </c>
      <c r="AK153" s="1465">
        <f t="shared" si="13"/>
        <v>0.89302252578859875</v>
      </c>
      <c r="AL153" s="1447">
        <f t="shared" si="22"/>
        <v>271.76541876825956</v>
      </c>
      <c r="AM153" s="1445">
        <f t="shared" si="23"/>
        <v>53.018549700000001</v>
      </c>
      <c r="AN153" s="1466">
        <f t="shared" si="24"/>
        <v>0.79883030781287157</v>
      </c>
      <c r="AO153" s="1449">
        <f t="shared" si="25"/>
        <v>222.92198511341383</v>
      </c>
      <c r="AP153" s="1450">
        <f t="shared" si="14"/>
        <v>-108.57110367442965</v>
      </c>
      <c r="AQ153" s="1449">
        <f t="shared" si="34"/>
        <v>-567</v>
      </c>
      <c r="AR153" s="1450">
        <f t="shared" si="35"/>
        <v>-336</v>
      </c>
      <c r="AS153" s="1467">
        <f t="shared" si="26"/>
        <v>494.68740388167339</v>
      </c>
      <c r="AT153" s="1468">
        <f t="shared" si="36"/>
        <v>-222.92198511341383</v>
      </c>
      <c r="AU153" s="1469">
        <f t="shared" si="27"/>
        <v>114.35088143898417</v>
      </c>
      <c r="AV153" s="1468"/>
      <c r="AW153" s="1470">
        <f t="shared" si="28"/>
        <v>-258.33095918349073</v>
      </c>
      <c r="AX153" s="1470">
        <f t="shared" si="29"/>
        <v>-77.669040816509238</v>
      </c>
      <c r="AY153" s="1456">
        <f t="shared" si="15"/>
        <v>-44.903638482449942</v>
      </c>
      <c r="AZ153" s="1456">
        <f t="shared" si="16"/>
        <v>-128.75142907487034</v>
      </c>
      <c r="BA153" s="1457">
        <f t="shared" si="30"/>
        <v>44.903638482449942</v>
      </c>
      <c r="BB153" s="1457">
        <f t="shared" si="30"/>
        <v>128.75142907487034</v>
      </c>
      <c r="BC153" s="1118">
        <f t="shared" si="31"/>
        <v>0.3</v>
      </c>
      <c r="BM153" s="1471"/>
      <c r="BN153" s="1471"/>
      <c r="BO153" s="1471"/>
      <c r="DE153" s="1248"/>
    </row>
    <row r="154" spans="1:129" ht="21" customHeight="1" thickBot="1" x14ac:dyDescent="0.35">
      <c r="B154" s="1458">
        <v>17</v>
      </c>
      <c r="C154" s="1459"/>
      <c r="D154" s="1430">
        <v>0</v>
      </c>
      <c r="E154" s="1460" t="s">
        <v>130</v>
      </c>
      <c r="F154" s="1432"/>
      <c r="G154" s="1432">
        <f t="shared" si="37"/>
        <v>0.3</v>
      </c>
      <c r="H154" s="1433">
        <v>279.06049999999999</v>
      </c>
      <c r="I154" s="1434">
        <v>79.962900599999998</v>
      </c>
      <c r="J154" s="1461">
        <f t="shared" si="17"/>
        <v>79.962900599999998</v>
      </c>
      <c r="K154" s="1461">
        <f t="shared" si="18"/>
        <v>39.981450299999999</v>
      </c>
      <c r="L154" s="1461">
        <f t="shared" si="5"/>
        <v>0.64253956655634092</v>
      </c>
      <c r="M154" s="1461">
        <f t="shared" si="6"/>
        <v>179.30741271299578</v>
      </c>
      <c r="N154" s="1461">
        <f t="shared" si="7"/>
        <v>358.61482542599157</v>
      </c>
      <c r="O154" s="1461">
        <f>+C138+D139+D140+D141+D142+D143+D144+D145+D146+D147+D148+D149+D150+D151+D152+D153+(D154/2)</f>
        <v>3</v>
      </c>
      <c r="P154" s="1461">
        <f t="shared" si="8"/>
        <v>5.2335956242943779E-2</v>
      </c>
      <c r="Q154" s="1461">
        <f t="shared" si="9"/>
        <v>18.768449811565617</v>
      </c>
      <c r="R154" s="1461">
        <f t="shared" si="19"/>
        <v>316.76422627298501</v>
      </c>
      <c r="S154" s="1461">
        <f t="shared" si="32"/>
        <v>335.53267608455064</v>
      </c>
      <c r="T154" s="1462">
        <f t="shared" si="10"/>
        <v>335.53267608455064</v>
      </c>
      <c r="V154" s="1463">
        <f t="shared" si="11"/>
        <v>0</v>
      </c>
      <c r="W154" s="1463"/>
      <c r="X154" s="1463"/>
      <c r="Y154" s="1463"/>
      <c r="Z154" s="1463"/>
      <c r="AA154" s="1463"/>
      <c r="AB154" s="1441" t="str">
        <f t="shared" si="33"/>
        <v>use the locking pin</v>
      </c>
      <c r="AC154" s="1442" t="b">
        <f>IF(AD154=17,AF154)</f>
        <v>0</v>
      </c>
      <c r="AD154" s="1442">
        <f t="shared" si="12"/>
        <v>1</v>
      </c>
      <c r="AE154" s="1442">
        <f>IF(V154=0,0,17)</f>
        <v>0</v>
      </c>
      <c r="AF154" s="1463">
        <f>SUM(V154:V157)/($B$135-B153)</f>
        <v>0</v>
      </c>
      <c r="AG154" s="1463"/>
      <c r="AH154" s="1464">
        <f>SUM(D139:D154)+$C$138</f>
        <v>3</v>
      </c>
      <c r="AI154" s="1444" t="b">
        <f t="shared" si="20"/>
        <v>0</v>
      </c>
      <c r="AJ154" s="1445">
        <f t="shared" si="21"/>
        <v>63.255548399999995</v>
      </c>
      <c r="AK154" s="1465">
        <f t="shared" si="13"/>
        <v>0.89302252578859875</v>
      </c>
      <c r="AL154" s="1447">
        <f t="shared" si="22"/>
        <v>271.76541876825956</v>
      </c>
      <c r="AM154" s="1445">
        <f t="shared" si="23"/>
        <v>53.018549700000001</v>
      </c>
      <c r="AN154" s="1466">
        <f t="shared" si="24"/>
        <v>0.79883030781287157</v>
      </c>
      <c r="AO154" s="1449">
        <f t="shared" si="25"/>
        <v>222.92198511341383</v>
      </c>
      <c r="AP154" s="1450">
        <f t="shared" si="14"/>
        <v>-96.892140330965105</v>
      </c>
      <c r="AQ154" s="1449">
        <f t="shared" si="34"/>
        <v>-607.5</v>
      </c>
      <c r="AR154" s="1450">
        <f t="shared" si="35"/>
        <v>-376.5</v>
      </c>
      <c r="AS154" s="1467">
        <f t="shared" si="26"/>
        <v>494.68740388167339</v>
      </c>
      <c r="AT154" s="1468">
        <f t="shared" si="36"/>
        <v>-222.92198511341383</v>
      </c>
      <c r="AU154" s="1469">
        <f t="shared" si="27"/>
        <v>126.02984478244872</v>
      </c>
      <c r="AV154" s="1468"/>
      <c r="AW154" s="1470">
        <f t="shared" si="28"/>
        <v>-280.58036228886516</v>
      </c>
      <c r="AX154" s="1470">
        <f t="shared" si="29"/>
        <v>-95.919637711134826</v>
      </c>
      <c r="AY154" s="1456">
        <f t="shared" si="15"/>
        <v>-41.342879114460203</v>
      </c>
      <c r="AZ154" s="1456">
        <f t="shared" si="16"/>
        <v>-104.25393838658286</v>
      </c>
      <c r="BA154" s="1457">
        <f t="shared" si="30"/>
        <v>41.342879114460203</v>
      </c>
      <c r="BB154" s="1457">
        <f t="shared" si="30"/>
        <v>104.25393838658286</v>
      </c>
      <c r="BC154" s="1118">
        <f t="shared" si="31"/>
        <v>0.3</v>
      </c>
      <c r="BD154" s="1219"/>
      <c r="BM154" s="1471"/>
      <c r="BN154" s="1471"/>
      <c r="BO154" s="1471"/>
      <c r="DF154" s="1248"/>
      <c r="DG154" s="1248"/>
      <c r="DH154" s="1248"/>
      <c r="DI154" s="1248"/>
      <c r="DJ154" s="1248"/>
      <c r="DK154" s="1248"/>
      <c r="DL154" s="1408"/>
      <c r="DM154" s="1408"/>
      <c r="DN154" s="1408"/>
      <c r="DO154" s="1408"/>
      <c r="DP154" s="1408"/>
      <c r="DQ154" s="1408"/>
      <c r="DR154" s="1408"/>
      <c r="DS154" s="1408"/>
      <c r="DT154" s="1408"/>
      <c r="DU154" s="1408"/>
      <c r="DV154" s="1408"/>
      <c r="DW154" s="1408"/>
      <c r="DX154" s="1408"/>
      <c r="DY154" s="1408"/>
    </row>
    <row r="155" spans="1:129" ht="21" customHeight="1" thickBot="1" x14ac:dyDescent="0.35">
      <c r="B155" s="1458">
        <v>18</v>
      </c>
      <c r="C155" s="1459"/>
      <c r="D155" s="1430">
        <v>0</v>
      </c>
      <c r="E155" s="1460" t="s">
        <v>130</v>
      </c>
      <c r="F155" s="1432"/>
      <c r="G155" s="1432">
        <f t="shared" si="37"/>
        <v>0.3</v>
      </c>
      <c r="H155" s="1433">
        <v>279.06049999999999</v>
      </c>
      <c r="I155" s="1434">
        <v>79.962900599999998</v>
      </c>
      <c r="J155" s="1461">
        <f t="shared" si="17"/>
        <v>79.962900599999998</v>
      </c>
      <c r="K155" s="1461">
        <f t="shared" si="18"/>
        <v>39.981450299999999</v>
      </c>
      <c r="L155" s="1461">
        <f t="shared" si="5"/>
        <v>0.64253956655634092</v>
      </c>
      <c r="M155" s="1461">
        <f t="shared" si="6"/>
        <v>179.30741271299578</v>
      </c>
      <c r="N155" s="1461">
        <f t="shared" si="7"/>
        <v>358.61482542599157</v>
      </c>
      <c r="O155" s="1461">
        <f>+C138+D139+D140+D141+D142+D143+D144+D145+D146+D147+D148+D149+D150+D151+D152+D153+D154+(D155/2)</f>
        <v>3</v>
      </c>
      <c r="P155" s="1461">
        <f t="shared" si="8"/>
        <v>5.2335956242943779E-2</v>
      </c>
      <c r="Q155" s="1461">
        <f t="shared" si="9"/>
        <v>18.768449811565617</v>
      </c>
      <c r="R155" s="1461">
        <f t="shared" si="19"/>
        <v>335.53267608455064</v>
      </c>
      <c r="S155" s="1461">
        <f t="shared" si="32"/>
        <v>354.30112589611628</v>
      </c>
      <c r="T155" s="1462">
        <f t="shared" si="10"/>
        <v>354.30112589611628</v>
      </c>
      <c r="V155" s="1463">
        <f t="shared" si="11"/>
        <v>0</v>
      </c>
      <c r="W155" s="1463"/>
      <c r="X155" s="1463"/>
      <c r="Y155" s="1463"/>
      <c r="Z155" s="1463"/>
      <c r="AA155" s="1463"/>
      <c r="AB155" s="1441" t="str">
        <f t="shared" si="33"/>
        <v>use the locking pin</v>
      </c>
      <c r="AC155" s="1442" t="b">
        <f>IF(AD155=18,AF155)</f>
        <v>0</v>
      </c>
      <c r="AD155" s="1442">
        <f t="shared" si="12"/>
        <v>1</v>
      </c>
      <c r="AE155" s="1442">
        <f>IF(V155=0,0,18)</f>
        <v>0</v>
      </c>
      <c r="AF155" s="1463">
        <f>SUM(V155:V157)/($B$135-B154)</f>
        <v>0</v>
      </c>
      <c r="AG155" s="1463"/>
      <c r="AH155" s="1464">
        <f>SUM(D139:D155)+$C$138</f>
        <v>3</v>
      </c>
      <c r="AI155" s="1444" t="b">
        <f t="shared" si="20"/>
        <v>0</v>
      </c>
      <c r="AJ155" s="1445">
        <f t="shared" si="21"/>
        <v>63.255548399999995</v>
      </c>
      <c r="AK155" s="1465">
        <f t="shared" si="13"/>
        <v>0.89302252578859875</v>
      </c>
      <c r="AL155" s="1447">
        <f t="shared" si="22"/>
        <v>271.76541876825956</v>
      </c>
      <c r="AM155" s="1445">
        <f t="shared" si="23"/>
        <v>53.018549700000001</v>
      </c>
      <c r="AN155" s="1466">
        <f t="shared" si="24"/>
        <v>0.79883030781287157</v>
      </c>
      <c r="AO155" s="1449">
        <f t="shared" si="25"/>
        <v>222.92198511341383</v>
      </c>
      <c r="AP155" s="1450">
        <f t="shared" si="14"/>
        <v>-87.481752600979291</v>
      </c>
      <c r="AQ155" s="1449">
        <f t="shared" si="34"/>
        <v>-648</v>
      </c>
      <c r="AR155" s="1450">
        <f t="shared" si="35"/>
        <v>-417</v>
      </c>
      <c r="AS155" s="1467">
        <f t="shared" si="26"/>
        <v>494.68740388167339</v>
      </c>
      <c r="AT155" s="1468">
        <f t="shared" si="36"/>
        <v>-222.92198511341383</v>
      </c>
      <c r="AU155" s="1469">
        <f t="shared" si="27"/>
        <v>135.44023251243453</v>
      </c>
      <c r="AV155" s="1468"/>
      <c r="AW155" s="1470">
        <f t="shared" si="28"/>
        <v>-302.82976539423959</v>
      </c>
      <c r="AX155" s="1470">
        <f t="shared" si="29"/>
        <v>-114.1702346057604</v>
      </c>
      <c r="AY155" s="1456">
        <f t="shared" si="15"/>
        <v>-38.305349491977829</v>
      </c>
      <c r="AZ155" s="1456">
        <f t="shared" si="16"/>
        <v>-87.588503558137162</v>
      </c>
      <c r="BA155" s="1457">
        <f t="shared" si="30"/>
        <v>38.305349491977829</v>
      </c>
      <c r="BB155" s="1457">
        <f t="shared" si="30"/>
        <v>87.588503558137162</v>
      </c>
      <c r="BC155" s="1118">
        <f t="shared" si="31"/>
        <v>0.3</v>
      </c>
      <c r="BD155" s="1474"/>
      <c r="BM155" s="1471"/>
      <c r="BN155" s="1471"/>
      <c r="BO155" s="1471"/>
      <c r="DF155" s="1248"/>
      <c r="DG155" s="1248"/>
      <c r="DH155" s="1248"/>
      <c r="DI155" s="1248"/>
      <c r="DJ155" s="1248"/>
      <c r="DK155" s="1248"/>
      <c r="DL155" s="1408"/>
      <c r="DM155" s="1408"/>
      <c r="DN155" s="1408"/>
      <c r="DO155" s="1408"/>
      <c r="DP155" s="1408"/>
      <c r="DQ155" s="1408"/>
      <c r="DR155" s="1408"/>
      <c r="DS155" s="1408"/>
      <c r="DT155" s="1408"/>
      <c r="DU155" s="1408"/>
      <c r="DV155" s="1408"/>
      <c r="DW155" s="1408"/>
      <c r="DX155" s="1408"/>
      <c r="DY155" s="1408"/>
    </row>
    <row r="156" spans="1:129" ht="21" customHeight="1" thickBot="1" x14ac:dyDescent="0.35">
      <c r="B156" s="1458">
        <v>19</v>
      </c>
      <c r="C156" s="1475"/>
      <c r="D156" s="1476">
        <v>0</v>
      </c>
      <c r="E156" s="1460" t="s">
        <v>130</v>
      </c>
      <c r="F156" s="1477"/>
      <c r="G156" s="1477">
        <f t="shared" si="37"/>
        <v>0.3</v>
      </c>
      <c r="H156" s="1433">
        <v>279.06049999999999</v>
      </c>
      <c r="I156" s="1434">
        <v>79.962900599999998</v>
      </c>
      <c r="J156" s="1478">
        <f t="shared" si="17"/>
        <v>79.962900599999998</v>
      </c>
      <c r="K156" s="1478">
        <f t="shared" si="18"/>
        <v>39.981450299999999</v>
      </c>
      <c r="L156" s="1478">
        <f t="shared" si="5"/>
        <v>0.64253956655634092</v>
      </c>
      <c r="M156" s="1478">
        <f t="shared" si="6"/>
        <v>179.30741271299578</v>
      </c>
      <c r="N156" s="1478">
        <f t="shared" si="7"/>
        <v>358.61482542599157</v>
      </c>
      <c r="O156" s="1478">
        <f>+C138+D139+D140+D141+D142+D143+D144+D145+D146+D147+D148+D149+D150+D151+D152+D153+D154+D155+(D156/2)</f>
        <v>3</v>
      </c>
      <c r="P156" s="1478">
        <f t="shared" si="8"/>
        <v>5.2335956242943779E-2</v>
      </c>
      <c r="Q156" s="1478">
        <f t="shared" si="9"/>
        <v>18.768449811565617</v>
      </c>
      <c r="R156" s="1478">
        <f t="shared" si="19"/>
        <v>354.30112589611628</v>
      </c>
      <c r="S156" s="1478">
        <f t="shared" si="32"/>
        <v>373.06957570768191</v>
      </c>
      <c r="T156" s="1479">
        <f t="shared" si="10"/>
        <v>373.06957570768191</v>
      </c>
      <c r="U156" s="1480"/>
      <c r="V156" s="1481">
        <f t="shared" si="11"/>
        <v>0</v>
      </c>
      <c r="W156" s="1481"/>
      <c r="X156" s="1481"/>
      <c r="Y156" s="1481"/>
      <c r="Z156" s="1481"/>
      <c r="AA156" s="1481"/>
      <c r="AB156" s="1482" t="str">
        <f t="shared" si="33"/>
        <v>use the locking pin</v>
      </c>
      <c r="AC156" s="1483" t="b">
        <f>IF(AD156=19,AF156)</f>
        <v>0</v>
      </c>
      <c r="AD156" s="1483">
        <f t="shared" si="12"/>
        <v>1</v>
      </c>
      <c r="AE156" s="1483">
        <f>IF(V156=0,0,19)</f>
        <v>0</v>
      </c>
      <c r="AF156" s="1481">
        <f>SUM(V156:V157)/($B$135-B155)</f>
        <v>0</v>
      </c>
      <c r="AG156" s="1481"/>
      <c r="AH156" s="1484">
        <f>SUM(D138:D156)+$C$138</f>
        <v>3</v>
      </c>
      <c r="AI156" s="1485" t="b">
        <f t="shared" si="20"/>
        <v>0</v>
      </c>
      <c r="AJ156" s="1445">
        <f t="shared" si="21"/>
        <v>63.255548399999995</v>
      </c>
      <c r="AK156" s="1486">
        <f t="shared" si="13"/>
        <v>0.89302252578859875</v>
      </c>
      <c r="AL156" s="1447">
        <f t="shared" si="22"/>
        <v>271.76541876825956</v>
      </c>
      <c r="AM156" s="1445">
        <f t="shared" si="23"/>
        <v>53.018549700000001</v>
      </c>
      <c r="AN156" s="1487">
        <f t="shared" si="24"/>
        <v>0.79883030781287157</v>
      </c>
      <c r="AO156" s="1449">
        <f t="shared" si="25"/>
        <v>222.92198511341383</v>
      </c>
      <c r="AP156" s="1450">
        <f t="shared" si="14"/>
        <v>-79.737466305154896</v>
      </c>
      <c r="AQ156" s="1449">
        <f t="shared" si="34"/>
        <v>-688.5</v>
      </c>
      <c r="AR156" s="1450">
        <f t="shared" si="35"/>
        <v>-457.5</v>
      </c>
      <c r="AS156" s="1488">
        <f t="shared" si="26"/>
        <v>494.68740388167339</v>
      </c>
      <c r="AT156" s="1481">
        <f t="shared" si="36"/>
        <v>-222.92198511341383</v>
      </c>
      <c r="AU156" s="1489">
        <f t="shared" si="27"/>
        <v>143.18451880825893</v>
      </c>
      <c r="AV156" s="1481"/>
      <c r="AW156" s="1490">
        <f t="shared" si="28"/>
        <v>-325.07916849961401</v>
      </c>
      <c r="AX156" s="1490">
        <f t="shared" si="29"/>
        <v>-132.42083150038599</v>
      </c>
      <c r="AY156" s="1491">
        <f t="shared" si="15"/>
        <v>-35.683615328349696</v>
      </c>
      <c r="AZ156" s="1491">
        <f t="shared" si="16"/>
        <v>-75.516819270016825</v>
      </c>
      <c r="BA156" s="1457">
        <f t="shared" si="30"/>
        <v>35.683615328349696</v>
      </c>
      <c r="BB156" s="1457">
        <f t="shared" si="30"/>
        <v>75.516819270016825</v>
      </c>
      <c r="BC156" s="1118">
        <f t="shared" si="31"/>
        <v>0.3</v>
      </c>
      <c r="BD156" s="1492"/>
      <c r="BM156" s="1471"/>
      <c r="BN156" s="1471"/>
      <c r="BO156" s="1471"/>
      <c r="DF156" s="1248"/>
      <c r="DG156" s="1248"/>
      <c r="DH156" s="1248"/>
      <c r="DI156" s="1248"/>
      <c r="DJ156" s="1248"/>
      <c r="DK156" s="1248"/>
      <c r="DL156" s="1408"/>
      <c r="DM156" s="1408"/>
      <c r="DN156" s="1408"/>
      <c r="DO156" s="1408"/>
      <c r="DP156" s="1408"/>
      <c r="DQ156" s="1408"/>
      <c r="DR156" s="1408"/>
      <c r="DS156" s="1408"/>
      <c r="DT156" s="1408"/>
      <c r="DU156" s="1408"/>
      <c r="DV156" s="1408"/>
      <c r="DW156" s="1408"/>
      <c r="DX156" s="1408"/>
      <c r="DY156" s="1408"/>
    </row>
    <row r="157" spans="1:129" ht="21" customHeight="1" thickBot="1" x14ac:dyDescent="0.35">
      <c r="B157" s="1458">
        <v>20</v>
      </c>
      <c r="C157" s="1459"/>
      <c r="D157" s="1430">
        <v>0</v>
      </c>
      <c r="E157" s="1460" t="s">
        <v>130</v>
      </c>
      <c r="F157" s="1432"/>
      <c r="G157" s="1432">
        <f t="shared" si="37"/>
        <v>0.3</v>
      </c>
      <c r="H157" s="1433">
        <v>279.06049999999999</v>
      </c>
      <c r="I157" s="1434">
        <v>79.962900599999998</v>
      </c>
      <c r="J157" s="1461">
        <f t="shared" si="17"/>
        <v>79.962900599999998</v>
      </c>
      <c r="K157" s="1461">
        <f t="shared" si="18"/>
        <v>39.981450299999999</v>
      </c>
      <c r="L157" s="1461">
        <f t="shared" si="5"/>
        <v>0.64253956655634092</v>
      </c>
      <c r="M157" s="1461">
        <f t="shared" si="6"/>
        <v>179.30741271299578</v>
      </c>
      <c r="N157" s="1461">
        <f t="shared" si="7"/>
        <v>358.61482542599157</v>
      </c>
      <c r="O157" s="1461">
        <f>+C138+D139+D140+D141+D142+D143+D144+D145+D146+D147+D148+D149+D150+D151+D152+D153+D154+D155+D156+(D157/2)</f>
        <v>3</v>
      </c>
      <c r="P157" s="1461">
        <f t="shared" si="8"/>
        <v>5.2335956242943779E-2</v>
      </c>
      <c r="Q157" s="1461">
        <f t="shared" si="9"/>
        <v>18.768449811565617</v>
      </c>
      <c r="R157" s="1461">
        <f t="shared" si="19"/>
        <v>373.06957570768191</v>
      </c>
      <c r="S157" s="1461">
        <f t="shared" si="32"/>
        <v>391.83802551924754</v>
      </c>
      <c r="T157" s="1462">
        <f t="shared" si="10"/>
        <v>391.83802551924754</v>
      </c>
      <c r="V157" s="1463">
        <f t="shared" si="11"/>
        <v>0</v>
      </c>
      <c r="W157" s="1463"/>
      <c r="X157" s="1463"/>
      <c r="Y157" s="1463"/>
      <c r="Z157" s="1463"/>
      <c r="AA157" s="1463"/>
      <c r="AB157" s="1441" t="str">
        <f t="shared" si="33"/>
        <v>use the locking pin</v>
      </c>
      <c r="AC157" s="1442" t="b">
        <f>IF(AD157=20,AF157)</f>
        <v>0</v>
      </c>
      <c r="AD157" s="1442">
        <f t="shared" si="12"/>
        <v>1</v>
      </c>
      <c r="AE157" s="1442">
        <f>IF(V157=0,0,20)</f>
        <v>0</v>
      </c>
      <c r="AF157" s="1463">
        <f>SUM(V157:V157)/($B$135-B156)</f>
        <v>0</v>
      </c>
      <c r="AG157" s="1463"/>
      <c r="AH157" s="1464">
        <f>SUM(D139:D157)+$C$138</f>
        <v>3</v>
      </c>
      <c r="AI157" s="1444" t="b">
        <f t="shared" si="20"/>
        <v>0</v>
      </c>
      <c r="AJ157" s="1445">
        <f t="shared" si="21"/>
        <v>63.255548399999995</v>
      </c>
      <c r="AK157" s="1465">
        <f t="shared" si="13"/>
        <v>0.89302252578859875</v>
      </c>
      <c r="AL157" s="1447">
        <f t="shared" si="22"/>
        <v>271.76541876825956</v>
      </c>
      <c r="AM157" s="1445">
        <f t="shared" si="23"/>
        <v>53.018549700000001</v>
      </c>
      <c r="AN157" s="1466">
        <f t="shared" si="24"/>
        <v>0.79883030781287157</v>
      </c>
      <c r="AO157" s="1449">
        <f t="shared" si="25"/>
        <v>222.92198511341383</v>
      </c>
      <c r="AP157" s="1450">
        <f t="shared" si="14"/>
        <v>-73.252792840579048</v>
      </c>
      <c r="AQ157" s="1449">
        <f t="shared" si="34"/>
        <v>-729</v>
      </c>
      <c r="AR157" s="1450">
        <f t="shared" si="35"/>
        <v>-498</v>
      </c>
      <c r="AS157" s="1467">
        <f t="shared" si="26"/>
        <v>494.68740388167339</v>
      </c>
      <c r="AT157" s="1468">
        <f t="shared" si="36"/>
        <v>-222.92198511341383</v>
      </c>
      <c r="AU157" s="1469">
        <f t="shared" si="27"/>
        <v>149.66919227283478</v>
      </c>
      <c r="AV157" s="1468"/>
      <c r="AW157" s="1470">
        <f t="shared" si="28"/>
        <v>-347.32857160498844</v>
      </c>
      <c r="AX157" s="1470">
        <f t="shared" si="29"/>
        <v>-150.67142839501156</v>
      </c>
      <c r="AY157" s="1456">
        <f t="shared" si="15"/>
        <v>-33.397770722969796</v>
      </c>
      <c r="AZ157" s="1456">
        <f t="shared" si="16"/>
        <v>-66.3695838456064</v>
      </c>
      <c r="BA157" s="1457">
        <f t="shared" si="30"/>
        <v>33.397770722969796</v>
      </c>
      <c r="BB157" s="1457">
        <f t="shared" si="30"/>
        <v>66.3695838456064</v>
      </c>
      <c r="BC157" s="1118">
        <f t="shared" si="31"/>
        <v>0.3</v>
      </c>
      <c r="BD157" s="1492"/>
      <c r="BM157" s="1471"/>
      <c r="BN157" s="1471"/>
      <c r="BO157" s="1471"/>
      <c r="DF157" s="1248"/>
      <c r="DG157" s="1248"/>
      <c r="DH157" s="1248"/>
      <c r="DI157" s="1248"/>
      <c r="DJ157" s="1248"/>
      <c r="DK157" s="1248"/>
      <c r="DL157" s="1408"/>
      <c r="DM157" s="1408"/>
      <c r="DN157" s="1408"/>
      <c r="DO157" s="1408"/>
      <c r="DP157" s="1408"/>
      <c r="DQ157" s="1408"/>
      <c r="DR157" s="1408"/>
      <c r="DS157" s="1408"/>
      <c r="DT157" s="1408"/>
      <c r="DU157" s="1408"/>
      <c r="DV157" s="1408"/>
      <c r="DW157" s="1408"/>
      <c r="DX157" s="1408"/>
      <c r="DY157" s="1408"/>
    </row>
    <row r="158" spans="1:129" ht="24.75" customHeight="1" thickBot="1" x14ac:dyDescent="0.35">
      <c r="D158" s="1493"/>
      <c r="E158" s="1493"/>
      <c r="F158" s="1493"/>
      <c r="G158" s="1493"/>
      <c r="V158" s="1463"/>
      <c r="W158" s="1463"/>
      <c r="X158" s="1463"/>
      <c r="Y158" s="1463"/>
      <c r="Z158" s="1463"/>
      <c r="AA158" s="1463"/>
      <c r="AB158" s="1398"/>
      <c r="AC158" s="1398"/>
      <c r="AD158" s="1398"/>
      <c r="AE158" s="1398"/>
      <c r="AF158" s="1463"/>
      <c r="AG158" s="1463"/>
      <c r="AH158" s="1463"/>
      <c r="AI158" s="1463"/>
      <c r="AJ158" s="1493"/>
      <c r="AK158" s="1406"/>
      <c r="AL158" s="1494"/>
      <c r="AM158" s="1493"/>
      <c r="AN158" s="1406"/>
      <c r="AO158" s="1494"/>
      <c r="AP158" s="1468"/>
      <c r="AQ158" s="1494"/>
      <c r="AR158" s="1468"/>
      <c r="AS158" s="1468"/>
      <c r="AT158" s="1468"/>
      <c r="AU158" s="1468"/>
      <c r="AV158" s="1468"/>
      <c r="AW158" s="1468"/>
      <c r="AX158" s="1468"/>
      <c r="AY158" s="1495"/>
      <c r="AZ158" s="1495"/>
      <c r="BA158" s="1495"/>
      <c r="BB158" s="1495"/>
      <c r="BD158" s="1496"/>
      <c r="BM158" s="1471"/>
      <c r="BN158" s="1471"/>
      <c r="BO158" s="1471"/>
    </row>
    <row r="159" spans="1:129" ht="24.75" customHeight="1" thickBot="1" x14ac:dyDescent="0.35">
      <c r="B159" s="1886" t="s">
        <v>268</v>
      </c>
      <c r="D159" s="1493"/>
      <c r="E159" s="1493"/>
      <c r="F159" s="1493"/>
      <c r="G159" s="1493"/>
      <c r="V159" s="1463"/>
      <c r="W159" s="1463"/>
      <c r="X159" s="1463"/>
      <c r="Y159" s="1463"/>
      <c r="Z159" s="1463"/>
      <c r="AA159" s="1463"/>
      <c r="AB159" s="1398"/>
      <c r="AC159" s="1398"/>
      <c r="AD159" s="1398"/>
      <c r="AE159" s="1398"/>
      <c r="AF159" s="1463"/>
      <c r="AG159" s="1463"/>
      <c r="AH159" s="1497" t="s">
        <v>79</v>
      </c>
      <c r="AI159" s="1498">
        <f>MAX(AI138:AI157)</f>
        <v>0</v>
      </c>
      <c r="AJ159" s="1493"/>
      <c r="AK159" s="1406"/>
      <c r="AL159" s="1499" t="s">
        <v>200</v>
      </c>
      <c r="AM159" s="1500"/>
      <c r="AN159" s="1500"/>
      <c r="AO159" s="1500"/>
      <c r="AP159" s="1501"/>
      <c r="AQ159" s="1494"/>
      <c r="AR159" s="1468"/>
      <c r="AS159" s="1468"/>
      <c r="AT159" s="1468"/>
      <c r="AU159" s="1468"/>
      <c r="AV159" s="1468"/>
      <c r="AW159" s="1468"/>
      <c r="AX159" s="1468"/>
      <c r="AY159" s="1495"/>
      <c r="AZ159" s="1495"/>
      <c r="BA159" s="1495"/>
      <c r="BB159" s="1495"/>
      <c r="BD159" s="1496"/>
      <c r="BE159" s="1219"/>
      <c r="BF159" s="1219"/>
      <c r="BG159" s="1502" t="s">
        <v>122</v>
      </c>
      <c r="BH159" s="1219"/>
      <c r="BI159" s="1219"/>
      <c r="BJ159" s="1219"/>
      <c r="BK159" s="1219"/>
      <c r="BL159" s="1219"/>
      <c r="BM159" s="1471"/>
      <c r="BN159" s="1471"/>
      <c r="BO159" s="1471"/>
    </row>
    <row r="160" spans="1:129" ht="24.75" customHeight="1" thickBot="1" x14ac:dyDescent="0.35">
      <c r="B160" s="1892"/>
      <c r="D160" s="1493"/>
      <c r="E160" s="1493"/>
      <c r="F160" s="1493"/>
      <c r="G160" s="1493"/>
      <c r="V160" s="1463"/>
      <c r="W160" s="1463"/>
      <c r="X160" s="1463"/>
      <c r="Y160" s="1463"/>
      <c r="Z160" s="1463"/>
      <c r="AA160" s="1463"/>
      <c r="AB160" s="1398"/>
      <c r="AC160" s="1398"/>
      <c r="AD160" s="1398"/>
      <c r="AE160" s="1398"/>
      <c r="AF160" s="1463"/>
      <c r="AG160" s="1463"/>
      <c r="AH160" s="1503"/>
      <c r="AI160" s="1504"/>
      <c r="AJ160" s="1493"/>
      <c r="AK160" s="1406"/>
      <c r="AL160" s="1505" t="s">
        <v>175</v>
      </c>
      <c r="AM160" s="1506" t="s">
        <v>176</v>
      </c>
      <c r="AN160" s="1506" t="s">
        <v>177</v>
      </c>
      <c r="AO160" s="1507" t="s">
        <v>181</v>
      </c>
      <c r="AP160" s="1508"/>
      <c r="AQ160" s="1494"/>
      <c r="AR160" s="1468"/>
      <c r="AS160" s="1468"/>
      <c r="AT160" s="1468"/>
      <c r="AU160" s="1468"/>
      <c r="AV160" s="1468"/>
      <c r="AW160" s="1468"/>
      <c r="AX160" s="1468"/>
      <c r="AY160" s="1495"/>
      <c r="AZ160" s="1495"/>
      <c r="BA160" s="1495"/>
      <c r="BB160" s="1495"/>
      <c r="BD160" s="1496"/>
      <c r="BE160" s="1219"/>
      <c r="BF160" s="1219"/>
      <c r="BG160" s="1502"/>
      <c r="BH160" s="1219"/>
      <c r="BI160" s="1219"/>
      <c r="BJ160" s="1219"/>
      <c r="BK160" s="1219"/>
      <c r="BL160" s="1219"/>
      <c r="BM160" s="1471"/>
      <c r="BN160" s="1471"/>
      <c r="BO160" s="1471"/>
    </row>
    <row r="161" spans="2:142" ht="24.75" customHeight="1" thickBot="1" x14ac:dyDescent="0.35">
      <c r="B161" s="1892"/>
      <c r="D161" s="1493"/>
      <c r="E161" s="1493"/>
      <c r="F161" s="1493"/>
      <c r="G161" s="1493"/>
      <c r="V161" s="1463"/>
      <c r="W161" s="1463"/>
      <c r="X161" s="1463"/>
      <c r="Y161" s="1463"/>
      <c r="Z161" s="1463"/>
      <c r="AA161" s="1463"/>
      <c r="AB161" s="1398"/>
      <c r="AC161" s="1398"/>
      <c r="AD161" s="1398"/>
      <c r="AE161" s="1398"/>
      <c r="AF161" s="1463"/>
      <c r="AG161" s="1463"/>
      <c r="AH161" s="1503"/>
      <c r="AI161" s="1504"/>
      <c r="AJ161" s="1493"/>
      <c r="AK161" s="1406"/>
      <c r="AL161" s="1509">
        <v>6.8623010000000004</v>
      </c>
      <c r="AM161" s="1510">
        <f>+(AI159*-1)-AL161</f>
        <v>-6.8623010000000004</v>
      </c>
      <c r="AN161" s="1511">
        <f>COS(AM161*3.14159265358979/180)</f>
        <v>0.99283617366519983</v>
      </c>
      <c r="AO161" s="1512">
        <f>+AN161*378.71303</f>
        <v>375.99999562235405</v>
      </c>
      <c r="AP161" s="1513"/>
      <c r="AQ161" s="1494"/>
      <c r="AR161" s="1468"/>
      <c r="AS161" s="1468"/>
      <c r="AT161" s="1468"/>
      <c r="AU161" s="1468"/>
      <c r="AV161" s="1468"/>
      <c r="AW161" s="1468"/>
      <c r="AX161" s="1468"/>
      <c r="AY161" s="1495"/>
      <c r="AZ161" s="1495"/>
      <c r="BA161" s="1495"/>
      <c r="BB161" s="1495"/>
      <c r="BD161" s="1496"/>
      <c r="BE161" s="1219"/>
      <c r="BF161" s="1219"/>
      <c r="BG161" s="1502"/>
      <c r="BH161" s="1219"/>
      <c r="BI161" s="1219"/>
      <c r="BJ161" s="1219"/>
      <c r="BK161" s="1219"/>
      <c r="BL161" s="1219"/>
      <c r="BM161" s="1471"/>
      <c r="BN161" s="1471"/>
      <c r="BO161" s="1471"/>
    </row>
    <row r="162" spans="2:142" ht="24.75" customHeight="1" thickBot="1" x14ac:dyDescent="0.35">
      <c r="B162" s="1892"/>
      <c r="D162" s="1493"/>
      <c r="E162" s="1493"/>
      <c r="F162" s="1493"/>
      <c r="G162" s="1493"/>
      <c r="V162" s="1463"/>
      <c r="W162" s="1463"/>
      <c r="X162" s="1463"/>
      <c r="Y162" s="1463"/>
      <c r="Z162" s="1463"/>
      <c r="AA162" s="1463"/>
      <c r="AB162" s="1398"/>
      <c r="AC162" s="1398"/>
      <c r="AD162" s="1398"/>
      <c r="AE162" s="1398"/>
      <c r="AF162" s="1463"/>
      <c r="AG162" s="1463"/>
      <c r="AH162" s="1503"/>
      <c r="AI162" s="1504"/>
      <c r="AJ162" s="1493"/>
      <c r="AK162" s="1406"/>
      <c r="AL162" s="1514" t="s">
        <v>199</v>
      </c>
      <c r="AM162" s="1515"/>
      <c r="AN162" s="1515"/>
      <c r="AO162" s="1515"/>
      <c r="AP162" s="1516"/>
      <c r="AQ162" s="1494"/>
      <c r="AR162" s="1468"/>
      <c r="AS162" s="1468"/>
      <c r="AT162" s="1468"/>
      <c r="AU162" s="1468"/>
      <c r="AV162" s="1468"/>
      <c r="AW162" s="1468"/>
      <c r="AX162" s="1468"/>
      <c r="AY162" s="1495"/>
      <c r="AZ162" s="1495"/>
      <c r="BA162" s="1495"/>
      <c r="BB162" s="1495"/>
      <c r="BD162" s="1496"/>
      <c r="BE162" s="1219"/>
      <c r="BF162" s="1219"/>
      <c r="BG162" s="1502"/>
      <c r="BH162" s="1219"/>
      <c r="BI162" s="1219"/>
      <c r="BJ162" s="1219"/>
      <c r="BK162" s="1219"/>
      <c r="BL162" s="1219"/>
      <c r="BM162" s="1471"/>
      <c r="BN162" s="1471"/>
      <c r="BO162" s="1471"/>
    </row>
    <row r="163" spans="2:142" ht="24.75" customHeight="1" thickBot="1" x14ac:dyDescent="0.35">
      <c r="B163" s="1887"/>
      <c r="C163" s="1118"/>
      <c r="D163" s="1493"/>
      <c r="E163" s="1398"/>
      <c r="F163" s="1493"/>
      <c r="G163" s="1493"/>
      <c r="V163" s="1463"/>
      <c r="W163" s="1463"/>
      <c r="X163" s="1463"/>
      <c r="Y163" s="1463"/>
      <c r="Z163" s="1463"/>
      <c r="AA163" s="1463"/>
      <c r="AB163" s="1398"/>
      <c r="AC163" s="1398"/>
      <c r="AD163" s="1398"/>
      <c r="AE163" s="1398"/>
      <c r="AF163" s="1463"/>
      <c r="AG163" s="1463"/>
      <c r="AH163" s="1463"/>
      <c r="AI163" s="1463"/>
      <c r="AJ163" s="1493"/>
      <c r="AK163" s="1406"/>
      <c r="AL163" s="1517"/>
      <c r="AM163" s="1506" t="s">
        <v>194</v>
      </c>
      <c r="AN163" s="1506" t="s">
        <v>193</v>
      </c>
      <c r="AO163" s="1507" t="s">
        <v>197</v>
      </c>
      <c r="AP163" s="1518" t="s">
        <v>191</v>
      </c>
      <c r="AQ163" s="1494"/>
      <c r="AR163" s="1468"/>
      <c r="AS163" s="1468"/>
      <c r="AT163" s="1468"/>
      <c r="AU163" s="1468"/>
      <c r="AV163" s="1468"/>
      <c r="AW163" s="1468"/>
      <c r="AX163" s="1468"/>
      <c r="AY163" s="1495"/>
      <c r="AZ163" s="1495"/>
      <c r="BA163" s="1495"/>
      <c r="BB163" s="1495"/>
      <c r="BD163" s="1496"/>
      <c r="BE163" s="1519">
        <v>1</v>
      </c>
      <c r="BF163" s="1520">
        <v>-473</v>
      </c>
      <c r="BG163" s="1521">
        <f>+COS(($B$132*-1)*3.14159265358979/180)*BF163</f>
        <v>-473</v>
      </c>
      <c r="BH163" s="1522">
        <f t="shared" ref="BH163:BH202" si="38">+BG163-D$3</f>
        <v>-639.20479386288685</v>
      </c>
      <c r="BI163" s="1523">
        <f t="shared" ref="BI163:BI202" si="39">ABS(BH163)</f>
        <v>639.20479386288685</v>
      </c>
      <c r="BJ163" s="1524">
        <f>MIN(BI163:BI202)</f>
        <v>5.7952061371131549</v>
      </c>
      <c r="BK163" s="1523" t="b">
        <f>IF(BJ163=BI163,BE163)</f>
        <v>0</v>
      </c>
      <c r="BL163" s="1525">
        <v>1</v>
      </c>
      <c r="BM163" s="1471"/>
      <c r="BN163" s="1471"/>
      <c r="BO163" s="1471"/>
    </row>
    <row r="164" spans="2:142" ht="33" customHeight="1" thickBot="1" x14ac:dyDescent="0.35">
      <c r="B164" s="34">
        <v>0</v>
      </c>
      <c r="D164" s="1718" t="s">
        <v>269</v>
      </c>
      <c r="E164" s="1571"/>
      <c r="F164" s="1493"/>
      <c r="G164" s="1493"/>
      <c r="V164" s="1463"/>
      <c r="W164" s="1463"/>
      <c r="X164" s="1463"/>
      <c r="Y164" s="1463"/>
      <c r="Z164" s="1463"/>
      <c r="AA164" s="1463"/>
      <c r="AB164" s="1471"/>
      <c r="AC164" s="1398"/>
      <c r="AD164" s="1398"/>
      <c r="AE164" s="1398"/>
      <c r="AF164" s="1463"/>
      <c r="AG164" s="1463"/>
      <c r="AH164" s="1463"/>
      <c r="AI164" s="1463"/>
      <c r="AJ164" s="1493"/>
      <c r="AK164" s="1406"/>
      <c r="AL164" s="1527"/>
      <c r="AM164" s="1528">
        <f>+AI159</f>
        <v>0</v>
      </c>
      <c r="AN164" s="1529">
        <f>SIN(AM164*3.14159265358979/180)</f>
        <v>0</v>
      </c>
      <c r="AO164" s="1530">
        <f>+AN164*((+B135*358.6)+119+119)</f>
        <v>0</v>
      </c>
      <c r="AP164" s="1531">
        <f>+AO161+AO164</f>
        <v>375.99999562235405</v>
      </c>
      <c r="AQ164" s="1494"/>
      <c r="AR164" s="1468"/>
      <c r="AS164" s="1468"/>
      <c r="AT164" s="1468"/>
      <c r="AU164" s="1468"/>
      <c r="AV164" s="1468"/>
      <c r="AW164" s="1468"/>
      <c r="AX164" s="1468"/>
      <c r="AY164" s="1495"/>
      <c r="AZ164" s="1495"/>
      <c r="BA164" s="1495"/>
      <c r="BB164" s="1495"/>
      <c r="BD164" s="1496"/>
      <c r="BE164" s="1519">
        <v>2</v>
      </c>
      <c r="BF164" s="1520">
        <f>+BF163+43</f>
        <v>-430</v>
      </c>
      <c r="BG164" s="1115">
        <f>+BG163+$E$2</f>
        <v>-430</v>
      </c>
      <c r="BH164" s="1522">
        <f t="shared" si="38"/>
        <v>-596.20479386288685</v>
      </c>
      <c r="BI164" s="1523">
        <f t="shared" si="39"/>
        <v>596.20479386288685</v>
      </c>
      <c r="BJ164" s="1523">
        <f>+BJ163</f>
        <v>5.7952061371131549</v>
      </c>
      <c r="BK164" s="1523" t="b">
        <f t="shared" ref="BK164:BK202" si="40">IF(BJ164=BI164,BE164)</f>
        <v>0</v>
      </c>
      <c r="BL164" s="1525">
        <v>2</v>
      </c>
      <c r="BM164" s="1471"/>
      <c r="BN164" s="1471"/>
      <c r="BO164" s="1471"/>
    </row>
    <row r="165" spans="2:142" ht="24.75" hidden="1" customHeight="1" thickBot="1" x14ac:dyDescent="0.35">
      <c r="D165" s="1493"/>
      <c r="E165" s="1493"/>
      <c r="F165" s="1493"/>
      <c r="G165" s="1493"/>
      <c r="V165" s="1463"/>
      <c r="W165" s="1463"/>
      <c r="X165" s="1463"/>
      <c r="Y165" s="1463"/>
      <c r="Z165" s="1463"/>
      <c r="AA165" s="1463"/>
      <c r="AB165" s="1398"/>
      <c r="AC165" s="1398"/>
      <c r="AD165" s="1398"/>
      <c r="AE165" s="1398"/>
      <c r="AF165" s="1463"/>
      <c r="AG165" s="1463"/>
      <c r="AH165" s="1463"/>
      <c r="AI165" s="1463"/>
      <c r="AJ165" s="1493"/>
      <c r="AK165" s="1406"/>
      <c r="AL165" s="1494"/>
      <c r="AM165" s="1493"/>
      <c r="AN165" s="1406"/>
      <c r="AO165" s="1494"/>
      <c r="AP165" s="1468"/>
      <c r="AQ165" s="1494"/>
      <c r="AR165" s="1468"/>
      <c r="AS165" s="1468"/>
      <c r="AT165" s="1468"/>
      <c r="AU165" s="1468"/>
      <c r="AV165" s="1468"/>
      <c r="AW165" s="1468"/>
      <c r="AX165" s="1468"/>
      <c r="AY165" s="1495"/>
      <c r="AZ165" s="1495"/>
      <c r="BA165" s="1495"/>
      <c r="BB165" s="1495"/>
      <c r="BD165" s="1496"/>
      <c r="BE165" s="1519">
        <v>3</v>
      </c>
      <c r="BF165" s="1520">
        <f t="shared" ref="BF165:BF202" si="41">+BF164+43</f>
        <v>-387</v>
      </c>
      <c r="BG165" s="1115">
        <f t="shared" ref="BG165:BG202" si="42">+BG164+$E$2</f>
        <v>-387</v>
      </c>
      <c r="BH165" s="1522">
        <f t="shared" si="38"/>
        <v>-553.20479386288685</v>
      </c>
      <c r="BI165" s="1523">
        <f t="shared" si="39"/>
        <v>553.20479386288685</v>
      </c>
      <c r="BJ165" s="1523">
        <f t="shared" ref="BJ165:BJ202" si="43">+BJ164</f>
        <v>5.7952061371131549</v>
      </c>
      <c r="BK165" s="1523" t="b">
        <f t="shared" si="40"/>
        <v>0</v>
      </c>
      <c r="BL165" s="1525">
        <v>3</v>
      </c>
      <c r="BM165" s="1471"/>
      <c r="BN165" s="1471"/>
      <c r="BO165" s="1471"/>
    </row>
    <row r="166" spans="2:142" ht="75" customHeight="1" thickBot="1" x14ac:dyDescent="0.35">
      <c r="B166" s="1381" t="s">
        <v>211</v>
      </c>
      <c r="C166" s="1532"/>
      <c r="D166" s="1139"/>
      <c r="E166" s="1139"/>
      <c r="F166" s="1139"/>
      <c r="G166" s="1139"/>
      <c r="T166" s="1131"/>
      <c r="BD166" s="1219"/>
      <c r="BE166" s="1519">
        <v>4</v>
      </c>
      <c r="BF166" s="1520">
        <f t="shared" si="41"/>
        <v>-344</v>
      </c>
      <c r="BG166" s="1115">
        <f t="shared" si="42"/>
        <v>-344</v>
      </c>
      <c r="BH166" s="1522">
        <f t="shared" si="38"/>
        <v>-510.20479386288685</v>
      </c>
      <c r="BI166" s="1523">
        <f t="shared" si="39"/>
        <v>510.20479386288685</v>
      </c>
      <c r="BJ166" s="1523">
        <f t="shared" si="43"/>
        <v>5.7952061371131549</v>
      </c>
      <c r="BK166" s="1523" t="b">
        <f t="shared" si="40"/>
        <v>0</v>
      </c>
      <c r="BL166" s="1525">
        <v>4</v>
      </c>
      <c r="BM166" s="1471"/>
      <c r="BN166" s="1471"/>
      <c r="BO166" s="1471"/>
      <c r="EK166" s="1167"/>
      <c r="EL166" s="1167"/>
    </row>
    <row r="167" spans="2:142" ht="35.25" customHeight="1" thickBot="1" x14ac:dyDescent="0.35">
      <c r="B167" s="1390">
        <v>1</v>
      </c>
      <c r="C167" s="1391"/>
      <c r="D167" s="1392" t="s">
        <v>109</v>
      </c>
      <c r="E167" s="1393"/>
      <c r="F167" s="1393"/>
      <c r="G167" s="1393"/>
      <c r="H167" s="1533" t="s">
        <v>87</v>
      </c>
      <c r="I167" s="1533" t="s">
        <v>88</v>
      </c>
      <c r="J167" s="1533" t="s">
        <v>89</v>
      </c>
      <c r="K167" s="1118"/>
      <c r="L167" s="1118"/>
      <c r="M167" s="1118"/>
      <c r="N167" s="1118"/>
      <c r="O167" s="1118"/>
      <c r="P167" s="1533" t="s">
        <v>90</v>
      </c>
      <c r="Q167" s="1533" t="s">
        <v>91</v>
      </c>
      <c r="R167" s="1393"/>
      <c r="S167" s="1533" t="s">
        <v>92</v>
      </c>
      <c r="T167" s="1534"/>
      <c r="W167" s="1890" t="s">
        <v>93</v>
      </c>
      <c r="X167" s="1890"/>
      <c r="Y167" s="1890"/>
      <c r="Z167" s="1890"/>
      <c r="AA167" s="1890"/>
      <c r="AZ167" s="1406"/>
      <c r="BA167" s="1888" t="s">
        <v>52</v>
      </c>
      <c r="BB167" s="1889"/>
      <c r="BD167" s="1219"/>
      <c r="BE167" s="1519">
        <v>5</v>
      </c>
      <c r="BF167" s="1520">
        <f t="shared" si="41"/>
        <v>-301</v>
      </c>
      <c r="BG167" s="1115">
        <f t="shared" si="42"/>
        <v>-301</v>
      </c>
      <c r="BH167" s="1522">
        <f t="shared" si="38"/>
        <v>-467.20479386288685</v>
      </c>
      <c r="BI167" s="1523">
        <f t="shared" si="39"/>
        <v>467.20479386288685</v>
      </c>
      <c r="BJ167" s="1523">
        <f t="shared" si="43"/>
        <v>5.7952061371131549</v>
      </c>
      <c r="BK167" s="1523" t="b">
        <f t="shared" si="40"/>
        <v>0</v>
      </c>
      <c r="BL167" s="1525">
        <v>5</v>
      </c>
      <c r="BM167" s="1471"/>
      <c r="BN167" s="1471"/>
      <c r="BO167" s="1471"/>
      <c r="EK167" s="1167"/>
      <c r="EL167" s="1167"/>
    </row>
    <row r="168" spans="2:142" ht="79" hidden="1" thickBot="1" x14ac:dyDescent="0.35">
      <c r="C168" s="1401"/>
      <c r="D168" s="1535" t="s">
        <v>13</v>
      </c>
      <c r="H168" s="622" t="s">
        <v>4</v>
      </c>
      <c r="I168" s="622" t="s">
        <v>1</v>
      </c>
      <c r="J168" s="1536" t="s">
        <v>73</v>
      </c>
      <c r="K168" s="623" t="s">
        <v>2</v>
      </c>
      <c r="L168" s="623" t="s">
        <v>3</v>
      </c>
      <c r="M168" s="623" t="s">
        <v>8</v>
      </c>
      <c r="N168" s="623" t="s">
        <v>5</v>
      </c>
      <c r="O168" s="623" t="s">
        <v>6</v>
      </c>
      <c r="P168" s="623" t="s">
        <v>7</v>
      </c>
      <c r="Q168" s="623" t="s">
        <v>9</v>
      </c>
      <c r="R168" s="622" t="s">
        <v>10</v>
      </c>
      <c r="S168" s="623" t="s">
        <v>11</v>
      </c>
      <c r="T168" s="1537" t="s">
        <v>12</v>
      </c>
      <c r="W168" s="622" t="s">
        <v>111</v>
      </c>
      <c r="X168" s="623" t="s">
        <v>94</v>
      </c>
      <c r="Y168" s="622" t="s">
        <v>110</v>
      </c>
      <c r="Z168" s="624" t="s">
        <v>95</v>
      </c>
      <c r="AA168" s="624" t="s">
        <v>96</v>
      </c>
      <c r="AC168" s="623" t="s">
        <v>99</v>
      </c>
      <c r="AD168" s="623"/>
      <c r="AE168" s="623"/>
      <c r="AF168" s="631"/>
      <c r="AG168" s="631"/>
      <c r="AH168" s="631"/>
      <c r="AI168" s="631"/>
      <c r="AJ168" s="631"/>
      <c r="AK168" s="631"/>
      <c r="AL168" s="631"/>
      <c r="AM168" s="631"/>
      <c r="AN168" s="631"/>
      <c r="AO168" s="631"/>
      <c r="AP168" s="631" t="s">
        <v>135</v>
      </c>
      <c r="AQ168" s="631"/>
      <c r="AR168" s="631" t="s">
        <v>135</v>
      </c>
      <c r="AS168" s="631"/>
      <c r="AT168" s="631"/>
      <c r="AU168" s="631" t="s">
        <v>135</v>
      </c>
      <c r="AV168" s="631"/>
      <c r="AW168" s="631"/>
      <c r="AX168" s="631"/>
      <c r="AY168" s="1406" t="s">
        <v>51</v>
      </c>
      <c r="AZ168" s="1406"/>
      <c r="BA168" s="631"/>
      <c r="BB168" s="631"/>
      <c r="BC168" s="1407"/>
      <c r="BD168" s="1219"/>
      <c r="BE168" s="1519">
        <v>6</v>
      </c>
      <c r="BF168" s="1520">
        <f t="shared" si="41"/>
        <v>-258</v>
      </c>
      <c r="BG168" s="1115">
        <f t="shared" si="42"/>
        <v>-258</v>
      </c>
      <c r="BH168" s="1522">
        <f t="shared" si="38"/>
        <v>-424.20479386288685</v>
      </c>
      <c r="BI168" s="1523">
        <f t="shared" si="39"/>
        <v>424.20479386288685</v>
      </c>
      <c r="BJ168" s="1523">
        <f t="shared" si="43"/>
        <v>5.7952061371131549</v>
      </c>
      <c r="BK168" s="1523" t="b">
        <f t="shared" si="40"/>
        <v>0</v>
      </c>
      <c r="BL168" s="1525">
        <v>6</v>
      </c>
      <c r="BM168" s="1471"/>
      <c r="BN168" s="1471"/>
      <c r="BO168" s="1471"/>
      <c r="EK168" s="1167"/>
      <c r="EL168" s="1167"/>
    </row>
    <row r="169" spans="2:142" ht="39" customHeight="1" thickBot="1" x14ac:dyDescent="0.35">
      <c r="B169" s="1538"/>
      <c r="C169" s="1539"/>
      <c r="D169" s="1540" t="s">
        <v>22</v>
      </c>
      <c r="E169" s="1139"/>
      <c r="F169" s="1393"/>
      <c r="G169" s="1413"/>
      <c r="H169" s="622"/>
      <c r="I169" s="622"/>
      <c r="J169" s="1536"/>
      <c r="K169" s="623"/>
      <c r="L169" s="623"/>
      <c r="M169" s="623"/>
      <c r="N169" s="623"/>
      <c r="O169" s="623"/>
      <c r="P169" s="623"/>
      <c r="Q169" s="623"/>
      <c r="R169" s="622"/>
      <c r="S169" s="623"/>
      <c r="T169" s="1537"/>
      <c r="V169" s="631"/>
      <c r="W169" s="631"/>
      <c r="X169" s="631"/>
      <c r="Y169" s="631"/>
      <c r="Z169" s="631"/>
      <c r="AA169" s="631"/>
      <c r="AB169" s="631"/>
      <c r="AC169" s="1541">
        <f>SUM(AC170:AC181)</f>
        <v>334.49993130661176</v>
      </c>
      <c r="AD169" s="1542"/>
      <c r="AE169" s="1542"/>
      <c r="AF169" s="631" t="s">
        <v>38</v>
      </c>
      <c r="AG169" s="1543" t="s">
        <v>101</v>
      </c>
      <c r="AH169" s="1417" t="s">
        <v>31</v>
      </c>
      <c r="AI169" s="1417"/>
      <c r="AJ169" s="10" t="s">
        <v>108</v>
      </c>
      <c r="AK169" s="1420" t="s">
        <v>32</v>
      </c>
      <c r="AL169" s="9" t="s">
        <v>33</v>
      </c>
      <c r="AM169" s="8" t="s">
        <v>107</v>
      </c>
      <c r="AN169" s="1422" t="s">
        <v>34</v>
      </c>
      <c r="AO169" s="9" t="s">
        <v>35</v>
      </c>
      <c r="AP169" s="1423" t="s">
        <v>48</v>
      </c>
      <c r="AQ169" s="1544" t="s">
        <v>154</v>
      </c>
      <c r="AR169" s="1423" t="s">
        <v>155</v>
      </c>
      <c r="AS169" s="631" t="s">
        <v>46</v>
      </c>
      <c r="AT169" s="631" t="s">
        <v>72</v>
      </c>
      <c r="AU169" s="1423" t="s">
        <v>71</v>
      </c>
      <c r="AV169" s="1545"/>
      <c r="AW169" s="1425" t="s">
        <v>41</v>
      </c>
      <c r="AX169" s="1425" t="s">
        <v>42</v>
      </c>
      <c r="AY169" s="1426" t="s">
        <v>23</v>
      </c>
      <c r="AZ169" s="1426" t="s">
        <v>24</v>
      </c>
      <c r="BA169" s="1546" t="s">
        <v>23</v>
      </c>
      <c r="BB169" s="1546" t="s">
        <v>24</v>
      </c>
      <c r="BD169" s="1219"/>
      <c r="BE169" s="1519">
        <v>7</v>
      </c>
      <c r="BF169" s="1520">
        <f t="shared" si="41"/>
        <v>-215</v>
      </c>
      <c r="BG169" s="1115">
        <f t="shared" si="42"/>
        <v>-215</v>
      </c>
      <c r="BH169" s="1522">
        <f t="shared" si="38"/>
        <v>-381.20479386288685</v>
      </c>
      <c r="BI169" s="1523">
        <f t="shared" si="39"/>
        <v>381.20479386288685</v>
      </c>
      <c r="BJ169" s="1523">
        <f t="shared" si="43"/>
        <v>5.7952061371131549</v>
      </c>
      <c r="BK169" s="1523" t="b">
        <f t="shared" si="40"/>
        <v>0</v>
      </c>
      <c r="BL169" s="1525">
        <v>7</v>
      </c>
      <c r="BM169" s="1471"/>
      <c r="BN169" s="1471"/>
      <c r="BO169" s="1471"/>
      <c r="EK169" s="1167"/>
      <c r="EL169" s="1167"/>
    </row>
    <row r="170" spans="2:142" ht="23" thickBot="1" x14ac:dyDescent="0.35">
      <c r="B170" s="1428">
        <v>1</v>
      </c>
      <c r="C170" s="1429">
        <f>+B164+AI159+D170</f>
        <v>0</v>
      </c>
      <c r="D170" s="1430">
        <v>0</v>
      </c>
      <c r="E170" s="1431" t="s">
        <v>80</v>
      </c>
      <c r="F170" s="1432"/>
      <c r="G170" s="1432"/>
      <c r="H170" s="1433">
        <v>414.62658399999998</v>
      </c>
      <c r="I170" s="1434">
        <v>36.220413100000002</v>
      </c>
      <c r="J170" s="1435">
        <f>+I170-C170</f>
        <v>36.220413100000002</v>
      </c>
      <c r="K170" s="1435"/>
      <c r="L170" s="1435"/>
      <c r="M170" s="1435"/>
      <c r="N170" s="1435"/>
      <c r="O170" s="1435"/>
      <c r="P170" s="1435">
        <f>COS(J170*3.14159265358979/180)</f>
        <v>0.80674984242354264</v>
      </c>
      <c r="Q170" s="1435">
        <f>+P170*H170</f>
        <v>334.49993130661176</v>
      </c>
      <c r="R170" s="1436">
        <v>334.5</v>
      </c>
      <c r="S170" s="1435">
        <f>+Q170</f>
        <v>334.49993130661176</v>
      </c>
      <c r="T170" s="1437">
        <f t="shared" ref="T170:T181" si="44">+S170</f>
        <v>334.49993130661176</v>
      </c>
      <c r="U170" s="1384"/>
      <c r="V170" s="1438">
        <f>IF(B170&lt;($B$167+1),T170,0)</f>
        <v>334.49993130661176</v>
      </c>
      <c r="W170" s="1439">
        <v>36.220415500000001</v>
      </c>
      <c r="X170" s="1438">
        <f>+W170+AI182</f>
        <v>36.220415500000001</v>
      </c>
      <c r="Y170" s="1439">
        <v>414.6266</v>
      </c>
      <c r="Z170" s="624">
        <f>+COS(X170*3.14159265358979/180)*Y170</f>
        <v>334.49993395207258</v>
      </c>
      <c r="AA170" s="1440">
        <f>+AC169-Z170</f>
        <v>-2.6454608246240241E-6</v>
      </c>
      <c r="AB170" s="1441"/>
      <c r="AC170" s="1442">
        <f>IF(AD170=1,AF170)</f>
        <v>334.49993130661176</v>
      </c>
      <c r="AD170" s="1442">
        <f>MAX(AE$170:AE$181)</f>
        <v>1</v>
      </c>
      <c r="AE170" s="1442">
        <f>IF(V170=0,0,1)</f>
        <v>1</v>
      </c>
      <c r="AF170" s="1438">
        <f>SUM(V170:V181)/($B$167)</f>
        <v>334.49993130661176</v>
      </c>
      <c r="AG170" s="1438">
        <f>+AA138+$AF$170</f>
        <v>334.49992246950308</v>
      </c>
      <c r="AH170" s="1443">
        <f>+D170+C170</f>
        <v>0</v>
      </c>
      <c r="AI170" s="1444">
        <f>IF(B170&lt;($B$167+1),AH170)</f>
        <v>0</v>
      </c>
      <c r="AJ170" s="1445">
        <f>53.779595+AI170</f>
        <v>53.779595</v>
      </c>
      <c r="AK170" s="1446">
        <f>SIN(AJ170*3.14159265358979/180)</f>
        <v>0.8067499259590819</v>
      </c>
      <c r="AL170" s="1447">
        <f>+AK170*414.6266</f>
        <v>334.49997885066585</v>
      </c>
      <c r="AM170" s="1445">
        <f>59.2910885-AI170</f>
        <v>59.291088500000001</v>
      </c>
      <c r="AN170" s="1448">
        <f>SIN(AM170*3.14159265358979/180)</f>
        <v>0.85977285389573432</v>
      </c>
      <c r="AO170" s="1449">
        <f>+AN170*479.7721</f>
        <v>412.49502763654965</v>
      </c>
      <c r="AP170" s="1450">
        <f t="shared" ref="AP170:AP181" si="45">+((AF170*AQ170)+($AG$194*$AQ$194)+($AG$223*$AQ$223))/AR170</f>
        <v>182.39945735440094</v>
      </c>
      <c r="AQ170" s="1451">
        <f>72*B167</f>
        <v>72</v>
      </c>
      <c r="AR170" s="1450">
        <f>+AQ170+$AQ$194+$AQ$223+31+31</f>
        <v>200</v>
      </c>
      <c r="AS170" s="1452">
        <f>+AO170+AL170</f>
        <v>746.99500648721551</v>
      </c>
      <c r="AT170" s="1453">
        <f>+V170-AL170</f>
        <v>-4.7544054098125343E-5</v>
      </c>
      <c r="AU170" s="1454">
        <f>+AP170-AT170</f>
        <v>182.39950489845504</v>
      </c>
      <c r="AV170" s="1453"/>
      <c r="AW170" s="1455">
        <f>+((AS170-AU170)/AS170)*AR170</f>
        <v>151.16446473820525</v>
      </c>
      <c r="AX170" s="1455">
        <f>+(AU170/AS170)*AR170</f>
        <v>48.835535261794746</v>
      </c>
      <c r="AY170" s="1456">
        <f t="shared" ref="AY170:AY181" si="46">2*$C$20/AW170</f>
        <v>76.737611713768203</v>
      </c>
      <c r="AZ170" s="1456">
        <f>2*$D$21/AX170</f>
        <v>237.53195163758076</v>
      </c>
      <c r="BA170" s="1457">
        <f>ABS(AY170)</f>
        <v>76.737611713768203</v>
      </c>
      <c r="BB170" s="1457">
        <f>ABS(AZ170)</f>
        <v>237.53195163758076</v>
      </c>
      <c r="BC170" s="1319"/>
      <c r="BD170" s="1219"/>
      <c r="BE170" s="1519">
        <v>8</v>
      </c>
      <c r="BF170" s="1520">
        <f t="shared" si="41"/>
        <v>-172</v>
      </c>
      <c r="BG170" s="1115">
        <f t="shared" si="42"/>
        <v>-172</v>
      </c>
      <c r="BH170" s="1522">
        <f t="shared" si="38"/>
        <v>-338.20479386288685</v>
      </c>
      <c r="BI170" s="1523">
        <f t="shared" si="39"/>
        <v>338.20479386288685</v>
      </c>
      <c r="BJ170" s="1523">
        <f t="shared" si="43"/>
        <v>5.7952061371131549</v>
      </c>
      <c r="BK170" s="1523" t="b">
        <f t="shared" si="40"/>
        <v>0</v>
      </c>
      <c r="BL170" s="1525">
        <v>8</v>
      </c>
      <c r="BM170" s="1471"/>
      <c r="BN170" s="1471"/>
      <c r="BO170" s="1471"/>
      <c r="EK170" s="1167"/>
      <c r="EL170" s="1167"/>
    </row>
    <row r="171" spans="2:142" ht="23" thickBot="1" x14ac:dyDescent="0.35">
      <c r="B171" s="1458">
        <v>2</v>
      </c>
      <c r="C171" s="1459"/>
      <c r="D171" s="1430">
        <v>0</v>
      </c>
      <c r="E171" s="1460" t="s">
        <v>80</v>
      </c>
      <c r="F171" s="1432"/>
      <c r="G171" s="1432"/>
      <c r="H171" s="1433">
        <v>479.77208100000001</v>
      </c>
      <c r="I171" s="1434">
        <v>61.416098300000002</v>
      </c>
      <c r="J171" s="1461">
        <f>+I171+D171</f>
        <v>61.416098300000002</v>
      </c>
      <c r="K171" s="1461">
        <f t="shared" ref="K171:K181" si="47">+J171/2</f>
        <v>30.708049150000001</v>
      </c>
      <c r="L171" s="1461">
        <f t="shared" ref="L171:L181" si="48">SIN(K171*3.14159265358979/180)</f>
        <v>0.51066370850547771</v>
      </c>
      <c r="M171" s="1461">
        <f t="shared" ref="M171:M181" si="49">+L171*H171</f>
        <v>245.00219012085046</v>
      </c>
      <c r="N171" s="1461">
        <f t="shared" ref="N171:N181" si="50">+M171*2</f>
        <v>490.00438024170091</v>
      </c>
      <c r="O171" s="1461">
        <f>+C170+(D171/2)</f>
        <v>0</v>
      </c>
      <c r="P171" s="1461">
        <f t="shared" ref="P171:P181" si="51">SIN(O171*3.14159265358979/180)</f>
        <v>0</v>
      </c>
      <c r="Q171" s="1461">
        <f t="shared" ref="Q171:Q181" si="52">+P171*N171</f>
        <v>0</v>
      </c>
      <c r="R171" s="1461">
        <f t="shared" ref="R171:R181" si="53">+T170</f>
        <v>334.49993130661176</v>
      </c>
      <c r="S171" s="1461">
        <f>+R171+Q171</f>
        <v>334.49993130661176</v>
      </c>
      <c r="T171" s="1462">
        <f t="shared" si="44"/>
        <v>334.49993130661176</v>
      </c>
      <c r="V171" s="1463">
        <f t="shared" ref="V171:V181" si="54">IF(B171&lt;($B$167+1),T171,0)</f>
        <v>0</v>
      </c>
      <c r="W171" s="1463"/>
      <c r="X171" s="1463"/>
      <c r="Y171" s="1463"/>
      <c r="Z171" s="1463"/>
      <c r="AA171" s="1463"/>
      <c r="AB171" s="1441"/>
      <c r="AC171" s="1442" t="b">
        <f>IF(AD171=2,AF171)</f>
        <v>0</v>
      </c>
      <c r="AD171" s="1442">
        <f t="shared" ref="AD171:AD181" si="55">MAX(AE$170:AE$181)</f>
        <v>1</v>
      </c>
      <c r="AE171" s="1442">
        <f>IF(V171=0,0,2)</f>
        <v>0</v>
      </c>
      <c r="AF171" s="1463" t="e">
        <f>SUM(V171:V181)/($B$167-B170)</f>
        <v>#DIV/0!</v>
      </c>
      <c r="AG171" s="1463"/>
      <c r="AH171" s="1464">
        <f>SUM(D171)+$C$170</f>
        <v>0</v>
      </c>
      <c r="AI171" s="1444" t="b">
        <f t="shared" ref="AI171:AI181" si="56">IF(B171&lt;($B$167+1),AH171)</f>
        <v>0</v>
      </c>
      <c r="AJ171" s="1445">
        <f t="shared" ref="AJ171:AJ181" si="57">53.779595+AI171</f>
        <v>53.779595</v>
      </c>
      <c r="AK171" s="1465">
        <f>SIN(AJ171*3.14159265358979/180)</f>
        <v>0.8067499259590819</v>
      </c>
      <c r="AL171" s="1447">
        <f t="shared" ref="AL171:AL181" si="58">+AK171*414.6266</f>
        <v>334.49997885066585</v>
      </c>
      <c r="AM171" s="1445">
        <f t="shared" ref="AM171:AM181" si="59">59.2910885-AI171</f>
        <v>59.291088500000001</v>
      </c>
      <c r="AN171" s="1466">
        <f t="shared" ref="AN171:AN181" si="60">SIN(AM171*3.14159265358979/180)</f>
        <v>0.85977285389573432</v>
      </c>
      <c r="AO171" s="1449">
        <f t="shared" ref="AO171:AO181" si="61">+AN171*479.7721</f>
        <v>412.49502763654965</v>
      </c>
      <c r="AP171" s="1450" t="e">
        <f t="shared" si="45"/>
        <v>#DIV/0!</v>
      </c>
      <c r="AQ171" s="1449">
        <f>72*($B$167-B170)</f>
        <v>0</v>
      </c>
      <c r="AR171" s="1450">
        <f>+AQ171+$AQ$194+$AQ$223+31+31</f>
        <v>128</v>
      </c>
      <c r="AS171" s="1467">
        <f t="shared" ref="AS171:AS181" si="62">+AO171+AL171</f>
        <v>746.99500648721551</v>
      </c>
      <c r="AT171" s="1468">
        <f t="shared" ref="AT171:AT181" si="63">+V171-AL171</f>
        <v>-334.49997885066585</v>
      </c>
      <c r="AU171" s="1469" t="e">
        <f t="shared" ref="AU171:AU181" si="64">+AP171-AT171</f>
        <v>#DIV/0!</v>
      </c>
      <c r="AV171" s="1468"/>
      <c r="AW171" s="1470" t="e">
        <f t="shared" ref="AW171:AW181" si="65">+((AS171-AU171)/AS171)*AR171</f>
        <v>#DIV/0!</v>
      </c>
      <c r="AX171" s="1470" t="e">
        <f t="shared" ref="AX171:AX181" si="66">+(AU171/AS171)*AR171</f>
        <v>#DIV/0!</v>
      </c>
      <c r="AY171" s="1456" t="e">
        <f t="shared" si="46"/>
        <v>#DIV/0!</v>
      </c>
      <c r="AZ171" s="1456" t="e">
        <f t="shared" ref="AZ171:AZ181" si="67">2*$D$21/AX171</f>
        <v>#DIV/0!</v>
      </c>
      <c r="BA171" s="1457" t="e">
        <f t="shared" ref="BA171:BB181" si="68">ABS(AY171)</f>
        <v>#DIV/0!</v>
      </c>
      <c r="BB171" s="1457" t="e">
        <f t="shared" si="68"/>
        <v>#DIV/0!</v>
      </c>
      <c r="BD171" s="1219"/>
      <c r="BE171" s="1519">
        <v>9</v>
      </c>
      <c r="BF171" s="1520">
        <f t="shared" si="41"/>
        <v>-129</v>
      </c>
      <c r="BG171" s="1115">
        <f t="shared" si="42"/>
        <v>-129</v>
      </c>
      <c r="BH171" s="1522">
        <f t="shared" si="38"/>
        <v>-295.20479386288685</v>
      </c>
      <c r="BI171" s="1523">
        <f t="shared" si="39"/>
        <v>295.20479386288685</v>
      </c>
      <c r="BJ171" s="1523">
        <f t="shared" si="43"/>
        <v>5.7952061371131549</v>
      </c>
      <c r="BK171" s="1523" t="b">
        <f t="shared" si="40"/>
        <v>0</v>
      </c>
      <c r="BL171" s="1525">
        <v>9</v>
      </c>
      <c r="BM171" s="1471"/>
      <c r="BN171" s="1471"/>
      <c r="BO171" s="1471"/>
      <c r="EK171" s="1167"/>
      <c r="EL171" s="1167"/>
    </row>
    <row r="172" spans="2:142" ht="23" thickBot="1" x14ac:dyDescent="0.35">
      <c r="B172" s="1458">
        <v>3</v>
      </c>
      <c r="C172" s="1459"/>
      <c r="D172" s="1430">
        <v>0</v>
      </c>
      <c r="E172" s="1460" t="s">
        <v>80</v>
      </c>
      <c r="F172" s="1432"/>
      <c r="G172" s="1432"/>
      <c r="H172" s="1433">
        <v>479.77208100000001</v>
      </c>
      <c r="I172" s="1434">
        <v>61.416098300000002</v>
      </c>
      <c r="J172" s="1461">
        <f t="shared" ref="J172:J181" si="69">+I172+D172</f>
        <v>61.416098300000002</v>
      </c>
      <c r="K172" s="1461">
        <f t="shared" si="47"/>
        <v>30.708049150000001</v>
      </c>
      <c r="L172" s="1461">
        <f t="shared" si="48"/>
        <v>0.51066370850547771</v>
      </c>
      <c r="M172" s="1461">
        <f t="shared" si="49"/>
        <v>245.00219012085046</v>
      </c>
      <c r="N172" s="1461">
        <f t="shared" si="50"/>
        <v>490.00438024170091</v>
      </c>
      <c r="O172" s="1461">
        <f>+C170+D171+(D172/2)</f>
        <v>0</v>
      </c>
      <c r="P172" s="1461">
        <f t="shared" si="51"/>
        <v>0</v>
      </c>
      <c r="Q172" s="1461">
        <f t="shared" si="52"/>
        <v>0</v>
      </c>
      <c r="R172" s="1461">
        <f t="shared" si="53"/>
        <v>334.49993130661176</v>
      </c>
      <c r="S172" s="1461">
        <f t="shared" ref="S172:S181" si="70">+S171+Q172</f>
        <v>334.49993130661176</v>
      </c>
      <c r="T172" s="1462">
        <f t="shared" si="44"/>
        <v>334.49993130661176</v>
      </c>
      <c r="V172" s="1463">
        <f t="shared" si="54"/>
        <v>0</v>
      </c>
      <c r="W172" s="1463"/>
      <c r="X172" s="1463"/>
      <c r="Y172" s="1463"/>
      <c r="Z172" s="1463"/>
      <c r="AA172" s="1463"/>
      <c r="AB172" s="1441"/>
      <c r="AC172" s="1442" t="b">
        <f>IF(AD172=3,AF172)</f>
        <v>0</v>
      </c>
      <c r="AD172" s="1442">
        <f t="shared" si="55"/>
        <v>1</v>
      </c>
      <c r="AE172" s="1442">
        <f>IF(V172=0,0,3)</f>
        <v>0</v>
      </c>
      <c r="AF172" s="1463">
        <f>SUM(V172:V181)/($B$167-B171)</f>
        <v>0</v>
      </c>
      <c r="AG172" s="1463"/>
      <c r="AH172" s="1464">
        <f>SUM(D171:D172)+$C$170</f>
        <v>0</v>
      </c>
      <c r="AI172" s="1444" t="b">
        <f t="shared" si="56"/>
        <v>0</v>
      </c>
      <c r="AJ172" s="1445">
        <f t="shared" si="57"/>
        <v>53.779595</v>
      </c>
      <c r="AK172" s="1465">
        <f t="shared" ref="AK172:AK181" si="71">SIN(AJ172*3.14159265358979/180)</f>
        <v>0.8067499259590819</v>
      </c>
      <c r="AL172" s="1447">
        <f t="shared" si="58"/>
        <v>334.49997885066585</v>
      </c>
      <c r="AM172" s="1445">
        <f t="shared" si="59"/>
        <v>59.291088500000001</v>
      </c>
      <c r="AN172" s="1466">
        <f t="shared" si="60"/>
        <v>0.85977285389573432</v>
      </c>
      <c r="AO172" s="1449">
        <f t="shared" si="61"/>
        <v>412.49502763654965</v>
      </c>
      <c r="AP172" s="1450">
        <f t="shared" si="45"/>
        <v>221.35529315721689</v>
      </c>
      <c r="AQ172" s="1449">
        <f t="shared" ref="AQ172:AQ181" si="72">72*($B$167-B171)</f>
        <v>-72</v>
      </c>
      <c r="AR172" s="1450">
        <f t="shared" ref="AR172:AR179" si="73">+AQ172+$AQ$194+$AQ$223+31+31</f>
        <v>56</v>
      </c>
      <c r="AS172" s="1467">
        <f t="shared" si="62"/>
        <v>746.99500648721551</v>
      </c>
      <c r="AT172" s="1468">
        <f t="shared" si="63"/>
        <v>-334.49997885066585</v>
      </c>
      <c r="AU172" s="1469">
        <f t="shared" si="64"/>
        <v>555.85527200788272</v>
      </c>
      <c r="AV172" s="1468"/>
      <c r="AW172" s="1470">
        <f t="shared" si="65"/>
        <v>14.32917896088483</v>
      </c>
      <c r="AX172" s="1470">
        <f t="shared" si="66"/>
        <v>41.670821039115168</v>
      </c>
      <c r="AY172" s="1456">
        <f t="shared" si="46"/>
        <v>809.53696172440698</v>
      </c>
      <c r="AZ172" s="1456">
        <f t="shared" si="67"/>
        <v>278.37224491236742</v>
      </c>
      <c r="BA172" s="1457">
        <f t="shared" si="68"/>
        <v>809.53696172440698</v>
      </c>
      <c r="BB172" s="1457">
        <f t="shared" si="68"/>
        <v>278.37224491236742</v>
      </c>
      <c r="BD172" s="1219"/>
      <c r="BE172" s="1519">
        <v>10</v>
      </c>
      <c r="BF172" s="1520">
        <f t="shared" si="41"/>
        <v>-86</v>
      </c>
      <c r="BG172" s="1115">
        <f t="shared" si="42"/>
        <v>-86</v>
      </c>
      <c r="BH172" s="1522">
        <f t="shared" si="38"/>
        <v>-252.20479386288685</v>
      </c>
      <c r="BI172" s="1523">
        <f t="shared" si="39"/>
        <v>252.20479386288685</v>
      </c>
      <c r="BJ172" s="1523">
        <f t="shared" si="43"/>
        <v>5.7952061371131549</v>
      </c>
      <c r="BK172" s="1523" t="b">
        <f t="shared" si="40"/>
        <v>0</v>
      </c>
      <c r="BL172" s="1525">
        <v>10</v>
      </c>
      <c r="BM172" s="1471"/>
      <c r="BN172" s="1471"/>
      <c r="BO172" s="1471"/>
      <c r="EK172" s="1167"/>
      <c r="EL172" s="1167"/>
    </row>
    <row r="173" spans="2:142" ht="23" thickBot="1" x14ac:dyDescent="0.35">
      <c r="B173" s="1458">
        <v>4</v>
      </c>
      <c r="C173" s="1459"/>
      <c r="D173" s="1430">
        <v>0</v>
      </c>
      <c r="E173" s="1460" t="s">
        <v>80</v>
      </c>
      <c r="F173" s="1432"/>
      <c r="G173" s="1432"/>
      <c r="H173" s="1433">
        <v>479.77208100000001</v>
      </c>
      <c r="I173" s="1434">
        <v>61.416098300000002</v>
      </c>
      <c r="J173" s="1461">
        <f t="shared" si="69"/>
        <v>61.416098300000002</v>
      </c>
      <c r="K173" s="1461">
        <f t="shared" si="47"/>
        <v>30.708049150000001</v>
      </c>
      <c r="L173" s="1461">
        <f t="shared" si="48"/>
        <v>0.51066370850547771</v>
      </c>
      <c r="M173" s="1461">
        <f t="shared" si="49"/>
        <v>245.00219012085046</v>
      </c>
      <c r="N173" s="1461">
        <f t="shared" si="50"/>
        <v>490.00438024170091</v>
      </c>
      <c r="O173" s="1461">
        <f>+C170+D171+D172+(D173/2)</f>
        <v>0</v>
      </c>
      <c r="P173" s="1461">
        <f t="shared" si="51"/>
        <v>0</v>
      </c>
      <c r="Q173" s="1461">
        <f t="shared" si="52"/>
        <v>0</v>
      </c>
      <c r="R173" s="1461">
        <f t="shared" si="53"/>
        <v>334.49993130661176</v>
      </c>
      <c r="S173" s="1461">
        <f t="shared" si="70"/>
        <v>334.49993130661176</v>
      </c>
      <c r="T173" s="1462">
        <f t="shared" si="44"/>
        <v>334.49993130661176</v>
      </c>
      <c r="V173" s="1463">
        <f t="shared" si="54"/>
        <v>0</v>
      </c>
      <c r="W173" s="1463"/>
      <c r="X173" s="1463"/>
      <c r="Y173" s="1463"/>
      <c r="Z173" s="1463"/>
      <c r="AA173" s="1463"/>
      <c r="AB173" s="1441"/>
      <c r="AC173" s="1442" t="b">
        <f>IF(AD173=4,AF173)</f>
        <v>0</v>
      </c>
      <c r="AD173" s="1442">
        <f t="shared" si="55"/>
        <v>1</v>
      </c>
      <c r="AE173" s="1442">
        <f>IF(V173=0,0,4)</f>
        <v>0</v>
      </c>
      <c r="AF173" s="1463">
        <f>SUM(V173:V181)/($B$167-B172)</f>
        <v>0</v>
      </c>
      <c r="AG173" s="1463"/>
      <c r="AH173" s="1464">
        <f>SUM(D171:D173)+$C$170</f>
        <v>0</v>
      </c>
      <c r="AI173" s="1444" t="b">
        <f t="shared" si="56"/>
        <v>0</v>
      </c>
      <c r="AJ173" s="1445">
        <f t="shared" si="57"/>
        <v>53.779595</v>
      </c>
      <c r="AK173" s="1465">
        <f t="shared" si="71"/>
        <v>0.8067499259590819</v>
      </c>
      <c r="AL173" s="1447">
        <f t="shared" si="58"/>
        <v>334.49997885066585</v>
      </c>
      <c r="AM173" s="1445">
        <f t="shared" si="59"/>
        <v>59.291088500000001</v>
      </c>
      <c r="AN173" s="1466">
        <f t="shared" si="60"/>
        <v>0.85977285389573432</v>
      </c>
      <c r="AO173" s="1449">
        <f t="shared" si="61"/>
        <v>412.49502763654965</v>
      </c>
      <c r="AP173" s="1450">
        <f t="shared" si="45"/>
        <v>-774.74352605025911</v>
      </c>
      <c r="AQ173" s="1449">
        <f t="shared" si="72"/>
        <v>-144</v>
      </c>
      <c r="AR173" s="1450">
        <f t="shared" si="73"/>
        <v>-16</v>
      </c>
      <c r="AS173" s="1467">
        <f t="shared" si="62"/>
        <v>746.99500648721551</v>
      </c>
      <c r="AT173" s="1468">
        <f t="shared" si="63"/>
        <v>-334.49997885066585</v>
      </c>
      <c r="AU173" s="1469">
        <f t="shared" si="64"/>
        <v>-440.24354719959325</v>
      </c>
      <c r="AV173" s="1468"/>
      <c r="AW173" s="1470">
        <f t="shared" si="65"/>
        <v>-25.429643697777575</v>
      </c>
      <c r="AX173" s="1470">
        <f t="shared" si="66"/>
        <v>9.4296436977775766</v>
      </c>
      <c r="AY173" s="1456">
        <f t="shared" si="46"/>
        <v>-456.16053995336875</v>
      </c>
      <c r="AZ173" s="1456">
        <f t="shared" si="67"/>
        <v>1230.1631293591659</v>
      </c>
      <c r="BA173" s="1457">
        <f t="shared" si="68"/>
        <v>456.16053995336875</v>
      </c>
      <c r="BB173" s="1457">
        <f t="shared" si="68"/>
        <v>1230.1631293591659</v>
      </c>
      <c r="BD173" s="1219"/>
      <c r="BE173" s="1519">
        <v>11</v>
      </c>
      <c r="BF173" s="1520">
        <f t="shared" si="41"/>
        <v>-43</v>
      </c>
      <c r="BG173" s="1115">
        <f t="shared" si="42"/>
        <v>-43</v>
      </c>
      <c r="BH173" s="1522">
        <f t="shared" si="38"/>
        <v>-209.20479386288685</v>
      </c>
      <c r="BI173" s="1523">
        <f t="shared" si="39"/>
        <v>209.20479386288685</v>
      </c>
      <c r="BJ173" s="1523">
        <f t="shared" si="43"/>
        <v>5.7952061371131549</v>
      </c>
      <c r="BK173" s="1523" t="b">
        <f t="shared" si="40"/>
        <v>0</v>
      </c>
      <c r="BL173" s="1525">
        <v>11</v>
      </c>
      <c r="BM173" s="1471"/>
      <c r="BN173" s="1471"/>
      <c r="BO173" s="1471"/>
      <c r="EK173" s="1167"/>
      <c r="EL173" s="1167"/>
    </row>
    <row r="174" spans="2:142" ht="23" thickBot="1" x14ac:dyDescent="0.35">
      <c r="B174" s="1458">
        <v>5</v>
      </c>
      <c r="C174" s="1459"/>
      <c r="D174" s="1430">
        <v>0</v>
      </c>
      <c r="E174" s="1460" t="s">
        <v>80</v>
      </c>
      <c r="F174" s="1432"/>
      <c r="G174" s="1432"/>
      <c r="H174" s="1433">
        <v>479.77208100000001</v>
      </c>
      <c r="I174" s="1434">
        <v>61.416098300000002</v>
      </c>
      <c r="J174" s="1461">
        <f t="shared" si="69"/>
        <v>61.416098300000002</v>
      </c>
      <c r="K174" s="1461">
        <f t="shared" si="47"/>
        <v>30.708049150000001</v>
      </c>
      <c r="L174" s="1461">
        <f t="shared" si="48"/>
        <v>0.51066370850547771</v>
      </c>
      <c r="M174" s="1461">
        <f t="shared" si="49"/>
        <v>245.00219012085046</v>
      </c>
      <c r="N174" s="1461">
        <f t="shared" si="50"/>
        <v>490.00438024170091</v>
      </c>
      <c r="O174" s="1461">
        <f>+C170+D171+D172+D173+(D174/2)</f>
        <v>0</v>
      </c>
      <c r="P174" s="1461">
        <f t="shared" si="51"/>
        <v>0</v>
      </c>
      <c r="Q174" s="1461">
        <f t="shared" si="52"/>
        <v>0</v>
      </c>
      <c r="R174" s="1461">
        <f t="shared" si="53"/>
        <v>334.49993130661176</v>
      </c>
      <c r="S174" s="1461">
        <f t="shared" si="70"/>
        <v>334.49993130661176</v>
      </c>
      <c r="T174" s="1462">
        <f t="shared" si="44"/>
        <v>334.49993130661176</v>
      </c>
      <c r="V174" s="1463">
        <f t="shared" si="54"/>
        <v>0</v>
      </c>
      <c r="W174" s="1463"/>
      <c r="X174" s="1463"/>
      <c r="Y174" s="1463"/>
      <c r="Z174" s="1463"/>
      <c r="AA174" s="1463"/>
      <c r="AB174" s="1441"/>
      <c r="AC174" s="1442" t="b">
        <f>IF(AD174=5,AF174)</f>
        <v>0</v>
      </c>
      <c r="AD174" s="1442">
        <f t="shared" si="55"/>
        <v>1</v>
      </c>
      <c r="AE174" s="1442">
        <f>IF(V174=0,0,5)</f>
        <v>0</v>
      </c>
      <c r="AF174" s="1463">
        <f>SUM(V174:V181)/($B$167-B173)</f>
        <v>0</v>
      </c>
      <c r="AG174" s="1463"/>
      <c r="AH174" s="1464">
        <f>SUM(D171:D174)+$C$170</f>
        <v>0</v>
      </c>
      <c r="AI174" s="1444" t="b">
        <f t="shared" si="56"/>
        <v>0</v>
      </c>
      <c r="AJ174" s="1445">
        <f t="shared" si="57"/>
        <v>53.779595</v>
      </c>
      <c r="AK174" s="1465">
        <f t="shared" si="71"/>
        <v>0.8067499259590819</v>
      </c>
      <c r="AL174" s="1447">
        <f t="shared" si="58"/>
        <v>334.49997885066585</v>
      </c>
      <c r="AM174" s="1445">
        <f t="shared" si="59"/>
        <v>59.291088500000001</v>
      </c>
      <c r="AN174" s="1466">
        <f t="shared" si="60"/>
        <v>0.85977285389573432</v>
      </c>
      <c r="AO174" s="1449">
        <f t="shared" si="61"/>
        <v>412.49502763654965</v>
      </c>
      <c r="AP174" s="1450">
        <f t="shared" si="45"/>
        <v>-140.86245928186528</v>
      </c>
      <c r="AQ174" s="1449">
        <f t="shared" si="72"/>
        <v>-216</v>
      </c>
      <c r="AR174" s="1450">
        <f t="shared" si="73"/>
        <v>-88</v>
      </c>
      <c r="AS174" s="1467">
        <f t="shared" si="62"/>
        <v>746.99500648721551</v>
      </c>
      <c r="AT174" s="1468">
        <f t="shared" si="63"/>
        <v>-334.49997885066585</v>
      </c>
      <c r="AU174" s="1469">
        <f t="shared" si="64"/>
        <v>193.63751956880057</v>
      </c>
      <c r="AV174" s="1468"/>
      <c r="AW174" s="1470">
        <f t="shared" si="65"/>
        <v>-65.188466356439989</v>
      </c>
      <c r="AX174" s="1470">
        <f t="shared" si="66"/>
        <v>-22.811533643560018</v>
      </c>
      <c r="AY174" s="1456">
        <f t="shared" si="46"/>
        <v>-177.94558835873016</v>
      </c>
      <c r="AZ174" s="1456">
        <f t="shared" si="67"/>
        <v>-508.51469178946786</v>
      </c>
      <c r="BA174" s="1457">
        <f t="shared" si="68"/>
        <v>177.94558835873016</v>
      </c>
      <c r="BB174" s="1457">
        <f t="shared" si="68"/>
        <v>508.51469178946786</v>
      </c>
      <c r="BD174" s="1219"/>
      <c r="BE174" s="1519">
        <v>12</v>
      </c>
      <c r="BF174" s="1520">
        <f t="shared" si="41"/>
        <v>0</v>
      </c>
      <c r="BG174" s="1115">
        <f t="shared" si="42"/>
        <v>0</v>
      </c>
      <c r="BH174" s="1522">
        <f t="shared" si="38"/>
        <v>-166.20479386288685</v>
      </c>
      <c r="BI174" s="1523">
        <f t="shared" si="39"/>
        <v>166.20479386288685</v>
      </c>
      <c r="BJ174" s="1523">
        <f t="shared" si="43"/>
        <v>5.7952061371131549</v>
      </c>
      <c r="BK174" s="1523" t="b">
        <f t="shared" si="40"/>
        <v>0</v>
      </c>
      <c r="BL174" s="1525">
        <v>12</v>
      </c>
      <c r="BM174" s="1471"/>
      <c r="BN174" s="1471"/>
      <c r="BO174" s="1471"/>
      <c r="EK174" s="1167"/>
      <c r="EL174" s="1167"/>
    </row>
    <row r="175" spans="2:142" ht="23" thickBot="1" x14ac:dyDescent="0.35">
      <c r="B175" s="1458">
        <v>6</v>
      </c>
      <c r="C175" s="1459"/>
      <c r="D175" s="1430">
        <v>0</v>
      </c>
      <c r="E175" s="1460" t="s">
        <v>80</v>
      </c>
      <c r="F175" s="1432"/>
      <c r="G175" s="1432"/>
      <c r="H175" s="1433">
        <v>479.77208100000001</v>
      </c>
      <c r="I175" s="1434">
        <v>61.416098300000002</v>
      </c>
      <c r="J175" s="1461">
        <f t="shared" si="69"/>
        <v>61.416098300000002</v>
      </c>
      <c r="K175" s="1461">
        <f t="shared" si="47"/>
        <v>30.708049150000001</v>
      </c>
      <c r="L175" s="1461">
        <f t="shared" si="48"/>
        <v>0.51066370850547771</v>
      </c>
      <c r="M175" s="1461">
        <f t="shared" si="49"/>
        <v>245.00219012085046</v>
      </c>
      <c r="N175" s="1461">
        <f t="shared" si="50"/>
        <v>490.00438024170091</v>
      </c>
      <c r="O175" s="1461">
        <f>+C170+D171+D172+D173+D174+(D175/2)</f>
        <v>0</v>
      </c>
      <c r="P175" s="1461">
        <f t="shared" si="51"/>
        <v>0</v>
      </c>
      <c r="Q175" s="1461">
        <f t="shared" si="52"/>
        <v>0</v>
      </c>
      <c r="R175" s="1461">
        <f t="shared" si="53"/>
        <v>334.49993130661176</v>
      </c>
      <c r="S175" s="1461">
        <f t="shared" si="70"/>
        <v>334.49993130661176</v>
      </c>
      <c r="T175" s="1462">
        <f t="shared" si="44"/>
        <v>334.49993130661176</v>
      </c>
      <c r="V175" s="1463">
        <f t="shared" si="54"/>
        <v>0</v>
      </c>
      <c r="W175" s="1463"/>
      <c r="X175" s="1463"/>
      <c r="Y175" s="1463"/>
      <c r="Z175" s="1463"/>
      <c r="AA175" s="1463"/>
      <c r="AB175" s="1441"/>
      <c r="AC175" s="1442" t="b">
        <f>IF(AD175=6,AF175)</f>
        <v>0</v>
      </c>
      <c r="AD175" s="1442">
        <f t="shared" si="55"/>
        <v>1</v>
      </c>
      <c r="AE175" s="1442">
        <f>IF(V175=0,0,6)</f>
        <v>0</v>
      </c>
      <c r="AF175" s="1463">
        <f>SUM(V175:V181)/($B$167-B174)</f>
        <v>0</v>
      </c>
      <c r="AG175" s="1463"/>
      <c r="AH175" s="1464">
        <f>SUM(D171:D175)+$C$170</f>
        <v>0</v>
      </c>
      <c r="AI175" s="1444" t="b">
        <f t="shared" si="56"/>
        <v>0</v>
      </c>
      <c r="AJ175" s="1445">
        <f t="shared" si="57"/>
        <v>53.779595</v>
      </c>
      <c r="AK175" s="1465">
        <f t="shared" si="71"/>
        <v>0.8067499259590819</v>
      </c>
      <c r="AL175" s="1447">
        <f t="shared" si="58"/>
        <v>334.49997885066585</v>
      </c>
      <c r="AM175" s="1445">
        <f t="shared" si="59"/>
        <v>59.291088500000001</v>
      </c>
      <c r="AN175" s="1466">
        <f t="shared" si="60"/>
        <v>0.85977285389573432</v>
      </c>
      <c r="AO175" s="1449">
        <f t="shared" si="61"/>
        <v>412.49502763654965</v>
      </c>
      <c r="AP175" s="1450">
        <f t="shared" si="45"/>
        <v>-77.474352605025913</v>
      </c>
      <c r="AQ175" s="1449">
        <f t="shared" si="72"/>
        <v>-288</v>
      </c>
      <c r="AR175" s="1450">
        <f t="shared" si="73"/>
        <v>-160</v>
      </c>
      <c r="AS175" s="1467">
        <f t="shared" si="62"/>
        <v>746.99500648721551</v>
      </c>
      <c r="AT175" s="1468">
        <f t="shared" si="63"/>
        <v>-334.49997885066585</v>
      </c>
      <c r="AU175" s="1469">
        <f t="shared" si="64"/>
        <v>257.02562624563996</v>
      </c>
      <c r="AV175" s="1468"/>
      <c r="AW175" s="1470">
        <f t="shared" si="65"/>
        <v>-104.9472890151024</v>
      </c>
      <c r="AX175" s="1470">
        <f t="shared" si="66"/>
        <v>-55.052710984897615</v>
      </c>
      <c r="AY175" s="1456">
        <f t="shared" si="46"/>
        <v>-110.5316784155397</v>
      </c>
      <c r="AZ175" s="1456">
        <f t="shared" si="67"/>
        <v>-210.70715306249278</v>
      </c>
      <c r="BA175" s="1457">
        <f t="shared" si="68"/>
        <v>110.5316784155397</v>
      </c>
      <c r="BB175" s="1457">
        <f t="shared" si="68"/>
        <v>210.70715306249278</v>
      </c>
      <c r="BD175" s="1219"/>
      <c r="BE175" s="1519">
        <v>13</v>
      </c>
      <c r="BF175" s="1520">
        <f t="shared" si="41"/>
        <v>43</v>
      </c>
      <c r="BG175" s="1115">
        <f t="shared" si="42"/>
        <v>43</v>
      </c>
      <c r="BH175" s="1522">
        <f t="shared" si="38"/>
        <v>-123.20479386288685</v>
      </c>
      <c r="BI175" s="1523">
        <f t="shared" si="39"/>
        <v>123.20479386288685</v>
      </c>
      <c r="BJ175" s="1523">
        <f t="shared" si="43"/>
        <v>5.7952061371131549</v>
      </c>
      <c r="BK175" s="1523" t="b">
        <f t="shared" si="40"/>
        <v>0</v>
      </c>
      <c r="BL175" s="1525">
        <v>13</v>
      </c>
      <c r="BM175" s="1471"/>
      <c r="BN175" s="1471"/>
      <c r="BO175" s="1471"/>
      <c r="EK175" s="1167"/>
      <c r="EL175" s="1167"/>
    </row>
    <row r="176" spans="2:142" ht="23" thickBot="1" x14ac:dyDescent="0.35">
      <c r="B176" s="1458">
        <v>7</v>
      </c>
      <c r="C176" s="1459"/>
      <c r="D176" s="1430">
        <v>0</v>
      </c>
      <c r="E176" s="1460" t="s">
        <v>80</v>
      </c>
      <c r="F176" s="1432"/>
      <c r="G176" s="1432"/>
      <c r="H176" s="1433">
        <v>479.77208100000001</v>
      </c>
      <c r="I176" s="1434">
        <v>61.416098300000002</v>
      </c>
      <c r="J176" s="1461">
        <f t="shared" si="69"/>
        <v>61.416098300000002</v>
      </c>
      <c r="K176" s="1461">
        <f t="shared" si="47"/>
        <v>30.708049150000001</v>
      </c>
      <c r="L176" s="1461">
        <f t="shared" si="48"/>
        <v>0.51066370850547771</v>
      </c>
      <c r="M176" s="1461">
        <f t="shared" si="49"/>
        <v>245.00219012085046</v>
      </c>
      <c r="N176" s="1461">
        <f t="shared" si="50"/>
        <v>490.00438024170091</v>
      </c>
      <c r="O176" s="1461">
        <f>+C170+D171+D172+D173+D174+D175+(D176/2)</f>
        <v>0</v>
      </c>
      <c r="P176" s="1461">
        <f t="shared" si="51"/>
        <v>0</v>
      </c>
      <c r="Q176" s="1461">
        <f t="shared" si="52"/>
        <v>0</v>
      </c>
      <c r="R176" s="1461">
        <f t="shared" si="53"/>
        <v>334.49993130661176</v>
      </c>
      <c r="S176" s="1461">
        <f t="shared" si="70"/>
        <v>334.49993130661176</v>
      </c>
      <c r="T176" s="1462">
        <f t="shared" si="44"/>
        <v>334.49993130661176</v>
      </c>
      <c r="V176" s="1463">
        <f t="shared" si="54"/>
        <v>0</v>
      </c>
      <c r="W176" s="1463"/>
      <c r="X176" s="1463"/>
      <c r="Y176" s="1463"/>
      <c r="Z176" s="1463"/>
      <c r="AA176" s="1463"/>
      <c r="AB176" s="1441"/>
      <c r="AC176" s="1442" t="b">
        <f>IF(AD176=7,AF176)</f>
        <v>0</v>
      </c>
      <c r="AD176" s="1442">
        <f t="shared" si="55"/>
        <v>1</v>
      </c>
      <c r="AE176" s="1442">
        <f>IF(V176=0,0,7)</f>
        <v>0</v>
      </c>
      <c r="AF176" s="1463">
        <f>SUM(V176:V181)/($B$167-B175)</f>
        <v>0</v>
      </c>
      <c r="AG176" s="1463"/>
      <c r="AH176" s="1464">
        <f>SUM(D171:D176)+$C$170</f>
        <v>0</v>
      </c>
      <c r="AI176" s="1444" t="b">
        <f t="shared" si="56"/>
        <v>0</v>
      </c>
      <c r="AJ176" s="1445">
        <f t="shared" si="57"/>
        <v>53.779595</v>
      </c>
      <c r="AK176" s="1465">
        <f t="shared" si="71"/>
        <v>0.8067499259590819</v>
      </c>
      <c r="AL176" s="1447">
        <f t="shared" si="58"/>
        <v>334.49997885066585</v>
      </c>
      <c r="AM176" s="1445">
        <f t="shared" si="59"/>
        <v>59.291088500000001</v>
      </c>
      <c r="AN176" s="1466">
        <f t="shared" si="60"/>
        <v>0.85977285389573432</v>
      </c>
      <c r="AO176" s="1449">
        <f t="shared" si="61"/>
        <v>412.49502763654965</v>
      </c>
      <c r="AP176" s="1450">
        <f t="shared" si="45"/>
        <v>-53.430588003466148</v>
      </c>
      <c r="AQ176" s="1449">
        <f t="shared" si="72"/>
        <v>-360</v>
      </c>
      <c r="AR176" s="1450">
        <f t="shared" si="73"/>
        <v>-232</v>
      </c>
      <c r="AS176" s="1467">
        <f t="shared" si="62"/>
        <v>746.99500648721551</v>
      </c>
      <c r="AT176" s="1468">
        <f t="shared" si="63"/>
        <v>-334.49997885066585</v>
      </c>
      <c r="AU176" s="1469">
        <f t="shared" si="64"/>
        <v>281.06939084719971</v>
      </c>
      <c r="AV176" s="1468"/>
      <c r="AW176" s="1470">
        <f t="shared" si="65"/>
        <v>-144.70611167376481</v>
      </c>
      <c r="AX176" s="1470">
        <f t="shared" si="66"/>
        <v>-87.293888326235205</v>
      </c>
      <c r="AY176" s="1456">
        <f t="shared" si="46"/>
        <v>-80.162474589544772</v>
      </c>
      <c r="AZ176" s="1456">
        <f t="shared" si="67"/>
        <v>-132.88444612122689</v>
      </c>
      <c r="BA176" s="1457">
        <f t="shared" si="68"/>
        <v>80.162474589544772</v>
      </c>
      <c r="BB176" s="1457">
        <f t="shared" si="68"/>
        <v>132.88444612122689</v>
      </c>
      <c r="BD176" s="1219"/>
      <c r="BE176" s="1519">
        <v>14</v>
      </c>
      <c r="BF176" s="1520">
        <f t="shared" si="41"/>
        <v>86</v>
      </c>
      <c r="BG176" s="1115">
        <f t="shared" si="42"/>
        <v>86</v>
      </c>
      <c r="BH176" s="1522">
        <f t="shared" si="38"/>
        <v>-80.204793862886845</v>
      </c>
      <c r="BI176" s="1523">
        <f t="shared" si="39"/>
        <v>80.204793862886845</v>
      </c>
      <c r="BJ176" s="1523">
        <f t="shared" si="43"/>
        <v>5.7952061371131549</v>
      </c>
      <c r="BK176" s="1523" t="b">
        <f t="shared" si="40"/>
        <v>0</v>
      </c>
      <c r="BL176" s="1525">
        <v>14</v>
      </c>
      <c r="EK176" s="1167"/>
      <c r="EL176" s="1167"/>
    </row>
    <row r="177" spans="2:142" ht="23" thickBot="1" x14ac:dyDescent="0.35">
      <c r="B177" s="1458">
        <v>8</v>
      </c>
      <c r="C177" s="1459"/>
      <c r="D177" s="1430">
        <v>0</v>
      </c>
      <c r="E177" s="1460" t="s">
        <v>80</v>
      </c>
      <c r="F177" s="1432"/>
      <c r="G177" s="1432"/>
      <c r="H177" s="1433">
        <v>479.77208100000001</v>
      </c>
      <c r="I177" s="1434">
        <v>61.416098300000002</v>
      </c>
      <c r="J177" s="1461">
        <f t="shared" si="69"/>
        <v>61.416098300000002</v>
      </c>
      <c r="K177" s="1461">
        <f t="shared" si="47"/>
        <v>30.708049150000001</v>
      </c>
      <c r="L177" s="1461">
        <f t="shared" si="48"/>
        <v>0.51066370850547771</v>
      </c>
      <c r="M177" s="1461">
        <f t="shared" si="49"/>
        <v>245.00219012085046</v>
      </c>
      <c r="N177" s="1461">
        <f t="shared" si="50"/>
        <v>490.00438024170091</v>
      </c>
      <c r="O177" s="1461">
        <f>+C170+D171+D172+D173+D174+D175+D176+(D177/2)</f>
        <v>0</v>
      </c>
      <c r="P177" s="1461">
        <f t="shared" si="51"/>
        <v>0</v>
      </c>
      <c r="Q177" s="1461">
        <f t="shared" si="52"/>
        <v>0</v>
      </c>
      <c r="R177" s="1461">
        <f t="shared" si="53"/>
        <v>334.49993130661176</v>
      </c>
      <c r="S177" s="1461">
        <f t="shared" si="70"/>
        <v>334.49993130661176</v>
      </c>
      <c r="T177" s="1462">
        <f t="shared" si="44"/>
        <v>334.49993130661176</v>
      </c>
      <c r="V177" s="1463">
        <f t="shared" si="54"/>
        <v>0</v>
      </c>
      <c r="W177" s="1463"/>
      <c r="X177" s="1463"/>
      <c r="Y177" s="1463"/>
      <c r="Z177" s="1463"/>
      <c r="AA177" s="1463"/>
      <c r="AB177" s="1441"/>
      <c r="AC177" s="1442" t="b">
        <f>IF(AD177=8,AF177)</f>
        <v>0</v>
      </c>
      <c r="AD177" s="1442">
        <f t="shared" si="55"/>
        <v>1</v>
      </c>
      <c r="AE177" s="1442">
        <f>IF(V177=0,0,8)</f>
        <v>0</v>
      </c>
      <c r="AF177" s="1463">
        <f>SUM(V177:V181)/($B$167-B176)</f>
        <v>0</v>
      </c>
      <c r="AG177" s="1463"/>
      <c r="AH177" s="1464">
        <f>SUM(D171:D177)+$C$170</f>
        <v>0</v>
      </c>
      <c r="AI177" s="1444" t="b">
        <f t="shared" si="56"/>
        <v>0</v>
      </c>
      <c r="AJ177" s="1445">
        <f t="shared" si="57"/>
        <v>53.779595</v>
      </c>
      <c r="AK177" s="1465">
        <f t="shared" si="71"/>
        <v>0.8067499259590819</v>
      </c>
      <c r="AL177" s="1447">
        <f t="shared" si="58"/>
        <v>334.49997885066585</v>
      </c>
      <c r="AM177" s="1445">
        <f t="shared" si="59"/>
        <v>59.291088500000001</v>
      </c>
      <c r="AN177" s="1466">
        <f t="shared" si="60"/>
        <v>0.85977285389573432</v>
      </c>
      <c r="AO177" s="1449">
        <f t="shared" si="61"/>
        <v>412.49502763654965</v>
      </c>
      <c r="AP177" s="1450">
        <f t="shared" si="45"/>
        <v>-40.775975055276795</v>
      </c>
      <c r="AQ177" s="1449">
        <f t="shared" si="72"/>
        <v>-432</v>
      </c>
      <c r="AR177" s="1450">
        <f t="shared" si="73"/>
        <v>-304</v>
      </c>
      <c r="AS177" s="1467">
        <f t="shared" si="62"/>
        <v>746.99500648721551</v>
      </c>
      <c r="AT177" s="1468">
        <f t="shared" si="63"/>
        <v>-334.49997885066585</v>
      </c>
      <c r="AU177" s="1469">
        <f t="shared" si="64"/>
        <v>293.72400379538908</v>
      </c>
      <c r="AV177" s="1468"/>
      <c r="AW177" s="1470">
        <f t="shared" si="65"/>
        <v>-184.46493433242719</v>
      </c>
      <c r="AX177" s="1470">
        <f t="shared" si="66"/>
        <v>-119.53506566757281</v>
      </c>
      <c r="AY177" s="1456">
        <f t="shared" si="46"/>
        <v>-62.884580432481847</v>
      </c>
      <c r="AZ177" s="1456">
        <f t="shared" si="67"/>
        <v>-97.042653845689244</v>
      </c>
      <c r="BA177" s="1457">
        <f t="shared" si="68"/>
        <v>62.884580432481847</v>
      </c>
      <c r="BB177" s="1457">
        <f t="shared" si="68"/>
        <v>97.042653845689244</v>
      </c>
      <c r="BD177" s="1219"/>
      <c r="BE177" s="1519">
        <v>15</v>
      </c>
      <c r="BF177" s="1520">
        <f t="shared" si="41"/>
        <v>129</v>
      </c>
      <c r="BG177" s="1115">
        <f t="shared" si="42"/>
        <v>129</v>
      </c>
      <c r="BH177" s="1522">
        <f t="shared" si="38"/>
        <v>-37.204793862886845</v>
      </c>
      <c r="BI177" s="1523">
        <f t="shared" si="39"/>
        <v>37.204793862886845</v>
      </c>
      <c r="BJ177" s="1523">
        <f t="shared" si="43"/>
        <v>5.7952061371131549</v>
      </c>
      <c r="BK177" s="1523" t="b">
        <f t="shared" si="40"/>
        <v>0</v>
      </c>
      <c r="BL177" s="1525">
        <v>15</v>
      </c>
      <c r="EK177" s="1167"/>
      <c r="EL177" s="1167"/>
    </row>
    <row r="178" spans="2:142" ht="23" thickBot="1" x14ac:dyDescent="0.35">
      <c r="B178" s="1458">
        <v>9</v>
      </c>
      <c r="C178" s="1459"/>
      <c r="D178" s="1430">
        <v>0</v>
      </c>
      <c r="E178" s="1460" t="s">
        <v>80</v>
      </c>
      <c r="F178" s="1432"/>
      <c r="G178" s="1432"/>
      <c r="H178" s="1433">
        <v>479.77208100000001</v>
      </c>
      <c r="I178" s="1434">
        <v>61.416098300000002</v>
      </c>
      <c r="J178" s="1461">
        <f t="shared" si="69"/>
        <v>61.416098300000002</v>
      </c>
      <c r="K178" s="1461">
        <f t="shared" si="47"/>
        <v>30.708049150000001</v>
      </c>
      <c r="L178" s="1461">
        <f t="shared" si="48"/>
        <v>0.51066370850547771</v>
      </c>
      <c r="M178" s="1461">
        <f t="shared" si="49"/>
        <v>245.00219012085046</v>
      </c>
      <c r="N178" s="1461">
        <f t="shared" si="50"/>
        <v>490.00438024170091</v>
      </c>
      <c r="O178" s="1461">
        <f>+C170+D171+D172+D173+D174+D175+D176+D177+(D178/2)</f>
        <v>0</v>
      </c>
      <c r="P178" s="1461">
        <f t="shared" si="51"/>
        <v>0</v>
      </c>
      <c r="Q178" s="1461">
        <f t="shared" si="52"/>
        <v>0</v>
      </c>
      <c r="R178" s="1461">
        <f t="shared" si="53"/>
        <v>334.49993130661176</v>
      </c>
      <c r="S178" s="1461">
        <f t="shared" si="70"/>
        <v>334.49993130661176</v>
      </c>
      <c r="T178" s="1462">
        <f t="shared" si="44"/>
        <v>334.49993130661176</v>
      </c>
      <c r="V178" s="1463">
        <f t="shared" si="54"/>
        <v>0</v>
      </c>
      <c r="W178" s="1463"/>
      <c r="X178" s="1463"/>
      <c r="Y178" s="1463"/>
      <c r="Z178" s="1463"/>
      <c r="AA178" s="1463"/>
      <c r="AB178" s="1441"/>
      <c r="AC178" s="1442" t="b">
        <f>IF(AD178=9,AF178)</f>
        <v>0</v>
      </c>
      <c r="AD178" s="1442">
        <f t="shared" si="55"/>
        <v>1</v>
      </c>
      <c r="AE178" s="1442">
        <f>IF(V178=0,0,9)</f>
        <v>0</v>
      </c>
      <c r="AF178" s="1463">
        <f>SUM(V178:V181)/($B$167-B177)</f>
        <v>0</v>
      </c>
      <c r="AG178" s="1463"/>
      <c r="AH178" s="1464">
        <f>SUM(D171:D178)+$C$170</f>
        <v>0</v>
      </c>
      <c r="AI178" s="1444" t="b">
        <f t="shared" si="56"/>
        <v>0</v>
      </c>
      <c r="AJ178" s="1445">
        <f t="shared" si="57"/>
        <v>53.779595</v>
      </c>
      <c r="AK178" s="1465">
        <f t="shared" si="71"/>
        <v>0.8067499259590819</v>
      </c>
      <c r="AL178" s="1447">
        <f t="shared" si="58"/>
        <v>334.49997885066585</v>
      </c>
      <c r="AM178" s="1445">
        <f t="shared" si="59"/>
        <v>59.291088500000001</v>
      </c>
      <c r="AN178" s="1466">
        <f t="shared" si="60"/>
        <v>0.85977285389573432</v>
      </c>
      <c r="AO178" s="1449">
        <f t="shared" si="61"/>
        <v>412.49502763654965</v>
      </c>
      <c r="AP178" s="1450">
        <f t="shared" si="45"/>
        <v>-32.967809619159965</v>
      </c>
      <c r="AQ178" s="1449">
        <f t="shared" si="72"/>
        <v>-504</v>
      </c>
      <c r="AR178" s="1450">
        <f t="shared" si="73"/>
        <v>-376</v>
      </c>
      <c r="AS178" s="1467">
        <f t="shared" si="62"/>
        <v>746.99500648721551</v>
      </c>
      <c r="AT178" s="1468">
        <f t="shared" si="63"/>
        <v>-334.49997885066585</v>
      </c>
      <c r="AU178" s="1469">
        <f t="shared" si="64"/>
        <v>301.53216923150592</v>
      </c>
      <c r="AV178" s="1468"/>
      <c r="AW178" s="1470">
        <f t="shared" si="65"/>
        <v>-224.2237569910896</v>
      </c>
      <c r="AX178" s="1470">
        <f t="shared" si="66"/>
        <v>-151.77624300891043</v>
      </c>
      <c r="AY178" s="1456">
        <f t="shared" si="46"/>
        <v>-51.734036373589845</v>
      </c>
      <c r="AZ178" s="1456">
        <f t="shared" si="67"/>
        <v>-76.428298461169518</v>
      </c>
      <c r="BA178" s="1457">
        <f t="shared" si="68"/>
        <v>51.734036373589845</v>
      </c>
      <c r="BB178" s="1457">
        <f t="shared" si="68"/>
        <v>76.428298461169518</v>
      </c>
      <c r="BD178" s="1219"/>
      <c r="BE178" s="1519">
        <v>16</v>
      </c>
      <c r="BF178" s="1520">
        <f t="shared" si="41"/>
        <v>172</v>
      </c>
      <c r="BG178" s="1115">
        <f t="shared" si="42"/>
        <v>172</v>
      </c>
      <c r="BH178" s="1522">
        <f t="shared" si="38"/>
        <v>5.7952061371131549</v>
      </c>
      <c r="BI178" s="1523">
        <f t="shared" si="39"/>
        <v>5.7952061371131549</v>
      </c>
      <c r="BJ178" s="1523">
        <f t="shared" si="43"/>
        <v>5.7952061371131549</v>
      </c>
      <c r="BK178" s="1523">
        <f t="shared" si="40"/>
        <v>16</v>
      </c>
      <c r="BL178" s="1525">
        <v>16</v>
      </c>
      <c r="EK178" s="1167"/>
      <c r="EL178" s="1167"/>
    </row>
    <row r="179" spans="2:142" ht="23" thickBot="1" x14ac:dyDescent="0.35">
      <c r="B179" s="1458">
        <v>10</v>
      </c>
      <c r="C179" s="1459"/>
      <c r="D179" s="1430">
        <v>0</v>
      </c>
      <c r="E179" s="1460" t="s">
        <v>80</v>
      </c>
      <c r="F179" s="1432"/>
      <c r="G179" s="1432"/>
      <c r="H179" s="1433">
        <v>479.77208100000001</v>
      </c>
      <c r="I179" s="1434">
        <v>61.416098300000002</v>
      </c>
      <c r="J179" s="1461">
        <f t="shared" si="69"/>
        <v>61.416098300000002</v>
      </c>
      <c r="K179" s="1461">
        <f t="shared" si="47"/>
        <v>30.708049150000001</v>
      </c>
      <c r="L179" s="1461">
        <f t="shared" si="48"/>
        <v>0.51066370850547771</v>
      </c>
      <c r="M179" s="1461">
        <f>+L179*H179</f>
        <v>245.00219012085046</v>
      </c>
      <c r="N179" s="1461">
        <f t="shared" si="50"/>
        <v>490.00438024170091</v>
      </c>
      <c r="O179" s="1461">
        <f>+C170+D171+D172+D173+D174+D175+D176+D177+D178+(D179/2)</f>
        <v>0</v>
      </c>
      <c r="P179" s="1461">
        <f t="shared" si="51"/>
        <v>0</v>
      </c>
      <c r="Q179" s="1461">
        <f t="shared" si="52"/>
        <v>0</v>
      </c>
      <c r="R179" s="1461">
        <f t="shared" si="53"/>
        <v>334.49993130661176</v>
      </c>
      <c r="S179" s="1461">
        <f t="shared" si="70"/>
        <v>334.49993130661176</v>
      </c>
      <c r="T179" s="1462">
        <f t="shared" si="44"/>
        <v>334.49993130661176</v>
      </c>
      <c r="V179" s="1463">
        <f t="shared" si="54"/>
        <v>0</v>
      </c>
      <c r="W179" s="1463"/>
      <c r="X179" s="1463"/>
      <c r="Y179" s="1463"/>
      <c r="Z179" s="1463"/>
      <c r="AA179" s="1463"/>
      <c r="AB179" s="1441"/>
      <c r="AC179" s="1442" t="b">
        <f>IF(AD179=10,AF179)</f>
        <v>0</v>
      </c>
      <c r="AD179" s="1442">
        <f t="shared" si="55"/>
        <v>1</v>
      </c>
      <c r="AE179" s="1442">
        <f>IF(V179=0,0,10)</f>
        <v>0</v>
      </c>
      <c r="AF179" s="1463">
        <f>SUM(V179:V181)/($B$167-B178)</f>
        <v>0</v>
      </c>
      <c r="AG179" s="1463"/>
      <c r="AH179" s="1464">
        <f>SUM(D171:D179)+$C$170</f>
        <v>0</v>
      </c>
      <c r="AI179" s="1444" t="b">
        <f t="shared" si="56"/>
        <v>0</v>
      </c>
      <c r="AJ179" s="1445">
        <f t="shared" si="57"/>
        <v>53.779595</v>
      </c>
      <c r="AK179" s="1465">
        <f t="shared" si="71"/>
        <v>0.8067499259590819</v>
      </c>
      <c r="AL179" s="1447">
        <f t="shared" si="58"/>
        <v>334.49997885066585</v>
      </c>
      <c r="AM179" s="1445">
        <f t="shared" si="59"/>
        <v>59.291088500000001</v>
      </c>
      <c r="AN179" s="1466">
        <f t="shared" si="60"/>
        <v>0.85977285389573432</v>
      </c>
      <c r="AO179" s="1449">
        <f t="shared" si="61"/>
        <v>412.49502763654965</v>
      </c>
      <c r="AP179" s="1450">
        <f t="shared" si="45"/>
        <v>-27.669411644652111</v>
      </c>
      <c r="AQ179" s="1449">
        <f t="shared" si="72"/>
        <v>-576</v>
      </c>
      <c r="AR179" s="1450">
        <f t="shared" si="73"/>
        <v>-448</v>
      </c>
      <c r="AS179" s="1467">
        <f t="shared" si="62"/>
        <v>746.99500648721551</v>
      </c>
      <c r="AT179" s="1468">
        <f t="shared" si="63"/>
        <v>-334.49997885066585</v>
      </c>
      <c r="AU179" s="1469">
        <f t="shared" si="64"/>
        <v>306.83056720601377</v>
      </c>
      <c r="AV179" s="1468"/>
      <c r="AW179" s="1470">
        <f t="shared" si="65"/>
        <v>-263.98257964975198</v>
      </c>
      <c r="AX179" s="1470">
        <f t="shared" si="66"/>
        <v>-184.01742035024799</v>
      </c>
      <c r="AY179" s="1456">
        <f t="shared" si="46"/>
        <v>-43.942293523272262</v>
      </c>
      <c r="AZ179" s="1456">
        <f t="shared" si="67"/>
        <v>-63.037510133123476</v>
      </c>
      <c r="BA179" s="1457">
        <f t="shared" si="68"/>
        <v>43.942293523272262</v>
      </c>
      <c r="BB179" s="1457">
        <f t="shared" si="68"/>
        <v>63.037510133123476</v>
      </c>
      <c r="BD179" s="1219"/>
      <c r="BE179" s="1519">
        <v>17</v>
      </c>
      <c r="BF179" s="1520">
        <f t="shared" si="41"/>
        <v>215</v>
      </c>
      <c r="BG179" s="1115">
        <f t="shared" si="42"/>
        <v>215</v>
      </c>
      <c r="BH179" s="1522">
        <f t="shared" si="38"/>
        <v>48.795206137113155</v>
      </c>
      <c r="BI179" s="1523">
        <f t="shared" si="39"/>
        <v>48.795206137113155</v>
      </c>
      <c r="BJ179" s="1523">
        <f t="shared" si="43"/>
        <v>5.7952061371131549</v>
      </c>
      <c r="BK179" s="1523" t="b">
        <f t="shared" si="40"/>
        <v>0</v>
      </c>
      <c r="BL179" s="1525">
        <v>17</v>
      </c>
      <c r="EK179" s="1167"/>
      <c r="EL179" s="1167"/>
    </row>
    <row r="180" spans="2:142" ht="23" hidden="1" thickBot="1" x14ac:dyDescent="0.35">
      <c r="B180" s="1458">
        <v>11</v>
      </c>
      <c r="C180" s="1459"/>
      <c r="D180" s="1430">
        <v>0</v>
      </c>
      <c r="E180" s="1460" t="s">
        <v>80</v>
      </c>
      <c r="F180" s="1432"/>
      <c r="G180" s="1432"/>
      <c r="H180" s="1433">
        <v>479.77208100000001</v>
      </c>
      <c r="I180" s="1434">
        <v>61.416098300000002</v>
      </c>
      <c r="J180" s="1461">
        <f t="shared" si="69"/>
        <v>61.416098300000002</v>
      </c>
      <c r="K180" s="1461">
        <f t="shared" si="47"/>
        <v>30.708049150000001</v>
      </c>
      <c r="L180" s="1461">
        <f t="shared" si="48"/>
        <v>0.51066370850547771</v>
      </c>
      <c r="M180" s="1461">
        <f t="shared" si="49"/>
        <v>245.00219012085046</v>
      </c>
      <c r="N180" s="1461">
        <f t="shared" si="50"/>
        <v>490.00438024170091</v>
      </c>
      <c r="O180" s="1461">
        <f>+C170+D171+D172+D173+D174+D175+D176+D177+D178+D179+(D180/2)</f>
        <v>0</v>
      </c>
      <c r="P180" s="1461">
        <f t="shared" si="51"/>
        <v>0</v>
      </c>
      <c r="Q180" s="1461">
        <f t="shared" si="52"/>
        <v>0</v>
      </c>
      <c r="R180" s="1461">
        <f t="shared" si="53"/>
        <v>334.49993130661176</v>
      </c>
      <c r="S180" s="1461">
        <f t="shared" si="70"/>
        <v>334.49993130661176</v>
      </c>
      <c r="T180" s="1462">
        <f t="shared" si="44"/>
        <v>334.49993130661176</v>
      </c>
      <c r="V180" s="1463">
        <f t="shared" si="54"/>
        <v>0</v>
      </c>
      <c r="W180" s="1463"/>
      <c r="X180" s="1463"/>
      <c r="Y180" s="1463"/>
      <c r="Z180" s="1463"/>
      <c r="AA180" s="1463"/>
      <c r="AB180" s="1441"/>
      <c r="AC180" s="1442" t="b">
        <f>IF(AD180=11,AF180)</f>
        <v>0</v>
      </c>
      <c r="AD180" s="1442">
        <f t="shared" si="55"/>
        <v>1</v>
      </c>
      <c r="AE180" s="1442">
        <f>IF(V180=0,0,11)</f>
        <v>0</v>
      </c>
      <c r="AF180" s="1463">
        <f>SUM(V180:V181)/($B$167-B179)</f>
        <v>0</v>
      </c>
      <c r="AG180" s="1463"/>
      <c r="AH180" s="1464">
        <f>SUM(D171:D180)+$C$170</f>
        <v>0</v>
      </c>
      <c r="AI180" s="1444" t="b">
        <f t="shared" si="56"/>
        <v>0</v>
      </c>
      <c r="AJ180" s="1445">
        <f t="shared" si="57"/>
        <v>53.779595</v>
      </c>
      <c r="AK180" s="1465">
        <f t="shared" si="71"/>
        <v>0.8067499259590819</v>
      </c>
      <c r="AL180" s="1447">
        <f t="shared" si="58"/>
        <v>334.49997885066585</v>
      </c>
      <c r="AM180" s="1445">
        <f t="shared" si="59"/>
        <v>59.291088500000001</v>
      </c>
      <c r="AN180" s="1466">
        <f t="shared" si="60"/>
        <v>0.85977285389573432</v>
      </c>
      <c r="AO180" s="1449">
        <f t="shared" si="61"/>
        <v>412.49502763654965</v>
      </c>
      <c r="AP180" s="1450">
        <f t="shared" si="45"/>
        <v>-22.497089685669955</v>
      </c>
      <c r="AQ180" s="1449">
        <f t="shared" si="72"/>
        <v>-648</v>
      </c>
      <c r="AR180" s="1450">
        <f t="shared" ref="AR180:AR181" si="74">+AQ180+$AQ$194+$AQ$223+31</f>
        <v>-551</v>
      </c>
      <c r="AS180" s="1467">
        <f t="shared" si="62"/>
        <v>746.99500648721551</v>
      </c>
      <c r="AT180" s="1468">
        <f t="shared" si="63"/>
        <v>-334.49997885066585</v>
      </c>
      <c r="AU180" s="1469">
        <f t="shared" si="64"/>
        <v>312.00288916499591</v>
      </c>
      <c r="AV180" s="1468"/>
      <c r="AW180" s="1470">
        <f t="shared" si="65"/>
        <v>-320.85978428644961</v>
      </c>
      <c r="AX180" s="1470">
        <f t="shared" si="66"/>
        <v>-230.14021571355036</v>
      </c>
      <c r="AY180" s="1456">
        <f t="shared" si="46"/>
        <v>-36.152863550029771</v>
      </c>
      <c r="AZ180" s="1456">
        <f t="shared" si="67"/>
        <v>-50.404054606597846</v>
      </c>
      <c r="BA180" s="1457">
        <f t="shared" si="68"/>
        <v>36.152863550029771</v>
      </c>
      <c r="BB180" s="1457">
        <f t="shared" si="68"/>
        <v>50.404054606597846</v>
      </c>
      <c r="BD180" s="1219"/>
      <c r="BE180" s="1519">
        <v>18</v>
      </c>
      <c r="BF180" s="1520">
        <f t="shared" si="41"/>
        <v>258</v>
      </c>
      <c r="BG180" s="1115">
        <f t="shared" si="42"/>
        <v>258</v>
      </c>
      <c r="BH180" s="1522">
        <f t="shared" si="38"/>
        <v>91.795206137113155</v>
      </c>
      <c r="BI180" s="1523">
        <f t="shared" si="39"/>
        <v>91.795206137113155</v>
      </c>
      <c r="BJ180" s="1523">
        <f t="shared" si="43"/>
        <v>5.7952061371131549</v>
      </c>
      <c r="BK180" s="1523" t="b">
        <f t="shared" si="40"/>
        <v>0</v>
      </c>
      <c r="BL180" s="1525">
        <v>18</v>
      </c>
      <c r="BN180" s="1719" t="s">
        <v>349</v>
      </c>
      <c r="EK180" s="1167"/>
      <c r="EL180" s="1167"/>
    </row>
    <row r="181" spans="2:142" ht="23" hidden="1" thickBot="1" x14ac:dyDescent="0.35">
      <c r="B181" s="1458">
        <v>12</v>
      </c>
      <c r="C181" s="1459"/>
      <c r="D181" s="1430">
        <v>0</v>
      </c>
      <c r="E181" s="1460" t="s">
        <v>80</v>
      </c>
      <c r="F181" s="1432"/>
      <c r="G181" s="1432"/>
      <c r="H181" s="1433">
        <v>479.77208100000001</v>
      </c>
      <c r="I181" s="1434">
        <v>61.416098300000002</v>
      </c>
      <c r="J181" s="1461">
        <f t="shared" si="69"/>
        <v>61.416098300000002</v>
      </c>
      <c r="K181" s="1461">
        <f t="shared" si="47"/>
        <v>30.708049150000001</v>
      </c>
      <c r="L181" s="1461">
        <f t="shared" si="48"/>
        <v>0.51066370850547771</v>
      </c>
      <c r="M181" s="1461">
        <f t="shared" si="49"/>
        <v>245.00219012085046</v>
      </c>
      <c r="N181" s="1461">
        <f t="shared" si="50"/>
        <v>490.00438024170091</v>
      </c>
      <c r="O181" s="1461">
        <f>+C170+D171+D172+D173+D174+D175+D176+D177+D178+D179+D180+(D181/2)</f>
        <v>0</v>
      </c>
      <c r="P181" s="1461">
        <f t="shared" si="51"/>
        <v>0</v>
      </c>
      <c r="Q181" s="1461">
        <f t="shared" si="52"/>
        <v>0</v>
      </c>
      <c r="R181" s="1461">
        <f t="shared" si="53"/>
        <v>334.49993130661176</v>
      </c>
      <c r="S181" s="1461">
        <f t="shared" si="70"/>
        <v>334.49993130661176</v>
      </c>
      <c r="T181" s="1462">
        <f t="shared" si="44"/>
        <v>334.49993130661176</v>
      </c>
      <c r="V181" s="1463">
        <f t="shared" si="54"/>
        <v>0</v>
      </c>
      <c r="W181" s="1463"/>
      <c r="X181" s="1463"/>
      <c r="Y181" s="1463"/>
      <c r="Z181" s="1463"/>
      <c r="AA181" s="1463"/>
      <c r="AB181" s="1441"/>
      <c r="AC181" s="1442" t="b">
        <f>IF(AD181=12,AF181)</f>
        <v>0</v>
      </c>
      <c r="AD181" s="1442">
        <f t="shared" si="55"/>
        <v>1</v>
      </c>
      <c r="AE181" s="1442">
        <f>IF(V181=0,0,12)</f>
        <v>0</v>
      </c>
      <c r="AF181" s="1463">
        <f>SUM(V181)/($B$167-B180)</f>
        <v>0</v>
      </c>
      <c r="AG181" s="1463"/>
      <c r="AH181" s="1464">
        <f>SUM(D171:D181)+$C$170</f>
        <v>0</v>
      </c>
      <c r="AI181" s="1444" t="b">
        <f t="shared" si="56"/>
        <v>0</v>
      </c>
      <c r="AJ181" s="1445">
        <f t="shared" si="57"/>
        <v>53.779595</v>
      </c>
      <c r="AK181" s="1465">
        <f t="shared" si="71"/>
        <v>0.8067499259590819</v>
      </c>
      <c r="AL181" s="1447">
        <f t="shared" si="58"/>
        <v>334.49997885066585</v>
      </c>
      <c r="AM181" s="1445">
        <f t="shared" si="59"/>
        <v>59.291088500000001</v>
      </c>
      <c r="AN181" s="1466">
        <f t="shared" si="60"/>
        <v>0.85977285389573432</v>
      </c>
      <c r="AO181" s="1449">
        <f t="shared" si="61"/>
        <v>412.49502763654965</v>
      </c>
      <c r="AP181" s="1450">
        <f t="shared" si="45"/>
        <v>-19.897105002895898</v>
      </c>
      <c r="AQ181" s="1449">
        <f t="shared" si="72"/>
        <v>-720</v>
      </c>
      <c r="AR181" s="1450">
        <f t="shared" si="74"/>
        <v>-623</v>
      </c>
      <c r="AS181" s="1467">
        <f t="shared" si="62"/>
        <v>746.99500648721551</v>
      </c>
      <c r="AT181" s="1468">
        <f t="shared" si="63"/>
        <v>-334.49997885066585</v>
      </c>
      <c r="AU181" s="1469">
        <f t="shared" si="64"/>
        <v>314.60287384776996</v>
      </c>
      <c r="AV181" s="1468"/>
      <c r="AW181" s="1470">
        <f t="shared" si="65"/>
        <v>-360.61860694511199</v>
      </c>
      <c r="AX181" s="1470">
        <f t="shared" si="66"/>
        <v>-262.38139305488801</v>
      </c>
      <c r="AY181" s="1456">
        <f t="shared" si="46"/>
        <v>-32.166948062570661</v>
      </c>
      <c r="AZ181" s="1456">
        <f t="shared" si="67"/>
        <v>-44.2104520634715</v>
      </c>
      <c r="BA181" s="1457">
        <f t="shared" si="68"/>
        <v>32.166948062570661</v>
      </c>
      <c r="BB181" s="1457">
        <f t="shared" si="68"/>
        <v>44.2104520634715</v>
      </c>
      <c r="BD181" s="1219"/>
      <c r="BE181" s="1519">
        <v>19</v>
      </c>
      <c r="BF181" s="1520">
        <f t="shared" si="41"/>
        <v>301</v>
      </c>
      <c r="BG181" s="1115">
        <f t="shared" si="42"/>
        <v>301</v>
      </c>
      <c r="BH181" s="1522">
        <f t="shared" si="38"/>
        <v>134.79520613711315</v>
      </c>
      <c r="BI181" s="1523">
        <f t="shared" si="39"/>
        <v>134.79520613711315</v>
      </c>
      <c r="BJ181" s="1523">
        <f t="shared" si="43"/>
        <v>5.7952061371131549</v>
      </c>
      <c r="BK181" s="1523" t="b">
        <f t="shared" si="40"/>
        <v>0</v>
      </c>
      <c r="BL181" s="1525">
        <v>19</v>
      </c>
      <c r="BN181" s="1719" t="s">
        <v>349</v>
      </c>
      <c r="EK181" s="1167"/>
      <c r="EL181" s="1167"/>
    </row>
    <row r="182" spans="2:142" ht="24" hidden="1" thickBot="1" x14ac:dyDescent="0.35">
      <c r="U182" s="1547"/>
      <c r="AH182" s="1548" t="s">
        <v>79</v>
      </c>
      <c r="AI182" s="1549">
        <f>MAX(AI170:AI181)</f>
        <v>0</v>
      </c>
      <c r="BD182" s="1219"/>
      <c r="BE182" s="1519">
        <v>20</v>
      </c>
      <c r="BF182" s="1520">
        <f t="shared" si="41"/>
        <v>344</v>
      </c>
      <c r="BG182" s="1115">
        <f t="shared" si="42"/>
        <v>344</v>
      </c>
      <c r="BH182" s="1522">
        <f t="shared" si="38"/>
        <v>177.79520613711315</v>
      </c>
      <c r="BI182" s="1523">
        <f t="shared" si="39"/>
        <v>177.79520613711315</v>
      </c>
      <c r="BJ182" s="1523">
        <f t="shared" si="43"/>
        <v>5.7952061371131549</v>
      </c>
      <c r="BK182" s="1523" t="b">
        <f t="shared" si="40"/>
        <v>0</v>
      </c>
      <c r="BL182" s="1525">
        <v>20</v>
      </c>
      <c r="EK182" s="1167"/>
      <c r="EL182" s="1167"/>
    </row>
    <row r="183" spans="2:142" ht="27" hidden="1" thickBot="1" x14ac:dyDescent="0.35">
      <c r="B183" s="1550"/>
      <c r="U183" s="1547"/>
      <c r="AL183" s="1499" t="s">
        <v>201</v>
      </c>
      <c r="AM183" s="1500"/>
      <c r="AN183" s="1500"/>
      <c r="AO183" s="1500"/>
      <c r="AP183" s="1501"/>
      <c r="BE183" s="1519">
        <v>21</v>
      </c>
      <c r="BF183" s="1520">
        <f t="shared" si="41"/>
        <v>387</v>
      </c>
      <c r="BG183" s="1115">
        <f t="shared" si="42"/>
        <v>387</v>
      </c>
      <c r="BH183" s="1522">
        <f t="shared" si="38"/>
        <v>220.79520613711315</v>
      </c>
      <c r="BI183" s="1523">
        <f t="shared" si="39"/>
        <v>220.79520613711315</v>
      </c>
      <c r="BJ183" s="1523">
        <f t="shared" si="43"/>
        <v>5.7952061371131549</v>
      </c>
      <c r="BK183" s="1523" t="b">
        <f t="shared" si="40"/>
        <v>0</v>
      </c>
      <c r="BL183" s="1525">
        <v>21</v>
      </c>
    </row>
    <row r="184" spans="2:142" ht="74" hidden="1" thickBot="1" x14ac:dyDescent="0.35">
      <c r="B184" s="1550"/>
      <c r="AB184" s="1406"/>
      <c r="AC184" s="1406"/>
      <c r="AD184" s="1406"/>
      <c r="AE184" s="1406"/>
      <c r="AH184" s="1497" t="s">
        <v>79</v>
      </c>
      <c r="AI184" s="1498">
        <f>MAX(AI170:AI182)</f>
        <v>0</v>
      </c>
      <c r="AL184" s="1505" t="s">
        <v>175</v>
      </c>
      <c r="AM184" s="1506" t="s">
        <v>176</v>
      </c>
      <c r="AN184" s="1506" t="s">
        <v>177</v>
      </c>
      <c r="AO184" s="1507" t="s">
        <v>181</v>
      </c>
      <c r="AP184" s="1508"/>
      <c r="BE184" s="1519">
        <v>22</v>
      </c>
      <c r="BF184" s="1520">
        <f t="shared" si="41"/>
        <v>430</v>
      </c>
      <c r="BG184" s="1115">
        <f t="shared" si="42"/>
        <v>430</v>
      </c>
      <c r="BH184" s="1522">
        <f t="shared" si="38"/>
        <v>263.79520613711315</v>
      </c>
      <c r="BI184" s="1523">
        <f t="shared" si="39"/>
        <v>263.79520613711315</v>
      </c>
      <c r="BJ184" s="1523">
        <f t="shared" si="43"/>
        <v>5.7952061371131549</v>
      </c>
      <c r="BK184" s="1523" t="b">
        <f t="shared" si="40"/>
        <v>0</v>
      </c>
      <c r="BL184" s="1525">
        <v>22</v>
      </c>
    </row>
    <row r="185" spans="2:142" ht="25" hidden="1" thickBot="1" x14ac:dyDescent="0.35">
      <c r="B185" s="1550"/>
      <c r="AB185" s="1406"/>
      <c r="AC185" s="1406"/>
      <c r="AD185" s="1406"/>
      <c r="AE185" s="1406"/>
      <c r="AH185" s="1503"/>
      <c r="AI185" s="1504"/>
      <c r="AL185" s="1509">
        <v>6.8623010000000004</v>
      </c>
      <c r="AM185" s="1510">
        <f>+(AI184*-1)-AL185</f>
        <v>-6.8623010000000004</v>
      </c>
      <c r="AN185" s="1511">
        <f>COS(AM185*3.14159265358979/180)</f>
        <v>0.99283617366519983</v>
      </c>
      <c r="AO185" s="1512">
        <f>+AN185*378.71303</f>
        <v>375.99999562235405</v>
      </c>
      <c r="AP185" s="1513"/>
      <c r="BE185" s="1519"/>
      <c r="BF185" s="1520"/>
      <c r="BG185" s="1115"/>
      <c r="BH185" s="1522"/>
      <c r="BI185" s="1523"/>
      <c r="BJ185" s="1523"/>
      <c r="BK185" s="1523"/>
      <c r="BL185" s="1525"/>
    </row>
    <row r="186" spans="2:142" ht="27" hidden="1" thickBot="1" x14ac:dyDescent="0.35">
      <c r="B186" s="1550"/>
      <c r="AB186" s="1406"/>
      <c r="AC186" s="1406"/>
      <c r="AD186" s="1406"/>
      <c r="AE186" s="1406"/>
      <c r="AH186" s="1503"/>
      <c r="AI186" s="1504"/>
      <c r="AL186" s="1514" t="s">
        <v>202</v>
      </c>
      <c r="AM186" s="1515"/>
      <c r="AN186" s="1515"/>
      <c r="AO186" s="1515"/>
      <c r="AP186" s="1516"/>
      <c r="BE186" s="1519"/>
      <c r="BF186" s="1520"/>
      <c r="BG186" s="1115"/>
      <c r="BH186" s="1522"/>
      <c r="BI186" s="1523"/>
      <c r="BJ186" s="1523"/>
      <c r="BK186" s="1523"/>
      <c r="BL186" s="1525"/>
    </row>
    <row r="187" spans="2:142" ht="193" hidden="1" x14ac:dyDescent="0.3">
      <c r="B187" s="1550"/>
      <c r="AB187" s="1406"/>
      <c r="AC187" s="1406"/>
      <c r="AD187" s="1406"/>
      <c r="AE187" s="1406"/>
      <c r="AH187" s="1503"/>
      <c r="AI187" s="1504"/>
      <c r="AL187" s="1517"/>
      <c r="AM187" s="1506" t="s">
        <v>194</v>
      </c>
      <c r="AN187" s="1506" t="s">
        <v>193</v>
      </c>
      <c r="AO187" s="1507" t="s">
        <v>203</v>
      </c>
      <c r="AP187" s="1518" t="s">
        <v>191</v>
      </c>
      <c r="BE187" s="1519"/>
      <c r="BF187" s="1520"/>
      <c r="BG187" s="1115"/>
      <c r="BH187" s="1522"/>
      <c r="BI187" s="1523"/>
      <c r="BJ187" s="1523"/>
      <c r="BK187" s="1523"/>
      <c r="BL187" s="1525"/>
    </row>
    <row r="188" spans="2:142" ht="25" hidden="1" thickBot="1" x14ac:dyDescent="0.35">
      <c r="V188" s="1131"/>
      <c r="W188" s="1131"/>
      <c r="X188" s="1131"/>
      <c r="Y188" s="1131"/>
      <c r="Z188" s="1131"/>
      <c r="AA188" s="1131"/>
      <c r="AB188" s="1131"/>
      <c r="AC188" s="1131"/>
      <c r="AD188" s="1131"/>
      <c r="AE188" s="1131"/>
      <c r="AF188" s="1131"/>
      <c r="AG188" s="1131"/>
      <c r="AH188" s="1131"/>
      <c r="AI188" s="1131"/>
      <c r="AJ188" s="1131"/>
      <c r="AK188" s="1131"/>
      <c r="AL188" s="1527"/>
      <c r="AM188" s="1528">
        <f>+AI184</f>
        <v>0</v>
      </c>
      <c r="AN188" s="1529">
        <f>SIN(AM188*3.14159265358979/180)</f>
        <v>0</v>
      </c>
      <c r="AO188" s="1530">
        <f>+AN188*((+B135*358.6)+(B167*491.5)+119+119+119)</f>
        <v>0</v>
      </c>
      <c r="AP188" s="1531">
        <f>+AO185+AO188</f>
        <v>375.99999562235405</v>
      </c>
      <c r="AQ188" s="1131"/>
      <c r="AR188" s="1131"/>
      <c r="AS188" s="1131"/>
      <c r="AT188" s="1131">
        <f>+AS170-AP170</f>
        <v>564.59554913281454</v>
      </c>
      <c r="AU188" s="1131"/>
      <c r="AV188" s="1131"/>
      <c r="AW188" s="1131"/>
      <c r="AX188" s="1131"/>
      <c r="AY188" s="1131"/>
      <c r="AZ188" s="1131"/>
      <c r="BA188" s="1131"/>
      <c r="BB188" s="1131"/>
      <c r="BC188" s="1248"/>
      <c r="BE188" s="1519">
        <v>23</v>
      </c>
      <c r="BF188" s="1520">
        <f>+BF184+43</f>
        <v>473</v>
      </c>
      <c r="BG188" s="1115">
        <f>+BG184+$E$2</f>
        <v>473</v>
      </c>
      <c r="BH188" s="1522">
        <f t="shared" si="38"/>
        <v>306.79520613711315</v>
      </c>
      <c r="BI188" s="1523">
        <f t="shared" si="39"/>
        <v>306.79520613711315</v>
      </c>
      <c r="BJ188" s="1523">
        <f>+BJ184</f>
        <v>5.7952061371131549</v>
      </c>
      <c r="BK188" s="1523" t="b">
        <f t="shared" si="40"/>
        <v>0</v>
      </c>
      <c r="BL188" s="1525">
        <v>23</v>
      </c>
    </row>
    <row r="189" spans="2:142" ht="21" thickBot="1" x14ac:dyDescent="0.35">
      <c r="V189" s="1131"/>
      <c r="W189" s="1131"/>
      <c r="X189" s="1131"/>
      <c r="Y189" s="1131"/>
      <c r="Z189" s="1131"/>
      <c r="AA189" s="1131"/>
      <c r="AB189" s="1131"/>
      <c r="AC189" s="1131"/>
      <c r="AD189" s="1131"/>
      <c r="AE189" s="1131"/>
      <c r="AF189" s="1131"/>
      <c r="AG189" s="1131"/>
      <c r="AH189" s="1131"/>
      <c r="AI189" s="1131"/>
      <c r="AJ189" s="1131"/>
      <c r="AK189" s="1131"/>
      <c r="AL189" s="1131"/>
      <c r="AM189" s="1131"/>
      <c r="AN189" s="1131"/>
      <c r="AO189" s="1131"/>
      <c r="AP189" s="1131"/>
      <c r="AQ189" s="1131"/>
      <c r="AR189" s="1131"/>
      <c r="AS189" s="1131"/>
      <c r="AT189" s="1131"/>
      <c r="AU189" s="1131"/>
      <c r="AV189" s="1131"/>
      <c r="AW189" s="1131"/>
      <c r="AX189" s="1131"/>
      <c r="AY189" s="1131"/>
      <c r="AZ189" s="1131"/>
      <c r="BA189" s="1131"/>
      <c r="BB189" s="1131"/>
      <c r="BC189" s="1248"/>
      <c r="BE189" s="1519">
        <v>24</v>
      </c>
      <c r="BF189" s="1520">
        <f t="shared" si="41"/>
        <v>516</v>
      </c>
      <c r="BG189" s="1115">
        <f t="shared" si="42"/>
        <v>516</v>
      </c>
      <c r="BH189" s="1522">
        <f t="shared" si="38"/>
        <v>349.79520613711315</v>
      </c>
      <c r="BI189" s="1523">
        <f t="shared" si="39"/>
        <v>349.79520613711315</v>
      </c>
      <c r="BJ189" s="1523">
        <f t="shared" si="43"/>
        <v>5.7952061371131549</v>
      </c>
      <c r="BK189" s="1523" t="b">
        <f t="shared" si="40"/>
        <v>0</v>
      </c>
      <c r="BL189" s="1525">
        <v>24</v>
      </c>
    </row>
    <row r="190" spans="2:142" ht="67.5" customHeight="1" thickBot="1" x14ac:dyDescent="0.35">
      <c r="B190" s="1381" t="s">
        <v>118</v>
      </c>
      <c r="C190" s="1382"/>
      <c r="D190" s="1383"/>
      <c r="E190" s="1139"/>
      <c r="F190" s="1139"/>
      <c r="G190" s="1139"/>
      <c r="H190" s="1384"/>
      <c r="I190" s="1384"/>
      <c r="J190" s="1384"/>
      <c r="K190" s="1384"/>
      <c r="L190" s="1384"/>
      <c r="M190" s="1384"/>
      <c r="N190" s="1384"/>
      <c r="O190" s="1384"/>
      <c r="P190" s="1384"/>
      <c r="Q190" s="1384"/>
      <c r="R190" s="1384"/>
      <c r="S190" s="1385" t="s">
        <v>66</v>
      </c>
      <c r="T190" s="1385">
        <f>SUM(V194:V213)/B191</f>
        <v>213.83080000000001</v>
      </c>
      <c r="U190" s="1386"/>
      <c r="V190" s="1131"/>
      <c r="W190" s="1131"/>
      <c r="X190" s="1131"/>
      <c r="Y190" s="1131"/>
      <c r="Z190" s="1131"/>
      <c r="AA190" s="1131"/>
      <c r="AB190" s="1131"/>
      <c r="AC190" s="1131"/>
      <c r="AD190" s="1131"/>
      <c r="AE190" s="1131"/>
      <c r="AF190" s="1131"/>
      <c r="AG190" s="1131"/>
      <c r="AH190" s="1131"/>
      <c r="AI190" s="1131"/>
      <c r="AJ190" s="1131"/>
      <c r="AK190" s="1131"/>
      <c r="AL190" s="1131"/>
      <c r="AM190" s="1131"/>
      <c r="AN190" s="1131"/>
      <c r="AO190" s="1131"/>
      <c r="AP190" s="1131"/>
      <c r="AQ190" s="1131"/>
      <c r="AR190" s="1131"/>
      <c r="AS190" s="1131"/>
      <c r="AT190" s="1131"/>
      <c r="AU190" s="1131"/>
      <c r="AV190" s="1131"/>
      <c r="AW190" s="1131"/>
      <c r="AX190" s="1131"/>
      <c r="AY190" s="1131"/>
      <c r="AZ190" s="1131"/>
      <c r="BA190" s="1131"/>
      <c r="BB190" s="1131"/>
      <c r="BC190" s="1248"/>
      <c r="BE190" s="1519">
        <v>25</v>
      </c>
      <c r="BF190" s="1520">
        <f t="shared" si="41"/>
        <v>559</v>
      </c>
      <c r="BG190" s="1115">
        <f t="shared" si="42"/>
        <v>559</v>
      </c>
      <c r="BH190" s="1522">
        <f t="shared" si="38"/>
        <v>392.79520613711315</v>
      </c>
      <c r="BI190" s="1523">
        <f t="shared" si="39"/>
        <v>392.79520613711315</v>
      </c>
      <c r="BJ190" s="1523">
        <f t="shared" si="43"/>
        <v>5.7952061371131549</v>
      </c>
      <c r="BK190" s="1523" t="b">
        <f t="shared" si="40"/>
        <v>0</v>
      </c>
      <c r="BL190" s="1525">
        <v>25</v>
      </c>
    </row>
    <row r="191" spans="2:142" ht="35.25" customHeight="1" thickBot="1" x14ac:dyDescent="0.35">
      <c r="B191" s="1390">
        <v>1</v>
      </c>
      <c r="C191" s="1391"/>
      <c r="D191" s="1392" t="s">
        <v>117</v>
      </c>
      <c r="E191" s="1393"/>
      <c r="F191" s="1393"/>
      <c r="G191" s="1393"/>
      <c r="H191" s="1394"/>
      <c r="I191" s="1395"/>
      <c r="J191" s="1395"/>
      <c r="K191" s="1395"/>
      <c r="L191" s="1395"/>
      <c r="M191" s="1395"/>
      <c r="N191" s="1395"/>
      <c r="O191" s="1395"/>
      <c r="P191" s="1395"/>
      <c r="Q191" s="1395"/>
      <c r="R191" s="1395"/>
      <c r="S191" s="1396"/>
      <c r="T191" s="1397"/>
      <c r="U191" s="1268"/>
      <c r="V191" s="1398"/>
      <c r="W191" s="1890" t="s">
        <v>93</v>
      </c>
      <c r="X191" s="1890"/>
      <c r="Y191" s="1890"/>
      <c r="Z191" s="1890"/>
      <c r="AA191" s="1890"/>
      <c r="AB191" s="1398"/>
      <c r="AC191" s="1398"/>
      <c r="AD191" s="1398"/>
      <c r="AE191" s="1398"/>
      <c r="AF191" s="1398"/>
      <c r="AG191" s="1398"/>
      <c r="AH191" s="1398"/>
      <c r="AI191" s="1398"/>
      <c r="AJ191" s="1398"/>
      <c r="AK191" s="1398"/>
      <c r="AL191" s="1398"/>
      <c r="AM191" s="1398"/>
      <c r="AN191" s="1398"/>
      <c r="AO191" s="1398"/>
      <c r="AP191" s="1398"/>
      <c r="AQ191" s="1398"/>
      <c r="AR191" s="1398"/>
      <c r="AS191" s="1398"/>
      <c r="AT191" s="1398"/>
      <c r="AU191" s="1398"/>
      <c r="AV191" s="1398"/>
      <c r="AW191" s="1398"/>
      <c r="AX191" s="1398"/>
      <c r="AY191" s="1398"/>
      <c r="AZ191" s="1398"/>
      <c r="BA191" s="1888" t="s">
        <v>52</v>
      </c>
      <c r="BB191" s="1889"/>
      <c r="BC191" s="1399"/>
      <c r="BE191" s="1519">
        <v>26</v>
      </c>
      <c r="BF191" s="1520">
        <f t="shared" si="41"/>
        <v>602</v>
      </c>
      <c r="BG191" s="1115">
        <f t="shared" si="42"/>
        <v>602</v>
      </c>
      <c r="BH191" s="1522">
        <f t="shared" si="38"/>
        <v>435.79520613711315</v>
      </c>
      <c r="BI191" s="1523">
        <f t="shared" si="39"/>
        <v>435.79520613711315</v>
      </c>
      <c r="BJ191" s="1523">
        <f t="shared" si="43"/>
        <v>5.7952061371131549</v>
      </c>
      <c r="BK191" s="1523" t="b">
        <f t="shared" si="40"/>
        <v>0</v>
      </c>
      <c r="BL191" s="1525">
        <v>26</v>
      </c>
      <c r="BP191" s="1551"/>
      <c r="BQ191" s="1551"/>
      <c r="BR191" s="1551"/>
      <c r="BS191" s="1551"/>
      <c r="BT191" s="1551"/>
      <c r="BU191" s="1551"/>
      <c r="BV191" s="1885"/>
      <c r="BW191" s="1885"/>
      <c r="BX191" s="1885"/>
      <c r="BY191" s="1248"/>
    </row>
    <row r="192" spans="2:142" ht="79" hidden="1" thickBot="1" x14ac:dyDescent="0.35">
      <c r="C192" s="1401"/>
      <c r="D192" s="1402" t="s">
        <v>13</v>
      </c>
      <c r="H192" s="1403" t="s">
        <v>4</v>
      </c>
      <c r="I192" s="1403" t="s">
        <v>1</v>
      </c>
      <c r="J192" s="1384" t="s">
        <v>0</v>
      </c>
      <c r="K192" s="1384" t="s">
        <v>2</v>
      </c>
      <c r="L192" s="1384" t="s">
        <v>3</v>
      </c>
      <c r="M192" s="1384" t="s">
        <v>8</v>
      </c>
      <c r="N192" s="1384" t="s">
        <v>5</v>
      </c>
      <c r="O192" s="1384" t="s">
        <v>6</v>
      </c>
      <c r="P192" s="1384" t="s">
        <v>7</v>
      </c>
      <c r="Q192" s="1384" t="s">
        <v>9</v>
      </c>
      <c r="R192" s="1404" t="s">
        <v>10</v>
      </c>
      <c r="S192" s="1384" t="s">
        <v>11</v>
      </c>
      <c r="T192" s="1405" t="s">
        <v>12</v>
      </c>
      <c r="V192" s="631"/>
      <c r="W192" s="622" t="s">
        <v>140</v>
      </c>
      <c r="X192" s="623" t="s">
        <v>94</v>
      </c>
      <c r="Y192" s="622" t="s">
        <v>141</v>
      </c>
      <c r="Z192" s="624" t="s">
        <v>100</v>
      </c>
      <c r="AA192" s="624" t="s">
        <v>96</v>
      </c>
      <c r="AB192" s="631"/>
      <c r="AC192" s="623" t="s">
        <v>99</v>
      </c>
      <c r="AD192" s="631"/>
      <c r="AE192" s="631"/>
      <c r="AF192" s="631"/>
      <c r="AG192" s="631"/>
      <c r="AH192" s="631"/>
      <c r="AI192" s="631"/>
      <c r="AJ192" s="631"/>
      <c r="AK192" s="631"/>
      <c r="AL192" s="631"/>
      <c r="AM192" s="631"/>
      <c r="AN192" s="631"/>
      <c r="AO192" s="631"/>
      <c r="AP192" s="631"/>
      <c r="AQ192" s="631"/>
      <c r="AR192" s="631"/>
      <c r="AS192" s="631"/>
      <c r="AT192" s="631"/>
      <c r="AU192" s="631"/>
      <c r="AV192" s="631"/>
      <c r="AW192" s="631"/>
      <c r="AX192" s="631"/>
      <c r="AY192" s="1406"/>
      <c r="AZ192" s="631"/>
      <c r="BA192" s="631"/>
      <c r="BB192" s="631"/>
      <c r="BC192" s="1407"/>
      <c r="BE192" s="1519">
        <v>27</v>
      </c>
      <c r="BF192" s="1520">
        <f t="shared" si="41"/>
        <v>645</v>
      </c>
      <c r="BG192" s="1115">
        <f t="shared" si="42"/>
        <v>645</v>
      </c>
      <c r="BH192" s="1522">
        <f t="shared" si="38"/>
        <v>478.79520613711315</v>
      </c>
      <c r="BI192" s="1523">
        <f t="shared" si="39"/>
        <v>478.79520613711315</v>
      </c>
      <c r="BJ192" s="1523">
        <f t="shared" si="43"/>
        <v>5.7952061371131549</v>
      </c>
      <c r="BK192" s="1523" t="b">
        <f t="shared" si="40"/>
        <v>0</v>
      </c>
      <c r="BL192" s="1525">
        <v>27</v>
      </c>
      <c r="BV192" s="1552"/>
      <c r="CI192" s="1552"/>
    </row>
    <row r="193" spans="1:109" ht="34.5" customHeight="1" thickBot="1" x14ac:dyDescent="0.35">
      <c r="B193" s="1538"/>
      <c r="C193" s="1539"/>
      <c r="D193" s="1540" t="s">
        <v>22</v>
      </c>
      <c r="E193" s="1393"/>
      <c r="F193" s="1553" t="s">
        <v>45</v>
      </c>
      <c r="G193" s="1413"/>
      <c r="H193" s="1414"/>
      <c r="I193" s="1415"/>
      <c r="R193" s="1404"/>
      <c r="T193" s="1416"/>
      <c r="V193" s="631"/>
      <c r="W193" s="631"/>
      <c r="X193" s="631"/>
      <c r="Y193" s="631"/>
      <c r="Z193" s="631"/>
      <c r="AA193" s="631"/>
      <c r="AB193" s="631"/>
      <c r="AC193" s="1541">
        <f>SUM(AC194:AC213)</f>
        <v>213.83080000000001</v>
      </c>
      <c r="AD193" s="631"/>
      <c r="AE193" s="631"/>
      <c r="AF193" s="631" t="s">
        <v>38</v>
      </c>
      <c r="AG193" s="1543" t="s">
        <v>102</v>
      </c>
      <c r="AH193" s="1417" t="s">
        <v>31</v>
      </c>
      <c r="AI193" s="1417"/>
      <c r="AJ193" s="1419" t="s">
        <v>120</v>
      </c>
      <c r="AK193" s="1420" t="s">
        <v>32</v>
      </c>
      <c r="AL193" s="1421" t="s">
        <v>142</v>
      </c>
      <c r="AM193" s="1419" t="s">
        <v>121</v>
      </c>
      <c r="AN193" s="1422" t="s">
        <v>34</v>
      </c>
      <c r="AO193" s="1421" t="s">
        <v>143</v>
      </c>
      <c r="AP193" s="1423" t="s">
        <v>48</v>
      </c>
      <c r="AQ193" s="1554" t="s">
        <v>36</v>
      </c>
      <c r="AR193" s="631" t="s">
        <v>208</v>
      </c>
      <c r="AS193" s="631" t="s">
        <v>37</v>
      </c>
      <c r="AT193" s="631" t="s">
        <v>39</v>
      </c>
      <c r="AU193" s="631" t="s">
        <v>208</v>
      </c>
      <c r="AV193" s="631" t="s">
        <v>40</v>
      </c>
      <c r="AW193" s="1425" t="s">
        <v>41</v>
      </c>
      <c r="AX193" s="1425" t="s">
        <v>42</v>
      </c>
      <c r="AY193" s="1426" t="s">
        <v>23</v>
      </c>
      <c r="AZ193" s="1426" t="s">
        <v>24</v>
      </c>
      <c r="BA193" s="1546" t="s">
        <v>23</v>
      </c>
      <c r="BB193" s="1546" t="s">
        <v>24</v>
      </c>
      <c r="BE193" s="1519">
        <v>28</v>
      </c>
      <c r="BF193" s="1520">
        <f t="shared" si="41"/>
        <v>688</v>
      </c>
      <c r="BG193" s="1115">
        <f t="shared" si="42"/>
        <v>688</v>
      </c>
      <c r="BH193" s="1522">
        <f t="shared" si="38"/>
        <v>521.79520613711315</v>
      </c>
      <c r="BI193" s="1523">
        <f t="shared" si="39"/>
        <v>521.79520613711315</v>
      </c>
      <c r="BJ193" s="1523">
        <f t="shared" si="43"/>
        <v>5.7952061371131549</v>
      </c>
      <c r="BK193" s="1523" t="b">
        <f t="shared" si="40"/>
        <v>0</v>
      </c>
      <c r="BL193" s="1525">
        <v>28</v>
      </c>
      <c r="BP193" s="1555"/>
      <c r="BQ193" s="1555"/>
      <c r="BR193" s="1555"/>
      <c r="BS193" s="1555"/>
      <c r="BT193" s="1555"/>
      <c r="BU193" s="1555"/>
      <c r="BV193" s="1883"/>
      <c r="BW193" s="1883"/>
      <c r="CH193" s="1884"/>
      <c r="CI193" s="1884"/>
    </row>
    <row r="194" spans="1:109" ht="21" customHeight="1" thickBot="1" x14ac:dyDescent="0.35">
      <c r="B194" s="1428">
        <v>1</v>
      </c>
      <c r="C194" s="1429">
        <f>+AI184+D194</f>
        <v>0</v>
      </c>
      <c r="D194" s="1430">
        <v>0</v>
      </c>
      <c r="E194" s="1431" t="s">
        <v>119</v>
      </c>
      <c r="F194" s="1432">
        <f>+G194</f>
        <v>0</v>
      </c>
      <c r="G194" s="1432">
        <f>+D194</f>
        <v>0</v>
      </c>
      <c r="H194" s="1433">
        <v>279.06049999999999</v>
      </c>
      <c r="I194" s="1434">
        <v>79.962900599999998</v>
      </c>
      <c r="J194" s="1435">
        <f>+I194-C194</f>
        <v>79.962900599999998</v>
      </c>
      <c r="K194" s="1435">
        <f>+J194/2</f>
        <v>39.981450299999999</v>
      </c>
      <c r="L194" s="1435">
        <f t="shared" ref="L194:L213" si="75">SIN(K194*3.14159265358979/180)</f>
        <v>0.64253956655634092</v>
      </c>
      <c r="M194" s="1435">
        <f t="shared" ref="M194:M213" si="76">+L194*H194</f>
        <v>179.30741271299578</v>
      </c>
      <c r="N194" s="1435">
        <f t="shared" ref="N194:N213" si="77">+M194*2</f>
        <v>358.61482542599157</v>
      </c>
      <c r="O194" s="1435">
        <f>+C194/2</f>
        <v>0</v>
      </c>
      <c r="P194" s="1435">
        <f t="shared" ref="P194:P213" si="78">SIN(O194*3.14159265358979/180)</f>
        <v>0</v>
      </c>
      <c r="Q194" s="1435">
        <f t="shared" ref="Q194:Q213" si="79">+P194*N194</f>
        <v>0</v>
      </c>
      <c r="R194" s="1436">
        <v>213.83080000000001</v>
      </c>
      <c r="S194" s="1435">
        <f>+R194+Q194</f>
        <v>213.83080000000001</v>
      </c>
      <c r="T194" s="1437">
        <f t="shared" ref="T194:T213" si="80">+S194</f>
        <v>213.83080000000001</v>
      </c>
      <c r="U194" s="1384"/>
      <c r="V194" s="1438">
        <f t="shared" ref="V194:V213" si="81">IF(B194&lt;($B$191+1),T194,0)</f>
        <v>213.83080000000001</v>
      </c>
      <c r="W194" s="1439">
        <v>39.981450000000002</v>
      </c>
      <c r="X194" s="1438">
        <f>+W194+AI218</f>
        <v>39.981450000000002</v>
      </c>
      <c r="Y194" s="1439">
        <v>279.06049999999999</v>
      </c>
      <c r="Z194" s="624">
        <f>+COS(X194*3.14159265358979/180)*Y194</f>
        <v>213.83080883710866</v>
      </c>
      <c r="AA194" s="1440">
        <f>+AC193-Z194</f>
        <v>-8.8371086519600794E-6</v>
      </c>
      <c r="AB194" s="1441" t="str">
        <f>IF(AZ194&lt;0,"use the locking pin"," ")</f>
        <v xml:space="preserve"> </v>
      </c>
      <c r="AC194" s="1442">
        <f>IF(AD194=1,AF194)</f>
        <v>213.83080000000001</v>
      </c>
      <c r="AD194" s="1442">
        <f>MAX(AE$194:AE$213)</f>
        <v>1</v>
      </c>
      <c r="AE194" s="1442">
        <f>IF(V194=0,0,1)</f>
        <v>1</v>
      </c>
      <c r="AF194" s="1438">
        <f>SUM(V194:V213)/($B$191)</f>
        <v>213.83080000000001</v>
      </c>
      <c r="AG194" s="1438">
        <f>+AF194+AA170+AA138</f>
        <v>213.83078851743053</v>
      </c>
      <c r="AH194" s="1443">
        <f>C194</f>
        <v>0</v>
      </c>
      <c r="AI194" s="1444">
        <f>IF(B194&lt;($B$191+1),AH194)</f>
        <v>0</v>
      </c>
      <c r="AJ194" s="1445">
        <f>66.2555484-AH194</f>
        <v>66.255548399999995</v>
      </c>
      <c r="AK194" s="1446">
        <f t="shared" ref="AK194:AK213" si="82">SIN(AJ194*3.14159265358979/180)</f>
        <v>0.91535047595051022</v>
      </c>
      <c r="AL194" s="1447">
        <f>+AK194*304.3209</f>
        <v>278.56028065668761</v>
      </c>
      <c r="AM194" s="1445">
        <f>50.0185497+AH194</f>
        <v>50.018549700000001</v>
      </c>
      <c r="AN194" s="1448">
        <f>SIN(AM194*3.14159265358979/180)</f>
        <v>0.76625250760411079</v>
      </c>
      <c r="AO194" s="1449">
        <f>+AN194*279.0605</f>
        <v>213.83080789825695</v>
      </c>
      <c r="AP194" s="1450">
        <f t="shared" ref="AP194:AP213" si="83">((AF194*AQ194)+($AG$223*$AQ$223))/AR194</f>
        <v>127.79275135925988</v>
      </c>
      <c r="AQ194" s="1451">
        <f>40.5*B191</f>
        <v>40.5</v>
      </c>
      <c r="AR194" s="1450">
        <f>AQ194+$AQ$223+31</f>
        <v>97</v>
      </c>
      <c r="AS194" s="1452">
        <f>+AO194+AL194</f>
        <v>492.39108855494453</v>
      </c>
      <c r="AT194" s="1453">
        <f>+V194-AO194</f>
        <v>-7.8982569391428115E-6</v>
      </c>
      <c r="AU194" s="1454">
        <f>+AP194-AT194</f>
        <v>127.79275925751682</v>
      </c>
      <c r="AV194" s="1453"/>
      <c r="AW194" s="1455">
        <f>+((AS194-AU194)/AS194)*AR194</f>
        <v>71.825097496467166</v>
      </c>
      <c r="AX194" s="1455">
        <f>+(AU194/AS194)*AR194</f>
        <v>25.174902503532834</v>
      </c>
      <c r="AY194" s="1456">
        <f t="shared" ref="AY194:AY213" si="84">2*$C$20/AW194</f>
        <v>161.50343548883544</v>
      </c>
      <c r="AZ194" s="1456">
        <f t="shared" ref="AZ194:AZ213" si="85">$D$20/AX194</f>
        <v>397.22100209113756</v>
      </c>
      <c r="BA194" s="1457">
        <f>ABS(AY194)</f>
        <v>161.50343548883544</v>
      </c>
      <c r="BB194" s="1457">
        <f>ABS(AZ194)</f>
        <v>397.22100209113756</v>
      </c>
      <c r="BC194" s="1319" t="s">
        <v>43</v>
      </c>
      <c r="BE194" s="1519">
        <v>29</v>
      </c>
      <c r="BF194" s="1520">
        <f t="shared" si="41"/>
        <v>731</v>
      </c>
      <c r="BG194" s="1115">
        <f t="shared" si="42"/>
        <v>731</v>
      </c>
      <c r="BH194" s="1522">
        <f t="shared" si="38"/>
        <v>564.79520613711315</v>
      </c>
      <c r="BI194" s="1523">
        <f t="shared" si="39"/>
        <v>564.79520613711315</v>
      </c>
      <c r="BJ194" s="1523">
        <f t="shared" si="43"/>
        <v>5.7952061371131549</v>
      </c>
      <c r="BK194" s="1523" t="b">
        <f t="shared" si="40"/>
        <v>0</v>
      </c>
      <c r="BL194" s="1525">
        <v>29</v>
      </c>
    </row>
    <row r="195" spans="1:109" ht="21" customHeight="1" thickBot="1" x14ac:dyDescent="0.35">
      <c r="B195" s="1458">
        <v>2</v>
      </c>
      <c r="C195" s="1459"/>
      <c r="D195" s="1430">
        <v>0</v>
      </c>
      <c r="E195" s="1460" t="s">
        <v>130</v>
      </c>
      <c r="F195" s="1432" t="e">
        <f t="shared" ref="F195:F213" si="86">+G195</f>
        <v>#DIV/0!</v>
      </c>
      <c r="G195" s="1432" t="e">
        <f>+D195+BC195</f>
        <v>#DIV/0!</v>
      </c>
      <c r="H195" s="1433">
        <v>279.06049999999999</v>
      </c>
      <c r="I195" s="1434">
        <v>79.962900599999998</v>
      </c>
      <c r="J195" s="1461">
        <f t="shared" ref="J195:J213" si="87">+I195-D195</f>
        <v>79.962900599999998</v>
      </c>
      <c r="K195" s="1461">
        <f t="shared" ref="K195:K213" si="88">+J195/2</f>
        <v>39.981450299999999</v>
      </c>
      <c r="L195" s="1461">
        <f t="shared" si="75"/>
        <v>0.64253956655634092</v>
      </c>
      <c r="M195" s="1461">
        <f t="shared" si="76"/>
        <v>179.30741271299578</v>
      </c>
      <c r="N195" s="1461">
        <f t="shared" si="77"/>
        <v>358.61482542599157</v>
      </c>
      <c r="O195" s="1461">
        <f>+C194+(D195/2)</f>
        <v>0</v>
      </c>
      <c r="P195" s="1461">
        <f t="shared" si="78"/>
        <v>0</v>
      </c>
      <c r="Q195" s="1461">
        <f t="shared" si="79"/>
        <v>0</v>
      </c>
      <c r="R195" s="1461">
        <f t="shared" ref="R195:R213" si="89">+T194</f>
        <v>213.83080000000001</v>
      </c>
      <c r="S195" s="1461">
        <f>+R195+Q195</f>
        <v>213.83080000000001</v>
      </c>
      <c r="T195" s="1462">
        <f t="shared" si="80"/>
        <v>213.83080000000001</v>
      </c>
      <c r="V195" s="1463">
        <f t="shared" si="81"/>
        <v>0</v>
      </c>
      <c r="W195" s="1463"/>
      <c r="X195" s="1463"/>
      <c r="Y195" s="1463"/>
      <c r="Z195" s="1463"/>
      <c r="AA195" s="1463"/>
      <c r="AB195" s="1441" t="e">
        <f t="shared" ref="AB195:AB213" si="90">IF(AZ195&lt;0,"use the locking pin"," ")</f>
        <v>#DIV/0!</v>
      </c>
      <c r="AC195" s="1442" t="b">
        <f>IF(AD195=2,AF195)</f>
        <v>0</v>
      </c>
      <c r="AD195" s="1442">
        <f t="shared" ref="AD195:AD213" si="91">MAX(AE$194:AE$213)</f>
        <v>1</v>
      </c>
      <c r="AE195" s="1442">
        <f>IF(V195=0,0,2)</f>
        <v>0</v>
      </c>
      <c r="AF195" s="1463" t="e">
        <f>SUM(V195:V214)/($B$191-B194)</f>
        <v>#DIV/0!</v>
      </c>
      <c r="AG195" s="1463"/>
      <c r="AH195" s="1464">
        <f>SUM(D195)+$C$194</f>
        <v>0</v>
      </c>
      <c r="AI195" s="1444" t="b">
        <f t="shared" ref="AI195:AI213" si="92">IF(B195&lt;($B$191+1),AH195)</f>
        <v>0</v>
      </c>
      <c r="AJ195" s="1445">
        <f t="shared" ref="AJ195:AJ213" si="93">66.2555484-AH195</f>
        <v>66.255548399999995</v>
      </c>
      <c r="AK195" s="1465">
        <f t="shared" si="82"/>
        <v>0.91535047595051022</v>
      </c>
      <c r="AL195" s="1447">
        <f t="shared" ref="AL195:AL213" si="94">+AK195*304.3209</f>
        <v>278.56028065668761</v>
      </c>
      <c r="AM195" s="1445">
        <f t="shared" ref="AM195:AM213" si="95">50.0185497+AH195</f>
        <v>50.018549700000001</v>
      </c>
      <c r="AN195" s="1466">
        <f t="shared" ref="AN195:AN213" si="96">SIN(AM195*3.14159265358979/180)</f>
        <v>0.76625250760411079</v>
      </c>
      <c r="AO195" s="1449">
        <f t="shared" ref="AO195:AO213" si="97">+AN195*279.0605</f>
        <v>213.83080789825695</v>
      </c>
      <c r="AP195" s="1450" t="e">
        <f t="shared" si="83"/>
        <v>#DIV/0!</v>
      </c>
      <c r="AQ195" s="1449">
        <f>40.5*($B$191-B194)</f>
        <v>0</v>
      </c>
      <c r="AR195" s="1450">
        <f>AQ195+$AQ$223+31</f>
        <v>56.5</v>
      </c>
      <c r="AS195" s="1467">
        <f t="shared" ref="AS195:AS213" si="98">+AO195+AL195</f>
        <v>492.39108855494453</v>
      </c>
      <c r="AT195" s="1468">
        <f>+V195-AO195</f>
        <v>-213.83080789825695</v>
      </c>
      <c r="AU195" s="1454" t="e">
        <f t="shared" ref="AU195:AU213" si="99">+AP195-AT195</f>
        <v>#DIV/0!</v>
      </c>
      <c r="AV195" s="1468"/>
      <c r="AW195" s="1455" t="e">
        <f t="shared" ref="AW195:AW213" si="100">+((AS195-AU195)/AS195)*AR195</f>
        <v>#DIV/0!</v>
      </c>
      <c r="AX195" s="1455" t="e">
        <f t="shared" ref="AX195:AX213" si="101">+(AU195/AS195)*AR195</f>
        <v>#DIV/0!</v>
      </c>
      <c r="AY195" s="1456" t="e">
        <f t="shared" si="84"/>
        <v>#DIV/0!</v>
      </c>
      <c r="AZ195" s="1456" t="e">
        <f t="shared" si="85"/>
        <v>#DIV/0!</v>
      </c>
      <c r="BA195" s="1457" t="e">
        <f t="shared" ref="BA195:BB213" si="102">ABS(AY195)</f>
        <v>#DIV/0!</v>
      </c>
      <c r="BB195" s="1457" t="e">
        <f t="shared" si="102"/>
        <v>#DIV/0!</v>
      </c>
      <c r="BC195" s="1118" t="e">
        <f t="shared" ref="BC195:BC213" si="103">IF(AZ195&lt;0,0.3,0)</f>
        <v>#DIV/0!</v>
      </c>
      <c r="BE195" s="1519">
        <v>30</v>
      </c>
      <c r="BF195" s="1520">
        <f t="shared" si="41"/>
        <v>774</v>
      </c>
      <c r="BG195" s="1115">
        <f t="shared" si="42"/>
        <v>774</v>
      </c>
      <c r="BH195" s="1522">
        <f t="shared" si="38"/>
        <v>607.79520613711315</v>
      </c>
      <c r="BI195" s="1523">
        <f t="shared" si="39"/>
        <v>607.79520613711315</v>
      </c>
      <c r="BJ195" s="1523">
        <f t="shared" si="43"/>
        <v>5.7952061371131549</v>
      </c>
      <c r="BK195" s="1523" t="b">
        <f t="shared" si="40"/>
        <v>0</v>
      </c>
      <c r="BL195" s="1525">
        <v>30</v>
      </c>
    </row>
    <row r="196" spans="1:109" ht="21" customHeight="1" thickBot="1" x14ac:dyDescent="0.35">
      <c r="B196" s="1458">
        <v>3</v>
      </c>
      <c r="C196" s="1459"/>
      <c r="D196" s="1430">
        <v>0</v>
      </c>
      <c r="E196" s="1460" t="s">
        <v>130</v>
      </c>
      <c r="F196" s="1432">
        <f t="shared" si="86"/>
        <v>0</v>
      </c>
      <c r="G196" s="1432">
        <f t="shared" ref="G196:G213" si="104">+D196+BC196</f>
        <v>0</v>
      </c>
      <c r="H196" s="1433">
        <v>279.06049999999999</v>
      </c>
      <c r="I196" s="1434">
        <v>79.962900599999998</v>
      </c>
      <c r="J196" s="1461">
        <f t="shared" si="87"/>
        <v>79.962900599999998</v>
      </c>
      <c r="K196" s="1461">
        <f t="shared" si="88"/>
        <v>39.981450299999999</v>
      </c>
      <c r="L196" s="1461">
        <f t="shared" si="75"/>
        <v>0.64253956655634092</v>
      </c>
      <c r="M196" s="1461">
        <f t="shared" si="76"/>
        <v>179.30741271299578</v>
      </c>
      <c r="N196" s="1461">
        <f t="shared" si="77"/>
        <v>358.61482542599157</v>
      </c>
      <c r="O196" s="1461">
        <f>+C194+D195+(D196/2)</f>
        <v>0</v>
      </c>
      <c r="P196" s="1461">
        <f t="shared" si="78"/>
        <v>0</v>
      </c>
      <c r="Q196" s="1461">
        <f t="shared" si="79"/>
        <v>0</v>
      </c>
      <c r="R196" s="1461">
        <f t="shared" si="89"/>
        <v>213.83080000000001</v>
      </c>
      <c r="S196" s="1461">
        <f t="shared" ref="S196:S213" si="105">+S195+Q196</f>
        <v>213.83080000000001</v>
      </c>
      <c r="T196" s="1462">
        <f t="shared" si="80"/>
        <v>213.83080000000001</v>
      </c>
      <c r="V196" s="1463">
        <f t="shared" si="81"/>
        <v>0</v>
      </c>
      <c r="W196" s="1463"/>
      <c r="X196" s="1463"/>
      <c r="Y196" s="1463"/>
      <c r="Z196" s="1463"/>
      <c r="AA196" s="1463"/>
      <c r="AB196" s="1441" t="str">
        <f t="shared" si="90"/>
        <v xml:space="preserve"> </v>
      </c>
      <c r="AC196" s="1442" t="b">
        <f>IF(AD196=3,AF196)</f>
        <v>0</v>
      </c>
      <c r="AD196" s="1442">
        <f t="shared" si="91"/>
        <v>1</v>
      </c>
      <c r="AE196" s="1442">
        <f>IF(V196=0,0,3)</f>
        <v>0</v>
      </c>
      <c r="AF196" s="1463">
        <f>SUM(V196:V213)/($B$191-B195)</f>
        <v>0</v>
      </c>
      <c r="AG196" s="1463"/>
      <c r="AH196" s="1464">
        <f>SUM(D195:D196)+$C$194</f>
        <v>0</v>
      </c>
      <c r="AI196" s="1444" t="b">
        <f t="shared" si="92"/>
        <v>0</v>
      </c>
      <c r="AJ196" s="1445">
        <f t="shared" si="93"/>
        <v>66.255548399999995</v>
      </c>
      <c r="AK196" s="1465">
        <f t="shared" si="82"/>
        <v>0.91535047595051022</v>
      </c>
      <c r="AL196" s="1447">
        <f t="shared" si="94"/>
        <v>278.56028065668761</v>
      </c>
      <c r="AM196" s="1445">
        <f t="shared" si="95"/>
        <v>50.018549700000001</v>
      </c>
      <c r="AN196" s="1466">
        <f t="shared" si="96"/>
        <v>0.76625250760411079</v>
      </c>
      <c r="AO196" s="1449">
        <f t="shared" si="97"/>
        <v>213.83080789825695</v>
      </c>
      <c r="AP196" s="1450">
        <f t="shared" si="83"/>
        <v>233.48434261551299</v>
      </c>
      <c r="AQ196" s="1449">
        <f t="shared" ref="AQ196:AQ213" si="106">40.5*($B$191-B195)</f>
        <v>-40.5</v>
      </c>
      <c r="AR196" s="1450">
        <f t="shared" ref="AR196:AR213" si="107">AQ196+$AQ$223+31</f>
        <v>16</v>
      </c>
      <c r="AS196" s="1467">
        <f t="shared" si="98"/>
        <v>492.39108855494453</v>
      </c>
      <c r="AT196" s="1468">
        <f>+V196-AO196</f>
        <v>-213.83080789825695</v>
      </c>
      <c r="AU196" s="1454">
        <f t="shared" si="99"/>
        <v>447.31515051376994</v>
      </c>
      <c r="AV196" s="1468"/>
      <c r="AW196" s="1455">
        <f t="shared" si="100"/>
        <v>1.4647198648037985</v>
      </c>
      <c r="AX196" s="1455">
        <f t="shared" si="101"/>
        <v>14.535280135196201</v>
      </c>
      <c r="AY196" s="1456">
        <f t="shared" si="84"/>
        <v>7919.6031123356397</v>
      </c>
      <c r="AZ196" s="1456">
        <f t="shared" si="85"/>
        <v>687.98123648031208</v>
      </c>
      <c r="BA196" s="1457">
        <f t="shared" si="102"/>
        <v>7919.6031123356397</v>
      </c>
      <c r="BB196" s="1457">
        <f t="shared" si="102"/>
        <v>687.98123648031208</v>
      </c>
      <c r="BC196" s="1118">
        <f t="shared" si="103"/>
        <v>0</v>
      </c>
      <c r="BE196" s="1519">
        <v>31</v>
      </c>
      <c r="BF196" s="1520">
        <f t="shared" si="41"/>
        <v>817</v>
      </c>
      <c r="BG196" s="1115">
        <f t="shared" si="42"/>
        <v>817</v>
      </c>
      <c r="BH196" s="1522">
        <f t="shared" si="38"/>
        <v>650.79520613711315</v>
      </c>
      <c r="BI196" s="1523">
        <f t="shared" si="39"/>
        <v>650.79520613711315</v>
      </c>
      <c r="BJ196" s="1523">
        <f t="shared" si="43"/>
        <v>5.7952061371131549</v>
      </c>
      <c r="BK196" s="1523" t="b">
        <f t="shared" si="40"/>
        <v>0</v>
      </c>
      <c r="BL196" s="1525">
        <v>31</v>
      </c>
    </row>
    <row r="197" spans="1:109" ht="21" customHeight="1" thickBot="1" x14ac:dyDescent="0.35">
      <c r="B197" s="1458">
        <v>4</v>
      </c>
      <c r="C197" s="1459"/>
      <c r="D197" s="1430">
        <v>0</v>
      </c>
      <c r="E197" s="1460" t="s">
        <v>130</v>
      </c>
      <c r="F197" s="1432">
        <f t="shared" si="86"/>
        <v>0.3</v>
      </c>
      <c r="G197" s="1432">
        <f t="shared" si="104"/>
        <v>0.3</v>
      </c>
      <c r="H197" s="1433">
        <v>279.06049999999999</v>
      </c>
      <c r="I197" s="1434">
        <v>79.962900599999998</v>
      </c>
      <c r="J197" s="1461">
        <f t="shared" si="87"/>
        <v>79.962900599999998</v>
      </c>
      <c r="K197" s="1461">
        <f t="shared" si="88"/>
        <v>39.981450299999999</v>
      </c>
      <c r="L197" s="1461">
        <f t="shared" si="75"/>
        <v>0.64253956655634092</v>
      </c>
      <c r="M197" s="1461">
        <f t="shared" si="76"/>
        <v>179.30741271299578</v>
      </c>
      <c r="N197" s="1461">
        <f t="shared" si="77"/>
        <v>358.61482542599157</v>
      </c>
      <c r="O197" s="1461">
        <f>+C194+D195+D196+(D197/2)</f>
        <v>0</v>
      </c>
      <c r="P197" s="1461">
        <f t="shared" si="78"/>
        <v>0</v>
      </c>
      <c r="Q197" s="1461">
        <f t="shared" si="79"/>
        <v>0</v>
      </c>
      <c r="R197" s="1461">
        <f t="shared" si="89"/>
        <v>213.83080000000001</v>
      </c>
      <c r="S197" s="1461">
        <f t="shared" si="105"/>
        <v>213.83080000000001</v>
      </c>
      <c r="T197" s="1462">
        <f t="shared" si="80"/>
        <v>213.83080000000001</v>
      </c>
      <c r="V197" s="1463">
        <f t="shared" si="81"/>
        <v>0</v>
      </c>
      <c r="W197" s="1463"/>
      <c r="X197" s="1463"/>
      <c r="Y197" s="1463"/>
      <c r="Z197" s="1463"/>
      <c r="AA197" s="1463"/>
      <c r="AB197" s="1441" t="str">
        <f t="shared" si="90"/>
        <v>use the locking pin</v>
      </c>
      <c r="AC197" s="1442" t="b">
        <f>IF(AD197=4,AF197)</f>
        <v>0</v>
      </c>
      <c r="AD197" s="1442">
        <f t="shared" si="91"/>
        <v>1</v>
      </c>
      <c r="AE197" s="1442">
        <f>IF(V197=0,0,4)</f>
        <v>0</v>
      </c>
      <c r="AF197" s="1463">
        <f>SUM(V197:V213)/($B$191-B196)</f>
        <v>0</v>
      </c>
      <c r="AG197" s="1463"/>
      <c r="AH197" s="1464">
        <f>SUM(D195:D197)+$C$194</f>
        <v>0</v>
      </c>
      <c r="AI197" s="1444" t="b">
        <f t="shared" si="92"/>
        <v>0</v>
      </c>
      <c r="AJ197" s="1445">
        <f t="shared" si="93"/>
        <v>66.255548399999995</v>
      </c>
      <c r="AK197" s="1465">
        <f t="shared" si="82"/>
        <v>0.91535047595051022</v>
      </c>
      <c r="AL197" s="1447">
        <f t="shared" si="94"/>
        <v>278.56028065668761</v>
      </c>
      <c r="AM197" s="1445">
        <f t="shared" si="95"/>
        <v>50.018549700000001</v>
      </c>
      <c r="AN197" s="1466">
        <f t="shared" si="96"/>
        <v>0.76625250760411079</v>
      </c>
      <c r="AO197" s="1449">
        <f t="shared" si="97"/>
        <v>213.83080789825695</v>
      </c>
      <c r="AP197" s="1450">
        <f t="shared" si="83"/>
        <v>-152.47957068768196</v>
      </c>
      <c r="AQ197" s="1449">
        <f t="shared" si="106"/>
        <v>-81</v>
      </c>
      <c r="AR197" s="1450">
        <f t="shared" si="107"/>
        <v>-24.5</v>
      </c>
      <c r="AS197" s="1467">
        <f t="shared" si="98"/>
        <v>492.39108855494453</v>
      </c>
      <c r="AT197" s="1468">
        <f>+V197-AO197</f>
        <v>-213.83080789825695</v>
      </c>
      <c r="AU197" s="1454">
        <f t="shared" si="99"/>
        <v>61.351237210574993</v>
      </c>
      <c r="AV197" s="1468"/>
      <c r="AW197" s="1455">
        <f t="shared" si="100"/>
        <v>-21.447334453045528</v>
      </c>
      <c r="AX197" s="1455">
        <f t="shared" si="101"/>
        <v>-3.0526655469544717</v>
      </c>
      <c r="AY197" s="1456">
        <f t="shared" si="84"/>
        <v>-540.85975231074906</v>
      </c>
      <c r="AZ197" s="1456">
        <f t="shared" si="85"/>
        <v>-3275.8256173777763</v>
      </c>
      <c r="BA197" s="1457">
        <f t="shared" si="102"/>
        <v>540.85975231074906</v>
      </c>
      <c r="BB197" s="1457">
        <f t="shared" si="102"/>
        <v>3275.8256173777763</v>
      </c>
      <c r="BC197" s="1118">
        <f t="shared" si="103"/>
        <v>0.3</v>
      </c>
      <c r="BE197" s="1519">
        <v>32</v>
      </c>
      <c r="BF197" s="1520">
        <f t="shared" si="41"/>
        <v>860</v>
      </c>
      <c r="BG197" s="1115">
        <f t="shared" si="42"/>
        <v>860</v>
      </c>
      <c r="BH197" s="1522">
        <f t="shared" si="38"/>
        <v>693.79520613711315</v>
      </c>
      <c r="BI197" s="1523">
        <f t="shared" si="39"/>
        <v>693.79520613711315</v>
      </c>
      <c r="BJ197" s="1523">
        <f t="shared" si="43"/>
        <v>5.7952061371131549</v>
      </c>
      <c r="BK197" s="1523" t="b">
        <f t="shared" si="40"/>
        <v>0</v>
      </c>
      <c r="BL197" s="1525">
        <v>32</v>
      </c>
    </row>
    <row r="198" spans="1:109" ht="21" customHeight="1" thickBot="1" x14ac:dyDescent="0.35">
      <c r="B198" s="1458">
        <v>5</v>
      </c>
      <c r="C198" s="1459"/>
      <c r="D198" s="1430">
        <v>0</v>
      </c>
      <c r="E198" s="1460" t="s">
        <v>130</v>
      </c>
      <c r="F198" s="1432">
        <f t="shared" si="86"/>
        <v>0.3</v>
      </c>
      <c r="G198" s="1432">
        <f>+D198+BC198</f>
        <v>0.3</v>
      </c>
      <c r="H198" s="1433">
        <v>279.06049999999999</v>
      </c>
      <c r="I198" s="1434">
        <v>79.962900599999998</v>
      </c>
      <c r="J198" s="1461">
        <f t="shared" si="87"/>
        <v>79.962900599999998</v>
      </c>
      <c r="K198" s="1461">
        <f t="shared" si="88"/>
        <v>39.981450299999999</v>
      </c>
      <c r="L198" s="1461">
        <f t="shared" si="75"/>
        <v>0.64253956655634092</v>
      </c>
      <c r="M198" s="1461">
        <f t="shared" si="76"/>
        <v>179.30741271299578</v>
      </c>
      <c r="N198" s="1461">
        <f t="shared" si="77"/>
        <v>358.61482542599157</v>
      </c>
      <c r="O198" s="1461">
        <f>+C194+D195+D196+D197+(D198/2)</f>
        <v>0</v>
      </c>
      <c r="P198" s="1461">
        <f t="shared" si="78"/>
        <v>0</v>
      </c>
      <c r="Q198" s="1461">
        <f t="shared" si="79"/>
        <v>0</v>
      </c>
      <c r="R198" s="1461">
        <f t="shared" si="89"/>
        <v>213.83080000000001</v>
      </c>
      <c r="S198" s="1461">
        <f t="shared" si="105"/>
        <v>213.83080000000001</v>
      </c>
      <c r="T198" s="1462">
        <f t="shared" si="80"/>
        <v>213.83080000000001</v>
      </c>
      <c r="V198" s="1463">
        <f t="shared" si="81"/>
        <v>0</v>
      </c>
      <c r="W198" s="1463"/>
      <c r="X198" s="1463"/>
      <c r="Y198" s="1463"/>
      <c r="Z198" s="1463"/>
      <c r="AA198" s="1463"/>
      <c r="AB198" s="1441" t="str">
        <f t="shared" si="90"/>
        <v>use the locking pin</v>
      </c>
      <c r="AC198" s="1442" t="b">
        <f>IF(AD198=5,AF198)</f>
        <v>0</v>
      </c>
      <c r="AD198" s="1442">
        <f t="shared" si="91"/>
        <v>1</v>
      </c>
      <c r="AE198" s="1442">
        <f>IF(V198=0,0,5)</f>
        <v>0</v>
      </c>
      <c r="AF198" s="1463">
        <f>SUM(V198:V213)/($B$191-B197)</f>
        <v>0</v>
      </c>
      <c r="AG198" s="1463"/>
      <c r="AH198" s="1464">
        <f>SUM(D195:D198)+$C$194</f>
        <v>0</v>
      </c>
      <c r="AI198" s="1444" t="b">
        <f t="shared" si="92"/>
        <v>0</v>
      </c>
      <c r="AJ198" s="1445">
        <f t="shared" si="93"/>
        <v>66.255548399999995</v>
      </c>
      <c r="AK198" s="1465">
        <f t="shared" si="82"/>
        <v>0.91535047595051022</v>
      </c>
      <c r="AL198" s="1447">
        <f t="shared" si="94"/>
        <v>278.56028065668761</v>
      </c>
      <c r="AM198" s="1445">
        <f t="shared" si="95"/>
        <v>50.018549700000001</v>
      </c>
      <c r="AN198" s="1466">
        <f t="shared" si="96"/>
        <v>0.76625250760411079</v>
      </c>
      <c r="AO198" s="1449">
        <f t="shared" si="97"/>
        <v>213.83080789825695</v>
      </c>
      <c r="AP198" s="1450">
        <f t="shared" si="83"/>
        <v>-57.473068951510889</v>
      </c>
      <c r="AQ198" s="1449">
        <f t="shared" si="106"/>
        <v>-121.5</v>
      </c>
      <c r="AR198" s="1450">
        <f t="shared" si="107"/>
        <v>-65</v>
      </c>
      <c r="AS198" s="1467">
        <f t="shared" si="98"/>
        <v>492.39108855494453</v>
      </c>
      <c r="AT198" s="1468">
        <f t="shared" ref="AT198:AT213" si="108">+V198-AO198</f>
        <v>-213.83080789825695</v>
      </c>
      <c r="AU198" s="1454">
        <f t="shared" si="99"/>
        <v>156.35773894674605</v>
      </c>
      <c r="AV198" s="1468"/>
      <c r="AW198" s="1455">
        <f t="shared" si="100"/>
        <v>-44.35938877089486</v>
      </c>
      <c r="AX198" s="1455">
        <f t="shared" si="101"/>
        <v>-20.640611229105144</v>
      </c>
      <c r="AY198" s="1456">
        <f t="shared" si="84"/>
        <v>-261.50044717502976</v>
      </c>
      <c r="AZ198" s="1456">
        <f t="shared" si="85"/>
        <v>-484.4817766781581</v>
      </c>
      <c r="BA198" s="1457">
        <f t="shared" si="102"/>
        <v>261.50044717502976</v>
      </c>
      <c r="BB198" s="1457">
        <f t="shared" si="102"/>
        <v>484.4817766781581</v>
      </c>
      <c r="BC198" s="1118">
        <f t="shared" si="103"/>
        <v>0.3</v>
      </c>
      <c r="BE198" s="1519">
        <v>33</v>
      </c>
      <c r="BF198" s="1520">
        <f t="shared" si="41"/>
        <v>903</v>
      </c>
      <c r="BG198" s="1115">
        <f t="shared" si="42"/>
        <v>903</v>
      </c>
      <c r="BH198" s="1522">
        <f t="shared" si="38"/>
        <v>736.79520613711315</v>
      </c>
      <c r="BI198" s="1523">
        <f t="shared" si="39"/>
        <v>736.79520613711315</v>
      </c>
      <c r="BJ198" s="1523">
        <f t="shared" si="43"/>
        <v>5.7952061371131549</v>
      </c>
      <c r="BK198" s="1523" t="b">
        <f t="shared" si="40"/>
        <v>0</v>
      </c>
      <c r="BL198" s="1525">
        <v>33</v>
      </c>
      <c r="DE198" s="1551"/>
    </row>
    <row r="199" spans="1:109" ht="21" customHeight="1" thickBot="1" x14ac:dyDescent="0.35">
      <c r="B199" s="1458">
        <v>6</v>
      </c>
      <c r="C199" s="1459"/>
      <c r="D199" s="1430">
        <v>0</v>
      </c>
      <c r="E199" s="1460" t="s">
        <v>130</v>
      </c>
      <c r="F199" s="1432">
        <f t="shared" si="86"/>
        <v>0.3</v>
      </c>
      <c r="G199" s="1432">
        <f t="shared" si="104"/>
        <v>0.3</v>
      </c>
      <c r="H199" s="1433">
        <v>279.06049999999999</v>
      </c>
      <c r="I199" s="1434">
        <v>79.962900599999998</v>
      </c>
      <c r="J199" s="1461">
        <f t="shared" si="87"/>
        <v>79.962900599999998</v>
      </c>
      <c r="K199" s="1461">
        <f t="shared" si="88"/>
        <v>39.981450299999999</v>
      </c>
      <c r="L199" s="1461">
        <f t="shared" si="75"/>
        <v>0.64253956655634092</v>
      </c>
      <c r="M199" s="1461">
        <f t="shared" si="76"/>
        <v>179.30741271299578</v>
      </c>
      <c r="N199" s="1461">
        <f t="shared" si="77"/>
        <v>358.61482542599157</v>
      </c>
      <c r="O199" s="1461">
        <f>+C194+D195+D196+D197+D198+(D199/2)</f>
        <v>0</v>
      </c>
      <c r="P199" s="1461">
        <f t="shared" si="78"/>
        <v>0</v>
      </c>
      <c r="Q199" s="1461">
        <f t="shared" si="79"/>
        <v>0</v>
      </c>
      <c r="R199" s="1461">
        <f t="shared" si="89"/>
        <v>213.83080000000001</v>
      </c>
      <c r="S199" s="1461">
        <f t="shared" si="105"/>
        <v>213.83080000000001</v>
      </c>
      <c r="T199" s="1462">
        <f t="shared" si="80"/>
        <v>213.83080000000001</v>
      </c>
      <c r="V199" s="1463">
        <f t="shared" si="81"/>
        <v>0</v>
      </c>
      <c r="W199" s="1463"/>
      <c r="X199" s="1463"/>
      <c r="Y199" s="1463"/>
      <c r="Z199" s="1463"/>
      <c r="AA199" s="1463"/>
      <c r="AB199" s="1441" t="str">
        <f t="shared" si="90"/>
        <v>use the locking pin</v>
      </c>
      <c r="AC199" s="1442" t="b">
        <f>IF(AD199=6,AF199)</f>
        <v>0</v>
      </c>
      <c r="AD199" s="1442">
        <f t="shared" si="91"/>
        <v>1</v>
      </c>
      <c r="AE199" s="1442">
        <f>IF(V199=0,0,6)</f>
        <v>0</v>
      </c>
      <c r="AF199" s="1463">
        <f>SUM(V199:V213)/($B$191-B198)</f>
        <v>0</v>
      </c>
      <c r="AG199" s="1463"/>
      <c r="AH199" s="1464">
        <f>SUM(D195:D199)+$C$194</f>
        <v>0</v>
      </c>
      <c r="AI199" s="1444" t="b">
        <f t="shared" si="92"/>
        <v>0</v>
      </c>
      <c r="AJ199" s="1445">
        <f t="shared" si="93"/>
        <v>66.255548399999995</v>
      </c>
      <c r="AK199" s="1465">
        <f t="shared" si="82"/>
        <v>0.91535047595051022</v>
      </c>
      <c r="AL199" s="1447">
        <f t="shared" si="94"/>
        <v>278.56028065668761</v>
      </c>
      <c r="AM199" s="1445">
        <f t="shared" si="95"/>
        <v>50.018549700000001</v>
      </c>
      <c r="AN199" s="1466">
        <f t="shared" si="96"/>
        <v>0.76625250760411079</v>
      </c>
      <c r="AO199" s="1449">
        <f t="shared" si="97"/>
        <v>213.83080789825695</v>
      </c>
      <c r="AP199" s="1450">
        <f t="shared" si="83"/>
        <v>-35.409947695243673</v>
      </c>
      <c r="AQ199" s="1449">
        <f t="shared" si="106"/>
        <v>-162</v>
      </c>
      <c r="AR199" s="1450">
        <f t="shared" si="107"/>
        <v>-105.5</v>
      </c>
      <c r="AS199" s="1467">
        <f t="shared" si="98"/>
        <v>492.39108855494453</v>
      </c>
      <c r="AT199" s="1468">
        <f t="shared" si="108"/>
        <v>-213.83080789825695</v>
      </c>
      <c r="AU199" s="1454">
        <f t="shared" si="99"/>
        <v>178.42086020301326</v>
      </c>
      <c r="AV199" s="1468"/>
      <c r="AW199" s="1455">
        <f t="shared" si="100"/>
        <v>-67.271443088744178</v>
      </c>
      <c r="AX199" s="1455">
        <f t="shared" si="101"/>
        <v>-38.228556911255815</v>
      </c>
      <c r="AY199" s="1456">
        <f t="shared" si="84"/>
        <v>-172.43572409614185</v>
      </c>
      <c r="AZ199" s="1456">
        <f t="shared" si="85"/>
        <v>-261.58455374640766</v>
      </c>
      <c r="BA199" s="1457">
        <f t="shared" si="102"/>
        <v>172.43572409614185</v>
      </c>
      <c r="BB199" s="1457">
        <f t="shared" si="102"/>
        <v>261.58455374640766</v>
      </c>
      <c r="BC199" s="1118">
        <f t="shared" si="103"/>
        <v>0.3</v>
      </c>
      <c r="BE199" s="1519">
        <v>34</v>
      </c>
      <c r="BF199" s="1520">
        <f t="shared" si="41"/>
        <v>946</v>
      </c>
      <c r="BG199" s="1115">
        <f t="shared" si="42"/>
        <v>946</v>
      </c>
      <c r="BH199" s="1522">
        <f t="shared" si="38"/>
        <v>779.79520613711315</v>
      </c>
      <c r="BI199" s="1523">
        <f t="shared" si="39"/>
        <v>779.79520613711315</v>
      </c>
      <c r="BJ199" s="1523">
        <f t="shared" si="43"/>
        <v>5.7952061371131549</v>
      </c>
      <c r="BK199" s="1523" t="b">
        <f t="shared" si="40"/>
        <v>0</v>
      </c>
      <c r="BL199" s="1525">
        <v>34</v>
      </c>
    </row>
    <row r="200" spans="1:109" ht="21" customHeight="1" thickBot="1" x14ac:dyDescent="0.35">
      <c r="B200" s="1458">
        <v>7</v>
      </c>
      <c r="C200" s="1459"/>
      <c r="D200" s="1430">
        <v>0</v>
      </c>
      <c r="E200" s="1460" t="s">
        <v>130</v>
      </c>
      <c r="F200" s="1432">
        <f t="shared" si="86"/>
        <v>0.3</v>
      </c>
      <c r="G200" s="1432">
        <f t="shared" si="104"/>
        <v>0.3</v>
      </c>
      <c r="H200" s="1433">
        <v>279.06049999999999</v>
      </c>
      <c r="I200" s="1434">
        <v>79.962900599999998</v>
      </c>
      <c r="J200" s="1461">
        <f t="shared" si="87"/>
        <v>79.962900599999998</v>
      </c>
      <c r="K200" s="1461">
        <f t="shared" si="88"/>
        <v>39.981450299999999</v>
      </c>
      <c r="L200" s="1461">
        <f t="shared" si="75"/>
        <v>0.64253956655634092</v>
      </c>
      <c r="M200" s="1461">
        <f t="shared" si="76"/>
        <v>179.30741271299578</v>
      </c>
      <c r="N200" s="1461">
        <f t="shared" si="77"/>
        <v>358.61482542599157</v>
      </c>
      <c r="O200" s="1461">
        <f>+C194+D195+D196+D197+D198+D199+(D200/2)</f>
        <v>0</v>
      </c>
      <c r="P200" s="1461">
        <f t="shared" si="78"/>
        <v>0</v>
      </c>
      <c r="Q200" s="1461">
        <f t="shared" si="79"/>
        <v>0</v>
      </c>
      <c r="R200" s="1461">
        <f t="shared" si="89"/>
        <v>213.83080000000001</v>
      </c>
      <c r="S200" s="1461">
        <f t="shared" si="105"/>
        <v>213.83080000000001</v>
      </c>
      <c r="T200" s="1462">
        <f t="shared" si="80"/>
        <v>213.83080000000001</v>
      </c>
      <c r="V200" s="1463">
        <f t="shared" si="81"/>
        <v>0</v>
      </c>
      <c r="W200" s="1463"/>
      <c r="X200" s="1463"/>
      <c r="Y200" s="1463"/>
      <c r="Z200" s="1463"/>
      <c r="AA200" s="1463"/>
      <c r="AB200" s="1441" t="str">
        <f t="shared" si="90"/>
        <v>use the locking pin</v>
      </c>
      <c r="AC200" s="1442" t="b">
        <f>IF(AD200=7,AF200)</f>
        <v>0</v>
      </c>
      <c r="AD200" s="1442">
        <f t="shared" si="91"/>
        <v>1</v>
      </c>
      <c r="AE200" s="1442">
        <f>IF(V200=0,0,7)</f>
        <v>0</v>
      </c>
      <c r="AF200" s="1463">
        <f>SUM(V200:V213)/($B$191-B199)</f>
        <v>0</v>
      </c>
      <c r="AG200" s="1463"/>
      <c r="AH200" s="1464">
        <f>SUM(D195:D200)+$C$194</f>
        <v>0</v>
      </c>
      <c r="AI200" s="1444" t="b">
        <f t="shared" si="92"/>
        <v>0</v>
      </c>
      <c r="AJ200" s="1445">
        <f t="shared" si="93"/>
        <v>66.255548399999995</v>
      </c>
      <c r="AK200" s="1465">
        <f t="shared" si="82"/>
        <v>0.91535047595051022</v>
      </c>
      <c r="AL200" s="1447">
        <f t="shared" si="94"/>
        <v>278.56028065668761</v>
      </c>
      <c r="AM200" s="1445">
        <f t="shared" si="95"/>
        <v>50.018549700000001</v>
      </c>
      <c r="AN200" s="1466">
        <f t="shared" si="96"/>
        <v>0.76625250760411079</v>
      </c>
      <c r="AO200" s="1449">
        <f t="shared" si="97"/>
        <v>213.83080789825695</v>
      </c>
      <c r="AP200" s="1450">
        <f t="shared" si="83"/>
        <v>-25.58732521813841</v>
      </c>
      <c r="AQ200" s="1449">
        <f t="shared" si="106"/>
        <v>-202.5</v>
      </c>
      <c r="AR200" s="1450">
        <f t="shared" si="107"/>
        <v>-146</v>
      </c>
      <c r="AS200" s="1467">
        <f t="shared" si="98"/>
        <v>492.39108855494453</v>
      </c>
      <c r="AT200" s="1468">
        <f t="shared" si="108"/>
        <v>-213.83080789825695</v>
      </c>
      <c r="AU200" s="1454">
        <f t="shared" si="99"/>
        <v>188.24348268011855</v>
      </c>
      <c r="AV200" s="1468"/>
      <c r="AW200" s="1455">
        <f t="shared" si="100"/>
        <v>-90.183497406593517</v>
      </c>
      <c r="AX200" s="1455">
        <f t="shared" si="101"/>
        <v>-55.816502593406497</v>
      </c>
      <c r="AY200" s="1456">
        <f t="shared" si="84"/>
        <v>-128.62663717399695</v>
      </c>
      <c r="AZ200" s="1456">
        <f t="shared" si="85"/>
        <v>-179.15848423618863</v>
      </c>
      <c r="BA200" s="1457">
        <f t="shared" si="102"/>
        <v>128.62663717399695</v>
      </c>
      <c r="BB200" s="1457">
        <f t="shared" si="102"/>
        <v>179.15848423618863</v>
      </c>
      <c r="BC200" s="1118">
        <f t="shared" si="103"/>
        <v>0.3</v>
      </c>
      <c r="BE200" s="1519">
        <v>35</v>
      </c>
      <c r="BF200" s="1520">
        <f t="shared" si="41"/>
        <v>989</v>
      </c>
      <c r="BG200" s="1115">
        <f t="shared" si="42"/>
        <v>989</v>
      </c>
      <c r="BH200" s="1522">
        <f t="shared" si="38"/>
        <v>822.79520613711315</v>
      </c>
      <c r="BI200" s="1523">
        <f t="shared" si="39"/>
        <v>822.79520613711315</v>
      </c>
      <c r="BJ200" s="1523">
        <f t="shared" si="43"/>
        <v>5.7952061371131549</v>
      </c>
      <c r="BK200" s="1523" t="b">
        <f t="shared" si="40"/>
        <v>0</v>
      </c>
      <c r="BL200" s="1525">
        <v>35</v>
      </c>
      <c r="DE200" s="1555"/>
    </row>
    <row r="201" spans="1:109" ht="21" customHeight="1" thickBot="1" x14ac:dyDescent="0.35">
      <c r="B201" s="1458">
        <v>8</v>
      </c>
      <c r="C201" s="1459"/>
      <c r="D201" s="1430">
        <v>0</v>
      </c>
      <c r="E201" s="1460" t="s">
        <v>130</v>
      </c>
      <c r="F201" s="1432">
        <f t="shared" si="86"/>
        <v>0.3</v>
      </c>
      <c r="G201" s="1432">
        <f t="shared" si="104"/>
        <v>0.3</v>
      </c>
      <c r="H201" s="1433">
        <v>279.06049999999999</v>
      </c>
      <c r="I201" s="1434">
        <v>79.962900599999998</v>
      </c>
      <c r="J201" s="1461">
        <f t="shared" si="87"/>
        <v>79.962900599999998</v>
      </c>
      <c r="K201" s="1461">
        <f t="shared" si="88"/>
        <v>39.981450299999999</v>
      </c>
      <c r="L201" s="1461">
        <f t="shared" si="75"/>
        <v>0.64253956655634092</v>
      </c>
      <c r="M201" s="1461">
        <f t="shared" si="76"/>
        <v>179.30741271299578</v>
      </c>
      <c r="N201" s="1461">
        <f t="shared" si="77"/>
        <v>358.61482542599157</v>
      </c>
      <c r="O201" s="1461">
        <f>+C194+D195+D196+D197+D198+D199+D200+(D201/2)</f>
        <v>0</v>
      </c>
      <c r="P201" s="1461">
        <f t="shared" si="78"/>
        <v>0</v>
      </c>
      <c r="Q201" s="1461">
        <f t="shared" si="79"/>
        <v>0</v>
      </c>
      <c r="R201" s="1461">
        <f t="shared" si="89"/>
        <v>213.83080000000001</v>
      </c>
      <c r="S201" s="1461">
        <f t="shared" si="105"/>
        <v>213.83080000000001</v>
      </c>
      <c r="T201" s="1462">
        <f t="shared" si="80"/>
        <v>213.83080000000001</v>
      </c>
      <c r="V201" s="1463">
        <f t="shared" si="81"/>
        <v>0</v>
      </c>
      <c r="W201" s="1463"/>
      <c r="X201" s="1463"/>
      <c r="Y201" s="1463"/>
      <c r="Z201" s="1463"/>
      <c r="AA201" s="1463"/>
      <c r="AB201" s="1441" t="str">
        <f t="shared" si="90"/>
        <v>use the locking pin</v>
      </c>
      <c r="AC201" s="1442" t="b">
        <f>IF(AD201=8,AF201)</f>
        <v>0</v>
      </c>
      <c r="AD201" s="1442">
        <f t="shared" si="91"/>
        <v>1</v>
      </c>
      <c r="AE201" s="1442">
        <f>IF(V201=0,0,8)</f>
        <v>0</v>
      </c>
      <c r="AF201" s="1463">
        <f>SUM(V201:V213)/($B$191-B200)</f>
        <v>0</v>
      </c>
      <c r="AG201" s="1463"/>
      <c r="AH201" s="1464">
        <f>SUM(D195:D201)+$C$194</f>
        <v>0</v>
      </c>
      <c r="AI201" s="1444" t="b">
        <f t="shared" si="92"/>
        <v>0</v>
      </c>
      <c r="AJ201" s="1445">
        <f t="shared" si="93"/>
        <v>66.255548399999995</v>
      </c>
      <c r="AK201" s="1465">
        <f t="shared" si="82"/>
        <v>0.91535047595051022</v>
      </c>
      <c r="AL201" s="1447">
        <f t="shared" si="94"/>
        <v>278.56028065668761</v>
      </c>
      <c r="AM201" s="1445">
        <f t="shared" si="95"/>
        <v>50.018549700000001</v>
      </c>
      <c r="AN201" s="1466">
        <f t="shared" si="96"/>
        <v>0.76625250760411079</v>
      </c>
      <c r="AO201" s="1449">
        <f t="shared" si="97"/>
        <v>213.83080789825695</v>
      </c>
      <c r="AP201" s="1450">
        <f t="shared" si="83"/>
        <v>-20.030828320901918</v>
      </c>
      <c r="AQ201" s="1449">
        <f t="shared" si="106"/>
        <v>-243</v>
      </c>
      <c r="AR201" s="1450">
        <f t="shared" si="107"/>
        <v>-186.5</v>
      </c>
      <c r="AS201" s="1467">
        <f t="shared" si="98"/>
        <v>492.39108855494453</v>
      </c>
      <c r="AT201" s="1468">
        <f t="shared" si="108"/>
        <v>-213.83080789825695</v>
      </c>
      <c r="AU201" s="1454">
        <f t="shared" si="99"/>
        <v>193.79997957735503</v>
      </c>
      <c r="AV201" s="1468"/>
      <c r="AW201" s="1455">
        <f t="shared" si="100"/>
        <v>-113.09555172444284</v>
      </c>
      <c r="AX201" s="1455">
        <f t="shared" si="101"/>
        <v>-73.404448275557172</v>
      </c>
      <c r="AY201" s="1456">
        <f t="shared" si="84"/>
        <v>-102.56813661657873</v>
      </c>
      <c r="AZ201" s="1456">
        <f t="shared" si="85"/>
        <v>-136.23152594867855</v>
      </c>
      <c r="BA201" s="1457">
        <f t="shared" si="102"/>
        <v>102.56813661657873</v>
      </c>
      <c r="BB201" s="1457">
        <f t="shared" si="102"/>
        <v>136.23152594867855</v>
      </c>
      <c r="BC201" s="1118">
        <f t="shared" si="103"/>
        <v>0.3</v>
      </c>
      <c r="BE201" s="1519">
        <v>36</v>
      </c>
      <c r="BF201" s="1520">
        <f t="shared" si="41"/>
        <v>1032</v>
      </c>
      <c r="BG201" s="1115">
        <f t="shared" si="42"/>
        <v>1032</v>
      </c>
      <c r="BH201" s="1522">
        <f t="shared" si="38"/>
        <v>865.79520613711315</v>
      </c>
      <c r="BI201" s="1523">
        <f t="shared" si="39"/>
        <v>865.79520613711315</v>
      </c>
      <c r="BJ201" s="1523">
        <f t="shared" si="43"/>
        <v>5.7952061371131549</v>
      </c>
      <c r="BK201" s="1523" t="b">
        <f t="shared" si="40"/>
        <v>0</v>
      </c>
      <c r="BL201" s="1525">
        <v>36</v>
      </c>
    </row>
    <row r="202" spans="1:109" ht="21" customHeight="1" thickBot="1" x14ac:dyDescent="0.35">
      <c r="B202" s="1458">
        <v>9</v>
      </c>
      <c r="C202" s="1459"/>
      <c r="D202" s="1430">
        <v>0</v>
      </c>
      <c r="E202" s="1460" t="s">
        <v>130</v>
      </c>
      <c r="F202" s="1432">
        <f t="shared" si="86"/>
        <v>0.3</v>
      </c>
      <c r="G202" s="1432">
        <f t="shared" si="104"/>
        <v>0.3</v>
      </c>
      <c r="H202" s="1433">
        <v>279.06049999999999</v>
      </c>
      <c r="I202" s="1434">
        <v>79.962900599999998</v>
      </c>
      <c r="J202" s="1461">
        <f t="shared" si="87"/>
        <v>79.962900599999998</v>
      </c>
      <c r="K202" s="1461">
        <f t="shared" si="88"/>
        <v>39.981450299999999</v>
      </c>
      <c r="L202" s="1461">
        <f t="shared" si="75"/>
        <v>0.64253956655634092</v>
      </c>
      <c r="M202" s="1461">
        <f t="shared" si="76"/>
        <v>179.30741271299578</v>
      </c>
      <c r="N202" s="1461">
        <f t="shared" si="77"/>
        <v>358.61482542599157</v>
      </c>
      <c r="O202" s="1461">
        <f>+C194+D195+D196+D197+D198+D199+D200+D201+(D202/2)</f>
        <v>0</v>
      </c>
      <c r="P202" s="1461">
        <f t="shared" si="78"/>
        <v>0</v>
      </c>
      <c r="Q202" s="1461">
        <f t="shared" si="79"/>
        <v>0</v>
      </c>
      <c r="R202" s="1461">
        <f t="shared" si="89"/>
        <v>213.83080000000001</v>
      </c>
      <c r="S202" s="1461">
        <f t="shared" si="105"/>
        <v>213.83080000000001</v>
      </c>
      <c r="T202" s="1462">
        <f t="shared" si="80"/>
        <v>213.83080000000001</v>
      </c>
      <c r="V202" s="1463">
        <f t="shared" si="81"/>
        <v>0</v>
      </c>
      <c r="W202" s="1463"/>
      <c r="X202" s="1463"/>
      <c r="Y202" s="1463"/>
      <c r="Z202" s="1463"/>
      <c r="AA202" s="1463"/>
      <c r="AB202" s="1441" t="str">
        <f t="shared" si="90"/>
        <v>use the locking pin</v>
      </c>
      <c r="AC202" s="1442" t="b">
        <f>IF(AD202=9,AF202)</f>
        <v>0</v>
      </c>
      <c r="AD202" s="1442">
        <f t="shared" si="91"/>
        <v>1</v>
      </c>
      <c r="AE202" s="1442">
        <f>IF(V202=0,0,9)</f>
        <v>0</v>
      </c>
      <c r="AF202" s="1463">
        <f>SUM(V202:V213)/($B$191-B201)</f>
        <v>0</v>
      </c>
      <c r="AG202" s="1463"/>
      <c r="AH202" s="1464">
        <f>SUM(D195:D202)+$C$194</f>
        <v>0</v>
      </c>
      <c r="AI202" s="1444" t="b">
        <f t="shared" si="92"/>
        <v>0</v>
      </c>
      <c r="AJ202" s="1445">
        <f t="shared" si="93"/>
        <v>66.255548399999995</v>
      </c>
      <c r="AK202" s="1465">
        <f t="shared" si="82"/>
        <v>0.91535047595051022</v>
      </c>
      <c r="AL202" s="1447">
        <f t="shared" si="94"/>
        <v>278.56028065668761</v>
      </c>
      <c r="AM202" s="1445">
        <f t="shared" si="95"/>
        <v>50.018549700000001</v>
      </c>
      <c r="AN202" s="1466">
        <f t="shared" si="96"/>
        <v>0.76625250760411079</v>
      </c>
      <c r="AO202" s="1449">
        <f t="shared" si="97"/>
        <v>213.83080789825695</v>
      </c>
      <c r="AP202" s="1450">
        <f t="shared" si="83"/>
        <v>-16.457046175542764</v>
      </c>
      <c r="AQ202" s="1449">
        <f t="shared" si="106"/>
        <v>-283.5</v>
      </c>
      <c r="AR202" s="1450">
        <f t="shared" si="107"/>
        <v>-227</v>
      </c>
      <c r="AS202" s="1467">
        <f t="shared" si="98"/>
        <v>492.39108855494453</v>
      </c>
      <c r="AT202" s="1468">
        <f t="shared" si="108"/>
        <v>-213.83080789825695</v>
      </c>
      <c r="AU202" s="1454">
        <f t="shared" si="99"/>
        <v>197.37376172271419</v>
      </c>
      <c r="AV202" s="1468"/>
      <c r="AW202" s="1455">
        <f t="shared" si="100"/>
        <v>-136.00760604229214</v>
      </c>
      <c r="AX202" s="1455">
        <f t="shared" si="101"/>
        <v>-90.992393957707847</v>
      </c>
      <c r="AY202" s="1456">
        <f t="shared" si="84"/>
        <v>-85.28934768834128</v>
      </c>
      <c r="AZ202" s="1456">
        <f t="shared" si="85"/>
        <v>-109.89929559000149</v>
      </c>
      <c r="BA202" s="1457">
        <f t="shared" si="102"/>
        <v>85.28934768834128</v>
      </c>
      <c r="BB202" s="1457">
        <f t="shared" si="102"/>
        <v>109.89929559000149</v>
      </c>
      <c r="BC202" s="1118">
        <f t="shared" si="103"/>
        <v>0.3</v>
      </c>
      <c r="BE202" s="1556">
        <v>37</v>
      </c>
      <c r="BF202" s="1557">
        <f t="shared" si="41"/>
        <v>1075</v>
      </c>
      <c r="BG202" s="1115">
        <f t="shared" si="42"/>
        <v>1075</v>
      </c>
      <c r="BH202" s="1522">
        <f t="shared" si="38"/>
        <v>908.79520613711315</v>
      </c>
      <c r="BI202" s="1523">
        <f t="shared" si="39"/>
        <v>908.79520613711315</v>
      </c>
      <c r="BJ202" s="1523">
        <f t="shared" si="43"/>
        <v>5.7952061371131549</v>
      </c>
      <c r="BK202" s="1523" t="b">
        <f t="shared" si="40"/>
        <v>0</v>
      </c>
      <c r="BL202" s="1558">
        <v>37</v>
      </c>
    </row>
    <row r="203" spans="1:109" ht="21" customHeight="1" thickBot="1" x14ac:dyDescent="0.25">
      <c r="B203" s="1458">
        <v>10</v>
      </c>
      <c r="C203" s="1459"/>
      <c r="D203" s="1430">
        <v>0</v>
      </c>
      <c r="E203" s="1460" t="s">
        <v>130</v>
      </c>
      <c r="F203" s="1432">
        <f t="shared" si="86"/>
        <v>0.3</v>
      </c>
      <c r="G203" s="1432">
        <f t="shared" si="104"/>
        <v>0.3</v>
      </c>
      <c r="H203" s="1433">
        <v>279.06049999999999</v>
      </c>
      <c r="I203" s="1434">
        <v>79.962900599999998</v>
      </c>
      <c r="J203" s="1461">
        <f t="shared" si="87"/>
        <v>79.962900599999998</v>
      </c>
      <c r="K203" s="1461">
        <f t="shared" si="88"/>
        <v>39.981450299999999</v>
      </c>
      <c r="L203" s="1461">
        <f t="shared" si="75"/>
        <v>0.64253956655634092</v>
      </c>
      <c r="M203" s="1461">
        <f t="shared" si="76"/>
        <v>179.30741271299578</v>
      </c>
      <c r="N203" s="1461">
        <f t="shared" si="77"/>
        <v>358.61482542599157</v>
      </c>
      <c r="O203" s="1461">
        <f>+C194+D195+D196+D197+D198+D199+D200+D201+D202+(D203/2)</f>
        <v>0</v>
      </c>
      <c r="P203" s="1461">
        <f t="shared" si="78"/>
        <v>0</v>
      </c>
      <c r="Q203" s="1461">
        <f t="shared" si="79"/>
        <v>0</v>
      </c>
      <c r="R203" s="1461">
        <f t="shared" si="89"/>
        <v>213.83080000000001</v>
      </c>
      <c r="S203" s="1461">
        <f t="shared" si="105"/>
        <v>213.83080000000001</v>
      </c>
      <c r="T203" s="1462">
        <f t="shared" si="80"/>
        <v>213.83080000000001</v>
      </c>
      <c r="V203" s="1463">
        <f t="shared" si="81"/>
        <v>0</v>
      </c>
      <c r="W203" s="1463"/>
      <c r="X203" s="1463"/>
      <c r="Y203" s="1463"/>
      <c r="Z203" s="1463"/>
      <c r="AA203" s="1463"/>
      <c r="AB203" s="1441" t="str">
        <f t="shared" si="90"/>
        <v>use the locking pin</v>
      </c>
      <c r="AC203" s="1442" t="b">
        <f>IF(AD203=10,AF203)</f>
        <v>0</v>
      </c>
      <c r="AD203" s="1442">
        <f t="shared" si="91"/>
        <v>1</v>
      </c>
      <c r="AE203" s="1442">
        <f>IF(V203=0,0,10)</f>
        <v>0</v>
      </c>
      <c r="AF203" s="1463">
        <f>SUM(V203:V213)/($B$191-B202)</f>
        <v>0</v>
      </c>
      <c r="AG203" s="1463"/>
      <c r="AH203" s="1464">
        <f>SUM(D195:D203)+$C$194</f>
        <v>0</v>
      </c>
      <c r="AI203" s="1444" t="b">
        <f t="shared" si="92"/>
        <v>0</v>
      </c>
      <c r="AJ203" s="1445">
        <f t="shared" si="93"/>
        <v>66.255548399999995</v>
      </c>
      <c r="AK203" s="1465">
        <f t="shared" si="82"/>
        <v>0.91535047595051022</v>
      </c>
      <c r="AL203" s="1447">
        <f t="shared" si="94"/>
        <v>278.56028065668761</v>
      </c>
      <c r="AM203" s="1445">
        <f t="shared" si="95"/>
        <v>50.018549700000001</v>
      </c>
      <c r="AN203" s="1466">
        <f t="shared" si="96"/>
        <v>0.76625250760411079</v>
      </c>
      <c r="AO203" s="1449">
        <f t="shared" si="97"/>
        <v>213.83080789825695</v>
      </c>
      <c r="AP203" s="1450">
        <f t="shared" si="83"/>
        <v>-13.965418623731617</v>
      </c>
      <c r="AQ203" s="1449">
        <f t="shared" si="106"/>
        <v>-324</v>
      </c>
      <c r="AR203" s="1450">
        <f t="shared" si="107"/>
        <v>-267.5</v>
      </c>
      <c r="AS203" s="1467">
        <f t="shared" si="98"/>
        <v>492.39108855494453</v>
      </c>
      <c r="AT203" s="1468">
        <f t="shared" si="108"/>
        <v>-213.83080789825695</v>
      </c>
      <c r="AU203" s="1454">
        <f t="shared" si="99"/>
        <v>199.86538927452534</v>
      </c>
      <c r="AV203" s="1468"/>
      <c r="AW203" s="1455">
        <f t="shared" si="100"/>
        <v>-158.91966036014148</v>
      </c>
      <c r="AX203" s="1455">
        <f t="shared" si="101"/>
        <v>-108.58033963985851</v>
      </c>
      <c r="AY203" s="1456">
        <f t="shared" si="84"/>
        <v>-72.992856728439037</v>
      </c>
      <c r="AZ203" s="1456">
        <f t="shared" si="85"/>
        <v>-92.097704180777157</v>
      </c>
      <c r="BA203" s="1457">
        <f t="shared" si="102"/>
        <v>72.992856728439037</v>
      </c>
      <c r="BB203" s="1457">
        <f t="shared" si="102"/>
        <v>92.097704180777157</v>
      </c>
      <c r="BC203" s="1118">
        <f t="shared" si="103"/>
        <v>0.3</v>
      </c>
    </row>
    <row r="204" spans="1:109" ht="21" customHeight="1" thickBot="1" x14ac:dyDescent="0.25">
      <c r="A204" s="1473"/>
      <c r="B204" s="1458">
        <v>11</v>
      </c>
      <c r="C204" s="1459"/>
      <c r="D204" s="1430">
        <v>0</v>
      </c>
      <c r="E204" s="1460" t="s">
        <v>130</v>
      </c>
      <c r="F204" s="1432">
        <f t="shared" si="86"/>
        <v>0.3</v>
      </c>
      <c r="G204" s="1432">
        <f t="shared" si="104"/>
        <v>0.3</v>
      </c>
      <c r="H204" s="1433">
        <v>279.06049999999999</v>
      </c>
      <c r="I204" s="1434">
        <v>79.962900599999998</v>
      </c>
      <c r="J204" s="1461">
        <f t="shared" si="87"/>
        <v>79.962900599999998</v>
      </c>
      <c r="K204" s="1461">
        <f t="shared" si="88"/>
        <v>39.981450299999999</v>
      </c>
      <c r="L204" s="1461">
        <f t="shared" si="75"/>
        <v>0.64253956655634092</v>
      </c>
      <c r="M204" s="1461">
        <f t="shared" si="76"/>
        <v>179.30741271299578</v>
      </c>
      <c r="N204" s="1461">
        <f t="shared" si="77"/>
        <v>358.61482542599157</v>
      </c>
      <c r="O204" s="1461">
        <f>+C194+D195+D196+D197+D198+D199+D200+D201+D202+D203+(D204/2)</f>
        <v>0</v>
      </c>
      <c r="P204" s="1461">
        <f t="shared" si="78"/>
        <v>0</v>
      </c>
      <c r="Q204" s="1461">
        <f t="shared" si="79"/>
        <v>0</v>
      </c>
      <c r="R204" s="1461">
        <f t="shared" si="89"/>
        <v>213.83080000000001</v>
      </c>
      <c r="S204" s="1461">
        <f t="shared" si="105"/>
        <v>213.83080000000001</v>
      </c>
      <c r="T204" s="1462">
        <f t="shared" si="80"/>
        <v>213.83080000000001</v>
      </c>
      <c r="V204" s="1463">
        <f t="shared" si="81"/>
        <v>0</v>
      </c>
      <c r="W204" s="1463"/>
      <c r="X204" s="1463"/>
      <c r="Y204" s="1463"/>
      <c r="Z204" s="1463"/>
      <c r="AA204" s="1463"/>
      <c r="AB204" s="1441" t="str">
        <f t="shared" si="90"/>
        <v>use the locking pin</v>
      </c>
      <c r="AC204" s="1442" t="b">
        <f>IF(AD204=11,AF204)</f>
        <v>0</v>
      </c>
      <c r="AD204" s="1442">
        <f t="shared" si="91"/>
        <v>1</v>
      </c>
      <c r="AE204" s="1442">
        <f>IF(V204=0,0,11)</f>
        <v>0</v>
      </c>
      <c r="AF204" s="1463">
        <f>SUM(V204:V213)/($B$191-B203)</f>
        <v>0</v>
      </c>
      <c r="AG204" s="1463"/>
      <c r="AH204" s="1464">
        <f>SUM(D195:D204)+$C$194</f>
        <v>0</v>
      </c>
      <c r="AI204" s="1444" t="b">
        <f t="shared" si="92"/>
        <v>0</v>
      </c>
      <c r="AJ204" s="1445">
        <f t="shared" si="93"/>
        <v>66.255548399999995</v>
      </c>
      <c r="AK204" s="1465">
        <f t="shared" si="82"/>
        <v>0.91535047595051022</v>
      </c>
      <c r="AL204" s="1447">
        <f t="shared" si="94"/>
        <v>278.56028065668761</v>
      </c>
      <c r="AM204" s="1445">
        <f t="shared" si="95"/>
        <v>50.018549700000001</v>
      </c>
      <c r="AN204" s="1466">
        <f t="shared" si="96"/>
        <v>0.76625250760411079</v>
      </c>
      <c r="AO204" s="1449">
        <f t="shared" si="97"/>
        <v>213.83080789825695</v>
      </c>
      <c r="AP204" s="1450">
        <f t="shared" si="83"/>
        <v>-12.129056759247428</v>
      </c>
      <c r="AQ204" s="1449">
        <f t="shared" si="106"/>
        <v>-364.5</v>
      </c>
      <c r="AR204" s="1450">
        <f t="shared" si="107"/>
        <v>-308</v>
      </c>
      <c r="AS204" s="1467">
        <f t="shared" si="98"/>
        <v>492.39108855494453</v>
      </c>
      <c r="AT204" s="1468">
        <f t="shared" si="108"/>
        <v>-213.83080789825695</v>
      </c>
      <c r="AU204" s="1454">
        <f t="shared" si="99"/>
        <v>201.70175113900953</v>
      </c>
      <c r="AV204" s="1468"/>
      <c r="AW204" s="1455">
        <f t="shared" si="100"/>
        <v>-181.83171467799085</v>
      </c>
      <c r="AX204" s="1455">
        <f t="shared" si="101"/>
        <v>-126.16828532200918</v>
      </c>
      <c r="AY204" s="1456">
        <f t="shared" si="84"/>
        <v>-63.795251672914461</v>
      </c>
      <c r="AZ204" s="1456">
        <f t="shared" si="85"/>
        <v>-79.259220924480374</v>
      </c>
      <c r="BA204" s="1457">
        <f t="shared" si="102"/>
        <v>63.795251672914461</v>
      </c>
      <c r="BB204" s="1457">
        <f t="shared" si="102"/>
        <v>79.259220924480374</v>
      </c>
      <c r="BC204" s="1118">
        <f t="shared" si="103"/>
        <v>0.3</v>
      </c>
    </row>
    <row r="205" spans="1:109" ht="21" customHeight="1" thickBot="1" x14ac:dyDescent="0.25">
      <c r="A205" s="1473"/>
      <c r="B205" s="1458">
        <v>12</v>
      </c>
      <c r="C205" s="1459"/>
      <c r="D205" s="1430">
        <v>0</v>
      </c>
      <c r="E205" s="1460" t="s">
        <v>130</v>
      </c>
      <c r="F205" s="1432">
        <f t="shared" si="86"/>
        <v>0.3</v>
      </c>
      <c r="G205" s="1432">
        <f t="shared" si="104"/>
        <v>0.3</v>
      </c>
      <c r="H205" s="1433">
        <v>279.06049999999999</v>
      </c>
      <c r="I205" s="1434">
        <v>79.962900599999998</v>
      </c>
      <c r="J205" s="1461">
        <f t="shared" si="87"/>
        <v>79.962900599999998</v>
      </c>
      <c r="K205" s="1461">
        <f t="shared" si="88"/>
        <v>39.981450299999999</v>
      </c>
      <c r="L205" s="1461">
        <f t="shared" si="75"/>
        <v>0.64253956655634092</v>
      </c>
      <c r="M205" s="1461">
        <f t="shared" si="76"/>
        <v>179.30741271299578</v>
      </c>
      <c r="N205" s="1461">
        <f t="shared" si="77"/>
        <v>358.61482542599157</v>
      </c>
      <c r="O205" s="1461">
        <f>+C194+D195+D196+D197+D198+D199+D200+D201+D202+D203+D204+(D205/2)</f>
        <v>0</v>
      </c>
      <c r="P205" s="1461">
        <f t="shared" si="78"/>
        <v>0</v>
      </c>
      <c r="Q205" s="1461">
        <f t="shared" si="79"/>
        <v>0</v>
      </c>
      <c r="R205" s="1461">
        <f t="shared" si="89"/>
        <v>213.83080000000001</v>
      </c>
      <c r="S205" s="1461">
        <f t="shared" si="105"/>
        <v>213.83080000000001</v>
      </c>
      <c r="T205" s="1462">
        <f t="shared" si="80"/>
        <v>213.83080000000001</v>
      </c>
      <c r="V205" s="1463">
        <f t="shared" si="81"/>
        <v>0</v>
      </c>
      <c r="W205" s="1463"/>
      <c r="X205" s="1463"/>
      <c r="Y205" s="1463"/>
      <c r="Z205" s="1463"/>
      <c r="AA205" s="1463"/>
      <c r="AB205" s="1441" t="str">
        <f t="shared" si="90"/>
        <v>use the locking pin</v>
      </c>
      <c r="AC205" s="1442" t="b">
        <f>IF(AD205=12,AF205)</f>
        <v>0</v>
      </c>
      <c r="AD205" s="1442">
        <f t="shared" si="91"/>
        <v>1</v>
      </c>
      <c r="AE205" s="1442">
        <f>IF(V205=0,0,12)</f>
        <v>0</v>
      </c>
      <c r="AF205" s="1463">
        <f>SUM(V205:V213)/($B$191-B204)</f>
        <v>0</v>
      </c>
      <c r="AG205" s="1463"/>
      <c r="AH205" s="1464">
        <f>SUM(D195:D205)+$C$194</f>
        <v>0</v>
      </c>
      <c r="AI205" s="1444" t="b">
        <f t="shared" si="92"/>
        <v>0</v>
      </c>
      <c r="AJ205" s="1445">
        <f t="shared" si="93"/>
        <v>66.255548399999995</v>
      </c>
      <c r="AK205" s="1465">
        <f t="shared" si="82"/>
        <v>0.91535047595051022</v>
      </c>
      <c r="AL205" s="1447">
        <f t="shared" si="94"/>
        <v>278.56028065668761</v>
      </c>
      <c r="AM205" s="1445">
        <f t="shared" si="95"/>
        <v>50.018549700000001</v>
      </c>
      <c r="AN205" s="1466">
        <f t="shared" si="96"/>
        <v>0.76625250760411079</v>
      </c>
      <c r="AO205" s="1449">
        <f t="shared" si="97"/>
        <v>213.83080789825695</v>
      </c>
      <c r="AP205" s="1450">
        <f t="shared" si="83"/>
        <v>-10.719510708316236</v>
      </c>
      <c r="AQ205" s="1449">
        <f t="shared" si="106"/>
        <v>-405</v>
      </c>
      <c r="AR205" s="1450">
        <f t="shared" si="107"/>
        <v>-348.5</v>
      </c>
      <c r="AS205" s="1467">
        <f t="shared" si="98"/>
        <v>492.39108855494453</v>
      </c>
      <c r="AT205" s="1468">
        <f t="shared" si="108"/>
        <v>-213.83080789825695</v>
      </c>
      <c r="AU205" s="1454">
        <f t="shared" si="99"/>
        <v>203.11129718994073</v>
      </c>
      <c r="AV205" s="1468"/>
      <c r="AW205" s="1455">
        <f t="shared" si="100"/>
        <v>-204.74376899584013</v>
      </c>
      <c r="AX205" s="1455">
        <f t="shared" si="101"/>
        <v>-143.75623100415987</v>
      </c>
      <c r="AY205" s="1456">
        <f t="shared" si="84"/>
        <v>-56.656180829784773</v>
      </c>
      <c r="AZ205" s="1456">
        <f t="shared" si="85"/>
        <v>-69.562202140028489</v>
      </c>
      <c r="BA205" s="1457">
        <f t="shared" si="102"/>
        <v>56.656180829784773</v>
      </c>
      <c r="BB205" s="1457">
        <f t="shared" si="102"/>
        <v>69.562202140028489</v>
      </c>
      <c r="BC205" s="1118">
        <f t="shared" si="103"/>
        <v>0.3</v>
      </c>
    </row>
    <row r="206" spans="1:109" ht="21" customHeight="1" thickBot="1" x14ac:dyDescent="0.25">
      <c r="B206" s="1458">
        <v>13</v>
      </c>
      <c r="C206" s="1459"/>
      <c r="D206" s="1430">
        <v>0</v>
      </c>
      <c r="E206" s="1460" t="s">
        <v>130</v>
      </c>
      <c r="F206" s="1432">
        <f t="shared" si="86"/>
        <v>0.3</v>
      </c>
      <c r="G206" s="1432">
        <f t="shared" si="104"/>
        <v>0.3</v>
      </c>
      <c r="H206" s="1433">
        <v>279.06049999999999</v>
      </c>
      <c r="I206" s="1434">
        <v>79.962900599999998</v>
      </c>
      <c r="J206" s="1461">
        <f t="shared" si="87"/>
        <v>79.962900599999998</v>
      </c>
      <c r="K206" s="1461">
        <f t="shared" si="88"/>
        <v>39.981450299999999</v>
      </c>
      <c r="L206" s="1461">
        <f t="shared" si="75"/>
        <v>0.64253956655634092</v>
      </c>
      <c r="M206" s="1461">
        <f t="shared" si="76"/>
        <v>179.30741271299578</v>
      </c>
      <c r="N206" s="1461">
        <f t="shared" si="77"/>
        <v>358.61482542599157</v>
      </c>
      <c r="O206" s="1461">
        <f>+C194+D195+D196+D197+D198+D199+D200+D201+D202+D203+D204+D205+(D206/2)</f>
        <v>0</v>
      </c>
      <c r="P206" s="1461">
        <f t="shared" si="78"/>
        <v>0</v>
      </c>
      <c r="Q206" s="1461">
        <f t="shared" si="79"/>
        <v>0</v>
      </c>
      <c r="R206" s="1461">
        <f t="shared" si="89"/>
        <v>213.83080000000001</v>
      </c>
      <c r="S206" s="1461">
        <f t="shared" si="105"/>
        <v>213.83080000000001</v>
      </c>
      <c r="T206" s="1462">
        <f t="shared" si="80"/>
        <v>213.83080000000001</v>
      </c>
      <c r="V206" s="1463">
        <f t="shared" si="81"/>
        <v>0</v>
      </c>
      <c r="W206" s="1463"/>
      <c r="X206" s="1463"/>
      <c r="Y206" s="1463"/>
      <c r="Z206" s="1463"/>
      <c r="AA206" s="1463"/>
      <c r="AB206" s="1441" t="str">
        <f t="shared" si="90"/>
        <v>use the locking pin</v>
      </c>
      <c r="AC206" s="1442" t="b">
        <f>IF(AD206=13,AF206)</f>
        <v>0</v>
      </c>
      <c r="AD206" s="1442">
        <f t="shared" si="91"/>
        <v>1</v>
      </c>
      <c r="AE206" s="1442">
        <f>IF(V206=0,0,13)</f>
        <v>0</v>
      </c>
      <c r="AF206" s="1463">
        <f>SUM(V206:V213)/($B$191-B205)</f>
        <v>0</v>
      </c>
      <c r="AG206" s="1463"/>
      <c r="AH206" s="1464">
        <f>SUM(D195:D206)+$C$194</f>
        <v>0</v>
      </c>
      <c r="AI206" s="1444" t="b">
        <f t="shared" si="92"/>
        <v>0</v>
      </c>
      <c r="AJ206" s="1445">
        <f t="shared" si="93"/>
        <v>66.255548399999995</v>
      </c>
      <c r="AK206" s="1465">
        <f t="shared" si="82"/>
        <v>0.91535047595051022</v>
      </c>
      <c r="AL206" s="1447">
        <f t="shared" si="94"/>
        <v>278.56028065668761</v>
      </c>
      <c r="AM206" s="1445">
        <f t="shared" si="95"/>
        <v>50.018549700000001</v>
      </c>
      <c r="AN206" s="1466">
        <f t="shared" si="96"/>
        <v>0.76625250760411079</v>
      </c>
      <c r="AO206" s="1449">
        <f t="shared" si="97"/>
        <v>213.83080789825695</v>
      </c>
      <c r="AP206" s="1450">
        <f t="shared" si="83"/>
        <v>-9.6034691050082461</v>
      </c>
      <c r="AQ206" s="1449">
        <f t="shared" si="106"/>
        <v>-445.5</v>
      </c>
      <c r="AR206" s="1450">
        <f t="shared" si="107"/>
        <v>-389</v>
      </c>
      <c r="AS206" s="1467">
        <f t="shared" si="98"/>
        <v>492.39108855494453</v>
      </c>
      <c r="AT206" s="1468">
        <f t="shared" si="108"/>
        <v>-213.83080789825695</v>
      </c>
      <c r="AU206" s="1454">
        <f t="shared" si="99"/>
        <v>204.22733879324869</v>
      </c>
      <c r="AV206" s="1468"/>
      <c r="AW206" s="1455">
        <f t="shared" si="100"/>
        <v>-227.65582331368947</v>
      </c>
      <c r="AX206" s="1455">
        <f t="shared" si="101"/>
        <v>-161.34417668631053</v>
      </c>
      <c r="AY206" s="1456">
        <f t="shared" si="84"/>
        <v>-50.954110600615877</v>
      </c>
      <c r="AZ206" s="1456">
        <f t="shared" si="85"/>
        <v>-61.979305391617913</v>
      </c>
      <c r="BA206" s="1457">
        <f t="shared" si="102"/>
        <v>50.954110600615877</v>
      </c>
      <c r="BB206" s="1457">
        <f t="shared" si="102"/>
        <v>61.979305391617913</v>
      </c>
      <c r="BC206" s="1118">
        <f t="shared" si="103"/>
        <v>0.3</v>
      </c>
    </row>
    <row r="207" spans="1:109" ht="21" customHeight="1" thickBot="1" x14ac:dyDescent="0.25">
      <c r="B207" s="1458">
        <v>14</v>
      </c>
      <c r="C207" s="1459"/>
      <c r="D207" s="1430">
        <v>0</v>
      </c>
      <c r="E207" s="1460" t="s">
        <v>130</v>
      </c>
      <c r="F207" s="1432">
        <f t="shared" si="86"/>
        <v>0.3</v>
      </c>
      <c r="G207" s="1432">
        <f t="shared" si="104"/>
        <v>0.3</v>
      </c>
      <c r="H207" s="1433">
        <v>279.06049999999999</v>
      </c>
      <c r="I207" s="1434">
        <v>79.962900599999998</v>
      </c>
      <c r="J207" s="1461">
        <f t="shared" si="87"/>
        <v>79.962900599999998</v>
      </c>
      <c r="K207" s="1461">
        <f t="shared" si="88"/>
        <v>39.981450299999999</v>
      </c>
      <c r="L207" s="1461">
        <f t="shared" si="75"/>
        <v>0.64253956655634092</v>
      </c>
      <c r="M207" s="1461">
        <f t="shared" si="76"/>
        <v>179.30741271299578</v>
      </c>
      <c r="N207" s="1461">
        <f t="shared" si="77"/>
        <v>358.61482542599157</v>
      </c>
      <c r="O207" s="1461">
        <f>+C194+D195+D196+D197+D198+D199+D200+D201+D202+D203+D204+D205+D206+(D207/2)</f>
        <v>0</v>
      </c>
      <c r="P207" s="1461">
        <f t="shared" si="78"/>
        <v>0</v>
      </c>
      <c r="Q207" s="1461">
        <f t="shared" si="79"/>
        <v>0</v>
      </c>
      <c r="R207" s="1461">
        <f t="shared" si="89"/>
        <v>213.83080000000001</v>
      </c>
      <c r="S207" s="1461">
        <f t="shared" si="105"/>
        <v>213.83080000000001</v>
      </c>
      <c r="T207" s="1462">
        <f t="shared" si="80"/>
        <v>213.83080000000001</v>
      </c>
      <c r="V207" s="1463">
        <f t="shared" si="81"/>
        <v>0</v>
      </c>
      <c r="W207" s="1463"/>
      <c r="X207" s="1463"/>
      <c r="Y207" s="1463"/>
      <c r="Z207" s="1463"/>
      <c r="AA207" s="1463"/>
      <c r="AB207" s="1441" t="str">
        <f t="shared" si="90"/>
        <v>use the locking pin</v>
      </c>
      <c r="AC207" s="1442" t="b">
        <f>IF(AD207=14,AF207)</f>
        <v>0</v>
      </c>
      <c r="AD207" s="1442">
        <f t="shared" si="91"/>
        <v>1</v>
      </c>
      <c r="AE207" s="1442">
        <f>IF(V207=0,0,14)</f>
        <v>0</v>
      </c>
      <c r="AF207" s="1463">
        <f>SUM(V207:V213)/($B$191-B206)</f>
        <v>0</v>
      </c>
      <c r="AG207" s="1463"/>
      <c r="AH207" s="1464">
        <f>SUM(D195:D207)+$C$194</f>
        <v>0</v>
      </c>
      <c r="AI207" s="1444" t="b">
        <f t="shared" si="92"/>
        <v>0</v>
      </c>
      <c r="AJ207" s="1445">
        <f t="shared" si="93"/>
        <v>66.255548399999995</v>
      </c>
      <c r="AK207" s="1465">
        <f t="shared" si="82"/>
        <v>0.91535047595051022</v>
      </c>
      <c r="AL207" s="1447">
        <f t="shared" si="94"/>
        <v>278.56028065668761</v>
      </c>
      <c r="AM207" s="1445">
        <f t="shared" si="95"/>
        <v>50.018549700000001</v>
      </c>
      <c r="AN207" s="1466">
        <f t="shared" si="96"/>
        <v>0.76625250760411079</v>
      </c>
      <c r="AO207" s="1449">
        <f t="shared" si="97"/>
        <v>213.83080789825695</v>
      </c>
      <c r="AP207" s="1450">
        <f t="shared" si="83"/>
        <v>-8.6979033337560132</v>
      </c>
      <c r="AQ207" s="1449">
        <f t="shared" si="106"/>
        <v>-486</v>
      </c>
      <c r="AR207" s="1450">
        <f t="shared" si="107"/>
        <v>-429.5</v>
      </c>
      <c r="AS207" s="1467">
        <f t="shared" si="98"/>
        <v>492.39108855494453</v>
      </c>
      <c r="AT207" s="1468">
        <f t="shared" si="108"/>
        <v>-213.83080789825695</v>
      </c>
      <c r="AU207" s="1454">
        <f t="shared" si="99"/>
        <v>205.13290456450093</v>
      </c>
      <c r="AV207" s="1468"/>
      <c r="AW207" s="1455">
        <f t="shared" si="100"/>
        <v>-250.56787763153883</v>
      </c>
      <c r="AX207" s="1455">
        <f t="shared" si="101"/>
        <v>-178.93212236846119</v>
      </c>
      <c r="AY207" s="1456">
        <f t="shared" si="84"/>
        <v>-46.294840781857324</v>
      </c>
      <c r="AZ207" s="1456">
        <f t="shared" si="85"/>
        <v>-55.887114441127387</v>
      </c>
      <c r="BA207" s="1457">
        <f t="shared" si="102"/>
        <v>46.294840781857324</v>
      </c>
      <c r="BB207" s="1457">
        <f t="shared" si="102"/>
        <v>55.887114441127387</v>
      </c>
      <c r="BC207" s="1118">
        <f t="shared" si="103"/>
        <v>0.3</v>
      </c>
    </row>
    <row r="208" spans="1:109" ht="21" customHeight="1" thickBot="1" x14ac:dyDescent="0.25">
      <c r="B208" s="1458">
        <v>15</v>
      </c>
      <c r="C208" s="1459"/>
      <c r="D208" s="1430">
        <v>0</v>
      </c>
      <c r="E208" s="1460" t="s">
        <v>130</v>
      </c>
      <c r="F208" s="1432">
        <f t="shared" si="86"/>
        <v>0.3</v>
      </c>
      <c r="G208" s="1432">
        <f t="shared" si="104"/>
        <v>0.3</v>
      </c>
      <c r="H208" s="1433">
        <v>279.06049999999999</v>
      </c>
      <c r="I208" s="1434">
        <v>79.962900599999998</v>
      </c>
      <c r="J208" s="1461">
        <f t="shared" si="87"/>
        <v>79.962900599999998</v>
      </c>
      <c r="K208" s="1461">
        <f t="shared" si="88"/>
        <v>39.981450299999999</v>
      </c>
      <c r="L208" s="1461">
        <f t="shared" si="75"/>
        <v>0.64253956655634092</v>
      </c>
      <c r="M208" s="1461">
        <f t="shared" si="76"/>
        <v>179.30741271299578</v>
      </c>
      <c r="N208" s="1461">
        <f t="shared" si="77"/>
        <v>358.61482542599157</v>
      </c>
      <c r="O208" s="1461">
        <f>+C194+D195+D196+D197+D198+D199+D200+D201+D202+D203+D204+D205+D206+D207+(D208/2)</f>
        <v>0</v>
      </c>
      <c r="P208" s="1461">
        <f t="shared" si="78"/>
        <v>0</v>
      </c>
      <c r="Q208" s="1461">
        <f t="shared" si="79"/>
        <v>0</v>
      </c>
      <c r="R208" s="1461">
        <f t="shared" si="89"/>
        <v>213.83080000000001</v>
      </c>
      <c r="S208" s="1461">
        <f t="shared" si="105"/>
        <v>213.83080000000001</v>
      </c>
      <c r="T208" s="1462">
        <f t="shared" si="80"/>
        <v>213.83080000000001</v>
      </c>
      <c r="V208" s="1463">
        <f t="shared" si="81"/>
        <v>0</v>
      </c>
      <c r="W208" s="1463"/>
      <c r="X208" s="1463"/>
      <c r="Y208" s="1463"/>
      <c r="Z208" s="1463"/>
      <c r="AA208" s="1463"/>
      <c r="AB208" s="1441" t="str">
        <f t="shared" si="90"/>
        <v>use the locking pin</v>
      </c>
      <c r="AC208" s="1442" t="b">
        <f>IF(AD208=15,AF208)</f>
        <v>0</v>
      </c>
      <c r="AD208" s="1442">
        <f t="shared" si="91"/>
        <v>1</v>
      </c>
      <c r="AE208" s="1442">
        <f>IF(V208=0,0,15)</f>
        <v>0</v>
      </c>
      <c r="AF208" s="1463">
        <f>SUM(V208:V213)/($B$191-B207)</f>
        <v>0</v>
      </c>
      <c r="AG208" s="1463"/>
      <c r="AH208" s="1464">
        <f>SUM(D195:D208)+$C$194</f>
        <v>0</v>
      </c>
      <c r="AI208" s="1444" t="b">
        <f t="shared" si="92"/>
        <v>0</v>
      </c>
      <c r="AJ208" s="1445">
        <f t="shared" si="93"/>
        <v>66.255548399999995</v>
      </c>
      <c r="AK208" s="1465">
        <f t="shared" si="82"/>
        <v>0.91535047595051022</v>
      </c>
      <c r="AL208" s="1447">
        <f t="shared" si="94"/>
        <v>278.56028065668761</v>
      </c>
      <c r="AM208" s="1445">
        <f t="shared" si="95"/>
        <v>50.018549700000001</v>
      </c>
      <c r="AN208" s="1466">
        <f t="shared" si="96"/>
        <v>0.76625250760411079</v>
      </c>
      <c r="AO208" s="1449">
        <f t="shared" si="97"/>
        <v>213.83080789825695</v>
      </c>
      <c r="AP208" s="1450">
        <f t="shared" si="83"/>
        <v>-7.9484031528685275</v>
      </c>
      <c r="AQ208" s="1449">
        <f t="shared" si="106"/>
        <v>-526.5</v>
      </c>
      <c r="AR208" s="1450">
        <f t="shared" si="107"/>
        <v>-470</v>
      </c>
      <c r="AS208" s="1467">
        <f t="shared" si="98"/>
        <v>492.39108855494453</v>
      </c>
      <c r="AT208" s="1468">
        <f t="shared" si="108"/>
        <v>-213.83080789825695</v>
      </c>
      <c r="AU208" s="1454">
        <f t="shared" si="99"/>
        <v>205.88240474538841</v>
      </c>
      <c r="AV208" s="1468"/>
      <c r="AW208" s="1455">
        <f t="shared" si="100"/>
        <v>-273.47993194938817</v>
      </c>
      <c r="AX208" s="1455">
        <f t="shared" si="101"/>
        <v>-196.52006805061185</v>
      </c>
      <c r="AY208" s="1456">
        <f t="shared" si="84"/>
        <v>-42.416274998001555</v>
      </c>
      <c r="AZ208" s="1456">
        <f t="shared" si="85"/>
        <v>-50.885388445034508</v>
      </c>
      <c r="BA208" s="1457">
        <f t="shared" si="102"/>
        <v>42.416274998001555</v>
      </c>
      <c r="BB208" s="1457">
        <f t="shared" si="102"/>
        <v>50.885388445034508</v>
      </c>
      <c r="BC208" s="1118">
        <f t="shared" si="103"/>
        <v>0.3</v>
      </c>
    </row>
    <row r="209" spans="2:129" ht="21" customHeight="1" thickBot="1" x14ac:dyDescent="0.25">
      <c r="B209" s="1458">
        <v>16</v>
      </c>
      <c r="C209" s="1459"/>
      <c r="D209" s="1430">
        <v>0</v>
      </c>
      <c r="E209" s="1460" t="s">
        <v>130</v>
      </c>
      <c r="F209" s="1432">
        <f t="shared" si="86"/>
        <v>0.3</v>
      </c>
      <c r="G209" s="1432">
        <f t="shared" si="104"/>
        <v>0.3</v>
      </c>
      <c r="H209" s="1433">
        <v>279.06049999999999</v>
      </c>
      <c r="I209" s="1434">
        <v>79.962900599999998</v>
      </c>
      <c r="J209" s="1461">
        <f t="shared" si="87"/>
        <v>79.962900599999998</v>
      </c>
      <c r="K209" s="1461">
        <f t="shared" si="88"/>
        <v>39.981450299999999</v>
      </c>
      <c r="L209" s="1461">
        <f t="shared" si="75"/>
        <v>0.64253956655634092</v>
      </c>
      <c r="M209" s="1461">
        <f t="shared" si="76"/>
        <v>179.30741271299578</v>
      </c>
      <c r="N209" s="1461">
        <f t="shared" si="77"/>
        <v>358.61482542599157</v>
      </c>
      <c r="O209" s="1461">
        <f>+C194+D195+D196+D197+D198+D199+D200+D201+D202+D203+D204+D205+D206+D207+D208+(D209/2)</f>
        <v>0</v>
      </c>
      <c r="P209" s="1461">
        <f t="shared" si="78"/>
        <v>0</v>
      </c>
      <c r="Q209" s="1461">
        <f t="shared" si="79"/>
        <v>0</v>
      </c>
      <c r="R209" s="1461">
        <f t="shared" si="89"/>
        <v>213.83080000000001</v>
      </c>
      <c r="S209" s="1461">
        <f t="shared" si="105"/>
        <v>213.83080000000001</v>
      </c>
      <c r="T209" s="1462">
        <f t="shared" si="80"/>
        <v>213.83080000000001</v>
      </c>
      <c r="V209" s="1463">
        <f t="shared" si="81"/>
        <v>0</v>
      </c>
      <c r="W209" s="1463"/>
      <c r="X209" s="1463"/>
      <c r="Y209" s="1463"/>
      <c r="Z209" s="1463"/>
      <c r="AA209" s="1463"/>
      <c r="AB209" s="1441" t="str">
        <f t="shared" si="90"/>
        <v>use the locking pin</v>
      </c>
      <c r="AC209" s="1442" t="b">
        <f>IF(AD209=16,AF209)</f>
        <v>0</v>
      </c>
      <c r="AD209" s="1442">
        <f t="shared" si="91"/>
        <v>1</v>
      </c>
      <c r="AE209" s="1442">
        <f>IF(V209=0,0,16)</f>
        <v>0</v>
      </c>
      <c r="AF209" s="1463">
        <f>SUM(V209:V213)/($B$191-B208)</f>
        <v>0</v>
      </c>
      <c r="AG209" s="1463"/>
      <c r="AH209" s="1464">
        <f>SUM(D195:D209)+$C$194</f>
        <v>0</v>
      </c>
      <c r="AI209" s="1444" t="b">
        <f t="shared" si="92"/>
        <v>0</v>
      </c>
      <c r="AJ209" s="1445">
        <f t="shared" si="93"/>
        <v>66.255548399999995</v>
      </c>
      <c r="AK209" s="1465">
        <f t="shared" si="82"/>
        <v>0.91535047595051022</v>
      </c>
      <c r="AL209" s="1447">
        <f t="shared" si="94"/>
        <v>278.56028065668761</v>
      </c>
      <c r="AM209" s="1445">
        <f t="shared" si="95"/>
        <v>50.018549700000001</v>
      </c>
      <c r="AN209" s="1466">
        <f t="shared" si="96"/>
        <v>0.76625250760411079</v>
      </c>
      <c r="AO209" s="1449">
        <f t="shared" si="97"/>
        <v>213.83080789825695</v>
      </c>
      <c r="AP209" s="1450">
        <f t="shared" si="83"/>
        <v>-7.3178246461277334</v>
      </c>
      <c r="AQ209" s="1449">
        <f t="shared" si="106"/>
        <v>-567</v>
      </c>
      <c r="AR209" s="1450">
        <f t="shared" si="107"/>
        <v>-510.5</v>
      </c>
      <c r="AS209" s="1467">
        <f t="shared" si="98"/>
        <v>492.39108855494453</v>
      </c>
      <c r="AT209" s="1468">
        <f t="shared" si="108"/>
        <v>-213.83080789825695</v>
      </c>
      <c r="AU209" s="1454">
        <f t="shared" si="99"/>
        <v>206.5129832521292</v>
      </c>
      <c r="AV209" s="1468"/>
      <c r="AW209" s="1455">
        <f t="shared" si="100"/>
        <v>-296.39198626723748</v>
      </c>
      <c r="AX209" s="1455">
        <f t="shared" si="101"/>
        <v>-214.10801373276254</v>
      </c>
      <c r="AY209" s="1456">
        <f t="shared" si="84"/>
        <v>-39.137360446517036</v>
      </c>
      <c r="AZ209" s="1456">
        <f t="shared" si="85"/>
        <v>-46.705398016916043</v>
      </c>
      <c r="BA209" s="1457">
        <f t="shared" si="102"/>
        <v>39.137360446517036</v>
      </c>
      <c r="BB209" s="1457">
        <f t="shared" si="102"/>
        <v>46.705398016916043</v>
      </c>
      <c r="BC209" s="1118">
        <f t="shared" si="103"/>
        <v>0.3</v>
      </c>
    </row>
    <row r="210" spans="2:129" ht="21" customHeight="1" thickBot="1" x14ac:dyDescent="0.25">
      <c r="B210" s="1458">
        <v>17</v>
      </c>
      <c r="C210" s="1459"/>
      <c r="D210" s="1430">
        <v>0</v>
      </c>
      <c r="E210" s="1460" t="s">
        <v>130</v>
      </c>
      <c r="F210" s="1432">
        <f t="shared" si="86"/>
        <v>0.3</v>
      </c>
      <c r="G210" s="1432">
        <f t="shared" si="104"/>
        <v>0.3</v>
      </c>
      <c r="H210" s="1433">
        <v>279.06049999999999</v>
      </c>
      <c r="I210" s="1434">
        <v>79.962900599999998</v>
      </c>
      <c r="J210" s="1461">
        <f t="shared" si="87"/>
        <v>79.962900599999998</v>
      </c>
      <c r="K210" s="1461">
        <f t="shared" si="88"/>
        <v>39.981450299999999</v>
      </c>
      <c r="L210" s="1461">
        <f t="shared" si="75"/>
        <v>0.64253956655634092</v>
      </c>
      <c r="M210" s="1461">
        <f t="shared" si="76"/>
        <v>179.30741271299578</v>
      </c>
      <c r="N210" s="1461">
        <f t="shared" si="77"/>
        <v>358.61482542599157</v>
      </c>
      <c r="O210" s="1461">
        <f>+C194+D195+D196+D197+D198+D199+D200+D201+D202+D203+D204+D205+D206+D207+D208+D209+(D210/2)</f>
        <v>0</v>
      </c>
      <c r="P210" s="1461">
        <f t="shared" si="78"/>
        <v>0</v>
      </c>
      <c r="Q210" s="1461">
        <f t="shared" si="79"/>
        <v>0</v>
      </c>
      <c r="R210" s="1461">
        <f t="shared" si="89"/>
        <v>213.83080000000001</v>
      </c>
      <c r="S210" s="1461">
        <f t="shared" si="105"/>
        <v>213.83080000000001</v>
      </c>
      <c r="T210" s="1462">
        <f t="shared" si="80"/>
        <v>213.83080000000001</v>
      </c>
      <c r="V210" s="1463">
        <f t="shared" si="81"/>
        <v>0</v>
      </c>
      <c r="W210" s="1463"/>
      <c r="X210" s="1463"/>
      <c r="Y210" s="1463"/>
      <c r="Z210" s="1463"/>
      <c r="AA210" s="1463"/>
      <c r="AB210" s="1441" t="str">
        <f t="shared" si="90"/>
        <v>use the locking pin</v>
      </c>
      <c r="AC210" s="1442" t="b">
        <f>IF(AD210=17,AF210)</f>
        <v>0</v>
      </c>
      <c r="AD210" s="1442">
        <f t="shared" si="91"/>
        <v>1</v>
      </c>
      <c r="AE210" s="1442">
        <f>IF(V210=0,0,17)</f>
        <v>0</v>
      </c>
      <c r="AF210" s="1463">
        <f>SUM(V210:V213)/($B$191-B209)</f>
        <v>0</v>
      </c>
      <c r="AG210" s="1463"/>
      <c r="AH210" s="1464">
        <f>SUM(D195:D210)+$C$194</f>
        <v>0</v>
      </c>
      <c r="AI210" s="1444" t="b">
        <f t="shared" si="92"/>
        <v>0</v>
      </c>
      <c r="AJ210" s="1445">
        <f t="shared" si="93"/>
        <v>66.255548399999995</v>
      </c>
      <c r="AK210" s="1465">
        <f t="shared" si="82"/>
        <v>0.91535047595051022</v>
      </c>
      <c r="AL210" s="1447">
        <f t="shared" si="94"/>
        <v>278.56028065668761</v>
      </c>
      <c r="AM210" s="1445">
        <f t="shared" si="95"/>
        <v>50.018549700000001</v>
      </c>
      <c r="AN210" s="1466">
        <f t="shared" si="96"/>
        <v>0.76625250760411079</v>
      </c>
      <c r="AO210" s="1449">
        <f t="shared" si="97"/>
        <v>213.83080789825695</v>
      </c>
      <c r="AP210" s="1450">
        <f t="shared" si="83"/>
        <v>-6.7799446131546421</v>
      </c>
      <c r="AQ210" s="1449">
        <f t="shared" si="106"/>
        <v>-607.5</v>
      </c>
      <c r="AR210" s="1450">
        <f t="shared" si="107"/>
        <v>-551</v>
      </c>
      <c r="AS210" s="1467">
        <f t="shared" si="98"/>
        <v>492.39108855494453</v>
      </c>
      <c r="AT210" s="1468">
        <f t="shared" si="108"/>
        <v>-213.83080789825695</v>
      </c>
      <c r="AU210" s="1454">
        <f t="shared" si="99"/>
        <v>207.05086328510231</v>
      </c>
      <c r="AV210" s="1468"/>
      <c r="AW210" s="1455">
        <f t="shared" si="100"/>
        <v>-319.30404058508674</v>
      </c>
      <c r="AX210" s="1455">
        <f t="shared" si="101"/>
        <v>-231.69595941491323</v>
      </c>
      <c r="AY210" s="1456">
        <f t="shared" si="84"/>
        <v>-36.329010991356007</v>
      </c>
      <c r="AZ210" s="1456">
        <f t="shared" si="85"/>
        <v>-43.160010322373992</v>
      </c>
      <c r="BA210" s="1457">
        <f t="shared" si="102"/>
        <v>36.329010991356007</v>
      </c>
      <c r="BB210" s="1457">
        <f t="shared" si="102"/>
        <v>43.160010322373992</v>
      </c>
      <c r="BC210" s="1118">
        <f t="shared" si="103"/>
        <v>0.3</v>
      </c>
      <c r="BD210" s="1219"/>
      <c r="BP210" s="1248"/>
      <c r="BR210" s="1248"/>
      <c r="BT210" s="1248"/>
      <c r="DF210" s="1248"/>
      <c r="DG210" s="1248"/>
      <c r="DH210" s="1248"/>
      <c r="DI210" s="1248"/>
      <c r="DJ210" s="1248"/>
      <c r="DK210" s="1248"/>
      <c r="DL210" s="1408"/>
      <c r="DM210" s="1408"/>
      <c r="DN210" s="1408"/>
      <c r="DO210" s="1408"/>
      <c r="DP210" s="1408"/>
      <c r="DQ210" s="1408"/>
      <c r="DR210" s="1408"/>
      <c r="DS210" s="1408"/>
      <c r="DT210" s="1408"/>
      <c r="DU210" s="1408"/>
      <c r="DV210" s="1408"/>
      <c r="DW210" s="1408"/>
      <c r="DX210" s="1408"/>
      <c r="DY210" s="1408"/>
    </row>
    <row r="211" spans="2:129" ht="21" customHeight="1" thickBot="1" x14ac:dyDescent="0.25">
      <c r="B211" s="1458">
        <v>18</v>
      </c>
      <c r="C211" s="1459"/>
      <c r="D211" s="1430">
        <v>0</v>
      </c>
      <c r="E211" s="1460" t="s">
        <v>130</v>
      </c>
      <c r="F211" s="1432">
        <f t="shared" si="86"/>
        <v>0.3</v>
      </c>
      <c r="G211" s="1432">
        <f t="shared" si="104"/>
        <v>0.3</v>
      </c>
      <c r="H211" s="1433">
        <v>279.06049999999999</v>
      </c>
      <c r="I211" s="1434">
        <v>79.962900599999998</v>
      </c>
      <c r="J211" s="1461">
        <f t="shared" si="87"/>
        <v>79.962900599999998</v>
      </c>
      <c r="K211" s="1461">
        <f t="shared" si="88"/>
        <v>39.981450299999999</v>
      </c>
      <c r="L211" s="1461">
        <f t="shared" si="75"/>
        <v>0.64253956655634092</v>
      </c>
      <c r="M211" s="1461">
        <f t="shared" si="76"/>
        <v>179.30741271299578</v>
      </c>
      <c r="N211" s="1461">
        <f t="shared" si="77"/>
        <v>358.61482542599157</v>
      </c>
      <c r="O211" s="1461">
        <f>+C194+D195+D196+D197+D198+D199+D200+D201+D202+D203+D204+D205+D206+D207+D208+D209+D210+(D211/2)</f>
        <v>0</v>
      </c>
      <c r="P211" s="1461">
        <f t="shared" si="78"/>
        <v>0</v>
      </c>
      <c r="Q211" s="1461">
        <f t="shared" si="79"/>
        <v>0</v>
      </c>
      <c r="R211" s="1461">
        <f t="shared" si="89"/>
        <v>213.83080000000001</v>
      </c>
      <c r="S211" s="1461">
        <f t="shared" si="105"/>
        <v>213.83080000000001</v>
      </c>
      <c r="T211" s="1462">
        <f t="shared" si="80"/>
        <v>213.83080000000001</v>
      </c>
      <c r="V211" s="1463">
        <f t="shared" si="81"/>
        <v>0</v>
      </c>
      <c r="W211" s="1463"/>
      <c r="X211" s="1463"/>
      <c r="Y211" s="1463"/>
      <c r="Z211" s="1463"/>
      <c r="AA211" s="1463"/>
      <c r="AB211" s="1441" t="str">
        <f t="shared" si="90"/>
        <v>use the locking pin</v>
      </c>
      <c r="AC211" s="1442" t="b">
        <f>IF(AD211=18,AF211)</f>
        <v>0</v>
      </c>
      <c r="AD211" s="1442">
        <f t="shared" si="91"/>
        <v>1</v>
      </c>
      <c r="AE211" s="1442">
        <f>IF(V211=0,0,18)</f>
        <v>0</v>
      </c>
      <c r="AF211" s="1463">
        <f>SUM(V211:V213)/($B$191-B210)</f>
        <v>0</v>
      </c>
      <c r="AG211" s="1463"/>
      <c r="AH211" s="1464">
        <f>SUM(D195:D211)+$C$194</f>
        <v>0</v>
      </c>
      <c r="AI211" s="1444" t="b">
        <f t="shared" si="92"/>
        <v>0</v>
      </c>
      <c r="AJ211" s="1445">
        <f t="shared" si="93"/>
        <v>66.255548399999995</v>
      </c>
      <c r="AK211" s="1465">
        <f t="shared" si="82"/>
        <v>0.91535047595051022</v>
      </c>
      <c r="AL211" s="1447">
        <f t="shared" si="94"/>
        <v>278.56028065668761</v>
      </c>
      <c r="AM211" s="1445">
        <f t="shared" si="95"/>
        <v>50.018549700000001</v>
      </c>
      <c r="AN211" s="1466">
        <f t="shared" si="96"/>
        <v>0.76625250760411079</v>
      </c>
      <c r="AO211" s="1449">
        <f t="shared" si="97"/>
        <v>213.83080789825695</v>
      </c>
      <c r="AP211" s="1450">
        <f t="shared" si="83"/>
        <v>-6.315721862803394</v>
      </c>
      <c r="AQ211" s="1449">
        <f t="shared" si="106"/>
        <v>-648</v>
      </c>
      <c r="AR211" s="1450">
        <f t="shared" si="107"/>
        <v>-591.5</v>
      </c>
      <c r="AS211" s="1467">
        <f t="shared" si="98"/>
        <v>492.39108855494453</v>
      </c>
      <c r="AT211" s="1468">
        <f t="shared" si="108"/>
        <v>-213.83080789825695</v>
      </c>
      <c r="AU211" s="1454">
        <f t="shared" si="99"/>
        <v>207.51508603545355</v>
      </c>
      <c r="AV211" s="1468"/>
      <c r="AW211" s="1455">
        <f t="shared" si="100"/>
        <v>-342.21609490293611</v>
      </c>
      <c r="AX211" s="1455">
        <f t="shared" si="101"/>
        <v>-249.28390509706389</v>
      </c>
      <c r="AY211" s="1456">
        <f t="shared" si="84"/>
        <v>-33.896710799911816</v>
      </c>
      <c r="AZ211" s="1456">
        <f t="shared" si="85"/>
        <v>-40.114904314044225</v>
      </c>
      <c r="BA211" s="1457">
        <f t="shared" si="102"/>
        <v>33.896710799911816</v>
      </c>
      <c r="BB211" s="1457">
        <f t="shared" si="102"/>
        <v>40.114904314044225</v>
      </c>
      <c r="BC211" s="1118">
        <f t="shared" si="103"/>
        <v>0.3</v>
      </c>
      <c r="BD211" s="1474"/>
      <c r="BP211" s="1248"/>
      <c r="BT211" s="1248"/>
      <c r="DF211" s="1248"/>
      <c r="DG211" s="1248"/>
      <c r="DH211" s="1248"/>
      <c r="DI211" s="1248"/>
      <c r="DJ211" s="1248"/>
      <c r="DK211" s="1248"/>
      <c r="DL211" s="1408"/>
      <c r="DM211" s="1408"/>
      <c r="DN211" s="1408"/>
      <c r="DO211" s="1408"/>
      <c r="DP211" s="1408"/>
      <c r="DQ211" s="1408"/>
      <c r="DR211" s="1408"/>
      <c r="DS211" s="1408"/>
      <c r="DT211" s="1408"/>
      <c r="DU211" s="1408"/>
      <c r="DV211" s="1408"/>
      <c r="DW211" s="1408"/>
      <c r="DX211" s="1408"/>
      <c r="DY211" s="1408"/>
    </row>
    <row r="212" spans="2:129" ht="21" customHeight="1" thickBot="1" x14ac:dyDescent="0.25">
      <c r="B212" s="1458">
        <v>19</v>
      </c>
      <c r="C212" s="1475"/>
      <c r="D212" s="1476">
        <v>0</v>
      </c>
      <c r="E212" s="1460" t="s">
        <v>130</v>
      </c>
      <c r="F212" s="1477">
        <f t="shared" si="86"/>
        <v>0.3</v>
      </c>
      <c r="G212" s="1477">
        <f t="shared" si="104"/>
        <v>0.3</v>
      </c>
      <c r="H212" s="1433">
        <v>279.06049999999999</v>
      </c>
      <c r="I212" s="1434">
        <v>79.962900599999998</v>
      </c>
      <c r="J212" s="1478">
        <f t="shared" si="87"/>
        <v>79.962900599999998</v>
      </c>
      <c r="K212" s="1478">
        <f t="shared" si="88"/>
        <v>39.981450299999999</v>
      </c>
      <c r="L212" s="1478">
        <f t="shared" si="75"/>
        <v>0.64253956655634092</v>
      </c>
      <c r="M212" s="1478">
        <f t="shared" si="76"/>
        <v>179.30741271299578</v>
      </c>
      <c r="N212" s="1478">
        <f t="shared" si="77"/>
        <v>358.61482542599157</v>
      </c>
      <c r="O212" s="1478">
        <f>+C194+D195+D196+D197+D198+D199+D200+D201+D202+D203+D204+D205+D206+D207+D208+D209+D210+D211+(D212/2)</f>
        <v>0</v>
      </c>
      <c r="P212" s="1478">
        <f t="shared" si="78"/>
        <v>0</v>
      </c>
      <c r="Q212" s="1478">
        <f t="shared" si="79"/>
        <v>0</v>
      </c>
      <c r="R212" s="1478">
        <f t="shared" si="89"/>
        <v>213.83080000000001</v>
      </c>
      <c r="S212" s="1478">
        <f t="shared" si="105"/>
        <v>213.83080000000001</v>
      </c>
      <c r="T212" s="1479">
        <f t="shared" si="80"/>
        <v>213.83080000000001</v>
      </c>
      <c r="U212" s="1480"/>
      <c r="V212" s="1481">
        <f t="shared" si="81"/>
        <v>0</v>
      </c>
      <c r="W212" s="1481"/>
      <c r="X212" s="1481"/>
      <c r="Y212" s="1481"/>
      <c r="Z212" s="1481"/>
      <c r="AA212" s="1481"/>
      <c r="AB212" s="1482" t="str">
        <f t="shared" si="90"/>
        <v>use the locking pin</v>
      </c>
      <c r="AC212" s="1483" t="b">
        <f>IF(AD212=19,AF212)</f>
        <v>0</v>
      </c>
      <c r="AD212" s="1442">
        <f t="shared" si="91"/>
        <v>1</v>
      </c>
      <c r="AE212" s="1483">
        <f>IF(V212=0,0,19)</f>
        <v>0</v>
      </c>
      <c r="AF212" s="1481">
        <f>SUM(V212:V213)/($B$191-B211)</f>
        <v>0</v>
      </c>
      <c r="AG212" s="1481"/>
      <c r="AH212" s="1484">
        <f>SUM(D194:D212)+$C$194</f>
        <v>0</v>
      </c>
      <c r="AI212" s="1444" t="b">
        <f t="shared" si="92"/>
        <v>0</v>
      </c>
      <c r="AJ212" s="1445">
        <f t="shared" si="93"/>
        <v>66.255548399999995</v>
      </c>
      <c r="AK212" s="1486">
        <f t="shared" si="82"/>
        <v>0.91535047595051022</v>
      </c>
      <c r="AL212" s="1447">
        <f t="shared" si="94"/>
        <v>278.56028065668761</v>
      </c>
      <c r="AM212" s="1445">
        <f t="shared" si="95"/>
        <v>50.018549700000001</v>
      </c>
      <c r="AN212" s="1487">
        <f t="shared" si="96"/>
        <v>0.76625250760411079</v>
      </c>
      <c r="AO212" s="1449">
        <f t="shared" si="97"/>
        <v>213.83080789825695</v>
      </c>
      <c r="AP212" s="1450">
        <f t="shared" si="83"/>
        <v>-5.9109960155826071</v>
      </c>
      <c r="AQ212" s="1449">
        <f t="shared" si="106"/>
        <v>-688.5</v>
      </c>
      <c r="AR212" s="1450">
        <f t="shared" si="107"/>
        <v>-632</v>
      </c>
      <c r="AS212" s="1488">
        <f t="shared" si="98"/>
        <v>492.39108855494453</v>
      </c>
      <c r="AT212" s="1481">
        <f t="shared" si="108"/>
        <v>-213.83080789825695</v>
      </c>
      <c r="AU212" s="1454">
        <f t="shared" si="99"/>
        <v>207.91981188267434</v>
      </c>
      <c r="AV212" s="1481"/>
      <c r="AW212" s="1455">
        <f t="shared" si="100"/>
        <v>-365.12814922078542</v>
      </c>
      <c r="AX212" s="1455">
        <f t="shared" si="101"/>
        <v>-266.87185077921458</v>
      </c>
      <c r="AY212" s="1491">
        <f t="shared" si="84"/>
        <v>-31.769667785831874</v>
      </c>
      <c r="AZ212" s="1491">
        <f t="shared" si="85"/>
        <v>-37.471168168549511</v>
      </c>
      <c r="BA212" s="1457">
        <f t="shared" si="102"/>
        <v>31.769667785831874</v>
      </c>
      <c r="BB212" s="1457">
        <f t="shared" si="102"/>
        <v>37.471168168549511</v>
      </c>
      <c r="BC212" s="1118">
        <f t="shared" si="103"/>
        <v>0.3</v>
      </c>
      <c r="BD212" s="1492"/>
      <c r="BP212" s="1248"/>
      <c r="BQ212" s="1559"/>
      <c r="BR212" s="1559"/>
      <c r="BS212" s="1559"/>
      <c r="BT212" s="1559"/>
      <c r="BU212" s="1559"/>
      <c r="BV212" s="1559"/>
      <c r="BW212" s="1559"/>
      <c r="BX212" s="1559"/>
      <c r="BY212" s="1559"/>
      <c r="BZ212" s="1559"/>
      <c r="CA212" s="1559"/>
      <c r="CB212" s="1559"/>
      <c r="CC212" s="1559"/>
      <c r="CD212" s="1559"/>
      <c r="CE212" s="1559"/>
      <c r="CF212" s="1559"/>
      <c r="CG212" s="1559"/>
      <c r="CH212" s="1559"/>
      <c r="CI212" s="1559"/>
      <c r="CJ212" s="1559"/>
      <c r="CK212" s="1559"/>
      <c r="CL212" s="1559"/>
      <c r="CM212" s="1559"/>
      <c r="CN212" s="1559"/>
      <c r="DF212" s="1248"/>
      <c r="DG212" s="1248"/>
      <c r="DH212" s="1248"/>
      <c r="DI212" s="1248"/>
      <c r="DJ212" s="1248"/>
      <c r="DK212" s="1248"/>
      <c r="DL212" s="1408"/>
      <c r="DM212" s="1408"/>
      <c r="DN212" s="1408"/>
      <c r="DO212" s="1408"/>
      <c r="DP212" s="1408"/>
      <c r="DQ212" s="1408"/>
      <c r="DR212" s="1408"/>
      <c r="DS212" s="1408"/>
      <c r="DT212" s="1408"/>
      <c r="DU212" s="1408"/>
      <c r="DV212" s="1408"/>
      <c r="DW212" s="1408"/>
      <c r="DX212" s="1408"/>
      <c r="DY212" s="1408"/>
    </row>
    <row r="213" spans="2:129" ht="21" customHeight="1" thickBot="1" x14ac:dyDescent="0.25">
      <c r="B213" s="1458">
        <v>20</v>
      </c>
      <c r="C213" s="1459"/>
      <c r="D213" s="1430">
        <v>0</v>
      </c>
      <c r="E213" s="1460" t="s">
        <v>130</v>
      </c>
      <c r="F213" s="1432">
        <f t="shared" si="86"/>
        <v>0.3</v>
      </c>
      <c r="G213" s="1432">
        <f t="shared" si="104"/>
        <v>0.3</v>
      </c>
      <c r="H213" s="1433">
        <v>279.06049999999999</v>
      </c>
      <c r="I213" s="1434">
        <v>79.962900599999998</v>
      </c>
      <c r="J213" s="1461">
        <f t="shared" si="87"/>
        <v>79.962900599999998</v>
      </c>
      <c r="K213" s="1461">
        <f t="shared" si="88"/>
        <v>39.981450299999999</v>
      </c>
      <c r="L213" s="1461">
        <f t="shared" si="75"/>
        <v>0.64253956655634092</v>
      </c>
      <c r="M213" s="1461">
        <f t="shared" si="76"/>
        <v>179.30741271299578</v>
      </c>
      <c r="N213" s="1461">
        <f t="shared" si="77"/>
        <v>358.61482542599157</v>
      </c>
      <c r="O213" s="1461">
        <f>+C194+D195+D196+D197+D198+D199+D200+D201+D202+D203+D204+D205+D206+D207+D208+D209+D210+D211+D212+(D213/2)</f>
        <v>0</v>
      </c>
      <c r="P213" s="1461">
        <f t="shared" si="78"/>
        <v>0</v>
      </c>
      <c r="Q213" s="1461">
        <f t="shared" si="79"/>
        <v>0</v>
      </c>
      <c r="R213" s="1461">
        <f t="shared" si="89"/>
        <v>213.83080000000001</v>
      </c>
      <c r="S213" s="1461">
        <f t="shared" si="105"/>
        <v>213.83080000000001</v>
      </c>
      <c r="T213" s="1462">
        <f t="shared" si="80"/>
        <v>213.83080000000001</v>
      </c>
      <c r="V213" s="1463">
        <f t="shared" si="81"/>
        <v>0</v>
      </c>
      <c r="W213" s="1463"/>
      <c r="X213" s="1463"/>
      <c r="Y213" s="1463"/>
      <c r="Z213" s="1463"/>
      <c r="AA213" s="1463"/>
      <c r="AB213" s="1441" t="str">
        <f t="shared" si="90"/>
        <v>use the locking pin</v>
      </c>
      <c r="AC213" s="1442" t="b">
        <f>IF(AD213=20,AF213)</f>
        <v>0</v>
      </c>
      <c r="AD213" s="1442">
        <f t="shared" si="91"/>
        <v>1</v>
      </c>
      <c r="AE213" s="1442">
        <f>IF(V213=0,0,20)</f>
        <v>0</v>
      </c>
      <c r="AF213" s="1463">
        <f>SUM(V213:V213)/($B$191-B212)</f>
        <v>0</v>
      </c>
      <c r="AG213" s="1463"/>
      <c r="AH213" s="1464">
        <f>SUM(D195:D213)+$C$194</f>
        <v>0</v>
      </c>
      <c r="AI213" s="1444" t="b">
        <f t="shared" si="92"/>
        <v>0</v>
      </c>
      <c r="AJ213" s="1445">
        <f t="shared" si="93"/>
        <v>66.255548399999995</v>
      </c>
      <c r="AK213" s="1465">
        <f t="shared" si="82"/>
        <v>0.91535047595051022</v>
      </c>
      <c r="AL213" s="1447">
        <f t="shared" si="94"/>
        <v>278.56028065668761</v>
      </c>
      <c r="AM213" s="1445">
        <f t="shared" si="95"/>
        <v>50.018549700000001</v>
      </c>
      <c r="AN213" s="1466">
        <f t="shared" si="96"/>
        <v>0.76625250760411079</v>
      </c>
      <c r="AO213" s="1449">
        <f t="shared" si="97"/>
        <v>213.83080789825695</v>
      </c>
      <c r="AP213" s="1450">
        <f t="shared" si="83"/>
        <v>-5.555017816874658</v>
      </c>
      <c r="AQ213" s="1449">
        <f t="shared" si="106"/>
        <v>-729</v>
      </c>
      <c r="AR213" s="1450">
        <f t="shared" si="107"/>
        <v>-672.5</v>
      </c>
      <c r="AS213" s="1467">
        <f t="shared" si="98"/>
        <v>492.39108855494453</v>
      </c>
      <c r="AT213" s="1468">
        <f t="shared" si="108"/>
        <v>-213.83080789825695</v>
      </c>
      <c r="AU213" s="1454">
        <f t="shared" si="99"/>
        <v>208.2757900813823</v>
      </c>
      <c r="AV213" s="1468"/>
      <c r="AW213" s="1455">
        <f t="shared" si="100"/>
        <v>-388.04020353863473</v>
      </c>
      <c r="AX213" s="1455">
        <f t="shared" si="101"/>
        <v>-284.45979646136527</v>
      </c>
      <c r="AY213" s="1456">
        <f t="shared" si="84"/>
        <v>-29.893809698625883</v>
      </c>
      <c r="AZ213" s="1456">
        <f t="shared" si="85"/>
        <v>-35.154352651581746</v>
      </c>
      <c r="BA213" s="1457">
        <f t="shared" si="102"/>
        <v>29.893809698625883</v>
      </c>
      <c r="BB213" s="1457">
        <f t="shared" si="102"/>
        <v>35.154352651581746</v>
      </c>
      <c r="BC213" s="1118">
        <f t="shared" si="103"/>
        <v>0.3</v>
      </c>
      <c r="BD213" s="1492"/>
      <c r="BP213" s="1248"/>
      <c r="DF213" s="1248"/>
      <c r="DG213" s="1248"/>
      <c r="DH213" s="1248"/>
      <c r="DI213" s="1248"/>
      <c r="DJ213" s="1248"/>
      <c r="DK213" s="1248"/>
      <c r="DL213" s="1408"/>
      <c r="DM213" s="1408"/>
      <c r="DN213" s="1408"/>
      <c r="DO213" s="1408"/>
      <c r="DP213" s="1408"/>
      <c r="DQ213" s="1408"/>
      <c r="DR213" s="1408"/>
      <c r="DS213" s="1408"/>
      <c r="DT213" s="1408"/>
      <c r="DU213" s="1408"/>
      <c r="DV213" s="1408"/>
      <c r="DW213" s="1408"/>
      <c r="DX213" s="1408"/>
      <c r="DY213" s="1408"/>
    </row>
    <row r="214" spans="2:129" hidden="1" x14ac:dyDescent="0.2">
      <c r="BD214" s="1496"/>
      <c r="BQ214" s="1472"/>
      <c r="BR214" s="1472"/>
      <c r="BS214" s="1472"/>
      <c r="BT214" s="1472"/>
      <c r="BU214" s="1472"/>
      <c r="BV214" s="1472"/>
      <c r="CA214" s="1472"/>
      <c r="CB214" s="1472"/>
      <c r="CC214" s="1472"/>
      <c r="CD214" s="1472"/>
      <c r="CI214" s="1472"/>
      <c r="CJ214" s="1472"/>
      <c r="CK214" s="1472"/>
      <c r="CL214" s="1472"/>
      <c r="CM214" s="1472"/>
      <c r="CN214" s="1472"/>
      <c r="DE214" s="1248"/>
    </row>
    <row r="215" spans="2:129" ht="19" thickBot="1" x14ac:dyDescent="0.25">
      <c r="BD215" s="1496"/>
      <c r="BQ215" s="1472"/>
      <c r="BR215" s="1472"/>
      <c r="BS215" s="1472"/>
      <c r="BT215" s="1472"/>
      <c r="BU215" s="1472"/>
      <c r="BV215" s="1472"/>
      <c r="CA215" s="1472"/>
      <c r="CB215" s="1472"/>
      <c r="CC215" s="1472"/>
      <c r="CD215" s="1472"/>
      <c r="CI215" s="1472"/>
      <c r="CJ215" s="1472"/>
      <c r="CK215" s="1472"/>
      <c r="CL215" s="1472"/>
      <c r="CM215" s="1472"/>
      <c r="CN215" s="1472"/>
      <c r="DE215" s="1248"/>
    </row>
    <row r="216" spans="2:129" ht="36" customHeight="1" x14ac:dyDescent="0.2">
      <c r="B216" s="1886" t="s">
        <v>268</v>
      </c>
      <c r="C216" s="559"/>
      <c r="D216" s="560"/>
      <c r="E216" s="560"/>
      <c r="BD216" s="1496"/>
      <c r="BQ216" s="1472"/>
      <c r="BR216" s="1472"/>
      <c r="BS216" s="1472"/>
      <c r="BT216" s="1472"/>
      <c r="BU216" s="1472"/>
      <c r="BV216" s="1472"/>
      <c r="CA216" s="1472"/>
      <c r="CB216" s="1472"/>
      <c r="CC216" s="1472"/>
      <c r="CD216" s="1472"/>
      <c r="CI216" s="1472"/>
      <c r="CJ216" s="1472"/>
      <c r="CK216" s="1472"/>
      <c r="CL216" s="1472"/>
      <c r="CM216" s="1472"/>
      <c r="CN216" s="1472"/>
      <c r="DE216" s="1248"/>
    </row>
    <row r="217" spans="2:129" ht="51" customHeight="1" thickBot="1" x14ac:dyDescent="0.25">
      <c r="B217" s="1887"/>
      <c r="C217" s="559"/>
      <c r="D217" s="560"/>
      <c r="E217" s="560"/>
      <c r="BD217" s="1496"/>
      <c r="BQ217" s="1472"/>
      <c r="BR217" s="1472"/>
      <c r="BS217" s="1472"/>
      <c r="BT217" s="1472"/>
      <c r="BU217" s="1472"/>
      <c r="BV217" s="1472"/>
      <c r="CA217" s="1472"/>
      <c r="CB217" s="1472"/>
      <c r="CC217" s="1472"/>
      <c r="CD217" s="1472"/>
      <c r="CI217" s="1472"/>
      <c r="CJ217" s="1472"/>
      <c r="CK217" s="1472"/>
      <c r="CL217" s="1472"/>
      <c r="CM217" s="1472"/>
      <c r="CN217" s="1472"/>
      <c r="DE217" s="1248"/>
    </row>
    <row r="218" spans="2:129" ht="33" customHeight="1" thickBot="1" x14ac:dyDescent="0.25">
      <c r="B218" s="34">
        <v>0</v>
      </c>
      <c r="C218" s="1526"/>
      <c r="D218" s="1718" t="s">
        <v>269</v>
      </c>
      <c r="E218" s="1526"/>
      <c r="AH218" s="1497" t="s">
        <v>79</v>
      </c>
      <c r="AI218" s="1498">
        <f>MAX(AI194:AI213)</f>
        <v>0</v>
      </c>
      <c r="BD218" s="1496"/>
      <c r="DE218" s="1248"/>
    </row>
    <row r="219" spans="2:129" ht="82.5" customHeight="1" thickBot="1" x14ac:dyDescent="0.25">
      <c r="B219" s="1381" t="s">
        <v>172</v>
      </c>
      <c r="C219" s="1382"/>
      <c r="D219" s="1383"/>
      <c r="E219" s="1139"/>
      <c r="F219" s="1139"/>
      <c r="G219" s="1139"/>
      <c r="H219" s="1384"/>
      <c r="I219" s="1384"/>
      <c r="J219" s="1384"/>
      <c r="K219" s="1384"/>
      <c r="L219" s="1384"/>
      <c r="M219" s="1384"/>
      <c r="N219" s="1384"/>
      <c r="O219" s="1384"/>
      <c r="P219" s="1384"/>
      <c r="Q219" s="1384"/>
      <c r="R219" s="1384"/>
      <c r="S219" s="1385" t="s">
        <v>66</v>
      </c>
      <c r="T219" s="1385">
        <f>SUM(V223:V230)/B220</f>
        <v>146.5</v>
      </c>
      <c r="U219" s="1386"/>
      <c r="V219" s="1131"/>
      <c r="W219" s="1131"/>
      <c r="X219" s="1131"/>
      <c r="Y219" s="1131"/>
      <c r="Z219" s="1131"/>
      <c r="AA219" s="1131"/>
      <c r="AB219" s="1131"/>
      <c r="AC219" s="1131"/>
      <c r="AD219" s="1131"/>
      <c r="AE219" s="1131"/>
      <c r="AF219" s="1131"/>
      <c r="AG219" s="1131"/>
      <c r="AH219" s="1131"/>
      <c r="AI219" s="1131"/>
      <c r="AJ219" s="1131"/>
      <c r="AK219" s="1131"/>
      <c r="AL219" s="1131"/>
      <c r="AM219" s="1131"/>
      <c r="AN219" s="1131"/>
      <c r="AO219" s="1131"/>
      <c r="AP219" s="1131"/>
      <c r="AQ219" s="1131"/>
      <c r="AR219" s="1131"/>
      <c r="AS219" s="1131"/>
      <c r="AT219" s="1131"/>
      <c r="AU219" s="1131"/>
      <c r="AV219" s="1131"/>
      <c r="AW219" s="1131"/>
      <c r="AX219" s="1131"/>
      <c r="AY219" s="1131"/>
      <c r="AZ219" s="1131"/>
      <c r="BA219" s="1131"/>
      <c r="BB219" s="1131"/>
      <c r="BC219" s="1248"/>
    </row>
    <row r="220" spans="2:129" ht="35.25" customHeight="1" thickBot="1" x14ac:dyDescent="0.3">
      <c r="B220" s="1390">
        <v>1</v>
      </c>
      <c r="C220" s="1391"/>
      <c r="D220" s="1560" t="s">
        <v>53</v>
      </c>
      <c r="E220" s="1393"/>
      <c r="F220" s="1393"/>
      <c r="G220" s="1393"/>
      <c r="H220" s="1394"/>
      <c r="I220" s="1395"/>
      <c r="J220" s="1395"/>
      <c r="K220" s="1395"/>
      <c r="L220" s="1395"/>
      <c r="M220" s="1395"/>
      <c r="N220" s="1395"/>
      <c r="O220" s="1395"/>
      <c r="P220" s="1395"/>
      <c r="Q220" s="1395"/>
      <c r="R220" s="1395"/>
      <c r="S220" s="1396"/>
      <c r="T220" s="1397"/>
      <c r="U220" s="1268"/>
      <c r="V220" s="1398"/>
      <c r="W220" s="1398"/>
      <c r="X220" s="1398"/>
      <c r="Y220" s="1398"/>
      <c r="Z220" s="1398"/>
      <c r="AA220" s="1398"/>
      <c r="AB220" s="1398"/>
      <c r="AC220" s="1398"/>
      <c r="AD220" s="1398"/>
      <c r="AE220" s="1398"/>
      <c r="AF220" s="1398"/>
      <c r="AG220" s="1398"/>
      <c r="AH220" s="1398"/>
      <c r="AI220" s="1398"/>
      <c r="AJ220" s="1398"/>
      <c r="AK220" s="1398"/>
      <c r="AL220" s="1398"/>
      <c r="AM220" s="1398"/>
      <c r="AN220" s="1398"/>
      <c r="AO220" s="1398"/>
      <c r="AP220" s="1398"/>
      <c r="AQ220" s="1398"/>
      <c r="AR220" s="1398"/>
      <c r="AS220" s="1398"/>
      <c r="AT220" s="1398"/>
      <c r="AU220" s="1398"/>
      <c r="AV220" s="1398"/>
      <c r="AW220" s="1398"/>
      <c r="AX220" s="1398"/>
      <c r="AY220" s="1398"/>
      <c r="AZ220" s="1398"/>
      <c r="BA220" s="1888" t="s">
        <v>52</v>
      </c>
      <c r="BB220" s="1889"/>
      <c r="BC220" s="1399"/>
      <c r="BP220" s="1551"/>
      <c r="BQ220" s="1551"/>
      <c r="BR220" s="1551"/>
      <c r="BS220" s="1551"/>
      <c r="BT220" s="1551"/>
      <c r="BU220" s="1551"/>
      <c r="BV220" s="1885"/>
      <c r="BW220" s="1885"/>
      <c r="BX220" s="1885"/>
      <c r="BY220" s="1248"/>
    </row>
    <row r="221" spans="2:129" ht="77" hidden="1" thickBot="1" x14ac:dyDescent="0.25">
      <c r="C221" s="1401"/>
      <c r="D221" s="1402"/>
      <c r="H221" s="1403" t="s">
        <v>4</v>
      </c>
      <c r="I221" s="1403" t="s">
        <v>1</v>
      </c>
      <c r="J221" s="1384" t="s">
        <v>0</v>
      </c>
      <c r="K221" s="1384" t="s">
        <v>2</v>
      </c>
      <c r="L221" s="1384" t="s">
        <v>3</v>
      </c>
      <c r="M221" s="1384" t="s">
        <v>8</v>
      </c>
      <c r="N221" s="1384" t="s">
        <v>5</v>
      </c>
      <c r="O221" s="1384" t="s">
        <v>6</v>
      </c>
      <c r="P221" s="1384" t="s">
        <v>7</v>
      </c>
      <c r="Q221" s="1384" t="s">
        <v>9</v>
      </c>
      <c r="R221" s="1404" t="s">
        <v>10</v>
      </c>
      <c r="S221" s="1384" t="s">
        <v>11</v>
      </c>
      <c r="T221" s="1405" t="s">
        <v>12</v>
      </c>
      <c r="V221" s="631"/>
      <c r="W221" s="631"/>
      <c r="X221" s="631"/>
      <c r="Y221" s="631"/>
      <c r="Z221" s="631"/>
      <c r="AA221" s="631"/>
      <c r="AB221" s="631"/>
      <c r="AC221" s="631"/>
      <c r="AD221" s="631"/>
      <c r="AE221" s="631"/>
      <c r="AF221" s="631"/>
      <c r="AG221" s="631"/>
      <c r="AH221" s="631"/>
      <c r="AI221" s="631"/>
      <c r="AJ221" s="631"/>
      <c r="AK221" s="631"/>
      <c r="AL221" s="631"/>
      <c r="AM221" s="631"/>
      <c r="AN221" s="631"/>
      <c r="AO221" s="631"/>
      <c r="AP221" s="631"/>
      <c r="AQ221" s="631"/>
      <c r="AR221" s="631"/>
      <c r="AS221" s="631"/>
      <c r="AT221" s="631"/>
      <c r="AU221" s="631"/>
      <c r="AV221" s="631"/>
      <c r="AW221" s="631"/>
      <c r="AX221" s="631"/>
      <c r="AY221" s="1406"/>
      <c r="AZ221" s="631"/>
      <c r="BA221" s="631"/>
      <c r="BB221" s="631"/>
      <c r="BC221" s="1407"/>
      <c r="BV221" s="1552"/>
      <c r="CI221" s="1552"/>
    </row>
    <row r="222" spans="2:129" ht="34.5" customHeight="1" thickBot="1" x14ac:dyDescent="0.25">
      <c r="B222" s="1538"/>
      <c r="C222" s="1539"/>
      <c r="D222" s="1540" t="s">
        <v>22</v>
      </c>
      <c r="E222" s="1393"/>
      <c r="F222" s="1561" t="s">
        <v>45</v>
      </c>
      <c r="G222" s="1413"/>
      <c r="H222" s="1562"/>
      <c r="I222" s="1563"/>
      <c r="R222" s="1131"/>
      <c r="T222" s="1416"/>
      <c r="V222" s="631"/>
      <c r="W222" s="631"/>
      <c r="X222" s="631"/>
      <c r="Y222" s="631"/>
      <c r="Z222" s="631"/>
      <c r="AA222" s="631"/>
      <c r="AB222" s="631"/>
      <c r="AC222" s="631"/>
      <c r="AD222" s="631"/>
      <c r="AE222" s="631"/>
      <c r="AF222" s="631" t="s">
        <v>38</v>
      </c>
      <c r="AG222" s="1543" t="s">
        <v>102</v>
      </c>
      <c r="AH222" s="1417" t="s">
        <v>31</v>
      </c>
      <c r="AI222" s="1417"/>
      <c r="AJ222" s="1445" t="s">
        <v>60</v>
      </c>
      <c r="AK222" s="1420" t="s">
        <v>32</v>
      </c>
      <c r="AL222" s="1445" t="s">
        <v>33</v>
      </c>
      <c r="AM222" s="1445" t="s">
        <v>61</v>
      </c>
      <c r="AN222" s="1422" t="s">
        <v>34</v>
      </c>
      <c r="AO222" s="698" t="s">
        <v>35</v>
      </c>
      <c r="AP222" s="1422"/>
      <c r="AQ222" s="1554" t="s">
        <v>36</v>
      </c>
      <c r="AR222" s="631"/>
      <c r="AS222" s="631" t="s">
        <v>37</v>
      </c>
      <c r="AT222" s="631" t="s">
        <v>39</v>
      </c>
      <c r="AU222" s="631"/>
      <c r="AV222" s="631" t="s">
        <v>40</v>
      </c>
      <c r="AW222" s="1425" t="s">
        <v>41</v>
      </c>
      <c r="AX222" s="1425" t="s">
        <v>42</v>
      </c>
      <c r="AY222" s="1426" t="s">
        <v>23</v>
      </c>
      <c r="AZ222" s="1426" t="s">
        <v>24</v>
      </c>
      <c r="BA222" s="1546" t="s">
        <v>23</v>
      </c>
      <c r="BB222" s="1546" t="s">
        <v>24</v>
      </c>
      <c r="BP222" s="1555"/>
      <c r="BQ222" s="1555"/>
      <c r="BR222" s="1555"/>
      <c r="BS222" s="1555"/>
      <c r="BT222" s="1555"/>
      <c r="BU222" s="1555"/>
      <c r="BV222" s="1883"/>
      <c r="BW222" s="1883"/>
      <c r="CH222" s="1884"/>
      <c r="CI222" s="1884"/>
    </row>
    <row r="223" spans="2:129" ht="21" customHeight="1" thickBot="1" x14ac:dyDescent="0.25">
      <c r="B223" s="1428">
        <v>1</v>
      </c>
      <c r="C223" s="1429">
        <f>+B218+D223+AI218</f>
        <v>0</v>
      </c>
      <c r="D223" s="1564">
        <v>0</v>
      </c>
      <c r="E223" s="672" t="s">
        <v>171</v>
      </c>
      <c r="F223" s="1432"/>
      <c r="G223" s="1432">
        <f>+D223</f>
        <v>0</v>
      </c>
      <c r="H223" s="732">
        <v>190.76</v>
      </c>
      <c r="I223" s="733">
        <v>79.651040199999997</v>
      </c>
      <c r="J223" s="1435">
        <f>+I223-C223</f>
        <v>79.651040199999997</v>
      </c>
      <c r="K223" s="1435">
        <f>+J223/2</f>
        <v>39.825520099999999</v>
      </c>
      <c r="L223" s="1435">
        <f t="shared" ref="L223:L246" si="109">SIN(K223*3.14159265358979/180)</f>
        <v>0.64045183696587837</v>
      </c>
      <c r="M223" s="1435">
        <f t="shared" ref="M223:M246" si="110">+L223*H223</f>
        <v>122.17259241961095</v>
      </c>
      <c r="N223" s="1435">
        <f t="shared" ref="N223:N246" si="111">+M223*2</f>
        <v>244.3451848392219</v>
      </c>
      <c r="O223" s="1435">
        <f>+C223/2</f>
        <v>0</v>
      </c>
      <c r="P223" s="1435">
        <f t="shared" ref="P223:P246" si="112">SIN(O223*3.14159265358979/180)</f>
        <v>0</v>
      </c>
      <c r="Q223" s="1435">
        <f t="shared" ref="Q223:Q246" si="113">+P223*N223</f>
        <v>0</v>
      </c>
      <c r="R223" s="733">
        <v>146.5</v>
      </c>
      <c r="S223" s="1435">
        <f>+R223+Q223</f>
        <v>146.5</v>
      </c>
      <c r="T223" s="1437">
        <f t="shared" ref="T223:T246" si="114">+S223</f>
        <v>146.5</v>
      </c>
      <c r="U223" s="1384"/>
      <c r="V223" s="1438">
        <f>IF(B223&lt;($B$220+1),T223,0)</f>
        <v>146.5</v>
      </c>
      <c r="W223" s="1438"/>
      <c r="X223" s="1438"/>
      <c r="Y223" s="1438"/>
      <c r="Z223" s="1438"/>
      <c r="AA223" s="1438"/>
      <c r="AB223" s="1441" t="str">
        <f>IF(AZ223&lt;0,"pin in groundstacking hole"," ")</f>
        <v xml:space="preserve"> </v>
      </c>
      <c r="AC223" s="1565"/>
      <c r="AD223" s="1565"/>
      <c r="AE223" s="1565"/>
      <c r="AF223" s="1438">
        <f>SUM(V223:V246)/($B$220)</f>
        <v>146.5</v>
      </c>
      <c r="AG223" s="1438">
        <f>+AF223+AA138+AA194+AA170</f>
        <v>146.49997968032187</v>
      </c>
      <c r="AH223" s="1443">
        <f>C223</f>
        <v>0</v>
      </c>
      <c r="AI223" s="1444"/>
      <c r="AJ223" s="1445">
        <f>69.3447148-AH223</f>
        <v>69.344714800000006</v>
      </c>
      <c r="AK223" s="1446">
        <f t="shared" ref="AK223:AK246" si="115">SIN(AJ223*3.14159265358979/180)</f>
        <v>0.93571960494171247</v>
      </c>
      <c r="AL223" s="1445">
        <f>+AK223*192.42</f>
        <v>180.0511663828843</v>
      </c>
      <c r="AM223" s="1445">
        <f>50.1744799+AH223</f>
        <v>50.174479900000001</v>
      </c>
      <c r="AN223" s="1448">
        <f>SIN(AM223*3.14159265358979/180)</f>
        <v>0.76799833627881664</v>
      </c>
      <c r="AO223" s="1445">
        <f>+AN223*190.76</f>
        <v>146.50336262854705</v>
      </c>
      <c r="AP223" s="1445"/>
      <c r="AQ223" s="1451">
        <f>25.5*B220</f>
        <v>25.5</v>
      </c>
      <c r="AR223" s="1450"/>
      <c r="AS223" s="1452">
        <f>+AO223+AL223</f>
        <v>326.55452901143133</v>
      </c>
      <c r="AT223" s="1453">
        <f>+V223-AO223</f>
        <v>-3.3626285470518269E-3</v>
      </c>
      <c r="AU223" s="1454"/>
      <c r="AV223" s="1453">
        <f>+AF223-AT223</f>
        <v>146.50336262854705</v>
      </c>
      <c r="AW223" s="1455">
        <f>+((AS223-AV223)/AS223)*AQ223</f>
        <v>14.059840960291279</v>
      </c>
      <c r="AX223" s="1455">
        <f>+(AV223/AS223)*AQ223</f>
        <v>11.440159039708721</v>
      </c>
      <c r="AY223" s="1456">
        <f t="shared" ref="AY223:AY246" si="116">2*$C$20/AW223</f>
        <v>825.04489437408847</v>
      </c>
      <c r="AZ223" s="1456">
        <f t="shared" ref="AZ223:AZ246" si="117">$D$20/AX223</f>
        <v>874.11372213358766</v>
      </c>
      <c r="BA223" s="1457">
        <f>ABS(AY223)</f>
        <v>825.04489437408847</v>
      </c>
      <c r="BB223" s="1457">
        <f>ABS(AZ223)</f>
        <v>874.11372213358766</v>
      </c>
      <c r="BC223" s="1319"/>
    </row>
    <row r="224" spans="2:129" ht="21" customHeight="1" thickBot="1" x14ac:dyDescent="0.25">
      <c r="B224" s="1458">
        <v>2</v>
      </c>
      <c r="C224" s="1459"/>
      <c r="D224" s="1430">
        <v>0</v>
      </c>
      <c r="E224" s="1460" t="s">
        <v>173</v>
      </c>
      <c r="F224" s="1432"/>
      <c r="G224" s="1432">
        <f>+D224+BC224</f>
        <v>0</v>
      </c>
      <c r="H224" s="732">
        <v>190.76</v>
      </c>
      <c r="I224" s="733">
        <v>79.651040199999997</v>
      </c>
      <c r="J224" s="1461">
        <f t="shared" ref="J224:J246" si="118">+I224-D224</f>
        <v>79.651040199999997</v>
      </c>
      <c r="K224" s="1461">
        <f t="shared" ref="K224:K246" si="119">+J224/2</f>
        <v>39.825520099999999</v>
      </c>
      <c r="L224" s="1461">
        <f t="shared" si="109"/>
        <v>0.64045183696587837</v>
      </c>
      <c r="M224" s="1461">
        <f t="shared" si="110"/>
        <v>122.17259241961095</v>
      </c>
      <c r="N224" s="1461">
        <f t="shared" si="111"/>
        <v>244.3451848392219</v>
      </c>
      <c r="O224" s="1461">
        <f>+C223+(D224/2)</f>
        <v>0</v>
      </c>
      <c r="P224" s="1461">
        <f t="shared" si="112"/>
        <v>0</v>
      </c>
      <c r="Q224" s="1461">
        <f t="shared" si="113"/>
        <v>0</v>
      </c>
      <c r="R224" s="1461">
        <f t="shared" ref="R224:R246" si="120">+T223</f>
        <v>146.5</v>
      </c>
      <c r="S224" s="1461">
        <f>+R224+Q224</f>
        <v>146.5</v>
      </c>
      <c r="T224" s="1462">
        <f t="shared" si="114"/>
        <v>146.5</v>
      </c>
      <c r="V224" s="1463">
        <f>IF(B224&lt;($B$220+1),T224,0)</f>
        <v>0</v>
      </c>
      <c r="W224" s="1463"/>
      <c r="X224" s="1463"/>
      <c r="Y224" s="1463"/>
      <c r="Z224" s="1463"/>
      <c r="AA224" s="1463"/>
      <c r="AB224" s="1441" t="e">
        <f t="shared" ref="AB224:AB229" si="121">IF(AZ224&lt;0,"pin in groundstacking hole"," ")</f>
        <v>#DIV/0!</v>
      </c>
      <c r="AC224" s="1566"/>
      <c r="AD224" s="1566"/>
      <c r="AE224" s="1566"/>
      <c r="AF224" s="1463" t="e">
        <f>SUM(V224:V247)/($B$220-B223)</f>
        <v>#DIV/0!</v>
      </c>
      <c r="AG224" s="1463"/>
      <c r="AH224" s="1464">
        <f>SUM(D224)+$C$223</f>
        <v>0</v>
      </c>
      <c r="AI224" s="1567"/>
      <c r="AJ224" s="1445">
        <f t="shared" ref="AJ224:AJ246" si="122">69.3447148-AH224</f>
        <v>69.344714800000006</v>
      </c>
      <c r="AK224" s="1465">
        <f t="shared" si="115"/>
        <v>0.93571960494171247</v>
      </c>
      <c r="AL224" s="1445">
        <f t="shared" ref="AL224:AL246" si="123">+AK224*192.42</f>
        <v>180.0511663828843</v>
      </c>
      <c r="AM224" s="1445">
        <f t="shared" ref="AM224:AM246" si="124">50.1744799+AH224</f>
        <v>50.174479900000001</v>
      </c>
      <c r="AN224" s="1466">
        <f t="shared" ref="AN224:AN246" si="125">SIN(AM224*3.14159265358979/180)</f>
        <v>0.76799833627881664</v>
      </c>
      <c r="AO224" s="1445">
        <f t="shared" ref="AO224:AO246" si="126">+AN224*190.76</f>
        <v>146.50336262854705</v>
      </c>
      <c r="AP224" s="1568"/>
      <c r="AQ224" s="1449">
        <f t="shared" ref="AQ224:AQ246" si="127">25.5*($B$220-B223)</f>
        <v>0</v>
      </c>
      <c r="AR224" s="1568"/>
      <c r="AS224" s="1467">
        <f t="shared" ref="AS224:AS246" si="128">+AO224+AL224</f>
        <v>326.55452901143133</v>
      </c>
      <c r="AT224" s="1468">
        <f>+V224-AO224</f>
        <v>-146.50336262854705</v>
      </c>
      <c r="AU224" s="1469"/>
      <c r="AV224" s="1468" t="e">
        <f>+AF224-AT224</f>
        <v>#DIV/0!</v>
      </c>
      <c r="AW224" s="1470" t="e">
        <f t="shared" ref="AW224:AW246" si="129">+((AS224-AV224)/AS224)*AQ224</f>
        <v>#DIV/0!</v>
      </c>
      <c r="AX224" s="1470" t="e">
        <f t="shared" ref="AX224:AX246" si="130">+(AV224/AS224)*AQ224</f>
        <v>#DIV/0!</v>
      </c>
      <c r="AY224" s="1456" t="e">
        <f t="shared" si="116"/>
        <v>#DIV/0!</v>
      </c>
      <c r="AZ224" s="1456" t="e">
        <f t="shared" si="117"/>
        <v>#DIV/0!</v>
      </c>
      <c r="BA224" s="1457" t="e">
        <f t="shared" ref="BA224:BB239" si="131">ABS(AY224)</f>
        <v>#DIV/0!</v>
      </c>
      <c r="BB224" s="1457" t="e">
        <f t="shared" si="131"/>
        <v>#DIV/0!</v>
      </c>
    </row>
    <row r="225" spans="2:109" ht="21" customHeight="1" thickBot="1" x14ac:dyDescent="0.25">
      <c r="B225" s="1458">
        <v>3</v>
      </c>
      <c r="C225" s="1459"/>
      <c r="D225" s="1430">
        <v>0</v>
      </c>
      <c r="E225" s="1460" t="s">
        <v>54</v>
      </c>
      <c r="F225" s="1432"/>
      <c r="G225" s="1432">
        <f t="shared" ref="G225:G246" si="132">+D225+BC225</f>
        <v>0</v>
      </c>
      <c r="H225" s="732">
        <v>190.76</v>
      </c>
      <c r="I225" s="733">
        <v>79.651040199999997</v>
      </c>
      <c r="J225" s="1461">
        <f t="shared" si="118"/>
        <v>79.651040199999997</v>
      </c>
      <c r="K225" s="1461">
        <f t="shared" si="119"/>
        <v>39.825520099999999</v>
      </c>
      <c r="L225" s="1461">
        <f t="shared" si="109"/>
        <v>0.64045183696587837</v>
      </c>
      <c r="M225" s="1461">
        <f t="shared" si="110"/>
        <v>122.17259241961095</v>
      </c>
      <c r="N225" s="1461">
        <f t="shared" si="111"/>
        <v>244.3451848392219</v>
      </c>
      <c r="O225" s="1461">
        <f>+C223+D224+(D225/2)</f>
        <v>0</v>
      </c>
      <c r="P225" s="1461">
        <f t="shared" si="112"/>
        <v>0</v>
      </c>
      <c r="Q225" s="1461">
        <f t="shared" si="113"/>
        <v>0</v>
      </c>
      <c r="R225" s="1461">
        <f t="shared" si="120"/>
        <v>146.5</v>
      </c>
      <c r="S225" s="1461">
        <f t="shared" ref="S225:S246" si="133">+S224+Q225</f>
        <v>146.5</v>
      </c>
      <c r="T225" s="1462">
        <f t="shared" si="114"/>
        <v>146.5</v>
      </c>
      <c r="V225" s="1463">
        <f t="shared" ref="V225:V246" si="134">IF(B225&lt;($B$220+1),T225,0)</f>
        <v>0</v>
      </c>
      <c r="W225" s="1463"/>
      <c r="X225" s="1463"/>
      <c r="Y225" s="1463"/>
      <c r="Z225" s="1463"/>
      <c r="AA225" s="1463"/>
      <c r="AB225" s="1441" t="str">
        <f t="shared" si="121"/>
        <v>pin in groundstacking hole</v>
      </c>
      <c r="AC225" s="1566"/>
      <c r="AD225" s="1566"/>
      <c r="AE225" s="1566"/>
      <c r="AF225" s="1463">
        <f>SUM(V225:V246)/($B$220-B224)</f>
        <v>0</v>
      </c>
      <c r="AG225" s="1463"/>
      <c r="AH225" s="1464">
        <f>SUM(D224:D225)+$C$223</f>
        <v>0</v>
      </c>
      <c r="AI225" s="1567"/>
      <c r="AJ225" s="1445">
        <f t="shared" si="122"/>
        <v>69.344714800000006</v>
      </c>
      <c r="AK225" s="1465">
        <f t="shared" si="115"/>
        <v>0.93571960494171247</v>
      </c>
      <c r="AL225" s="1445">
        <f t="shared" si="123"/>
        <v>180.0511663828843</v>
      </c>
      <c r="AM225" s="1445">
        <f t="shared" si="124"/>
        <v>50.174479900000001</v>
      </c>
      <c r="AN225" s="1466">
        <f t="shared" si="125"/>
        <v>0.76799833627881664</v>
      </c>
      <c r="AO225" s="1445">
        <f t="shared" si="126"/>
        <v>146.50336262854705</v>
      </c>
      <c r="AP225" s="1568"/>
      <c r="AQ225" s="1449">
        <f t="shared" si="127"/>
        <v>-25.5</v>
      </c>
      <c r="AR225" s="1568"/>
      <c r="AS225" s="1467">
        <f t="shared" si="128"/>
        <v>326.55452901143133</v>
      </c>
      <c r="AT225" s="1468">
        <f>+V225-AO225</f>
        <v>-146.50336262854705</v>
      </c>
      <c r="AU225" s="1469"/>
      <c r="AV225" s="1468">
        <f>+AF225-AT225</f>
        <v>146.50336262854705</v>
      </c>
      <c r="AW225" s="1470">
        <f t="shared" si="129"/>
        <v>-14.059840960291279</v>
      </c>
      <c r="AX225" s="1470">
        <f t="shared" si="130"/>
        <v>-11.440159039708721</v>
      </c>
      <c r="AY225" s="1456">
        <f t="shared" si="116"/>
        <v>-825.04489437408847</v>
      </c>
      <c r="AZ225" s="1456">
        <f t="shared" si="117"/>
        <v>-874.11372213358766</v>
      </c>
      <c r="BA225" s="1457">
        <f t="shared" si="131"/>
        <v>825.04489437408847</v>
      </c>
      <c r="BB225" s="1457">
        <f t="shared" si="131"/>
        <v>874.11372213358766</v>
      </c>
    </row>
    <row r="226" spans="2:109" ht="21" customHeight="1" thickBot="1" x14ac:dyDescent="0.25">
      <c r="B226" s="1458">
        <v>4</v>
      </c>
      <c r="C226" s="1459"/>
      <c r="D226" s="1430">
        <v>0</v>
      </c>
      <c r="E226" s="1460" t="s">
        <v>54</v>
      </c>
      <c r="F226" s="1432"/>
      <c r="G226" s="1432">
        <f t="shared" si="132"/>
        <v>0</v>
      </c>
      <c r="H226" s="732">
        <v>190.76</v>
      </c>
      <c r="I226" s="733">
        <v>79.651040199999997</v>
      </c>
      <c r="J226" s="1461">
        <f t="shared" si="118"/>
        <v>79.651040199999997</v>
      </c>
      <c r="K226" s="1461">
        <f t="shared" si="119"/>
        <v>39.825520099999999</v>
      </c>
      <c r="L226" s="1461">
        <f t="shared" si="109"/>
        <v>0.64045183696587837</v>
      </c>
      <c r="M226" s="1461">
        <f t="shared" si="110"/>
        <v>122.17259241961095</v>
      </c>
      <c r="N226" s="1461">
        <f t="shared" si="111"/>
        <v>244.3451848392219</v>
      </c>
      <c r="O226" s="1461">
        <f>+C223+D224+D225+(D226/2)</f>
        <v>0</v>
      </c>
      <c r="P226" s="1461">
        <f t="shared" si="112"/>
        <v>0</v>
      </c>
      <c r="Q226" s="1461">
        <f t="shared" si="113"/>
        <v>0</v>
      </c>
      <c r="R226" s="1461">
        <f t="shared" si="120"/>
        <v>146.5</v>
      </c>
      <c r="S226" s="1461">
        <f t="shared" si="133"/>
        <v>146.5</v>
      </c>
      <c r="T226" s="1462">
        <f t="shared" si="114"/>
        <v>146.5</v>
      </c>
      <c r="V226" s="1463">
        <f t="shared" si="134"/>
        <v>0</v>
      </c>
      <c r="W226" s="1463"/>
      <c r="X226" s="1463"/>
      <c r="Y226" s="1463"/>
      <c r="Z226" s="1463"/>
      <c r="AA226" s="1463"/>
      <c r="AB226" s="1441" t="str">
        <f t="shared" si="121"/>
        <v>pin in groundstacking hole</v>
      </c>
      <c r="AC226" s="1566"/>
      <c r="AD226" s="1566"/>
      <c r="AE226" s="1566"/>
      <c r="AF226" s="1463">
        <f>SUM(V226:V246)/($B$220-B225)</f>
        <v>0</v>
      </c>
      <c r="AG226" s="1463"/>
      <c r="AH226" s="1464">
        <f>SUM(D224:D226)+$C$223</f>
        <v>0</v>
      </c>
      <c r="AI226" s="1567"/>
      <c r="AJ226" s="1445">
        <f t="shared" si="122"/>
        <v>69.344714800000006</v>
      </c>
      <c r="AK226" s="1465">
        <f t="shared" si="115"/>
        <v>0.93571960494171247</v>
      </c>
      <c r="AL226" s="1445">
        <f t="shared" si="123"/>
        <v>180.0511663828843</v>
      </c>
      <c r="AM226" s="1445">
        <f t="shared" si="124"/>
        <v>50.174479900000001</v>
      </c>
      <c r="AN226" s="1466">
        <f t="shared" si="125"/>
        <v>0.76799833627881664</v>
      </c>
      <c r="AO226" s="1445">
        <f t="shared" si="126"/>
        <v>146.50336262854705</v>
      </c>
      <c r="AP226" s="1568"/>
      <c r="AQ226" s="1449">
        <f t="shared" si="127"/>
        <v>-51</v>
      </c>
      <c r="AR226" s="1568"/>
      <c r="AS226" s="1467">
        <f t="shared" si="128"/>
        <v>326.55452901143133</v>
      </c>
      <c r="AT226" s="1468">
        <f>+V226-AO226</f>
        <v>-146.50336262854705</v>
      </c>
      <c r="AU226" s="1469"/>
      <c r="AV226" s="1468">
        <f t="shared" ref="AV226:AV246" si="135">+AF226-AT226</f>
        <v>146.50336262854705</v>
      </c>
      <c r="AW226" s="1470">
        <f t="shared" si="129"/>
        <v>-28.119681920582558</v>
      </c>
      <c r="AX226" s="1470">
        <f t="shared" si="130"/>
        <v>-22.880318079417442</v>
      </c>
      <c r="AY226" s="1456">
        <f t="shared" si="116"/>
        <v>-412.52244718704424</v>
      </c>
      <c r="AZ226" s="1456">
        <f t="shared" si="117"/>
        <v>-437.05686106679383</v>
      </c>
      <c r="BA226" s="1457">
        <f t="shared" si="131"/>
        <v>412.52244718704424</v>
      </c>
      <c r="BB226" s="1457">
        <f t="shared" si="131"/>
        <v>437.05686106679383</v>
      </c>
    </row>
    <row r="227" spans="2:109" ht="21" customHeight="1" thickBot="1" x14ac:dyDescent="0.25">
      <c r="B227" s="1458">
        <v>5</v>
      </c>
      <c r="C227" s="1459"/>
      <c r="D227" s="1430">
        <v>0</v>
      </c>
      <c r="E227" s="1460" t="s">
        <v>54</v>
      </c>
      <c r="F227" s="1432"/>
      <c r="G227" s="1432">
        <f>+D227+BC227</f>
        <v>0</v>
      </c>
      <c r="H227" s="732">
        <v>190.76</v>
      </c>
      <c r="I227" s="733">
        <v>79.651040199999997</v>
      </c>
      <c r="J227" s="1461">
        <f t="shared" si="118"/>
        <v>79.651040199999997</v>
      </c>
      <c r="K227" s="1461">
        <f t="shared" si="119"/>
        <v>39.825520099999999</v>
      </c>
      <c r="L227" s="1461">
        <f t="shared" si="109"/>
        <v>0.64045183696587837</v>
      </c>
      <c r="M227" s="1461">
        <f t="shared" si="110"/>
        <v>122.17259241961095</v>
      </c>
      <c r="N227" s="1461">
        <f t="shared" si="111"/>
        <v>244.3451848392219</v>
      </c>
      <c r="O227" s="1461">
        <f>+C223+D224+D225+D226+(D227/2)</f>
        <v>0</v>
      </c>
      <c r="P227" s="1461">
        <f t="shared" si="112"/>
        <v>0</v>
      </c>
      <c r="Q227" s="1461">
        <f t="shared" si="113"/>
        <v>0</v>
      </c>
      <c r="R227" s="1461">
        <f t="shared" si="120"/>
        <v>146.5</v>
      </c>
      <c r="S227" s="1461">
        <f t="shared" si="133"/>
        <v>146.5</v>
      </c>
      <c r="T227" s="1462">
        <f t="shared" si="114"/>
        <v>146.5</v>
      </c>
      <c r="V227" s="1463">
        <f t="shared" si="134"/>
        <v>0</v>
      </c>
      <c r="W227" s="1463"/>
      <c r="X227" s="1463"/>
      <c r="Y227" s="1463"/>
      <c r="Z227" s="1463"/>
      <c r="AA227" s="1463"/>
      <c r="AB227" s="1441" t="str">
        <f t="shared" si="121"/>
        <v>pin in groundstacking hole</v>
      </c>
      <c r="AC227" s="1566"/>
      <c r="AD227" s="1566"/>
      <c r="AE227" s="1566"/>
      <c r="AF227" s="1463">
        <f>SUM(V227:V246)/($B$220-B226)</f>
        <v>0</v>
      </c>
      <c r="AG227" s="1463"/>
      <c r="AH227" s="1464">
        <f>SUM(D224:D227)+$C$223</f>
        <v>0</v>
      </c>
      <c r="AI227" s="1567"/>
      <c r="AJ227" s="1445">
        <f t="shared" si="122"/>
        <v>69.344714800000006</v>
      </c>
      <c r="AK227" s="1465">
        <f t="shared" si="115"/>
        <v>0.93571960494171247</v>
      </c>
      <c r="AL227" s="1445">
        <f t="shared" si="123"/>
        <v>180.0511663828843</v>
      </c>
      <c r="AM227" s="1445">
        <f t="shared" si="124"/>
        <v>50.174479900000001</v>
      </c>
      <c r="AN227" s="1466">
        <f t="shared" si="125"/>
        <v>0.76799833627881664</v>
      </c>
      <c r="AO227" s="1445">
        <f t="shared" si="126"/>
        <v>146.50336262854705</v>
      </c>
      <c r="AP227" s="1568"/>
      <c r="AQ227" s="1449">
        <f t="shared" si="127"/>
        <v>-76.5</v>
      </c>
      <c r="AR227" s="1568"/>
      <c r="AS227" s="1467">
        <f t="shared" si="128"/>
        <v>326.55452901143133</v>
      </c>
      <c r="AT227" s="1468">
        <f t="shared" ref="AT227:AT246" si="136">+V227-AO227</f>
        <v>-146.50336262854705</v>
      </c>
      <c r="AU227" s="1469"/>
      <c r="AV227" s="1468">
        <f t="shared" si="135"/>
        <v>146.50336262854705</v>
      </c>
      <c r="AW227" s="1470">
        <f t="shared" si="129"/>
        <v>-42.17952288087384</v>
      </c>
      <c r="AX227" s="1470">
        <f t="shared" si="130"/>
        <v>-34.32047711912616</v>
      </c>
      <c r="AY227" s="1456">
        <f t="shared" si="116"/>
        <v>-275.01496479136279</v>
      </c>
      <c r="AZ227" s="1456">
        <f t="shared" si="117"/>
        <v>-291.37124071119592</v>
      </c>
      <c r="BA227" s="1457">
        <f t="shared" si="131"/>
        <v>275.01496479136279</v>
      </c>
      <c r="BB227" s="1457">
        <f t="shared" si="131"/>
        <v>291.37124071119592</v>
      </c>
      <c r="DE227" s="1551"/>
    </row>
    <row r="228" spans="2:109" ht="21" customHeight="1" thickBot="1" x14ac:dyDescent="0.25">
      <c r="B228" s="1458">
        <v>6</v>
      </c>
      <c r="C228" s="1459"/>
      <c r="D228" s="1430">
        <v>0</v>
      </c>
      <c r="E228" s="1460" t="s">
        <v>54</v>
      </c>
      <c r="F228" s="1432"/>
      <c r="G228" s="1432">
        <f t="shared" si="132"/>
        <v>0</v>
      </c>
      <c r="H228" s="732">
        <v>190.76</v>
      </c>
      <c r="I228" s="733">
        <v>79.651040199999997</v>
      </c>
      <c r="J228" s="1461">
        <f t="shared" si="118"/>
        <v>79.651040199999997</v>
      </c>
      <c r="K228" s="1461">
        <f t="shared" si="119"/>
        <v>39.825520099999999</v>
      </c>
      <c r="L228" s="1461">
        <f t="shared" si="109"/>
        <v>0.64045183696587837</v>
      </c>
      <c r="M228" s="1461">
        <f t="shared" si="110"/>
        <v>122.17259241961095</v>
      </c>
      <c r="N228" s="1461">
        <f t="shared" si="111"/>
        <v>244.3451848392219</v>
      </c>
      <c r="O228" s="1461">
        <f>+C223+D224+D225+D226+D227+(D228/2)</f>
        <v>0</v>
      </c>
      <c r="P228" s="1461">
        <f t="shared" si="112"/>
        <v>0</v>
      </c>
      <c r="Q228" s="1461">
        <f t="shared" si="113"/>
        <v>0</v>
      </c>
      <c r="R228" s="1461">
        <f t="shared" si="120"/>
        <v>146.5</v>
      </c>
      <c r="S228" s="1461">
        <f t="shared" si="133"/>
        <v>146.5</v>
      </c>
      <c r="T228" s="1462">
        <f t="shared" si="114"/>
        <v>146.5</v>
      </c>
      <c r="V228" s="1463">
        <f t="shared" si="134"/>
        <v>0</v>
      </c>
      <c r="W228" s="1463"/>
      <c r="X228" s="1463"/>
      <c r="Y228" s="1463"/>
      <c r="Z228" s="1463"/>
      <c r="AA228" s="1463"/>
      <c r="AB228" s="1441" t="str">
        <f t="shared" si="121"/>
        <v>pin in groundstacking hole</v>
      </c>
      <c r="AC228" s="1566"/>
      <c r="AD228" s="1566"/>
      <c r="AE228" s="1566"/>
      <c r="AF228" s="1463">
        <f>SUM(V228:V246)/($B$220-B227)</f>
        <v>0</v>
      </c>
      <c r="AG228" s="1463"/>
      <c r="AH228" s="1464">
        <f>SUM(D224:D228)+$C$223</f>
        <v>0</v>
      </c>
      <c r="AI228" s="1567"/>
      <c r="AJ228" s="1445">
        <f t="shared" si="122"/>
        <v>69.344714800000006</v>
      </c>
      <c r="AK228" s="1465">
        <f t="shared" si="115"/>
        <v>0.93571960494171247</v>
      </c>
      <c r="AL228" s="1445">
        <f t="shared" si="123"/>
        <v>180.0511663828843</v>
      </c>
      <c r="AM228" s="1445">
        <f t="shared" si="124"/>
        <v>50.174479900000001</v>
      </c>
      <c r="AN228" s="1466">
        <f t="shared" si="125"/>
        <v>0.76799833627881664</v>
      </c>
      <c r="AO228" s="1445">
        <f t="shared" si="126"/>
        <v>146.50336262854705</v>
      </c>
      <c r="AP228" s="1568"/>
      <c r="AQ228" s="1449">
        <f t="shared" si="127"/>
        <v>-102</v>
      </c>
      <c r="AR228" s="1568"/>
      <c r="AS228" s="1467">
        <f t="shared" si="128"/>
        <v>326.55452901143133</v>
      </c>
      <c r="AT228" s="1468">
        <f t="shared" si="136"/>
        <v>-146.50336262854705</v>
      </c>
      <c r="AU228" s="1469"/>
      <c r="AV228" s="1468">
        <f t="shared" si="135"/>
        <v>146.50336262854705</v>
      </c>
      <c r="AW228" s="1470">
        <f t="shared" si="129"/>
        <v>-56.239363841165115</v>
      </c>
      <c r="AX228" s="1470">
        <f t="shared" si="130"/>
        <v>-45.760636158834885</v>
      </c>
      <c r="AY228" s="1456">
        <f t="shared" si="116"/>
        <v>-206.26122359352212</v>
      </c>
      <c r="AZ228" s="1456">
        <f t="shared" si="117"/>
        <v>-218.52843053339691</v>
      </c>
      <c r="BA228" s="1457">
        <f t="shared" si="131"/>
        <v>206.26122359352212</v>
      </c>
      <c r="BB228" s="1457">
        <f t="shared" si="131"/>
        <v>218.52843053339691</v>
      </c>
    </row>
    <row r="229" spans="2:109" ht="21" customHeight="1" thickBot="1" x14ac:dyDescent="0.25">
      <c r="B229" s="1458">
        <v>7</v>
      </c>
      <c r="C229" s="1459"/>
      <c r="D229" s="1430">
        <v>0</v>
      </c>
      <c r="E229" s="1460" t="s">
        <v>54</v>
      </c>
      <c r="F229" s="1432"/>
      <c r="G229" s="1432">
        <f t="shared" si="132"/>
        <v>0</v>
      </c>
      <c r="H229" s="732">
        <v>190.76</v>
      </c>
      <c r="I229" s="733">
        <v>79.651040199999997</v>
      </c>
      <c r="J229" s="1461">
        <f t="shared" si="118"/>
        <v>79.651040199999997</v>
      </c>
      <c r="K229" s="1461">
        <f t="shared" si="119"/>
        <v>39.825520099999999</v>
      </c>
      <c r="L229" s="1461">
        <f t="shared" si="109"/>
        <v>0.64045183696587837</v>
      </c>
      <c r="M229" s="1461">
        <f t="shared" si="110"/>
        <v>122.17259241961095</v>
      </c>
      <c r="N229" s="1461">
        <f t="shared" si="111"/>
        <v>244.3451848392219</v>
      </c>
      <c r="O229" s="1461">
        <f>+C223+D224+D225+D226+D227+D228+(D229/2)</f>
        <v>0</v>
      </c>
      <c r="P229" s="1461">
        <f t="shared" si="112"/>
        <v>0</v>
      </c>
      <c r="Q229" s="1461">
        <f t="shared" si="113"/>
        <v>0</v>
      </c>
      <c r="R229" s="1461">
        <f t="shared" si="120"/>
        <v>146.5</v>
      </c>
      <c r="S229" s="1461">
        <f t="shared" si="133"/>
        <v>146.5</v>
      </c>
      <c r="T229" s="1462">
        <f t="shared" si="114"/>
        <v>146.5</v>
      </c>
      <c r="V229" s="1463">
        <f t="shared" si="134"/>
        <v>0</v>
      </c>
      <c r="W229" s="1463"/>
      <c r="X229" s="1463"/>
      <c r="Y229" s="1463"/>
      <c r="Z229" s="1463"/>
      <c r="AA229" s="1463"/>
      <c r="AB229" s="1441" t="str">
        <f t="shared" si="121"/>
        <v>pin in groundstacking hole</v>
      </c>
      <c r="AC229" s="1566"/>
      <c r="AD229" s="1566"/>
      <c r="AE229" s="1566"/>
      <c r="AF229" s="1463">
        <f>SUM(V229:V246)/($B$220-B228)</f>
        <v>0</v>
      </c>
      <c r="AG229" s="1463"/>
      <c r="AH229" s="1464">
        <f>SUM(D224:D229)+$C$223</f>
        <v>0</v>
      </c>
      <c r="AI229" s="1567"/>
      <c r="AJ229" s="1445">
        <f t="shared" si="122"/>
        <v>69.344714800000006</v>
      </c>
      <c r="AK229" s="1465">
        <f t="shared" si="115"/>
        <v>0.93571960494171247</v>
      </c>
      <c r="AL229" s="1445">
        <f t="shared" si="123"/>
        <v>180.0511663828843</v>
      </c>
      <c r="AM229" s="1445">
        <f t="shared" si="124"/>
        <v>50.174479900000001</v>
      </c>
      <c r="AN229" s="1466">
        <f t="shared" si="125"/>
        <v>0.76799833627881664</v>
      </c>
      <c r="AO229" s="1445">
        <f t="shared" si="126"/>
        <v>146.50336262854705</v>
      </c>
      <c r="AP229" s="1568"/>
      <c r="AQ229" s="1449">
        <f t="shared" si="127"/>
        <v>-127.5</v>
      </c>
      <c r="AR229" s="1568"/>
      <c r="AS229" s="1467">
        <f t="shared" si="128"/>
        <v>326.55452901143133</v>
      </c>
      <c r="AT229" s="1468">
        <f t="shared" si="136"/>
        <v>-146.50336262854705</v>
      </c>
      <c r="AU229" s="1469"/>
      <c r="AV229" s="1468">
        <f t="shared" si="135"/>
        <v>146.50336262854705</v>
      </c>
      <c r="AW229" s="1470">
        <f t="shared" si="129"/>
        <v>-70.299204801456398</v>
      </c>
      <c r="AX229" s="1470">
        <f t="shared" si="130"/>
        <v>-57.200795198543602</v>
      </c>
      <c r="AY229" s="1456">
        <f t="shared" si="116"/>
        <v>-165.00897887481767</v>
      </c>
      <c r="AZ229" s="1456">
        <f t="shared" si="117"/>
        <v>-174.82274442671755</v>
      </c>
      <c r="BA229" s="1457">
        <f t="shared" si="131"/>
        <v>165.00897887481767</v>
      </c>
      <c r="BB229" s="1457">
        <f t="shared" si="131"/>
        <v>174.82274442671755</v>
      </c>
      <c r="DE229" s="1555"/>
    </row>
    <row r="230" spans="2:109" ht="21" customHeight="1" thickBot="1" x14ac:dyDescent="0.25">
      <c r="B230" s="1458">
        <v>8</v>
      </c>
      <c r="C230" s="1459"/>
      <c r="D230" s="1430">
        <v>0</v>
      </c>
      <c r="E230" s="1460" t="s">
        <v>54</v>
      </c>
      <c r="F230" s="1432"/>
      <c r="G230" s="1432">
        <f t="shared" si="132"/>
        <v>0</v>
      </c>
      <c r="H230" s="732">
        <v>190.76</v>
      </c>
      <c r="I230" s="733">
        <v>79.651040199999997</v>
      </c>
      <c r="J230" s="1461">
        <f t="shared" si="118"/>
        <v>79.651040199999997</v>
      </c>
      <c r="K230" s="1461">
        <f t="shared" si="119"/>
        <v>39.825520099999999</v>
      </c>
      <c r="L230" s="1461">
        <f t="shared" si="109"/>
        <v>0.64045183696587837</v>
      </c>
      <c r="M230" s="1461">
        <f t="shared" si="110"/>
        <v>122.17259241961095</v>
      </c>
      <c r="N230" s="1461">
        <f t="shared" si="111"/>
        <v>244.3451848392219</v>
      </c>
      <c r="O230" s="1461">
        <f>+C223+D224+D225+D226+D227+D228+D229+(D230/2)</f>
        <v>0</v>
      </c>
      <c r="P230" s="1461">
        <f t="shared" si="112"/>
        <v>0</v>
      </c>
      <c r="Q230" s="1461">
        <f t="shared" si="113"/>
        <v>0</v>
      </c>
      <c r="R230" s="1461">
        <f t="shared" si="120"/>
        <v>146.5</v>
      </c>
      <c r="S230" s="1461">
        <f t="shared" si="133"/>
        <v>146.5</v>
      </c>
      <c r="T230" s="1462">
        <f t="shared" si="114"/>
        <v>146.5</v>
      </c>
      <c r="V230" s="1463">
        <f t="shared" si="134"/>
        <v>0</v>
      </c>
      <c r="W230" s="1463"/>
      <c r="X230" s="1463"/>
      <c r="Y230" s="1463"/>
      <c r="Z230" s="1463"/>
      <c r="AA230" s="1463"/>
      <c r="AB230" s="1441" t="str">
        <f>IF(AZ230&lt;0,"pin in groundstacking hole"," ")</f>
        <v>pin in groundstacking hole</v>
      </c>
      <c r="AC230" s="1566"/>
      <c r="AD230" s="1566"/>
      <c r="AE230" s="1566"/>
      <c r="AF230" s="1463">
        <f>SUM(V230:V246)/($B$220-B229)</f>
        <v>0</v>
      </c>
      <c r="AG230" s="1463"/>
      <c r="AH230" s="1464">
        <f>SUM(D224:D230)+$C$223</f>
        <v>0</v>
      </c>
      <c r="AI230" s="1567"/>
      <c r="AJ230" s="1445">
        <f t="shared" si="122"/>
        <v>69.344714800000006</v>
      </c>
      <c r="AK230" s="1465">
        <f t="shared" si="115"/>
        <v>0.93571960494171247</v>
      </c>
      <c r="AL230" s="1445">
        <f t="shared" si="123"/>
        <v>180.0511663828843</v>
      </c>
      <c r="AM230" s="1445">
        <f t="shared" si="124"/>
        <v>50.174479900000001</v>
      </c>
      <c r="AN230" s="1466">
        <f t="shared" si="125"/>
        <v>0.76799833627881664</v>
      </c>
      <c r="AO230" s="1445">
        <f t="shared" si="126"/>
        <v>146.50336262854705</v>
      </c>
      <c r="AP230" s="1568"/>
      <c r="AQ230" s="1449">
        <f t="shared" si="127"/>
        <v>-153</v>
      </c>
      <c r="AR230" s="1568"/>
      <c r="AS230" s="1467">
        <f t="shared" si="128"/>
        <v>326.55452901143133</v>
      </c>
      <c r="AT230" s="1468">
        <f t="shared" si="136"/>
        <v>-146.50336262854705</v>
      </c>
      <c r="AU230" s="1469"/>
      <c r="AV230" s="1468">
        <f t="shared" si="135"/>
        <v>146.50336262854705</v>
      </c>
      <c r="AW230" s="1470">
        <f t="shared" si="129"/>
        <v>-84.35904576174768</v>
      </c>
      <c r="AX230" s="1470">
        <f t="shared" si="130"/>
        <v>-68.64095423825232</v>
      </c>
      <c r="AY230" s="1456">
        <f t="shared" si="116"/>
        <v>-137.50748239568139</v>
      </c>
      <c r="AZ230" s="1456">
        <f t="shared" si="117"/>
        <v>-145.68562035559796</v>
      </c>
      <c r="BA230" s="1457">
        <f t="shared" si="131"/>
        <v>137.50748239568139</v>
      </c>
      <c r="BB230" s="1457">
        <f t="shared" si="131"/>
        <v>145.68562035559796</v>
      </c>
    </row>
    <row r="231" spans="2:109" ht="21" customHeight="1" thickBot="1" x14ac:dyDescent="0.25">
      <c r="B231" s="1458">
        <v>9</v>
      </c>
      <c r="C231" s="1459"/>
      <c r="D231" s="1430">
        <v>0</v>
      </c>
      <c r="E231" s="1460" t="s">
        <v>54</v>
      </c>
      <c r="F231" s="1432"/>
      <c r="G231" s="1432">
        <f t="shared" si="132"/>
        <v>0</v>
      </c>
      <c r="H231" s="732">
        <v>190.76</v>
      </c>
      <c r="I231" s="733">
        <v>79.651040199999997</v>
      </c>
      <c r="J231" s="1461">
        <f t="shared" si="118"/>
        <v>79.651040199999997</v>
      </c>
      <c r="K231" s="1461">
        <f t="shared" si="119"/>
        <v>39.825520099999999</v>
      </c>
      <c r="L231" s="1461">
        <f t="shared" si="109"/>
        <v>0.64045183696587837</v>
      </c>
      <c r="M231" s="1461">
        <f t="shared" si="110"/>
        <v>122.17259241961095</v>
      </c>
      <c r="N231" s="1461">
        <f t="shared" si="111"/>
        <v>244.3451848392219</v>
      </c>
      <c r="O231" s="1461">
        <f>+D224+C223+D225+D226+D227+D228+D229+D230+(D231/2)</f>
        <v>0</v>
      </c>
      <c r="P231" s="1461">
        <f t="shared" si="112"/>
        <v>0</v>
      </c>
      <c r="Q231" s="1461">
        <f t="shared" si="113"/>
        <v>0</v>
      </c>
      <c r="R231" s="1461">
        <f t="shared" si="120"/>
        <v>146.5</v>
      </c>
      <c r="S231" s="1461">
        <f t="shared" si="133"/>
        <v>146.5</v>
      </c>
      <c r="T231" s="1462">
        <f t="shared" si="114"/>
        <v>146.5</v>
      </c>
      <c r="V231" s="1463">
        <f t="shared" si="134"/>
        <v>0</v>
      </c>
      <c r="W231" s="1463"/>
      <c r="X231" s="1463"/>
      <c r="Y231" s="1463"/>
      <c r="Z231" s="1463"/>
      <c r="AA231" s="1463"/>
      <c r="AB231" s="1441" t="str">
        <f t="shared" ref="AB231:AB246" si="137">IF(AZ231&lt;0,"pin in groundstacking hole"," ")</f>
        <v>pin in groundstacking hole</v>
      </c>
      <c r="AC231" s="1566"/>
      <c r="AD231" s="1566"/>
      <c r="AE231" s="1566"/>
      <c r="AF231" s="1463">
        <f t="shared" ref="AF231" si="138">SUM(V231:V247)/($B$220-B230)</f>
        <v>0</v>
      </c>
      <c r="AG231" s="1463"/>
      <c r="AH231" s="1464">
        <f>SUM(D224:D231)+$C$223</f>
        <v>0</v>
      </c>
      <c r="AI231" s="1567"/>
      <c r="AJ231" s="1445">
        <f t="shared" si="122"/>
        <v>69.344714800000006</v>
      </c>
      <c r="AK231" s="1465">
        <f t="shared" si="115"/>
        <v>0.93571960494171247</v>
      </c>
      <c r="AL231" s="1445">
        <f t="shared" si="123"/>
        <v>180.0511663828843</v>
      </c>
      <c r="AM231" s="1445">
        <f t="shared" si="124"/>
        <v>50.174479900000001</v>
      </c>
      <c r="AN231" s="1466">
        <f t="shared" si="125"/>
        <v>0.76799833627881664</v>
      </c>
      <c r="AO231" s="1445">
        <f t="shared" si="126"/>
        <v>146.50336262854705</v>
      </c>
      <c r="AP231" s="1568"/>
      <c r="AQ231" s="1449">
        <f t="shared" si="127"/>
        <v>-178.5</v>
      </c>
      <c r="AR231" s="1568"/>
      <c r="AS231" s="1467">
        <f t="shared" si="128"/>
        <v>326.55452901143133</v>
      </c>
      <c r="AT231" s="1468">
        <f t="shared" si="136"/>
        <v>-146.50336262854705</v>
      </c>
      <c r="AU231" s="1469"/>
      <c r="AV231" s="1468">
        <f t="shared" si="135"/>
        <v>146.50336262854705</v>
      </c>
      <c r="AW231" s="1470">
        <f t="shared" si="129"/>
        <v>-98.418886722038962</v>
      </c>
      <c r="AX231" s="1470">
        <f t="shared" si="130"/>
        <v>-80.081113277961038</v>
      </c>
      <c r="AY231" s="1456">
        <f t="shared" si="116"/>
        <v>-117.86355633915548</v>
      </c>
      <c r="AZ231" s="1456">
        <f t="shared" si="117"/>
        <v>-124.87338887622683</v>
      </c>
      <c r="BA231" s="1457">
        <f t="shared" si="131"/>
        <v>117.86355633915548</v>
      </c>
      <c r="BB231" s="1457">
        <f t="shared" si="131"/>
        <v>124.87338887622683</v>
      </c>
    </row>
    <row r="232" spans="2:109" ht="21" customHeight="1" thickBot="1" x14ac:dyDescent="0.25">
      <c r="B232" s="1458">
        <v>10</v>
      </c>
      <c r="C232" s="1459"/>
      <c r="D232" s="1430">
        <v>0</v>
      </c>
      <c r="E232" s="1460" t="s">
        <v>54</v>
      </c>
      <c r="F232" s="1432"/>
      <c r="G232" s="1432">
        <f t="shared" si="132"/>
        <v>0</v>
      </c>
      <c r="H232" s="732">
        <v>190.76</v>
      </c>
      <c r="I232" s="733">
        <v>79.651040199999997</v>
      </c>
      <c r="J232" s="1461">
        <f t="shared" si="118"/>
        <v>79.651040199999997</v>
      </c>
      <c r="K232" s="1461">
        <f t="shared" si="119"/>
        <v>39.825520099999999</v>
      </c>
      <c r="L232" s="1461">
        <f t="shared" si="109"/>
        <v>0.64045183696587837</v>
      </c>
      <c r="M232" s="1461">
        <f t="shared" si="110"/>
        <v>122.17259241961095</v>
      </c>
      <c r="N232" s="1461">
        <f t="shared" si="111"/>
        <v>244.3451848392219</v>
      </c>
      <c r="O232" s="1461">
        <f>+D225+D224+C223+D226+D227+D228+D229+D230+D231+(D232/2)</f>
        <v>0</v>
      </c>
      <c r="P232" s="1461">
        <f t="shared" si="112"/>
        <v>0</v>
      </c>
      <c r="Q232" s="1461">
        <f t="shared" si="113"/>
        <v>0</v>
      </c>
      <c r="R232" s="1461">
        <f t="shared" si="120"/>
        <v>146.5</v>
      </c>
      <c r="S232" s="1461">
        <f t="shared" si="133"/>
        <v>146.5</v>
      </c>
      <c r="T232" s="1462">
        <f t="shared" si="114"/>
        <v>146.5</v>
      </c>
      <c r="V232" s="1463">
        <f t="shared" si="134"/>
        <v>0</v>
      </c>
      <c r="W232" s="1463"/>
      <c r="X232" s="1463"/>
      <c r="Y232" s="1463"/>
      <c r="Z232" s="1463"/>
      <c r="AA232" s="1463"/>
      <c r="AB232" s="1441" t="str">
        <f t="shared" si="137"/>
        <v>pin in groundstacking hole</v>
      </c>
      <c r="AC232" s="1566"/>
      <c r="AD232" s="1566"/>
      <c r="AE232" s="1566"/>
      <c r="AF232" s="1463">
        <f>SUM(V232:V246)/($B$220-B231)</f>
        <v>0</v>
      </c>
      <c r="AG232" s="1463"/>
      <c r="AH232" s="1464">
        <f>SUM(D224:D232)+$C$223</f>
        <v>0</v>
      </c>
      <c r="AI232" s="1567"/>
      <c r="AJ232" s="1445">
        <f t="shared" si="122"/>
        <v>69.344714800000006</v>
      </c>
      <c r="AK232" s="1465">
        <f t="shared" si="115"/>
        <v>0.93571960494171247</v>
      </c>
      <c r="AL232" s="1445">
        <f t="shared" si="123"/>
        <v>180.0511663828843</v>
      </c>
      <c r="AM232" s="1445">
        <f t="shared" si="124"/>
        <v>50.174479900000001</v>
      </c>
      <c r="AN232" s="1466">
        <f t="shared" si="125"/>
        <v>0.76799833627881664</v>
      </c>
      <c r="AO232" s="1445">
        <f t="shared" si="126"/>
        <v>146.50336262854705</v>
      </c>
      <c r="AP232" s="1568"/>
      <c r="AQ232" s="1449">
        <f t="shared" si="127"/>
        <v>-204</v>
      </c>
      <c r="AR232" s="1568"/>
      <c r="AS232" s="1467">
        <f t="shared" si="128"/>
        <v>326.55452901143133</v>
      </c>
      <c r="AT232" s="1468">
        <f t="shared" si="136"/>
        <v>-146.50336262854705</v>
      </c>
      <c r="AU232" s="1469"/>
      <c r="AV232" s="1468">
        <f t="shared" si="135"/>
        <v>146.50336262854705</v>
      </c>
      <c r="AW232" s="1470">
        <f t="shared" si="129"/>
        <v>-112.47872768233023</v>
      </c>
      <c r="AX232" s="1470">
        <f t="shared" si="130"/>
        <v>-91.521272317669769</v>
      </c>
      <c r="AY232" s="1456">
        <f t="shared" si="116"/>
        <v>-103.13061179676106</v>
      </c>
      <c r="AZ232" s="1456">
        <f t="shared" si="117"/>
        <v>-109.26421526669846</v>
      </c>
      <c r="BA232" s="1457">
        <f t="shared" si="131"/>
        <v>103.13061179676106</v>
      </c>
      <c r="BB232" s="1457">
        <f t="shared" si="131"/>
        <v>109.26421526669846</v>
      </c>
    </row>
    <row r="233" spans="2:109" ht="21" customHeight="1" thickBot="1" x14ac:dyDescent="0.25">
      <c r="B233" s="1458">
        <v>11</v>
      </c>
      <c r="C233" s="1459"/>
      <c r="D233" s="1430">
        <v>0</v>
      </c>
      <c r="E233" s="1460" t="s">
        <v>54</v>
      </c>
      <c r="F233" s="1432"/>
      <c r="G233" s="1432">
        <f t="shared" si="132"/>
        <v>0</v>
      </c>
      <c r="H233" s="732">
        <v>190.76</v>
      </c>
      <c r="I233" s="733">
        <v>79.651040199999997</v>
      </c>
      <c r="J233" s="1461">
        <f t="shared" si="118"/>
        <v>79.651040199999997</v>
      </c>
      <c r="K233" s="1461">
        <f t="shared" si="119"/>
        <v>39.825520099999999</v>
      </c>
      <c r="L233" s="1461">
        <f t="shared" si="109"/>
        <v>0.64045183696587837</v>
      </c>
      <c r="M233" s="1461">
        <f t="shared" si="110"/>
        <v>122.17259241961095</v>
      </c>
      <c r="N233" s="1461">
        <f t="shared" si="111"/>
        <v>244.3451848392219</v>
      </c>
      <c r="O233" s="1461">
        <f>+D226+D225+D224+C223+D227+D228+D229+D230+D231+D232+(D233/2)</f>
        <v>0</v>
      </c>
      <c r="P233" s="1461">
        <f t="shared" si="112"/>
        <v>0</v>
      </c>
      <c r="Q233" s="1461">
        <f t="shared" si="113"/>
        <v>0</v>
      </c>
      <c r="R233" s="1461">
        <f t="shared" si="120"/>
        <v>146.5</v>
      </c>
      <c r="S233" s="1461">
        <f t="shared" si="133"/>
        <v>146.5</v>
      </c>
      <c r="T233" s="1462">
        <f t="shared" si="114"/>
        <v>146.5</v>
      </c>
      <c r="V233" s="1463">
        <f t="shared" si="134"/>
        <v>0</v>
      </c>
      <c r="W233" s="1463"/>
      <c r="X233" s="1463"/>
      <c r="Y233" s="1463"/>
      <c r="Z233" s="1463"/>
      <c r="AA233" s="1463"/>
      <c r="AB233" s="1441" t="str">
        <f t="shared" si="137"/>
        <v>pin in groundstacking hole</v>
      </c>
      <c r="AC233" s="1566"/>
      <c r="AD233" s="1566"/>
      <c r="AE233" s="1566"/>
      <c r="AF233" s="1463">
        <f>SUM(V233:V246)/($B$220-B232)</f>
        <v>0</v>
      </c>
      <c r="AG233" s="1463"/>
      <c r="AH233" s="1464">
        <f>SUM(D224:D233)+$C$223</f>
        <v>0</v>
      </c>
      <c r="AI233" s="1567"/>
      <c r="AJ233" s="1445">
        <f t="shared" si="122"/>
        <v>69.344714800000006</v>
      </c>
      <c r="AK233" s="1465">
        <f t="shared" si="115"/>
        <v>0.93571960494171247</v>
      </c>
      <c r="AL233" s="1445">
        <f t="shared" si="123"/>
        <v>180.0511663828843</v>
      </c>
      <c r="AM233" s="1445">
        <f t="shared" si="124"/>
        <v>50.174479900000001</v>
      </c>
      <c r="AN233" s="1466">
        <f t="shared" si="125"/>
        <v>0.76799833627881664</v>
      </c>
      <c r="AO233" s="1445">
        <f t="shared" si="126"/>
        <v>146.50336262854705</v>
      </c>
      <c r="AP233" s="1568"/>
      <c r="AQ233" s="1449">
        <f t="shared" si="127"/>
        <v>-229.5</v>
      </c>
      <c r="AR233" s="1568"/>
      <c r="AS233" s="1467">
        <f t="shared" si="128"/>
        <v>326.55452901143133</v>
      </c>
      <c r="AT233" s="1468">
        <f t="shared" si="136"/>
        <v>-146.50336262854705</v>
      </c>
      <c r="AU233" s="1469"/>
      <c r="AV233" s="1468">
        <f t="shared" si="135"/>
        <v>146.50336262854705</v>
      </c>
      <c r="AW233" s="1470">
        <f t="shared" si="129"/>
        <v>-126.53856864262151</v>
      </c>
      <c r="AX233" s="1470">
        <f t="shared" si="130"/>
        <v>-102.96143135737849</v>
      </c>
      <c r="AY233" s="1456">
        <f t="shared" si="116"/>
        <v>-91.671654930454267</v>
      </c>
      <c r="AZ233" s="1456">
        <f t="shared" si="117"/>
        <v>-97.12374690373197</v>
      </c>
      <c r="BA233" s="1457">
        <f t="shared" si="131"/>
        <v>91.671654930454267</v>
      </c>
      <c r="BB233" s="1457">
        <f t="shared" si="131"/>
        <v>97.12374690373197</v>
      </c>
    </row>
    <row r="234" spans="2:109" ht="21" customHeight="1" thickBot="1" x14ac:dyDescent="0.25">
      <c r="B234" s="1458">
        <v>12</v>
      </c>
      <c r="C234" s="1459"/>
      <c r="D234" s="1430">
        <v>0</v>
      </c>
      <c r="E234" s="1460" t="s">
        <v>54</v>
      </c>
      <c r="F234" s="1432"/>
      <c r="G234" s="1432">
        <f t="shared" si="132"/>
        <v>0</v>
      </c>
      <c r="H234" s="732">
        <v>190.76</v>
      </c>
      <c r="I234" s="733">
        <v>79.651040199999997</v>
      </c>
      <c r="J234" s="1461">
        <f t="shared" si="118"/>
        <v>79.651040199999997</v>
      </c>
      <c r="K234" s="1461">
        <f t="shared" si="119"/>
        <v>39.825520099999999</v>
      </c>
      <c r="L234" s="1461">
        <f t="shared" si="109"/>
        <v>0.64045183696587837</v>
      </c>
      <c r="M234" s="1461">
        <f t="shared" si="110"/>
        <v>122.17259241961095</v>
      </c>
      <c r="N234" s="1461">
        <f t="shared" si="111"/>
        <v>244.3451848392219</v>
      </c>
      <c r="O234" s="1461">
        <f>+D227+D226+D225+D224+C223+D228+D229+D230+D231+D232+D233+(D234/2)</f>
        <v>0</v>
      </c>
      <c r="P234" s="1461">
        <f t="shared" si="112"/>
        <v>0</v>
      </c>
      <c r="Q234" s="1461">
        <f t="shared" si="113"/>
        <v>0</v>
      </c>
      <c r="R234" s="1461">
        <f t="shared" si="120"/>
        <v>146.5</v>
      </c>
      <c r="S234" s="1461">
        <f t="shared" si="133"/>
        <v>146.5</v>
      </c>
      <c r="T234" s="1462">
        <f t="shared" si="114"/>
        <v>146.5</v>
      </c>
      <c r="V234" s="1463">
        <f t="shared" si="134"/>
        <v>0</v>
      </c>
      <c r="W234" s="1463"/>
      <c r="X234" s="1463"/>
      <c r="Y234" s="1463"/>
      <c r="Z234" s="1463"/>
      <c r="AA234" s="1463"/>
      <c r="AB234" s="1441" t="str">
        <f t="shared" si="137"/>
        <v>pin in groundstacking hole</v>
      </c>
      <c r="AC234" s="1566"/>
      <c r="AD234" s="1566"/>
      <c r="AE234" s="1566"/>
      <c r="AF234" s="1463">
        <f>SUM(V234:V246)/($B$220-B233)</f>
        <v>0</v>
      </c>
      <c r="AG234" s="1463"/>
      <c r="AH234" s="1464">
        <f>SUM(D224:D234)+$C$223</f>
        <v>0</v>
      </c>
      <c r="AI234" s="1567"/>
      <c r="AJ234" s="1445">
        <f t="shared" si="122"/>
        <v>69.344714800000006</v>
      </c>
      <c r="AK234" s="1465">
        <f t="shared" si="115"/>
        <v>0.93571960494171247</v>
      </c>
      <c r="AL234" s="1445">
        <f t="shared" si="123"/>
        <v>180.0511663828843</v>
      </c>
      <c r="AM234" s="1445">
        <f t="shared" si="124"/>
        <v>50.174479900000001</v>
      </c>
      <c r="AN234" s="1466">
        <f t="shared" si="125"/>
        <v>0.76799833627881664</v>
      </c>
      <c r="AO234" s="1445">
        <f t="shared" si="126"/>
        <v>146.50336262854705</v>
      </c>
      <c r="AP234" s="1568"/>
      <c r="AQ234" s="1449">
        <f t="shared" si="127"/>
        <v>-255</v>
      </c>
      <c r="AR234" s="1568"/>
      <c r="AS234" s="1467">
        <f t="shared" si="128"/>
        <v>326.55452901143133</v>
      </c>
      <c r="AT234" s="1468">
        <f t="shared" si="136"/>
        <v>-146.50336262854705</v>
      </c>
      <c r="AU234" s="1469"/>
      <c r="AV234" s="1468">
        <f t="shared" si="135"/>
        <v>146.50336262854705</v>
      </c>
      <c r="AW234" s="1470">
        <f t="shared" si="129"/>
        <v>-140.5984096029128</v>
      </c>
      <c r="AX234" s="1470">
        <f t="shared" si="130"/>
        <v>-114.4015903970872</v>
      </c>
      <c r="AY234" s="1456">
        <f t="shared" si="116"/>
        <v>-82.504489437408836</v>
      </c>
      <c r="AZ234" s="1456">
        <f t="shared" si="117"/>
        <v>-87.411372213358774</v>
      </c>
      <c r="BA234" s="1457">
        <f t="shared" si="131"/>
        <v>82.504489437408836</v>
      </c>
      <c r="BB234" s="1457">
        <f t="shared" si="131"/>
        <v>87.411372213358774</v>
      </c>
    </row>
    <row r="235" spans="2:109" ht="21" customHeight="1" thickBot="1" x14ac:dyDescent="0.25">
      <c r="B235" s="1458">
        <v>13</v>
      </c>
      <c r="C235" s="1459"/>
      <c r="D235" s="1430">
        <v>0</v>
      </c>
      <c r="E235" s="1460" t="s">
        <v>54</v>
      </c>
      <c r="F235" s="1432"/>
      <c r="G235" s="1432">
        <f t="shared" si="132"/>
        <v>0</v>
      </c>
      <c r="H235" s="732">
        <v>190.76</v>
      </c>
      <c r="I235" s="733">
        <v>79.651040199999997</v>
      </c>
      <c r="J235" s="1461">
        <f t="shared" si="118"/>
        <v>79.651040199999997</v>
      </c>
      <c r="K235" s="1461">
        <f t="shared" si="119"/>
        <v>39.825520099999999</v>
      </c>
      <c r="L235" s="1461">
        <f t="shared" si="109"/>
        <v>0.64045183696587837</v>
      </c>
      <c r="M235" s="1461">
        <f t="shared" si="110"/>
        <v>122.17259241961095</v>
      </c>
      <c r="N235" s="1461">
        <f t="shared" si="111"/>
        <v>244.3451848392219</v>
      </c>
      <c r="O235" s="1461">
        <f>+D228+D227+D226+D225+D224+C223+D229+D230+D231+D232+D233+D234+(D235/2)</f>
        <v>0</v>
      </c>
      <c r="P235" s="1461">
        <f t="shared" si="112"/>
        <v>0</v>
      </c>
      <c r="Q235" s="1461">
        <f t="shared" si="113"/>
        <v>0</v>
      </c>
      <c r="R235" s="1461">
        <f t="shared" si="120"/>
        <v>146.5</v>
      </c>
      <c r="S235" s="1461">
        <f t="shared" si="133"/>
        <v>146.5</v>
      </c>
      <c r="T235" s="1462">
        <f t="shared" si="114"/>
        <v>146.5</v>
      </c>
      <c r="V235" s="1463">
        <f t="shared" si="134"/>
        <v>0</v>
      </c>
      <c r="W235" s="1463"/>
      <c r="X235" s="1463"/>
      <c r="Y235" s="1463"/>
      <c r="Z235" s="1463"/>
      <c r="AA235" s="1463"/>
      <c r="AB235" s="1441" t="str">
        <f t="shared" si="137"/>
        <v>pin in groundstacking hole</v>
      </c>
      <c r="AC235" s="1566"/>
      <c r="AD235" s="1566"/>
      <c r="AE235" s="1566"/>
      <c r="AF235" s="1463">
        <f>SUM(V235:V246)/($B$220-B234)</f>
        <v>0</v>
      </c>
      <c r="AG235" s="1463"/>
      <c r="AH235" s="1464">
        <f>SUM(D224:D235)+$C$223</f>
        <v>0</v>
      </c>
      <c r="AI235" s="1567"/>
      <c r="AJ235" s="1445">
        <f t="shared" si="122"/>
        <v>69.344714800000006</v>
      </c>
      <c r="AK235" s="1465">
        <f t="shared" si="115"/>
        <v>0.93571960494171247</v>
      </c>
      <c r="AL235" s="1445">
        <f t="shared" si="123"/>
        <v>180.0511663828843</v>
      </c>
      <c r="AM235" s="1445">
        <f t="shared" si="124"/>
        <v>50.174479900000001</v>
      </c>
      <c r="AN235" s="1466">
        <f t="shared" si="125"/>
        <v>0.76799833627881664</v>
      </c>
      <c r="AO235" s="1445">
        <f t="shared" si="126"/>
        <v>146.50336262854705</v>
      </c>
      <c r="AP235" s="1568"/>
      <c r="AQ235" s="1449">
        <f t="shared" si="127"/>
        <v>-280.5</v>
      </c>
      <c r="AR235" s="1568"/>
      <c r="AS235" s="1467">
        <f t="shared" si="128"/>
        <v>326.55452901143133</v>
      </c>
      <c r="AT235" s="1468">
        <f t="shared" si="136"/>
        <v>-146.50336262854705</v>
      </c>
      <c r="AU235" s="1469"/>
      <c r="AV235" s="1468">
        <f t="shared" si="135"/>
        <v>146.50336262854705</v>
      </c>
      <c r="AW235" s="1470">
        <f t="shared" si="129"/>
        <v>-154.65825056320406</v>
      </c>
      <c r="AX235" s="1470">
        <f t="shared" si="130"/>
        <v>-125.84174943679592</v>
      </c>
      <c r="AY235" s="1456">
        <f t="shared" si="116"/>
        <v>-75.004081306735316</v>
      </c>
      <c r="AZ235" s="1456">
        <f t="shared" si="117"/>
        <v>-79.464883830326158</v>
      </c>
      <c r="BA235" s="1457">
        <f t="shared" si="131"/>
        <v>75.004081306735316</v>
      </c>
      <c r="BB235" s="1457">
        <f t="shared" si="131"/>
        <v>79.464883830326158</v>
      </c>
    </row>
    <row r="236" spans="2:109" ht="21" customHeight="1" thickBot="1" x14ac:dyDescent="0.25">
      <c r="B236" s="1458">
        <v>14</v>
      </c>
      <c r="C236" s="1459"/>
      <c r="D236" s="1430">
        <v>0</v>
      </c>
      <c r="E236" s="1460" t="s">
        <v>54</v>
      </c>
      <c r="F236" s="1432"/>
      <c r="G236" s="1432">
        <f t="shared" si="132"/>
        <v>0</v>
      </c>
      <c r="H236" s="732">
        <v>190.76</v>
      </c>
      <c r="I236" s="733">
        <v>79.651040199999997</v>
      </c>
      <c r="J236" s="1461">
        <f t="shared" si="118"/>
        <v>79.651040199999997</v>
      </c>
      <c r="K236" s="1461">
        <f t="shared" si="119"/>
        <v>39.825520099999999</v>
      </c>
      <c r="L236" s="1461">
        <f t="shared" si="109"/>
        <v>0.64045183696587837</v>
      </c>
      <c r="M236" s="1461">
        <f t="shared" si="110"/>
        <v>122.17259241961095</v>
      </c>
      <c r="N236" s="1461">
        <f t="shared" si="111"/>
        <v>244.3451848392219</v>
      </c>
      <c r="O236" s="1461">
        <f>+D229+D228+D227+D226+D225+D224+C223+D230+D231+D232+D233+D234+D235+(D236/2)</f>
        <v>0</v>
      </c>
      <c r="P236" s="1461">
        <f t="shared" si="112"/>
        <v>0</v>
      </c>
      <c r="Q236" s="1461">
        <f t="shared" si="113"/>
        <v>0</v>
      </c>
      <c r="R236" s="1461">
        <f t="shared" si="120"/>
        <v>146.5</v>
      </c>
      <c r="S236" s="1461">
        <f t="shared" si="133"/>
        <v>146.5</v>
      </c>
      <c r="T236" s="1462">
        <f t="shared" si="114"/>
        <v>146.5</v>
      </c>
      <c r="V236" s="1463">
        <f t="shared" si="134"/>
        <v>0</v>
      </c>
      <c r="W236" s="1463"/>
      <c r="X236" s="1463"/>
      <c r="Y236" s="1463"/>
      <c r="Z236" s="1463"/>
      <c r="AA236" s="1463"/>
      <c r="AB236" s="1441" t="str">
        <f t="shared" si="137"/>
        <v>pin in groundstacking hole</v>
      </c>
      <c r="AC236" s="1566"/>
      <c r="AD236" s="1566"/>
      <c r="AE236" s="1566"/>
      <c r="AF236" s="1463">
        <f>SUM(V236:V246)/($B$220-B235)</f>
        <v>0</v>
      </c>
      <c r="AG236" s="1463"/>
      <c r="AH236" s="1464">
        <f>SUM(D224:D236)+$C$223</f>
        <v>0</v>
      </c>
      <c r="AI236" s="1567"/>
      <c r="AJ236" s="1445">
        <f t="shared" si="122"/>
        <v>69.344714800000006</v>
      </c>
      <c r="AK236" s="1465">
        <f t="shared" si="115"/>
        <v>0.93571960494171247</v>
      </c>
      <c r="AL236" s="1445">
        <f t="shared" si="123"/>
        <v>180.0511663828843</v>
      </c>
      <c r="AM236" s="1445">
        <f t="shared" si="124"/>
        <v>50.174479900000001</v>
      </c>
      <c r="AN236" s="1466">
        <f t="shared" si="125"/>
        <v>0.76799833627881664</v>
      </c>
      <c r="AO236" s="1445">
        <f t="shared" si="126"/>
        <v>146.50336262854705</v>
      </c>
      <c r="AP236" s="1568"/>
      <c r="AQ236" s="1449">
        <f t="shared" si="127"/>
        <v>-306</v>
      </c>
      <c r="AR236" s="1568"/>
      <c r="AS236" s="1467">
        <f t="shared" si="128"/>
        <v>326.55452901143133</v>
      </c>
      <c r="AT236" s="1468">
        <f t="shared" si="136"/>
        <v>-146.50336262854705</v>
      </c>
      <c r="AU236" s="1469"/>
      <c r="AV236" s="1468">
        <f t="shared" si="135"/>
        <v>146.50336262854705</v>
      </c>
      <c r="AW236" s="1470">
        <f t="shared" si="129"/>
        <v>-168.71809152349536</v>
      </c>
      <c r="AX236" s="1470">
        <f t="shared" si="130"/>
        <v>-137.28190847650464</v>
      </c>
      <c r="AY236" s="1456">
        <f t="shared" si="116"/>
        <v>-68.753741197840696</v>
      </c>
      <c r="AZ236" s="1456">
        <f t="shared" si="117"/>
        <v>-72.842810177798981</v>
      </c>
      <c r="BA236" s="1457">
        <f t="shared" si="131"/>
        <v>68.753741197840696</v>
      </c>
      <c r="BB236" s="1457">
        <f t="shared" si="131"/>
        <v>72.842810177798981</v>
      </c>
    </row>
    <row r="237" spans="2:109" ht="21" customHeight="1" thickBot="1" x14ac:dyDescent="0.25">
      <c r="B237" s="1458">
        <v>15</v>
      </c>
      <c r="C237" s="1459"/>
      <c r="D237" s="1430">
        <v>0</v>
      </c>
      <c r="E237" s="1460" t="s">
        <v>54</v>
      </c>
      <c r="F237" s="1432"/>
      <c r="G237" s="1432">
        <f t="shared" si="132"/>
        <v>0</v>
      </c>
      <c r="H237" s="732">
        <v>190.76</v>
      </c>
      <c r="I237" s="733">
        <v>79.651040199999997</v>
      </c>
      <c r="J237" s="1461">
        <f t="shared" si="118"/>
        <v>79.651040199999997</v>
      </c>
      <c r="K237" s="1461">
        <f t="shared" si="119"/>
        <v>39.825520099999999</v>
      </c>
      <c r="L237" s="1461">
        <f t="shared" si="109"/>
        <v>0.64045183696587837</v>
      </c>
      <c r="M237" s="1461">
        <f t="shared" si="110"/>
        <v>122.17259241961095</v>
      </c>
      <c r="N237" s="1461">
        <f t="shared" si="111"/>
        <v>244.3451848392219</v>
      </c>
      <c r="O237" s="1461">
        <f>+D230+D229+D228+D227+D226+D225+D224+C223+D231+D232+D233+D234+D235+D236+(D237/2)</f>
        <v>0</v>
      </c>
      <c r="P237" s="1461">
        <f t="shared" si="112"/>
        <v>0</v>
      </c>
      <c r="Q237" s="1461">
        <f t="shared" si="113"/>
        <v>0</v>
      </c>
      <c r="R237" s="1461">
        <f t="shared" si="120"/>
        <v>146.5</v>
      </c>
      <c r="S237" s="1461">
        <f t="shared" si="133"/>
        <v>146.5</v>
      </c>
      <c r="T237" s="1462">
        <f t="shared" si="114"/>
        <v>146.5</v>
      </c>
      <c r="V237" s="1463">
        <f t="shared" si="134"/>
        <v>0</v>
      </c>
      <c r="W237" s="1463"/>
      <c r="X237" s="1463"/>
      <c r="Y237" s="1463"/>
      <c r="Z237" s="1463"/>
      <c r="AA237" s="1463"/>
      <c r="AB237" s="1441" t="str">
        <f t="shared" si="137"/>
        <v>pin in groundstacking hole</v>
      </c>
      <c r="AC237" s="1566"/>
      <c r="AD237" s="1566"/>
      <c r="AE237" s="1566"/>
      <c r="AF237" s="1463">
        <f>SUM(V237:V246)/($B$220-B236)</f>
        <v>0</v>
      </c>
      <c r="AG237" s="1463"/>
      <c r="AH237" s="1464">
        <f>SUM(D224:D237)+$C$223</f>
        <v>0</v>
      </c>
      <c r="AI237" s="1567"/>
      <c r="AJ237" s="1445">
        <f t="shared" si="122"/>
        <v>69.344714800000006</v>
      </c>
      <c r="AK237" s="1465">
        <f t="shared" si="115"/>
        <v>0.93571960494171247</v>
      </c>
      <c r="AL237" s="1445">
        <f t="shared" si="123"/>
        <v>180.0511663828843</v>
      </c>
      <c r="AM237" s="1445">
        <f t="shared" si="124"/>
        <v>50.174479900000001</v>
      </c>
      <c r="AN237" s="1466">
        <f t="shared" si="125"/>
        <v>0.76799833627881664</v>
      </c>
      <c r="AO237" s="1445">
        <f t="shared" si="126"/>
        <v>146.50336262854705</v>
      </c>
      <c r="AP237" s="1568"/>
      <c r="AQ237" s="1449">
        <f t="shared" si="127"/>
        <v>-331.5</v>
      </c>
      <c r="AR237" s="1568"/>
      <c r="AS237" s="1467">
        <f t="shared" si="128"/>
        <v>326.55452901143133</v>
      </c>
      <c r="AT237" s="1468">
        <f t="shared" si="136"/>
        <v>-146.50336262854705</v>
      </c>
      <c r="AU237" s="1469"/>
      <c r="AV237" s="1468">
        <f t="shared" si="135"/>
        <v>146.50336262854705</v>
      </c>
      <c r="AW237" s="1470">
        <f t="shared" si="129"/>
        <v>-182.77793248378663</v>
      </c>
      <c r="AX237" s="1470">
        <f t="shared" si="130"/>
        <v>-148.72206751621337</v>
      </c>
      <c r="AY237" s="1456">
        <f t="shared" si="116"/>
        <v>-63.464991874929879</v>
      </c>
      <c r="AZ237" s="1456">
        <f t="shared" si="117"/>
        <v>-67.239517087199047</v>
      </c>
      <c r="BA237" s="1457">
        <f t="shared" si="131"/>
        <v>63.464991874929879</v>
      </c>
      <c r="BB237" s="1457">
        <f t="shared" si="131"/>
        <v>67.239517087199047</v>
      </c>
    </row>
    <row r="238" spans="2:109" ht="21" customHeight="1" thickBot="1" x14ac:dyDescent="0.25">
      <c r="B238" s="1458">
        <v>16</v>
      </c>
      <c r="C238" s="1459"/>
      <c r="D238" s="1430">
        <v>0</v>
      </c>
      <c r="E238" s="1460" t="s">
        <v>54</v>
      </c>
      <c r="F238" s="1432"/>
      <c r="G238" s="1432">
        <f t="shared" si="132"/>
        <v>0</v>
      </c>
      <c r="H238" s="732">
        <v>190.76</v>
      </c>
      <c r="I238" s="733">
        <v>79.651040199999997</v>
      </c>
      <c r="J238" s="1461">
        <f t="shared" si="118"/>
        <v>79.651040199999997</v>
      </c>
      <c r="K238" s="1461">
        <f t="shared" si="119"/>
        <v>39.825520099999999</v>
      </c>
      <c r="L238" s="1461">
        <f t="shared" si="109"/>
        <v>0.64045183696587837</v>
      </c>
      <c r="M238" s="1461">
        <f t="shared" si="110"/>
        <v>122.17259241961095</v>
      </c>
      <c r="N238" s="1461">
        <f t="shared" si="111"/>
        <v>244.3451848392219</v>
      </c>
      <c r="O238" s="1461">
        <f>++D231+D230+D229+D228+D227+D226+D225+D224+C223+D232+D233+D234+D235+D236+D237+(D238/2)</f>
        <v>0</v>
      </c>
      <c r="P238" s="1461">
        <f t="shared" si="112"/>
        <v>0</v>
      </c>
      <c r="Q238" s="1461">
        <f t="shared" si="113"/>
        <v>0</v>
      </c>
      <c r="R238" s="1461">
        <f t="shared" si="120"/>
        <v>146.5</v>
      </c>
      <c r="S238" s="1461">
        <f t="shared" si="133"/>
        <v>146.5</v>
      </c>
      <c r="T238" s="1462">
        <f t="shared" si="114"/>
        <v>146.5</v>
      </c>
      <c r="V238" s="1463">
        <f t="shared" si="134"/>
        <v>0</v>
      </c>
      <c r="W238" s="1463"/>
      <c r="X238" s="1463"/>
      <c r="Y238" s="1463"/>
      <c r="Z238" s="1463"/>
      <c r="AA238" s="1463"/>
      <c r="AB238" s="1441" t="str">
        <f t="shared" si="137"/>
        <v>pin in groundstacking hole</v>
      </c>
      <c r="AC238" s="1566"/>
      <c r="AD238" s="1566"/>
      <c r="AE238" s="1566"/>
      <c r="AF238" s="1463">
        <f>SUM(V238:V246)/($B$220-B237)</f>
        <v>0</v>
      </c>
      <c r="AG238" s="1463"/>
      <c r="AH238" s="1464">
        <f>SUM(D224:D238)+$C$223</f>
        <v>0</v>
      </c>
      <c r="AI238" s="1567"/>
      <c r="AJ238" s="1445">
        <f t="shared" si="122"/>
        <v>69.344714800000006</v>
      </c>
      <c r="AK238" s="1465">
        <f t="shared" si="115"/>
        <v>0.93571960494171247</v>
      </c>
      <c r="AL238" s="1445">
        <f t="shared" si="123"/>
        <v>180.0511663828843</v>
      </c>
      <c r="AM238" s="1445">
        <f t="shared" si="124"/>
        <v>50.174479900000001</v>
      </c>
      <c r="AN238" s="1466">
        <f t="shared" si="125"/>
        <v>0.76799833627881664</v>
      </c>
      <c r="AO238" s="1445">
        <f t="shared" si="126"/>
        <v>146.50336262854705</v>
      </c>
      <c r="AP238" s="1568"/>
      <c r="AQ238" s="1449">
        <f t="shared" si="127"/>
        <v>-357</v>
      </c>
      <c r="AR238" s="1568"/>
      <c r="AS238" s="1467">
        <f t="shared" si="128"/>
        <v>326.55452901143133</v>
      </c>
      <c r="AT238" s="1468">
        <f t="shared" si="136"/>
        <v>-146.50336262854705</v>
      </c>
      <c r="AU238" s="1469"/>
      <c r="AV238" s="1468">
        <f t="shared" si="135"/>
        <v>146.50336262854705</v>
      </c>
      <c r="AW238" s="1470">
        <f t="shared" si="129"/>
        <v>-196.83777344407792</v>
      </c>
      <c r="AX238" s="1470">
        <f t="shared" si="130"/>
        <v>-160.16222655592208</v>
      </c>
      <c r="AY238" s="1456">
        <f t="shared" si="116"/>
        <v>-58.93177816957774</v>
      </c>
      <c r="AZ238" s="1456">
        <f t="shared" si="117"/>
        <v>-62.436694438113413</v>
      </c>
      <c r="BA238" s="1457">
        <f t="shared" si="131"/>
        <v>58.93177816957774</v>
      </c>
      <c r="BB238" s="1457">
        <f t="shared" si="131"/>
        <v>62.436694438113413</v>
      </c>
    </row>
    <row r="239" spans="2:109" ht="21" customHeight="1" thickBot="1" x14ac:dyDescent="0.25">
      <c r="B239" s="1458">
        <v>17</v>
      </c>
      <c r="C239" s="1459"/>
      <c r="D239" s="1430">
        <v>0</v>
      </c>
      <c r="E239" s="1460" t="s">
        <v>54</v>
      </c>
      <c r="F239" s="1432"/>
      <c r="G239" s="1432">
        <f t="shared" si="132"/>
        <v>0</v>
      </c>
      <c r="H239" s="732">
        <v>190.76</v>
      </c>
      <c r="I239" s="733">
        <v>79.651040199999997</v>
      </c>
      <c r="J239" s="1461">
        <f t="shared" si="118"/>
        <v>79.651040199999997</v>
      </c>
      <c r="K239" s="1461">
        <f t="shared" si="119"/>
        <v>39.825520099999999</v>
      </c>
      <c r="L239" s="1461">
        <f t="shared" si="109"/>
        <v>0.64045183696587837</v>
      </c>
      <c r="M239" s="1461">
        <f t="shared" si="110"/>
        <v>122.17259241961095</v>
      </c>
      <c r="N239" s="1461">
        <f t="shared" si="111"/>
        <v>244.3451848392219</v>
      </c>
      <c r="O239" s="1461">
        <f>+D232+D231+D230+D229+D228+D227+D226+D225+D224+C223+D233+D234+D235+D236+D237+D238+(D239/2)</f>
        <v>0</v>
      </c>
      <c r="P239" s="1461">
        <f t="shared" si="112"/>
        <v>0</v>
      </c>
      <c r="Q239" s="1461">
        <f t="shared" si="113"/>
        <v>0</v>
      </c>
      <c r="R239" s="1461">
        <f t="shared" si="120"/>
        <v>146.5</v>
      </c>
      <c r="S239" s="1461">
        <f t="shared" si="133"/>
        <v>146.5</v>
      </c>
      <c r="T239" s="1462">
        <f t="shared" si="114"/>
        <v>146.5</v>
      </c>
      <c r="V239" s="1463">
        <f t="shared" si="134"/>
        <v>0</v>
      </c>
      <c r="W239" s="1463"/>
      <c r="X239" s="1463"/>
      <c r="Y239" s="1463"/>
      <c r="Z239" s="1463"/>
      <c r="AA239" s="1463"/>
      <c r="AB239" s="1441" t="str">
        <f t="shared" si="137"/>
        <v>pin in groundstacking hole</v>
      </c>
      <c r="AC239" s="1566"/>
      <c r="AD239" s="1566"/>
      <c r="AE239" s="1566"/>
      <c r="AF239" s="1463">
        <f>SUM(V239:V246)/($B$220-B238)</f>
        <v>0</v>
      </c>
      <c r="AG239" s="1463"/>
      <c r="AH239" s="1464">
        <f>SUM(D224:D239)+$C$223</f>
        <v>0</v>
      </c>
      <c r="AI239" s="1567"/>
      <c r="AJ239" s="1445">
        <f t="shared" si="122"/>
        <v>69.344714800000006</v>
      </c>
      <c r="AK239" s="1465">
        <f t="shared" si="115"/>
        <v>0.93571960494171247</v>
      </c>
      <c r="AL239" s="1445">
        <f t="shared" si="123"/>
        <v>180.0511663828843</v>
      </c>
      <c r="AM239" s="1445">
        <f t="shared" si="124"/>
        <v>50.174479900000001</v>
      </c>
      <c r="AN239" s="1466">
        <f t="shared" si="125"/>
        <v>0.76799833627881664</v>
      </c>
      <c r="AO239" s="1445">
        <f t="shared" si="126"/>
        <v>146.50336262854705</v>
      </c>
      <c r="AP239" s="1568"/>
      <c r="AQ239" s="1449">
        <f t="shared" si="127"/>
        <v>-382.5</v>
      </c>
      <c r="AR239" s="1568"/>
      <c r="AS239" s="1467">
        <f t="shared" si="128"/>
        <v>326.55452901143133</v>
      </c>
      <c r="AT239" s="1468">
        <f t="shared" si="136"/>
        <v>-146.50336262854705</v>
      </c>
      <c r="AU239" s="1469"/>
      <c r="AV239" s="1468">
        <f t="shared" si="135"/>
        <v>146.50336262854705</v>
      </c>
      <c r="AW239" s="1470">
        <f t="shared" si="129"/>
        <v>-210.89761440436919</v>
      </c>
      <c r="AX239" s="1470">
        <f t="shared" si="130"/>
        <v>-171.60238559563081</v>
      </c>
      <c r="AY239" s="1456">
        <f t="shared" si="116"/>
        <v>-55.002992958272557</v>
      </c>
      <c r="AZ239" s="1456">
        <f t="shared" si="117"/>
        <v>-58.27424814223918</v>
      </c>
      <c r="BA239" s="1457">
        <f t="shared" si="131"/>
        <v>55.002992958272557</v>
      </c>
      <c r="BB239" s="1457">
        <f t="shared" si="131"/>
        <v>58.27424814223918</v>
      </c>
    </row>
    <row r="240" spans="2:109" ht="21" customHeight="1" thickBot="1" x14ac:dyDescent="0.25">
      <c r="B240" s="1458">
        <v>18</v>
      </c>
      <c r="C240" s="1459"/>
      <c r="D240" s="1430">
        <v>0</v>
      </c>
      <c r="E240" s="1460" t="s">
        <v>54</v>
      </c>
      <c r="F240" s="1432"/>
      <c r="G240" s="1432">
        <f t="shared" si="132"/>
        <v>0</v>
      </c>
      <c r="H240" s="732">
        <v>190.76</v>
      </c>
      <c r="I240" s="733">
        <v>79.651040199999997</v>
      </c>
      <c r="J240" s="1461">
        <f t="shared" si="118"/>
        <v>79.651040199999997</v>
      </c>
      <c r="K240" s="1461">
        <f t="shared" si="119"/>
        <v>39.825520099999999</v>
      </c>
      <c r="L240" s="1461">
        <f t="shared" si="109"/>
        <v>0.64045183696587837</v>
      </c>
      <c r="M240" s="1461">
        <f t="shared" si="110"/>
        <v>122.17259241961095</v>
      </c>
      <c r="N240" s="1461">
        <f t="shared" si="111"/>
        <v>244.3451848392219</v>
      </c>
      <c r="O240" s="1461">
        <f>+D233+D232+D231+D230+D229+D228+D227+D226+D225+D224+C223+D234+D235+D236+D237+D238+D239+(D240/2)</f>
        <v>0</v>
      </c>
      <c r="P240" s="1461">
        <f t="shared" si="112"/>
        <v>0</v>
      </c>
      <c r="Q240" s="1461">
        <f t="shared" si="113"/>
        <v>0</v>
      </c>
      <c r="R240" s="1461">
        <f t="shared" si="120"/>
        <v>146.5</v>
      </c>
      <c r="S240" s="1461">
        <f t="shared" si="133"/>
        <v>146.5</v>
      </c>
      <c r="T240" s="1462">
        <f t="shared" si="114"/>
        <v>146.5</v>
      </c>
      <c r="V240" s="1463">
        <f t="shared" si="134"/>
        <v>0</v>
      </c>
      <c r="W240" s="1463"/>
      <c r="X240" s="1463"/>
      <c r="Y240" s="1463"/>
      <c r="Z240" s="1463"/>
      <c r="AA240" s="1463"/>
      <c r="AB240" s="1441" t="str">
        <f t="shared" si="137"/>
        <v>pin in groundstacking hole</v>
      </c>
      <c r="AC240" s="1566"/>
      <c r="AD240" s="1566"/>
      <c r="AE240" s="1566"/>
      <c r="AF240" s="1463">
        <f>SUM(V240:V246)/($B$220-B239)</f>
        <v>0</v>
      </c>
      <c r="AG240" s="1463"/>
      <c r="AH240" s="1464">
        <f>SUM(D224:D240)+$C$223</f>
        <v>0</v>
      </c>
      <c r="AI240" s="1567"/>
      <c r="AJ240" s="1445">
        <f t="shared" si="122"/>
        <v>69.344714800000006</v>
      </c>
      <c r="AK240" s="1465">
        <f t="shared" si="115"/>
        <v>0.93571960494171247</v>
      </c>
      <c r="AL240" s="1445">
        <f t="shared" si="123"/>
        <v>180.0511663828843</v>
      </c>
      <c r="AM240" s="1445">
        <f t="shared" si="124"/>
        <v>50.174479900000001</v>
      </c>
      <c r="AN240" s="1466">
        <f t="shared" si="125"/>
        <v>0.76799833627881664</v>
      </c>
      <c r="AO240" s="1445">
        <f t="shared" si="126"/>
        <v>146.50336262854705</v>
      </c>
      <c r="AP240" s="1568"/>
      <c r="AQ240" s="1449">
        <f t="shared" si="127"/>
        <v>-408</v>
      </c>
      <c r="AR240" s="1568"/>
      <c r="AS240" s="1467">
        <f t="shared" si="128"/>
        <v>326.55452901143133</v>
      </c>
      <c r="AT240" s="1468">
        <f t="shared" si="136"/>
        <v>-146.50336262854705</v>
      </c>
      <c r="AU240" s="1469"/>
      <c r="AV240" s="1468">
        <f t="shared" si="135"/>
        <v>146.50336262854705</v>
      </c>
      <c r="AW240" s="1470">
        <f t="shared" si="129"/>
        <v>-224.95745536466046</v>
      </c>
      <c r="AX240" s="1470">
        <f t="shared" si="130"/>
        <v>-183.04254463533954</v>
      </c>
      <c r="AY240" s="1456">
        <f t="shared" si="116"/>
        <v>-51.565305898380529</v>
      </c>
      <c r="AZ240" s="1456">
        <f t="shared" si="117"/>
        <v>-54.632107633349229</v>
      </c>
      <c r="BA240" s="1457">
        <f t="shared" ref="BA240:BB246" si="139">ABS(AY240)</f>
        <v>51.565305898380529</v>
      </c>
      <c r="BB240" s="1457">
        <f t="shared" si="139"/>
        <v>54.632107633349229</v>
      </c>
    </row>
    <row r="241" spans="2:129" ht="21" customHeight="1" thickBot="1" x14ac:dyDescent="0.25">
      <c r="B241" s="1458">
        <v>19</v>
      </c>
      <c r="C241" s="1459"/>
      <c r="D241" s="1430">
        <v>0</v>
      </c>
      <c r="E241" s="1460" t="s">
        <v>54</v>
      </c>
      <c r="F241" s="1432"/>
      <c r="G241" s="1432">
        <f t="shared" si="132"/>
        <v>0</v>
      </c>
      <c r="H241" s="732">
        <v>190.76</v>
      </c>
      <c r="I241" s="733">
        <v>79.651040199999997</v>
      </c>
      <c r="J241" s="1461">
        <f t="shared" si="118"/>
        <v>79.651040199999997</v>
      </c>
      <c r="K241" s="1461">
        <f t="shared" si="119"/>
        <v>39.825520099999999</v>
      </c>
      <c r="L241" s="1461">
        <f t="shared" si="109"/>
        <v>0.64045183696587837</v>
      </c>
      <c r="M241" s="1461">
        <f t="shared" si="110"/>
        <v>122.17259241961095</v>
      </c>
      <c r="N241" s="1461">
        <f t="shared" si="111"/>
        <v>244.3451848392219</v>
      </c>
      <c r="O241" s="1461">
        <f>+D234+D233+D232+D231+D230+D229+D228+D227+D226+D225+D224+C223+D235+D236+D237+D238+D239+D240+(D241/2)</f>
        <v>0</v>
      </c>
      <c r="P241" s="1461">
        <f t="shared" si="112"/>
        <v>0</v>
      </c>
      <c r="Q241" s="1461">
        <f t="shared" si="113"/>
        <v>0</v>
      </c>
      <c r="R241" s="1461">
        <f t="shared" si="120"/>
        <v>146.5</v>
      </c>
      <c r="S241" s="1461">
        <f t="shared" si="133"/>
        <v>146.5</v>
      </c>
      <c r="T241" s="1462">
        <f t="shared" si="114"/>
        <v>146.5</v>
      </c>
      <c r="V241" s="1463">
        <f t="shared" si="134"/>
        <v>0</v>
      </c>
      <c r="W241" s="1463"/>
      <c r="X241" s="1463"/>
      <c r="Y241" s="1463"/>
      <c r="Z241" s="1463"/>
      <c r="AA241" s="1463"/>
      <c r="AB241" s="1441" t="str">
        <f t="shared" si="137"/>
        <v>pin in groundstacking hole</v>
      </c>
      <c r="AC241" s="1566"/>
      <c r="AD241" s="1566"/>
      <c r="AE241" s="1566"/>
      <c r="AF241" s="1463">
        <f>SUM(V241:V246)/($B$220-B240)</f>
        <v>0</v>
      </c>
      <c r="AG241" s="1463"/>
      <c r="AH241" s="1464">
        <f>SUM(D224:D241)+$C$223</f>
        <v>0</v>
      </c>
      <c r="AI241" s="1567"/>
      <c r="AJ241" s="1445">
        <f t="shared" si="122"/>
        <v>69.344714800000006</v>
      </c>
      <c r="AK241" s="1465">
        <f t="shared" si="115"/>
        <v>0.93571960494171247</v>
      </c>
      <c r="AL241" s="1445">
        <f t="shared" si="123"/>
        <v>180.0511663828843</v>
      </c>
      <c r="AM241" s="1445">
        <f t="shared" si="124"/>
        <v>50.174479900000001</v>
      </c>
      <c r="AN241" s="1466">
        <f t="shared" si="125"/>
        <v>0.76799833627881664</v>
      </c>
      <c r="AO241" s="1445">
        <f t="shared" si="126"/>
        <v>146.50336262854705</v>
      </c>
      <c r="AP241" s="1568"/>
      <c r="AQ241" s="1449">
        <f t="shared" si="127"/>
        <v>-433.5</v>
      </c>
      <c r="AR241" s="1568"/>
      <c r="AS241" s="1467">
        <f t="shared" si="128"/>
        <v>326.55452901143133</v>
      </c>
      <c r="AT241" s="1468">
        <f t="shared" si="136"/>
        <v>-146.50336262854705</v>
      </c>
      <c r="AU241" s="1469"/>
      <c r="AV241" s="1468">
        <f t="shared" si="135"/>
        <v>146.50336262854705</v>
      </c>
      <c r="AW241" s="1470">
        <f t="shared" si="129"/>
        <v>-239.01729632495176</v>
      </c>
      <c r="AX241" s="1470">
        <f t="shared" si="130"/>
        <v>-194.48270367504824</v>
      </c>
      <c r="AY241" s="1456">
        <f t="shared" si="116"/>
        <v>-48.532052610240491</v>
      </c>
      <c r="AZ241" s="1456">
        <f t="shared" si="117"/>
        <v>-51.418454243152219</v>
      </c>
      <c r="BA241" s="1457">
        <f t="shared" si="139"/>
        <v>48.532052610240491</v>
      </c>
      <c r="BB241" s="1457">
        <f t="shared" si="139"/>
        <v>51.418454243152219</v>
      </c>
    </row>
    <row r="242" spans="2:129" ht="21" customHeight="1" thickBot="1" x14ac:dyDescent="0.25">
      <c r="B242" s="1458">
        <v>20</v>
      </c>
      <c r="C242" s="1459"/>
      <c r="D242" s="1430">
        <v>0</v>
      </c>
      <c r="E242" s="1460" t="s">
        <v>54</v>
      </c>
      <c r="F242" s="1432"/>
      <c r="G242" s="1432">
        <f t="shared" si="132"/>
        <v>0</v>
      </c>
      <c r="H242" s="732">
        <v>190.76</v>
      </c>
      <c r="I242" s="733">
        <v>79.651040199999997</v>
      </c>
      <c r="J242" s="1461">
        <f t="shared" si="118"/>
        <v>79.651040199999997</v>
      </c>
      <c r="K242" s="1461">
        <f t="shared" si="119"/>
        <v>39.825520099999999</v>
      </c>
      <c r="L242" s="1461">
        <f t="shared" si="109"/>
        <v>0.64045183696587837</v>
      </c>
      <c r="M242" s="1461">
        <f t="shared" si="110"/>
        <v>122.17259241961095</v>
      </c>
      <c r="N242" s="1461">
        <f t="shared" si="111"/>
        <v>244.3451848392219</v>
      </c>
      <c r="O242" s="1461">
        <f>+D235+D234+D233+D232+D231+D230+D229+D228+D227+D226+D225+D224+C223+D236+D237+D238+D239+D240+D241+(D242/2)</f>
        <v>0</v>
      </c>
      <c r="P242" s="1461">
        <f t="shared" si="112"/>
        <v>0</v>
      </c>
      <c r="Q242" s="1461">
        <f t="shared" si="113"/>
        <v>0</v>
      </c>
      <c r="R242" s="1461">
        <f t="shared" si="120"/>
        <v>146.5</v>
      </c>
      <c r="S242" s="1461">
        <f t="shared" si="133"/>
        <v>146.5</v>
      </c>
      <c r="T242" s="1462">
        <f t="shared" si="114"/>
        <v>146.5</v>
      </c>
      <c r="V242" s="1463">
        <f t="shared" si="134"/>
        <v>0</v>
      </c>
      <c r="W242" s="1463"/>
      <c r="X242" s="1463"/>
      <c r="Y242" s="1463"/>
      <c r="Z242" s="1463"/>
      <c r="AA242" s="1463"/>
      <c r="AB242" s="1441" t="str">
        <f t="shared" si="137"/>
        <v>pin in groundstacking hole</v>
      </c>
      <c r="AC242" s="1566"/>
      <c r="AD242" s="1566"/>
      <c r="AE242" s="1566"/>
      <c r="AF242" s="1463">
        <f>SUM(V242:V246)/($B$220-B241)</f>
        <v>0</v>
      </c>
      <c r="AG242" s="1463"/>
      <c r="AH242" s="1464">
        <f>SUM(D224:D242)+$C$223</f>
        <v>0</v>
      </c>
      <c r="AI242" s="1567"/>
      <c r="AJ242" s="1445">
        <f t="shared" si="122"/>
        <v>69.344714800000006</v>
      </c>
      <c r="AK242" s="1465">
        <f t="shared" si="115"/>
        <v>0.93571960494171247</v>
      </c>
      <c r="AL242" s="1445">
        <f t="shared" si="123"/>
        <v>180.0511663828843</v>
      </c>
      <c r="AM242" s="1445">
        <f t="shared" si="124"/>
        <v>50.174479900000001</v>
      </c>
      <c r="AN242" s="1466">
        <f t="shared" si="125"/>
        <v>0.76799833627881664</v>
      </c>
      <c r="AO242" s="1445">
        <f t="shared" si="126"/>
        <v>146.50336262854705</v>
      </c>
      <c r="AP242" s="1568"/>
      <c r="AQ242" s="1449">
        <f t="shared" si="127"/>
        <v>-459</v>
      </c>
      <c r="AR242" s="1568"/>
      <c r="AS242" s="1467">
        <f t="shared" si="128"/>
        <v>326.55452901143133</v>
      </c>
      <c r="AT242" s="1468">
        <f t="shared" si="136"/>
        <v>-146.50336262854705</v>
      </c>
      <c r="AU242" s="1469"/>
      <c r="AV242" s="1468">
        <f t="shared" si="135"/>
        <v>146.50336262854705</v>
      </c>
      <c r="AW242" s="1470">
        <f t="shared" si="129"/>
        <v>-253.07713728524303</v>
      </c>
      <c r="AX242" s="1470">
        <f t="shared" si="130"/>
        <v>-205.92286271475697</v>
      </c>
      <c r="AY242" s="1456">
        <f t="shared" si="116"/>
        <v>-45.835827465227133</v>
      </c>
      <c r="AZ242" s="1456">
        <f t="shared" si="117"/>
        <v>-48.561873451865985</v>
      </c>
      <c r="BA242" s="1457">
        <f t="shared" si="139"/>
        <v>45.835827465227133</v>
      </c>
      <c r="BB242" s="1457">
        <f t="shared" si="139"/>
        <v>48.561873451865985</v>
      </c>
    </row>
    <row r="243" spans="2:129" ht="21" customHeight="1" thickBot="1" x14ac:dyDescent="0.25">
      <c r="B243" s="1458">
        <v>21</v>
      </c>
      <c r="C243" s="1459"/>
      <c r="D243" s="1430">
        <v>0</v>
      </c>
      <c r="E243" s="1460" t="s">
        <v>54</v>
      </c>
      <c r="F243" s="1432"/>
      <c r="G243" s="1432">
        <f t="shared" si="132"/>
        <v>0</v>
      </c>
      <c r="H243" s="732">
        <v>190.76</v>
      </c>
      <c r="I243" s="733">
        <v>79.651040199999997</v>
      </c>
      <c r="J243" s="1461">
        <f t="shared" si="118"/>
        <v>79.651040199999997</v>
      </c>
      <c r="K243" s="1461">
        <f t="shared" si="119"/>
        <v>39.825520099999999</v>
      </c>
      <c r="L243" s="1461">
        <f t="shared" si="109"/>
        <v>0.64045183696587837</v>
      </c>
      <c r="M243" s="1461">
        <f t="shared" si="110"/>
        <v>122.17259241961095</v>
      </c>
      <c r="N243" s="1461">
        <f t="shared" si="111"/>
        <v>244.3451848392219</v>
      </c>
      <c r="O243" s="1461">
        <f>+D236+D235+D234+D233+D232+D231+D230+D229+D228+D227+D226+D225+C223+D237+D238+D239+D240+D241+D242+(D243/2)</f>
        <v>0</v>
      </c>
      <c r="P243" s="1461">
        <f t="shared" si="112"/>
        <v>0</v>
      </c>
      <c r="Q243" s="1461">
        <f t="shared" si="113"/>
        <v>0</v>
      </c>
      <c r="R243" s="1461">
        <f t="shared" si="120"/>
        <v>146.5</v>
      </c>
      <c r="S243" s="1461">
        <f t="shared" si="133"/>
        <v>146.5</v>
      </c>
      <c r="T243" s="1462">
        <f t="shared" si="114"/>
        <v>146.5</v>
      </c>
      <c r="V243" s="1463">
        <f t="shared" si="134"/>
        <v>0</v>
      </c>
      <c r="W243" s="1463"/>
      <c r="X243" s="1463"/>
      <c r="Y243" s="1463"/>
      <c r="Z243" s="1463"/>
      <c r="AA243" s="1463"/>
      <c r="AB243" s="1441" t="str">
        <f t="shared" si="137"/>
        <v>pin in groundstacking hole</v>
      </c>
      <c r="AC243" s="1566"/>
      <c r="AD243" s="1566"/>
      <c r="AE243" s="1566"/>
      <c r="AF243" s="1463">
        <f>SUM(V243:V246)/($B$220-B242)</f>
        <v>0</v>
      </c>
      <c r="AG243" s="1463"/>
      <c r="AH243" s="1464">
        <f>SUM(D224:D243)+$C$223</f>
        <v>0</v>
      </c>
      <c r="AI243" s="1567"/>
      <c r="AJ243" s="1445">
        <f t="shared" si="122"/>
        <v>69.344714800000006</v>
      </c>
      <c r="AK243" s="1465">
        <f t="shared" si="115"/>
        <v>0.93571960494171247</v>
      </c>
      <c r="AL243" s="1445">
        <f t="shared" si="123"/>
        <v>180.0511663828843</v>
      </c>
      <c r="AM243" s="1445">
        <f t="shared" si="124"/>
        <v>50.174479900000001</v>
      </c>
      <c r="AN243" s="1466">
        <f t="shared" si="125"/>
        <v>0.76799833627881664</v>
      </c>
      <c r="AO243" s="1445">
        <f t="shared" si="126"/>
        <v>146.50336262854705</v>
      </c>
      <c r="AP243" s="1568"/>
      <c r="AQ243" s="1449">
        <f t="shared" si="127"/>
        <v>-484.5</v>
      </c>
      <c r="AR243" s="1568"/>
      <c r="AS243" s="1467">
        <f t="shared" si="128"/>
        <v>326.55452901143133</v>
      </c>
      <c r="AT243" s="1468">
        <f t="shared" si="136"/>
        <v>-146.50336262854705</v>
      </c>
      <c r="AU243" s="1469"/>
      <c r="AV243" s="1468">
        <f t="shared" si="135"/>
        <v>146.50336262854705</v>
      </c>
      <c r="AW243" s="1470">
        <f t="shared" si="129"/>
        <v>-267.13697824553429</v>
      </c>
      <c r="AX243" s="1470">
        <f t="shared" si="130"/>
        <v>-217.36302175446571</v>
      </c>
      <c r="AY243" s="1456">
        <f t="shared" si="116"/>
        <v>-43.423415493373078</v>
      </c>
      <c r="AZ243" s="1456">
        <f t="shared" si="117"/>
        <v>-46.005985375451978</v>
      </c>
      <c r="BA243" s="1457">
        <f t="shared" si="139"/>
        <v>43.423415493373078</v>
      </c>
      <c r="BB243" s="1457">
        <f t="shared" si="139"/>
        <v>46.005985375451978</v>
      </c>
    </row>
    <row r="244" spans="2:129" ht="21" customHeight="1" thickBot="1" x14ac:dyDescent="0.25">
      <c r="B244" s="1458">
        <v>22</v>
      </c>
      <c r="C244" s="1459"/>
      <c r="D244" s="1430">
        <v>0</v>
      </c>
      <c r="E244" s="1460" t="s">
        <v>54</v>
      </c>
      <c r="F244" s="1432"/>
      <c r="G244" s="1432">
        <f t="shared" si="132"/>
        <v>0</v>
      </c>
      <c r="H244" s="732">
        <v>190.76</v>
      </c>
      <c r="I244" s="733">
        <v>79.651040199999997</v>
      </c>
      <c r="J244" s="1461">
        <f t="shared" si="118"/>
        <v>79.651040199999997</v>
      </c>
      <c r="K244" s="1461">
        <f t="shared" si="119"/>
        <v>39.825520099999999</v>
      </c>
      <c r="L244" s="1461">
        <f t="shared" si="109"/>
        <v>0.64045183696587837</v>
      </c>
      <c r="M244" s="1461">
        <f t="shared" si="110"/>
        <v>122.17259241961095</v>
      </c>
      <c r="N244" s="1461">
        <f t="shared" si="111"/>
        <v>244.3451848392219</v>
      </c>
      <c r="O244" s="1461">
        <f>+D237+D236+D235+D234+D233+D232+D231+D230+D229+D228+D227+D226+D225+D224+C223+D238+D239+D240+D241+D242+D243+(D244/2)</f>
        <v>0</v>
      </c>
      <c r="P244" s="1461">
        <f t="shared" si="112"/>
        <v>0</v>
      </c>
      <c r="Q244" s="1461">
        <f t="shared" si="113"/>
        <v>0</v>
      </c>
      <c r="R244" s="1461">
        <f t="shared" si="120"/>
        <v>146.5</v>
      </c>
      <c r="S244" s="1461">
        <f t="shared" si="133"/>
        <v>146.5</v>
      </c>
      <c r="T244" s="1462">
        <f t="shared" si="114"/>
        <v>146.5</v>
      </c>
      <c r="V244" s="1463">
        <f t="shared" si="134"/>
        <v>0</v>
      </c>
      <c r="W244" s="1463"/>
      <c r="X244" s="1463"/>
      <c r="Y244" s="1463"/>
      <c r="Z244" s="1463"/>
      <c r="AA244" s="1463"/>
      <c r="AB244" s="1441" t="str">
        <f t="shared" si="137"/>
        <v>pin in groundstacking hole</v>
      </c>
      <c r="AC244" s="1566"/>
      <c r="AD244" s="1566"/>
      <c r="AE244" s="1566"/>
      <c r="AF244" s="1463">
        <f>SUM(V244:V246)/($B$220-B243)</f>
        <v>0</v>
      </c>
      <c r="AG244" s="1463"/>
      <c r="AH244" s="1464">
        <f>SUM(D224:D244)+$C$223</f>
        <v>0</v>
      </c>
      <c r="AI244" s="1567"/>
      <c r="AJ244" s="1445">
        <f t="shared" si="122"/>
        <v>69.344714800000006</v>
      </c>
      <c r="AK244" s="1465">
        <f t="shared" si="115"/>
        <v>0.93571960494171247</v>
      </c>
      <c r="AL244" s="1445">
        <f t="shared" si="123"/>
        <v>180.0511663828843</v>
      </c>
      <c r="AM244" s="1445">
        <f t="shared" si="124"/>
        <v>50.174479900000001</v>
      </c>
      <c r="AN244" s="1466">
        <f t="shared" si="125"/>
        <v>0.76799833627881664</v>
      </c>
      <c r="AO244" s="1445">
        <f t="shared" si="126"/>
        <v>146.50336262854705</v>
      </c>
      <c r="AP244" s="1568"/>
      <c r="AQ244" s="1449">
        <f t="shared" si="127"/>
        <v>-510</v>
      </c>
      <c r="AR244" s="1568"/>
      <c r="AS244" s="1467">
        <f t="shared" si="128"/>
        <v>326.55452901143133</v>
      </c>
      <c r="AT244" s="1468">
        <f t="shared" si="136"/>
        <v>-146.50336262854705</v>
      </c>
      <c r="AU244" s="1469"/>
      <c r="AV244" s="1468">
        <f t="shared" si="135"/>
        <v>146.50336262854705</v>
      </c>
      <c r="AW244" s="1470">
        <f t="shared" si="129"/>
        <v>-281.19681920582559</v>
      </c>
      <c r="AX244" s="1470">
        <f t="shared" si="130"/>
        <v>-228.80318079417441</v>
      </c>
      <c r="AY244" s="1456">
        <f t="shared" si="116"/>
        <v>-41.252244718704418</v>
      </c>
      <c r="AZ244" s="1456">
        <f t="shared" si="117"/>
        <v>-43.705686106679387</v>
      </c>
      <c r="BA244" s="1457">
        <f t="shared" si="139"/>
        <v>41.252244718704418</v>
      </c>
      <c r="BB244" s="1457">
        <f t="shared" si="139"/>
        <v>43.705686106679387</v>
      </c>
    </row>
    <row r="245" spans="2:129" ht="21" customHeight="1" thickBot="1" x14ac:dyDescent="0.25">
      <c r="B245" s="1458">
        <v>23</v>
      </c>
      <c r="C245" s="1459"/>
      <c r="D245" s="1430">
        <v>0</v>
      </c>
      <c r="E245" s="1460" t="s">
        <v>54</v>
      </c>
      <c r="F245" s="1432"/>
      <c r="G245" s="1432">
        <f t="shared" si="132"/>
        <v>0</v>
      </c>
      <c r="H245" s="732">
        <v>190.76</v>
      </c>
      <c r="I245" s="733">
        <v>79.651040199999997</v>
      </c>
      <c r="J245" s="1461">
        <f t="shared" si="118"/>
        <v>79.651040199999997</v>
      </c>
      <c r="K245" s="1461">
        <f t="shared" si="119"/>
        <v>39.825520099999999</v>
      </c>
      <c r="L245" s="1461">
        <f t="shared" si="109"/>
        <v>0.64045183696587837</v>
      </c>
      <c r="M245" s="1461">
        <f t="shared" si="110"/>
        <v>122.17259241961095</v>
      </c>
      <c r="N245" s="1461">
        <f t="shared" si="111"/>
        <v>244.3451848392219</v>
      </c>
      <c r="O245" s="1461">
        <f>+D238+D237+D236+D235+D234+D233+D232+D231+D230+D229+D228+D227+D226+D225+D224+C223+D239+D240+D241+D242+D243+D244+(D245/2)</f>
        <v>0</v>
      </c>
      <c r="P245" s="1461">
        <f t="shared" si="112"/>
        <v>0</v>
      </c>
      <c r="Q245" s="1461">
        <f t="shared" si="113"/>
        <v>0</v>
      </c>
      <c r="R245" s="1461">
        <f t="shared" si="120"/>
        <v>146.5</v>
      </c>
      <c r="S245" s="1461">
        <f t="shared" si="133"/>
        <v>146.5</v>
      </c>
      <c r="T245" s="1462">
        <f t="shared" si="114"/>
        <v>146.5</v>
      </c>
      <c r="V245" s="1463">
        <f t="shared" si="134"/>
        <v>0</v>
      </c>
      <c r="W245" s="1463"/>
      <c r="X245" s="1463"/>
      <c r="Y245" s="1463"/>
      <c r="Z245" s="1463"/>
      <c r="AA245" s="1463"/>
      <c r="AB245" s="1441" t="str">
        <f t="shared" si="137"/>
        <v>pin in groundstacking hole</v>
      </c>
      <c r="AC245" s="1566"/>
      <c r="AD245" s="1566"/>
      <c r="AE245" s="1566"/>
      <c r="AF245" s="1463">
        <f>SUM(V245:V246)/($B$220-B244)</f>
        <v>0</v>
      </c>
      <c r="AG245" s="1463"/>
      <c r="AH245" s="1464">
        <f>SUM(D224:D245)+$C$223</f>
        <v>0</v>
      </c>
      <c r="AI245" s="1567"/>
      <c r="AJ245" s="1445">
        <f t="shared" si="122"/>
        <v>69.344714800000006</v>
      </c>
      <c r="AK245" s="1465">
        <f t="shared" si="115"/>
        <v>0.93571960494171247</v>
      </c>
      <c r="AL245" s="1445">
        <f t="shared" si="123"/>
        <v>180.0511663828843</v>
      </c>
      <c r="AM245" s="1445">
        <f t="shared" si="124"/>
        <v>50.174479900000001</v>
      </c>
      <c r="AN245" s="1466">
        <f t="shared" si="125"/>
        <v>0.76799833627881664</v>
      </c>
      <c r="AO245" s="1445">
        <f t="shared" si="126"/>
        <v>146.50336262854705</v>
      </c>
      <c r="AP245" s="1568"/>
      <c r="AQ245" s="1449">
        <f t="shared" si="127"/>
        <v>-535.5</v>
      </c>
      <c r="AR245" s="1568"/>
      <c r="AS245" s="1467">
        <f t="shared" si="128"/>
        <v>326.55452901143133</v>
      </c>
      <c r="AT245" s="1468">
        <f t="shared" si="136"/>
        <v>-146.50336262854705</v>
      </c>
      <c r="AU245" s="1469"/>
      <c r="AV245" s="1468">
        <f t="shared" si="135"/>
        <v>146.50336262854705</v>
      </c>
      <c r="AW245" s="1470">
        <f t="shared" si="129"/>
        <v>-295.25666016611689</v>
      </c>
      <c r="AX245" s="1470">
        <f t="shared" si="130"/>
        <v>-240.24333983388314</v>
      </c>
      <c r="AY245" s="1456">
        <f t="shared" si="116"/>
        <v>-39.287852113051827</v>
      </c>
      <c r="AZ245" s="1456">
        <f t="shared" si="117"/>
        <v>-41.624462958742271</v>
      </c>
      <c r="BA245" s="1457">
        <f t="shared" si="139"/>
        <v>39.287852113051827</v>
      </c>
      <c r="BB245" s="1457">
        <f t="shared" si="139"/>
        <v>41.624462958742271</v>
      </c>
    </row>
    <row r="246" spans="2:129" ht="21" customHeight="1" thickBot="1" x14ac:dyDescent="0.25">
      <c r="B246" s="1458">
        <v>24</v>
      </c>
      <c r="C246" s="1459"/>
      <c r="D246" s="1430">
        <v>0</v>
      </c>
      <c r="E246" s="1460" t="s">
        <v>54</v>
      </c>
      <c r="F246" s="1432"/>
      <c r="G246" s="1432">
        <f t="shared" si="132"/>
        <v>0</v>
      </c>
      <c r="H246" s="732">
        <v>190.76</v>
      </c>
      <c r="I246" s="733">
        <v>79.651040199999997</v>
      </c>
      <c r="J246" s="1461">
        <f t="shared" si="118"/>
        <v>79.651040199999997</v>
      </c>
      <c r="K246" s="1461">
        <f t="shared" si="119"/>
        <v>39.825520099999999</v>
      </c>
      <c r="L246" s="1461">
        <f t="shared" si="109"/>
        <v>0.64045183696587837</v>
      </c>
      <c r="M246" s="1461">
        <f t="shared" si="110"/>
        <v>122.17259241961095</v>
      </c>
      <c r="N246" s="1461">
        <f t="shared" si="111"/>
        <v>244.3451848392219</v>
      </c>
      <c r="O246" s="1461">
        <f>+D239+D238+D237+D236+D235+D234+D233+D232+D231+D230+D229+D228+D227+D226+D225+D224+C223+D240+D241+D242+D243+D244+D245+(D246/2)</f>
        <v>0</v>
      </c>
      <c r="P246" s="1461">
        <f t="shared" si="112"/>
        <v>0</v>
      </c>
      <c r="Q246" s="1461">
        <f t="shared" si="113"/>
        <v>0</v>
      </c>
      <c r="R246" s="1461">
        <f t="shared" si="120"/>
        <v>146.5</v>
      </c>
      <c r="S246" s="1461">
        <f t="shared" si="133"/>
        <v>146.5</v>
      </c>
      <c r="T246" s="1462">
        <f t="shared" si="114"/>
        <v>146.5</v>
      </c>
      <c r="V246" s="1463">
        <f t="shared" si="134"/>
        <v>0</v>
      </c>
      <c r="W246" s="1463"/>
      <c r="X246" s="1463"/>
      <c r="Y246" s="1463"/>
      <c r="Z246" s="1463"/>
      <c r="AA246" s="1463"/>
      <c r="AB246" s="1441" t="str">
        <f t="shared" si="137"/>
        <v>pin in groundstacking hole</v>
      </c>
      <c r="AC246" s="1566"/>
      <c r="AD246" s="1566"/>
      <c r="AE246" s="1566"/>
      <c r="AF246" s="1463">
        <f>SUM(V246)/($B$220-B245)</f>
        <v>0</v>
      </c>
      <c r="AG246" s="1463"/>
      <c r="AH246" s="1464">
        <f>SUM(D224:D246)+$C$223</f>
        <v>0</v>
      </c>
      <c r="AI246" s="1567"/>
      <c r="AJ246" s="1445">
        <f t="shared" si="122"/>
        <v>69.344714800000006</v>
      </c>
      <c r="AK246" s="1465">
        <f t="shared" si="115"/>
        <v>0.93571960494171247</v>
      </c>
      <c r="AL246" s="1445">
        <f t="shared" si="123"/>
        <v>180.0511663828843</v>
      </c>
      <c r="AM246" s="1445">
        <f t="shared" si="124"/>
        <v>50.174479900000001</v>
      </c>
      <c r="AN246" s="1466">
        <f t="shared" si="125"/>
        <v>0.76799833627881664</v>
      </c>
      <c r="AO246" s="1445">
        <f t="shared" si="126"/>
        <v>146.50336262854705</v>
      </c>
      <c r="AP246" s="1568"/>
      <c r="AQ246" s="1449">
        <f t="shared" si="127"/>
        <v>-561</v>
      </c>
      <c r="AR246" s="1568"/>
      <c r="AS246" s="1467">
        <f t="shared" si="128"/>
        <v>326.55452901143133</v>
      </c>
      <c r="AT246" s="1468">
        <f t="shared" si="136"/>
        <v>-146.50336262854705</v>
      </c>
      <c r="AU246" s="1469"/>
      <c r="AV246" s="1468">
        <f t="shared" si="135"/>
        <v>146.50336262854705</v>
      </c>
      <c r="AW246" s="1470">
        <f t="shared" si="129"/>
        <v>-309.31650112640813</v>
      </c>
      <c r="AX246" s="1470">
        <f t="shared" si="130"/>
        <v>-251.68349887359184</v>
      </c>
      <c r="AY246" s="1456">
        <f t="shared" si="116"/>
        <v>-37.502040653367658</v>
      </c>
      <c r="AZ246" s="1456">
        <f t="shared" si="117"/>
        <v>-39.732441915163079</v>
      </c>
      <c r="BA246" s="1457">
        <f t="shared" si="139"/>
        <v>37.502040653367658</v>
      </c>
      <c r="BB246" s="1457">
        <f t="shared" si="139"/>
        <v>39.732441915163079</v>
      </c>
    </row>
    <row r="253" spans="2:129" x14ac:dyDescent="0.2">
      <c r="DF253" s="1551"/>
      <c r="DG253" s="1551"/>
      <c r="DH253" s="1551"/>
      <c r="DI253" s="1551"/>
      <c r="DJ253" s="1551"/>
      <c r="DK253" s="1551"/>
      <c r="DL253" s="1885"/>
      <c r="DM253" s="1885"/>
      <c r="DN253" s="1885"/>
      <c r="DO253" s="1248"/>
    </row>
    <row r="254" spans="2:129" x14ac:dyDescent="0.2">
      <c r="DL254" s="1552"/>
      <c r="DY254" s="1552"/>
    </row>
    <row r="255" spans="2:129" x14ac:dyDescent="0.2">
      <c r="DF255" s="1555"/>
      <c r="DG255" s="1555"/>
      <c r="DH255" s="1555"/>
      <c r="DI255" s="1555"/>
      <c r="DJ255" s="1555"/>
      <c r="DK255" s="1555"/>
      <c r="DL255" s="1883"/>
      <c r="DM255" s="1883"/>
      <c r="DX255" s="1884"/>
      <c r="DY255" s="1884"/>
    </row>
    <row r="272" spans="110:114" x14ac:dyDescent="0.2">
      <c r="DF272" s="1248"/>
      <c r="DH272" s="1248"/>
      <c r="DJ272" s="1248"/>
    </row>
    <row r="273" spans="110:134" x14ac:dyDescent="0.2">
      <c r="DF273" s="1248"/>
      <c r="DJ273" s="1248"/>
    </row>
    <row r="274" spans="110:134" x14ac:dyDescent="0.2">
      <c r="DF274" s="1248"/>
      <c r="DG274" s="1559"/>
      <c r="DH274" s="1559"/>
      <c r="DI274" s="1559"/>
      <c r="DJ274" s="1559"/>
      <c r="DK274" s="1559"/>
      <c r="DL274" s="1559"/>
      <c r="DM274" s="1559"/>
      <c r="DN274" s="1559"/>
      <c r="DO274" s="1559"/>
      <c r="DP274" s="1559"/>
      <c r="DQ274" s="1559"/>
      <c r="DR274" s="1559"/>
      <c r="DS274" s="1559"/>
      <c r="DT274" s="1559"/>
      <c r="DU274" s="1559"/>
      <c r="DV274" s="1559"/>
      <c r="DW274" s="1559"/>
      <c r="DX274" s="1559"/>
      <c r="DY274" s="1559"/>
      <c r="DZ274" s="1559"/>
      <c r="EA274" s="1559"/>
      <c r="EB274" s="1559"/>
      <c r="EC274" s="1559"/>
      <c r="ED274" s="1559"/>
    </row>
    <row r="275" spans="110:134" x14ac:dyDescent="0.2">
      <c r="DF275" s="1248"/>
    </row>
    <row r="276" spans="110:134" x14ac:dyDescent="0.2">
      <c r="DF276" s="1569"/>
      <c r="DG276" s="1570"/>
      <c r="DH276" s="1570"/>
      <c r="DI276" s="1570"/>
      <c r="DJ276" s="1570"/>
      <c r="DK276" s="1570"/>
      <c r="DL276" s="1570"/>
      <c r="DM276" s="1570"/>
      <c r="DN276" s="1570"/>
      <c r="DO276" s="1570"/>
      <c r="DP276" s="1570"/>
      <c r="DQ276" s="1570"/>
      <c r="DR276" s="1570"/>
      <c r="DS276" s="1570"/>
      <c r="DT276" s="1570"/>
      <c r="DU276" s="1570"/>
      <c r="DV276" s="1570"/>
      <c r="DW276" s="1570"/>
      <c r="DX276" s="1570"/>
      <c r="DY276" s="1570"/>
      <c r="DZ276" s="1570"/>
      <c r="EA276" s="1570"/>
      <c r="EB276" s="1570"/>
      <c r="EC276" s="1570"/>
      <c r="ED276" s="1570"/>
    </row>
    <row r="277" spans="110:134" x14ac:dyDescent="0.2">
      <c r="DF277" s="1248"/>
      <c r="DG277" s="1408"/>
      <c r="DH277" s="1408"/>
      <c r="DI277" s="1408"/>
      <c r="DJ277" s="1408"/>
      <c r="DK277" s="1408"/>
      <c r="DL277" s="1408"/>
      <c r="DM277" s="1408"/>
      <c r="DN277" s="1408"/>
      <c r="DO277" s="1408"/>
      <c r="DP277" s="1408"/>
      <c r="DQ277" s="1408"/>
      <c r="DR277" s="1408"/>
      <c r="DS277" s="1408"/>
      <c r="DT277" s="1408"/>
      <c r="DU277" s="1408"/>
      <c r="DV277" s="1408"/>
      <c r="DW277" s="1408"/>
      <c r="DX277" s="1408"/>
      <c r="DY277" s="1408"/>
      <c r="DZ277" s="1408"/>
      <c r="EA277" s="1408"/>
      <c r="EB277" s="1408"/>
      <c r="EC277" s="1408"/>
      <c r="ED277" s="1408"/>
    </row>
    <row r="279" spans="110:134" x14ac:dyDescent="0.2">
      <c r="DG279" s="1472"/>
      <c r="DH279" s="1472"/>
      <c r="DI279" s="1472"/>
      <c r="DJ279" s="1472"/>
      <c r="DK279" s="1472"/>
      <c r="DL279" s="1472"/>
      <c r="DM279" s="1248"/>
      <c r="DN279" s="1248"/>
      <c r="DO279" s="1248"/>
      <c r="DP279" s="1248"/>
      <c r="DQ279" s="1248"/>
      <c r="DR279" s="1472"/>
      <c r="DS279" s="1472"/>
      <c r="DT279" s="1472"/>
      <c r="DU279" s="1248"/>
      <c r="DV279" s="1248"/>
      <c r="DW279" s="1248"/>
      <c r="DX279" s="1248"/>
      <c r="DY279" s="1248"/>
      <c r="DZ279" s="1248"/>
      <c r="EA279" s="1248"/>
      <c r="EB279" s="1248"/>
      <c r="EC279" s="1248"/>
      <c r="ED279" s="1248"/>
    </row>
    <row r="280" spans="110:134" x14ac:dyDescent="0.2">
      <c r="DG280" s="1472"/>
      <c r="DH280" s="1472"/>
      <c r="DI280" s="1472"/>
      <c r="DJ280" s="1472"/>
      <c r="DK280" s="1472"/>
      <c r="DL280" s="1472"/>
      <c r="DQ280" s="1472"/>
      <c r="DR280" s="1472"/>
      <c r="DS280" s="1472"/>
      <c r="DT280" s="1472"/>
      <c r="DY280" s="1472"/>
      <c r="DZ280" s="1472"/>
      <c r="EA280" s="1472"/>
      <c r="EB280" s="1472"/>
      <c r="EC280" s="1472"/>
      <c r="ED280" s="1472"/>
    </row>
  </sheetData>
  <sheetProtection algorithmName="SHA-512" hashValue="JqlHHAl8Utl09hWwyzUivItv9qlO+62ralxuPjwAfhRXqJMJtMhzmWk2dlAj3S7T7eimvChIKOmzi+oaG3hNtg==" saltValue="bXN73qBohSp5m0O8JGn3hA==" spinCount="100000" sheet="1" objects="1" scenarios="1" selectLockedCells="1"/>
  <protectedRanges>
    <protectedRange sqref="B132 B135 D138:D157 B167 D170:D181 B191 D194:D213" name="Range1"/>
    <protectedRange sqref="B220 D223:D246" name="Range1_1"/>
    <protectedRange sqref="B164 B218" name="Range1_3_1"/>
  </protectedRanges>
  <mergeCells count="31">
    <mergeCell ref="BQ61:CA62"/>
    <mergeCell ref="CS61:DA62"/>
    <mergeCell ref="CB62:CC62"/>
    <mergeCell ref="CQ62:CR62"/>
    <mergeCell ref="BQ54:BR54"/>
    <mergeCell ref="CQ55:DA56"/>
    <mergeCell ref="BQ56:BR56"/>
    <mergeCell ref="CO56:CP56"/>
    <mergeCell ref="BQ58:CA59"/>
    <mergeCell ref="CB59:CC59"/>
    <mergeCell ref="CZ59:DA59"/>
    <mergeCell ref="DG68:DH68"/>
    <mergeCell ref="W135:AA135"/>
    <mergeCell ref="BA135:BB135"/>
    <mergeCell ref="B159:B163"/>
    <mergeCell ref="W167:AA167"/>
    <mergeCell ref="BA167:BB167"/>
    <mergeCell ref="B130:B131"/>
    <mergeCell ref="BV191:BX191"/>
    <mergeCell ref="BV193:BW193"/>
    <mergeCell ref="CH193:CI193"/>
    <mergeCell ref="B216:B217"/>
    <mergeCell ref="BA220:BB220"/>
    <mergeCell ref="BV220:BX220"/>
    <mergeCell ref="W191:AA191"/>
    <mergeCell ref="BA191:BB191"/>
    <mergeCell ref="BV222:BW222"/>
    <mergeCell ref="CH222:CI222"/>
    <mergeCell ref="DL253:DN253"/>
    <mergeCell ref="DL255:DM255"/>
    <mergeCell ref="DX255:DY255"/>
  </mergeCells>
  <conditionalFormatting sqref="B225:U225 W225:BB225">
    <cfRule type="expression" dxfId="1005" priority="43">
      <formula>$B$220&lt;3</formula>
    </cfRule>
  </conditionalFormatting>
  <conditionalFormatting sqref="B226:U226 W226:BB226">
    <cfRule type="expression" dxfId="1004" priority="42">
      <formula>$B$220&lt;4</formula>
    </cfRule>
  </conditionalFormatting>
  <conditionalFormatting sqref="B227:U227 W227:BB227">
    <cfRule type="expression" dxfId="1003" priority="41">
      <formula>$B$220&lt;5</formula>
    </cfRule>
  </conditionalFormatting>
  <conditionalFormatting sqref="B228:U228 W228:BB228">
    <cfRule type="expression" dxfId="1002" priority="40">
      <formula>$B$220&lt;6</formula>
    </cfRule>
  </conditionalFormatting>
  <conditionalFormatting sqref="B195:AB195 AF195:AH195 AJ195:AO195 AQ195 AS195:AT195 AV195 AY195:BB195">
    <cfRule type="expression" dxfId="1001" priority="72" stopIfTrue="1">
      <formula>$B$191&lt;2</formula>
    </cfRule>
  </conditionalFormatting>
  <conditionalFormatting sqref="B196:AB196 AF196:AH196 AJ196:AO196 AQ196 AS196:AT196 AV196 AY196:BB196">
    <cfRule type="expression" dxfId="1000" priority="71" stopIfTrue="1">
      <formula>$B$191&lt;3</formula>
    </cfRule>
  </conditionalFormatting>
  <conditionalFormatting sqref="B197:AB197 AF197:AH197 AJ197:AO197 AQ197 AS197:AT197 AV197 AY197:BB197">
    <cfRule type="expression" dxfId="999" priority="70">
      <formula>$B$191&lt;4</formula>
    </cfRule>
  </conditionalFormatting>
  <conditionalFormatting sqref="B198:AB198 AF198:AH198 AJ198:AO198 AQ198 AS198:AT198 AV198 AY198:BB198">
    <cfRule type="expression" dxfId="998" priority="69">
      <formula>$B$191&lt;5</formula>
    </cfRule>
  </conditionalFormatting>
  <conditionalFormatting sqref="B199:AB199 AF199:AH199 AJ199:AO199 AQ199 AS199:AT199 AV199 AY199:BB199">
    <cfRule type="expression" dxfId="997" priority="68">
      <formula>$B$191&lt;6</formula>
    </cfRule>
  </conditionalFormatting>
  <conditionalFormatting sqref="B200:AB200 AF200:AH200 AJ200:AO200 AQ200 AS200:AT200 AV200 AY200:BB200">
    <cfRule type="expression" dxfId="996" priority="67">
      <formula>$B$191&lt;7</formula>
    </cfRule>
  </conditionalFormatting>
  <conditionalFormatting sqref="B201:AB201 AF201:AH201 AJ201:AO201 AQ201 AS201:AT201 AV201 AY201:BB201">
    <cfRule type="expression" dxfId="995" priority="66">
      <formula>$B$191&lt;8</formula>
    </cfRule>
  </conditionalFormatting>
  <conditionalFormatting sqref="B202:AB202 AF202:AH202 AJ202:AO202 AQ202 AS202:AT202 AV202 AY202:BB202">
    <cfRule type="expression" dxfId="994" priority="65">
      <formula>$B$191&lt;9</formula>
    </cfRule>
  </conditionalFormatting>
  <conditionalFormatting sqref="B203:AB203 AF203:AH203 AJ203:AO203 AQ203 AS203:AT203 AV203 AY203:BB203">
    <cfRule type="expression" dxfId="993" priority="64">
      <formula>$B$191&lt;10</formula>
    </cfRule>
  </conditionalFormatting>
  <conditionalFormatting sqref="B204:AB204 AF204:AH204 AJ204:AO204 AQ204 AS204:AT204 AV204 AY204:BB204">
    <cfRule type="expression" dxfId="992" priority="63">
      <formula>$B$191&lt;11</formula>
    </cfRule>
  </conditionalFormatting>
  <conditionalFormatting sqref="B205:AB205 AF205:AH205 AJ205:AO205 AQ205 AS205:AT205 AV205 AY205:BB205">
    <cfRule type="expression" dxfId="991" priority="62">
      <formula>$B$191&lt;12</formula>
    </cfRule>
  </conditionalFormatting>
  <conditionalFormatting sqref="B206:AB206 AF206:AH206 AJ206:AO206 AQ206 AS206:AT206 AV206 AY206:BB206">
    <cfRule type="expression" dxfId="990" priority="61">
      <formula>$B$191&lt;13</formula>
    </cfRule>
  </conditionalFormatting>
  <conditionalFormatting sqref="B207:AB207 AF207:AH207 AJ207:AO207 AQ207 AS207:AT207 AV207 AY207:BB207">
    <cfRule type="expression" dxfId="989" priority="60">
      <formula>$B$191&lt;14</formula>
    </cfRule>
  </conditionalFormatting>
  <conditionalFormatting sqref="B208:AB208 AF208:AH208 AJ208:AO208 AQ208 AS208:AT208 AV208 AY208:BB208">
    <cfRule type="expression" dxfId="988" priority="59">
      <formula>$B$191&lt;15</formula>
    </cfRule>
  </conditionalFormatting>
  <conditionalFormatting sqref="B209:AB209 AF209:AH209 AJ209:AO209 AQ209 AS209:AT209 AV209 AY209:BB209">
    <cfRule type="expression" dxfId="987" priority="58">
      <formula>$B$191&lt;16</formula>
    </cfRule>
  </conditionalFormatting>
  <conditionalFormatting sqref="B210:AB210 AF210:AH210 AJ210:AO210 AQ210 AS210:AT210 AV210 AY210:BB210">
    <cfRule type="expression" dxfId="986" priority="57">
      <formula>$B$191&lt;17</formula>
    </cfRule>
  </conditionalFormatting>
  <conditionalFormatting sqref="B211:AB211 AF211:AH211 AJ211:AO211 AQ211 AS211:AT211 AV211 AY211:BB211">
    <cfRule type="expression" dxfId="985" priority="56">
      <formula>$B$191&lt;18</formula>
    </cfRule>
  </conditionalFormatting>
  <conditionalFormatting sqref="B212:AB212 AF212:AH212 AJ212:AO212 AQ212 AS212:AT212 AV212 AY212:BB212">
    <cfRule type="expression" dxfId="984" priority="55">
      <formula>$B$191&lt;19</formula>
    </cfRule>
  </conditionalFormatting>
  <conditionalFormatting sqref="B213:AB213 AF213:AH213 AJ213:AO213 AQ213 AS213:AT213 AV213 AY213:BB213">
    <cfRule type="expression" dxfId="983" priority="54">
      <formula>$B$191&lt;20</formula>
    </cfRule>
  </conditionalFormatting>
  <conditionalFormatting sqref="B139:AO139 AQ139 AS139:BB139 AE195">
    <cfRule type="expression" dxfId="982" priority="105" stopIfTrue="1">
      <formula>$B$135&lt;2</formula>
    </cfRule>
  </conditionalFormatting>
  <conditionalFormatting sqref="B140:AO140 AQ140 AS140:BB140 AE196">
    <cfRule type="expression" dxfId="981" priority="104" stopIfTrue="1">
      <formula>$B$135&lt;3</formula>
    </cfRule>
  </conditionalFormatting>
  <conditionalFormatting sqref="B141:AO141 AQ141 AS141:BB141 AE197">
    <cfRule type="expression" dxfId="980" priority="103">
      <formula>$B$135&lt;4</formula>
    </cfRule>
  </conditionalFormatting>
  <conditionalFormatting sqref="B142:AO142 AQ142 AS142:BB142 AE198">
    <cfRule type="expression" dxfId="979" priority="102">
      <formula>$B$135&lt;5</formula>
    </cfRule>
  </conditionalFormatting>
  <conditionalFormatting sqref="B143:AO143 AQ143 AS143:BB143 AE199">
    <cfRule type="expression" dxfId="978" priority="101">
      <formula>$B$135&lt;6</formula>
    </cfRule>
  </conditionalFormatting>
  <conditionalFormatting sqref="B144:AO144 AQ144 AS144:BB144 AE200">
    <cfRule type="expression" dxfId="977" priority="100">
      <formula>$B$135&lt;7</formula>
    </cfRule>
  </conditionalFormatting>
  <conditionalFormatting sqref="B145:AO145 AQ145 AS145:BB145 AE201">
    <cfRule type="expression" dxfId="976" priority="99">
      <formula>$B$135&lt;8</formula>
    </cfRule>
  </conditionalFormatting>
  <conditionalFormatting sqref="B146:AO146 AQ146 AS146:BB146 AE202">
    <cfRule type="expression" dxfId="975" priority="98">
      <formula>$B$135&lt;9</formula>
    </cfRule>
  </conditionalFormatting>
  <conditionalFormatting sqref="B147:AO147 AQ147 AS147:BB147 AE203">
    <cfRule type="expression" dxfId="974" priority="97">
      <formula>$B$135&lt;10</formula>
    </cfRule>
  </conditionalFormatting>
  <conditionalFormatting sqref="B148:AO148 AQ148 AS148:BB148 AE204">
    <cfRule type="expression" dxfId="973" priority="96">
      <formula>$B$135&lt;11</formula>
    </cfRule>
  </conditionalFormatting>
  <conditionalFormatting sqref="B149:AO149 AQ149 AS149:BB149 AE205">
    <cfRule type="expression" dxfId="972" priority="95">
      <formula>$B$135&lt;12</formula>
    </cfRule>
  </conditionalFormatting>
  <conditionalFormatting sqref="B150:AO150 AQ150 AS150:BB150 AE206">
    <cfRule type="expression" dxfId="971" priority="94">
      <formula>$B$135&lt;13</formula>
    </cfRule>
  </conditionalFormatting>
  <conditionalFormatting sqref="B151:AO151 AQ151 AS151:BB151 AE207">
    <cfRule type="expression" dxfId="970" priority="93">
      <formula>$B$135&lt;14</formula>
    </cfRule>
  </conditionalFormatting>
  <conditionalFormatting sqref="B152:AO152 AQ152 AS152:BB152 AE208">
    <cfRule type="expression" dxfId="969" priority="92">
      <formula>$B$135&lt;15</formula>
    </cfRule>
  </conditionalFormatting>
  <conditionalFormatting sqref="B153:AO153 AQ153 AS153:BB153 AE209">
    <cfRule type="expression" dxfId="968" priority="91">
      <formula>$B$135&lt;16</formula>
    </cfRule>
  </conditionalFormatting>
  <conditionalFormatting sqref="B154:AO154 AQ154 AS154:BB154 AE210">
    <cfRule type="expression" dxfId="967" priority="90">
      <formula>$B$135&lt;17</formula>
    </cfRule>
  </conditionalFormatting>
  <conditionalFormatting sqref="B155:AO155 AQ155 AS155:BB155 AE211">
    <cfRule type="expression" dxfId="966" priority="89">
      <formula>$B$135&lt;18</formula>
    </cfRule>
  </conditionalFormatting>
  <conditionalFormatting sqref="B156:AO156 AQ156 AS156:BB156 AE212">
    <cfRule type="expression" dxfId="965" priority="88">
      <formula>$B$135&lt;19</formula>
    </cfRule>
  </conditionalFormatting>
  <conditionalFormatting sqref="B157:AO157 AQ157 AS157:BB157 AE213">
    <cfRule type="expression" dxfId="964" priority="85">
      <formula>$B$135&lt;20</formula>
    </cfRule>
  </conditionalFormatting>
  <conditionalFormatting sqref="B171:AO171 AQ171 AS171:BB171">
    <cfRule type="expression" dxfId="963" priority="84" stopIfTrue="1">
      <formula>$B$167&lt;2</formula>
    </cfRule>
  </conditionalFormatting>
  <conditionalFormatting sqref="B172:AO172 AQ172 AS172:BB172">
    <cfRule type="expression" dxfId="962" priority="83" stopIfTrue="1">
      <formula>$B$167&lt;3</formula>
    </cfRule>
  </conditionalFormatting>
  <conditionalFormatting sqref="B173:AO173 AQ173 AS173:BB173">
    <cfRule type="expression" dxfId="961" priority="82">
      <formula>$B$167&lt;4</formula>
    </cfRule>
  </conditionalFormatting>
  <conditionalFormatting sqref="B174:AO174 AQ174 AS174:BB174">
    <cfRule type="expression" dxfId="960" priority="81">
      <formula>$B$167&lt;5</formula>
    </cfRule>
  </conditionalFormatting>
  <conditionalFormatting sqref="B175:AO175 AQ175 AS175:BB175">
    <cfRule type="expression" dxfId="959" priority="80">
      <formula>$B$167&lt;6</formula>
    </cfRule>
  </conditionalFormatting>
  <conditionalFormatting sqref="B176:AO176 AQ176 AS176:BB176">
    <cfRule type="expression" dxfId="958" priority="79">
      <formula>$B$167&lt;7</formula>
    </cfRule>
  </conditionalFormatting>
  <conditionalFormatting sqref="B177:AO177 AQ177 AS177:BB177">
    <cfRule type="expression" dxfId="957" priority="78">
      <formula>$B$167&lt;8</formula>
    </cfRule>
  </conditionalFormatting>
  <conditionalFormatting sqref="B178:AO178 AQ178 AS178:BB178">
    <cfRule type="expression" dxfId="956" priority="77">
      <formula>$B$167&lt;9</formula>
    </cfRule>
  </conditionalFormatting>
  <conditionalFormatting sqref="B179:AO179 AQ179 AS179:BB179">
    <cfRule type="expression" dxfId="955" priority="76">
      <formula>$B$167&lt;10</formula>
    </cfRule>
  </conditionalFormatting>
  <conditionalFormatting sqref="B180:AO180 AQ180 AS180:BB180">
    <cfRule type="expression" dxfId="954" priority="75">
      <formula>$B$167&lt;11</formula>
    </cfRule>
  </conditionalFormatting>
  <conditionalFormatting sqref="B181:AO181 AQ181 AS181:BB181">
    <cfRule type="expression" dxfId="953" priority="73">
      <formula>$B$167&lt;12</formula>
    </cfRule>
  </conditionalFormatting>
  <conditionalFormatting sqref="B224:BB224">
    <cfRule type="expression" dxfId="952" priority="44">
      <formula>$B$220&lt;2</formula>
    </cfRule>
  </conditionalFormatting>
  <conditionalFormatting sqref="B229:BB229">
    <cfRule type="expression" dxfId="951" priority="17">
      <formula>$B$220&lt;7</formula>
    </cfRule>
  </conditionalFormatting>
  <conditionalFormatting sqref="B230:BB230">
    <cfRule type="expression" dxfId="950" priority="19">
      <formula>$B$220&lt;8</formula>
    </cfRule>
  </conditionalFormatting>
  <conditionalFormatting sqref="B231:BB231">
    <cfRule type="expression" dxfId="949" priority="18">
      <formula>$B$220&lt;9</formula>
    </cfRule>
  </conditionalFormatting>
  <conditionalFormatting sqref="B232:BB232">
    <cfRule type="expression" dxfId="948" priority="16">
      <formula>$B$220&lt;10</formula>
    </cfRule>
  </conditionalFormatting>
  <conditionalFormatting sqref="B233:BB233">
    <cfRule type="expression" dxfId="947" priority="15">
      <formula>$B$220&lt;11</formula>
    </cfRule>
  </conditionalFormatting>
  <conditionalFormatting sqref="B234:BB234">
    <cfRule type="expression" dxfId="946" priority="14">
      <formula>$B$220&lt;12</formula>
    </cfRule>
  </conditionalFormatting>
  <conditionalFormatting sqref="B235:BB235">
    <cfRule type="expression" dxfId="945" priority="13">
      <formula>$B$220&lt;13</formula>
    </cfRule>
  </conditionalFormatting>
  <conditionalFormatting sqref="B236:BB236">
    <cfRule type="expression" dxfId="944" priority="12">
      <formula>$B$220&lt;14</formula>
    </cfRule>
  </conditionalFormatting>
  <conditionalFormatting sqref="B237:BB237">
    <cfRule type="expression" dxfId="943" priority="11">
      <formula>$B$220&lt;15</formula>
    </cfRule>
  </conditionalFormatting>
  <conditionalFormatting sqref="B238:BB238">
    <cfRule type="expression" dxfId="942" priority="10">
      <formula>$B$220&lt;16</formula>
    </cfRule>
  </conditionalFormatting>
  <conditionalFormatting sqref="B239:BB239">
    <cfRule type="expression" dxfId="941" priority="9">
      <formula>$B$220&lt;17</formula>
    </cfRule>
  </conditionalFormatting>
  <conditionalFormatting sqref="B240:BB240">
    <cfRule type="expression" dxfId="940" priority="8">
      <formula>$B$220&lt;18</formula>
    </cfRule>
  </conditionalFormatting>
  <conditionalFormatting sqref="B241:BB241">
    <cfRule type="expression" dxfId="939" priority="7">
      <formula>$B$220&lt;19</formula>
    </cfRule>
  </conditionalFormatting>
  <conditionalFormatting sqref="B242:BB242">
    <cfRule type="expression" dxfId="938" priority="6">
      <formula>$B$220&lt;20</formula>
    </cfRule>
  </conditionalFormatting>
  <conditionalFormatting sqref="B243:BB243">
    <cfRule type="expression" dxfId="937" priority="5">
      <formula>$B$220&lt;21</formula>
    </cfRule>
  </conditionalFormatting>
  <conditionalFormatting sqref="B244:BB244">
    <cfRule type="expression" dxfId="936" priority="4">
      <formula>$B$220&lt;22</formula>
    </cfRule>
  </conditionalFormatting>
  <conditionalFormatting sqref="B245:BB245">
    <cfRule type="expression" dxfId="935" priority="3">
      <formula>$B$220&lt;23</formula>
    </cfRule>
  </conditionalFormatting>
  <conditionalFormatting sqref="B246:BB246">
    <cfRule type="expression" dxfId="934" priority="2">
      <formula>$B$220&lt;24</formula>
    </cfRule>
  </conditionalFormatting>
  <conditionalFormatting sqref="D129:D130">
    <cfRule type="cellIs" dxfId="933" priority="111" stopIfTrue="1" operator="equal">
      <formula>"change the angle of frame or of cabinets"</formula>
    </cfRule>
  </conditionalFormatting>
  <conditionalFormatting sqref="D131">
    <cfRule type="cellIs" dxfId="932" priority="110" stopIfTrue="1" operator="equal">
      <formula>"USE EXBAR AR AT THE FRONT"</formula>
    </cfRule>
  </conditionalFormatting>
  <conditionalFormatting sqref="D132">
    <cfRule type="cellIs" dxfId="931" priority="109" stopIfTrue="1" operator="equal">
      <formula>"USE EXBAR AR AT THE BACK"</formula>
    </cfRule>
  </conditionalFormatting>
  <conditionalFormatting sqref="D138:D157">
    <cfRule type="cellIs" dxfId="930" priority="108" operator="notEqual">
      <formula>0</formula>
    </cfRule>
  </conditionalFormatting>
  <conditionalFormatting sqref="D170:D181">
    <cfRule type="cellIs" dxfId="929" priority="87" operator="notEqual">
      <formula>0</formula>
    </cfRule>
  </conditionalFormatting>
  <conditionalFormatting sqref="D194:D213">
    <cfRule type="cellIs" dxfId="928" priority="74" operator="notEqual">
      <formula>0</formula>
    </cfRule>
  </conditionalFormatting>
  <conditionalFormatting sqref="D223:D230">
    <cfRule type="cellIs" dxfId="927" priority="46" operator="notEqual">
      <formula>0</formula>
    </cfRule>
  </conditionalFormatting>
  <conditionalFormatting sqref="D231:D246">
    <cfRule type="cellIs" dxfId="926" priority="20" operator="notEqual">
      <formula>0</formula>
    </cfRule>
  </conditionalFormatting>
  <conditionalFormatting sqref="E138">
    <cfRule type="expression" dxfId="925" priority="107" stopIfTrue="1">
      <formula>$B$142&lt;1</formula>
    </cfRule>
  </conditionalFormatting>
  <conditionalFormatting sqref="E170">
    <cfRule type="expression" dxfId="924" priority="86" stopIfTrue="1">
      <formula>$B$167&lt;1</formula>
    </cfRule>
  </conditionalFormatting>
  <conditionalFormatting sqref="AC195">
    <cfRule type="expression" dxfId="923" priority="39" stopIfTrue="1">
      <formula>$B$135&lt;2</formula>
    </cfRule>
  </conditionalFormatting>
  <conditionalFormatting sqref="AC196">
    <cfRule type="expression" dxfId="922" priority="38" stopIfTrue="1">
      <formula>$B$135&lt;3</formula>
    </cfRule>
  </conditionalFormatting>
  <conditionalFormatting sqref="AC197">
    <cfRule type="expression" dxfId="921" priority="37">
      <formula>$B$135&lt;4</formula>
    </cfRule>
  </conditionalFormatting>
  <conditionalFormatting sqref="AC198">
    <cfRule type="expression" dxfId="920" priority="36">
      <formula>$B$135&lt;5</formula>
    </cfRule>
  </conditionalFormatting>
  <conditionalFormatting sqref="AC199">
    <cfRule type="expression" dxfId="919" priority="35">
      <formula>$B$135&lt;6</formula>
    </cfRule>
  </conditionalFormatting>
  <conditionalFormatting sqref="AC200">
    <cfRule type="expression" dxfId="918" priority="34">
      <formula>$B$135&lt;7</formula>
    </cfRule>
  </conditionalFormatting>
  <conditionalFormatting sqref="AC201">
    <cfRule type="expression" dxfId="917" priority="33">
      <formula>$B$135&lt;8</formula>
    </cfRule>
  </conditionalFormatting>
  <conditionalFormatting sqref="AC202">
    <cfRule type="expression" dxfId="916" priority="32">
      <formula>$B$135&lt;9</formula>
    </cfRule>
  </conditionalFormatting>
  <conditionalFormatting sqref="AC203">
    <cfRule type="expression" dxfId="915" priority="31">
      <formula>$B$135&lt;10</formula>
    </cfRule>
  </conditionalFormatting>
  <conditionalFormatting sqref="AC204">
    <cfRule type="expression" dxfId="914" priority="30">
      <formula>$B$135&lt;11</formula>
    </cfRule>
  </conditionalFormatting>
  <conditionalFormatting sqref="AC205">
    <cfRule type="expression" dxfId="913" priority="29">
      <formula>$B$135&lt;12</formula>
    </cfRule>
  </conditionalFormatting>
  <conditionalFormatting sqref="AC206">
    <cfRule type="expression" dxfId="912" priority="28">
      <formula>$B$135&lt;13</formula>
    </cfRule>
  </conditionalFormatting>
  <conditionalFormatting sqref="AC207">
    <cfRule type="expression" dxfId="911" priority="27">
      <formula>$B$135&lt;14</formula>
    </cfRule>
  </conditionalFormatting>
  <conditionalFormatting sqref="AC208">
    <cfRule type="expression" dxfId="910" priority="26">
      <formula>$B$135&lt;15</formula>
    </cfRule>
  </conditionalFormatting>
  <conditionalFormatting sqref="AC209">
    <cfRule type="expression" dxfId="909" priority="25">
      <formula>$B$135&lt;16</formula>
    </cfRule>
  </conditionalFormatting>
  <conditionalFormatting sqref="AC210">
    <cfRule type="expression" dxfId="908" priority="24">
      <formula>$B$135&lt;17</formula>
    </cfRule>
  </conditionalFormatting>
  <conditionalFormatting sqref="AC211">
    <cfRule type="expression" dxfId="907" priority="23">
      <formula>$B$135&lt;18</formula>
    </cfRule>
  </conditionalFormatting>
  <conditionalFormatting sqref="AC212">
    <cfRule type="expression" dxfId="906" priority="22">
      <formula>$B$135&lt;19</formula>
    </cfRule>
  </conditionalFormatting>
  <conditionalFormatting sqref="AC213">
    <cfRule type="expression" dxfId="905" priority="21">
      <formula>$B$135&lt;20</formula>
    </cfRule>
  </conditionalFormatting>
  <conditionalFormatting sqref="BA138:BB157 BA170:BB181 BA194:BB213">
    <cfRule type="cellIs" dxfId="904" priority="106" operator="lessThan">
      <formula>10</formula>
    </cfRule>
  </conditionalFormatting>
  <conditionalFormatting sqref="BA223:BB246">
    <cfRule type="cellIs" dxfId="903" priority="45" operator="lessThan">
      <formula>10</formula>
    </cfRule>
  </conditionalFormatting>
  <conditionalFormatting sqref="BK163:BK202">
    <cfRule type="cellIs" dxfId="902" priority="115" stopIfTrue="1" operator="equal">
      <formula>FALSE</formula>
    </cfRule>
  </conditionalFormatting>
  <conditionalFormatting sqref="BN55">
    <cfRule type="cellIs" dxfId="901" priority="53" stopIfTrue="1" operator="equal">
      <formula>"negative force at the motor"</formula>
    </cfRule>
  </conditionalFormatting>
  <conditionalFormatting sqref="BN55:BN56">
    <cfRule type="cellIs" dxfId="900" priority="52" operator="equal">
      <formula>"""OK"""</formula>
    </cfRule>
  </conditionalFormatting>
  <conditionalFormatting sqref="BN56">
    <cfRule type="cellIs" dxfId="899" priority="114" stopIfTrue="1" operator="equal">
      <formula>"overload"</formula>
    </cfRule>
  </conditionalFormatting>
  <conditionalFormatting sqref="BN58">
    <cfRule type="cellIs" dxfId="898" priority="51" stopIfTrue="1" operator="equal">
      <formula>"negative force at the motor"</formula>
    </cfRule>
  </conditionalFormatting>
  <conditionalFormatting sqref="BN58:BN59">
    <cfRule type="cellIs" dxfId="897" priority="50" operator="equal">
      <formula>"""OK"""</formula>
    </cfRule>
  </conditionalFormatting>
  <conditionalFormatting sqref="BN61">
    <cfRule type="cellIs" dxfId="896" priority="49" stopIfTrue="1" operator="equal">
      <formula>"negative force at the motor"</formula>
    </cfRule>
  </conditionalFormatting>
  <conditionalFormatting sqref="BN61:BN62">
    <cfRule type="cellIs" dxfId="895" priority="48" operator="equal">
      <formula>"""OK"""</formula>
    </cfRule>
  </conditionalFormatting>
  <conditionalFormatting sqref="BN85 BN90 BN131">
    <cfRule type="cellIs" dxfId="894" priority="112" operator="equal">
      <formula>"""OK"""</formula>
    </cfRule>
  </conditionalFormatting>
  <conditionalFormatting sqref="BN85 BN131 BN90 BN59 BN62">
    <cfRule type="cellIs" dxfId="893" priority="119" stopIfTrue="1" operator="equal">
      <formula>"overload"</formula>
    </cfRule>
  </conditionalFormatting>
  <conditionalFormatting sqref="BN85 BN131 BO84:BO85">
    <cfRule type="expression" dxfId="892" priority="113">
      <formula>$B$132&lt;&gt;0</formula>
    </cfRule>
  </conditionalFormatting>
  <conditionalFormatting sqref="BO130:BO131">
    <cfRule type="expression" dxfId="891" priority="1">
      <formula>$B$132&lt;&gt;0</formula>
    </cfRule>
  </conditionalFormatting>
  <conditionalFormatting sqref="BQ130:CG130 BQ132:CG132">
    <cfRule type="expression" dxfId="890" priority="120">
      <formula>$B$132=0</formula>
    </cfRule>
  </conditionalFormatting>
  <conditionalFormatting sqref="BQ86:DB88 BV135:CI142">
    <cfRule type="cellIs" dxfId="889" priority="116" stopIfTrue="1" operator="equal">
      <formula>FALSE</formula>
    </cfRule>
  </conditionalFormatting>
  <conditionalFormatting sqref="CB84:CR84">
    <cfRule type="cellIs" dxfId="888" priority="117" operator="equal">
      <formula>0</formula>
    </cfRule>
    <cfRule type="expression" dxfId="887" priority="118">
      <formula>$B$132=0</formula>
    </cfRule>
  </conditionalFormatting>
  <conditionalFormatting sqref="CH132:DA132">
    <cfRule type="expression" dxfId="886" priority="47">
      <formula>$B$132=0</formula>
    </cfRule>
  </conditionalFormatting>
  <conditionalFormatting sqref="CK130:DA130">
    <cfRule type="expression" dxfId="885" priority="121">
      <formula>$B$132=0</formula>
    </cfRule>
  </conditionalFormatting>
  <dataValidations count="13">
    <dataValidation type="decimal" allowBlank="1" showInputMessage="1" showErrorMessage="1" sqref="B132" xr:uid="{00000000-0002-0000-0B00-000000000000}">
      <formula1>-89.9</formula1>
      <formula2>89.9</formula2>
    </dataValidation>
    <dataValidation type="custom" allowBlank="1" showInputMessage="1" showErrorMessage="1" sqref="D139:D157 D195:D213" xr:uid="{00000000-0002-0000-0B00-000001000000}">
      <formula1>OR(D139=0,D139=0.5,D139=1,D139=2,D139=2.5,D139=3,D139=4,D139=5,D139=6,D139=7,D139=8)</formula1>
    </dataValidation>
    <dataValidation type="whole" allowBlank="1" showInputMessage="1" showErrorMessage="1" sqref="D224" xr:uid="{00000000-0002-0000-0B00-000002000000}">
      <formula1>0</formula1>
      <formula2>5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91 B135" xr:uid="{00000000-0002-0000-0B00-000003000000}">
      <formula1>1</formula1>
      <formula2>20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67" xr:uid="{00000000-0002-0000-0B00-000004000000}">
      <formula1>1</formula1>
      <formula2>10</formula2>
    </dataValidation>
    <dataValidation type="decimal" allowBlank="1" showInputMessage="1" showErrorMessage="1" sqref="G171:G181 F140:F165 D158:D162 G195:G213 F196:F213 F172:F181 G139:G165 D165 G224:G246 F225:F246" xr:uid="{00000000-0002-0000-0B00-000005000000}">
      <formula1>0</formula1>
      <formula2>8</formula2>
    </dataValidation>
    <dataValidation type="decimal" allowBlank="1" showInputMessage="1" showErrorMessage="1" sqref="F170:G170 F138:G138 F194:G194 F223:G223" xr:uid="{00000000-0002-0000-0B00-000006000000}">
      <formula1>0</formula1>
      <formula2>4</formula2>
    </dataValidation>
    <dataValidation type="whole" allowBlank="1" showInputMessage="1" showErrorMessage="1" sqref="D138 D194" xr:uid="{00000000-0002-0000-0B00-000007000000}">
      <formula1>-2</formula1>
      <formula2>4</formula2>
    </dataValidation>
    <dataValidation type="custom" allowBlank="1" showInputMessage="1" showErrorMessage="1" sqref="D170:D181" xr:uid="{00000000-0002-0000-0B00-000008000000}">
      <formula1>OR(D170=0,D170=2.5,D170=5)</formula1>
    </dataValidation>
    <dataValidation type="whole" allowBlank="1" showInputMessage="1" showErrorMessage="1" errorTitle="Coda Audio" error="YOU HAVE ENTERED A WRONG NUMBER OF CABINETS" promptTitle="Coda Audio" prompt="ENTER THE NUMBER OF CABINETS FROM 1 UP TO 24" sqref="B220" xr:uid="{00000000-0002-0000-0B00-000009000000}">
      <formula1>1</formula1>
      <formula2>24</formula2>
    </dataValidation>
    <dataValidation type="whole" allowBlank="1" showInputMessage="1" showErrorMessage="1" sqref="D225:D246" xr:uid="{00000000-0002-0000-0B00-00000A000000}">
      <formula1>0</formula1>
      <formula2>10</formula2>
    </dataValidation>
    <dataValidation type="whole" allowBlank="1" showInputMessage="1" showErrorMessage="1" sqref="D223" xr:uid="{00000000-0002-0000-0B00-00000B000000}">
      <formula1>-5</formula1>
      <formula2>5</formula2>
    </dataValidation>
    <dataValidation type="custom" allowBlank="1" showInputMessage="1" showErrorMessage="1" sqref="B164 B218" xr:uid="{00000000-0002-0000-0B00-00000C000000}">
      <formula1>OR(B164=-6,B164=-5,B164=-4,B164=-3,B164=-2,B164=-1,B164=0,B164=0.5,B164=1,B164=2,B164=2.5,B164=3,B164=4)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FFC000"/>
  </sheetPr>
  <dimension ref="A1:EN288"/>
  <sheetViews>
    <sheetView topLeftCell="A54" zoomScale="50" zoomScaleNormal="50" workbookViewId="0">
      <selection activeCell="D138" sqref="D138"/>
    </sheetView>
  </sheetViews>
  <sheetFormatPr baseColWidth="10" defaultColWidth="9.1640625" defaultRowHeight="18" x14ac:dyDescent="0.2"/>
  <cols>
    <col min="1" max="1" width="1.5" customWidth="1"/>
    <col min="2" max="2" width="27.1640625" style="35" customWidth="1"/>
    <col min="3" max="3" width="19.83203125" style="35" hidden="1" customWidth="1"/>
    <col min="4" max="4" width="35.5" customWidth="1"/>
    <col min="5" max="5" width="48.5" customWidth="1"/>
    <col min="6" max="7" width="10.33203125" hidden="1" customWidth="1"/>
    <col min="8" max="9" width="10.33203125" style="64" hidden="1" customWidth="1"/>
    <col min="10" max="13" width="15.6640625" style="64" hidden="1" customWidth="1"/>
    <col min="14" max="20" width="10.33203125" style="64" hidden="1" customWidth="1"/>
    <col min="21" max="27" width="11.1640625" style="64" hidden="1" customWidth="1"/>
    <col min="28" max="28" width="36.5" style="64" customWidth="1"/>
    <col min="29" max="33" width="10" style="64" hidden="1" customWidth="1"/>
    <col min="34" max="34" width="19.5" style="64" hidden="1" customWidth="1"/>
    <col min="35" max="35" width="10.6640625" style="64" hidden="1" customWidth="1"/>
    <col min="36" max="36" width="29.6640625" style="64" hidden="1" customWidth="1"/>
    <col min="37" max="48" width="10.6640625" style="64" hidden="1" customWidth="1"/>
    <col min="49" max="49" width="20" style="64" hidden="1" customWidth="1"/>
    <col min="50" max="50" width="27.33203125" style="64" hidden="1" customWidth="1"/>
    <col min="51" max="51" width="25.5" style="64" hidden="1" customWidth="1"/>
    <col min="52" max="52" width="20" style="64" hidden="1" customWidth="1"/>
    <col min="53" max="54" width="12.1640625" style="64" customWidth="1"/>
    <col min="55" max="55" width="15.1640625" hidden="1" customWidth="1"/>
    <col min="56" max="56" width="9.1640625" hidden="1" customWidth="1"/>
    <col min="57" max="57" width="4.83203125" hidden="1" customWidth="1"/>
    <col min="58" max="58" width="6.83203125" hidden="1" customWidth="1"/>
    <col min="59" max="59" width="34.1640625" hidden="1" customWidth="1"/>
    <col min="60" max="60" width="17" hidden="1" customWidth="1"/>
    <col min="61" max="62" width="16.33203125" hidden="1" customWidth="1"/>
    <col min="63" max="63" width="9.33203125" hidden="1" customWidth="1"/>
    <col min="64" max="64" width="19.5" hidden="1" customWidth="1"/>
    <col min="65" max="65" width="20.1640625" style="81" hidden="1" customWidth="1"/>
    <col min="66" max="66" width="24.83203125" bestFit="1" customWidth="1"/>
    <col min="67" max="67" width="34.33203125" style="59" customWidth="1"/>
    <col min="68" max="68" width="43.6640625" customWidth="1"/>
    <col min="69" max="105" width="6.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18" width="6.5" hidden="1" customWidth="1"/>
    <col min="119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482" t="s">
        <v>104</v>
      </c>
      <c r="E1" s="482" t="s">
        <v>105</v>
      </c>
      <c r="F1" s="482" t="s">
        <v>106</v>
      </c>
      <c r="G1" s="990" t="s">
        <v>220</v>
      </c>
      <c r="H1" s="1073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+COS(($B$132*-1)*3.14159265358979/180)*C2</f>
        <v>688</v>
      </c>
      <c r="E2" s="41">
        <f>+COS(($B$132*-1)*3.14159265358979/180)*43</f>
        <v>43</v>
      </c>
      <c r="F2" s="42">
        <f>+COS((($B$132*-1)+72.969997)*3.14159265358979/180)*162.1867</f>
        <v>47.500013702602963</v>
      </c>
      <c r="G2" s="994" t="s">
        <v>212</v>
      </c>
      <c r="H2" s="1074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203.72312701386574</v>
      </c>
      <c r="D3" s="40">
        <f>+C9-F2</f>
        <v>203.72311331126278</v>
      </c>
      <c r="G3" s="994" t="s">
        <v>213</v>
      </c>
      <c r="H3" s="1075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+COS(($B$132*-1)*3.14159265358979/180)*C4</f>
        <v>1075</v>
      </c>
      <c r="G4" s="996" t="s">
        <v>233</v>
      </c>
      <c r="H4" s="1076">
        <v>860</v>
      </c>
      <c r="I4" s="984">
        <v>1</v>
      </c>
      <c r="J4" s="1721" t="s">
        <v>228</v>
      </c>
      <c r="K4" s="1727"/>
      <c r="L4" s="1727"/>
      <c r="M4" s="1727"/>
      <c r="N4" s="59"/>
      <c r="O4" s="995"/>
    </row>
    <row r="5" spans="2:15" ht="57" hidden="1" x14ac:dyDescent="0.2">
      <c r="B5" s="44" t="s">
        <v>115</v>
      </c>
      <c r="C5" s="45">
        <f>+C9+425.5</f>
        <v>676.72312701386568</v>
      </c>
      <c r="D5" s="40">
        <f>+(COS(($B$132*-1)*3.14159265358979/180)*473)+$D$3</f>
        <v>676.72311331126275</v>
      </c>
      <c r="G5" s="996" t="s">
        <v>214</v>
      </c>
      <c r="H5" s="1076">
        <v>688</v>
      </c>
      <c r="I5"/>
      <c r="J5" s="961" t="s">
        <v>217</v>
      </c>
      <c r="K5" s="961" t="s">
        <v>225</v>
      </c>
      <c r="L5" s="972" t="s">
        <v>224</v>
      </c>
      <c r="M5" s="1724"/>
      <c r="N5" s="59"/>
      <c r="O5" s="995"/>
    </row>
    <row r="6" spans="2:15" ht="20" hidden="1" x14ac:dyDescent="0.2">
      <c r="B6" s="187"/>
      <c r="C6" s="187"/>
      <c r="G6" s="996" t="s">
        <v>259</v>
      </c>
      <c r="H6" s="1076">
        <v>602</v>
      </c>
      <c r="I6"/>
      <c r="J6" s="963">
        <f>+H9/H8*BQ56</f>
        <v>364.91795563994293</v>
      </c>
      <c r="K6" s="963">
        <f>((H8-H9)/H8)*BQ56</f>
        <v>-250.88109450246077</v>
      </c>
      <c r="L6" s="963">
        <f>+CO56</f>
        <v>193.76313886251782</v>
      </c>
      <c r="M6" s="961" t="s">
        <v>223</v>
      </c>
      <c r="N6" s="59"/>
      <c r="O6" s="995"/>
    </row>
    <row r="7" spans="2:15" ht="20" hidden="1" x14ac:dyDescent="0.2">
      <c r="B7" s="393" t="s">
        <v>18</v>
      </c>
      <c r="C7" s="394">
        <f>+C11+C14+C17+30+4.5+0.5</f>
        <v>307.8</v>
      </c>
      <c r="G7" s="997" t="s">
        <v>230</v>
      </c>
      <c r="H7" s="1077">
        <f>(+SIN(($B$132*-1)*3.14159265358979/180)*H2)</f>
        <v>0</v>
      </c>
      <c r="I7"/>
      <c r="J7" s="965">
        <f>ABS($H$1/J6)</f>
        <v>49.326155980552052</v>
      </c>
      <c r="K7" s="965">
        <f>ABS($H$1/K6)</f>
        <v>71.747135971712083</v>
      </c>
      <c r="L7" s="965">
        <f>ABS($H$1/L6)</f>
        <v>92.89692614224046</v>
      </c>
      <c r="M7" s="967" t="s">
        <v>222</v>
      </c>
      <c r="N7" s="59"/>
      <c r="O7" s="995"/>
    </row>
    <row r="8" spans="2:15" ht="20" hidden="1" x14ac:dyDescent="0.2">
      <c r="B8" s="393" t="s">
        <v>19</v>
      </c>
      <c r="C8" s="393">
        <f>+AS138</f>
        <v>492.39108855494453</v>
      </c>
      <c r="G8" s="997" t="s">
        <v>229</v>
      </c>
      <c r="H8" s="1077">
        <f>(+COS(($B$132*-1)*3.14159265358979/180)*H3)</f>
        <v>215</v>
      </c>
      <c r="I8"/>
      <c r="J8" s="1733">
        <f>ABS($E$22/BQ56)</f>
        <v>70.152755172340704</v>
      </c>
      <c r="K8" s="1733"/>
      <c r="L8" s="1733">
        <f>ABS($E$22/CO56)</f>
        <v>41.28752272988465</v>
      </c>
      <c r="M8" s="1734" t="s">
        <v>350</v>
      </c>
      <c r="N8" s="59"/>
      <c r="O8" s="995"/>
    </row>
    <row r="9" spans="2:15" ht="21" hidden="1" thickBot="1" x14ac:dyDescent="0.25">
      <c r="B9" s="393" t="s">
        <v>14</v>
      </c>
      <c r="C9" s="393">
        <f>+AP134</f>
        <v>251.22312701386574</v>
      </c>
      <c r="G9" s="994" t="s">
        <v>227</v>
      </c>
      <c r="H9" s="1077">
        <f>+D2+H7</f>
        <v>688</v>
      </c>
      <c r="I9"/>
      <c r="J9" s="59"/>
      <c r="K9" s="59"/>
      <c r="L9" s="59"/>
      <c r="M9" s="59"/>
      <c r="N9" s="59"/>
      <c r="O9" s="995"/>
    </row>
    <row r="10" spans="2:15" ht="21" hidden="1" thickBot="1" x14ac:dyDescent="0.25">
      <c r="G10" s="998"/>
      <c r="H10"/>
      <c r="I10" s="984">
        <v>2</v>
      </c>
      <c r="J10" s="1721" t="s">
        <v>235</v>
      </c>
      <c r="K10" s="1721"/>
      <c r="L10" s="1738"/>
      <c r="M10" s="1738"/>
      <c r="N10" s="59"/>
      <c r="O10" s="995"/>
    </row>
    <row r="11" spans="2:15" ht="20" hidden="1" x14ac:dyDescent="0.2">
      <c r="B11" s="483" t="s">
        <v>112</v>
      </c>
      <c r="C11" s="394">
        <f>+B167*72+31</f>
        <v>103</v>
      </c>
      <c r="G11" s="994" t="s">
        <v>226</v>
      </c>
      <c r="H11" s="1077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 s="59"/>
      <c r="O11" s="995"/>
    </row>
    <row r="12" spans="2:15" ht="20" hidden="1" x14ac:dyDescent="0.2">
      <c r="B12" s="483" t="s">
        <v>150</v>
      </c>
      <c r="C12" s="394">
        <v>747</v>
      </c>
      <c r="D12" s="397"/>
      <c r="G12" s="998"/>
      <c r="H12" s="37"/>
      <c r="I12"/>
      <c r="J12" s="963">
        <f>(CB59)</f>
        <v>249.46886113748218</v>
      </c>
      <c r="K12" s="963">
        <f>((+H8-H11)/H8*CZ59)</f>
        <v>-128.32850549753928</v>
      </c>
      <c r="L12" s="963">
        <f>(H11/H8*CZ59)</f>
        <v>186.65964436005711</v>
      </c>
      <c r="M12" s="961" t="s">
        <v>223</v>
      </c>
      <c r="N12" s="59"/>
      <c r="O12" s="995"/>
    </row>
    <row r="13" spans="2:15" ht="20" hidden="1" x14ac:dyDescent="0.2">
      <c r="D13" s="397"/>
      <c r="G13" s="998"/>
      <c r="H13"/>
      <c r="I13"/>
      <c r="J13" s="965">
        <f>ABS($H$1/J12)</f>
        <v>72.153293673314238</v>
      </c>
      <c r="K13" s="965">
        <f>ABS($H$1/K12)</f>
        <v>140.26501695950284</v>
      </c>
      <c r="L13" s="965">
        <f>ABS($H$1/L12)</f>
        <v>96.432199159658211</v>
      </c>
      <c r="M13" s="967" t="s">
        <v>222</v>
      </c>
      <c r="N13" s="59"/>
      <c r="O13" s="995"/>
    </row>
    <row r="14" spans="2:15" ht="20" hidden="1" x14ac:dyDescent="0.2">
      <c r="B14" s="483" t="s">
        <v>132</v>
      </c>
      <c r="C14" s="394">
        <f>(+B191*40.5)+31+(B135*40.5)+31</f>
        <v>143</v>
      </c>
      <c r="D14" s="397"/>
      <c r="G14" s="998"/>
      <c r="H14"/>
      <c r="I14"/>
      <c r="J14" s="1733">
        <f>ABS($E$22/CB59)</f>
        <v>32.068130521472995</v>
      </c>
      <c r="K14" s="1733"/>
      <c r="L14" s="1733">
        <f>ABS($E$22/CZ59)</f>
        <v>137.14801658262502</v>
      </c>
      <c r="M14" s="1734" t="s">
        <v>350</v>
      </c>
      <c r="N14" s="59"/>
      <c r="O14" s="995"/>
    </row>
    <row r="15" spans="2:15" ht="19" hidden="1" thickBot="1" x14ac:dyDescent="0.25">
      <c r="B15" s="483" t="s">
        <v>133</v>
      </c>
      <c r="C15" s="394">
        <v>492.4</v>
      </c>
      <c r="D15" s="397"/>
      <c r="G15" s="998"/>
      <c r="H15"/>
      <c r="I15"/>
      <c r="J15" s="59"/>
      <c r="K15" s="59"/>
      <c r="L15" s="59"/>
      <c r="M15" s="59"/>
      <c r="N15" s="59"/>
      <c r="O15" s="995"/>
    </row>
    <row r="16" spans="2:15" ht="21" hidden="1" thickBot="1" x14ac:dyDescent="0.25">
      <c r="B16" s="399"/>
      <c r="C16" s="399"/>
      <c r="D16" s="397"/>
      <c r="G16" s="994" t="s">
        <v>231</v>
      </c>
      <c r="H16" s="1077">
        <f>+D2+H7-BL138</f>
        <v>11.27688668873725</v>
      </c>
      <c r="I16" s="984" t="s">
        <v>251</v>
      </c>
      <c r="J16" s="1721" t="s">
        <v>232</v>
      </c>
      <c r="K16" s="1727"/>
      <c r="L16" s="1727"/>
      <c r="M16" s="1727"/>
      <c r="N16" s="59"/>
      <c r="O16" s="995"/>
    </row>
    <row r="17" spans="2:15" ht="20" hidden="1" x14ac:dyDescent="0.2">
      <c r="B17" s="483" t="s">
        <v>166</v>
      </c>
      <c r="C17" s="394">
        <f>+(B222*25.5)+1.3</f>
        <v>26.8</v>
      </c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 s="59"/>
      <c r="O17" s="995"/>
    </row>
    <row r="18" spans="2:15" ht="20" hidden="1" x14ac:dyDescent="0.2">
      <c r="B18" s="483" t="s">
        <v>207</v>
      </c>
      <c r="C18" s="951">
        <v>492.4</v>
      </c>
      <c r="D18" s="397"/>
      <c r="G18" s="998"/>
      <c r="H18"/>
      <c r="I18"/>
      <c r="J18" s="963">
        <f>+H16/H8*BQ54</f>
        <v>16.144305687410817</v>
      </c>
      <c r="K18" s="963">
        <f>((H8-H16)/H8)*BQ54</f>
        <v>291.65569431258922</v>
      </c>
      <c r="L18" s="963"/>
      <c r="M18" s="961" t="s">
        <v>223</v>
      </c>
      <c r="N18" s="59"/>
      <c r="O18" s="995"/>
    </row>
    <row r="19" spans="2:15" ht="20" hidden="1" x14ac:dyDescent="0.2">
      <c r="B19" s="399"/>
      <c r="C19" s="399"/>
      <c r="D19" s="397"/>
      <c r="G19" s="998"/>
      <c r="H19"/>
      <c r="I19"/>
      <c r="J19" s="965">
        <f>ABS($H$1/J18)</f>
        <v>1114.9442006686131</v>
      </c>
      <c r="K19" s="965">
        <f>ABS($H$1/K18)</f>
        <v>61.716607462181258</v>
      </c>
      <c r="L19" s="965"/>
      <c r="M19" s="967" t="s">
        <v>222</v>
      </c>
      <c r="N19" s="59"/>
      <c r="O19" s="995"/>
    </row>
    <row r="20" spans="2:15" ht="38" hidden="1" x14ac:dyDescent="0.2">
      <c r="B20" s="485" t="s">
        <v>76</v>
      </c>
      <c r="C20" s="204">
        <v>5800</v>
      </c>
      <c r="D20" s="204">
        <v>10000</v>
      </c>
      <c r="G20" s="998"/>
      <c r="H20"/>
      <c r="I20"/>
      <c r="J20" s="1733">
        <f>ABS($E$22/BQ54)</f>
        <v>25.990903183885639</v>
      </c>
      <c r="K20" s="1733"/>
      <c r="L20" s="1733"/>
      <c r="M20" s="1734" t="s">
        <v>350</v>
      </c>
      <c r="N20" s="59"/>
      <c r="O20" s="995"/>
    </row>
    <row r="21" spans="2:15" ht="39" hidden="1" thickBot="1" x14ac:dyDescent="0.25">
      <c r="B21" s="485" t="s">
        <v>77</v>
      </c>
      <c r="C21" s="204">
        <v>5800</v>
      </c>
      <c r="D21" s="204">
        <v>5800</v>
      </c>
      <c r="G21" s="998"/>
      <c r="H21"/>
      <c r="I21"/>
      <c r="J21" s="59"/>
      <c r="K21" s="59"/>
      <c r="L21" s="59"/>
      <c r="M21" s="59"/>
      <c r="N21" s="59"/>
      <c r="O21" s="995"/>
    </row>
    <row r="22" spans="2:15" ht="39" hidden="1" thickBot="1" x14ac:dyDescent="0.25">
      <c r="B22" s="485" t="s">
        <v>78</v>
      </c>
      <c r="C22" s="204">
        <v>8000</v>
      </c>
      <c r="D22" s="204">
        <v>8000</v>
      </c>
      <c r="E22" s="49">
        <v>8000</v>
      </c>
      <c r="G22" s="994" t="s">
        <v>219</v>
      </c>
      <c r="H22" s="1077">
        <f>(+COS(($B$132*-1)*3.14159265358979/180)*(H4))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 s="59"/>
      <c r="O22" s="995"/>
    </row>
    <row r="23" spans="2:15" ht="20" hidden="1" x14ac:dyDescent="0.2">
      <c r="B23" s="204"/>
      <c r="C23" s="204" t="s">
        <v>20</v>
      </c>
      <c r="D23" s="204" t="s">
        <v>21</v>
      </c>
      <c r="G23" s="994" t="s">
        <v>234</v>
      </c>
      <c r="H23" s="1092">
        <f>+BL138-H22+H7</f>
        <v>-183.27688668873725</v>
      </c>
      <c r="I23" s="999"/>
      <c r="J23" s="961"/>
      <c r="K23" s="961" t="s">
        <v>215</v>
      </c>
      <c r="L23" s="961" t="s">
        <v>216</v>
      </c>
      <c r="M23" s="1724"/>
      <c r="N23" s="59"/>
      <c r="O23" s="995"/>
    </row>
    <row r="24" spans="2:15" ht="20" hidden="1" x14ac:dyDescent="0.2">
      <c r="B24" s="400" t="s">
        <v>64</v>
      </c>
      <c r="C24" s="204">
        <f>+((C8-C9)/C8)*C7</f>
        <v>150.75719339315535</v>
      </c>
      <c r="D24" s="204">
        <f>+(C9/C8)*C7</f>
        <v>157.04280660684464</v>
      </c>
      <c r="G24" s="998"/>
      <c r="H24"/>
      <c r="I24"/>
      <c r="J24" s="963"/>
      <c r="K24" s="963">
        <f>((+H8-H23)/H8*BQ54)</f>
        <v>570.18430568741087</v>
      </c>
      <c r="L24" s="963">
        <f>(H23/H8*BQ54)</f>
        <v>-262.38430568741086</v>
      </c>
      <c r="M24" s="961" t="s">
        <v>223</v>
      </c>
      <c r="N24" s="59"/>
      <c r="O24" s="995"/>
    </row>
    <row r="25" spans="2:15" ht="20" hidden="1" x14ac:dyDescent="0.2">
      <c r="B25" s="96"/>
      <c r="C25" s="187"/>
      <c r="D25" s="187"/>
      <c r="G25" s="998"/>
      <c r="H25"/>
      <c r="I25"/>
      <c r="J25" s="965"/>
      <c r="K25" s="965">
        <f>ABS($H$1/K24)</f>
        <v>31.568739827553312</v>
      </c>
      <c r="L25" s="965">
        <f>ABS($H$1/L24)</f>
        <v>68.601664085214509</v>
      </c>
      <c r="M25" s="967" t="s">
        <v>222</v>
      </c>
      <c r="N25" s="59"/>
      <c r="O25" s="995"/>
    </row>
    <row r="26" spans="2:15" ht="20" hidden="1" x14ac:dyDescent="0.2">
      <c r="B26" s="96"/>
      <c r="C26" s="187"/>
      <c r="D26" s="187"/>
      <c r="G26" s="998"/>
      <c r="H26"/>
      <c r="I26"/>
      <c r="J26" s="1733"/>
      <c r="K26" s="1733"/>
      <c r="L26" s="1733">
        <f>ABS($E$22/BQ54)</f>
        <v>25.990903183885639</v>
      </c>
      <c r="M26" s="1734" t="s">
        <v>350</v>
      </c>
      <c r="N26" s="59"/>
      <c r="O26" s="995"/>
    </row>
    <row r="27" spans="2:15" ht="19" hidden="1" thickBot="1" x14ac:dyDescent="0.25">
      <c r="B27" s="96"/>
      <c r="C27" s="187"/>
      <c r="D27" s="187"/>
      <c r="G27" s="998"/>
      <c r="H27"/>
      <c r="I27"/>
      <c r="J27" s="59"/>
      <c r="K27" s="59"/>
      <c r="L27" s="59"/>
      <c r="M27" s="59"/>
      <c r="N27" s="59"/>
      <c r="O27" s="995"/>
    </row>
    <row r="28" spans="2:15" ht="21" hidden="1" thickBot="1" x14ac:dyDescent="0.25">
      <c r="B28" s="96"/>
      <c r="C28" s="187"/>
      <c r="D28" s="187"/>
      <c r="G28" s="998"/>
      <c r="H28"/>
      <c r="I28" s="984">
        <v>60</v>
      </c>
      <c r="J28" s="1721" t="s">
        <v>241</v>
      </c>
      <c r="K28" s="1727"/>
      <c r="L28" s="1727"/>
      <c r="M28" s="1727"/>
      <c r="N28" s="59"/>
      <c r="O28" s="995"/>
    </row>
    <row r="29" spans="2:15" ht="20" hidden="1" x14ac:dyDescent="0.2">
      <c r="B29" s="96"/>
      <c r="C29" s="187"/>
      <c r="D29" s="187"/>
      <c r="G29" s="998"/>
      <c r="H29"/>
      <c r="I29"/>
      <c r="J29" s="961"/>
      <c r="K29" s="961" t="s">
        <v>215</v>
      </c>
      <c r="L29" s="961" t="s">
        <v>216</v>
      </c>
      <c r="M29" s="1724"/>
      <c r="N29" s="59"/>
      <c r="O29" s="995"/>
    </row>
    <row r="30" spans="2:15" ht="20" hidden="1" x14ac:dyDescent="0.2">
      <c r="B30" s="96"/>
      <c r="C30" s="187"/>
      <c r="D30" s="187"/>
      <c r="G30" s="1000"/>
      <c r="H30" s="63"/>
      <c r="I30"/>
      <c r="J30" s="963"/>
      <c r="K30" s="963">
        <f>((+H8-H23)/H8*BQ54)</f>
        <v>570.18430568741087</v>
      </c>
      <c r="L30" s="963">
        <f>(H23/H8*BQ54)</f>
        <v>-262.38430568741086</v>
      </c>
      <c r="M30" s="961" t="s">
        <v>223</v>
      </c>
      <c r="N30" s="59"/>
      <c r="O30" s="995"/>
    </row>
    <row r="31" spans="2:15" ht="20" hidden="1" x14ac:dyDescent="0.2">
      <c r="B31" s="96"/>
      <c r="C31" s="187"/>
      <c r="D31" s="187"/>
      <c r="G31" s="1000"/>
      <c r="H31" s="63"/>
      <c r="I31"/>
      <c r="J31" s="965"/>
      <c r="K31" s="965">
        <f>ABS($H$1/K30)</f>
        <v>31.568739827553312</v>
      </c>
      <c r="L31" s="965">
        <f>ABS($H$1/L30)</f>
        <v>68.601664085214509</v>
      </c>
      <c r="M31" s="967" t="s">
        <v>222</v>
      </c>
      <c r="N31" s="59"/>
      <c r="O31" s="995"/>
    </row>
    <row r="32" spans="2:15" ht="20" hidden="1" x14ac:dyDescent="0.2">
      <c r="B32" s="96"/>
      <c r="C32" s="187"/>
      <c r="D32" s="187"/>
      <c r="G32" s="1000"/>
      <c r="H32" s="63"/>
      <c r="I32"/>
      <c r="J32" s="1733"/>
      <c r="K32" s="1733"/>
      <c r="L32" s="1733">
        <f>ABS($E$22/BQ54)*2</f>
        <v>51.981806367771277</v>
      </c>
      <c r="M32" s="1734" t="s">
        <v>350</v>
      </c>
      <c r="N32" s="1730" t="s">
        <v>352</v>
      </c>
      <c r="O32" s="995"/>
    </row>
    <row r="33" spans="2:15" ht="19" hidden="1" thickBot="1" x14ac:dyDescent="0.25">
      <c r="B33" s="96"/>
      <c r="C33" s="187"/>
      <c r="D33" s="187"/>
      <c r="G33" s="1000"/>
      <c r="H33" s="63"/>
      <c r="I33"/>
      <c r="J33" s="59"/>
      <c r="K33" s="59"/>
      <c r="L33" s="59"/>
      <c r="M33" s="59"/>
      <c r="N33" s="59"/>
      <c r="O33" s="995"/>
    </row>
    <row r="34" spans="2:15" ht="21" hidden="1" thickBot="1" x14ac:dyDescent="0.25">
      <c r="B34" s="96"/>
      <c r="C34" s="187"/>
      <c r="D34" s="187"/>
      <c r="G34" s="1000"/>
      <c r="H34" s="63"/>
      <c r="I34" s="984">
        <v>61</v>
      </c>
      <c r="J34" s="1721" t="s">
        <v>255</v>
      </c>
      <c r="K34" s="1727"/>
      <c r="L34" s="1727"/>
      <c r="M34" s="1727"/>
      <c r="N34" s="59"/>
      <c r="O34" s="995"/>
    </row>
    <row r="35" spans="2:15" ht="20" hidden="1" x14ac:dyDescent="0.2">
      <c r="B35" s="96"/>
      <c r="C35" s="187"/>
      <c r="D35" s="187"/>
      <c r="G35" s="1000"/>
      <c r="H35" s="63"/>
      <c r="I35"/>
      <c r="J35" s="961" t="s">
        <v>217</v>
      </c>
      <c r="K35" s="961" t="s">
        <v>225</v>
      </c>
      <c r="L35" s="961"/>
      <c r="M35" s="1724"/>
      <c r="N35" s="59"/>
      <c r="O35" s="995"/>
    </row>
    <row r="36" spans="2:15" ht="20" hidden="1" x14ac:dyDescent="0.2">
      <c r="B36" s="96"/>
      <c r="C36" s="187"/>
      <c r="D36" s="187"/>
      <c r="G36" s="1000"/>
      <c r="H36" s="63"/>
      <c r="I36"/>
      <c r="J36" s="963">
        <f>+H16/H8*BQ54</f>
        <v>16.144305687410817</v>
      </c>
      <c r="K36" s="963">
        <f>((H8-H16)/H8)*BQ54</f>
        <v>291.65569431258922</v>
      </c>
      <c r="L36" s="963"/>
      <c r="M36" s="961" t="s">
        <v>223</v>
      </c>
      <c r="N36" s="59"/>
      <c r="O36" s="995"/>
    </row>
    <row r="37" spans="2:15" ht="20" hidden="1" x14ac:dyDescent="0.2">
      <c r="B37" s="96"/>
      <c r="C37" s="187"/>
      <c r="D37" s="187"/>
      <c r="G37" s="1000"/>
      <c r="H37" s="63"/>
      <c r="I37"/>
      <c r="J37" s="965">
        <f>ABS($H$1/J36)</f>
        <v>1114.9442006686131</v>
      </c>
      <c r="K37" s="965">
        <f>ABS($H$1/K36)</f>
        <v>61.716607462181258</v>
      </c>
      <c r="L37" s="965"/>
      <c r="M37" s="967" t="s">
        <v>222</v>
      </c>
      <c r="N37" s="59"/>
      <c r="O37" s="995"/>
    </row>
    <row r="38" spans="2:15" ht="20" hidden="1" x14ac:dyDescent="0.2">
      <c r="B38" s="96"/>
      <c r="C38" s="187"/>
      <c r="D38" s="187"/>
      <c r="G38" s="1000"/>
      <c r="H38" s="63"/>
      <c r="I38"/>
      <c r="J38" s="1733">
        <f>ABS($E$22/BQ54)*2</f>
        <v>51.981806367771277</v>
      </c>
      <c r="K38" s="1733"/>
      <c r="L38" s="1733"/>
      <c r="M38" s="1734" t="s">
        <v>350</v>
      </c>
      <c r="N38" s="1730" t="s">
        <v>352</v>
      </c>
      <c r="O38" s="995"/>
    </row>
    <row r="39" spans="2:15" ht="19" hidden="1" thickBot="1" x14ac:dyDescent="0.25">
      <c r="B39" s="96"/>
      <c r="C39" s="187"/>
      <c r="D39" s="187"/>
      <c r="G39" s="998"/>
      <c r="H39"/>
      <c r="I39"/>
      <c r="J39" s="59"/>
      <c r="K39" s="59"/>
      <c r="L39" s="59"/>
      <c r="M39" s="59"/>
      <c r="N39" s="59"/>
      <c r="O39" s="995"/>
    </row>
    <row r="40" spans="2:15" ht="24" hidden="1" thickBot="1" x14ac:dyDescent="0.3">
      <c r="B40" s="96"/>
      <c r="C40" s="187"/>
      <c r="D40" s="187"/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 s="59"/>
      <c r="O40" s="995"/>
    </row>
    <row r="41" spans="2:15" ht="20" hidden="1" x14ac:dyDescent="0.2">
      <c r="B41" s="96"/>
      <c r="C41" s="187"/>
      <c r="D41" s="187"/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 s="59"/>
      <c r="O41" s="995"/>
    </row>
    <row r="42" spans="2:15" ht="23" hidden="1" x14ac:dyDescent="0.25">
      <c r="B42" s="96"/>
      <c r="C42" s="187"/>
      <c r="D42" s="187"/>
      <c r="G42" s="1002" t="s">
        <v>245</v>
      </c>
      <c r="H42" s="1078">
        <f>SUM(BQ128:CA128)</f>
        <v>8</v>
      </c>
      <c r="I42"/>
      <c r="J42" s="963">
        <f>+H43/H8*BQ54/2</f>
        <v>277.02000000000004</v>
      </c>
      <c r="K42" s="963">
        <f>((H8-H43)/H8)*BQ54/2</f>
        <v>-123.12</v>
      </c>
      <c r="L42" s="963">
        <f>+BQ54/2</f>
        <v>153.9</v>
      </c>
      <c r="M42" s="961" t="s">
        <v>223</v>
      </c>
      <c r="N42" s="59"/>
      <c r="O42" s="995"/>
    </row>
    <row r="43" spans="2:15" ht="20" hidden="1" x14ac:dyDescent="0.2">
      <c r="B43" s="96"/>
      <c r="C43" s="187"/>
      <c r="D43" s="187"/>
      <c r="G43" s="994" t="s">
        <v>243</v>
      </c>
      <c r="H43" s="1077">
        <f>$H$5-((H42-1)*$E$2)</f>
        <v>387</v>
      </c>
      <c r="I43"/>
      <c r="J43" s="965">
        <f>ABS($H$1/J42)</f>
        <v>64.977257959714095</v>
      </c>
      <c r="K43" s="965">
        <f>ABS($H$1/K42)</f>
        <v>146.19883040935673</v>
      </c>
      <c r="L43" s="965">
        <f>ABS($H$1/L42)</f>
        <v>116.95906432748538</v>
      </c>
      <c r="M43" s="967" t="s">
        <v>222</v>
      </c>
      <c r="N43" s="59"/>
      <c r="O43" s="995"/>
    </row>
    <row r="44" spans="2:15" ht="20" hidden="1" x14ac:dyDescent="0.2">
      <c r="B44" s="96"/>
      <c r="C44" s="187"/>
      <c r="D44" s="187"/>
      <c r="G44" s="1000"/>
      <c r="H44" s="63"/>
      <c r="I44"/>
      <c r="J44" s="1733"/>
      <c r="K44" s="1733"/>
      <c r="L44" s="1733">
        <f>ABS($E$22/BQ54)*2</f>
        <v>51.981806367771277</v>
      </c>
      <c r="M44" s="1734" t="s">
        <v>350</v>
      </c>
      <c r="N44" s="1730" t="s">
        <v>352</v>
      </c>
      <c r="O44" s="995"/>
    </row>
    <row r="45" spans="2:15" ht="21" hidden="1" thickBot="1" x14ac:dyDescent="0.25">
      <c r="B45" s="96"/>
      <c r="C45" s="187"/>
      <c r="D45" s="187"/>
      <c r="G45" s="998"/>
      <c r="H45" s="1069" t="s">
        <v>263</v>
      </c>
      <c r="I45"/>
      <c r="J45" s="59"/>
      <c r="K45" s="59"/>
      <c r="L45" s="59"/>
      <c r="M45" s="59"/>
      <c r="N45" s="59"/>
      <c r="O45" s="995"/>
    </row>
    <row r="46" spans="2:15" ht="21" hidden="1" thickBot="1" x14ac:dyDescent="0.25">
      <c r="B46" s="96"/>
      <c r="C46" s="187"/>
      <c r="D46" s="187"/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 s="59"/>
      <c r="O46" s="995"/>
    </row>
    <row r="47" spans="2:15" ht="23" hidden="1" x14ac:dyDescent="0.25">
      <c r="B47" s="96"/>
      <c r="C47" s="187"/>
      <c r="D47" s="187"/>
      <c r="G47" s="1002" t="s">
        <v>245</v>
      </c>
      <c r="H47" s="1079">
        <f>SUM(CQ128:DA128)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 s="59"/>
      <c r="O47" s="995"/>
    </row>
    <row r="48" spans="2:15" ht="20" hidden="1" x14ac:dyDescent="0.2">
      <c r="B48" s="96"/>
      <c r="C48" s="187"/>
      <c r="D48" s="187"/>
      <c r="G48" s="994" t="s">
        <v>243</v>
      </c>
      <c r="H48" s="1077">
        <f>($E$2*(H47-1))-$H$4</f>
        <v>-903</v>
      </c>
      <c r="I48"/>
      <c r="J48" s="963">
        <f>+BQ54/2</f>
        <v>153.9</v>
      </c>
      <c r="K48" s="963">
        <f>((H8-H48)/H8)*BQ54/2</f>
        <v>800.28000000000009</v>
      </c>
      <c r="L48" s="963">
        <f>+H48/H8*BQ54/2</f>
        <v>-646.38</v>
      </c>
      <c r="M48" s="961" t="s">
        <v>223</v>
      </c>
      <c r="N48" s="59"/>
      <c r="O48" s="995"/>
    </row>
    <row r="49" spans="2:144" ht="20" hidden="1" x14ac:dyDescent="0.2">
      <c r="B49" s="96"/>
      <c r="C49" s="187"/>
      <c r="D49" s="187"/>
      <c r="G49" s="998"/>
      <c r="H49"/>
      <c r="I49"/>
      <c r="J49" s="965">
        <f>ABS($H$1/J48)</f>
        <v>116.95906432748538</v>
      </c>
      <c r="K49" s="965">
        <f>ABS($H$1/K48)</f>
        <v>22.492127755285647</v>
      </c>
      <c r="L49" s="965">
        <f>ABS($H$1/L48)</f>
        <v>27.8473962684489</v>
      </c>
      <c r="M49" s="967" t="s">
        <v>222</v>
      </c>
      <c r="N49" s="1722"/>
      <c r="O49" s="1010"/>
    </row>
    <row r="50" spans="2:144" ht="20" hidden="1" x14ac:dyDescent="0.2">
      <c r="B50" s="96"/>
      <c r="C50" s="187"/>
      <c r="D50" s="187"/>
      <c r="G50" s="998"/>
      <c r="H50"/>
      <c r="I50"/>
      <c r="J50" s="1733">
        <f>ABS($E$22/BQ54)*2</f>
        <v>51.981806367771277</v>
      </c>
      <c r="K50" s="1733"/>
      <c r="L50" s="1733"/>
      <c r="M50" s="1734" t="s">
        <v>350</v>
      </c>
      <c r="N50" s="1730" t="s">
        <v>352</v>
      </c>
      <c r="O50" s="995"/>
    </row>
    <row r="51" spans="2:144" ht="19" hidden="1" thickBot="1" x14ac:dyDescent="0.25">
      <c r="B51" s="96"/>
      <c r="C51" s="187"/>
      <c r="D51" s="187"/>
      <c r="G51" s="998"/>
      <c r="H51"/>
      <c r="I51"/>
      <c r="J51" s="59"/>
      <c r="K51" s="59"/>
      <c r="L51" s="59"/>
      <c r="M51" s="59"/>
      <c r="N51" s="59"/>
      <c r="O51" s="995"/>
    </row>
    <row r="52" spans="2:144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 s="59"/>
      <c r="O52" s="995"/>
    </row>
    <row r="53" spans="2:144" ht="23" hidden="1" x14ac:dyDescent="0.25"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 s="59"/>
      <c r="O53" s="995"/>
    </row>
    <row r="54" spans="2:144" ht="32.25" customHeight="1" thickBot="1" x14ac:dyDescent="0.25">
      <c r="G54" s="994" t="s">
        <v>243</v>
      </c>
      <c r="H54" s="956"/>
      <c r="I54"/>
      <c r="J54" s="963">
        <f>+((H6-D3)/H6)*BQ54</f>
        <v>203.63725203121814</v>
      </c>
      <c r="K54" s="963"/>
      <c r="L54" s="963">
        <f>+(D3/H6)*BQ54</f>
        <v>104.16274796878187</v>
      </c>
      <c r="M54" s="961" t="s">
        <v>223</v>
      </c>
      <c r="N54" s="59"/>
      <c r="O54" s="995"/>
      <c r="BE54" s="74"/>
      <c r="BF54" s="74"/>
      <c r="BG54" s="74"/>
      <c r="BH54" s="74"/>
      <c r="BO54" s="64"/>
      <c r="BP54" s="75" t="s">
        <v>25</v>
      </c>
      <c r="BQ54" s="1814">
        <f>+C7</f>
        <v>307.8</v>
      </c>
      <c r="BR54" s="1814"/>
      <c r="BS54" s="76" t="s">
        <v>17</v>
      </c>
      <c r="BT54" s="76"/>
      <c r="BU54" s="77" t="s">
        <v>209</v>
      </c>
      <c r="BV54" s="78"/>
      <c r="BW54" s="78"/>
      <c r="BX54" s="78"/>
      <c r="BY54" s="78"/>
      <c r="BZ54" s="78"/>
      <c r="CA54" s="78"/>
      <c r="CB54" s="78"/>
      <c r="CC54" s="78"/>
      <c r="CD54" s="78"/>
      <c r="CE54" s="78"/>
      <c r="CF54" s="78"/>
      <c r="CG54" s="78"/>
      <c r="CH54" s="78"/>
      <c r="CI54" s="78"/>
      <c r="CJ54" s="78"/>
      <c r="CK54" s="78"/>
      <c r="CL54" s="78"/>
      <c r="CM54" s="78"/>
      <c r="CN54" s="78"/>
      <c r="CO54" s="78"/>
      <c r="CP54" s="78"/>
      <c r="CQ54" s="78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</row>
    <row r="55" spans="2:144" s="74" customFormat="1" ht="44.25" customHeight="1" thickBot="1" x14ac:dyDescent="0.3">
      <c r="B55" s="187"/>
      <c r="C55" s="187"/>
      <c r="G55" s="1000"/>
      <c r="H55" s="63"/>
      <c r="I55"/>
      <c r="J55" s="965">
        <f>ABS($H$1/J54)</f>
        <v>88.392471517149289</v>
      </c>
      <c r="K55" s="965"/>
      <c r="L55" s="965">
        <f>ABS($H$1/L54)</f>
        <v>172.8065008941075</v>
      </c>
      <c r="M55" s="967" t="s">
        <v>222</v>
      </c>
      <c r="N55" s="59"/>
      <c r="O55" s="995"/>
      <c r="P55" s="64"/>
      <c r="Q55" s="64"/>
      <c r="R55" s="64"/>
      <c r="S55" s="64"/>
      <c r="T55" s="64"/>
      <c r="U55" s="64"/>
      <c r="V55" s="64"/>
      <c r="W55" s="64"/>
      <c r="X55" s="64"/>
      <c r="Y55" s="64"/>
      <c r="Z55" s="64"/>
      <c r="AA55" s="64"/>
      <c r="AB55" s="64"/>
      <c r="AC55" s="64"/>
      <c r="AD55" s="64"/>
      <c r="AE55" s="64"/>
      <c r="AF55" s="64"/>
      <c r="AG55" s="64"/>
      <c r="AH55" s="64"/>
      <c r="AI55" s="64"/>
      <c r="AJ55" s="64"/>
      <c r="AK55" s="64"/>
      <c r="AL55" s="64"/>
      <c r="AM55" s="64"/>
      <c r="AN55" s="64"/>
      <c r="AO55" s="64"/>
      <c r="AP55" s="64"/>
      <c r="AQ55" s="64"/>
      <c r="AR55" s="64"/>
      <c r="AS55" s="64"/>
      <c r="AT55" s="64"/>
      <c r="AU55" s="64"/>
      <c r="AV55" s="64"/>
      <c r="AW55" s="64"/>
      <c r="AX55" s="64"/>
      <c r="AY55" s="64"/>
      <c r="AZ55" s="64"/>
      <c r="BA55" s="64"/>
      <c r="BB55" s="64"/>
      <c r="BD55"/>
      <c r="BE55" s="85"/>
      <c r="BF55" s="85"/>
      <c r="BG55" s="85"/>
      <c r="BH55" s="85"/>
      <c r="BI55"/>
      <c r="BJ55"/>
      <c r="BK55"/>
      <c r="BL55" s="968">
        <v>1</v>
      </c>
      <c r="BM55" s="81" t="b">
        <f>AND(BQ56&gt;0,CO56&gt;0)</f>
        <v>1</v>
      </c>
      <c r="BN55" s="952" t="str">
        <f>IF(BM55=TRUE,"","negative force at the motor")</f>
        <v/>
      </c>
      <c r="BO55" s="1088" t="s">
        <v>128</v>
      </c>
      <c r="BP55" s="740" t="s">
        <v>27</v>
      </c>
      <c r="BQ55" s="776" t="s">
        <v>28</v>
      </c>
      <c r="BR55" s="777"/>
      <c r="BS55" s="777"/>
      <c r="BT55" s="777"/>
      <c r="BU55" s="777"/>
      <c r="BV55" s="777"/>
      <c r="BW55" s="777"/>
      <c r="BX55" s="777"/>
      <c r="BY55" s="777"/>
      <c r="BZ55" s="777"/>
      <c r="CA55" s="777"/>
      <c r="CB55" s="777"/>
      <c r="CC55" s="777"/>
      <c r="CD55" s="777"/>
      <c r="CE55" s="777"/>
      <c r="CF55" s="777"/>
      <c r="CG55" s="777"/>
      <c r="CH55" s="777"/>
      <c r="CI55" s="884"/>
      <c r="CJ55" s="777"/>
      <c r="CK55" s="885"/>
      <c r="CL55" s="885"/>
      <c r="CM55" s="885"/>
      <c r="CN55" s="885"/>
      <c r="CO55" s="777"/>
      <c r="CP55" s="782" t="s">
        <v>29</v>
      </c>
      <c r="CQ55" s="1801"/>
      <c r="CR55" s="1801"/>
      <c r="CS55" s="1801"/>
      <c r="CT55" s="1801"/>
      <c r="CU55" s="1801"/>
      <c r="CV55" s="1801"/>
      <c r="CW55" s="1801"/>
      <c r="CX55" s="1801"/>
      <c r="CY55" s="1801"/>
      <c r="CZ55" s="1801"/>
      <c r="DA55" s="1802"/>
      <c r="DB55" s="78"/>
      <c r="DC55" s="78"/>
      <c r="DD55" s="78"/>
      <c r="DE55"/>
      <c r="DF55"/>
      <c r="DG55"/>
      <c r="DH55"/>
      <c r="DI55"/>
      <c r="DJ55"/>
      <c r="DK55"/>
      <c r="DL55"/>
      <c r="DM55"/>
      <c r="DN55"/>
      <c r="DO55"/>
      <c r="DP55"/>
      <c r="DQ55"/>
      <c r="DR55"/>
      <c r="DS55"/>
      <c r="DT55"/>
      <c r="DU55"/>
      <c r="DV55"/>
      <c r="DW55"/>
      <c r="DX55"/>
      <c r="DY55"/>
      <c r="DZ55"/>
      <c r="EA55"/>
      <c r="EB55"/>
      <c r="EC55"/>
      <c r="ED55"/>
      <c r="EE55"/>
      <c r="EF55"/>
      <c r="EG55"/>
      <c r="EH55"/>
      <c r="EI55"/>
      <c r="EJ55"/>
      <c r="EK55"/>
      <c r="EL55"/>
      <c r="EM55"/>
      <c r="EN55"/>
    </row>
    <row r="56" spans="2:144" ht="45" customHeight="1" thickBot="1" x14ac:dyDescent="0.3">
      <c r="G56" s="1000"/>
      <c r="H56" s="63"/>
      <c r="I56" s="74"/>
      <c r="J56" s="1733">
        <f>ABS($E$22/BQ54)*2</f>
        <v>51.981806367771277</v>
      </c>
      <c r="K56" s="1733"/>
      <c r="L56" s="1733"/>
      <c r="M56" s="1734" t="s">
        <v>350</v>
      </c>
      <c r="N56" s="1730" t="s">
        <v>352</v>
      </c>
      <c r="O56" s="995"/>
      <c r="U56" s="114"/>
      <c r="BE56" s="85"/>
      <c r="BF56" s="85"/>
      <c r="BG56" s="85"/>
      <c r="BH56" s="85"/>
      <c r="BM56" s="1762" t="b">
        <f>AND(BO56&gt;=10,$BA$138&gt;=10,$BB$138&gt;=10,$BA$170&gt;=10,$BB$170&gt;=10,$BA$194&gt;=10,$BB$194&gt;=10,$BA$225&gt;=10,$BB$225&gt;=10)</f>
        <v>1</v>
      </c>
      <c r="BN56" s="84" t="str">
        <f>IF(BM56=TRUE,"O K","OVERLOAD")</f>
        <v>O K</v>
      </c>
      <c r="BO56" s="982">
        <f>+MIN(J7:L8)</f>
        <v>41.28752272988465</v>
      </c>
      <c r="BP56" s="741" t="s">
        <v>180</v>
      </c>
      <c r="BQ56" s="1809">
        <f>+((D4-D5)/D4)*C7</f>
        <v>114.03686113748216</v>
      </c>
      <c r="BR56" s="1810"/>
      <c r="BS56" s="783"/>
      <c r="BT56" s="783"/>
      <c r="BU56" s="783"/>
      <c r="BV56" s="784"/>
      <c r="BW56" s="784"/>
      <c r="BX56" s="784"/>
      <c r="BY56" s="886"/>
      <c r="BZ56" s="886"/>
      <c r="CA56" s="886"/>
      <c r="CB56" s="886"/>
      <c r="CC56" s="886"/>
      <c r="CD56" s="886"/>
      <c r="CE56" s="886"/>
      <c r="CF56" s="886"/>
      <c r="CG56" s="886"/>
      <c r="CH56" s="886"/>
      <c r="CI56" s="887"/>
      <c r="CJ56" s="783"/>
      <c r="CK56" s="783"/>
      <c r="CL56" s="783"/>
      <c r="CM56" s="784"/>
      <c r="CN56" s="784"/>
      <c r="CO56" s="1799">
        <f>+(D5/D4)*C7</f>
        <v>193.76313886251782</v>
      </c>
      <c r="CP56" s="1800"/>
      <c r="CQ56" s="1803"/>
      <c r="CR56" s="1803"/>
      <c r="CS56" s="1803"/>
      <c r="CT56" s="1803"/>
      <c r="CU56" s="1803"/>
      <c r="CV56" s="1803"/>
      <c r="CW56" s="1803"/>
      <c r="CX56" s="1803"/>
      <c r="CY56" s="1803"/>
      <c r="CZ56" s="1803"/>
      <c r="DA56" s="1804"/>
      <c r="DB56" s="78"/>
      <c r="DC56" s="78"/>
      <c r="DD56" s="78"/>
    </row>
    <row r="57" spans="2:144" ht="16" customHeight="1" thickBot="1" x14ac:dyDescent="0.3">
      <c r="G57" s="998"/>
      <c r="H57"/>
      <c r="I57"/>
      <c r="J57"/>
      <c r="K57"/>
      <c r="L57"/>
      <c r="M57"/>
      <c r="N57"/>
      <c r="O57" s="995"/>
      <c r="BE57" s="85"/>
      <c r="BF57" s="85"/>
      <c r="BG57" s="85"/>
      <c r="BH57" s="85"/>
      <c r="BN57" s="86"/>
      <c r="BO57" s="85"/>
      <c r="BP57" s="87"/>
      <c r="BQ57" s="88"/>
      <c r="BR57" s="88"/>
      <c r="BS57" s="87"/>
      <c r="BT57" s="87"/>
      <c r="BU57" s="87"/>
      <c r="BV57" s="87"/>
      <c r="BW57" s="87"/>
      <c r="BX57" s="87"/>
      <c r="BY57" s="87"/>
      <c r="BZ57" s="87"/>
      <c r="CA57" s="87"/>
      <c r="CB57" s="87"/>
      <c r="CC57" s="87"/>
      <c r="CD57" s="87"/>
      <c r="CE57" s="87"/>
      <c r="CF57" s="87"/>
      <c r="CG57" s="87"/>
      <c r="CH57" s="87"/>
      <c r="CJ57" s="76"/>
      <c r="CK57" s="76"/>
      <c r="CL57" s="88"/>
      <c r="CM57" s="89"/>
      <c r="CN57" s="89"/>
      <c r="CO57" s="89"/>
      <c r="CP57" s="89"/>
      <c r="CQ57" s="89"/>
      <c r="CR57" s="89"/>
      <c r="CS57" s="89"/>
      <c r="CT57" s="89"/>
      <c r="CU57" s="89"/>
      <c r="CV57" s="89"/>
      <c r="CW57" s="89"/>
      <c r="CX57" s="89"/>
      <c r="CY57" s="89"/>
      <c r="CZ57" s="89"/>
      <c r="DA57" s="89"/>
      <c r="DB57" s="89"/>
      <c r="DC57" s="78"/>
      <c r="DD57" s="78"/>
    </row>
    <row r="58" spans="2:144" ht="44.25" customHeight="1" thickBot="1" x14ac:dyDescent="0.3">
      <c r="F58" s="486"/>
      <c r="G58" s="998"/>
      <c r="H58"/>
      <c r="I58"/>
      <c r="J58"/>
      <c r="K58"/>
      <c r="L58"/>
      <c r="M58"/>
      <c r="N58"/>
      <c r="O58" s="995"/>
      <c r="BE58" s="85"/>
      <c r="BF58" s="85"/>
      <c r="BG58" s="85"/>
      <c r="BH58" s="85"/>
      <c r="BM58" s="81" t="b">
        <f>AND(CB59&gt;0,CZ59&gt;0)</f>
        <v>1</v>
      </c>
      <c r="BN58" s="952" t="str">
        <f>IF(BM58=TRUE,"","negative force at the motor")</f>
        <v/>
      </c>
      <c r="BO58" s="1088" t="s">
        <v>128</v>
      </c>
      <c r="BP58" s="742" t="s">
        <v>27</v>
      </c>
      <c r="BQ58" s="1833"/>
      <c r="BR58" s="1834"/>
      <c r="BS58" s="1834"/>
      <c r="BT58" s="1834"/>
      <c r="BU58" s="1834"/>
      <c r="BV58" s="1834"/>
      <c r="BW58" s="1834"/>
      <c r="BX58" s="1834"/>
      <c r="BY58" s="1834"/>
      <c r="BZ58" s="1834"/>
      <c r="CA58" s="1834"/>
      <c r="CB58" s="772" t="s">
        <v>28</v>
      </c>
      <c r="CC58" s="774"/>
      <c r="CD58" s="774"/>
      <c r="CE58" s="774"/>
      <c r="CF58" s="774"/>
      <c r="CG58" s="774"/>
      <c r="CH58" s="774"/>
      <c r="CI58" s="774"/>
      <c r="CJ58" s="774"/>
      <c r="CK58" s="774"/>
      <c r="CL58" s="774"/>
      <c r="CM58" s="774"/>
      <c r="CN58" s="888"/>
      <c r="CO58" s="765"/>
      <c r="CP58" s="765"/>
      <c r="CQ58" s="765"/>
      <c r="CR58" s="765"/>
      <c r="CS58" s="889"/>
      <c r="CT58" s="889"/>
      <c r="CU58" s="888"/>
      <c r="CV58" s="888"/>
      <c r="CW58" s="888"/>
      <c r="CX58" s="888"/>
      <c r="CY58" s="888"/>
      <c r="CZ58" s="765"/>
      <c r="DA58" s="766" t="s">
        <v>29</v>
      </c>
      <c r="DB58" s="90"/>
      <c r="DC58" s="78"/>
      <c r="DD58" s="78"/>
    </row>
    <row r="59" spans="2:144" ht="45" customHeight="1" thickBot="1" x14ac:dyDescent="0.3">
      <c r="G59" s="998"/>
      <c r="H59"/>
      <c r="I59"/>
      <c r="J59"/>
      <c r="K59"/>
      <c r="L59"/>
      <c r="M59"/>
      <c r="N59"/>
      <c r="O59" s="995"/>
      <c r="BL59" s="968">
        <v>2</v>
      </c>
      <c r="BM59" s="1762" t="b">
        <f>AND(BO59&gt;=10,$BA$138&gt;=10,$BB$138&gt;=10,$BA$170&gt;=10,$BB$170&gt;=10,$BA$194&gt;=10,$BB$194&gt;=10,$BA$225&gt;=10,$BB$225&gt;=10)</f>
        <v>1</v>
      </c>
      <c r="BN59" s="84" t="str">
        <f>IF(BM59=TRUE,"O K","OVERLOAD")</f>
        <v>O K</v>
      </c>
      <c r="BO59" s="982">
        <f>+MIN(J13:L14)</f>
        <v>32.068130521472995</v>
      </c>
      <c r="BP59" s="743" t="s">
        <v>126</v>
      </c>
      <c r="BQ59" s="1835"/>
      <c r="BR59" s="1836"/>
      <c r="BS59" s="1836"/>
      <c r="BT59" s="1836"/>
      <c r="BU59" s="1836"/>
      <c r="BV59" s="1836"/>
      <c r="BW59" s="1836"/>
      <c r="BX59" s="1836"/>
      <c r="BY59" s="1836"/>
      <c r="BZ59" s="1836"/>
      <c r="CA59" s="1836"/>
      <c r="CB59" s="1840">
        <f>+((D4-D3)/D4)*C7</f>
        <v>249.46886113748218</v>
      </c>
      <c r="CC59" s="1841"/>
      <c r="CD59" s="890"/>
      <c r="CE59" s="890"/>
      <c r="CF59" s="890"/>
      <c r="CG59" s="890"/>
      <c r="CH59" s="890"/>
      <c r="CI59" s="890"/>
      <c r="CJ59" s="890"/>
      <c r="CK59" s="890"/>
      <c r="CL59" s="890"/>
      <c r="CM59" s="890"/>
      <c r="CN59" s="891"/>
      <c r="CO59" s="892"/>
      <c r="CP59" s="892"/>
      <c r="CQ59" s="892"/>
      <c r="CR59" s="892"/>
      <c r="CS59" s="893"/>
      <c r="CT59" s="893"/>
      <c r="CU59" s="883"/>
      <c r="CV59" s="883"/>
      <c r="CW59" s="883"/>
      <c r="CX59" s="883"/>
      <c r="CY59" s="883"/>
      <c r="CZ59" s="1797">
        <f>+(D3/D4)*C7</f>
        <v>58.331138862517847</v>
      </c>
      <c r="DA59" s="1798"/>
      <c r="DB59" s="92"/>
      <c r="DC59" s="78"/>
      <c r="DD59" s="78"/>
    </row>
    <row r="60" spans="2:144" ht="16" customHeight="1" thickBot="1" x14ac:dyDescent="0.3">
      <c r="G60" s="998"/>
      <c r="H60"/>
      <c r="I60"/>
      <c r="J60"/>
      <c r="K60"/>
      <c r="L60"/>
      <c r="M60"/>
      <c r="N60"/>
      <c r="O60" s="995"/>
      <c r="BN60" s="86"/>
      <c r="BO60" s="18"/>
      <c r="BP60" s="93"/>
      <c r="BQ60" s="93"/>
      <c r="BR60" s="93"/>
      <c r="BS60" s="93"/>
      <c r="BT60" s="93"/>
      <c r="BU60" s="93"/>
      <c r="BV60" s="93"/>
      <c r="BW60" s="93"/>
      <c r="BX60" s="93"/>
      <c r="BY60" s="94"/>
      <c r="BZ60" s="94"/>
      <c r="CA60" s="89"/>
      <c r="CB60" s="89"/>
      <c r="CC60" s="89"/>
      <c r="CD60" s="89"/>
      <c r="CE60" s="89"/>
      <c r="CF60" s="89"/>
      <c r="CG60" s="89"/>
      <c r="CH60" s="89"/>
      <c r="CI60" s="89"/>
      <c r="CJ60" s="89"/>
      <c r="CK60" s="89"/>
      <c r="CL60" s="89"/>
      <c r="CM60" s="89"/>
      <c r="CN60" s="37"/>
      <c r="CO60" s="95"/>
      <c r="CP60" s="95"/>
      <c r="CQ60" s="95"/>
      <c r="CR60" s="95"/>
      <c r="CS60" s="92"/>
      <c r="CT60" s="92"/>
      <c r="CU60" s="92"/>
      <c r="CV60" s="92"/>
      <c r="CW60" s="92"/>
      <c r="CX60" s="92"/>
      <c r="CY60" s="92"/>
      <c r="CZ60" s="92"/>
      <c r="DA60" s="92"/>
      <c r="DB60" s="92"/>
      <c r="DC60" s="78"/>
      <c r="DD60" s="78"/>
    </row>
    <row r="61" spans="2:144" ht="44.25" customHeight="1" thickBot="1" x14ac:dyDescent="0.25">
      <c r="E61" s="397"/>
      <c r="F61" s="397"/>
      <c r="G61" s="998"/>
      <c r="H61"/>
      <c r="I61"/>
      <c r="J61"/>
      <c r="K61"/>
      <c r="L61"/>
      <c r="M61"/>
      <c r="N61"/>
      <c r="O61" s="995"/>
      <c r="BM61" s="81" t="b">
        <f>AND(CB62&gt;0,CQ62&gt;0)</f>
        <v>1</v>
      </c>
      <c r="BN61" s="952" t="str">
        <f>IF(BM61=TRUE,"","negative force at the motor")</f>
        <v/>
      </c>
      <c r="BO61" s="1088" t="s">
        <v>128</v>
      </c>
      <c r="BP61" s="744" t="s">
        <v>27</v>
      </c>
      <c r="BQ61" s="1822"/>
      <c r="BR61" s="1823"/>
      <c r="BS61" s="1823"/>
      <c r="BT61" s="1823"/>
      <c r="BU61" s="1823"/>
      <c r="BV61" s="1823"/>
      <c r="BW61" s="1823"/>
      <c r="BX61" s="1823"/>
      <c r="BY61" s="1823"/>
      <c r="BZ61" s="1823"/>
      <c r="CA61" s="1823"/>
      <c r="CB61" s="894" t="s">
        <v>28</v>
      </c>
      <c r="CC61" s="895"/>
      <c r="CD61" s="895"/>
      <c r="CE61" s="895"/>
      <c r="CF61" s="895"/>
      <c r="CG61" s="895"/>
      <c r="CH61" s="895"/>
      <c r="CI61" s="896"/>
      <c r="CJ61" s="895"/>
      <c r="CK61" s="897"/>
      <c r="CL61" s="897"/>
      <c r="CM61" s="895"/>
      <c r="CN61" s="895"/>
      <c r="CO61" s="895"/>
      <c r="CP61" s="895"/>
      <c r="CQ61" s="895"/>
      <c r="CR61" s="898" t="s">
        <v>29</v>
      </c>
      <c r="CS61" s="1801"/>
      <c r="CT61" s="1801"/>
      <c r="CU61" s="1801"/>
      <c r="CV61" s="1801"/>
      <c r="CW61" s="1801"/>
      <c r="CX61" s="1801"/>
      <c r="CY61" s="1801"/>
      <c r="CZ61" s="1801"/>
      <c r="DA61" s="1802"/>
      <c r="DB61" s="89"/>
      <c r="DC61" s="78"/>
      <c r="DD61" s="78"/>
    </row>
    <row r="62" spans="2:144" ht="45" customHeight="1" thickBot="1" x14ac:dyDescent="0.3">
      <c r="E62" s="397"/>
      <c r="F62" s="397"/>
      <c r="G62" s="998"/>
      <c r="H62"/>
      <c r="I62"/>
      <c r="J62"/>
      <c r="K62"/>
      <c r="L62"/>
      <c r="M62"/>
      <c r="N62"/>
      <c r="O62" s="995"/>
      <c r="BL62" s="968">
        <v>3</v>
      </c>
      <c r="BM62" s="1762" t="b">
        <f>AND(BO62&gt;=10,$BA$138&gt;=10,$BB$138&gt;=10,$BA$170&gt;=10,$BB$170&gt;=10,$BA$194&gt;=10,$BB$194&gt;=10,$BA$225&gt;=10,$BB$225&gt;=10)</f>
        <v>1</v>
      </c>
      <c r="BN62" s="84" t="str">
        <f>IF(BM62=TRUE,"O K","OVERLOAD")</f>
        <v>O K</v>
      </c>
      <c r="BO62" s="983">
        <f>+$E$22/(MAX(CB62,CQ62))</f>
        <v>36.92462283876575</v>
      </c>
      <c r="BP62" s="745" t="s">
        <v>123</v>
      </c>
      <c r="BQ62" s="1824"/>
      <c r="BR62" s="1825"/>
      <c r="BS62" s="1825"/>
      <c r="BT62" s="1825"/>
      <c r="BU62" s="1825"/>
      <c r="BV62" s="1825"/>
      <c r="BW62" s="1825"/>
      <c r="BX62" s="1825"/>
      <c r="BY62" s="1825"/>
      <c r="BZ62" s="1825"/>
      <c r="CA62" s="1825"/>
      <c r="CB62" s="1807">
        <f>+((D2-D3)/D2)*C7</f>
        <v>216.65759552731589</v>
      </c>
      <c r="CC62" s="1808"/>
      <c r="CD62" s="899"/>
      <c r="CE62" s="899"/>
      <c r="CF62" s="899"/>
      <c r="CG62" s="899"/>
      <c r="CH62" s="899"/>
      <c r="CI62" s="900"/>
      <c r="CJ62" s="899"/>
      <c r="CK62" s="901"/>
      <c r="CL62" s="901"/>
      <c r="CM62" s="902"/>
      <c r="CN62" s="902"/>
      <c r="CO62" s="902"/>
      <c r="CP62" s="902"/>
      <c r="CQ62" s="1795">
        <f>+(D3/D2)*C7</f>
        <v>91.142404472684134</v>
      </c>
      <c r="CR62" s="1796"/>
      <c r="CS62" s="1803"/>
      <c r="CT62" s="1803"/>
      <c r="CU62" s="1803"/>
      <c r="CV62" s="1803"/>
      <c r="CW62" s="1803"/>
      <c r="CX62" s="1803"/>
      <c r="CY62" s="1803"/>
      <c r="CZ62" s="1803"/>
      <c r="DA62" s="1804"/>
      <c r="DB62" s="89"/>
      <c r="DC62" s="78"/>
      <c r="DD62" s="78"/>
    </row>
    <row r="63" spans="2:144" ht="16" customHeight="1" thickBot="1" x14ac:dyDescent="0.3">
      <c r="E63" s="397"/>
      <c r="F63" s="397"/>
      <c r="G63" s="998"/>
      <c r="H63"/>
      <c r="I63"/>
      <c r="J63"/>
      <c r="K63"/>
      <c r="L63"/>
      <c r="M63"/>
      <c r="N63"/>
      <c r="O63" s="995"/>
      <c r="BN63" s="86"/>
      <c r="BO63" s="18"/>
      <c r="BP63" s="93"/>
      <c r="BQ63" s="93"/>
      <c r="BR63" s="93"/>
      <c r="BS63" s="93"/>
      <c r="BT63" s="93"/>
      <c r="BU63" s="93"/>
      <c r="BV63" s="93"/>
      <c r="BW63" s="93"/>
      <c r="BX63" s="93"/>
      <c r="BY63" s="94"/>
      <c r="BZ63" s="94"/>
      <c r="CA63" s="89"/>
      <c r="CB63" s="89"/>
      <c r="CC63" s="89"/>
      <c r="CD63" s="89"/>
      <c r="CE63" s="89"/>
      <c r="CF63" s="89"/>
      <c r="CG63" s="89"/>
      <c r="CH63" s="89"/>
      <c r="CI63" s="89"/>
      <c r="CJ63" s="89"/>
      <c r="CK63" s="93"/>
      <c r="CL63" s="89"/>
      <c r="CM63" s="89"/>
      <c r="CN63" s="37"/>
      <c r="CO63" s="95"/>
      <c r="CP63" s="95"/>
      <c r="CQ63" s="95"/>
      <c r="CR63" s="95"/>
      <c r="CS63" s="92"/>
      <c r="CT63" s="92"/>
      <c r="CU63" s="92"/>
      <c r="CV63" s="92"/>
      <c r="CW63" s="92"/>
      <c r="CX63" s="92"/>
      <c r="CY63" s="92"/>
      <c r="CZ63" s="92"/>
      <c r="DA63" s="92"/>
      <c r="DB63" s="92"/>
      <c r="DC63" s="78"/>
      <c r="DD63" s="78"/>
    </row>
    <row r="64" spans="2:144" ht="16" hidden="1" customHeight="1" x14ac:dyDescent="0.2">
      <c r="B64" s="399"/>
      <c r="C64" s="399"/>
      <c r="D64" s="397"/>
      <c r="E64" s="397"/>
      <c r="F64" s="397"/>
      <c r="G64" s="998"/>
      <c r="H64"/>
      <c r="I64"/>
      <c r="J64"/>
      <c r="K64"/>
      <c r="L64"/>
      <c r="M64"/>
      <c r="N64"/>
      <c r="O64" s="995"/>
      <c r="U64" s="114"/>
      <c r="AB64" s="114"/>
      <c r="AC64" s="114"/>
      <c r="AD64" s="114"/>
      <c r="AE64" s="114"/>
      <c r="BE64" s="136"/>
      <c r="BF64" s="136"/>
      <c r="BG64" s="136"/>
      <c r="BH64" s="136"/>
      <c r="BN64" s="86"/>
    </row>
    <row r="65" spans="2:144" hidden="1" x14ac:dyDescent="0.2">
      <c r="B65" s="399"/>
      <c r="C65" s="399"/>
      <c r="D65" s="397"/>
      <c r="E65" s="397"/>
      <c r="F65" s="397"/>
      <c r="G65" s="998"/>
      <c r="H65"/>
      <c r="I65"/>
      <c r="J65"/>
      <c r="K65"/>
      <c r="L65"/>
      <c r="M65"/>
      <c r="N65"/>
      <c r="O65" s="995"/>
      <c r="U65" s="114"/>
      <c r="AB65" s="114"/>
      <c r="AC65" s="114"/>
      <c r="AD65" s="114"/>
      <c r="AE65" s="114"/>
      <c r="BE65" s="136"/>
      <c r="BF65" s="136"/>
      <c r="BG65" s="136"/>
      <c r="BH65" s="136"/>
      <c r="BN65" s="86"/>
    </row>
    <row r="66" spans="2:144" ht="23" hidden="1" x14ac:dyDescent="0.25">
      <c r="B66" s="399"/>
      <c r="C66" s="399"/>
      <c r="D66" s="397"/>
      <c r="E66" s="397"/>
      <c r="F66" s="397"/>
      <c r="G66" s="998"/>
      <c r="H66"/>
      <c r="I66"/>
      <c r="J66"/>
      <c r="K66"/>
      <c r="L66"/>
      <c r="M66"/>
      <c r="N66"/>
      <c r="O66" s="995"/>
      <c r="U66" s="114"/>
      <c r="AB66" s="114"/>
      <c r="AC66" s="114"/>
      <c r="AD66" s="114"/>
      <c r="AE66" s="114"/>
      <c r="BE66" s="136"/>
      <c r="BF66" s="136"/>
      <c r="BG66" s="136"/>
      <c r="BH66" s="136"/>
      <c r="BN66" s="86"/>
      <c r="BO66" s="17"/>
      <c r="BP66" s="177"/>
      <c r="BQ66" s="178"/>
      <c r="BR66" s="178"/>
      <c r="BS66" s="178"/>
      <c r="BT66" s="178"/>
      <c r="BU66" s="178"/>
      <c r="BV66" s="178"/>
      <c r="BW66" s="178"/>
      <c r="BX66" s="178"/>
      <c r="BY66" s="179"/>
      <c r="BZ66" s="179"/>
      <c r="CA66" s="180"/>
      <c r="CB66" s="180"/>
      <c r="CC66" s="180"/>
      <c r="CD66" s="180"/>
      <c r="CE66" s="180"/>
      <c r="CF66" s="180"/>
      <c r="CG66" s="180"/>
      <c r="CH66" s="180"/>
      <c r="CI66" s="37"/>
      <c r="CJ66" s="89"/>
      <c r="CK66" s="181"/>
      <c r="CL66" s="181"/>
      <c r="CM66" s="89"/>
      <c r="CN66" s="89"/>
      <c r="CO66" s="89"/>
      <c r="CP66" s="89"/>
      <c r="CQ66" s="89"/>
      <c r="CR66" s="89"/>
      <c r="CS66" s="89"/>
      <c r="CT66" s="89"/>
      <c r="CU66" s="89"/>
      <c r="CV66" s="89"/>
      <c r="CW66" s="178"/>
      <c r="CX66" s="178"/>
      <c r="CY66" s="178"/>
      <c r="CZ66" s="178"/>
      <c r="DA66" s="178"/>
      <c r="DB66" s="178"/>
      <c r="DC66" s="178"/>
      <c r="DD66" s="178"/>
    </row>
    <row r="67" spans="2:144" ht="24" hidden="1" thickBot="1" x14ac:dyDescent="0.3">
      <c r="B67" s="399"/>
      <c r="C67" s="399"/>
      <c r="D67" s="397"/>
      <c r="E67" s="397"/>
      <c r="F67" s="397"/>
      <c r="G67" s="998"/>
      <c r="H67"/>
      <c r="I67"/>
      <c r="J67"/>
      <c r="K67"/>
      <c r="L67"/>
      <c r="M67"/>
      <c r="N67"/>
      <c r="O67" s="995"/>
      <c r="U67" s="114"/>
      <c r="AB67" s="114"/>
      <c r="AC67" s="114"/>
      <c r="AD67" s="114"/>
      <c r="AE67" s="114"/>
      <c r="BE67" s="136"/>
      <c r="BF67" s="136"/>
      <c r="BG67" s="136"/>
      <c r="BH67" s="136"/>
      <c r="BN67" s="86"/>
      <c r="BO67" s="17"/>
      <c r="BP67" s="177"/>
      <c r="BQ67" s="178"/>
      <c r="BR67" s="178"/>
      <c r="BS67" s="178"/>
      <c r="BT67" s="178"/>
      <c r="BU67" s="178"/>
      <c r="BV67" s="178"/>
      <c r="BW67" s="178"/>
      <c r="BX67" s="178"/>
      <c r="BY67" s="179"/>
      <c r="BZ67" s="179"/>
      <c r="CA67" s="180"/>
      <c r="CB67" s="180"/>
      <c r="CC67" s="180"/>
      <c r="CD67" s="180"/>
      <c r="CE67" s="180"/>
      <c r="CF67" s="180"/>
      <c r="CG67" s="180"/>
      <c r="CH67" s="180"/>
      <c r="CI67" s="37"/>
      <c r="CJ67" s="89"/>
      <c r="CK67" s="181"/>
      <c r="CL67" s="181"/>
      <c r="CM67" s="89"/>
      <c r="CN67" s="89"/>
      <c r="CO67" s="89"/>
      <c r="CP67" s="89"/>
      <c r="CQ67" s="89"/>
      <c r="CR67" s="89"/>
      <c r="CS67" s="89"/>
      <c r="CT67" s="89"/>
      <c r="CU67" s="89"/>
      <c r="CV67" s="89"/>
      <c r="CW67" s="178"/>
      <c r="CX67" s="178"/>
      <c r="CY67" s="178"/>
      <c r="CZ67" s="178"/>
      <c r="DA67" s="178"/>
      <c r="DB67" s="178"/>
      <c r="DC67" s="178"/>
      <c r="DD67" s="178"/>
    </row>
    <row r="68" spans="2:144" ht="24" hidden="1" thickBot="1" x14ac:dyDescent="0.3">
      <c r="B68" s="399"/>
      <c r="C68" s="399"/>
      <c r="D68" s="397"/>
      <c r="E68" s="397"/>
      <c r="F68" s="397"/>
      <c r="G68" s="998"/>
      <c r="H68"/>
      <c r="I68"/>
      <c r="J68"/>
      <c r="K68"/>
      <c r="L68"/>
      <c r="M68"/>
      <c r="N68"/>
      <c r="O68" s="995"/>
      <c r="U68" s="114"/>
      <c r="AB68" s="114"/>
      <c r="AC68" s="114"/>
      <c r="AD68" s="114"/>
      <c r="AE68" s="114"/>
      <c r="BE68" s="136"/>
      <c r="BF68" s="136"/>
      <c r="BG68" s="136"/>
      <c r="BH68" s="136"/>
      <c r="BN68" s="86"/>
      <c r="BO68" s="17"/>
      <c r="BP68" s="177"/>
      <c r="BQ68" s="178"/>
      <c r="BR68" s="178"/>
      <c r="BS68" s="178"/>
      <c r="BT68" s="178"/>
      <c r="BU68" s="178"/>
      <c r="BV68" s="178"/>
      <c r="BW68" s="178"/>
      <c r="BX68" s="178"/>
      <c r="BY68" s="179"/>
      <c r="BZ68" s="179"/>
      <c r="CA68" s="182">
        <v>16</v>
      </c>
      <c r="CB68" s="180"/>
      <c r="CC68" s="180"/>
      <c r="CD68" s="180"/>
      <c r="CE68" s="180"/>
      <c r="CF68" s="180"/>
      <c r="CG68" s="180"/>
      <c r="CH68" s="180"/>
      <c r="CI68" s="37"/>
      <c r="CJ68" s="89"/>
      <c r="CK68" s="181"/>
      <c r="CL68" s="181"/>
      <c r="CM68" s="89"/>
      <c r="CN68" s="89"/>
      <c r="CO68" s="89"/>
      <c r="CP68" s="117" t="b">
        <f>IF(CQ86=27,15)</f>
        <v>0</v>
      </c>
      <c r="CQ68" s="183"/>
      <c r="CR68" s="103" t="b">
        <f>IF(CQ86=27,17)</f>
        <v>0</v>
      </c>
      <c r="CS68" s="89"/>
      <c r="CT68" s="89"/>
      <c r="CU68" s="89"/>
      <c r="CV68" s="89"/>
      <c r="CW68" s="178"/>
      <c r="CX68" s="178"/>
      <c r="CY68" s="178"/>
      <c r="CZ68" s="178"/>
      <c r="DA68" s="178"/>
      <c r="DB68" s="178"/>
      <c r="DC68" s="178"/>
      <c r="DD68" s="178"/>
      <c r="DG68" s="1814"/>
      <c r="DH68" s="1814"/>
      <c r="DI68" s="76"/>
      <c r="DJ68" s="76"/>
      <c r="DK68" s="77"/>
      <c r="DL68" s="78"/>
      <c r="DM68" s="78"/>
      <c r="DN68" s="78"/>
      <c r="DO68" s="78"/>
      <c r="DP68" s="78"/>
      <c r="DQ68" s="78"/>
      <c r="DR68" s="78"/>
      <c r="DS68" s="78"/>
      <c r="DT68" s="78"/>
      <c r="DU68" s="78"/>
      <c r="DV68" s="78"/>
      <c r="DW68" s="78"/>
      <c r="DX68" s="78"/>
      <c r="DY68" s="78"/>
      <c r="DZ68" s="78"/>
      <c r="EA68" s="78"/>
      <c r="EB68" s="78"/>
      <c r="EC68" s="78"/>
      <c r="ED68" s="78"/>
      <c r="EE68" s="78"/>
      <c r="EF68" s="78"/>
      <c r="EG68" s="78"/>
      <c r="EH68" s="78"/>
      <c r="EI68" s="78"/>
      <c r="EJ68" s="78"/>
      <c r="EK68" s="78"/>
      <c r="EL68" s="78"/>
      <c r="EM68" s="74"/>
      <c r="EN68" s="74"/>
    </row>
    <row r="69" spans="2:144" ht="24" hidden="1" thickBot="1" x14ac:dyDescent="0.3">
      <c r="B69" s="64"/>
      <c r="C69" s="399"/>
      <c r="E69" s="64"/>
      <c r="G69" s="998"/>
      <c r="H69"/>
      <c r="I69"/>
      <c r="J69"/>
      <c r="K69"/>
      <c r="L69"/>
      <c r="M69"/>
      <c r="N69"/>
      <c r="O69" s="995"/>
      <c r="U69" s="114"/>
      <c r="AB69" s="114"/>
      <c r="AC69" s="114"/>
      <c r="AD69" s="114"/>
      <c r="AE69" s="114"/>
      <c r="BE69" s="136"/>
      <c r="BF69" s="136"/>
      <c r="BG69" s="136"/>
      <c r="BH69" s="136"/>
      <c r="BN69" s="86"/>
      <c r="BO69" s="17"/>
      <c r="BP69" s="177"/>
      <c r="BQ69" s="178"/>
      <c r="BR69" s="178"/>
      <c r="BS69" s="178"/>
      <c r="BT69" s="178"/>
      <c r="BU69" s="178"/>
      <c r="BV69" s="178"/>
      <c r="BW69" s="178"/>
      <c r="BX69" s="178"/>
      <c r="BY69" s="179"/>
      <c r="BZ69" s="179"/>
      <c r="CA69" s="182">
        <v>15</v>
      </c>
      <c r="CB69" s="180"/>
      <c r="CC69" s="180"/>
      <c r="CD69" s="180"/>
      <c r="CE69" s="180"/>
      <c r="CF69" s="180"/>
      <c r="CG69" s="180"/>
      <c r="CH69" s="180"/>
      <c r="CI69" s="37"/>
      <c r="CJ69" s="89"/>
      <c r="CK69" s="181"/>
      <c r="CL69" s="181"/>
      <c r="CM69" s="89"/>
      <c r="CN69" s="117" t="b">
        <f>IF(CP86=26,13)</f>
        <v>0</v>
      </c>
      <c r="CO69" s="183"/>
      <c r="CP69" s="183"/>
      <c r="CQ69" s="183"/>
      <c r="CR69" s="103" t="b">
        <f>IF(CP86=26,17)</f>
        <v>0</v>
      </c>
      <c r="CS69" s="89"/>
      <c r="CT69" s="89"/>
      <c r="CU69" s="89"/>
      <c r="CV69" s="89"/>
      <c r="CW69" s="178"/>
      <c r="CX69" s="178"/>
      <c r="CY69" s="178"/>
      <c r="CZ69" s="178"/>
      <c r="DA69" s="178"/>
      <c r="DB69" s="178"/>
      <c r="DC69" s="178"/>
      <c r="DD69" s="178"/>
      <c r="EK69" s="78"/>
      <c r="EL69" s="78"/>
    </row>
    <row r="70" spans="2:144" ht="31" hidden="1" thickBot="1" x14ac:dyDescent="0.35">
      <c r="B70" s="67"/>
      <c r="C70" s="399"/>
      <c r="E70" s="68"/>
      <c r="G70" s="998"/>
      <c r="H70"/>
      <c r="I70"/>
      <c r="J70"/>
      <c r="K70"/>
      <c r="L70"/>
      <c r="M70"/>
      <c r="N70"/>
      <c r="O70" s="995"/>
      <c r="U70" s="114"/>
      <c r="AB70" s="114"/>
      <c r="AC70" s="114"/>
      <c r="AD70" s="114"/>
      <c r="AE70" s="114"/>
      <c r="BE70" s="136"/>
      <c r="BF70" s="136"/>
      <c r="BG70" s="136"/>
      <c r="BH70" s="136"/>
      <c r="BN70" s="86"/>
      <c r="BO70" s="17"/>
      <c r="BP70" s="177"/>
      <c r="BQ70" s="178"/>
      <c r="BR70" s="178"/>
      <c r="BS70" s="178"/>
      <c r="BT70" s="178"/>
      <c r="BU70" s="178"/>
      <c r="BV70" s="178"/>
      <c r="BW70" s="178"/>
      <c r="BX70" s="178"/>
      <c r="BY70" s="179"/>
      <c r="BZ70" s="179"/>
      <c r="CA70" s="182">
        <v>14</v>
      </c>
      <c r="CB70" s="180"/>
      <c r="CC70" s="180"/>
      <c r="CD70" s="180"/>
      <c r="CE70" s="180"/>
      <c r="CF70" s="180"/>
      <c r="CG70" s="180"/>
      <c r="CH70" s="180"/>
      <c r="CI70" s="37"/>
      <c r="CJ70" s="89"/>
      <c r="CK70" s="181"/>
      <c r="CL70" s="117" t="b">
        <f>IF(CO86=25,11)</f>
        <v>0</v>
      </c>
      <c r="CM70" s="183"/>
      <c r="CN70" s="184"/>
      <c r="CO70" s="184"/>
      <c r="CP70" s="184"/>
      <c r="CQ70" s="184"/>
      <c r="CR70" s="124" t="b">
        <f>IF(CO86=25,17)</f>
        <v>0</v>
      </c>
      <c r="CS70" s="89"/>
      <c r="CT70" s="89"/>
      <c r="CU70" s="89"/>
      <c r="CV70" s="89"/>
      <c r="CW70" s="178"/>
      <c r="CX70" s="178"/>
      <c r="CY70" s="178"/>
      <c r="CZ70" s="178"/>
      <c r="DA70" s="178"/>
      <c r="DB70" s="178"/>
      <c r="DC70" s="178"/>
      <c r="DD70" s="178"/>
      <c r="EK70" s="78"/>
      <c r="EL70" s="78"/>
    </row>
    <row r="71" spans="2:144" ht="21" hidden="1" thickBot="1" x14ac:dyDescent="0.25">
      <c r="B71" s="487"/>
      <c r="C71" s="487"/>
      <c r="D71" s="487"/>
      <c r="E71" s="487"/>
      <c r="G71" s="998"/>
      <c r="H71"/>
      <c r="I71"/>
      <c r="J71"/>
      <c r="K71"/>
      <c r="L71"/>
      <c r="M71"/>
      <c r="N71"/>
      <c r="O71" s="995"/>
      <c r="U71" s="114"/>
      <c r="AB71" s="114"/>
      <c r="AC71" s="114"/>
      <c r="AD71" s="114"/>
      <c r="AE71" s="114"/>
      <c r="BE71" s="136"/>
      <c r="BF71" s="136"/>
      <c r="BG71" s="136"/>
      <c r="BH71" s="136"/>
      <c r="BN71" s="86"/>
      <c r="BO71" s="1091"/>
      <c r="BP71" s="177"/>
      <c r="BQ71" s="178"/>
      <c r="BR71" s="178"/>
      <c r="BS71" s="178"/>
      <c r="BT71" s="178"/>
      <c r="BU71" s="178"/>
      <c r="BV71" s="178"/>
      <c r="BW71" s="178"/>
      <c r="BX71" s="178"/>
      <c r="CA71" s="182">
        <v>13</v>
      </c>
      <c r="CB71" s="178"/>
      <c r="CC71" s="177"/>
      <c r="CD71" s="177"/>
      <c r="CE71" s="177"/>
      <c r="CF71" s="177"/>
      <c r="CG71" s="177"/>
      <c r="CH71" s="177"/>
      <c r="CI71" s="177"/>
      <c r="CJ71" s="117" t="b">
        <f>IF(CN86=24,9)</f>
        <v>0</v>
      </c>
      <c r="CK71" s="185"/>
      <c r="CL71" s="186"/>
      <c r="CM71" s="122"/>
      <c r="CN71" s="186"/>
      <c r="CO71" s="122"/>
      <c r="CP71" s="122"/>
      <c r="CQ71" s="121"/>
      <c r="CR71" s="124" t="b">
        <f>IF(CN86=24,17)</f>
        <v>0</v>
      </c>
      <c r="CS71" s="78"/>
      <c r="CT71" s="78"/>
      <c r="CU71" s="78"/>
      <c r="CV71" s="78"/>
      <c r="CW71" s="78"/>
      <c r="CX71" s="78"/>
      <c r="CY71" s="78"/>
      <c r="CZ71" s="78"/>
      <c r="DA71" s="78"/>
      <c r="DB71" s="78"/>
      <c r="DC71" s="78"/>
      <c r="DD71" s="78"/>
      <c r="EK71" s="78"/>
      <c r="EL71" s="78"/>
    </row>
    <row r="72" spans="2:144" ht="21" hidden="1" thickBot="1" x14ac:dyDescent="0.25">
      <c r="B72" s="488"/>
      <c r="C72" s="489"/>
      <c r="D72" s="488"/>
      <c r="E72" s="488"/>
      <c r="G72" s="998"/>
      <c r="H72"/>
      <c r="I72"/>
      <c r="J72"/>
      <c r="K72"/>
      <c r="L72"/>
      <c r="M72"/>
      <c r="N72"/>
      <c r="O72" s="995"/>
      <c r="U72" s="114"/>
      <c r="AB72" s="114"/>
      <c r="AC72" s="114"/>
      <c r="AD72" s="114"/>
      <c r="AE72" s="114"/>
      <c r="BE72" s="136"/>
      <c r="BF72" s="136"/>
      <c r="BG72" s="136"/>
      <c r="BH72" s="136"/>
      <c r="BN72" s="86"/>
      <c r="BO72" s="1091"/>
      <c r="BP72" s="177"/>
      <c r="BQ72" s="177"/>
      <c r="BR72" s="178"/>
      <c r="BS72" s="177"/>
      <c r="BT72" s="177"/>
      <c r="BU72" s="177"/>
      <c r="CA72" s="182">
        <v>12</v>
      </c>
      <c r="CB72" s="178"/>
      <c r="CC72" s="177"/>
      <c r="CD72" s="177"/>
      <c r="CE72" s="177"/>
      <c r="CF72" s="177"/>
      <c r="CG72" s="177"/>
      <c r="CH72" s="117" t="b">
        <f>IF(CM86=23,7)</f>
        <v>0</v>
      </c>
      <c r="CI72" s="185"/>
      <c r="CJ72" s="185"/>
      <c r="CK72" s="118"/>
      <c r="CL72" s="185"/>
      <c r="CM72" s="185"/>
      <c r="CN72" s="185"/>
      <c r="CO72" s="118"/>
      <c r="CP72" s="118"/>
      <c r="CQ72" s="111"/>
      <c r="CR72" s="103" t="b">
        <f>IF(CM86=23,17)</f>
        <v>0</v>
      </c>
      <c r="CS72" s="78"/>
      <c r="CT72" s="78"/>
      <c r="CU72" s="78"/>
      <c r="CV72" s="78"/>
      <c r="CW72" s="78"/>
      <c r="CX72" s="78"/>
      <c r="CY72" s="78"/>
      <c r="CZ72" s="78"/>
      <c r="DA72" s="78"/>
      <c r="DB72" s="78"/>
      <c r="DC72" s="78"/>
      <c r="DD72" s="78"/>
      <c r="EK72" s="78"/>
      <c r="EL72" s="78"/>
    </row>
    <row r="73" spans="2:144" ht="21" hidden="1" thickBot="1" x14ac:dyDescent="0.25">
      <c r="B73" s="399"/>
      <c r="C73" s="399"/>
      <c r="G73" s="998"/>
      <c r="H73"/>
      <c r="I73"/>
      <c r="J73"/>
      <c r="K73"/>
      <c r="L73"/>
      <c r="M73"/>
      <c r="N73"/>
      <c r="O73" s="995"/>
      <c r="U73" s="114"/>
      <c r="AB73" s="114"/>
      <c r="AC73" s="114"/>
      <c r="AD73" s="114"/>
      <c r="AE73" s="114"/>
      <c r="BE73" s="136"/>
      <c r="BF73" s="136"/>
      <c r="BG73" s="136"/>
      <c r="BH73" s="136"/>
      <c r="BN73" s="86"/>
      <c r="BO73" s="1091"/>
      <c r="BP73" s="177"/>
      <c r="BQ73" s="177"/>
      <c r="BR73" s="178"/>
      <c r="BS73" s="177"/>
      <c r="BT73" s="177"/>
      <c r="BU73" s="177"/>
      <c r="CA73" s="182">
        <v>11</v>
      </c>
      <c r="CB73" s="178"/>
      <c r="CC73" s="177"/>
      <c r="CD73" s="177"/>
      <c r="CE73" s="177"/>
      <c r="CF73" s="117" t="b">
        <f>IF(CL86=22,5)</f>
        <v>0</v>
      </c>
      <c r="CG73" s="185"/>
      <c r="CH73" s="185"/>
      <c r="CI73" s="118"/>
      <c r="CJ73" s="185"/>
      <c r="CK73" s="118"/>
      <c r="CL73" s="185"/>
      <c r="CM73" s="118"/>
      <c r="CN73" s="185"/>
      <c r="CO73" s="118"/>
      <c r="CP73" s="118"/>
      <c r="CQ73" s="111"/>
      <c r="CR73" s="103" t="b">
        <f>IF(CL86=22,17)</f>
        <v>0</v>
      </c>
      <c r="CS73" s="78"/>
      <c r="CT73" s="78"/>
      <c r="CU73" s="78"/>
      <c r="CV73" s="78"/>
      <c r="CW73" s="78"/>
      <c r="CX73" s="78"/>
      <c r="CY73" s="78"/>
      <c r="CZ73" s="78"/>
      <c r="DA73" s="78"/>
      <c r="DB73" s="78"/>
      <c r="DC73" s="78"/>
      <c r="DD73" s="78"/>
      <c r="DG73" s="107"/>
      <c r="DH73" s="107"/>
      <c r="DI73" s="107"/>
      <c r="DJ73" s="107"/>
      <c r="DK73" s="107"/>
      <c r="DL73" s="108"/>
      <c r="DM73" s="107"/>
      <c r="DN73" s="107"/>
      <c r="DO73" s="107"/>
      <c r="DP73" s="107"/>
      <c r="DQ73" s="107"/>
      <c r="DR73" s="107"/>
      <c r="DS73" s="107"/>
      <c r="DT73" s="107"/>
      <c r="DU73" s="107"/>
      <c r="DV73" s="107"/>
      <c r="DW73" s="107"/>
      <c r="DX73" s="107"/>
      <c r="DY73" s="107"/>
      <c r="DZ73" s="107"/>
      <c r="EA73" s="107"/>
      <c r="EB73" s="107"/>
      <c r="EC73" s="107"/>
      <c r="ED73" s="108"/>
      <c r="EE73" s="78"/>
      <c r="EF73" s="78"/>
      <c r="EG73" s="78"/>
      <c r="EH73" s="78"/>
      <c r="EI73" s="78"/>
      <c r="EJ73" s="78"/>
      <c r="EK73" s="78"/>
      <c r="EL73" s="78"/>
    </row>
    <row r="74" spans="2:144" ht="21" hidden="1" thickBot="1" x14ac:dyDescent="0.25">
      <c r="B74" s="490"/>
      <c r="C74" s="399"/>
      <c r="D74" s="491"/>
      <c r="E74" s="492"/>
      <c r="F74" s="397"/>
      <c r="G74" s="998"/>
      <c r="H74"/>
      <c r="I74"/>
      <c r="J74"/>
      <c r="K74"/>
      <c r="L74"/>
      <c r="M74"/>
      <c r="N74"/>
      <c r="O74" s="995"/>
      <c r="U74" s="114"/>
      <c r="AB74" s="114"/>
      <c r="AC74" s="114"/>
      <c r="AD74" s="114"/>
      <c r="AE74" s="114"/>
      <c r="BE74" s="136"/>
      <c r="BF74" s="136"/>
      <c r="BG74" s="136"/>
      <c r="BH74" s="136"/>
      <c r="BN74" s="86"/>
      <c r="BO74" s="1091"/>
      <c r="BP74" s="177"/>
      <c r="BQ74" s="177"/>
      <c r="BR74" s="178"/>
      <c r="BS74" s="177"/>
      <c r="BT74" s="177"/>
      <c r="BU74" s="177"/>
      <c r="CA74" s="182">
        <v>10</v>
      </c>
      <c r="CB74" s="178"/>
      <c r="CC74" s="177"/>
      <c r="CD74" s="117" t="b">
        <f>IF(CK86=21,3)</f>
        <v>0</v>
      </c>
      <c r="CE74" s="185"/>
      <c r="CF74" s="185"/>
      <c r="CG74" s="118"/>
      <c r="CH74" s="118"/>
      <c r="CI74" s="118"/>
      <c r="CJ74" s="185"/>
      <c r="CK74" s="185"/>
      <c r="CL74" s="185"/>
      <c r="CM74" s="118"/>
      <c r="CN74" s="185"/>
      <c r="CO74" s="118"/>
      <c r="CP74" s="118"/>
      <c r="CQ74" s="111"/>
      <c r="CR74" s="103" t="b">
        <f>IF(CK86=21,17)</f>
        <v>0</v>
      </c>
      <c r="CS74" s="78"/>
      <c r="CT74" s="78"/>
      <c r="CU74" s="78"/>
      <c r="CV74" s="78"/>
      <c r="CW74" s="78"/>
      <c r="CX74" s="78"/>
      <c r="CY74" s="78"/>
      <c r="CZ74" s="78"/>
      <c r="DA74" s="78"/>
      <c r="DB74" s="78"/>
      <c r="DC74" s="78"/>
      <c r="DD74" s="78"/>
      <c r="DG74" s="107"/>
      <c r="DH74" s="107"/>
      <c r="DI74" s="107"/>
      <c r="DJ74" s="107"/>
      <c r="DK74" s="107"/>
      <c r="DL74" s="108"/>
      <c r="DM74" s="107"/>
      <c r="DN74" s="107"/>
      <c r="DO74" s="107"/>
      <c r="DP74" s="107"/>
      <c r="DQ74" s="107"/>
      <c r="DR74" s="107"/>
      <c r="DS74" s="107"/>
      <c r="DT74" s="107"/>
      <c r="DU74" s="107"/>
      <c r="DV74" s="107"/>
      <c r="DW74" s="107"/>
      <c r="DX74" s="107"/>
      <c r="DY74" s="107"/>
      <c r="DZ74" s="107"/>
      <c r="EA74" s="107"/>
      <c r="EB74" s="107"/>
      <c r="EC74" s="107"/>
      <c r="ED74" s="108"/>
      <c r="EE74" s="78"/>
      <c r="EF74" s="78"/>
      <c r="EG74" s="78"/>
      <c r="EH74" s="78"/>
      <c r="EI74" s="78"/>
      <c r="EJ74" s="78"/>
      <c r="EK74" s="78"/>
      <c r="EL74" s="78"/>
    </row>
    <row r="75" spans="2:144" ht="21" hidden="1" thickBot="1" x14ac:dyDescent="0.25">
      <c r="B75" s="488"/>
      <c r="C75" s="399"/>
      <c r="D75" s="488"/>
      <c r="E75" s="20"/>
      <c r="F75" s="397"/>
      <c r="G75" s="998"/>
      <c r="H75"/>
      <c r="I75"/>
      <c r="J75"/>
      <c r="K75"/>
      <c r="L75"/>
      <c r="M75"/>
      <c r="N75"/>
      <c r="O75" s="995"/>
      <c r="U75" s="114"/>
      <c r="AB75" s="114"/>
      <c r="AC75" s="114"/>
      <c r="AD75" s="114"/>
      <c r="AE75" s="114"/>
      <c r="BE75" s="136"/>
      <c r="BF75" s="136"/>
      <c r="BG75" s="136"/>
      <c r="BH75" s="136"/>
      <c r="BN75" s="86"/>
      <c r="BO75" s="1091"/>
      <c r="BP75" s="177"/>
      <c r="BQ75" s="177"/>
      <c r="BR75" s="178"/>
      <c r="BS75" s="177"/>
      <c r="BT75" s="177"/>
      <c r="BU75" s="177"/>
      <c r="CA75" s="182">
        <v>9</v>
      </c>
      <c r="CB75" s="117" t="b">
        <f>IF(CJ86=20,1)</f>
        <v>0</v>
      </c>
      <c r="CC75" s="185"/>
      <c r="CD75" s="185"/>
      <c r="CE75" s="118"/>
      <c r="CF75" s="185"/>
      <c r="CG75" s="185"/>
      <c r="CH75" s="185"/>
      <c r="CI75" s="185"/>
      <c r="CJ75" s="185"/>
      <c r="CK75" s="185"/>
      <c r="CL75" s="185"/>
      <c r="CM75" s="185"/>
      <c r="CN75" s="185"/>
      <c r="CO75" s="118"/>
      <c r="CP75" s="118"/>
      <c r="CQ75" s="111"/>
      <c r="CR75" s="103" t="b">
        <f>IF(CJ86=20,17)</f>
        <v>0</v>
      </c>
      <c r="CS75" s="78"/>
      <c r="CT75" s="78"/>
      <c r="CU75" s="78"/>
      <c r="CV75" s="78"/>
      <c r="CW75" s="78"/>
      <c r="CX75" s="78"/>
      <c r="CY75" s="78"/>
      <c r="CZ75" s="78"/>
      <c r="DA75" s="78"/>
      <c r="DB75" s="78"/>
      <c r="DC75" s="78"/>
      <c r="DD75" s="78"/>
      <c r="EK75" s="78"/>
      <c r="EL75" s="78"/>
    </row>
    <row r="76" spans="2:144" ht="21" hidden="1" thickBot="1" x14ac:dyDescent="0.25">
      <c r="B76" s="399"/>
      <c r="C76" s="399"/>
      <c r="F76" s="397"/>
      <c r="G76" s="998"/>
      <c r="H76"/>
      <c r="I76"/>
      <c r="J76"/>
      <c r="K76"/>
      <c r="L76"/>
      <c r="M76"/>
      <c r="N76"/>
      <c r="O76" s="995"/>
      <c r="U76" s="114"/>
      <c r="AB76" s="114"/>
      <c r="AC76" s="114"/>
      <c r="AD76" s="114"/>
      <c r="AE76" s="114"/>
      <c r="BE76" s="136"/>
      <c r="BF76" s="136"/>
      <c r="BG76" s="136"/>
      <c r="BH76" s="136"/>
      <c r="BN76" s="86"/>
      <c r="BO76" s="1091"/>
      <c r="BP76" s="177"/>
      <c r="BQ76" s="177"/>
      <c r="BR76" s="178"/>
      <c r="BS76" s="177"/>
      <c r="BT76" s="177"/>
      <c r="BU76" s="177"/>
      <c r="CA76" s="182">
        <v>8</v>
      </c>
      <c r="CB76" s="120" t="b">
        <f>IF(CI86=19,1)</f>
        <v>0</v>
      </c>
      <c r="CC76" s="122"/>
      <c r="CD76" s="186"/>
      <c r="CE76" s="186"/>
      <c r="CF76" s="186"/>
      <c r="CG76" s="186"/>
      <c r="CH76" s="186"/>
      <c r="CI76" s="186"/>
      <c r="CJ76" s="186"/>
      <c r="CK76" s="186"/>
      <c r="CL76" s="186"/>
      <c r="CM76" s="186"/>
      <c r="CN76" s="186"/>
      <c r="CO76" s="122"/>
      <c r="CP76" s="124" t="b">
        <f>IF(CI86=19,15)</f>
        <v>0</v>
      </c>
      <c r="CQ76" s="78"/>
      <c r="CR76" s="78"/>
      <c r="CS76" s="78"/>
      <c r="CT76" s="78"/>
      <c r="CU76" s="78"/>
      <c r="CV76" s="78"/>
      <c r="CW76" s="78"/>
      <c r="CX76" s="78"/>
      <c r="CY76" s="78"/>
      <c r="CZ76" s="78"/>
      <c r="DA76" s="78"/>
      <c r="DB76" s="78"/>
      <c r="DC76" s="78"/>
      <c r="DD76" s="78"/>
      <c r="EK76" s="78"/>
      <c r="EL76" s="78"/>
    </row>
    <row r="77" spans="2:144" ht="21" hidden="1" thickBot="1" x14ac:dyDescent="0.25">
      <c r="B77" s="399"/>
      <c r="C77" s="399"/>
      <c r="G77" s="998"/>
      <c r="H77"/>
      <c r="I77"/>
      <c r="J77"/>
      <c r="K77"/>
      <c r="L77"/>
      <c r="M77"/>
      <c r="N77"/>
      <c r="O77" s="995"/>
      <c r="U77" s="114"/>
      <c r="AB77" s="114"/>
      <c r="AC77" s="114"/>
      <c r="AD77" s="114"/>
      <c r="AE77" s="114"/>
      <c r="BE77" s="136"/>
      <c r="BF77" s="136"/>
      <c r="BG77" s="136"/>
      <c r="BH77" s="136"/>
      <c r="BN77" s="86"/>
      <c r="BO77" s="1091"/>
      <c r="BP77" s="177"/>
      <c r="BQ77" s="177"/>
      <c r="BR77" s="178"/>
      <c r="BS77" s="177"/>
      <c r="BT77" s="177"/>
      <c r="BU77" s="177"/>
      <c r="CA77" s="182">
        <v>7</v>
      </c>
      <c r="CB77" s="120" t="b">
        <f>IF(CH86=18,1)</f>
        <v>0</v>
      </c>
      <c r="CC77" s="186"/>
      <c r="CD77" s="186"/>
      <c r="CE77" s="186"/>
      <c r="CF77" s="186"/>
      <c r="CG77" s="186"/>
      <c r="CH77" s="186"/>
      <c r="CI77" s="186"/>
      <c r="CJ77" s="186"/>
      <c r="CK77" s="186"/>
      <c r="CL77" s="186"/>
      <c r="CM77" s="186"/>
      <c r="CN77" s="124" t="b">
        <f>IF(CH86=18,13)</f>
        <v>0</v>
      </c>
      <c r="CO77" s="178"/>
      <c r="CQ77" s="78"/>
      <c r="CR77" s="78"/>
      <c r="CS77" s="78"/>
      <c r="CT77" s="78"/>
      <c r="CU77" s="78"/>
      <c r="CV77" s="78"/>
      <c r="CW77" s="78"/>
      <c r="CX77" s="78"/>
      <c r="CY77" s="78"/>
      <c r="CZ77" s="78"/>
      <c r="DA77" s="78"/>
      <c r="DB77" s="78"/>
      <c r="DC77" s="78"/>
      <c r="DD77" s="78"/>
      <c r="EK77" s="78"/>
      <c r="EL77" s="78"/>
    </row>
    <row r="78" spans="2:144" ht="21" hidden="1" thickBot="1" x14ac:dyDescent="0.25">
      <c r="G78" s="998"/>
      <c r="H78"/>
      <c r="I78"/>
      <c r="J78"/>
      <c r="K78"/>
      <c r="L78"/>
      <c r="M78"/>
      <c r="N78"/>
      <c r="O78" s="995"/>
      <c r="U78" s="114"/>
      <c r="AB78" s="114"/>
      <c r="AC78" s="114"/>
      <c r="AD78" s="114"/>
      <c r="AE78" s="114"/>
      <c r="BE78" s="136"/>
      <c r="BF78" s="136"/>
      <c r="BG78" s="136"/>
      <c r="BH78" s="136"/>
      <c r="BN78" s="86"/>
      <c r="BO78" s="1091"/>
      <c r="BP78" s="177"/>
      <c r="BQ78" s="177"/>
      <c r="BR78" s="178"/>
      <c r="BS78" s="177"/>
      <c r="BT78" s="177"/>
      <c r="BU78" s="177"/>
      <c r="CA78" s="182">
        <v>6</v>
      </c>
      <c r="CB78" s="120">
        <f>IF(CG86=17,1)</f>
        <v>1</v>
      </c>
      <c r="CC78" s="186"/>
      <c r="CD78" s="186"/>
      <c r="CE78" s="186"/>
      <c r="CF78" s="186"/>
      <c r="CG78" s="186"/>
      <c r="CH78" s="186"/>
      <c r="CI78" s="186"/>
      <c r="CJ78" s="186"/>
      <c r="CK78" s="186"/>
      <c r="CL78" s="124">
        <f>IF(CG86=17,11)</f>
        <v>11</v>
      </c>
      <c r="CM78" s="177"/>
      <c r="CN78" s="177"/>
      <c r="CO78" s="178"/>
      <c r="CQ78" s="78"/>
      <c r="CR78" s="78"/>
      <c r="CS78" s="78"/>
      <c r="CT78" s="78"/>
      <c r="CU78" s="78"/>
      <c r="CV78" s="78"/>
      <c r="CW78" s="78"/>
      <c r="CX78" s="78"/>
      <c r="CY78" s="78"/>
      <c r="CZ78" s="78"/>
      <c r="DA78" s="78"/>
      <c r="DB78" s="78"/>
      <c r="DC78" s="78"/>
      <c r="DD78" s="78"/>
      <c r="EK78" s="78"/>
      <c r="EL78" s="78"/>
    </row>
    <row r="79" spans="2:144" ht="21" hidden="1" thickBot="1" x14ac:dyDescent="0.25">
      <c r="G79" s="1008"/>
      <c r="H79"/>
      <c r="I79"/>
      <c r="J79"/>
      <c r="K79"/>
      <c r="L79"/>
      <c r="M79"/>
      <c r="N79"/>
      <c r="O79" s="995"/>
      <c r="U79" s="114"/>
      <c r="AB79" s="114"/>
      <c r="AC79" s="114"/>
      <c r="AD79" s="114"/>
      <c r="AE79" s="114"/>
      <c r="BE79" s="136"/>
      <c r="BF79" s="136"/>
      <c r="BG79" s="136"/>
      <c r="BH79" s="136"/>
      <c r="BN79" s="86"/>
      <c r="BO79" s="1091"/>
      <c r="BP79" s="177"/>
      <c r="BQ79" s="177"/>
      <c r="BR79" s="178"/>
      <c r="BS79" s="177"/>
      <c r="BT79" s="177"/>
      <c r="BU79" s="177"/>
      <c r="CA79" s="182">
        <v>5</v>
      </c>
      <c r="CB79" s="117" t="b">
        <f>IF(CF86=16,1)</f>
        <v>0</v>
      </c>
      <c r="CC79" s="185"/>
      <c r="CD79" s="185"/>
      <c r="CE79" s="118"/>
      <c r="CF79" s="185"/>
      <c r="CG79" s="118"/>
      <c r="CH79" s="185"/>
      <c r="CI79" s="185"/>
      <c r="CJ79" s="103" t="b">
        <f>IF(CF86=16,9)</f>
        <v>0</v>
      </c>
      <c r="CK79" s="177"/>
      <c r="CL79" s="177"/>
      <c r="CM79" s="177"/>
      <c r="CN79" s="177"/>
      <c r="CO79" s="178"/>
      <c r="CQ79" s="78"/>
      <c r="CR79" s="78"/>
      <c r="CS79" s="78"/>
      <c r="CT79" s="78"/>
      <c r="CU79" s="78"/>
      <c r="CV79" s="78"/>
      <c r="CW79" s="78"/>
      <c r="CX79" s="78"/>
      <c r="CY79" s="78"/>
      <c r="CZ79" s="78"/>
      <c r="DA79" s="78"/>
      <c r="DB79" s="78"/>
      <c r="DC79" s="78"/>
      <c r="DD79" s="78"/>
      <c r="EK79" s="78"/>
      <c r="EL79" s="78"/>
    </row>
    <row r="80" spans="2:144" ht="21" hidden="1" thickBot="1" x14ac:dyDescent="0.25">
      <c r="B80" s="406"/>
      <c r="C80" s="406"/>
      <c r="D80" s="407"/>
      <c r="E80" s="407"/>
      <c r="F80" s="407"/>
      <c r="G80" s="998"/>
      <c r="H80"/>
      <c r="I80"/>
      <c r="J80"/>
      <c r="K80"/>
      <c r="L80"/>
      <c r="M80"/>
      <c r="N80"/>
      <c r="O80" s="995"/>
      <c r="BD80" s="126"/>
      <c r="BE80" s="136"/>
      <c r="BF80" s="136"/>
      <c r="BG80" s="136"/>
      <c r="BH80" s="136"/>
      <c r="BN80" s="86"/>
      <c r="BO80" s="1091"/>
      <c r="BP80" s="177"/>
      <c r="BQ80" s="177"/>
      <c r="BR80" s="178"/>
      <c r="BS80" s="177"/>
      <c r="BT80" s="177"/>
      <c r="BU80" s="177"/>
      <c r="CA80" s="182">
        <v>4</v>
      </c>
      <c r="CB80" s="117" t="b">
        <f>IF(CE86=15,1)</f>
        <v>0</v>
      </c>
      <c r="CC80" s="118"/>
      <c r="CD80" s="118"/>
      <c r="CE80" s="185"/>
      <c r="CF80" s="118"/>
      <c r="CG80" s="118"/>
      <c r="CH80" s="103" t="b">
        <f>IF(CE86=15,7)</f>
        <v>0</v>
      </c>
      <c r="CI80" s="177"/>
      <c r="CJ80" s="177"/>
      <c r="CK80" s="177"/>
      <c r="CL80" s="177"/>
      <c r="CM80" s="177"/>
      <c r="CN80" s="177"/>
      <c r="CO80" s="178"/>
      <c r="CQ80" s="78"/>
      <c r="CR80" s="78"/>
      <c r="CS80" s="78"/>
      <c r="CT80" s="78"/>
      <c r="CU80" s="78"/>
      <c r="CV80" s="78"/>
      <c r="CW80" s="78"/>
      <c r="CX80" s="78"/>
      <c r="CY80" s="78"/>
      <c r="CZ80" s="78"/>
      <c r="DA80" s="78"/>
      <c r="DB80" s="78"/>
      <c r="DC80" s="78"/>
      <c r="DD80" s="78"/>
      <c r="EK80" s="78"/>
      <c r="EL80" s="78"/>
    </row>
    <row r="81" spans="2:142" ht="21" hidden="1" thickBot="1" x14ac:dyDescent="0.25">
      <c r="G81" s="998"/>
      <c r="H81"/>
      <c r="I81"/>
      <c r="J81"/>
      <c r="K81"/>
      <c r="L81"/>
      <c r="M81"/>
      <c r="N81"/>
      <c r="O81" s="995"/>
      <c r="BD81" s="126"/>
      <c r="BE81" s="136"/>
      <c r="BF81" s="136"/>
      <c r="BG81" s="136"/>
      <c r="BH81" s="136"/>
      <c r="BN81" s="86"/>
      <c r="BO81" s="1091"/>
      <c r="BP81" s="177"/>
      <c r="BQ81" s="177"/>
      <c r="BR81" s="178"/>
      <c r="BS81" s="177"/>
      <c r="BT81" s="177"/>
      <c r="BU81" s="177"/>
      <c r="CA81" s="182">
        <v>3</v>
      </c>
      <c r="CB81" s="120" t="b">
        <f>IF(CD86=14,1)</f>
        <v>0</v>
      </c>
      <c r="CC81" s="186"/>
      <c r="CD81" s="186"/>
      <c r="CE81" s="186"/>
      <c r="CF81" s="124" t="b">
        <f>IF(CD86=14,5)</f>
        <v>0</v>
      </c>
      <c r="CG81" s="177"/>
      <c r="CH81" s="177"/>
      <c r="CI81" s="177"/>
      <c r="CJ81" s="177"/>
      <c r="CK81" s="177"/>
      <c r="CL81" s="177"/>
      <c r="CM81" s="177"/>
      <c r="CN81" s="177"/>
      <c r="CO81" s="178"/>
      <c r="CQ81" s="78"/>
      <c r="CR81" s="78"/>
      <c r="CS81" s="78"/>
      <c r="CT81" s="78"/>
      <c r="CU81" s="78"/>
      <c r="CV81" s="78"/>
      <c r="CW81" s="78"/>
      <c r="CX81" s="78"/>
      <c r="CY81" s="78"/>
      <c r="CZ81" s="78"/>
      <c r="DA81" s="78"/>
      <c r="DB81" s="78"/>
      <c r="DC81" s="78"/>
      <c r="DD81" s="78"/>
      <c r="EK81" s="78"/>
      <c r="EL81" s="78"/>
    </row>
    <row r="82" spans="2:142" ht="21" hidden="1" thickBot="1" x14ac:dyDescent="0.25">
      <c r="B82"/>
      <c r="G82" s="998"/>
      <c r="H82"/>
      <c r="I82"/>
      <c r="J82"/>
      <c r="K82"/>
      <c r="L82"/>
      <c r="M82"/>
      <c r="N82"/>
      <c r="O82" s="995"/>
      <c r="BD82" s="126"/>
      <c r="BE82" s="136"/>
      <c r="BF82" s="136"/>
      <c r="BG82" s="136"/>
      <c r="BH82" s="136"/>
      <c r="BN82" s="86"/>
      <c r="BO82" s="1091"/>
      <c r="BP82" s="177"/>
      <c r="BQ82" s="177"/>
      <c r="BR82" s="178"/>
      <c r="BS82" s="177"/>
      <c r="BT82" s="177"/>
      <c r="BU82" s="177"/>
      <c r="CA82" s="182">
        <v>2</v>
      </c>
      <c r="CB82" s="120" t="b">
        <f>IF(CC86=13,1)</f>
        <v>0</v>
      </c>
      <c r="CC82" s="186"/>
      <c r="CD82" s="124" t="b">
        <f>IF(CC86=13,3)</f>
        <v>0</v>
      </c>
      <c r="CE82" s="177"/>
      <c r="CF82" s="177"/>
      <c r="CG82" s="177"/>
      <c r="CH82" s="177"/>
      <c r="CI82" s="177"/>
      <c r="CJ82" s="177"/>
      <c r="CK82" s="177"/>
      <c r="CL82" s="177"/>
      <c r="CM82" s="177"/>
      <c r="CN82" s="177"/>
      <c r="CO82" s="178"/>
      <c r="CQ82" s="78"/>
      <c r="CR82" s="78"/>
      <c r="CS82" s="78"/>
      <c r="CT82" s="78"/>
      <c r="CU82" s="78"/>
      <c r="CV82" s="78"/>
      <c r="CW82" s="78"/>
      <c r="CX82" s="78"/>
      <c r="CY82" s="78"/>
      <c r="CZ82" s="78"/>
      <c r="DA82" s="78"/>
      <c r="DB82" s="78"/>
      <c r="DC82" s="78"/>
      <c r="DD82" s="78"/>
      <c r="EK82" s="78"/>
      <c r="EL82" s="78"/>
    </row>
    <row r="83" spans="2:142" ht="21" hidden="1" thickBot="1" x14ac:dyDescent="0.25">
      <c r="B83" s="406"/>
      <c r="C83" s="406"/>
      <c r="D83" s="407"/>
      <c r="E83" s="407"/>
      <c r="F83" s="407"/>
      <c r="G83" s="998"/>
      <c r="H83"/>
      <c r="I83"/>
      <c r="J83"/>
      <c r="K83" s="988">
        <v>5</v>
      </c>
      <c r="L83"/>
      <c r="M83" s="988">
        <v>51</v>
      </c>
      <c r="N83"/>
      <c r="O83" s="995"/>
      <c r="BD83" s="126"/>
      <c r="BE83" s="136"/>
      <c r="BF83" s="136"/>
      <c r="BG83" s="136"/>
      <c r="BH83" s="136"/>
      <c r="BN83" s="86"/>
      <c r="BO83" s="1091"/>
      <c r="BP83" s="177"/>
      <c r="BQ83" s="177"/>
      <c r="BR83" s="178"/>
      <c r="BS83" s="177"/>
      <c r="BT83" s="177"/>
      <c r="BU83" s="177"/>
      <c r="BV83" s="76"/>
      <c r="BW83" s="177"/>
      <c r="CA83" s="177"/>
      <c r="CB83" s="177"/>
      <c r="CC83" s="177"/>
      <c r="CD83" s="177"/>
      <c r="CE83" s="177"/>
      <c r="CF83" s="177"/>
      <c r="CG83" s="177"/>
      <c r="CH83" s="177"/>
      <c r="CI83" s="177"/>
      <c r="CJ83" s="177"/>
      <c r="CK83" s="177"/>
      <c r="CL83" s="178"/>
      <c r="CM83" s="107"/>
      <c r="CN83" s="107"/>
      <c r="CO83" s="107"/>
      <c r="CQ83" s="78"/>
      <c r="CR83" s="78"/>
      <c r="CS83" s="78"/>
      <c r="CT83" s="78"/>
      <c r="CU83" s="78"/>
      <c r="CV83" s="78"/>
      <c r="CW83" s="78"/>
      <c r="CX83" s="78"/>
      <c r="CY83" s="78"/>
      <c r="CZ83" s="78"/>
      <c r="DA83" s="78"/>
      <c r="DB83" s="78"/>
      <c r="DC83" s="78"/>
      <c r="DD83" s="78"/>
      <c r="EK83" s="78"/>
      <c r="EL83" s="78"/>
    </row>
    <row r="84" spans="2:142" ht="49.5" customHeight="1" thickBot="1" x14ac:dyDescent="0.3">
      <c r="B84" s="406"/>
      <c r="C84" s="406"/>
      <c r="D84" s="407"/>
      <c r="E84" s="407"/>
      <c r="F84" s="407"/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BD84" s="126"/>
      <c r="BE84" s="136"/>
      <c r="BF84" s="136"/>
      <c r="BG84" s="136"/>
      <c r="BH84" s="136"/>
      <c r="BI84" s="136"/>
      <c r="BK84" s="136"/>
      <c r="BL84" s="136"/>
      <c r="BM84" s="402"/>
      <c r="BN84" s="188"/>
      <c r="BO84" s="1088" t="s">
        <v>128</v>
      </c>
      <c r="BP84" s="746" t="s">
        <v>125</v>
      </c>
      <c r="BQ84" s="190"/>
      <c r="BR84" s="191"/>
      <c r="BS84" s="191"/>
      <c r="BT84" s="191"/>
      <c r="BU84" s="191"/>
      <c r="BV84" s="191"/>
      <c r="BW84" s="191"/>
      <c r="BX84" s="191"/>
      <c r="BY84" s="191"/>
      <c r="BZ84" s="191"/>
      <c r="CA84" s="191"/>
      <c r="CB84" s="758">
        <f>SUM(CB68:CB83)</f>
        <v>1</v>
      </c>
      <c r="CC84" s="759">
        <f t="shared" ref="CC84:CR84" si="0">SUM(CC68:CC83)</f>
        <v>0</v>
      </c>
      <c r="CD84" s="759">
        <f t="shared" si="0"/>
        <v>0</v>
      </c>
      <c r="CE84" s="759">
        <f t="shared" si="0"/>
        <v>0</v>
      </c>
      <c r="CF84" s="759">
        <f t="shared" si="0"/>
        <v>0</v>
      </c>
      <c r="CG84" s="759">
        <f t="shared" si="0"/>
        <v>0</v>
      </c>
      <c r="CH84" s="759">
        <f t="shared" si="0"/>
        <v>0</v>
      </c>
      <c r="CI84" s="759">
        <f t="shared" si="0"/>
        <v>0</v>
      </c>
      <c r="CJ84" s="759">
        <f t="shared" si="0"/>
        <v>0</v>
      </c>
      <c r="CK84" s="759">
        <f t="shared" si="0"/>
        <v>0</v>
      </c>
      <c r="CL84" s="759">
        <f t="shared" si="0"/>
        <v>11</v>
      </c>
      <c r="CM84" s="759">
        <f t="shared" si="0"/>
        <v>0</v>
      </c>
      <c r="CN84" s="759">
        <f t="shared" si="0"/>
        <v>0</v>
      </c>
      <c r="CO84" s="759">
        <f t="shared" si="0"/>
        <v>0</v>
      </c>
      <c r="CP84" s="759">
        <f t="shared" si="0"/>
        <v>0</v>
      </c>
      <c r="CQ84" s="759">
        <f t="shared" si="0"/>
        <v>0</v>
      </c>
      <c r="CR84" s="760">
        <f t="shared" si="0"/>
        <v>0</v>
      </c>
      <c r="CS84" s="191"/>
      <c r="CT84" s="191"/>
      <c r="CU84" s="192"/>
      <c r="CV84" s="192"/>
      <c r="CW84" s="192"/>
      <c r="CX84" s="192"/>
      <c r="CY84" s="192"/>
      <c r="CZ84" s="192"/>
      <c r="DA84" s="193"/>
      <c r="DB84" s="89"/>
      <c r="DC84" s="78"/>
      <c r="DD84" s="78"/>
      <c r="EK84" s="78"/>
      <c r="EL84" s="78"/>
    </row>
    <row r="85" spans="2:142" ht="45" customHeight="1" thickBot="1" x14ac:dyDescent="0.3">
      <c r="G85" s="998"/>
      <c r="H85"/>
      <c r="I85"/>
      <c r="J85" s="1087" t="s">
        <v>264</v>
      </c>
      <c r="K85" s="1080">
        <f>+MIN(J19:K20)</f>
        <v>25.990903183885639</v>
      </c>
      <c r="L85" s="1081">
        <f>+$E$22/(BQ54)</f>
        <v>25.990903183885639</v>
      </c>
      <c r="M85" s="1081">
        <f>+MIN(K25:L26)</f>
        <v>25.990903183885639</v>
      </c>
      <c r="N85"/>
      <c r="O85" s="995"/>
      <c r="BD85" s="136"/>
      <c r="BE85" s="136"/>
      <c r="BF85" s="136"/>
      <c r="BG85" s="136"/>
      <c r="BH85" s="136"/>
      <c r="BI85" s="136"/>
      <c r="BJ85" s="136"/>
      <c r="BK85" s="136"/>
      <c r="BL85" s="968">
        <v>4</v>
      </c>
      <c r="BM85" s="1762" t="b">
        <f>AND(BO85&gt;=10,$BA$138&gt;=10,$BB$138&gt;=10,$BA$170&gt;=10,$BB$170&gt;=10,$BA$194&gt;=10,$BB$194&gt;=10,$BA$225&gt;=10,$BB$225&gt;=10)</f>
        <v>1</v>
      </c>
      <c r="BN85" s="84" t="str">
        <f>IF(BM85=TRUE,"O K","OVERLOAD")</f>
        <v>O K</v>
      </c>
      <c r="BO85" s="982">
        <f>+$E$22/(BQ54/2)</f>
        <v>51.981806367771277</v>
      </c>
      <c r="BP85" s="194"/>
      <c r="BQ85" s="107"/>
      <c r="BR85" s="108"/>
      <c r="BS85" s="107"/>
      <c r="BT85" s="107"/>
      <c r="BU85" s="107"/>
      <c r="BV85" s="108"/>
      <c r="BW85" s="107"/>
      <c r="BX85" s="107"/>
      <c r="BY85" s="107"/>
      <c r="BZ85" s="107"/>
      <c r="CA85" s="107"/>
      <c r="CB85" s="107"/>
      <c r="CC85" s="107"/>
      <c r="CD85" s="107"/>
      <c r="CE85" s="107"/>
      <c r="CF85" s="107"/>
      <c r="CG85" s="107"/>
      <c r="CH85" s="107"/>
      <c r="CI85" s="107"/>
      <c r="CJ85" s="107"/>
      <c r="CK85" s="107"/>
      <c r="CL85" s="107"/>
      <c r="CM85" s="107"/>
      <c r="CN85" s="107"/>
      <c r="CO85" s="107"/>
      <c r="CP85" s="107"/>
      <c r="CQ85" s="107"/>
      <c r="CR85" s="107"/>
      <c r="CS85" s="78"/>
      <c r="CT85" s="78"/>
      <c r="CU85" s="78"/>
      <c r="CV85" s="78"/>
      <c r="CW85" s="78"/>
      <c r="CX85" s="78"/>
      <c r="CY85" s="78"/>
      <c r="CZ85" s="78"/>
      <c r="DA85" s="78"/>
      <c r="DB85" s="78"/>
      <c r="DC85" s="78"/>
      <c r="DD85" s="78"/>
      <c r="EK85" s="78"/>
      <c r="EL85" s="78"/>
    </row>
    <row r="86" spans="2:142" ht="21" hidden="1" thickBot="1" x14ac:dyDescent="0.25">
      <c r="B86" s="408"/>
      <c r="C86" s="408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U86" s="187"/>
      <c r="V86" s="187"/>
      <c r="W86" s="187"/>
      <c r="X86" s="187"/>
      <c r="Y86" s="187"/>
      <c r="Z86" s="187"/>
      <c r="AA86" s="187"/>
      <c r="AF86" s="187"/>
      <c r="AG86" s="187"/>
      <c r="AH86" s="187"/>
      <c r="AI86" s="187"/>
      <c r="AJ86" s="187"/>
      <c r="AK86" s="187"/>
      <c r="AL86" s="187"/>
      <c r="AM86" s="187"/>
      <c r="AN86" s="187"/>
      <c r="AO86" s="187"/>
      <c r="AP86" s="187"/>
      <c r="AQ86" s="187"/>
      <c r="AR86" s="187"/>
      <c r="AS86" s="187"/>
      <c r="AT86" s="187"/>
      <c r="AU86" s="187"/>
      <c r="AV86" s="187"/>
      <c r="AW86" s="187"/>
      <c r="AX86" s="187"/>
      <c r="AY86" s="187"/>
      <c r="AZ86" s="187"/>
      <c r="BA86" s="187"/>
      <c r="BB86" s="187"/>
      <c r="BC86" s="126"/>
      <c r="BD86" s="136"/>
      <c r="BE86" s="136"/>
      <c r="BF86" s="136"/>
      <c r="BG86" s="136"/>
      <c r="BH86" s="136"/>
      <c r="BI86" s="136"/>
      <c r="BJ86" s="136"/>
      <c r="BK86" s="136"/>
      <c r="BL86" s="136"/>
      <c r="BM86" s="402"/>
      <c r="BN86" s="188"/>
      <c r="BO86" s="1091"/>
      <c r="BP86" s="76"/>
      <c r="BQ86" s="195" t="b">
        <f>+BK163</f>
        <v>0</v>
      </c>
      <c r="BR86" s="195" t="b">
        <f>+BK164</f>
        <v>0</v>
      </c>
      <c r="BS86" s="195" t="b">
        <f>+BK165</f>
        <v>0</v>
      </c>
      <c r="BT86" s="195" t="b">
        <f>+BK166</f>
        <v>0</v>
      </c>
      <c r="BU86" s="195" t="b">
        <f>+BK167</f>
        <v>0</v>
      </c>
      <c r="BV86" s="195" t="b">
        <f>+BK168</f>
        <v>0</v>
      </c>
      <c r="BW86" s="195" t="b">
        <f>+BK169</f>
        <v>0</v>
      </c>
      <c r="BX86" s="195" t="b">
        <f>+BK170</f>
        <v>0</v>
      </c>
      <c r="BY86" s="195" t="b">
        <f>+BK171</f>
        <v>0</v>
      </c>
      <c r="BZ86" s="195" t="b">
        <f>+BK172</f>
        <v>0</v>
      </c>
      <c r="CA86" s="195" t="b">
        <f>+BK173</f>
        <v>0</v>
      </c>
      <c r="CB86" s="195" t="b">
        <f>+BK174</f>
        <v>0</v>
      </c>
      <c r="CC86" s="195" t="b">
        <f>+BK175</f>
        <v>0</v>
      </c>
      <c r="CD86" s="195" t="b">
        <f>+BK176</f>
        <v>0</v>
      </c>
      <c r="CE86" s="195" t="b">
        <f>+BK177</f>
        <v>0</v>
      </c>
      <c r="CF86" s="195" t="b">
        <f>+BK178</f>
        <v>0</v>
      </c>
      <c r="CG86" s="195">
        <f>+BK179</f>
        <v>17</v>
      </c>
      <c r="CH86" s="195" t="b">
        <f>+BK180</f>
        <v>0</v>
      </c>
      <c r="CI86" s="195" t="b">
        <f>+BK181</f>
        <v>0</v>
      </c>
      <c r="CJ86" s="195" t="b">
        <f>+BK182</f>
        <v>0</v>
      </c>
      <c r="CK86" s="195" t="b">
        <f>+BK183</f>
        <v>0</v>
      </c>
      <c r="CL86" s="195" t="b">
        <f>+BK184</f>
        <v>0</v>
      </c>
      <c r="CM86" s="195" t="b">
        <f>+BK188</f>
        <v>0</v>
      </c>
      <c r="CN86" s="195" t="b">
        <f>+BK189</f>
        <v>0</v>
      </c>
      <c r="CO86" s="195" t="b">
        <f>+BK190</f>
        <v>0</v>
      </c>
      <c r="CP86" s="195" t="b">
        <f>+BK191</f>
        <v>0</v>
      </c>
      <c r="CQ86" s="195" t="b">
        <f>+BK192</f>
        <v>0</v>
      </c>
      <c r="CR86" s="195" t="b">
        <f>+BK193</f>
        <v>0</v>
      </c>
      <c r="CS86" s="195" t="b">
        <f>+BK194</f>
        <v>0</v>
      </c>
      <c r="CT86" s="195" t="b">
        <f>+BK195</f>
        <v>0</v>
      </c>
      <c r="CU86" s="195" t="b">
        <f>+BK196</f>
        <v>0</v>
      </c>
      <c r="CV86" s="195" t="b">
        <f>+BK197</f>
        <v>0</v>
      </c>
      <c r="CW86" s="195" t="b">
        <f>+BK198</f>
        <v>0</v>
      </c>
      <c r="CX86" s="195" t="b">
        <f>+BK199</f>
        <v>0</v>
      </c>
      <c r="CY86" s="195" t="b">
        <f>+BK200</f>
        <v>0</v>
      </c>
      <c r="CZ86" s="195" t="b">
        <f>+BK201</f>
        <v>0</v>
      </c>
      <c r="DA86" s="195" t="b">
        <f>+BK202</f>
        <v>0</v>
      </c>
      <c r="DB86" s="196"/>
      <c r="DC86" s="78"/>
      <c r="DD86" s="78"/>
      <c r="EK86" s="78"/>
      <c r="EL86" s="78"/>
    </row>
    <row r="87" spans="2:142" ht="45.75" hidden="1" customHeight="1" x14ac:dyDescent="0.2">
      <c r="E87" s="208"/>
      <c r="F87" s="208"/>
      <c r="G87" s="998"/>
      <c r="H87"/>
      <c r="I87"/>
      <c r="J87"/>
      <c r="K87"/>
      <c r="L87"/>
      <c r="M87"/>
      <c r="N87"/>
      <c r="O87" s="995"/>
      <c r="BD87" s="136"/>
      <c r="BE87" s="136"/>
      <c r="BF87" s="136"/>
      <c r="BG87" s="136"/>
      <c r="BH87" s="136"/>
      <c r="BI87" s="136"/>
      <c r="BJ87" s="136"/>
      <c r="BK87" s="136"/>
      <c r="BL87" s="136"/>
      <c r="BM87" s="402"/>
      <c r="BN87" s="188"/>
      <c r="BO87" s="1091"/>
      <c r="BP87" s="78"/>
      <c r="BQ87" s="196" t="b">
        <f>+BQ86</f>
        <v>0</v>
      </c>
      <c r="BR87" s="196" t="b">
        <f t="shared" ref="BR87:CI87" si="1">+BR86</f>
        <v>0</v>
      </c>
      <c r="BS87" s="196" t="b">
        <f t="shared" si="1"/>
        <v>0</v>
      </c>
      <c r="BT87" s="196" t="b">
        <f t="shared" si="1"/>
        <v>0</v>
      </c>
      <c r="BU87" s="196" t="b">
        <f t="shared" si="1"/>
        <v>0</v>
      </c>
      <c r="BV87" s="196" t="b">
        <f t="shared" si="1"/>
        <v>0</v>
      </c>
      <c r="BW87" s="196" t="b">
        <f>+BW86</f>
        <v>0</v>
      </c>
      <c r="BX87" s="196" t="b">
        <f t="shared" si="1"/>
        <v>0</v>
      </c>
      <c r="BY87" s="196" t="b">
        <f t="shared" si="1"/>
        <v>0</v>
      </c>
      <c r="BZ87" s="196" t="b">
        <f t="shared" si="1"/>
        <v>0</v>
      </c>
      <c r="CA87" s="196" t="b">
        <f t="shared" si="1"/>
        <v>0</v>
      </c>
      <c r="CB87" s="196" t="b">
        <f>+CB86</f>
        <v>0</v>
      </c>
      <c r="CC87" s="196" t="b">
        <f>+CC86</f>
        <v>0</v>
      </c>
      <c r="CD87" s="196" t="b">
        <f>+CD86</f>
        <v>0</v>
      </c>
      <c r="CE87" s="196" t="b">
        <f>+CE86</f>
        <v>0</v>
      </c>
      <c r="CF87" s="196" t="b">
        <f>+CF86</f>
        <v>0</v>
      </c>
      <c r="CG87" s="196">
        <f t="shared" si="1"/>
        <v>17</v>
      </c>
      <c r="CH87" s="196" t="b">
        <f t="shared" si="1"/>
        <v>0</v>
      </c>
      <c r="CI87" s="196" t="b">
        <f t="shared" si="1"/>
        <v>0</v>
      </c>
      <c r="CJ87" s="196" t="b">
        <f>+CJ86</f>
        <v>0</v>
      </c>
      <c r="CK87" s="196" t="b">
        <f>+CK86</f>
        <v>0</v>
      </c>
      <c r="CL87" s="196" t="b">
        <f t="shared" ref="CL87:DA87" si="2">+CL86</f>
        <v>0</v>
      </c>
      <c r="CM87" s="196" t="b">
        <f t="shared" si="2"/>
        <v>0</v>
      </c>
      <c r="CN87" s="196" t="b">
        <f t="shared" si="2"/>
        <v>0</v>
      </c>
      <c r="CO87" s="196" t="b">
        <f t="shared" si="2"/>
        <v>0</v>
      </c>
      <c r="CP87" s="196" t="b">
        <f t="shared" si="2"/>
        <v>0</v>
      </c>
      <c r="CQ87" s="196" t="b">
        <f t="shared" si="2"/>
        <v>0</v>
      </c>
      <c r="CR87" s="196" t="b">
        <f t="shared" si="2"/>
        <v>0</v>
      </c>
      <c r="CS87" s="196" t="b">
        <f t="shared" si="2"/>
        <v>0</v>
      </c>
      <c r="CT87" s="196" t="b">
        <f t="shared" si="2"/>
        <v>0</v>
      </c>
      <c r="CU87" s="196" t="b">
        <f t="shared" si="2"/>
        <v>0</v>
      </c>
      <c r="CV87" s="196" t="b">
        <f t="shared" si="2"/>
        <v>0</v>
      </c>
      <c r="CW87" s="196" t="b">
        <f t="shared" si="2"/>
        <v>0</v>
      </c>
      <c r="CX87" s="196" t="b">
        <f t="shared" si="2"/>
        <v>0</v>
      </c>
      <c r="CY87" s="196" t="b">
        <f t="shared" si="2"/>
        <v>0</v>
      </c>
      <c r="CZ87" s="196" t="b">
        <f t="shared" si="2"/>
        <v>0</v>
      </c>
      <c r="DA87" s="196" t="b">
        <f t="shared" si="2"/>
        <v>0</v>
      </c>
      <c r="DB87" s="196"/>
      <c r="DC87" s="78"/>
      <c r="DD87" s="78"/>
      <c r="EK87" s="78"/>
      <c r="EL87" s="78"/>
    </row>
    <row r="88" spans="2:142" ht="21.75" customHeight="1" thickBot="1" x14ac:dyDescent="0.25">
      <c r="E88" s="208"/>
      <c r="F88" s="208"/>
      <c r="G88" s="998"/>
      <c r="H88"/>
      <c r="I88"/>
      <c r="J88"/>
      <c r="K88"/>
      <c r="L88"/>
      <c r="M88"/>
      <c r="N88"/>
      <c r="O88" s="995"/>
      <c r="V88" s="410"/>
      <c r="W88" s="410"/>
      <c r="X88" s="410"/>
      <c r="Y88" s="410"/>
      <c r="Z88" s="410"/>
      <c r="AA88" s="410"/>
      <c r="AF88" s="401"/>
      <c r="AG88" s="401"/>
      <c r="AH88" s="401"/>
      <c r="AI88" s="401"/>
      <c r="AJ88" s="401"/>
      <c r="AK88" s="401"/>
      <c r="AL88" s="401"/>
      <c r="AM88" s="401"/>
      <c r="AN88" s="401"/>
      <c r="AO88" s="401"/>
      <c r="AP88" s="401"/>
      <c r="AQ88" s="401"/>
      <c r="AR88" s="401"/>
      <c r="AS88" s="401"/>
      <c r="AT88" s="401"/>
      <c r="AU88" s="401"/>
      <c r="AV88" s="401"/>
      <c r="AW88" s="401"/>
      <c r="AX88" s="401"/>
      <c r="AY88" s="401"/>
      <c r="AZ88" s="401"/>
      <c r="BA88" s="401"/>
      <c r="BB88" s="401"/>
      <c r="BC88" s="143"/>
      <c r="BD88" s="136"/>
      <c r="BE88" s="136"/>
      <c r="BF88" s="136"/>
      <c r="BG88" s="136"/>
      <c r="BH88" s="136"/>
      <c r="BI88" s="136"/>
      <c r="BJ88" s="136"/>
      <c r="BK88" s="136"/>
      <c r="BL88" s="136"/>
      <c r="BM88" s="402"/>
      <c r="BN88" s="188"/>
      <c r="BO88" s="1091"/>
      <c r="BP88" s="78"/>
      <c r="BQ88" s="196"/>
      <c r="BR88" s="196"/>
      <c r="BS88" s="196"/>
      <c r="BT88" s="196"/>
      <c r="BU88" s="196"/>
      <c r="BV88" s="196"/>
      <c r="BW88" s="196"/>
      <c r="BX88" s="196"/>
      <c r="BY88" s="196"/>
      <c r="BZ88" s="196"/>
      <c r="CA88" s="196"/>
      <c r="CB88" s="196"/>
      <c r="CC88" s="196"/>
      <c r="CD88" s="196"/>
      <c r="CE88" s="196"/>
      <c r="CF88" s="196"/>
      <c r="CG88" s="196"/>
      <c r="CH88" s="196"/>
      <c r="CI88" s="196"/>
      <c r="CJ88" s="196"/>
      <c r="CK88" s="196"/>
      <c r="CL88" s="196"/>
      <c r="CM88" s="196"/>
      <c r="CN88" s="196"/>
      <c r="CO88" s="196"/>
      <c r="CP88" s="196"/>
      <c r="CQ88" s="196"/>
      <c r="CR88" s="196"/>
      <c r="CS88" s="196"/>
      <c r="CT88" s="196"/>
      <c r="CU88" s="196"/>
      <c r="CV88" s="196"/>
      <c r="CW88" s="196"/>
      <c r="CX88" s="196"/>
      <c r="CY88" s="196"/>
      <c r="CZ88" s="196"/>
      <c r="DA88" s="196"/>
      <c r="DB88" s="196"/>
      <c r="DC88" s="78"/>
      <c r="DD88" s="78"/>
      <c r="EK88" s="78"/>
      <c r="EL88" s="78"/>
    </row>
    <row r="89" spans="2:142" ht="48.75" customHeight="1" thickBot="1" x14ac:dyDescent="0.3">
      <c r="E89" s="208"/>
      <c r="F89" s="208"/>
      <c r="G89" s="998"/>
      <c r="H89"/>
      <c r="I89"/>
      <c r="J89"/>
      <c r="K89"/>
      <c r="L89"/>
      <c r="M89"/>
      <c r="N89"/>
      <c r="O89" s="995"/>
      <c r="BD89" s="136"/>
      <c r="BE89" s="136"/>
      <c r="BF89" s="136"/>
      <c r="BG89" s="136"/>
      <c r="BH89" s="136"/>
      <c r="BI89" s="136"/>
      <c r="BJ89" s="136"/>
      <c r="BK89" s="136"/>
      <c r="BL89" s="136"/>
      <c r="BM89" s="402"/>
      <c r="BN89" s="188"/>
      <c r="BO89" s="1088" t="s">
        <v>128</v>
      </c>
      <c r="BP89" s="197" t="s">
        <v>129</v>
      </c>
      <c r="BQ89" s="748" t="str">
        <f>IF(BQ87=1,17,"")</f>
        <v/>
      </c>
      <c r="BR89" s="749" t="str">
        <f>IF(BR87=2,16,"")</f>
        <v/>
      </c>
      <c r="BS89" s="749" t="str">
        <f>IF(BS87=3,15,"")</f>
        <v/>
      </c>
      <c r="BT89" s="749" t="str">
        <f>IF(BT87=4,14,"")</f>
        <v/>
      </c>
      <c r="BU89" s="749" t="str">
        <f>IF(BU87=5,13,"")</f>
        <v/>
      </c>
      <c r="BV89" s="749" t="str">
        <f>IF(BV87=6,12,"")</f>
        <v/>
      </c>
      <c r="BW89" s="749" t="str">
        <f>IF(BW87=7,11,"")</f>
        <v/>
      </c>
      <c r="BX89" s="749" t="str">
        <f>IF(BX87=8,10,"")</f>
        <v/>
      </c>
      <c r="BY89" s="749" t="str">
        <f>IF(BY87=9,9,"")</f>
        <v/>
      </c>
      <c r="BZ89" s="749" t="str">
        <f>IF(BZ87=10,8,"")</f>
        <v/>
      </c>
      <c r="CA89" s="749" t="str">
        <f>IF(CA87=11,7,"")</f>
        <v/>
      </c>
      <c r="CB89" s="928" t="str">
        <f>IF(CB87=12,1,"")</f>
        <v/>
      </c>
      <c r="CC89" s="747" t="str">
        <f>IF(CC87=13,2,"")</f>
        <v/>
      </c>
      <c r="CD89" s="747" t="str">
        <f>IF(CD87=14,3,"")</f>
        <v/>
      </c>
      <c r="CE89" s="747" t="str">
        <f>IF(CE87=15,4,"")</f>
        <v/>
      </c>
      <c r="CF89" s="747" t="str">
        <f>IF(CF87=16,5,"")</f>
        <v/>
      </c>
      <c r="CG89" s="747">
        <f>IF(CG87=17,6,"")</f>
        <v>6</v>
      </c>
      <c r="CH89" s="747" t="str">
        <f>IF(CH87=18,7,"")</f>
        <v/>
      </c>
      <c r="CI89" s="747" t="str">
        <f>IF(CI87=19,8,"")</f>
        <v/>
      </c>
      <c r="CJ89" s="747" t="str">
        <f>IF(CJ87=20,9,"")</f>
        <v/>
      </c>
      <c r="CK89" s="747" t="str">
        <f>IF(CK87=21,10,"")</f>
        <v/>
      </c>
      <c r="CL89" s="747" t="str">
        <f>IF(CL87=22,11,"")</f>
        <v/>
      </c>
      <c r="CM89" s="747" t="str">
        <f>IF(CM87=23,12,"")</f>
        <v/>
      </c>
      <c r="CN89" s="747" t="str">
        <f>IF(CN87=24,13,"")</f>
        <v/>
      </c>
      <c r="CO89" s="747" t="str">
        <f>IF(CO87=25,14,"")</f>
        <v/>
      </c>
      <c r="CP89" s="747" t="str">
        <f>IF(CP87=26,15,"")</f>
        <v/>
      </c>
      <c r="CQ89" s="747" t="str">
        <f>IF(CQ87=27,16,"")</f>
        <v/>
      </c>
      <c r="CR89" s="929" t="str">
        <f>IF(CR87=28,17,"")</f>
        <v/>
      </c>
      <c r="CS89" s="756" t="str">
        <f>IF(CS87=29,9,"")</f>
        <v/>
      </c>
      <c r="CT89" s="756" t="str">
        <f>IF(CT87=30,10,"")</f>
        <v/>
      </c>
      <c r="CU89" s="756" t="str">
        <f>IF(CU87=31,11,"")</f>
        <v/>
      </c>
      <c r="CV89" s="756" t="str">
        <f>IF(CV87=32,12,"")</f>
        <v/>
      </c>
      <c r="CW89" s="756" t="str">
        <f>IF(CW87=33,13,"")</f>
        <v/>
      </c>
      <c r="CX89" s="756" t="str">
        <f>IF(CX87=34,14,"")</f>
        <v/>
      </c>
      <c r="CY89" s="756" t="str">
        <f>IF(CY87=35,15,"")</f>
        <v/>
      </c>
      <c r="CZ89" s="756" t="str">
        <f>IF(CZ87=36,16,"")</f>
        <v/>
      </c>
      <c r="DA89" s="757" t="str">
        <f>IF(DA87=37,17,"")</f>
        <v/>
      </c>
      <c r="DB89" s="198"/>
      <c r="DC89" s="78"/>
      <c r="DD89" s="78"/>
      <c r="EK89" s="78"/>
      <c r="EL89" s="78"/>
    </row>
    <row r="90" spans="2:142" ht="48.75" customHeight="1" thickBot="1" x14ac:dyDescent="0.3">
      <c r="E90" s="208"/>
      <c r="F90" s="208"/>
      <c r="G90" s="998"/>
      <c r="H90"/>
      <c r="I90"/>
      <c r="J90"/>
      <c r="K90"/>
      <c r="L90"/>
      <c r="M90"/>
      <c r="N90"/>
      <c r="O90" s="995"/>
      <c r="BD90" s="136"/>
      <c r="BE90" s="136"/>
      <c r="BF90" s="136"/>
      <c r="BG90" s="136"/>
      <c r="BH90" s="136"/>
      <c r="BI90" s="136"/>
      <c r="BJ90" s="136"/>
      <c r="BK90" s="136"/>
      <c r="BL90" s="968">
        <v>5</v>
      </c>
      <c r="BM90" s="1762" t="b">
        <f>AND(BO90&gt;=10,$BA$138&gt;=10,$BB$138&gt;=10,$BA$170&gt;=10,$BB$170&gt;=10,$BA$194&gt;=10,$BB$194&gt;=10,$BA$225&gt;=10,$BB$225&gt;=10)</f>
        <v>1</v>
      </c>
      <c r="BN90" s="84" t="str">
        <f>IF(BM90=TRUE,"O K","OVERLOAD")</f>
        <v>O K</v>
      </c>
      <c r="BO90" s="982">
        <f>IF(SUM(BQ89:CA89)&gt;0,K85,0)+IF(SUM(CB89:CR89)&gt;0,L85,0)+IF(SUM(CS89:DA89)&gt;0,M85,0)</f>
        <v>25.990903183885639</v>
      </c>
      <c r="BP90" s="788" t="s">
        <v>185</v>
      </c>
      <c r="BQ90" s="789">
        <v>-10</v>
      </c>
      <c r="BR90" s="789">
        <v>-9</v>
      </c>
      <c r="BS90" s="789">
        <v>-8</v>
      </c>
      <c r="BT90" s="789">
        <v>-7</v>
      </c>
      <c r="BU90" s="789">
        <v>-6</v>
      </c>
      <c r="BV90" s="789">
        <v>-5</v>
      </c>
      <c r="BW90" s="789">
        <v>-4</v>
      </c>
      <c r="BX90" s="789">
        <v>-3</v>
      </c>
      <c r="BY90" s="789">
        <v>-2</v>
      </c>
      <c r="BZ90" s="789">
        <v>-1</v>
      </c>
      <c r="CA90" s="789">
        <v>0</v>
      </c>
      <c r="CB90" s="789">
        <v>1</v>
      </c>
      <c r="CC90" s="789">
        <v>2</v>
      </c>
      <c r="CD90" s="789">
        <v>3</v>
      </c>
      <c r="CE90" s="789">
        <v>4</v>
      </c>
      <c r="CF90" s="789">
        <v>5</v>
      </c>
      <c r="CG90" s="789">
        <v>6</v>
      </c>
      <c r="CH90" s="789">
        <v>7</v>
      </c>
      <c r="CI90" s="789">
        <v>8</v>
      </c>
      <c r="CJ90" s="789">
        <v>9</v>
      </c>
      <c r="CK90" s="789">
        <v>10</v>
      </c>
      <c r="CL90" s="789">
        <v>11</v>
      </c>
      <c r="CM90" s="789">
        <v>12</v>
      </c>
      <c r="CN90" s="789">
        <v>13</v>
      </c>
      <c r="CO90" s="789">
        <v>14</v>
      </c>
      <c r="CP90" s="789">
        <v>15</v>
      </c>
      <c r="CQ90" s="789">
        <v>16</v>
      </c>
      <c r="CR90" s="789">
        <v>17</v>
      </c>
      <c r="CS90" s="789">
        <v>18</v>
      </c>
      <c r="CT90" s="789">
        <v>19</v>
      </c>
      <c r="CU90" s="789">
        <v>20</v>
      </c>
      <c r="CV90" s="789">
        <v>21</v>
      </c>
      <c r="CW90" s="789">
        <v>22</v>
      </c>
      <c r="CX90" s="789">
        <v>23</v>
      </c>
      <c r="CY90" s="789">
        <v>24</v>
      </c>
      <c r="CZ90" s="789">
        <v>25</v>
      </c>
      <c r="DA90" s="791">
        <v>26</v>
      </c>
      <c r="DB90" s="198"/>
      <c r="DC90" s="78"/>
      <c r="DD90" s="78"/>
      <c r="EK90" s="78"/>
      <c r="EL90" s="78"/>
    </row>
    <row r="91" spans="2:142" ht="86.25" customHeight="1" thickBot="1" x14ac:dyDescent="0.25">
      <c r="G91" s="998"/>
      <c r="H91"/>
      <c r="I91"/>
      <c r="J91"/>
      <c r="K91"/>
      <c r="L91"/>
      <c r="M91"/>
      <c r="N91"/>
      <c r="O91" s="995"/>
      <c r="BD91" s="136"/>
      <c r="BE91" s="136"/>
      <c r="BF91" s="136"/>
      <c r="BG91" s="136"/>
      <c r="BH91" s="136"/>
      <c r="BI91" s="136"/>
      <c r="BJ91" s="136"/>
      <c r="BK91" s="136"/>
      <c r="BL91" s="136"/>
      <c r="BM91" s="402"/>
      <c r="BN91" s="136"/>
      <c r="BP91" s="78"/>
      <c r="BQ91" s="199"/>
      <c r="BR91" s="199"/>
      <c r="BS91" s="199"/>
      <c r="BT91" s="199"/>
      <c r="BU91" s="199"/>
      <c r="BV91" s="199"/>
      <c r="BW91" s="199"/>
      <c r="BX91" s="199"/>
      <c r="BY91" s="199"/>
      <c r="BZ91" s="199"/>
      <c r="CA91" s="199"/>
      <c r="CB91" s="199"/>
      <c r="CC91" s="199"/>
      <c r="CD91" s="199"/>
      <c r="CE91" s="199"/>
      <c r="CF91" s="199"/>
      <c r="CG91" s="199"/>
      <c r="CH91" s="199"/>
      <c r="CI91" s="199"/>
      <c r="CJ91" s="199"/>
      <c r="CK91" s="199"/>
      <c r="CL91" s="199"/>
      <c r="CM91" s="199"/>
      <c r="CN91" s="199"/>
      <c r="CO91" s="199"/>
      <c r="CP91" s="199"/>
      <c r="CQ91" s="199"/>
      <c r="CR91" s="199"/>
      <c r="CS91" s="199"/>
      <c r="CT91" s="199"/>
      <c r="CU91" s="199"/>
      <c r="CV91" s="199"/>
      <c r="CW91" s="199"/>
      <c r="CX91" s="199"/>
      <c r="CY91" s="199"/>
      <c r="CZ91" s="199"/>
      <c r="DA91" s="199"/>
      <c r="DB91" s="199"/>
      <c r="DC91" s="78"/>
      <c r="DD91" s="78"/>
      <c r="EK91" s="78"/>
      <c r="EL91" s="78"/>
    </row>
    <row r="92" spans="2:142" ht="24" hidden="1" customHeight="1" thickBot="1" x14ac:dyDescent="0.3">
      <c r="E92" s="397"/>
      <c r="F92" s="397"/>
      <c r="G92" s="998"/>
      <c r="H92"/>
      <c r="I92"/>
      <c r="J92"/>
      <c r="K92"/>
      <c r="L92"/>
      <c r="M92"/>
      <c r="N92"/>
      <c r="O92" s="995"/>
      <c r="BN92" s="86"/>
      <c r="BO92" s="18"/>
      <c r="BP92" s="96"/>
      <c r="BQ92" s="97"/>
      <c r="BR92" s="97"/>
      <c r="BS92" s="97"/>
      <c r="BT92" s="97"/>
      <c r="BU92" s="97"/>
      <c r="BV92" s="97"/>
      <c r="BW92" s="97"/>
      <c r="BX92" s="97"/>
      <c r="BY92" s="94"/>
      <c r="BZ92" s="94"/>
      <c r="CA92" s="89"/>
      <c r="CB92" s="89"/>
      <c r="CC92" s="89"/>
      <c r="CD92" s="89"/>
      <c r="CE92" s="89"/>
      <c r="CF92" s="89"/>
      <c r="CG92" s="89"/>
      <c r="CH92" s="89"/>
      <c r="CI92" s="89"/>
      <c r="CJ92" s="89"/>
      <c r="CK92" s="89"/>
      <c r="CL92" s="89"/>
      <c r="CM92" s="89"/>
      <c r="CN92" s="37"/>
      <c r="CO92" s="95"/>
      <c r="CP92" s="95"/>
      <c r="CQ92" s="95"/>
      <c r="CR92" s="95"/>
      <c r="CS92" s="92"/>
      <c r="CT92" s="92"/>
      <c r="CU92" s="92"/>
      <c r="CV92" s="92"/>
      <c r="CW92" s="92"/>
      <c r="CX92" s="92"/>
      <c r="CY92" s="92"/>
      <c r="CZ92" s="92"/>
      <c r="DA92" s="92"/>
      <c r="DB92" s="92"/>
      <c r="DC92" s="17"/>
      <c r="DD92" s="78"/>
    </row>
    <row r="93" spans="2:142" ht="24" hidden="1" customHeight="1" thickBot="1" x14ac:dyDescent="0.3">
      <c r="E93" s="397"/>
      <c r="F93" s="397"/>
      <c r="G93" s="998"/>
      <c r="H93"/>
      <c r="I93"/>
      <c r="J93"/>
      <c r="K93"/>
      <c r="L93"/>
      <c r="M93"/>
      <c r="N93"/>
      <c r="O93" s="995"/>
      <c r="BN93" s="86"/>
      <c r="BO93" s="18"/>
      <c r="BP93" s="96">
        <v>36</v>
      </c>
      <c r="BQ93" s="97"/>
      <c r="BR93" s="97"/>
      <c r="BS93" s="97"/>
      <c r="BT93" s="97"/>
      <c r="BU93" s="97"/>
      <c r="BV93" s="97"/>
      <c r="BW93" s="97"/>
      <c r="BX93" s="97"/>
      <c r="BY93" s="94"/>
      <c r="BZ93" s="94"/>
      <c r="CA93" s="89"/>
      <c r="CB93" s="89"/>
      <c r="CC93" s="89"/>
      <c r="CD93" s="89"/>
      <c r="CE93" s="89"/>
      <c r="CF93" s="89"/>
      <c r="CG93" s="89"/>
      <c r="CH93" s="98"/>
      <c r="CI93" s="99"/>
      <c r="CJ93" s="100"/>
      <c r="CK93" s="89"/>
      <c r="CL93" s="89"/>
      <c r="CM93" s="89"/>
      <c r="CN93" s="37"/>
      <c r="CO93" s="95"/>
      <c r="CP93" s="95"/>
      <c r="CQ93" s="95"/>
      <c r="CR93" s="95"/>
      <c r="CS93" s="92"/>
      <c r="CT93" s="92"/>
      <c r="CU93" s="92"/>
      <c r="CV93" s="92"/>
      <c r="CW93" s="92"/>
      <c r="CX93" s="92"/>
      <c r="CY93" s="101" t="b">
        <f>IF(CZ86=36,35)</f>
        <v>0</v>
      </c>
      <c r="CZ93" s="102"/>
      <c r="DA93" s="103" t="b">
        <f>IF(CZ86=36,37)</f>
        <v>0</v>
      </c>
      <c r="DB93" s="92"/>
      <c r="DC93" s="17"/>
      <c r="DD93" s="78"/>
    </row>
    <row r="94" spans="2:142" ht="24" hidden="1" customHeight="1" thickBot="1" x14ac:dyDescent="0.3">
      <c r="E94" s="397"/>
      <c r="F94" s="397"/>
      <c r="G94" s="998"/>
      <c r="H94"/>
      <c r="I94"/>
      <c r="J94"/>
      <c r="K94"/>
      <c r="L94"/>
      <c r="M94"/>
      <c r="N94"/>
      <c r="O94" s="995"/>
      <c r="BN94" s="86"/>
      <c r="BO94" s="18"/>
      <c r="BP94" s="96">
        <v>35</v>
      </c>
      <c r="BQ94" s="97"/>
      <c r="BR94" s="97"/>
      <c r="BS94" s="97"/>
      <c r="BT94" s="97"/>
      <c r="BU94" s="97"/>
      <c r="BV94" s="97"/>
      <c r="BW94" s="97"/>
      <c r="BX94" s="97"/>
      <c r="BY94" s="94"/>
      <c r="BZ94" s="94"/>
      <c r="CA94" s="89"/>
      <c r="CB94" s="89"/>
      <c r="CC94" s="89"/>
      <c r="CD94" s="89"/>
      <c r="CE94" s="89"/>
      <c r="CF94" s="89"/>
      <c r="CG94" s="89"/>
      <c r="CH94" s="104"/>
      <c r="CI94" s="89"/>
      <c r="CJ94" s="105"/>
      <c r="CK94" s="89"/>
      <c r="CL94" s="89"/>
      <c r="CM94" s="89"/>
      <c r="CN94" s="37"/>
      <c r="CO94" s="95"/>
      <c r="CP94" s="95"/>
      <c r="CQ94" s="95"/>
      <c r="CR94" s="95"/>
      <c r="CS94" s="92"/>
      <c r="CT94" s="92"/>
      <c r="CU94" s="92"/>
      <c r="CV94" s="92"/>
      <c r="CW94" s="101" t="b">
        <f>IF(CY86=35,33)</f>
        <v>0</v>
      </c>
      <c r="CX94" s="102"/>
      <c r="CY94" s="102"/>
      <c r="CZ94" s="102"/>
      <c r="DA94" s="103" t="b">
        <f>IF(CY86=35,37)</f>
        <v>0</v>
      </c>
      <c r="DB94" s="92"/>
      <c r="DC94" s="17"/>
      <c r="DD94" s="78"/>
    </row>
    <row r="95" spans="2:142" ht="24" hidden="1" customHeight="1" thickBot="1" x14ac:dyDescent="0.3">
      <c r="E95" s="397"/>
      <c r="F95" s="397"/>
      <c r="G95" s="998"/>
      <c r="H95"/>
      <c r="I95"/>
      <c r="J95"/>
      <c r="K95"/>
      <c r="L95"/>
      <c r="M95"/>
      <c r="N95"/>
      <c r="O95" s="995"/>
      <c r="BN95" s="86"/>
      <c r="BO95" s="18"/>
      <c r="BP95" s="96">
        <v>34</v>
      </c>
      <c r="BQ95" s="97"/>
      <c r="BR95" s="97"/>
      <c r="BS95" s="97"/>
      <c r="BT95" s="97"/>
      <c r="BU95" s="97"/>
      <c r="BV95" s="97"/>
      <c r="BW95" s="97"/>
      <c r="BX95" s="97"/>
      <c r="BY95" s="94"/>
      <c r="BZ95" s="94"/>
      <c r="CA95" s="89"/>
      <c r="CB95" s="89"/>
      <c r="CC95" s="89"/>
      <c r="CD95" s="89"/>
      <c r="CE95" s="89"/>
      <c r="CF95" s="89"/>
      <c r="CG95" s="89"/>
      <c r="CH95" s="104"/>
      <c r="CI95" s="89"/>
      <c r="CJ95" s="105"/>
      <c r="CK95" s="89"/>
      <c r="CL95" s="89"/>
      <c r="CM95" s="89"/>
      <c r="CN95" s="37"/>
      <c r="CO95" s="95"/>
      <c r="CP95" s="95"/>
      <c r="CQ95" s="95"/>
      <c r="CR95" s="95"/>
      <c r="CS95" s="92"/>
      <c r="CT95" s="92"/>
      <c r="CU95" s="101" t="b">
        <f>IF(CX86=34,31)</f>
        <v>0</v>
      </c>
      <c r="CV95" s="102"/>
      <c r="CW95" s="102"/>
      <c r="CX95" s="102"/>
      <c r="CY95" s="102"/>
      <c r="CZ95" s="102"/>
      <c r="DA95" s="103" t="b">
        <f>IF(CX86=34,37)</f>
        <v>0</v>
      </c>
      <c r="DB95" s="92"/>
      <c r="DC95" s="17"/>
      <c r="DD95" s="78"/>
    </row>
    <row r="96" spans="2:142" ht="24" hidden="1" customHeight="1" thickBot="1" x14ac:dyDescent="0.3">
      <c r="E96" s="397"/>
      <c r="F96" s="397"/>
      <c r="G96" s="998"/>
      <c r="H96"/>
      <c r="I96"/>
      <c r="J96"/>
      <c r="K96"/>
      <c r="L96"/>
      <c r="M96"/>
      <c r="N96"/>
      <c r="O96" s="995"/>
      <c r="BN96" s="86"/>
      <c r="BO96" s="18"/>
      <c r="BP96" s="96">
        <v>33</v>
      </c>
      <c r="BQ96" s="97"/>
      <c r="BR96" s="97"/>
      <c r="BS96" s="97"/>
      <c r="BT96" s="97"/>
      <c r="BU96" s="97"/>
      <c r="BV96" s="97"/>
      <c r="BW96" s="97"/>
      <c r="BX96" s="97"/>
      <c r="BY96" s="94"/>
      <c r="BZ96" s="94"/>
      <c r="CA96" s="89"/>
      <c r="CB96" s="89"/>
      <c r="CC96" s="89"/>
      <c r="CD96" s="89"/>
      <c r="CE96" s="89"/>
      <c r="CF96" s="89"/>
      <c r="CG96" s="89"/>
      <c r="CH96" s="104"/>
      <c r="CI96" s="89"/>
      <c r="CJ96" s="105"/>
      <c r="CK96" s="89"/>
      <c r="CL96" s="89"/>
      <c r="CM96" s="89"/>
      <c r="CN96" s="37"/>
      <c r="CO96" s="95"/>
      <c r="CP96" s="95"/>
      <c r="CQ96" s="95"/>
      <c r="CR96" s="95"/>
      <c r="CS96" s="101" t="b">
        <f>IF(CW86=33,29)</f>
        <v>0</v>
      </c>
      <c r="CT96" s="102"/>
      <c r="CU96" s="102"/>
      <c r="CV96" s="102"/>
      <c r="CW96" s="102"/>
      <c r="CX96" s="102"/>
      <c r="CY96" s="102"/>
      <c r="CZ96" s="102"/>
      <c r="DA96" s="103" t="b">
        <f>IF(CW86=33,37)</f>
        <v>0</v>
      </c>
      <c r="DB96" s="92"/>
      <c r="DC96" s="17"/>
      <c r="DD96" s="78"/>
    </row>
    <row r="97" spans="5:108" ht="21" hidden="1" customHeight="1" thickBot="1" x14ac:dyDescent="0.25">
      <c r="E97" s="397"/>
      <c r="F97" s="397"/>
      <c r="G97" s="998"/>
      <c r="H97"/>
      <c r="I97"/>
      <c r="J97"/>
      <c r="K97"/>
      <c r="L97"/>
      <c r="M97"/>
      <c r="N97"/>
      <c r="O97" s="995"/>
      <c r="BN97" s="86"/>
      <c r="BP97" s="96">
        <v>32</v>
      </c>
      <c r="BQ97" s="107"/>
      <c r="BR97" s="107"/>
      <c r="BS97" s="107"/>
      <c r="BT97" s="107"/>
      <c r="BU97" s="107"/>
      <c r="BV97" s="108"/>
      <c r="BW97" s="107"/>
      <c r="BX97" s="107"/>
      <c r="BY97" s="107"/>
      <c r="BZ97" s="107"/>
      <c r="CA97" s="107"/>
      <c r="CB97" s="107"/>
      <c r="CC97" s="107"/>
      <c r="CD97" s="107"/>
      <c r="CE97" s="107"/>
      <c r="CF97" s="107"/>
      <c r="CG97" s="107"/>
      <c r="CH97" s="109"/>
      <c r="CI97" s="107"/>
      <c r="CJ97" s="110"/>
      <c r="CK97" s="107"/>
      <c r="CL97" s="107"/>
      <c r="CM97" s="107"/>
      <c r="CN97" s="108"/>
      <c r="CO97" s="78"/>
      <c r="CP97" s="78"/>
      <c r="CQ97" s="101" t="b">
        <f>IF(CV86=32,27)</f>
        <v>0</v>
      </c>
      <c r="CR97" s="111"/>
      <c r="CS97" s="111"/>
      <c r="CT97" s="111"/>
      <c r="CU97" s="111"/>
      <c r="CV97" s="111"/>
      <c r="CW97" s="111"/>
      <c r="CX97" s="111"/>
      <c r="CY97" s="111"/>
      <c r="CZ97" s="111"/>
      <c r="DA97" s="103" t="b">
        <f>IF(CV86=32,37)</f>
        <v>0</v>
      </c>
      <c r="DB97" s="78"/>
      <c r="DC97" s="78"/>
      <c r="DD97" s="78"/>
    </row>
    <row r="98" spans="5:108" ht="21" hidden="1" customHeight="1" thickBot="1" x14ac:dyDescent="0.25">
      <c r="E98" s="397"/>
      <c r="F98" s="397"/>
      <c r="G98" s="998"/>
      <c r="H98"/>
      <c r="I98"/>
      <c r="J98"/>
      <c r="K98"/>
      <c r="L98"/>
      <c r="M98"/>
      <c r="N98"/>
      <c r="O98" s="995"/>
      <c r="BN98" s="86"/>
      <c r="BP98" s="96">
        <v>31</v>
      </c>
      <c r="BQ98" s="107"/>
      <c r="BR98" s="107"/>
      <c r="BS98" s="107"/>
      <c r="BT98" s="107"/>
      <c r="BU98" s="107"/>
      <c r="BV98" s="108"/>
      <c r="BW98" s="107"/>
      <c r="BX98" s="107"/>
      <c r="BY98" s="107"/>
      <c r="BZ98" s="107"/>
      <c r="CA98" s="107"/>
      <c r="CB98" s="107"/>
      <c r="CC98" s="107"/>
      <c r="CD98" s="107"/>
      <c r="CE98" s="107"/>
      <c r="CF98" s="107"/>
      <c r="CG98" s="107"/>
      <c r="CH98" s="109"/>
      <c r="CI98" s="107"/>
      <c r="CJ98" s="110"/>
      <c r="CK98" s="107"/>
      <c r="CL98" s="107"/>
      <c r="CM98" s="107"/>
      <c r="CN98" s="108"/>
      <c r="CO98" s="101" t="b">
        <f>IF(CU86=31,25)</f>
        <v>0</v>
      </c>
      <c r="CP98" s="111"/>
      <c r="CQ98" s="111"/>
      <c r="CR98" s="111"/>
      <c r="CS98" s="111"/>
      <c r="CT98" s="111"/>
      <c r="CU98" s="111"/>
      <c r="CV98" s="111"/>
      <c r="CW98" s="111"/>
      <c r="CX98" s="111"/>
      <c r="CY98" s="111"/>
      <c r="CZ98" s="111"/>
      <c r="DA98" s="103" t="b">
        <f>IF(CU86=31,37)</f>
        <v>0</v>
      </c>
      <c r="DB98" s="78"/>
      <c r="DC98" s="78"/>
      <c r="DD98" s="78"/>
    </row>
    <row r="99" spans="5:108" ht="21" hidden="1" customHeight="1" thickBot="1" x14ac:dyDescent="0.25">
      <c r="E99" s="397"/>
      <c r="F99" s="397"/>
      <c r="G99" s="998"/>
      <c r="H99"/>
      <c r="I99"/>
      <c r="J99"/>
      <c r="K99"/>
      <c r="L99"/>
      <c r="M99"/>
      <c r="N99"/>
      <c r="O99" s="995"/>
      <c r="BN99" s="86"/>
      <c r="BP99" s="96">
        <v>30</v>
      </c>
      <c r="BQ99" s="107"/>
      <c r="BR99" s="107"/>
      <c r="BS99" s="107"/>
      <c r="BT99" s="107"/>
      <c r="BU99" s="107"/>
      <c r="BV99" s="108"/>
      <c r="BW99" s="107"/>
      <c r="BX99" s="107"/>
      <c r="BY99" s="107"/>
      <c r="BZ99" s="107"/>
      <c r="CA99" s="107"/>
      <c r="CB99" s="107"/>
      <c r="CC99" s="107"/>
      <c r="CD99" s="107"/>
      <c r="CE99" s="107"/>
      <c r="CF99" s="107"/>
      <c r="CG99" s="107"/>
      <c r="CH99" s="109"/>
      <c r="CI99" s="107"/>
      <c r="CJ99" s="110"/>
      <c r="CK99" s="107"/>
      <c r="CL99" s="107"/>
      <c r="CM99" s="101" t="b">
        <f>IF(CT86=30,23)</f>
        <v>0</v>
      </c>
      <c r="CN99" s="112"/>
      <c r="CO99" s="111"/>
      <c r="CP99" s="111"/>
      <c r="CQ99" s="111"/>
      <c r="CR99" s="111"/>
      <c r="CS99" s="111"/>
      <c r="CT99" s="111"/>
      <c r="CU99" s="111"/>
      <c r="CV99" s="111"/>
      <c r="CW99" s="111"/>
      <c r="CX99" s="111"/>
      <c r="CY99" s="111"/>
      <c r="CZ99" s="111"/>
      <c r="DA99" s="103" t="b">
        <f>IF(CT86=30,37)</f>
        <v>0</v>
      </c>
      <c r="DB99" s="78"/>
      <c r="DC99" s="78"/>
      <c r="DD99" s="78"/>
    </row>
    <row r="100" spans="5:108" ht="21" hidden="1" customHeight="1" thickBot="1" x14ac:dyDescent="0.25">
      <c r="E100" s="397"/>
      <c r="F100" s="397"/>
      <c r="G100" s="998"/>
      <c r="H100"/>
      <c r="I100"/>
      <c r="J100"/>
      <c r="K100"/>
      <c r="L100"/>
      <c r="M100"/>
      <c r="N100"/>
      <c r="O100" s="995"/>
      <c r="BE100" s="114"/>
      <c r="BF100" s="114"/>
      <c r="BG100" s="114"/>
      <c r="BH100" s="114"/>
      <c r="BN100" s="86"/>
      <c r="BO100" s="114"/>
      <c r="BP100" s="96">
        <v>29</v>
      </c>
      <c r="BQ100" s="78"/>
      <c r="BR100" s="78"/>
      <c r="BS100" s="78"/>
      <c r="BT100" s="78"/>
      <c r="BU100" s="78"/>
      <c r="BV100" s="78"/>
      <c r="BW100" s="78"/>
      <c r="BX100" s="78"/>
      <c r="BY100" s="78"/>
      <c r="BZ100" s="78"/>
      <c r="CA100" s="78"/>
      <c r="CB100" s="78"/>
      <c r="CC100" s="78"/>
      <c r="CD100" s="78"/>
      <c r="CE100" s="78"/>
      <c r="CF100" s="78"/>
      <c r="CG100" s="78"/>
      <c r="CH100" s="115"/>
      <c r="CI100" s="78"/>
      <c r="CJ100" s="116"/>
      <c r="CK100" s="117" t="b">
        <f>IF(CS86=29,21)</f>
        <v>0</v>
      </c>
      <c r="CL100" s="111"/>
      <c r="CM100" s="111"/>
      <c r="CN100" s="111"/>
      <c r="CO100" s="111"/>
      <c r="CP100" s="111"/>
      <c r="CQ100" s="111"/>
      <c r="CR100" s="118"/>
      <c r="CS100" s="111"/>
      <c r="CT100" s="118"/>
      <c r="CU100" s="119"/>
      <c r="CV100" s="119"/>
      <c r="CW100" s="119"/>
      <c r="CX100" s="119"/>
      <c r="CY100" s="119"/>
      <c r="CZ100" s="119"/>
      <c r="DA100" s="103" t="b">
        <f>IF(CS86=29,37)</f>
        <v>0</v>
      </c>
      <c r="DB100" s="76"/>
      <c r="DC100" s="78"/>
      <c r="DD100" s="78"/>
    </row>
    <row r="101" spans="5:108" ht="21" hidden="1" customHeight="1" thickBot="1" x14ac:dyDescent="0.25">
      <c r="E101" s="397"/>
      <c r="F101" s="397"/>
      <c r="G101" s="998"/>
      <c r="H101"/>
      <c r="I101"/>
      <c r="J101"/>
      <c r="K101"/>
      <c r="L101"/>
      <c r="M101"/>
      <c r="N101"/>
      <c r="O101" s="995"/>
      <c r="BE101" s="114"/>
      <c r="BF101" s="114"/>
      <c r="BG101" s="114"/>
      <c r="BH101" s="114"/>
      <c r="BN101" s="86"/>
      <c r="BO101" s="114"/>
      <c r="BP101" s="96">
        <v>28</v>
      </c>
      <c r="BQ101" s="78"/>
      <c r="BR101" s="78"/>
      <c r="BS101" s="78"/>
      <c r="BT101" s="78"/>
      <c r="BU101" s="78"/>
      <c r="BV101" s="78"/>
      <c r="BW101" s="78"/>
      <c r="BX101" s="78"/>
      <c r="BY101" s="78"/>
      <c r="BZ101" s="78"/>
      <c r="CA101" s="78"/>
      <c r="CB101" s="78"/>
      <c r="CC101" s="78"/>
      <c r="CD101" s="78"/>
      <c r="CE101" s="78"/>
      <c r="CF101" s="78"/>
      <c r="CG101" s="78"/>
      <c r="CH101" s="115"/>
      <c r="CI101" s="78"/>
      <c r="CJ101" s="116"/>
      <c r="CK101" s="120" t="b">
        <f>IF(CR86=28,21)</f>
        <v>0</v>
      </c>
      <c r="CL101" s="121"/>
      <c r="CM101" s="121"/>
      <c r="CN101" s="121"/>
      <c r="CO101" s="121"/>
      <c r="CP101" s="122"/>
      <c r="CQ101" s="121"/>
      <c r="CR101" s="121"/>
      <c r="CS101" s="121"/>
      <c r="CT101" s="122"/>
      <c r="CU101" s="123"/>
      <c r="CV101" s="123"/>
      <c r="CW101" s="123"/>
      <c r="CX101" s="123"/>
      <c r="CY101" s="124" t="b">
        <f>IF(CR86=28,35)</f>
        <v>0</v>
      </c>
      <c r="CZ101" s="76"/>
      <c r="DA101" s="76"/>
      <c r="DB101" s="76"/>
      <c r="DC101" s="78"/>
      <c r="DD101" s="78"/>
    </row>
    <row r="102" spans="5:108" ht="21" hidden="1" customHeight="1" thickBot="1" x14ac:dyDescent="0.25">
      <c r="E102" s="397"/>
      <c r="F102" s="397"/>
      <c r="G102" s="998"/>
      <c r="H102"/>
      <c r="I102"/>
      <c r="J102"/>
      <c r="K102"/>
      <c r="L102"/>
      <c r="M102"/>
      <c r="N102"/>
      <c r="O102" s="995"/>
      <c r="BE102" s="114"/>
      <c r="BF102" s="114"/>
      <c r="BG102" s="114"/>
      <c r="BH102" s="114"/>
      <c r="BN102" s="86"/>
      <c r="BO102" s="114"/>
      <c r="BP102" s="96">
        <v>27</v>
      </c>
      <c r="BQ102" s="78"/>
      <c r="BR102" s="78"/>
      <c r="BS102" s="78"/>
      <c r="BT102" s="78"/>
      <c r="BU102" s="78"/>
      <c r="BV102" s="78"/>
      <c r="BW102" s="78"/>
      <c r="BX102" s="78"/>
      <c r="BY102" s="78"/>
      <c r="BZ102" s="78"/>
      <c r="CA102" s="78"/>
      <c r="CB102" s="78"/>
      <c r="CC102" s="78"/>
      <c r="CD102" s="78"/>
      <c r="CE102" s="78"/>
      <c r="CF102" s="78"/>
      <c r="CG102" s="78"/>
      <c r="CH102" s="115"/>
      <c r="CI102" s="78"/>
      <c r="CJ102" s="116"/>
      <c r="CK102" s="120" t="b">
        <f>IF(CQ86=27,21)</f>
        <v>0</v>
      </c>
      <c r="CL102" s="121"/>
      <c r="CM102" s="121"/>
      <c r="CN102" s="122"/>
      <c r="CO102" s="121"/>
      <c r="CP102" s="121"/>
      <c r="CQ102" s="121"/>
      <c r="CR102" s="121"/>
      <c r="CS102" s="121"/>
      <c r="CT102" s="122"/>
      <c r="CU102" s="123"/>
      <c r="CV102" s="123"/>
      <c r="CW102" s="124" t="b">
        <f>IF(CQ86=27,33)</f>
        <v>0</v>
      </c>
      <c r="CX102" s="76"/>
      <c r="CY102" s="76"/>
      <c r="CZ102" s="76"/>
      <c r="DA102" s="76"/>
      <c r="DB102" s="76"/>
      <c r="DC102" s="78"/>
      <c r="DD102" s="78"/>
    </row>
    <row r="103" spans="5:108" ht="21" hidden="1" customHeight="1" thickBot="1" x14ac:dyDescent="0.25">
      <c r="E103" s="397"/>
      <c r="F103" s="397"/>
      <c r="G103" s="998"/>
      <c r="H103"/>
      <c r="I103"/>
      <c r="J103"/>
      <c r="K103"/>
      <c r="L103"/>
      <c r="M103"/>
      <c r="N103"/>
      <c r="O103" s="995"/>
      <c r="BN103" s="86"/>
      <c r="BP103" s="96">
        <v>26</v>
      </c>
      <c r="BQ103" s="78"/>
      <c r="BR103" s="78"/>
      <c r="BS103" s="78"/>
      <c r="BT103" s="78"/>
      <c r="BU103" s="78"/>
      <c r="BV103" s="78"/>
      <c r="BW103" s="78"/>
      <c r="BX103" s="78"/>
      <c r="BY103" s="78"/>
      <c r="BZ103" s="78"/>
      <c r="CA103" s="78"/>
      <c r="CB103" s="78"/>
      <c r="CC103" s="78"/>
      <c r="CD103" s="78"/>
      <c r="CE103" s="78"/>
      <c r="CF103" s="78"/>
      <c r="CG103" s="78"/>
      <c r="CH103" s="115"/>
      <c r="CI103" s="78"/>
      <c r="CJ103" s="116"/>
      <c r="CK103" s="120" t="b">
        <f>IF(CP86=26,21)</f>
        <v>0</v>
      </c>
      <c r="CL103" s="122"/>
      <c r="CM103" s="121"/>
      <c r="CN103" s="121"/>
      <c r="CO103" s="121"/>
      <c r="CP103" s="121"/>
      <c r="CQ103" s="121"/>
      <c r="CR103" s="121"/>
      <c r="CS103" s="121"/>
      <c r="CT103" s="122"/>
      <c r="CU103" s="124" t="b">
        <f>IF(CP86=26,31)</f>
        <v>0</v>
      </c>
      <c r="CV103" s="76"/>
      <c r="CW103" s="76"/>
      <c r="CX103" s="76"/>
      <c r="CY103" s="76"/>
      <c r="CZ103" s="76"/>
      <c r="DA103" s="76"/>
      <c r="DB103" s="76"/>
      <c r="DC103" s="78"/>
      <c r="DD103" s="78"/>
    </row>
    <row r="104" spans="5:108" ht="21" hidden="1" customHeight="1" thickBot="1" x14ac:dyDescent="0.25">
      <c r="E104" s="397"/>
      <c r="F104" s="397"/>
      <c r="G104" s="998"/>
      <c r="H104"/>
      <c r="I104"/>
      <c r="J104"/>
      <c r="K104"/>
      <c r="L104"/>
      <c r="M104"/>
      <c r="N104"/>
      <c r="O104" s="995"/>
      <c r="BE104" s="126"/>
      <c r="BF104" s="126"/>
      <c r="BG104" s="126"/>
      <c r="BH104" s="126"/>
      <c r="BN104" s="86"/>
      <c r="BO104" s="126"/>
      <c r="BP104" s="96">
        <v>25</v>
      </c>
      <c r="BQ104" s="78"/>
      <c r="BR104" s="78"/>
      <c r="BS104" s="78"/>
      <c r="BT104" s="78"/>
      <c r="BU104" s="78"/>
      <c r="BV104" s="78"/>
      <c r="BW104" s="78"/>
      <c r="BX104" s="78"/>
      <c r="BY104" s="78"/>
      <c r="BZ104" s="78"/>
      <c r="CA104" s="78"/>
      <c r="CC104" s="78"/>
      <c r="CD104" s="78"/>
      <c r="CE104" s="78"/>
      <c r="CF104" s="78"/>
      <c r="CG104" s="78"/>
      <c r="CH104" s="115"/>
      <c r="CI104" s="78"/>
      <c r="CK104" s="128" t="b">
        <f>IF(CO86=25,21)</f>
        <v>0</v>
      </c>
      <c r="CL104" s="121"/>
      <c r="CM104" s="121"/>
      <c r="CN104" s="121"/>
      <c r="CO104" s="121"/>
      <c r="CP104" s="121"/>
      <c r="CQ104" s="121"/>
      <c r="CR104" s="121"/>
      <c r="CS104" s="124" t="b">
        <f>IF(CO86=25,29)</f>
        <v>0</v>
      </c>
      <c r="CU104" s="76"/>
      <c r="CV104" s="76"/>
      <c r="CW104" s="76"/>
      <c r="CX104" s="76"/>
      <c r="CY104" s="76"/>
      <c r="CZ104" s="76"/>
      <c r="DA104" s="76"/>
      <c r="DB104" s="76"/>
      <c r="DC104" s="78"/>
      <c r="DD104" s="78"/>
    </row>
    <row r="105" spans="5:108" ht="21" hidden="1" customHeight="1" thickBot="1" x14ac:dyDescent="0.25">
      <c r="E105" s="397"/>
      <c r="F105" s="397"/>
      <c r="G105" s="998"/>
      <c r="H105"/>
      <c r="I105"/>
      <c r="J105"/>
      <c r="K105"/>
      <c r="L105"/>
      <c r="M105"/>
      <c r="N105"/>
      <c r="O105" s="995"/>
      <c r="BE105" s="126"/>
      <c r="BF105" s="126"/>
      <c r="BG105" s="126"/>
      <c r="BH105" s="126"/>
      <c r="BN105" s="86"/>
      <c r="BO105" s="126"/>
      <c r="BP105" s="96">
        <v>24</v>
      </c>
      <c r="BQ105" s="78"/>
      <c r="BR105" s="78"/>
      <c r="BS105" s="78"/>
      <c r="BT105" s="78"/>
      <c r="BU105" s="78"/>
      <c r="BV105" s="78"/>
      <c r="BW105" s="78"/>
      <c r="BX105" s="78"/>
      <c r="BY105" s="78"/>
      <c r="BZ105" s="78"/>
      <c r="CA105" s="78"/>
      <c r="CB105" s="117" t="b">
        <f>IF(CN86=24,12)</f>
        <v>0</v>
      </c>
      <c r="CC105" s="111"/>
      <c r="CD105" s="111"/>
      <c r="CE105" s="111"/>
      <c r="CF105" s="111"/>
      <c r="CG105" s="111"/>
      <c r="CH105" s="118"/>
      <c r="CI105" s="111"/>
      <c r="CJ105" s="129"/>
      <c r="CK105" s="111"/>
      <c r="CL105" s="111"/>
      <c r="CM105" s="111"/>
      <c r="CN105" s="111"/>
      <c r="CO105" s="111"/>
      <c r="CP105" s="111"/>
      <c r="CQ105" s="111"/>
      <c r="CR105" s="111"/>
      <c r="CS105" s="111"/>
      <c r="CT105" s="118"/>
      <c r="CU105" s="119"/>
      <c r="CV105" s="119"/>
      <c r="CW105" s="119"/>
      <c r="CX105" s="119"/>
      <c r="CY105" s="119"/>
      <c r="CZ105" s="103" t="b">
        <f>IF(CN86=24,36)</f>
        <v>0</v>
      </c>
      <c r="DA105" s="76"/>
      <c r="DB105" s="76"/>
      <c r="DC105" s="78"/>
      <c r="DD105" s="78"/>
    </row>
    <row r="106" spans="5:108" ht="21" hidden="1" customHeight="1" thickBot="1" x14ac:dyDescent="0.25">
      <c r="E106" s="397"/>
      <c r="F106" s="397"/>
      <c r="G106" s="998"/>
      <c r="H106"/>
      <c r="I106"/>
      <c r="J106"/>
      <c r="K106"/>
      <c r="L106"/>
      <c r="M106"/>
      <c r="N106"/>
      <c r="O106" s="995"/>
      <c r="BE106" s="126"/>
      <c r="BF106" s="126"/>
      <c r="BG106" s="126"/>
      <c r="BH106" s="126"/>
      <c r="BN106" s="86"/>
      <c r="BO106" s="126"/>
      <c r="BP106" s="96">
        <v>23</v>
      </c>
      <c r="BQ106" s="78"/>
      <c r="BR106" s="78"/>
      <c r="BS106" s="78"/>
      <c r="BT106" s="78"/>
      <c r="BU106" s="78"/>
      <c r="BV106" s="78"/>
      <c r="BW106" s="78"/>
      <c r="BX106" s="78"/>
      <c r="BY106" s="78"/>
      <c r="BZ106" s="78"/>
      <c r="CA106" s="78"/>
      <c r="CB106" s="120" t="b">
        <f>IF(CM86=23,12)</f>
        <v>0</v>
      </c>
      <c r="CC106" s="121"/>
      <c r="CD106" s="121"/>
      <c r="CE106" s="121"/>
      <c r="CF106" s="122"/>
      <c r="CG106" s="121"/>
      <c r="CH106" s="132"/>
      <c r="CI106" s="121"/>
      <c r="CJ106" s="133"/>
      <c r="CK106" s="121"/>
      <c r="CL106" s="121"/>
      <c r="CM106" s="121"/>
      <c r="CN106" s="121"/>
      <c r="CO106" s="121"/>
      <c r="CP106" s="121"/>
      <c r="CQ106" s="121"/>
      <c r="CR106" s="121"/>
      <c r="CS106" s="121"/>
      <c r="CT106" s="122"/>
      <c r="CU106" s="123"/>
      <c r="CV106" s="123"/>
      <c r="CW106" s="123"/>
      <c r="CX106" s="124" t="b">
        <f>IF(CM86=23,34)</f>
        <v>0</v>
      </c>
      <c r="CY106" s="76"/>
      <c r="CZ106" s="76"/>
      <c r="DA106" s="76"/>
      <c r="DB106" s="76"/>
      <c r="DC106" s="78"/>
      <c r="DD106" s="78"/>
    </row>
    <row r="107" spans="5:108" ht="21" hidden="1" customHeight="1" thickBot="1" x14ac:dyDescent="0.25">
      <c r="E107" s="397"/>
      <c r="F107" s="397"/>
      <c r="G107" s="998"/>
      <c r="H107"/>
      <c r="I107"/>
      <c r="J107"/>
      <c r="K107"/>
      <c r="L107"/>
      <c r="M107"/>
      <c r="N107"/>
      <c r="O107" s="995"/>
      <c r="U107" s="114"/>
      <c r="AB107" s="114"/>
      <c r="AC107" s="114"/>
      <c r="AD107" s="114"/>
      <c r="AE107" s="114"/>
      <c r="BE107" s="126"/>
      <c r="BF107" s="126"/>
      <c r="BG107" s="126"/>
      <c r="BH107" s="126"/>
      <c r="BN107" s="86"/>
      <c r="BO107" s="126"/>
      <c r="BP107" s="96">
        <v>22</v>
      </c>
      <c r="BQ107" s="76"/>
      <c r="BR107" s="76"/>
      <c r="BS107" s="76"/>
      <c r="BT107" s="76"/>
      <c r="BU107" s="76"/>
      <c r="BV107" s="76"/>
      <c r="BW107" s="76"/>
      <c r="BX107" s="76"/>
      <c r="BY107" s="76"/>
      <c r="BZ107" s="76"/>
      <c r="CA107" s="76"/>
      <c r="CB107" s="120" t="b">
        <f>IF(CL86=22,12)</f>
        <v>0</v>
      </c>
      <c r="CC107" s="123"/>
      <c r="CD107" s="123"/>
      <c r="CE107" s="123"/>
      <c r="CF107" s="122"/>
      <c r="CG107" s="123"/>
      <c r="CH107" s="134"/>
      <c r="CI107" s="123"/>
      <c r="CJ107" s="135"/>
      <c r="CK107" s="123"/>
      <c r="CL107" s="123"/>
      <c r="CM107" s="123"/>
      <c r="CN107" s="123"/>
      <c r="CO107" s="121"/>
      <c r="CP107" s="121"/>
      <c r="CQ107" s="122"/>
      <c r="CR107" s="121"/>
      <c r="CS107" s="121"/>
      <c r="CT107" s="121"/>
      <c r="CU107" s="121"/>
      <c r="CV107" s="124" t="b">
        <f>IF(CL86=22,32)</f>
        <v>0</v>
      </c>
      <c r="CW107" s="78"/>
      <c r="CX107" s="78"/>
      <c r="CY107" s="78"/>
      <c r="CZ107" s="78"/>
      <c r="DA107" s="78"/>
      <c r="DB107" s="78"/>
      <c r="DC107" s="78"/>
      <c r="DD107" s="78"/>
    </row>
    <row r="108" spans="5:108" ht="21" hidden="1" customHeight="1" thickBot="1" x14ac:dyDescent="0.25">
      <c r="E108" s="397"/>
      <c r="F108" s="397"/>
      <c r="G108" s="998"/>
      <c r="H108"/>
      <c r="I108"/>
      <c r="J108"/>
      <c r="K108"/>
      <c r="L108"/>
      <c r="M108"/>
      <c r="N108"/>
      <c r="O108" s="995"/>
      <c r="BE108" s="126"/>
      <c r="BF108" s="126"/>
      <c r="BG108" s="126"/>
      <c r="BH108" s="126"/>
      <c r="BN108" s="86"/>
      <c r="BO108" s="126"/>
      <c r="BP108" s="96">
        <v>21</v>
      </c>
      <c r="BQ108" s="78"/>
      <c r="BR108" s="78"/>
      <c r="BS108" s="78"/>
      <c r="BT108" s="78"/>
      <c r="BU108" s="78"/>
      <c r="BV108" s="78"/>
      <c r="BW108" s="78"/>
      <c r="BX108" s="78"/>
      <c r="BY108" s="78"/>
      <c r="BZ108" s="78"/>
      <c r="CA108" s="78"/>
      <c r="CB108" s="120" t="b">
        <f>IF(CK86=21,12)</f>
        <v>0</v>
      </c>
      <c r="CC108" s="121"/>
      <c r="CD108" s="121"/>
      <c r="CE108" s="121"/>
      <c r="CF108" s="121"/>
      <c r="CG108" s="121"/>
      <c r="CH108" s="132"/>
      <c r="CI108" s="121"/>
      <c r="CJ108" s="133"/>
      <c r="CK108" s="121"/>
      <c r="CL108" s="121"/>
      <c r="CM108" s="121"/>
      <c r="CN108" s="121"/>
      <c r="CO108" s="121"/>
      <c r="CP108" s="121"/>
      <c r="CQ108" s="121"/>
      <c r="CR108" s="121"/>
      <c r="CS108" s="121"/>
      <c r="CT108" s="124" t="b">
        <f>IF(CK86=21,30)</f>
        <v>0</v>
      </c>
      <c r="CU108" s="76"/>
      <c r="CV108" s="76"/>
      <c r="CW108" s="76"/>
      <c r="CX108" s="76"/>
      <c r="CY108" s="76"/>
      <c r="CZ108" s="76"/>
      <c r="DA108" s="76"/>
      <c r="DB108" s="76"/>
      <c r="DC108" s="78"/>
      <c r="DD108" s="78"/>
    </row>
    <row r="109" spans="5:108" ht="21" hidden="1" customHeight="1" thickBot="1" x14ac:dyDescent="0.25">
      <c r="E109" s="397"/>
      <c r="F109" s="397"/>
      <c r="G109" s="998"/>
      <c r="H109"/>
      <c r="I109"/>
      <c r="J109"/>
      <c r="K109"/>
      <c r="L109"/>
      <c r="M109"/>
      <c r="N109"/>
      <c r="O109" s="995"/>
      <c r="T109" s="401"/>
      <c r="BE109" s="136"/>
      <c r="BF109" s="136"/>
      <c r="BG109" s="136"/>
      <c r="BH109" s="136"/>
      <c r="BN109" s="86"/>
      <c r="BO109" s="1091"/>
      <c r="BP109" s="96">
        <v>20</v>
      </c>
      <c r="BQ109" s="78"/>
      <c r="BR109" s="78"/>
      <c r="BS109" s="78"/>
      <c r="BT109" s="78"/>
      <c r="BU109" s="78"/>
      <c r="BV109" s="78"/>
      <c r="BW109" s="78"/>
      <c r="BX109" s="78"/>
      <c r="CA109" s="137"/>
      <c r="CB109" s="117" t="b">
        <f>IF(CJ86=20,12)</f>
        <v>0</v>
      </c>
      <c r="CC109" s="111"/>
      <c r="CD109" s="111"/>
      <c r="CE109" s="111"/>
      <c r="CF109" s="111"/>
      <c r="CG109" s="111"/>
      <c r="CH109" s="138"/>
      <c r="CI109" s="111"/>
      <c r="CJ109" s="129"/>
      <c r="CK109" s="111"/>
      <c r="CL109" s="111"/>
      <c r="CM109" s="111"/>
      <c r="CN109" s="111"/>
      <c r="CO109" s="111"/>
      <c r="CP109" s="111"/>
      <c r="CQ109" s="111"/>
      <c r="CR109" s="103" t="b">
        <f>IF(CJ86=20,28)</f>
        <v>0</v>
      </c>
      <c r="CS109" s="137"/>
      <c r="CU109" s="76"/>
      <c r="CV109" s="76"/>
      <c r="CW109" s="76"/>
      <c r="CX109" s="76"/>
      <c r="CY109" s="76"/>
      <c r="CZ109" s="76"/>
      <c r="DA109" s="76"/>
      <c r="DB109" s="76"/>
      <c r="DC109" s="78"/>
      <c r="DD109" s="78"/>
    </row>
    <row r="110" spans="5:108" ht="21" hidden="1" customHeight="1" thickBot="1" x14ac:dyDescent="0.25">
      <c r="E110" s="397"/>
      <c r="F110" s="397"/>
      <c r="G110" s="998"/>
      <c r="H110"/>
      <c r="I110"/>
      <c r="J110"/>
      <c r="K110"/>
      <c r="L110"/>
      <c r="M110"/>
      <c r="N110"/>
      <c r="O110" s="995"/>
      <c r="U110" s="114"/>
      <c r="AB110" s="114"/>
      <c r="AC110" s="114"/>
      <c r="AD110" s="114"/>
      <c r="AE110" s="114"/>
      <c r="BE110" s="136"/>
      <c r="BF110" s="136"/>
      <c r="BG110" s="136"/>
      <c r="BH110" s="136"/>
      <c r="BN110" s="86"/>
      <c r="BO110" s="1091"/>
      <c r="BP110" s="96">
        <v>19</v>
      </c>
      <c r="BQ110" s="78"/>
      <c r="BR110" s="78"/>
      <c r="BS110" s="78"/>
      <c r="BT110" s="78"/>
      <c r="BU110" s="78"/>
      <c r="BV110" s="78"/>
      <c r="BW110" s="78"/>
      <c r="BX110" s="78"/>
      <c r="BZ110" s="139"/>
      <c r="CA110" s="139"/>
      <c r="CB110" s="117" t="b">
        <f>IF(CI86=19,12)</f>
        <v>0</v>
      </c>
      <c r="CC110" s="119"/>
      <c r="CD110" s="119"/>
      <c r="CE110" s="118"/>
      <c r="CF110" s="119"/>
      <c r="CG110" s="119"/>
      <c r="CH110" s="140"/>
      <c r="CI110" s="119"/>
      <c r="CJ110" s="141"/>
      <c r="CK110" s="118"/>
      <c r="CL110" s="119"/>
      <c r="CM110" s="119"/>
      <c r="CN110" s="119"/>
      <c r="CO110" s="111"/>
      <c r="CP110" s="103" t="b">
        <f>IF(CI86=19,26)</f>
        <v>0</v>
      </c>
      <c r="CQ110" s="142"/>
      <c r="CR110" s="137"/>
      <c r="CT110" s="78"/>
      <c r="CU110" s="78"/>
      <c r="CV110" s="78"/>
      <c r="CW110" s="78"/>
      <c r="CX110" s="78"/>
      <c r="CY110" s="78"/>
      <c r="CZ110" s="78"/>
      <c r="DA110" s="78"/>
      <c r="DB110" s="78"/>
      <c r="DC110" s="78"/>
      <c r="DD110" s="78"/>
    </row>
    <row r="111" spans="5:108" ht="21" hidden="1" customHeight="1" thickBot="1" x14ac:dyDescent="0.25">
      <c r="E111" s="397"/>
      <c r="F111" s="397"/>
      <c r="G111" s="998"/>
      <c r="H111"/>
      <c r="I111"/>
      <c r="J111"/>
      <c r="K111"/>
      <c r="L111"/>
      <c r="M111"/>
      <c r="N111"/>
      <c r="O111" s="995"/>
      <c r="U111" s="114"/>
      <c r="AB111" s="114"/>
      <c r="AC111" s="114"/>
      <c r="AD111" s="114"/>
      <c r="AE111" s="114"/>
      <c r="BE111" s="136"/>
      <c r="BF111" s="136"/>
      <c r="BG111" s="136"/>
      <c r="BH111" s="136"/>
      <c r="BN111" s="86"/>
      <c r="BO111" s="1091"/>
      <c r="BP111" s="96">
        <v>18</v>
      </c>
      <c r="BQ111" s="76"/>
      <c r="BR111" s="76"/>
      <c r="BS111" s="76"/>
      <c r="BT111" s="76"/>
      <c r="BU111" s="76"/>
      <c r="BV111" s="76"/>
      <c r="BW111" s="76"/>
      <c r="BX111" s="76"/>
      <c r="BZ111" s="117" t="b">
        <f>IF(CH86=18,10)</f>
        <v>0</v>
      </c>
      <c r="CA111" s="119"/>
      <c r="CB111" s="119"/>
      <c r="CC111" s="119"/>
      <c r="CD111" s="119"/>
      <c r="CE111" s="118"/>
      <c r="CF111" s="119"/>
      <c r="CG111" s="119"/>
      <c r="CH111" s="140"/>
      <c r="CI111" s="119"/>
      <c r="CJ111" s="141"/>
      <c r="CK111" s="118"/>
      <c r="CL111" s="119"/>
      <c r="CM111" s="119"/>
      <c r="CN111" s="119"/>
      <c r="CO111" s="111"/>
      <c r="CP111" s="103" t="b">
        <f>IF(CH86=18,26)</f>
        <v>0</v>
      </c>
      <c r="CR111" s="78"/>
      <c r="CS111" s="78"/>
      <c r="CT111" s="78"/>
      <c r="CU111" s="78"/>
      <c r="CV111" s="78"/>
      <c r="CW111" s="78"/>
      <c r="CX111" s="78"/>
      <c r="CY111" s="78"/>
      <c r="CZ111" s="78"/>
      <c r="DA111" s="78"/>
      <c r="DB111" s="78"/>
      <c r="DC111" s="78"/>
      <c r="DD111" s="78"/>
    </row>
    <row r="112" spans="5:108" ht="21" hidden="1" customHeight="1" thickBot="1" x14ac:dyDescent="0.25">
      <c r="E112" s="397"/>
      <c r="F112" s="397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E112" s="136"/>
      <c r="BF112" s="136"/>
      <c r="BG112" s="136"/>
      <c r="BH112" s="136"/>
      <c r="BN112" s="86"/>
      <c r="BO112" s="1091"/>
      <c r="BP112" s="96">
        <v>17</v>
      </c>
      <c r="BQ112" s="76"/>
      <c r="BR112" s="76"/>
      <c r="BS112" s="76"/>
      <c r="BT112" s="76"/>
      <c r="BU112" s="76"/>
      <c r="BV112" s="76"/>
      <c r="BW112" s="76"/>
      <c r="BX112" s="117">
        <f>IF(CG86=17,8)</f>
        <v>8</v>
      </c>
      <c r="BY112" s="118"/>
      <c r="BZ112" s="118"/>
      <c r="CA112" s="119"/>
      <c r="CB112" s="119"/>
      <c r="CC112" s="119"/>
      <c r="CD112" s="119"/>
      <c r="CE112" s="119"/>
      <c r="CF112" s="119"/>
      <c r="CG112" s="119"/>
      <c r="CH112" s="140"/>
      <c r="CI112" s="119"/>
      <c r="CJ112" s="141"/>
      <c r="CK112" s="119"/>
      <c r="CL112" s="119"/>
      <c r="CM112" s="119"/>
      <c r="CN112" s="118"/>
      <c r="CO112" s="118"/>
      <c r="CP112" s="103">
        <f>IF(CG86=17,26)</f>
        <v>26</v>
      </c>
      <c r="CQ112" s="78"/>
      <c r="CR112" s="78"/>
      <c r="CS112" s="78"/>
      <c r="CT112" s="78"/>
      <c r="CU112" s="78"/>
      <c r="CV112" s="78"/>
      <c r="CW112" s="78"/>
      <c r="CX112" s="78"/>
      <c r="CY112" s="78"/>
      <c r="CZ112" s="78"/>
      <c r="DA112" s="78"/>
      <c r="DB112" s="78"/>
      <c r="DC112" s="78"/>
      <c r="DD112" s="78"/>
    </row>
    <row r="113" spans="2:108" ht="21" hidden="1" customHeight="1" thickBot="1" x14ac:dyDescent="0.25">
      <c r="E113" s="397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E113" s="136"/>
      <c r="BF113" s="136"/>
      <c r="BG113" s="136"/>
      <c r="BH113" s="136"/>
      <c r="BN113" s="86"/>
      <c r="BO113" s="1091"/>
      <c r="BP113" s="96">
        <v>16</v>
      </c>
      <c r="BQ113" s="76"/>
      <c r="BR113" s="76"/>
      <c r="BS113" s="76"/>
      <c r="BT113" s="76"/>
      <c r="BU113" s="76"/>
      <c r="BV113" s="145" t="b">
        <f>IF(CF86=16,6)</f>
        <v>0</v>
      </c>
      <c r="BW113" s="146"/>
      <c r="BX113" s="147"/>
      <c r="BY113" s="147"/>
      <c r="BZ113" s="146"/>
      <c r="CA113" s="146"/>
      <c r="CB113" s="146"/>
      <c r="CC113" s="146"/>
      <c r="CD113" s="146"/>
      <c r="CE113" s="146"/>
      <c r="CF113" s="146"/>
      <c r="CG113" s="146"/>
      <c r="CH113" s="148"/>
      <c r="CI113" s="146"/>
      <c r="CJ113" s="149"/>
      <c r="CK113" s="146"/>
      <c r="CL113" s="146"/>
      <c r="CM113" s="147"/>
      <c r="CN113" s="147"/>
      <c r="CO113" s="150"/>
      <c r="CP113" s="151" t="b">
        <f>IF(CF86=16,26)</f>
        <v>0</v>
      </c>
      <c r="CQ113" s="78"/>
      <c r="CR113" s="78"/>
      <c r="CS113" s="78"/>
      <c r="CT113" s="78"/>
      <c r="CU113" s="78"/>
      <c r="CV113" s="78"/>
      <c r="CW113" s="78"/>
      <c r="CX113" s="78"/>
      <c r="CY113" s="78"/>
      <c r="CZ113" s="78"/>
      <c r="DA113" s="78"/>
      <c r="DB113" s="78"/>
      <c r="DC113" s="78"/>
      <c r="DD113" s="78"/>
    </row>
    <row r="114" spans="2:108" ht="21" hidden="1" customHeight="1" thickBot="1" x14ac:dyDescent="0.25">
      <c r="E114" s="397"/>
      <c r="F114" s="397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E114" s="136"/>
      <c r="BF114" s="136"/>
      <c r="BG114" s="136"/>
      <c r="BH114" s="136"/>
      <c r="BN114" s="86"/>
      <c r="BO114" s="1091"/>
      <c r="BP114" s="96">
        <v>15</v>
      </c>
      <c r="BQ114" s="76"/>
      <c r="BR114" s="76"/>
      <c r="BS114" s="76"/>
      <c r="BT114" s="117" t="b">
        <f>IF(CE86=15,4)</f>
        <v>0</v>
      </c>
      <c r="BU114" s="119"/>
      <c r="BV114" s="119"/>
      <c r="BW114" s="119"/>
      <c r="BX114" s="118"/>
      <c r="BY114" s="119"/>
      <c r="BZ114" s="119"/>
      <c r="CA114" s="118"/>
      <c r="CB114" s="119"/>
      <c r="CC114" s="119"/>
      <c r="CD114" s="119"/>
      <c r="CE114" s="119"/>
      <c r="CF114" s="119"/>
      <c r="CG114" s="119"/>
      <c r="CH114" s="140"/>
      <c r="CI114" s="118"/>
      <c r="CJ114" s="141"/>
      <c r="CK114" s="119"/>
      <c r="CL114" s="118"/>
      <c r="CM114" s="119"/>
      <c r="CN114" s="119"/>
      <c r="CO114" s="111"/>
      <c r="CP114" s="103" t="b">
        <f>IF(CE86=15,26)</f>
        <v>0</v>
      </c>
      <c r="CQ114" s="78"/>
      <c r="CR114" s="78"/>
      <c r="CS114" s="78"/>
      <c r="CT114" s="78"/>
      <c r="CU114" s="78"/>
      <c r="CV114" s="78"/>
      <c r="CW114" s="78"/>
      <c r="CX114" s="78"/>
      <c r="CY114" s="78"/>
      <c r="CZ114" s="78"/>
      <c r="DA114" s="78"/>
      <c r="DB114" s="78"/>
      <c r="DC114" s="78"/>
      <c r="DD114" s="78"/>
    </row>
    <row r="115" spans="2:108" ht="21" hidden="1" customHeight="1" thickBot="1" x14ac:dyDescent="0.25">
      <c r="E115" s="397"/>
      <c r="F115" s="397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36"/>
      <c r="BF115" s="136"/>
      <c r="BG115" s="136"/>
      <c r="BH115" s="136"/>
      <c r="BN115" s="86"/>
      <c r="BO115" s="1091"/>
      <c r="BP115" s="96">
        <v>14</v>
      </c>
      <c r="BQ115" s="76"/>
      <c r="BR115" s="117" t="b">
        <f>IF(CD86=14,2)</f>
        <v>0</v>
      </c>
      <c r="BS115" s="119"/>
      <c r="BT115" s="119"/>
      <c r="BU115" s="119"/>
      <c r="BV115" s="118"/>
      <c r="BW115" s="119"/>
      <c r="BX115" s="119"/>
      <c r="BY115" s="118"/>
      <c r="BZ115" s="119"/>
      <c r="CA115" s="119"/>
      <c r="CB115" s="119"/>
      <c r="CC115" s="119"/>
      <c r="CD115" s="119"/>
      <c r="CE115" s="119"/>
      <c r="CF115" s="119"/>
      <c r="CG115" s="119"/>
      <c r="CH115" s="140"/>
      <c r="CI115" s="118"/>
      <c r="CJ115" s="141"/>
      <c r="CK115" s="119"/>
      <c r="CL115" s="118"/>
      <c r="CM115" s="119"/>
      <c r="CN115" s="119"/>
      <c r="CO115" s="111"/>
      <c r="CP115" s="103" t="b">
        <f>IF(CD86=14,26)</f>
        <v>0</v>
      </c>
      <c r="CQ115" s="78"/>
      <c r="CR115" s="78"/>
      <c r="CS115" s="78"/>
      <c r="CT115" s="78"/>
      <c r="CU115" s="78"/>
      <c r="CV115" s="78"/>
      <c r="CW115" s="78"/>
      <c r="CX115" s="78"/>
      <c r="CY115" s="78"/>
      <c r="CZ115" s="78"/>
      <c r="DA115" s="78"/>
      <c r="DB115" s="78"/>
      <c r="DC115" s="78"/>
      <c r="DD115" s="78"/>
    </row>
    <row r="116" spans="2:108" ht="21" hidden="1" customHeight="1" thickBot="1" x14ac:dyDescent="0.25">
      <c r="E116" s="397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E116" s="136"/>
      <c r="BF116" s="136"/>
      <c r="BG116" s="136"/>
      <c r="BH116" s="136"/>
      <c r="BN116" s="86"/>
      <c r="BO116" s="1091"/>
      <c r="BP116" s="96">
        <v>13</v>
      </c>
      <c r="BQ116" s="76"/>
      <c r="BR116" s="76"/>
      <c r="BS116" s="76"/>
      <c r="BU116" s="152"/>
      <c r="BV116" s="152"/>
      <c r="BW116" s="91"/>
      <c r="BX116" s="152"/>
      <c r="BY116" s="120" t="b">
        <f>IF(CC86=13,9)</f>
        <v>0</v>
      </c>
      <c r="BZ116" s="123"/>
      <c r="CA116" s="123"/>
      <c r="CB116" s="123"/>
      <c r="CC116" s="123"/>
      <c r="CD116" s="123"/>
      <c r="CE116" s="123"/>
      <c r="CF116" s="123"/>
      <c r="CG116" s="124" t="b">
        <f>IF(CC86=13,17)</f>
        <v>0</v>
      </c>
      <c r="CH116" s="153"/>
      <c r="CI116" s="91"/>
      <c r="CJ116" s="154"/>
      <c r="CK116" s="152"/>
      <c r="CM116" s="76"/>
      <c r="CN116" s="76"/>
      <c r="CO116" s="78"/>
      <c r="CP116" s="78"/>
      <c r="CQ116" s="78"/>
      <c r="CR116" s="78"/>
      <c r="CS116" s="78"/>
      <c r="CT116" s="78"/>
      <c r="CU116" s="78"/>
      <c r="CV116" s="78"/>
      <c r="CW116" s="78"/>
      <c r="CX116" s="78"/>
      <c r="CY116" s="78"/>
      <c r="CZ116" s="78"/>
      <c r="DA116" s="78"/>
      <c r="DB116" s="78"/>
      <c r="DC116" s="78"/>
      <c r="DD116" s="78"/>
    </row>
    <row r="117" spans="2:108" ht="21" hidden="1" customHeight="1" thickBot="1" x14ac:dyDescent="0.25">
      <c r="E117" s="397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E117" s="136"/>
      <c r="BF117" s="136"/>
      <c r="BG117" s="136"/>
      <c r="BH117" s="136"/>
      <c r="BN117" s="86"/>
      <c r="BO117" s="1091"/>
      <c r="BP117" s="96">
        <v>12</v>
      </c>
      <c r="BQ117" s="76"/>
      <c r="BS117" s="139"/>
      <c r="BT117" s="139"/>
      <c r="BU117" s="142"/>
      <c r="BV117" s="139"/>
      <c r="BW117" s="117" t="b">
        <f>IF(CB86=12,7)</f>
        <v>0</v>
      </c>
      <c r="BX117" s="119"/>
      <c r="BY117" s="119"/>
      <c r="BZ117" s="119"/>
      <c r="CA117" s="119"/>
      <c r="CB117" s="119"/>
      <c r="CC117" s="119"/>
      <c r="CD117" s="119"/>
      <c r="CE117" s="119"/>
      <c r="CF117" s="119"/>
      <c r="CG117" s="103" t="b">
        <f>IF(CB86=12,17)</f>
        <v>0</v>
      </c>
      <c r="CH117" s="155"/>
      <c r="CI117" s="142"/>
      <c r="CJ117" s="156"/>
      <c r="CK117" s="139"/>
      <c r="CM117" s="76"/>
      <c r="CN117" s="76"/>
      <c r="CO117" s="78"/>
      <c r="CP117" s="78"/>
      <c r="CQ117" s="78"/>
      <c r="CR117" s="78"/>
      <c r="CS117" s="78"/>
      <c r="CT117" s="78"/>
      <c r="CU117" s="78"/>
      <c r="CV117" s="78"/>
      <c r="CW117" s="78"/>
      <c r="CX117" s="78"/>
      <c r="CY117" s="78"/>
      <c r="CZ117" s="78"/>
      <c r="DA117" s="78"/>
      <c r="DB117" s="78"/>
      <c r="DC117" s="78"/>
      <c r="DD117" s="78"/>
    </row>
    <row r="118" spans="2:108" ht="21" hidden="1" customHeight="1" thickBot="1" x14ac:dyDescent="0.25">
      <c r="D118" s="397"/>
      <c r="E118" s="397"/>
      <c r="F118" s="397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E118" s="136"/>
      <c r="BF118" s="136"/>
      <c r="BG118" s="136"/>
      <c r="BH118" s="136"/>
      <c r="BN118" s="86"/>
      <c r="BO118" s="1091"/>
      <c r="BP118" s="96">
        <v>11</v>
      </c>
      <c r="BR118" s="152"/>
      <c r="BS118" s="91"/>
      <c r="BT118" s="152"/>
      <c r="BU118" s="117" t="b">
        <f>IF(CA86=11,5)</f>
        <v>0</v>
      </c>
      <c r="BV118" s="119"/>
      <c r="BW118" s="119"/>
      <c r="BX118" s="119"/>
      <c r="BY118" s="119"/>
      <c r="BZ118" s="119"/>
      <c r="CA118" s="119"/>
      <c r="CB118" s="119"/>
      <c r="CC118" s="119"/>
      <c r="CD118" s="119"/>
      <c r="CE118" s="119"/>
      <c r="CF118" s="119"/>
      <c r="CG118" s="103" t="b">
        <f>IF(CA86=11,17)</f>
        <v>0</v>
      </c>
      <c r="CH118" s="153"/>
      <c r="CI118" s="91"/>
      <c r="CJ118" s="154"/>
      <c r="CL118" s="76"/>
      <c r="CM118" s="76"/>
      <c r="CN118" s="76"/>
      <c r="CO118" s="78"/>
      <c r="CP118" s="78"/>
      <c r="CQ118" s="78"/>
      <c r="CR118" s="78"/>
      <c r="CS118" s="78"/>
      <c r="CT118" s="78"/>
      <c r="CU118" s="78"/>
      <c r="CV118" s="78"/>
      <c r="CW118" s="78"/>
      <c r="CX118" s="78"/>
      <c r="CY118" s="78"/>
      <c r="CZ118" s="78"/>
      <c r="DA118" s="78"/>
      <c r="DB118" s="78"/>
      <c r="DC118" s="78"/>
      <c r="DD118" s="78"/>
    </row>
    <row r="119" spans="2:108" ht="21" hidden="1" customHeight="1" thickBot="1" x14ac:dyDescent="0.25">
      <c r="B119" s="399"/>
      <c r="C119" s="399"/>
      <c r="D119" s="397"/>
      <c r="E119" s="397"/>
      <c r="F119" s="397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E119" s="136"/>
      <c r="BF119" s="136"/>
      <c r="BG119" s="136"/>
      <c r="BH119" s="136"/>
      <c r="BN119" s="86"/>
      <c r="BO119" s="1091"/>
      <c r="BP119" s="96">
        <v>10</v>
      </c>
      <c r="BR119" s="152"/>
      <c r="BS119" s="117" t="b">
        <f>IF(BZ86=10,3)</f>
        <v>0</v>
      </c>
      <c r="BT119" s="119"/>
      <c r="BU119" s="119"/>
      <c r="BV119" s="119"/>
      <c r="BW119" s="119"/>
      <c r="BX119" s="119"/>
      <c r="BY119" s="119"/>
      <c r="BZ119" s="119"/>
      <c r="CA119" s="119"/>
      <c r="CB119" s="119"/>
      <c r="CC119" s="119"/>
      <c r="CD119" s="119"/>
      <c r="CE119" s="119"/>
      <c r="CF119" s="119"/>
      <c r="CG119" s="103" t="b">
        <f>IF(BZ86=10,17)</f>
        <v>0</v>
      </c>
      <c r="CH119" s="153"/>
      <c r="CJ119" s="157"/>
      <c r="CK119" s="76"/>
      <c r="CL119" s="76"/>
      <c r="CM119" s="76"/>
      <c r="CN119" s="76"/>
      <c r="CO119" s="78"/>
      <c r="CP119" s="78"/>
      <c r="CQ119" s="78"/>
      <c r="CR119" s="78"/>
      <c r="CS119" s="78"/>
      <c r="CT119" s="78"/>
      <c r="CU119" s="78"/>
      <c r="CV119" s="78"/>
      <c r="CW119" s="78"/>
      <c r="CX119" s="78"/>
      <c r="CY119" s="78"/>
      <c r="CZ119" s="78"/>
      <c r="DA119" s="78"/>
      <c r="DB119" s="78"/>
      <c r="DC119" s="78"/>
      <c r="DD119" s="78"/>
    </row>
    <row r="120" spans="2:108" ht="21" hidden="1" customHeight="1" thickBot="1" x14ac:dyDescent="0.25">
      <c r="B120" s="399"/>
      <c r="C120" s="399"/>
      <c r="D120" s="397"/>
      <c r="E120" s="397"/>
      <c r="F120" s="397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F120" s="136"/>
      <c r="BG120" s="136"/>
      <c r="BH120" s="136"/>
      <c r="BN120" s="86"/>
      <c r="BO120" s="1091"/>
      <c r="BP120" s="96">
        <v>9</v>
      </c>
      <c r="BQ120" s="117" t="b">
        <f>IF(BY86=9,1)</f>
        <v>0</v>
      </c>
      <c r="BR120" s="119"/>
      <c r="BS120" s="119"/>
      <c r="BT120" s="119"/>
      <c r="BU120" s="119"/>
      <c r="BV120" s="119"/>
      <c r="BW120" s="119"/>
      <c r="BX120" s="119"/>
      <c r="BY120" s="119"/>
      <c r="BZ120" s="119"/>
      <c r="CA120" s="119"/>
      <c r="CB120" s="119"/>
      <c r="CC120" s="119"/>
      <c r="CD120" s="119"/>
      <c r="CE120" s="119"/>
      <c r="CF120" s="119"/>
      <c r="CG120" s="103" t="b">
        <f>IF(BY86=9,17)</f>
        <v>0</v>
      </c>
      <c r="CH120" s="76"/>
      <c r="CI120" s="76"/>
      <c r="CJ120" s="157"/>
      <c r="CK120" s="76"/>
      <c r="CL120" s="76"/>
      <c r="CM120" s="76"/>
      <c r="CN120" s="76"/>
      <c r="CO120" s="78"/>
      <c r="CP120" s="78"/>
      <c r="CQ120" s="78"/>
      <c r="CR120" s="78"/>
      <c r="CS120" s="78"/>
      <c r="CT120" s="78"/>
      <c r="CU120" s="78"/>
      <c r="CV120" s="78"/>
      <c r="CW120" s="78"/>
      <c r="CX120" s="78"/>
      <c r="CY120" s="78"/>
      <c r="CZ120" s="78"/>
      <c r="DA120" s="78"/>
      <c r="DB120" s="78"/>
      <c r="DC120" s="78"/>
      <c r="DD120" s="78"/>
    </row>
    <row r="121" spans="2:108" ht="21" hidden="1" customHeight="1" thickBot="1" x14ac:dyDescent="0.25">
      <c r="B121" s="401"/>
      <c r="E121" s="397"/>
      <c r="F121" s="397"/>
      <c r="G121" s="998"/>
      <c r="H121"/>
      <c r="I121"/>
      <c r="J121"/>
      <c r="K121"/>
      <c r="L121"/>
      <c r="M121"/>
      <c r="N121"/>
      <c r="O121" s="995"/>
      <c r="U121" s="114"/>
      <c r="AB121" s="114"/>
      <c r="AC121" s="114"/>
      <c r="AD121" s="114"/>
      <c r="AE121" s="114"/>
      <c r="BE121" s="136"/>
      <c r="BF121" s="136"/>
      <c r="BG121" s="136"/>
      <c r="BH121" s="136"/>
      <c r="BN121" s="86"/>
      <c r="BO121" s="1091"/>
      <c r="BP121" s="96">
        <v>8</v>
      </c>
      <c r="BQ121" s="117" t="b">
        <f>IF(BX86=8,1)</f>
        <v>0</v>
      </c>
      <c r="BR121" s="119"/>
      <c r="BS121" s="118"/>
      <c r="BT121" s="119"/>
      <c r="BU121" s="119"/>
      <c r="BV121" s="119"/>
      <c r="BW121" s="119"/>
      <c r="BX121" s="119"/>
      <c r="BY121" s="119"/>
      <c r="BZ121" s="119"/>
      <c r="CA121" s="119"/>
      <c r="CB121" s="119"/>
      <c r="CC121" s="118"/>
      <c r="CD121" s="119"/>
      <c r="CE121" s="103" t="b">
        <f>IF(BX86=8,15)</f>
        <v>0</v>
      </c>
      <c r="CF121" s="76"/>
      <c r="CG121" s="76"/>
      <c r="CH121" s="158"/>
      <c r="CI121" s="76"/>
      <c r="CJ121" s="157"/>
      <c r="CK121" s="76"/>
      <c r="CL121" s="76"/>
      <c r="CM121" s="76"/>
      <c r="CN121" s="76"/>
      <c r="CO121" s="78"/>
      <c r="CP121" s="78"/>
      <c r="CQ121" s="78"/>
      <c r="CR121" s="78"/>
      <c r="CS121" s="78"/>
      <c r="CT121" s="78"/>
      <c r="CU121" s="78"/>
      <c r="CV121" s="78"/>
      <c r="CW121" s="78"/>
      <c r="CX121" s="78"/>
      <c r="CY121" s="78"/>
      <c r="CZ121" s="78"/>
      <c r="DA121" s="78"/>
      <c r="DB121" s="78"/>
      <c r="DC121" s="78"/>
      <c r="DD121" s="78"/>
    </row>
    <row r="122" spans="2:108" ht="21" hidden="1" customHeight="1" thickBot="1" x14ac:dyDescent="0.25">
      <c r="B122" s="399"/>
      <c r="C122" s="399"/>
      <c r="D122" s="397"/>
      <c r="E122" s="397"/>
      <c r="F122" s="397"/>
      <c r="G122" s="998"/>
      <c r="H122"/>
      <c r="I122"/>
      <c r="J122"/>
      <c r="K122"/>
      <c r="L122"/>
      <c r="M122"/>
      <c r="N122"/>
      <c r="O122" s="995"/>
      <c r="U122" s="114"/>
      <c r="AB122" s="114"/>
      <c r="AC122" s="114"/>
      <c r="AD122" s="114"/>
      <c r="AE122" s="114"/>
      <c r="BF122" s="136"/>
      <c r="BG122" s="136"/>
      <c r="BH122" s="136"/>
      <c r="BN122" s="86"/>
      <c r="BO122" s="1091"/>
      <c r="BP122" s="96">
        <v>7</v>
      </c>
      <c r="BQ122" s="117" t="b">
        <f>IF(BW86=7,1)</f>
        <v>0</v>
      </c>
      <c r="BR122" s="118"/>
      <c r="BS122" s="119"/>
      <c r="BT122" s="119"/>
      <c r="BU122" s="119"/>
      <c r="BV122" s="119"/>
      <c r="BW122" s="119"/>
      <c r="BX122" s="119"/>
      <c r="BY122" s="119"/>
      <c r="BZ122" s="119"/>
      <c r="CA122" s="118"/>
      <c r="CB122" s="118"/>
      <c r="CC122" s="103" t="b">
        <f>IF(BW86=7,13)</f>
        <v>0</v>
      </c>
      <c r="CD122" s="76"/>
      <c r="CE122" s="76"/>
      <c r="CF122" s="76"/>
      <c r="CG122" s="76"/>
      <c r="CH122" s="158"/>
      <c r="CI122" s="76"/>
      <c r="CJ122" s="157"/>
      <c r="CK122" s="76"/>
      <c r="CL122" s="76"/>
      <c r="CM122" s="76"/>
      <c r="CN122" s="76"/>
      <c r="CO122" s="78"/>
      <c r="CP122" s="78"/>
      <c r="CQ122" s="78"/>
      <c r="CR122" s="78"/>
      <c r="CS122" s="78"/>
      <c r="CT122" s="78"/>
      <c r="CU122" s="78"/>
      <c r="CV122" s="78"/>
      <c r="CW122" s="78"/>
      <c r="CX122" s="78"/>
      <c r="CY122" s="78"/>
      <c r="CZ122" s="78"/>
      <c r="DA122" s="78"/>
      <c r="DB122" s="78"/>
      <c r="DC122" s="78"/>
      <c r="DD122" s="78"/>
    </row>
    <row r="123" spans="2:108" ht="21" hidden="1" customHeight="1" thickBot="1" x14ac:dyDescent="0.25">
      <c r="B123" s="399"/>
      <c r="C123" s="399"/>
      <c r="D123" s="397"/>
      <c r="E123" s="397"/>
      <c r="F123" s="397"/>
      <c r="G123" s="998"/>
      <c r="H123"/>
      <c r="I123"/>
      <c r="J123"/>
      <c r="K123"/>
      <c r="L123"/>
      <c r="M123"/>
      <c r="N123"/>
      <c r="O123" s="995"/>
      <c r="U123" s="114"/>
      <c r="AB123" s="114"/>
      <c r="AC123" s="114"/>
      <c r="AD123" s="114"/>
      <c r="AE123" s="114"/>
      <c r="BF123" s="136"/>
      <c r="BG123" s="136"/>
      <c r="BH123" s="136"/>
      <c r="BN123" s="86"/>
      <c r="BO123" s="1091"/>
      <c r="BP123" s="96">
        <v>6</v>
      </c>
      <c r="BQ123" s="120" t="b">
        <f>IF(BV86=6,1)</f>
        <v>0</v>
      </c>
      <c r="BR123" s="123"/>
      <c r="BS123" s="123"/>
      <c r="BT123" s="123"/>
      <c r="BU123" s="123"/>
      <c r="BV123" s="123"/>
      <c r="BW123" s="123"/>
      <c r="BX123" s="123"/>
      <c r="BY123" s="123"/>
      <c r="BZ123" s="123"/>
      <c r="CA123" s="124" t="b">
        <f>IF(BV86=6,11)</f>
        <v>0</v>
      </c>
      <c r="CB123" s="76"/>
      <c r="CC123" s="76"/>
      <c r="CD123" s="76"/>
      <c r="CE123" s="76"/>
      <c r="CF123" s="76"/>
      <c r="CG123" s="76"/>
      <c r="CH123" s="158"/>
      <c r="CI123" s="76"/>
      <c r="CJ123" s="157"/>
      <c r="CK123" s="76"/>
      <c r="CL123" s="76"/>
      <c r="CM123" s="76"/>
      <c r="CN123" s="76"/>
      <c r="CO123" s="78"/>
      <c r="CP123" s="78"/>
      <c r="CQ123" s="78"/>
      <c r="CR123" s="78"/>
      <c r="CS123" s="78"/>
      <c r="CT123" s="78"/>
      <c r="CU123" s="78"/>
      <c r="CV123" s="78"/>
      <c r="CW123" s="78"/>
      <c r="CX123" s="78"/>
      <c r="CY123" s="78"/>
      <c r="CZ123" s="78"/>
      <c r="DA123" s="78"/>
      <c r="DB123" s="78"/>
      <c r="DC123" s="78"/>
      <c r="DD123" s="78"/>
    </row>
    <row r="124" spans="2:108" ht="79.5" hidden="1" customHeight="1" thickBot="1" x14ac:dyDescent="0.25">
      <c r="B124" s="19"/>
      <c r="C124" s="399"/>
      <c r="D124" s="397"/>
      <c r="E124" s="19"/>
      <c r="F124" s="39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114"/>
      <c r="AB124" s="114"/>
      <c r="AC124" s="114"/>
      <c r="AD124" s="114"/>
      <c r="AE124" s="114"/>
      <c r="BE124" s="136"/>
      <c r="BF124" s="136"/>
      <c r="BG124" s="136"/>
      <c r="BH124" s="136"/>
      <c r="BN124" s="86"/>
      <c r="BO124" s="1091"/>
      <c r="BP124" s="96">
        <v>5</v>
      </c>
      <c r="BQ124" s="120" t="b">
        <f>IF(BU86=5,1)</f>
        <v>0</v>
      </c>
      <c r="BR124" s="122"/>
      <c r="BS124" s="123"/>
      <c r="BT124" s="123"/>
      <c r="BU124" s="123"/>
      <c r="BV124" s="123"/>
      <c r="BW124" s="123"/>
      <c r="BX124" s="122"/>
      <c r="BY124" s="124" t="b">
        <f>IF(BU86=5,9)</f>
        <v>0</v>
      </c>
      <c r="BZ124" s="76"/>
      <c r="CA124" s="76"/>
      <c r="CB124" s="76"/>
      <c r="CC124" s="76"/>
      <c r="CD124" s="76"/>
      <c r="CE124" s="76"/>
      <c r="CF124" s="76"/>
      <c r="CG124" s="76"/>
      <c r="CH124" s="158"/>
      <c r="CI124" s="76"/>
      <c r="CJ124" s="157"/>
      <c r="CK124" s="76"/>
      <c r="CL124" s="76"/>
      <c r="CM124" s="76"/>
      <c r="CN124" s="76"/>
      <c r="CO124" s="78"/>
      <c r="CP124" s="78"/>
      <c r="CQ124" s="78"/>
      <c r="CR124" s="78"/>
      <c r="CS124" s="78"/>
      <c r="CT124" s="78"/>
      <c r="CU124" s="78"/>
      <c r="CV124" s="78"/>
      <c r="CW124" s="78"/>
      <c r="CX124" s="78"/>
      <c r="CY124" s="78"/>
      <c r="CZ124" s="78"/>
      <c r="DA124" s="78"/>
      <c r="DB124" s="78"/>
      <c r="DC124" s="78"/>
      <c r="DD124" s="78"/>
    </row>
    <row r="125" spans="2:108" ht="79.5" hidden="1" customHeight="1" thickBot="1" x14ac:dyDescent="0.25">
      <c r="B125" s="399"/>
      <c r="C125" s="399"/>
      <c r="D125" s="397"/>
      <c r="E125" s="397"/>
      <c r="F125" s="39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114"/>
      <c r="AB125" s="114"/>
      <c r="AC125" s="114"/>
      <c r="AD125" s="114"/>
      <c r="AE125" s="114"/>
      <c r="BF125" s="136"/>
      <c r="BG125" s="136"/>
      <c r="BH125" s="136"/>
      <c r="BN125" s="86"/>
      <c r="BO125" s="1091"/>
      <c r="BP125" s="96">
        <v>4</v>
      </c>
      <c r="BQ125" s="120" t="b">
        <f>IF(BT86=4,1)</f>
        <v>0</v>
      </c>
      <c r="BR125" s="123"/>
      <c r="BS125" s="123"/>
      <c r="BT125" s="123"/>
      <c r="BU125" s="123"/>
      <c r="BV125" s="123"/>
      <c r="BW125" s="124" t="b">
        <f>IF(BT86=4,7)</f>
        <v>0</v>
      </c>
      <c r="BX125" s="76"/>
      <c r="BY125" s="159"/>
      <c r="BZ125" s="159"/>
      <c r="CA125" s="76"/>
      <c r="CB125" s="159"/>
      <c r="CC125" s="76"/>
      <c r="CD125" s="76"/>
      <c r="CE125" s="76"/>
      <c r="CF125" s="76"/>
      <c r="CG125" s="76"/>
      <c r="CH125" s="158"/>
      <c r="CI125" s="76"/>
      <c r="CJ125" s="157"/>
      <c r="CK125" s="76"/>
      <c r="CL125" s="76"/>
      <c r="CM125" s="76"/>
      <c r="CN125" s="76"/>
      <c r="CO125" s="78"/>
      <c r="CP125" s="78"/>
      <c r="CQ125" s="78"/>
      <c r="CR125" s="78"/>
      <c r="CS125" s="78"/>
      <c r="CT125" s="78"/>
      <c r="CU125" s="78"/>
      <c r="CV125" s="78"/>
      <c r="CW125" s="78"/>
      <c r="CX125" s="78"/>
      <c r="CY125" s="78"/>
      <c r="CZ125" s="78"/>
      <c r="DA125" s="78"/>
      <c r="DB125" s="78"/>
      <c r="DC125" s="78"/>
      <c r="DD125" s="78"/>
    </row>
    <row r="126" spans="2:108" ht="79.5" hidden="1" customHeight="1" thickBot="1" x14ac:dyDescent="0.3">
      <c r="B126" s="399"/>
      <c r="C126" s="399"/>
      <c r="D126" s="397"/>
      <c r="E126" s="397"/>
      <c r="F126" s="397"/>
      <c r="G126" s="998"/>
      <c r="H126" s="1087" t="s">
        <v>265</v>
      </c>
      <c r="I126" s="1080">
        <f>+MIN(K31:L32)</f>
        <v>31.568739827553312</v>
      </c>
      <c r="J126" s="1080">
        <f>+MIN(J37:K38)</f>
        <v>51.981806367771277</v>
      </c>
      <c r="K126" s="1082">
        <f>+MIN(J43:L44)</f>
        <v>51.981806367771277</v>
      </c>
      <c r="L126" s="1083">
        <f>+MIN(J49:L50)</f>
        <v>22.492127755285647</v>
      </c>
      <c r="M126" s="1084">
        <f>+MIN(J55:L56)</f>
        <v>51.981806367771277</v>
      </c>
      <c r="N126"/>
      <c r="O126" s="995"/>
      <c r="U126" s="114"/>
      <c r="AB126" s="114"/>
      <c r="AC126" s="114"/>
      <c r="AD126" s="114"/>
      <c r="AE126" s="114"/>
      <c r="BE126" s="136"/>
      <c r="BF126" s="136"/>
      <c r="BG126" s="136"/>
      <c r="BH126" s="136"/>
      <c r="BN126" s="86"/>
      <c r="BO126" s="1091"/>
      <c r="BP126" s="96">
        <v>3</v>
      </c>
      <c r="BQ126" s="120" t="b">
        <f>IF(BS86=3,1)</f>
        <v>0</v>
      </c>
      <c r="BR126" s="123"/>
      <c r="BS126" s="123"/>
      <c r="BT126" s="123"/>
      <c r="BU126" s="124" t="b">
        <f>IF(BS86=3,5)</f>
        <v>0</v>
      </c>
      <c r="BV126" s="76"/>
      <c r="BW126" s="76"/>
      <c r="BX126" s="76"/>
      <c r="BY126" s="76"/>
      <c r="BZ126" s="76"/>
      <c r="CA126" s="76"/>
      <c r="CB126" s="76"/>
      <c r="CC126" s="76"/>
      <c r="CD126" s="76"/>
      <c r="CE126" s="76"/>
      <c r="CF126" s="76"/>
      <c r="CG126" s="76"/>
      <c r="CH126" s="158"/>
      <c r="CI126" s="76"/>
      <c r="CJ126" s="157"/>
      <c r="CK126" s="76"/>
      <c r="CL126" s="76"/>
      <c r="CM126" s="76"/>
      <c r="CN126" s="76"/>
      <c r="CO126" s="78"/>
      <c r="CP126" s="78"/>
      <c r="CQ126" s="78"/>
      <c r="CR126" s="78"/>
      <c r="CS126" s="78"/>
      <c r="CT126" s="78"/>
      <c r="CU126" s="78"/>
      <c r="CV126" s="78"/>
      <c r="CW126" s="78"/>
      <c r="CX126" s="78"/>
      <c r="CY126" s="78"/>
      <c r="CZ126" s="78"/>
      <c r="DA126" s="78"/>
      <c r="DB126" s="78"/>
      <c r="DC126" s="78"/>
      <c r="DD126" s="78"/>
    </row>
    <row r="127" spans="2:108" ht="20" hidden="1" x14ac:dyDescent="0.2">
      <c r="E127" s="397"/>
      <c r="F127" s="397"/>
      <c r="G127" s="1011"/>
      <c r="H127" s="131"/>
      <c r="I127" s="131"/>
      <c r="J127" s="131"/>
      <c r="K127" s="131"/>
      <c r="L127" s="131"/>
      <c r="M127" s="131"/>
      <c r="N127" s="131"/>
      <c r="O127" s="1012"/>
      <c r="U127" s="114"/>
      <c r="AB127" s="114"/>
      <c r="AC127" s="114"/>
      <c r="AD127" s="114"/>
      <c r="AE127" s="114"/>
      <c r="BE127" s="136"/>
      <c r="BF127" s="136"/>
      <c r="BG127" s="136"/>
      <c r="BH127" s="136"/>
      <c r="BN127" s="86"/>
      <c r="BO127" s="1091"/>
      <c r="BP127" s="96">
        <v>2</v>
      </c>
      <c r="BQ127" s="160" t="b">
        <f>IF(BR86=2,1)</f>
        <v>0</v>
      </c>
      <c r="BR127" s="161"/>
      <c r="BS127" s="162" t="b">
        <f>IF(BR86=2,3)</f>
        <v>0</v>
      </c>
      <c r="BT127" s="76"/>
      <c r="BU127" s="76"/>
      <c r="BV127" s="76"/>
      <c r="BW127" s="76"/>
      <c r="BX127" s="76"/>
      <c r="BY127" s="76"/>
      <c r="BZ127" s="76"/>
      <c r="CA127" s="76"/>
      <c r="CB127" s="76"/>
      <c r="CC127" s="76"/>
      <c r="CD127" s="76"/>
      <c r="CE127" s="76"/>
      <c r="CF127" s="76"/>
      <c r="CG127" s="76"/>
      <c r="CH127" s="158"/>
      <c r="CI127" s="76"/>
      <c r="CJ127" s="157"/>
      <c r="CK127" s="76"/>
      <c r="CL127" s="76"/>
      <c r="CM127" s="76"/>
      <c r="CN127" s="76"/>
      <c r="CO127" s="78"/>
      <c r="CP127" s="78"/>
      <c r="CQ127" s="78"/>
      <c r="CR127" s="78"/>
      <c r="CS127" s="78"/>
      <c r="CT127" s="78"/>
      <c r="CU127" s="78"/>
      <c r="CV127" s="78"/>
      <c r="CW127" s="78"/>
      <c r="CX127" s="78"/>
      <c r="CY127" s="78"/>
      <c r="CZ127" s="78"/>
      <c r="DA127" s="78"/>
      <c r="DB127" s="78"/>
      <c r="DC127" s="78"/>
      <c r="DD127" s="78"/>
    </row>
    <row r="128" spans="2:108" ht="31" hidden="1" thickBot="1" x14ac:dyDescent="0.25">
      <c r="E128" s="397"/>
      <c r="F128" s="397"/>
      <c r="G128" s="998"/>
      <c r="H128" s="201"/>
      <c r="I128" s="201"/>
      <c r="J128" s="201"/>
      <c r="K128" s="201"/>
      <c r="L128" s="201"/>
      <c r="M128" s="201"/>
      <c r="N128" s="201"/>
      <c r="O128" s="1013"/>
      <c r="U128" s="114"/>
      <c r="AB128" s="114"/>
      <c r="AC128" s="114"/>
      <c r="AD128" s="114"/>
      <c r="AE128" s="114"/>
      <c r="BE128" s="136"/>
      <c r="BF128" s="136"/>
      <c r="BG128" s="136"/>
      <c r="BH128" s="136"/>
      <c r="BN128" s="86"/>
      <c r="BO128" s="1091"/>
      <c r="BP128" s="163"/>
      <c r="BQ128" s="164">
        <f>SUM(BQ93:BQ127)</f>
        <v>0</v>
      </c>
      <c r="BR128" s="164">
        <f t="shared" ref="BR128:DA128" si="3">SUM(BR93:BR127)</f>
        <v>0</v>
      </c>
      <c r="BS128" s="164">
        <f t="shared" si="3"/>
        <v>0</v>
      </c>
      <c r="BT128" s="164">
        <f t="shared" si="3"/>
        <v>0</v>
      </c>
      <c r="BU128" s="164">
        <f t="shared" si="3"/>
        <v>0</v>
      </c>
      <c r="BV128" s="164">
        <f t="shared" si="3"/>
        <v>0</v>
      </c>
      <c r="BW128" s="164">
        <f t="shared" si="3"/>
        <v>0</v>
      </c>
      <c r="BX128" s="164">
        <f t="shared" si="3"/>
        <v>8</v>
      </c>
      <c r="BY128" s="164">
        <f t="shared" si="3"/>
        <v>0</v>
      </c>
      <c r="BZ128" s="164">
        <f t="shared" si="3"/>
        <v>0</v>
      </c>
      <c r="CA128" s="164">
        <f t="shared" si="3"/>
        <v>0</v>
      </c>
      <c r="CB128" s="164">
        <f t="shared" si="3"/>
        <v>0</v>
      </c>
      <c r="CC128" s="164">
        <f t="shared" si="3"/>
        <v>0</v>
      </c>
      <c r="CD128" s="164">
        <f t="shared" si="3"/>
        <v>0</v>
      </c>
      <c r="CE128" s="164">
        <f t="shared" si="3"/>
        <v>0</v>
      </c>
      <c r="CF128" s="164">
        <f t="shared" si="3"/>
        <v>0</v>
      </c>
      <c r="CG128" s="165">
        <f t="shared" si="3"/>
        <v>0</v>
      </c>
      <c r="CH128" s="166"/>
      <c r="CI128" s="167"/>
      <c r="CJ128" s="168"/>
      <c r="CK128" s="169">
        <f t="shared" si="3"/>
        <v>0</v>
      </c>
      <c r="CL128" s="164">
        <f t="shared" si="3"/>
        <v>0</v>
      </c>
      <c r="CM128" s="164">
        <f t="shared" si="3"/>
        <v>0</v>
      </c>
      <c r="CN128" s="164">
        <f t="shared" si="3"/>
        <v>0</v>
      </c>
      <c r="CO128" s="164">
        <f t="shared" si="3"/>
        <v>0</v>
      </c>
      <c r="CP128" s="164">
        <f t="shared" si="3"/>
        <v>26</v>
      </c>
      <c r="CQ128" s="164">
        <f t="shared" si="3"/>
        <v>0</v>
      </c>
      <c r="CR128" s="164">
        <f t="shared" si="3"/>
        <v>0</v>
      </c>
      <c r="CS128" s="164">
        <f t="shared" si="3"/>
        <v>0</v>
      </c>
      <c r="CT128" s="164">
        <f t="shared" si="3"/>
        <v>0</v>
      </c>
      <c r="CU128" s="164">
        <f t="shared" si="3"/>
        <v>0</v>
      </c>
      <c r="CV128" s="164">
        <f t="shared" si="3"/>
        <v>0</v>
      </c>
      <c r="CW128" s="164">
        <f t="shared" si="3"/>
        <v>0</v>
      </c>
      <c r="CX128" s="164">
        <f t="shared" si="3"/>
        <v>0</v>
      </c>
      <c r="CY128" s="164">
        <f t="shared" si="3"/>
        <v>0</v>
      </c>
      <c r="CZ128" s="164">
        <f t="shared" si="3"/>
        <v>0</v>
      </c>
      <c r="DA128" s="164">
        <f t="shared" si="3"/>
        <v>0</v>
      </c>
      <c r="DB128" s="78"/>
      <c r="DC128" s="78"/>
      <c r="DD128" s="78"/>
    </row>
    <row r="129" spans="2:108" ht="54" customHeight="1" thickBot="1" x14ac:dyDescent="0.25">
      <c r="B129" s="408"/>
      <c r="D129" s="409" t="str">
        <f>IF(BL138&gt;0," ","change the angle of frame or of cabinets")</f>
        <v xml:space="preserve"> </v>
      </c>
      <c r="E129" s="397"/>
      <c r="F129" s="397"/>
      <c r="G129" s="998"/>
      <c r="H129"/>
      <c r="I129"/>
      <c r="J129"/>
      <c r="K129"/>
      <c r="L129"/>
      <c r="M129"/>
      <c r="N129"/>
      <c r="O129" s="995"/>
      <c r="U129" s="114"/>
      <c r="AB129" s="114"/>
      <c r="AC129" s="114"/>
      <c r="AD129" s="114"/>
      <c r="AE129" s="114"/>
      <c r="BE129" s="136"/>
      <c r="BF129" s="136"/>
      <c r="BG129" s="136"/>
      <c r="BH129" s="136"/>
      <c r="BN129" s="86"/>
      <c r="BO129" s="1091"/>
      <c r="BP129" s="163"/>
      <c r="BQ129" s="170"/>
      <c r="BR129" s="170"/>
      <c r="BS129" s="170"/>
      <c r="BT129" s="170"/>
      <c r="BU129" s="170"/>
      <c r="BV129" s="170"/>
      <c r="BW129" s="170"/>
      <c r="BX129" s="170"/>
      <c r="BY129" s="170"/>
      <c r="BZ129" s="170"/>
      <c r="CA129" s="170"/>
      <c r="CB129" s="170"/>
      <c r="CC129" s="170"/>
      <c r="CD129" s="170"/>
      <c r="CE129" s="170"/>
      <c r="CF129" s="170"/>
      <c r="CG129" s="170"/>
      <c r="CH129" s="170"/>
      <c r="CI129" s="170"/>
      <c r="CJ129" s="170"/>
      <c r="CK129" s="171"/>
      <c r="CL129" s="170"/>
      <c r="CM129" s="170"/>
      <c r="CN129" s="170"/>
      <c r="CO129" s="170"/>
      <c r="CP129" s="170"/>
      <c r="CQ129" s="170"/>
      <c r="CR129" s="170"/>
      <c r="CS129" s="170"/>
      <c r="CT129" s="170"/>
      <c r="CU129" s="170"/>
      <c r="CV129" s="170"/>
      <c r="CW129" s="170"/>
      <c r="CX129" s="170"/>
      <c r="CY129" s="170"/>
      <c r="CZ129" s="170"/>
      <c r="DA129" s="170"/>
      <c r="DB129" s="78"/>
      <c r="DC129" s="78"/>
      <c r="DD129" s="78"/>
    </row>
    <row r="130" spans="2:108" ht="54" customHeight="1" thickBot="1" x14ac:dyDescent="0.3">
      <c r="B130" s="1846" t="s">
        <v>116</v>
      </c>
      <c r="D130" s="409" t="str">
        <f>IF(DD138&lt;0," ","change the angle of frame or of cabinets")</f>
        <v xml:space="preserve"> </v>
      </c>
      <c r="E130" s="397"/>
      <c r="F130" s="397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U130" s="114"/>
      <c r="AB130" s="114"/>
      <c r="AC130" s="114"/>
      <c r="AD130" s="114"/>
      <c r="AE130" s="114"/>
      <c r="BE130" s="136"/>
      <c r="BF130" s="136"/>
      <c r="BG130" s="136"/>
      <c r="BH130" s="136"/>
      <c r="BN130" s="86"/>
      <c r="BO130" s="1088" t="s">
        <v>128</v>
      </c>
      <c r="BP130" s="172" t="s">
        <v>124</v>
      </c>
      <c r="BQ130" s="750" t="str">
        <f>IF(BQ128=1,17,"")</f>
        <v/>
      </c>
      <c r="BR130" s="751" t="str">
        <f>IF(BR128=2,16,"")</f>
        <v/>
      </c>
      <c r="BS130" s="751" t="str">
        <f>IF(BS128=3,15,"")</f>
        <v/>
      </c>
      <c r="BT130" s="751" t="str">
        <f>IF(BT128=4,14,"")</f>
        <v/>
      </c>
      <c r="BU130" s="751" t="str">
        <f>IF(BU128=5,13,"")</f>
        <v/>
      </c>
      <c r="BV130" s="751" t="str">
        <f>IF(BV128=6,12,"")</f>
        <v/>
      </c>
      <c r="BW130" s="751" t="str">
        <f>IF(BW128=7,11,"")</f>
        <v/>
      </c>
      <c r="BX130" s="751">
        <f>IF(BX128=8,10,"")</f>
        <v>10</v>
      </c>
      <c r="BY130" s="751" t="str">
        <f>IF(BY128=9,9,"")</f>
        <v/>
      </c>
      <c r="BZ130" s="751" t="str">
        <f>IF(BZ128=10,8,"")</f>
        <v/>
      </c>
      <c r="CA130" s="751" t="str">
        <f>IF(CA128=11,7,"")</f>
        <v/>
      </c>
      <c r="CB130" s="752" t="str">
        <f>IF(CB128=12,"6  ADS ","")</f>
        <v/>
      </c>
      <c r="CC130" s="751" t="str">
        <f>IF(CC128=13,5,"")</f>
        <v/>
      </c>
      <c r="CD130" s="751" t="str">
        <f>IF(CD128=14,4,"")</f>
        <v/>
      </c>
      <c r="CE130" s="751" t="str">
        <f>IF(CE128=15,3,"")</f>
        <v/>
      </c>
      <c r="CF130" s="751" t="str">
        <f>IF(CF128=16,2,"")</f>
        <v/>
      </c>
      <c r="CG130" s="751" t="str">
        <f>IF(CG128=17,1,"")</f>
        <v/>
      </c>
      <c r="CH130" s="173"/>
      <c r="CI130" s="174"/>
      <c r="CJ130" s="175"/>
      <c r="CK130" s="753" t="str">
        <f>IF(CK128=21,1,"")</f>
        <v/>
      </c>
      <c r="CL130" s="753" t="str">
        <f>IF(CL128=22,2,"")</f>
        <v/>
      </c>
      <c r="CM130" s="753" t="str">
        <f>IF(CM128=23,3,"")</f>
        <v/>
      </c>
      <c r="CN130" s="753" t="str">
        <f>IF(CN128=24,4,"")</f>
        <v/>
      </c>
      <c r="CO130" s="753" t="str">
        <f>IF(CO128=25,5,"")</f>
        <v/>
      </c>
      <c r="CP130" s="754" t="str">
        <f>IF(CP128=26,"6  ADS ","")</f>
        <v xml:space="preserve">6  ADS </v>
      </c>
      <c r="CQ130" s="753" t="str">
        <f>IF(CQ128=27,7,"")</f>
        <v/>
      </c>
      <c r="CR130" s="753" t="str">
        <f>IF(CR128=28,8,"")</f>
        <v/>
      </c>
      <c r="CS130" s="753" t="str">
        <f>IF(CS128=29,9,"")</f>
        <v/>
      </c>
      <c r="CT130" s="753" t="str">
        <f>IF(CT128=30,10,"")</f>
        <v/>
      </c>
      <c r="CU130" s="753" t="str">
        <f>IF(CU128=31,11,"")</f>
        <v/>
      </c>
      <c r="CV130" s="753" t="str">
        <f>IF(CV128=32,12,"")</f>
        <v/>
      </c>
      <c r="CW130" s="753" t="str">
        <f>IF(CW128=33,13,"")</f>
        <v/>
      </c>
      <c r="CX130" s="753" t="str">
        <f>IF(CX128=34,14,"")</f>
        <v/>
      </c>
      <c r="CY130" s="753" t="str">
        <f>IF(CY128=35,15,"")</f>
        <v/>
      </c>
      <c r="CZ130" s="753" t="str">
        <f>IF(CZ128=36,16,"")</f>
        <v/>
      </c>
      <c r="DA130" s="755" t="str">
        <f>IF(DA128=37,17,"")</f>
        <v/>
      </c>
      <c r="DB130" s="340"/>
      <c r="DC130" s="78"/>
      <c r="DD130" s="78"/>
    </row>
    <row r="131" spans="2:108" ht="54" customHeight="1" thickBot="1" x14ac:dyDescent="0.3">
      <c r="B131" s="1847"/>
      <c r="C131" s="213"/>
      <c r="D131" s="409" t="str">
        <f>IF(BL138&gt;(+COS(($B$132*-1)*3.14159265358979/180)*451.5)," ","USE EXBAR AR AT THE FRONT")</f>
        <v xml:space="preserve"> </v>
      </c>
      <c r="E131" s="397"/>
      <c r="F131" s="397"/>
      <c r="G131" s="1014"/>
      <c r="H131" s="209"/>
      <c r="I131" s="1085">
        <f>COUNTIF(CK128:DA128,"&gt;0")</f>
        <v>1</v>
      </c>
      <c r="J131" s="1085">
        <f>COUNTIF(BQ128:CG128,"&gt;0")</f>
        <v>1</v>
      </c>
      <c r="K131" s="1085" t="b">
        <f>AND(IF(SUM(BQ130:CA130)&gt;0,1,0),IF(CP130="6  ADS ",1,0))</f>
        <v>1</v>
      </c>
      <c r="L131" s="1085" t="b">
        <f>AND(IF(SUM(CQ130:DA130)&gt;0,1,0),IF(CB130="6  ADS ",1,0))</f>
        <v>0</v>
      </c>
      <c r="M131" s="1085" t="b">
        <f>AND(IF(CP130="6  ADS ",1,0),IF(CB130="6  ADS ",1,0))</f>
        <v>0</v>
      </c>
      <c r="N131" s="209"/>
      <c r="O131" s="1015"/>
      <c r="U131" s="114"/>
      <c r="AB131" s="114"/>
      <c r="AC131" s="114"/>
      <c r="AD131" s="114"/>
      <c r="AE131" s="114"/>
      <c r="AL131" s="835" t="s">
        <v>174</v>
      </c>
      <c r="AM131" s="836"/>
      <c r="AN131" s="836"/>
      <c r="AO131" s="836"/>
      <c r="AP131" s="837" t="s">
        <v>178</v>
      </c>
      <c r="BE131" s="136"/>
      <c r="BF131" s="136"/>
      <c r="BG131" s="136"/>
      <c r="BH131" s="136"/>
      <c r="BL131" s="968">
        <v>6</v>
      </c>
      <c r="BM131" s="1762" t="b">
        <f>AND(BO131&gt;=10,$BA$138&gt;=10,$BB$138&gt;=10,$BA$170&gt;=10,$BB$170&gt;=10,$BA$194&gt;=10,$BB$194&gt;=10,$BA$225&gt;=10,$BB$225&gt;=10)</f>
        <v>1</v>
      </c>
      <c r="BN131" s="84" t="str">
        <f>IF(BM131=TRUE,"O K","OVERLOAD")</f>
        <v>O K</v>
      </c>
      <c r="BO131" s="982">
        <f>SUM(I132:M132)</f>
        <v>51.981806367771277</v>
      </c>
      <c r="BP131" s="788" t="s">
        <v>185</v>
      </c>
      <c r="BQ131" s="789">
        <v>-10</v>
      </c>
      <c r="BR131" s="789">
        <v>-9</v>
      </c>
      <c r="BS131" s="789">
        <v>-8</v>
      </c>
      <c r="BT131" s="789">
        <v>-7</v>
      </c>
      <c r="BU131" s="789">
        <v>-6</v>
      </c>
      <c r="BV131" s="789">
        <v>-5</v>
      </c>
      <c r="BW131" s="789">
        <v>-4</v>
      </c>
      <c r="BX131" s="789">
        <v>-3</v>
      </c>
      <c r="BY131" s="789">
        <v>-2</v>
      </c>
      <c r="BZ131" s="789">
        <v>-1</v>
      </c>
      <c r="CA131" s="789">
        <v>0</v>
      </c>
      <c r="CB131" s="789">
        <v>1</v>
      </c>
      <c r="CC131" s="789">
        <v>2</v>
      </c>
      <c r="CD131" s="789">
        <v>3</v>
      </c>
      <c r="CE131" s="789">
        <v>4</v>
      </c>
      <c r="CF131" s="789">
        <v>5</v>
      </c>
      <c r="CG131" s="789">
        <v>6</v>
      </c>
      <c r="CH131" s="789">
        <v>7</v>
      </c>
      <c r="CI131" s="789">
        <v>8</v>
      </c>
      <c r="CJ131" s="789">
        <v>9</v>
      </c>
      <c r="CK131" s="789">
        <v>10</v>
      </c>
      <c r="CL131" s="789">
        <v>11</v>
      </c>
      <c r="CM131" s="789">
        <v>12</v>
      </c>
      <c r="CN131" s="789">
        <v>13</v>
      </c>
      <c r="CO131" s="789">
        <v>14</v>
      </c>
      <c r="CP131" s="789">
        <v>15</v>
      </c>
      <c r="CQ131" s="789">
        <v>16</v>
      </c>
      <c r="CR131" s="789">
        <v>17</v>
      </c>
      <c r="CS131" s="789">
        <v>18</v>
      </c>
      <c r="CT131" s="789">
        <v>19</v>
      </c>
      <c r="CU131" s="789">
        <v>20</v>
      </c>
      <c r="CV131" s="789">
        <v>21</v>
      </c>
      <c r="CW131" s="789">
        <v>22</v>
      </c>
      <c r="CX131" s="789">
        <v>23</v>
      </c>
      <c r="CY131" s="789">
        <v>24</v>
      </c>
      <c r="CZ131" s="789">
        <v>25</v>
      </c>
      <c r="DA131" s="791">
        <v>26</v>
      </c>
      <c r="DB131" s="340"/>
      <c r="DC131" s="78"/>
      <c r="DD131" s="78"/>
    </row>
    <row r="132" spans="2:108" ht="54" customHeight="1" thickBot="1" x14ac:dyDescent="0.3">
      <c r="B132" s="4">
        <v>0</v>
      </c>
      <c r="C132" s="213"/>
      <c r="D132" s="341" t="str">
        <f>IF(DD138&lt;-(+COS(($B$132*-1)*3.14159265358979/180)*365.5)," ","USE EXBAR AR AT THE BACK")</f>
        <v xml:space="preserve"> </v>
      </c>
      <c r="E132" s="397"/>
      <c r="F132" s="397"/>
      <c r="G132" s="1016"/>
      <c r="H132" s="1017"/>
      <c r="I132" s="1086">
        <f>IF(I131=2,I126,0)</f>
        <v>0</v>
      </c>
      <c r="J132" s="1086">
        <f>IF(J131=2,J126,0)</f>
        <v>0</v>
      </c>
      <c r="K132" s="1086">
        <f t="shared" ref="K132:M132" si="4">IF(K131=TRUE,K126,0)</f>
        <v>51.981806367771277</v>
      </c>
      <c r="L132" s="1086">
        <f t="shared" si="4"/>
        <v>0</v>
      </c>
      <c r="M132" s="1086">
        <f t="shared" si="4"/>
        <v>0</v>
      </c>
      <c r="N132" s="1017"/>
      <c r="O132" s="1018"/>
      <c r="U132" s="114"/>
      <c r="AB132" s="114"/>
      <c r="AC132" s="114"/>
      <c r="AD132" s="114"/>
      <c r="AE132" s="114"/>
      <c r="AL132" s="838" t="s">
        <v>175</v>
      </c>
      <c r="AM132" s="835" t="s">
        <v>176</v>
      </c>
      <c r="AN132" s="835" t="s">
        <v>177</v>
      </c>
      <c r="AO132" s="839" t="s">
        <v>181</v>
      </c>
      <c r="AP132" s="840" t="s">
        <v>179</v>
      </c>
      <c r="BE132" s="136"/>
      <c r="BF132" s="136"/>
      <c r="BG132" s="136"/>
      <c r="BH132" s="136"/>
      <c r="BN132" s="86"/>
      <c r="BO132" s="1091"/>
      <c r="BP132" s="136"/>
      <c r="BQ132" s="340"/>
      <c r="BR132" s="340"/>
      <c r="BS132" s="340"/>
      <c r="BT132" s="340"/>
      <c r="BU132" s="340"/>
      <c r="BV132" s="340"/>
      <c r="BW132" s="340"/>
      <c r="BX132" s="340"/>
      <c r="BY132" s="340"/>
      <c r="BZ132" s="340"/>
      <c r="CA132" s="340"/>
      <c r="CB132" s="950"/>
      <c r="CC132" s="340"/>
      <c r="CD132" s="340"/>
      <c r="CE132" s="340"/>
      <c r="CF132" s="340"/>
      <c r="CG132" s="340"/>
      <c r="CH132" s="340"/>
      <c r="CI132" s="340"/>
      <c r="CJ132" s="340"/>
      <c r="CK132" s="340"/>
      <c r="CL132" s="340"/>
      <c r="CM132" s="340"/>
      <c r="CN132" s="340"/>
      <c r="CO132" s="340"/>
      <c r="CP132" s="950"/>
      <c r="CQ132" s="340"/>
      <c r="CR132" s="340"/>
      <c r="CS132" s="340"/>
      <c r="CT132" s="340"/>
      <c r="CU132" s="340"/>
      <c r="CV132" s="340"/>
      <c r="CW132" s="340"/>
      <c r="CX132" s="340"/>
      <c r="CY132" s="340"/>
      <c r="CZ132" s="340"/>
      <c r="DA132" s="340"/>
      <c r="DB132" s="340"/>
      <c r="DC132" s="78"/>
      <c r="DD132" s="78"/>
    </row>
    <row r="133" spans="2:108" ht="22.5" customHeight="1" thickBot="1" x14ac:dyDescent="0.25">
      <c r="B133" s="399"/>
      <c r="C133" s="399"/>
      <c r="D133" s="397"/>
      <c r="E133" s="397"/>
      <c r="F133" s="397"/>
      <c r="G133" s="397"/>
      <c r="U133" s="114"/>
      <c r="AB133" s="114"/>
      <c r="AC133" s="114"/>
      <c r="AD133" s="114"/>
      <c r="AE133" s="114"/>
      <c r="BE133" s="136"/>
      <c r="BF133" s="136"/>
      <c r="BG133" s="136"/>
      <c r="BH133" s="136"/>
      <c r="BM133"/>
      <c r="BO133" s="1091"/>
      <c r="BP133" s="136"/>
      <c r="DB133" s="78"/>
      <c r="DC133" s="78"/>
      <c r="DD133" s="78"/>
    </row>
    <row r="134" spans="2:108" ht="71.25" customHeight="1" thickBot="1" x14ac:dyDescent="0.3">
      <c r="B134" s="345" t="s">
        <v>118</v>
      </c>
      <c r="C134" s="454"/>
      <c r="D134" s="455"/>
      <c r="E134" s="37"/>
      <c r="F134" s="37"/>
      <c r="G134" s="37"/>
      <c r="H134" s="456"/>
      <c r="I134" s="456"/>
      <c r="J134" s="456"/>
      <c r="K134" s="456"/>
      <c r="L134" s="456"/>
      <c r="M134" s="456"/>
      <c r="N134" s="456"/>
      <c r="O134" s="456"/>
      <c r="P134" s="456"/>
      <c r="Q134" s="456"/>
      <c r="R134" s="456"/>
      <c r="S134" s="457" t="s">
        <v>66</v>
      </c>
      <c r="T134" s="457">
        <f>SUM(V138:V157)/B135</f>
        <v>213.83080000000001</v>
      </c>
      <c r="U134" s="212"/>
      <c r="V134" s="187"/>
      <c r="AB134" s="187"/>
      <c r="AC134" s="187"/>
      <c r="AD134" s="187"/>
      <c r="AE134" s="187"/>
      <c r="AF134" s="187"/>
      <c r="AG134" s="187"/>
      <c r="AH134" s="187"/>
      <c r="AI134" s="187"/>
      <c r="AJ134" s="187"/>
      <c r="AK134" s="187"/>
      <c r="AL134" s="838">
        <v>6.8623010000000004</v>
      </c>
      <c r="AM134" s="835">
        <f>+$B$132-AL134</f>
        <v>-6.8623010000000004</v>
      </c>
      <c r="AN134" s="841">
        <f>COS(AM134*3.14159265358979/180)</f>
        <v>0.99283617366519983</v>
      </c>
      <c r="AO134" s="842">
        <f>+AN134*378.71303</f>
        <v>375.99999562235405</v>
      </c>
      <c r="AP134" s="813">
        <f>+((AP138*(AR138-31-31))+(AO134*31)+(AP164*31)+(AP188*31))/(AR138+31)</f>
        <v>251.22312701386574</v>
      </c>
      <c r="AQ134" s="1100" t="s">
        <v>267</v>
      </c>
      <c r="AR134" s="187"/>
      <c r="AS134" s="187"/>
      <c r="AT134" s="187"/>
      <c r="AU134" s="187"/>
      <c r="AV134" s="187"/>
      <c r="AW134" s="187"/>
      <c r="AX134" s="187"/>
      <c r="AY134" s="187"/>
      <c r="AZ134" s="187"/>
      <c r="BA134" s="187"/>
      <c r="BB134" s="187"/>
      <c r="BC134" s="126"/>
      <c r="BE134" s="136"/>
      <c r="BF134" s="136"/>
      <c r="BG134" s="136"/>
      <c r="BH134" s="136"/>
      <c r="BI134" s="136"/>
      <c r="BJ134" s="136"/>
      <c r="BK134" s="136"/>
      <c r="BL134" s="136"/>
      <c r="BM134" s="402"/>
      <c r="BN134" s="136"/>
      <c r="BO134" s="1091"/>
      <c r="BP134" s="78"/>
      <c r="BQ134" s="199"/>
      <c r="BR134" s="199"/>
      <c r="BS134" s="199"/>
      <c r="BT134" s="199"/>
      <c r="BU134" s="199"/>
      <c r="BV134" s="199"/>
      <c r="BW134" s="199"/>
      <c r="BX134" s="199"/>
      <c r="BY134" s="199"/>
      <c r="BZ134" s="199"/>
      <c r="CA134" s="199"/>
      <c r="CB134" s="199"/>
      <c r="CC134" s="199"/>
      <c r="CD134" s="199"/>
      <c r="CE134" s="199"/>
      <c r="CF134" s="199"/>
      <c r="CG134" s="199"/>
      <c r="CH134" s="199"/>
      <c r="CI134" s="199"/>
      <c r="CJ134" s="199"/>
      <c r="CK134" s="199"/>
      <c r="CL134" s="199"/>
      <c r="CM134" s="199"/>
      <c r="CN134" s="199"/>
      <c r="CO134" s="199"/>
      <c r="CP134" s="199"/>
      <c r="CQ134" s="199"/>
      <c r="CR134" s="199"/>
      <c r="CS134" s="199"/>
      <c r="CT134" s="199"/>
      <c r="CU134" s="199"/>
      <c r="CV134" s="199"/>
      <c r="CW134" s="199"/>
      <c r="CX134" s="199"/>
      <c r="CY134" s="199"/>
      <c r="CZ134" s="199"/>
      <c r="DA134" s="199"/>
      <c r="DB134" s="199"/>
    </row>
    <row r="135" spans="2:108" ht="40.5" customHeight="1" thickBot="1" x14ac:dyDescent="0.3">
      <c r="B135" s="27">
        <v>1</v>
      </c>
      <c r="C135" s="216"/>
      <c r="D135" s="556" t="s">
        <v>139</v>
      </c>
      <c r="E135" s="330"/>
      <c r="F135" s="330"/>
      <c r="G135" s="330"/>
      <c r="H135" s="460"/>
      <c r="I135" s="461"/>
      <c r="J135" s="461"/>
      <c r="K135" s="461"/>
      <c r="L135" s="461"/>
      <c r="M135" s="461"/>
      <c r="N135" s="461"/>
      <c r="O135" s="461"/>
      <c r="P135" s="461"/>
      <c r="Q135" s="461"/>
      <c r="R135" s="461"/>
      <c r="S135" s="462"/>
      <c r="T135" s="463"/>
      <c r="U135" s="401"/>
      <c r="V135" s="464"/>
      <c r="W135" s="1850" t="s">
        <v>93</v>
      </c>
      <c r="X135" s="1850"/>
      <c r="Y135" s="1850"/>
      <c r="Z135" s="1850"/>
      <c r="AA135" s="1850"/>
      <c r="AB135" s="464"/>
      <c r="AC135" s="464"/>
      <c r="AD135" s="464"/>
      <c r="AE135" s="464"/>
      <c r="AF135" s="464"/>
      <c r="AG135" s="464"/>
      <c r="AH135" s="464"/>
      <c r="AI135" s="464"/>
      <c r="AJ135" s="464"/>
      <c r="AK135" s="464"/>
      <c r="AL135" s="464"/>
      <c r="AM135" s="464"/>
      <c r="AN135" s="464"/>
      <c r="AO135" s="464"/>
      <c r="AP135" s="464"/>
      <c r="AQ135" s="464"/>
      <c r="AR135" s="464"/>
      <c r="AS135" s="464"/>
      <c r="AT135" s="464"/>
      <c r="AU135" s="464"/>
      <c r="AV135" s="464"/>
      <c r="AW135" s="464"/>
      <c r="AX135" s="464"/>
      <c r="AY135" s="464"/>
      <c r="AZ135" s="464"/>
      <c r="BA135" s="1848" t="s">
        <v>52</v>
      </c>
      <c r="BB135" s="1849"/>
      <c r="BC135" s="218"/>
      <c r="BE135" s="136"/>
      <c r="BF135" s="136"/>
      <c r="BG135" s="136"/>
      <c r="BH135" s="136"/>
      <c r="BI135" s="136"/>
      <c r="BJ135" s="136"/>
      <c r="BK135" s="136"/>
      <c r="BL135" s="136"/>
      <c r="BM135" s="402"/>
      <c r="BN135" s="136"/>
      <c r="BO135" s="1091"/>
      <c r="BP135" s="76"/>
      <c r="BQ135" s="76"/>
      <c r="BR135" s="76"/>
      <c r="BS135" s="76"/>
      <c r="BT135" s="76"/>
      <c r="BU135" s="76"/>
      <c r="BV135" s="202"/>
      <c r="BW135" s="202"/>
      <c r="BX135" s="202"/>
      <c r="BY135" s="202"/>
      <c r="BZ135" s="202"/>
      <c r="CA135" s="202"/>
      <c r="CB135" s="202"/>
      <c r="CC135" s="202"/>
      <c r="CD135" s="202"/>
      <c r="CE135" s="202"/>
      <c r="CF135" s="202"/>
      <c r="CG135" s="202"/>
      <c r="CH135" s="202"/>
      <c r="CI135" s="202"/>
      <c r="CJ135" s="78"/>
      <c r="CK135" s="78"/>
      <c r="CL135" s="78"/>
      <c r="CM135" s="78"/>
      <c r="CN135" s="78"/>
      <c r="CO135" s="78"/>
      <c r="CP135" s="78"/>
      <c r="CQ135" s="78"/>
      <c r="CR135" s="78"/>
      <c r="CS135" s="78"/>
      <c r="CT135" s="78"/>
      <c r="CU135" s="78"/>
      <c r="CV135" s="78"/>
      <c r="CW135" s="78"/>
      <c r="CX135" s="78"/>
      <c r="CY135" s="78"/>
      <c r="CZ135" s="78"/>
      <c r="DA135" s="78"/>
      <c r="DB135" s="78"/>
      <c r="DC135" s="78"/>
      <c r="DD135" s="78"/>
    </row>
    <row r="136" spans="2:108" ht="77" hidden="1" thickBot="1" x14ac:dyDescent="0.25">
      <c r="C136" s="416"/>
      <c r="D136" s="354" t="s">
        <v>13</v>
      </c>
      <c r="H136" s="500" t="s">
        <v>4</v>
      </c>
      <c r="I136" s="500" t="s">
        <v>1</v>
      </c>
      <c r="J136" s="456" t="s">
        <v>0</v>
      </c>
      <c r="K136" s="456" t="s">
        <v>2</v>
      </c>
      <c r="L136" s="456" t="s">
        <v>3</v>
      </c>
      <c r="M136" s="456" t="s">
        <v>8</v>
      </c>
      <c r="N136" s="456" t="s">
        <v>5</v>
      </c>
      <c r="O136" s="456" t="s">
        <v>6</v>
      </c>
      <c r="P136" s="456" t="s">
        <v>7</v>
      </c>
      <c r="Q136" s="456" t="s">
        <v>9</v>
      </c>
      <c r="R136" s="466" t="s">
        <v>10</v>
      </c>
      <c r="S136" s="456" t="s">
        <v>11</v>
      </c>
      <c r="T136" s="467" t="s">
        <v>12</v>
      </c>
      <c r="V136" s="420"/>
      <c r="W136" s="356" t="s">
        <v>140</v>
      </c>
      <c r="X136" s="316" t="s">
        <v>94</v>
      </c>
      <c r="Y136" s="356" t="s">
        <v>141</v>
      </c>
      <c r="Z136" s="419" t="s">
        <v>100</v>
      </c>
      <c r="AA136" s="419" t="s">
        <v>96</v>
      </c>
      <c r="AB136" s="420"/>
      <c r="AC136" s="457" t="s">
        <v>99</v>
      </c>
      <c r="AD136" s="457"/>
      <c r="AE136" s="457"/>
      <c r="AF136" s="420"/>
      <c r="AG136" s="420"/>
      <c r="AH136" s="420"/>
      <c r="AI136" s="420"/>
      <c r="AJ136" s="420"/>
      <c r="AK136" s="420"/>
      <c r="AL136" s="420"/>
      <c r="AM136" s="420"/>
      <c r="AN136" s="420"/>
      <c r="AO136" s="420"/>
      <c r="AP136" s="420"/>
      <c r="AQ136" s="420"/>
      <c r="AR136" s="420"/>
      <c r="AS136" s="420"/>
      <c r="AT136" s="420"/>
      <c r="AU136" s="420" t="s">
        <v>135</v>
      </c>
      <c r="AV136" s="420"/>
      <c r="AW136" s="420"/>
      <c r="AX136" s="420"/>
      <c r="AY136" s="415"/>
      <c r="AZ136" s="420"/>
      <c r="BA136" s="420"/>
      <c r="BB136" s="420"/>
      <c r="BC136" s="231"/>
      <c r="BE136" s="136"/>
      <c r="BF136" s="136"/>
      <c r="BG136" s="136"/>
      <c r="BH136" s="136"/>
      <c r="BI136" s="136"/>
      <c r="BJ136" s="136"/>
      <c r="BK136" s="136"/>
      <c r="BL136" s="136"/>
      <c r="BM136" s="402"/>
      <c r="BN136" s="136"/>
      <c r="BO136" s="1091"/>
      <c r="BP136" s="126"/>
      <c r="BQ136" s="126"/>
      <c r="BR136" s="126"/>
      <c r="BS136" s="126"/>
      <c r="BT136" s="126"/>
      <c r="BU136" s="126"/>
      <c r="BV136" s="203"/>
      <c r="BW136" s="203"/>
      <c r="BX136" s="203"/>
      <c r="BY136" s="203"/>
      <c r="BZ136" s="203"/>
      <c r="CA136" s="203"/>
      <c r="CB136" s="203"/>
      <c r="CC136" s="203"/>
      <c r="CD136" s="203"/>
      <c r="CE136" s="203"/>
      <c r="CF136" s="203"/>
      <c r="CG136" s="203"/>
      <c r="CH136" s="203"/>
      <c r="CI136" s="203"/>
    </row>
    <row r="137" spans="2:108" ht="33.5" customHeight="1" thickBot="1" x14ac:dyDescent="0.25">
      <c r="B137" s="501"/>
      <c r="C137" s="237"/>
      <c r="D137" s="502" t="s">
        <v>22</v>
      </c>
      <c r="E137" s="330"/>
      <c r="F137" s="503"/>
      <c r="G137" s="240"/>
      <c r="H137" s="469"/>
      <c r="I137" s="470"/>
      <c r="R137" s="466"/>
      <c r="T137" s="471"/>
      <c r="V137" s="420"/>
      <c r="W137" s="420"/>
      <c r="X137" s="420"/>
      <c r="Y137" s="420"/>
      <c r="Z137" s="420"/>
      <c r="AA137" s="420"/>
      <c r="AB137" s="420"/>
      <c r="AC137" s="484">
        <f>SUM(AC138:AC157)</f>
        <v>213.83080000000001</v>
      </c>
      <c r="AD137" s="48"/>
      <c r="AE137" s="48"/>
      <c r="AF137" s="420" t="s">
        <v>38</v>
      </c>
      <c r="AG137" s="420"/>
      <c r="AH137" s="425" t="s">
        <v>31</v>
      </c>
      <c r="AI137" s="504"/>
      <c r="AJ137" s="368" t="s">
        <v>120</v>
      </c>
      <c r="AK137" s="426" t="s">
        <v>32</v>
      </c>
      <c r="AL137" s="472" t="s">
        <v>142</v>
      </c>
      <c r="AM137" s="368" t="s">
        <v>121</v>
      </c>
      <c r="AN137" s="427" t="s">
        <v>34</v>
      </c>
      <c r="AO137" s="472" t="s">
        <v>143</v>
      </c>
      <c r="AP137" s="428" t="s">
        <v>48</v>
      </c>
      <c r="AQ137" s="250" t="s">
        <v>36</v>
      </c>
      <c r="AR137" s="428" t="s">
        <v>144</v>
      </c>
      <c r="AS137" s="420" t="s">
        <v>37</v>
      </c>
      <c r="AT137" s="420" t="s">
        <v>39</v>
      </c>
      <c r="AU137" s="428" t="s">
        <v>145</v>
      </c>
      <c r="AV137" s="420"/>
      <c r="AW137" s="429" t="s">
        <v>41</v>
      </c>
      <c r="AX137" s="429" t="s">
        <v>42</v>
      </c>
      <c r="AY137" s="430" t="s">
        <v>23</v>
      </c>
      <c r="AZ137" s="430" t="s">
        <v>24</v>
      </c>
      <c r="BA137" s="557" t="s">
        <v>23</v>
      </c>
      <c r="BB137" s="557" t="s">
        <v>24</v>
      </c>
      <c r="BE137" s="136"/>
      <c r="BF137" s="136"/>
      <c r="BG137" s="136"/>
      <c r="BH137" s="136"/>
      <c r="BI137" s="136"/>
      <c r="BJ137" s="136"/>
      <c r="BL137" s="204" t="s">
        <v>59</v>
      </c>
      <c r="BM137" s="402"/>
      <c r="BN137" s="187"/>
      <c r="BO137" s="1091"/>
      <c r="BP137" s="64"/>
      <c r="BS137" s="126"/>
      <c r="BT137" s="126"/>
      <c r="BU137" s="126"/>
      <c r="BV137" s="203"/>
      <c r="BW137" s="203"/>
      <c r="BX137" s="203"/>
      <c r="BY137" s="203"/>
      <c r="BZ137" s="203"/>
      <c r="CA137" s="203"/>
      <c r="CB137" s="203"/>
      <c r="CC137" s="203"/>
      <c r="CD137" s="203"/>
      <c r="CE137" s="203"/>
      <c r="CF137" s="203"/>
      <c r="CG137" s="203"/>
      <c r="CH137" s="203"/>
      <c r="CI137" s="203"/>
      <c r="CR137" s="64"/>
      <c r="DD137" s="204" t="s">
        <v>58</v>
      </c>
    </row>
    <row r="138" spans="2:108" ht="21" customHeight="1" thickBot="1" x14ac:dyDescent="0.25">
      <c r="B138" s="255">
        <v>1</v>
      </c>
      <c r="C138" s="256">
        <f>+(B132*-1)+D138</f>
        <v>0</v>
      </c>
      <c r="D138" s="25">
        <v>0</v>
      </c>
      <c r="E138" s="257" t="s">
        <v>119</v>
      </c>
      <c r="F138" s="258"/>
      <c r="G138" s="258">
        <f>+D138</f>
        <v>0</v>
      </c>
      <c r="H138" s="506">
        <v>279.06049999999999</v>
      </c>
      <c r="I138" s="507">
        <v>79.962900599999998</v>
      </c>
      <c r="J138" s="508">
        <f>+I138-C138</f>
        <v>79.962900599999998</v>
      </c>
      <c r="K138" s="508">
        <f>+J138/2</f>
        <v>39.981450299999999</v>
      </c>
      <c r="L138" s="508">
        <f t="shared" ref="L138:L157" si="5">SIN(K138*3.14159265358979/180)</f>
        <v>0.64253956655634092</v>
      </c>
      <c r="M138" s="508">
        <f t="shared" ref="M138:M157" si="6">+L138*H138</f>
        <v>179.30741271299578</v>
      </c>
      <c r="N138" s="508">
        <f t="shared" ref="N138:N157" si="7">+M138*2</f>
        <v>358.61482542599157</v>
      </c>
      <c r="O138" s="508">
        <f>+C138/2</f>
        <v>0</v>
      </c>
      <c r="P138" s="508">
        <f t="shared" ref="P138:P157" si="8">SIN(O138*3.14159265358979/180)</f>
        <v>0</v>
      </c>
      <c r="Q138" s="508">
        <f t="shared" ref="Q138:Q157" si="9">+P138*N138</f>
        <v>0</v>
      </c>
      <c r="R138" s="509">
        <v>213.83080000000001</v>
      </c>
      <c r="S138" s="508">
        <f>+R138+Q138</f>
        <v>213.83080000000001</v>
      </c>
      <c r="T138" s="510">
        <f t="shared" ref="T138:T157" si="10">+S138</f>
        <v>213.83080000000001</v>
      </c>
      <c r="U138" s="456"/>
      <c r="V138" s="511">
        <f t="shared" ref="V138:V157" si="11">IF(B138&lt;($B$135+1),T138,0)</f>
        <v>213.83080000000001</v>
      </c>
      <c r="W138" s="512">
        <v>39.981450000000002</v>
      </c>
      <c r="X138" s="511">
        <f>+W138+AI159</f>
        <v>39.981450000000002</v>
      </c>
      <c r="Y138" s="512">
        <v>279.06049999999999</v>
      </c>
      <c r="Z138" s="419">
        <f>+COS(X138*3.14159265358979/180)*Y138</f>
        <v>213.83080883710866</v>
      </c>
      <c r="AA138" s="513">
        <f>+AC137-Z138</f>
        <v>-8.8371086519600794E-6</v>
      </c>
      <c r="AB138" s="477" t="str">
        <f>IF(AZ138&lt;0,"use the locking pin"," ")</f>
        <v xml:space="preserve"> </v>
      </c>
      <c r="AC138" s="514">
        <f>IF(AD138=1,AF138)</f>
        <v>213.83080000000001</v>
      </c>
      <c r="AD138" s="514">
        <f t="shared" ref="AD138:AD157" si="12">MAX(AE$138:AE$157)</f>
        <v>1</v>
      </c>
      <c r="AE138" s="514">
        <f>IF(V138=0,0,1)</f>
        <v>1</v>
      </c>
      <c r="AF138" s="511">
        <f>SUM(V138:V157)/($B$135)</f>
        <v>213.83080000000001</v>
      </c>
      <c r="AG138" s="511"/>
      <c r="AH138" s="515">
        <f>C138</f>
        <v>0</v>
      </c>
      <c r="AI138" s="516">
        <f>IF(B138&lt;($B$135+1),AH138)</f>
        <v>0</v>
      </c>
      <c r="AJ138" s="287">
        <f>66.2555484-AH138</f>
        <v>66.255548399999995</v>
      </c>
      <c r="AK138" s="517">
        <f t="shared" ref="AK138:AK157" si="13">SIN(AJ138*3.14159265358979/180)</f>
        <v>0.91535047595051022</v>
      </c>
      <c r="AL138" s="289">
        <f>+AK138*304.3209</f>
        <v>278.56028065668761</v>
      </c>
      <c r="AM138" s="287">
        <f>50.0185497+AH138</f>
        <v>50.018549700000001</v>
      </c>
      <c r="AN138" s="518">
        <f>SIN(AM138*3.14159265358979/180)</f>
        <v>0.76625250760411079</v>
      </c>
      <c r="AO138" s="291">
        <f>+AN138*279.0605</f>
        <v>213.83080789825695</v>
      </c>
      <c r="AP138" s="519">
        <f t="shared" ref="AP138:AP157" si="14">+((AF138*AQ138)+($AG$170*$AQ$170)+($AQ$194*$AG$194)+($AG$225*$AQ$225))/AR138</f>
        <v>186.68336738878563</v>
      </c>
      <c r="AQ138" s="269">
        <f>40.5*B135</f>
        <v>40.5</v>
      </c>
      <c r="AR138" s="519">
        <f t="shared" ref="AR138:AR157" si="15">+AQ138+$AQ$194+$AQ$170+$AQ$225+31+31+1.3</f>
        <v>241.8</v>
      </c>
      <c r="AS138" s="520">
        <f>+AO138+AL138</f>
        <v>492.39108855494453</v>
      </c>
      <c r="AT138" s="521">
        <f>+V138-AO138</f>
        <v>-7.8982569391428115E-6</v>
      </c>
      <c r="AU138" s="522">
        <f>+AP138-AT138</f>
        <v>186.68337528704257</v>
      </c>
      <c r="AV138" s="521"/>
      <c r="AW138" s="523">
        <f>+((AS138-AU138)/AS138)*AR138</f>
        <v>150.12482310579057</v>
      </c>
      <c r="AX138" s="523">
        <f>+(AU138/AS138)*AR138</f>
        <v>91.675176894209457</v>
      </c>
      <c r="AY138" s="448">
        <f t="shared" ref="AY138:AY157" si="16">2*$C$20/AW138</f>
        <v>77.269033594968263</v>
      </c>
      <c r="AZ138" s="448">
        <f t="shared" ref="AZ138:AZ157" si="17">$D$20/AX138</f>
        <v>109.08078215698144</v>
      </c>
      <c r="BA138" s="451">
        <f>ABS(AY138)</f>
        <v>77.269033594968263</v>
      </c>
      <c r="BB138" s="451">
        <f>ABS(AZ138)</f>
        <v>109.08078215698144</v>
      </c>
      <c r="BC138" s="91"/>
      <c r="BE138" s="136"/>
      <c r="BF138" s="136"/>
      <c r="BG138" s="136"/>
      <c r="BH138" s="136"/>
      <c r="BI138" s="136"/>
      <c r="BJ138" s="136"/>
      <c r="BK138" s="212"/>
      <c r="BL138" s="204">
        <f>-+BH163</f>
        <v>676.72311331126275</v>
      </c>
      <c r="BM138" s="402"/>
      <c r="BN138" s="187"/>
      <c r="BO138" s="1091"/>
      <c r="BP138" s="64"/>
      <c r="BS138" s="126"/>
      <c r="BT138" s="126"/>
      <c r="BU138" s="126"/>
      <c r="BV138" s="203"/>
      <c r="BW138" s="203"/>
      <c r="BX138" s="203"/>
      <c r="BY138" s="203"/>
      <c r="BZ138" s="203"/>
      <c r="CA138" s="203"/>
      <c r="CB138" s="203"/>
      <c r="CC138" s="203"/>
      <c r="CD138" s="203"/>
      <c r="CE138" s="203"/>
      <c r="CF138" s="203"/>
      <c r="CG138" s="203"/>
      <c r="CH138" s="203"/>
      <c r="CI138" s="203"/>
      <c r="CP138" s="212"/>
      <c r="CR138" s="64"/>
      <c r="DD138" s="204">
        <f>+-BH202</f>
        <v>-871.27688668873725</v>
      </c>
    </row>
    <row r="139" spans="2:108" ht="21" customHeight="1" thickBot="1" x14ac:dyDescent="0.25">
      <c r="B139" s="277">
        <v>2</v>
      </c>
      <c r="C139" s="278"/>
      <c r="D139" s="25">
        <v>0</v>
      </c>
      <c r="E139" s="279" t="s">
        <v>130</v>
      </c>
      <c r="F139" s="258"/>
      <c r="G139" s="258" t="e">
        <f>+D139+BC139</f>
        <v>#DIV/0!</v>
      </c>
      <c r="H139" s="506">
        <v>279.06049999999999</v>
      </c>
      <c r="I139" s="507">
        <v>79.962900599999998</v>
      </c>
      <c r="J139" s="474">
        <f t="shared" ref="J139:J157" si="18">+I139-D139</f>
        <v>79.962900599999998</v>
      </c>
      <c r="K139" s="474">
        <f t="shared" ref="K139:K157" si="19">+J139/2</f>
        <v>39.981450299999999</v>
      </c>
      <c r="L139" s="474">
        <f t="shared" si="5"/>
        <v>0.64253956655634092</v>
      </c>
      <c r="M139" s="474">
        <f t="shared" si="6"/>
        <v>179.30741271299578</v>
      </c>
      <c r="N139" s="474">
        <f t="shared" si="7"/>
        <v>358.61482542599157</v>
      </c>
      <c r="O139" s="474">
        <f>+C138+(D139/2)</f>
        <v>0</v>
      </c>
      <c r="P139" s="474">
        <f t="shared" si="8"/>
        <v>0</v>
      </c>
      <c r="Q139" s="474">
        <f t="shared" si="9"/>
        <v>0</v>
      </c>
      <c r="R139" s="474">
        <f t="shared" ref="R139:R157" si="20">+T138</f>
        <v>213.83080000000001</v>
      </c>
      <c r="S139" s="474">
        <f>+R139+Q139</f>
        <v>213.83080000000001</v>
      </c>
      <c r="T139" s="476">
        <f t="shared" si="10"/>
        <v>213.83080000000001</v>
      </c>
      <c r="V139" s="437">
        <f t="shared" si="11"/>
        <v>0</v>
      </c>
      <c r="W139" s="437"/>
      <c r="X139" s="437"/>
      <c r="Y139" s="437"/>
      <c r="Z139" s="437"/>
      <c r="AA139" s="437"/>
      <c r="AB139" s="477" t="e">
        <f>IF(AZ139&lt;0,"use the locking pin"," ")</f>
        <v>#DIV/0!</v>
      </c>
      <c r="AC139" s="514" t="b">
        <f>IF(AD139=2,AF139)</f>
        <v>0</v>
      </c>
      <c r="AD139" s="514">
        <f t="shared" si="12"/>
        <v>1</v>
      </c>
      <c r="AE139" s="514">
        <f>IF(V139=0,0,2)</f>
        <v>0</v>
      </c>
      <c r="AF139" s="437" t="e">
        <f>SUM(V139:V157)/($B$135-B138)</f>
        <v>#DIV/0!</v>
      </c>
      <c r="AG139" s="437"/>
      <c r="AH139" s="450">
        <f>SUM(D139)+$C$138</f>
        <v>0</v>
      </c>
      <c r="AI139" s="516" t="b">
        <f t="shared" ref="AI139:AI157" si="21">IF(B139&lt;($B$135+1),AH139)</f>
        <v>0</v>
      </c>
      <c r="AJ139" s="287">
        <f t="shared" ref="AJ139:AJ157" si="22">66.2555484-AH139</f>
        <v>66.255548399999995</v>
      </c>
      <c r="AK139" s="441">
        <f t="shared" si="13"/>
        <v>0.91535047595051022</v>
      </c>
      <c r="AL139" s="289">
        <f t="shared" ref="AL139:AL157" si="23">+AK139*304.3209</f>
        <v>278.56028065668761</v>
      </c>
      <c r="AM139" s="287">
        <f t="shared" ref="AM139:AM157" si="24">50.0185497+AH139</f>
        <v>50.018549700000001</v>
      </c>
      <c r="AN139" s="442">
        <f t="shared" ref="AN139:AN157" si="25">SIN(AM139*3.14159265358979/180)</f>
        <v>0.76625250760411079</v>
      </c>
      <c r="AO139" s="291">
        <f t="shared" ref="AO139:AO157" si="26">+AN139*279.0605</f>
        <v>213.83080789825695</v>
      </c>
      <c r="AP139" s="519" t="e">
        <f t="shared" si="14"/>
        <v>#DIV/0!</v>
      </c>
      <c r="AQ139" s="291">
        <f>40.5*($B$135-B138)</f>
        <v>0</v>
      </c>
      <c r="AR139" s="519">
        <f t="shared" si="15"/>
        <v>201.3</v>
      </c>
      <c r="AS139" s="444">
        <f t="shared" ref="AS139:AS157" si="27">+AO139+AL139</f>
        <v>492.39108855494453</v>
      </c>
      <c r="AT139" s="445">
        <f>+V139-AO139</f>
        <v>-213.83080789825695</v>
      </c>
      <c r="AU139" s="446" t="e">
        <f t="shared" ref="AU139:AU157" si="28">+AP139-AT139</f>
        <v>#DIV/0!</v>
      </c>
      <c r="AV139" s="445"/>
      <c r="AW139" s="447" t="e">
        <f t="shared" ref="AW139:AW157" si="29">+((AS139-AU139)/AS139)*AR139</f>
        <v>#DIV/0!</v>
      </c>
      <c r="AX139" s="447" t="e">
        <f t="shared" ref="AX139:AX157" si="30">+(AU139/AS139)*AR139</f>
        <v>#DIV/0!</v>
      </c>
      <c r="AY139" s="448" t="e">
        <f t="shared" si="16"/>
        <v>#DIV/0!</v>
      </c>
      <c r="AZ139" s="448" t="e">
        <f t="shared" si="17"/>
        <v>#DIV/0!</v>
      </c>
      <c r="BA139" s="451" t="e">
        <f t="shared" ref="BA139:BB157" si="31">ABS(AY139)</f>
        <v>#DIV/0!</v>
      </c>
      <c r="BB139" s="451" t="e">
        <f t="shared" si="31"/>
        <v>#DIV/0!</v>
      </c>
      <c r="BC139" t="e">
        <f t="shared" ref="BC139:BC157" si="32">IF(AZ139&lt;0,0.3,0)</f>
        <v>#DIV/0!</v>
      </c>
      <c r="BM139" s="402"/>
      <c r="BN139" s="136"/>
      <c r="BO139" s="1091"/>
      <c r="BP139" s="126"/>
      <c r="BQ139" s="126"/>
      <c r="BR139" s="126"/>
      <c r="BS139" s="126"/>
      <c r="BT139" s="126"/>
      <c r="BU139" s="126"/>
      <c r="BV139" s="203"/>
      <c r="BW139" s="203"/>
      <c r="BX139" s="203"/>
      <c r="BY139" s="203"/>
      <c r="BZ139" s="203"/>
      <c r="CA139" s="203"/>
      <c r="CB139" s="203"/>
      <c r="CC139" s="203"/>
      <c r="CD139" s="203"/>
      <c r="CE139" s="203"/>
      <c r="CF139" s="203"/>
      <c r="CG139" s="203"/>
      <c r="CH139" s="203"/>
      <c r="CI139" s="203"/>
    </row>
    <row r="140" spans="2:108" ht="21" customHeight="1" thickBot="1" x14ac:dyDescent="0.35">
      <c r="B140" s="277">
        <v>3</v>
      </c>
      <c r="C140" s="278"/>
      <c r="D140" s="25">
        <v>0</v>
      </c>
      <c r="E140" s="279" t="s">
        <v>130</v>
      </c>
      <c r="F140" s="258"/>
      <c r="G140" s="258">
        <f>+D140+BC140</f>
        <v>0</v>
      </c>
      <c r="H140" s="506">
        <v>279.06049999999999</v>
      </c>
      <c r="I140" s="507">
        <v>79.962900599999998</v>
      </c>
      <c r="J140" s="474">
        <f t="shared" si="18"/>
        <v>79.962900599999998</v>
      </c>
      <c r="K140" s="474">
        <f t="shared" si="19"/>
        <v>39.981450299999999</v>
      </c>
      <c r="L140" s="474">
        <f t="shared" si="5"/>
        <v>0.64253956655634092</v>
      </c>
      <c r="M140" s="474">
        <f t="shared" si="6"/>
        <v>179.30741271299578</v>
      </c>
      <c r="N140" s="474">
        <f t="shared" si="7"/>
        <v>358.61482542599157</v>
      </c>
      <c r="O140" s="474">
        <f>+C138+D139+(D140/2)</f>
        <v>0</v>
      </c>
      <c r="P140" s="474">
        <f t="shared" si="8"/>
        <v>0</v>
      </c>
      <c r="Q140" s="474">
        <f t="shared" si="9"/>
        <v>0</v>
      </c>
      <c r="R140" s="474">
        <f t="shared" si="20"/>
        <v>213.83080000000001</v>
      </c>
      <c r="S140" s="474">
        <f t="shared" ref="S140:S157" si="33">+S139+Q140</f>
        <v>213.83080000000001</v>
      </c>
      <c r="T140" s="476">
        <f t="shared" si="10"/>
        <v>213.83080000000001</v>
      </c>
      <c r="V140" s="437">
        <f t="shared" si="11"/>
        <v>0</v>
      </c>
      <c r="W140" s="437"/>
      <c r="X140" s="437"/>
      <c r="Y140" s="437"/>
      <c r="Z140" s="437"/>
      <c r="AA140" s="437"/>
      <c r="AB140" s="477" t="str">
        <f t="shared" ref="AB140:AB157" si="34">IF(AZ140&lt;0,"use the locking pin"," ")</f>
        <v xml:space="preserve"> </v>
      </c>
      <c r="AC140" s="514" t="b">
        <f>IF(AD140=3,AF140)</f>
        <v>0</v>
      </c>
      <c r="AD140" s="514">
        <f t="shared" si="12"/>
        <v>1</v>
      </c>
      <c r="AE140" s="514">
        <f>IF(V140=0,0,3)</f>
        <v>0</v>
      </c>
      <c r="AF140" s="437">
        <f>SUM(V140:V157)/($B$135-B139)</f>
        <v>0</v>
      </c>
      <c r="AG140" s="437"/>
      <c r="AH140" s="450">
        <f>SUM(D139:D140)+$C$138</f>
        <v>0</v>
      </c>
      <c r="AI140" s="516" t="b">
        <f t="shared" si="21"/>
        <v>0</v>
      </c>
      <c r="AJ140" s="287">
        <f t="shared" si="22"/>
        <v>66.255548399999995</v>
      </c>
      <c r="AK140" s="441">
        <f t="shared" si="13"/>
        <v>0.91535047595051022</v>
      </c>
      <c r="AL140" s="289">
        <f t="shared" si="23"/>
        <v>278.56028065668761</v>
      </c>
      <c r="AM140" s="287">
        <f t="shared" si="24"/>
        <v>50.018549700000001</v>
      </c>
      <c r="AN140" s="442">
        <f t="shared" si="25"/>
        <v>0.76625250760411079</v>
      </c>
      <c r="AO140" s="291">
        <f t="shared" si="26"/>
        <v>213.83080789825695</v>
      </c>
      <c r="AP140" s="519">
        <f t="shared" si="14"/>
        <v>226.86499275253956</v>
      </c>
      <c r="AQ140" s="291">
        <f t="shared" ref="AQ140:AQ157" si="35">40.5*($B$135-B139)</f>
        <v>-40.5</v>
      </c>
      <c r="AR140" s="519">
        <f t="shared" si="15"/>
        <v>160.80000000000001</v>
      </c>
      <c r="AS140" s="444">
        <f t="shared" si="27"/>
        <v>492.39108855494453</v>
      </c>
      <c r="AT140" s="445">
        <f>+V140-AO140</f>
        <v>-213.83080789825695</v>
      </c>
      <c r="AU140" s="446">
        <f t="shared" si="28"/>
        <v>440.69580065079651</v>
      </c>
      <c r="AV140" s="445"/>
      <c r="AW140" s="447">
        <f t="shared" si="29"/>
        <v>16.882113604822933</v>
      </c>
      <c r="AX140" s="447">
        <f t="shared" si="30"/>
        <v>143.91788639517708</v>
      </c>
      <c r="AY140" s="448">
        <f t="shared" si="16"/>
        <v>687.11775501179409</v>
      </c>
      <c r="AZ140" s="448">
        <f t="shared" si="17"/>
        <v>69.484066577669779</v>
      </c>
      <c r="BA140" s="451">
        <f t="shared" si="31"/>
        <v>687.11775501179409</v>
      </c>
      <c r="BB140" s="451">
        <f t="shared" si="31"/>
        <v>69.484066577669779</v>
      </c>
      <c r="BC140">
        <f t="shared" si="32"/>
        <v>0</v>
      </c>
      <c r="BM140" s="214"/>
      <c r="BN140" s="214"/>
      <c r="BO140" s="214"/>
      <c r="BP140" s="126"/>
      <c r="BQ140" s="126"/>
      <c r="BR140" s="126"/>
      <c r="BS140" s="126"/>
      <c r="BT140" s="126"/>
      <c r="BU140" s="126"/>
      <c r="BV140" s="203"/>
      <c r="BW140" s="203"/>
      <c r="BX140" s="203"/>
      <c r="BY140" s="203"/>
      <c r="BZ140" s="203"/>
      <c r="CA140" s="203"/>
      <c r="CB140" s="203"/>
      <c r="CC140" s="203"/>
      <c r="CD140" s="203"/>
      <c r="CE140" s="203"/>
      <c r="CF140" s="203"/>
      <c r="CG140" s="203"/>
      <c r="CH140" s="203"/>
      <c r="CI140" s="203"/>
    </row>
    <row r="141" spans="2:108" ht="21" customHeight="1" thickBot="1" x14ac:dyDescent="0.35">
      <c r="B141" s="277">
        <v>4</v>
      </c>
      <c r="C141" s="278"/>
      <c r="D141" s="25">
        <v>0</v>
      </c>
      <c r="E141" s="279" t="s">
        <v>130</v>
      </c>
      <c r="F141" s="258"/>
      <c r="G141" s="258">
        <f>+D141+BC141</f>
        <v>0</v>
      </c>
      <c r="H141" s="506">
        <v>279.06049999999999</v>
      </c>
      <c r="I141" s="507">
        <v>79.962900599999998</v>
      </c>
      <c r="J141" s="474">
        <f t="shared" si="18"/>
        <v>79.962900599999998</v>
      </c>
      <c r="K141" s="474">
        <f t="shared" si="19"/>
        <v>39.981450299999999</v>
      </c>
      <c r="L141" s="474">
        <f t="shared" si="5"/>
        <v>0.64253956655634092</v>
      </c>
      <c r="M141" s="474">
        <f t="shared" si="6"/>
        <v>179.30741271299578</v>
      </c>
      <c r="N141" s="474">
        <f t="shared" si="7"/>
        <v>358.61482542599157</v>
      </c>
      <c r="O141" s="474">
        <f>+C138+D139+D140+(D141/2)</f>
        <v>0</v>
      </c>
      <c r="P141" s="474">
        <f t="shared" si="8"/>
        <v>0</v>
      </c>
      <c r="Q141" s="474">
        <f t="shared" si="9"/>
        <v>0</v>
      </c>
      <c r="R141" s="474">
        <f t="shared" si="20"/>
        <v>213.83080000000001</v>
      </c>
      <c r="S141" s="474">
        <f t="shared" si="33"/>
        <v>213.83080000000001</v>
      </c>
      <c r="T141" s="476">
        <f t="shared" si="10"/>
        <v>213.83080000000001</v>
      </c>
      <c r="V141" s="437">
        <f t="shared" si="11"/>
        <v>0</v>
      </c>
      <c r="W141" s="437"/>
      <c r="X141" s="437"/>
      <c r="Y141" s="437"/>
      <c r="Z141" s="437"/>
      <c r="AA141" s="437"/>
      <c r="AB141" s="477" t="str">
        <f t="shared" si="34"/>
        <v xml:space="preserve"> </v>
      </c>
      <c r="AC141" s="514" t="b">
        <f>IF(AD141=4,AF141)</f>
        <v>0</v>
      </c>
      <c r="AD141" s="514">
        <f t="shared" si="12"/>
        <v>1</v>
      </c>
      <c r="AE141" s="514">
        <f>IF(V141=0,0,4)</f>
        <v>0</v>
      </c>
      <c r="AF141" s="437">
        <f>SUM(V141:V157)/($B$135-B140)</f>
        <v>0</v>
      </c>
      <c r="AG141" s="437"/>
      <c r="AH141" s="450">
        <f>SUM(D139:D141)+$C$138</f>
        <v>0</v>
      </c>
      <c r="AI141" s="516" t="b">
        <f t="shared" si="21"/>
        <v>0</v>
      </c>
      <c r="AJ141" s="287">
        <f t="shared" si="22"/>
        <v>66.255548399999995</v>
      </c>
      <c r="AK141" s="441">
        <f t="shared" si="13"/>
        <v>0.91535047595051022</v>
      </c>
      <c r="AL141" s="289">
        <f t="shared" si="23"/>
        <v>278.56028065668761</v>
      </c>
      <c r="AM141" s="287">
        <f t="shared" si="24"/>
        <v>50.018549700000001</v>
      </c>
      <c r="AN141" s="442">
        <f t="shared" si="25"/>
        <v>0.76625250760411079</v>
      </c>
      <c r="AO141" s="291">
        <f t="shared" si="26"/>
        <v>213.83080789825695</v>
      </c>
      <c r="AP141" s="519">
        <f t="shared" si="14"/>
        <v>303.2409878188559</v>
      </c>
      <c r="AQ141" s="291">
        <f t="shared" si="35"/>
        <v>-81</v>
      </c>
      <c r="AR141" s="519">
        <f t="shared" si="15"/>
        <v>120.3</v>
      </c>
      <c r="AS141" s="444">
        <f t="shared" si="27"/>
        <v>492.39108855494453</v>
      </c>
      <c r="AT141" s="445">
        <f>+V141-AO141</f>
        <v>-213.83080789825695</v>
      </c>
      <c r="AU141" s="446">
        <f t="shared" si="28"/>
        <v>517.07179571711288</v>
      </c>
      <c r="AV141" s="445"/>
      <c r="AW141" s="447">
        <f t="shared" si="29"/>
        <v>-6.0299407130264093</v>
      </c>
      <c r="AX141" s="447">
        <f t="shared" si="30"/>
        <v>126.3299407130264</v>
      </c>
      <c r="AY141" s="448">
        <f t="shared" si="16"/>
        <v>-1923.7336736894706</v>
      </c>
      <c r="AZ141" s="448">
        <f t="shared" si="17"/>
        <v>79.157798567452815</v>
      </c>
      <c r="BA141" s="451">
        <f t="shared" si="31"/>
        <v>1923.7336736894706</v>
      </c>
      <c r="BB141" s="451">
        <f t="shared" si="31"/>
        <v>79.157798567452815</v>
      </c>
      <c r="BC141">
        <f t="shared" si="32"/>
        <v>0</v>
      </c>
      <c r="BM141" s="214"/>
      <c r="BN141" s="214"/>
      <c r="BO141" s="214"/>
      <c r="BP141" s="126"/>
      <c r="BQ141" s="126"/>
      <c r="BR141" s="126"/>
      <c r="BS141" s="126"/>
      <c r="BT141" s="126"/>
      <c r="BU141" s="126"/>
      <c r="BV141" s="203"/>
      <c r="BW141" s="203"/>
      <c r="BX141" s="203"/>
      <c r="BY141" s="203"/>
      <c r="BZ141" s="203"/>
      <c r="CA141" s="203"/>
      <c r="CB141" s="203"/>
      <c r="CC141" s="203"/>
      <c r="CD141" s="203"/>
      <c r="CE141" s="203"/>
      <c r="CF141" s="203"/>
      <c r="CG141" s="203"/>
      <c r="CH141" s="203"/>
      <c r="CI141" s="203"/>
    </row>
    <row r="142" spans="2:108" ht="21" customHeight="1" thickBot="1" x14ac:dyDescent="0.35">
      <c r="B142" s="277">
        <v>5</v>
      </c>
      <c r="C142" s="278"/>
      <c r="D142" s="25">
        <v>0</v>
      </c>
      <c r="E142" s="279" t="s">
        <v>130</v>
      </c>
      <c r="F142" s="258"/>
      <c r="G142" s="258">
        <f>+D142+BC142</f>
        <v>0</v>
      </c>
      <c r="H142" s="506">
        <v>279.06049999999999</v>
      </c>
      <c r="I142" s="507">
        <v>79.962900599999998</v>
      </c>
      <c r="J142" s="474">
        <f t="shared" si="18"/>
        <v>79.962900599999998</v>
      </c>
      <c r="K142" s="474">
        <f t="shared" si="19"/>
        <v>39.981450299999999</v>
      </c>
      <c r="L142" s="474">
        <f t="shared" si="5"/>
        <v>0.64253956655634092</v>
      </c>
      <c r="M142" s="474">
        <f t="shared" si="6"/>
        <v>179.30741271299578</v>
      </c>
      <c r="N142" s="474">
        <f t="shared" si="7"/>
        <v>358.61482542599157</v>
      </c>
      <c r="O142" s="474">
        <f>+C138+D139+D140+D141+(D142/2)</f>
        <v>0</v>
      </c>
      <c r="P142" s="474">
        <f t="shared" si="8"/>
        <v>0</v>
      </c>
      <c r="Q142" s="474">
        <f t="shared" si="9"/>
        <v>0</v>
      </c>
      <c r="R142" s="474">
        <f t="shared" si="20"/>
        <v>213.83080000000001</v>
      </c>
      <c r="S142" s="474">
        <f t="shared" si="33"/>
        <v>213.83080000000001</v>
      </c>
      <c r="T142" s="476">
        <f t="shared" si="10"/>
        <v>213.83080000000001</v>
      </c>
      <c r="V142" s="437">
        <f t="shared" si="11"/>
        <v>0</v>
      </c>
      <c r="W142" s="437"/>
      <c r="X142" s="437"/>
      <c r="Y142" s="437"/>
      <c r="Z142" s="437"/>
      <c r="AA142" s="437"/>
      <c r="AB142" s="477" t="str">
        <f t="shared" si="34"/>
        <v xml:space="preserve"> </v>
      </c>
      <c r="AC142" s="514" t="b">
        <f>IF(AD142=5,AF142)</f>
        <v>0</v>
      </c>
      <c r="AD142" s="514">
        <f t="shared" si="12"/>
        <v>1</v>
      </c>
      <c r="AE142" s="514">
        <f>IF(V142=0,0,5)</f>
        <v>0</v>
      </c>
      <c r="AF142" s="437">
        <f>SUM(V142:V157)/($B$135-B141)</f>
        <v>0</v>
      </c>
      <c r="AG142" s="437"/>
      <c r="AH142" s="450">
        <f>SUM(D139:D142)+$C$138</f>
        <v>0</v>
      </c>
      <c r="AI142" s="516" t="b">
        <f t="shared" si="21"/>
        <v>0</v>
      </c>
      <c r="AJ142" s="287">
        <f t="shared" si="22"/>
        <v>66.255548399999995</v>
      </c>
      <c r="AK142" s="441">
        <f t="shared" si="13"/>
        <v>0.91535047595051022</v>
      </c>
      <c r="AL142" s="289">
        <f t="shared" si="23"/>
        <v>278.56028065668761</v>
      </c>
      <c r="AM142" s="287">
        <f t="shared" si="24"/>
        <v>50.018549700000001</v>
      </c>
      <c r="AN142" s="442">
        <f t="shared" si="25"/>
        <v>0.76625250760411079</v>
      </c>
      <c r="AO142" s="291">
        <f t="shared" si="26"/>
        <v>213.83080789825695</v>
      </c>
      <c r="AP142" s="519">
        <f t="shared" si="14"/>
        <v>457.14148915549328</v>
      </c>
      <c r="AQ142" s="291">
        <f t="shared" si="35"/>
        <v>-121.5</v>
      </c>
      <c r="AR142" s="519">
        <f t="shared" si="15"/>
        <v>79.8</v>
      </c>
      <c r="AS142" s="444">
        <f t="shared" si="27"/>
        <v>492.39108855494453</v>
      </c>
      <c r="AT142" s="445">
        <f t="shared" ref="AT142:AT157" si="36">+V142-AO142</f>
        <v>-213.83080789825695</v>
      </c>
      <c r="AU142" s="446">
        <f t="shared" si="28"/>
        <v>670.97229705375025</v>
      </c>
      <c r="AV142" s="445"/>
      <c r="AW142" s="447">
        <f t="shared" si="29"/>
        <v>-28.941995030875731</v>
      </c>
      <c r="AX142" s="447">
        <f t="shared" si="30"/>
        <v>108.74199503087573</v>
      </c>
      <c r="AY142" s="448">
        <f t="shared" si="16"/>
        <v>-400.80167202105298</v>
      </c>
      <c r="AZ142" s="448">
        <f t="shared" si="17"/>
        <v>91.960792122313407</v>
      </c>
      <c r="BA142" s="451">
        <f t="shared" si="31"/>
        <v>400.80167202105298</v>
      </c>
      <c r="BB142" s="451">
        <f t="shared" si="31"/>
        <v>91.960792122313407</v>
      </c>
      <c r="BC142">
        <f t="shared" si="32"/>
        <v>0</v>
      </c>
      <c r="BM142" s="214"/>
      <c r="BN142" s="214"/>
      <c r="BO142" s="214"/>
      <c r="BP142" s="126"/>
      <c r="BQ142" s="126"/>
      <c r="BR142" s="126"/>
      <c r="BS142" s="126"/>
      <c r="BT142" s="126"/>
      <c r="BU142" s="126"/>
      <c r="BV142" s="203"/>
      <c r="BW142" s="203"/>
      <c r="BX142" s="203"/>
      <c r="BY142" s="203"/>
      <c r="BZ142" s="203"/>
      <c r="CA142" s="203"/>
      <c r="CB142" s="203"/>
      <c r="CC142" s="203"/>
      <c r="CD142" s="203"/>
      <c r="CE142" s="203"/>
      <c r="CF142" s="203"/>
      <c r="CG142" s="203"/>
      <c r="CH142" s="203"/>
      <c r="CI142" s="203"/>
    </row>
    <row r="143" spans="2:108" ht="21" customHeight="1" thickBot="1" x14ac:dyDescent="0.35">
      <c r="B143" s="277">
        <v>6</v>
      </c>
      <c r="C143" s="278"/>
      <c r="D143" s="25">
        <v>0</v>
      </c>
      <c r="E143" s="279" t="s">
        <v>130</v>
      </c>
      <c r="F143" s="258"/>
      <c r="G143" s="258">
        <f t="shared" ref="G143:G157" si="37">+D143+BC143</f>
        <v>0</v>
      </c>
      <c r="H143" s="506">
        <v>279.06049999999999</v>
      </c>
      <c r="I143" s="507">
        <v>79.962900599999998</v>
      </c>
      <c r="J143" s="474">
        <f t="shared" si="18"/>
        <v>79.962900599999998</v>
      </c>
      <c r="K143" s="474">
        <f t="shared" si="19"/>
        <v>39.981450299999999</v>
      </c>
      <c r="L143" s="474">
        <f t="shared" si="5"/>
        <v>0.64253956655634092</v>
      </c>
      <c r="M143" s="474">
        <f t="shared" si="6"/>
        <v>179.30741271299578</v>
      </c>
      <c r="N143" s="474">
        <f t="shared" si="7"/>
        <v>358.61482542599157</v>
      </c>
      <c r="O143" s="474">
        <f>+C138+D139+D140+D141+D142+(D143/2)</f>
        <v>0</v>
      </c>
      <c r="P143" s="474">
        <f t="shared" si="8"/>
        <v>0</v>
      </c>
      <c r="Q143" s="474">
        <f t="shared" si="9"/>
        <v>0</v>
      </c>
      <c r="R143" s="474">
        <f t="shared" si="20"/>
        <v>213.83080000000001</v>
      </c>
      <c r="S143" s="474">
        <f t="shared" si="33"/>
        <v>213.83080000000001</v>
      </c>
      <c r="T143" s="476">
        <f t="shared" si="10"/>
        <v>213.83080000000001</v>
      </c>
      <c r="V143" s="437">
        <f t="shared" si="11"/>
        <v>0</v>
      </c>
      <c r="W143" s="437"/>
      <c r="X143" s="437"/>
      <c r="Y143" s="437"/>
      <c r="Z143" s="437"/>
      <c r="AA143" s="437"/>
      <c r="AB143" s="477" t="str">
        <f t="shared" si="34"/>
        <v xml:space="preserve"> </v>
      </c>
      <c r="AC143" s="514" t="b">
        <f>IF(AD143=6,AF143)</f>
        <v>0</v>
      </c>
      <c r="AD143" s="514">
        <f t="shared" si="12"/>
        <v>1</v>
      </c>
      <c r="AE143" s="514">
        <f>IF(V143=0,0,6)</f>
        <v>0</v>
      </c>
      <c r="AF143" s="437">
        <f>SUM(V143:V157)/($B$135-B142)</f>
        <v>0</v>
      </c>
      <c r="AG143" s="437"/>
      <c r="AH143" s="450">
        <f>SUM(D139:D143)+$C$138</f>
        <v>0</v>
      </c>
      <c r="AI143" s="516" t="b">
        <f t="shared" si="21"/>
        <v>0</v>
      </c>
      <c r="AJ143" s="287">
        <f t="shared" si="22"/>
        <v>66.255548399999995</v>
      </c>
      <c r="AK143" s="441">
        <f t="shared" si="13"/>
        <v>0.91535047595051022</v>
      </c>
      <c r="AL143" s="289">
        <f t="shared" si="23"/>
        <v>278.56028065668761</v>
      </c>
      <c r="AM143" s="287">
        <f t="shared" si="24"/>
        <v>50.018549700000001</v>
      </c>
      <c r="AN143" s="442">
        <f t="shared" si="25"/>
        <v>0.76625250760411079</v>
      </c>
      <c r="AO143" s="291">
        <f t="shared" si="26"/>
        <v>213.83080789825695</v>
      </c>
      <c r="AP143" s="519">
        <f t="shared" si="14"/>
        <v>928.24149706382605</v>
      </c>
      <c r="AQ143" s="291">
        <f t="shared" si="35"/>
        <v>-162</v>
      </c>
      <c r="AR143" s="519">
        <f t="shared" si="15"/>
        <v>39.299999999999997</v>
      </c>
      <c r="AS143" s="444">
        <f t="shared" si="27"/>
        <v>492.39108855494453</v>
      </c>
      <c r="AT143" s="445">
        <f t="shared" si="36"/>
        <v>-213.83080789825695</v>
      </c>
      <c r="AU143" s="446">
        <f t="shared" si="28"/>
        <v>1142.0723049620831</v>
      </c>
      <c r="AV143" s="445"/>
      <c r="AW143" s="447">
        <f t="shared" si="29"/>
        <v>-51.854049348725056</v>
      </c>
      <c r="AX143" s="447">
        <f t="shared" si="30"/>
        <v>91.154049348725053</v>
      </c>
      <c r="AY143" s="448">
        <f t="shared" si="16"/>
        <v>-223.70480503824359</v>
      </c>
      <c r="AZ143" s="448">
        <f t="shared" si="17"/>
        <v>109.70439680351805</v>
      </c>
      <c r="BA143" s="451">
        <f t="shared" si="31"/>
        <v>223.70480503824359</v>
      </c>
      <c r="BB143" s="451">
        <f t="shared" si="31"/>
        <v>109.70439680351805</v>
      </c>
      <c r="BC143">
        <f t="shared" si="32"/>
        <v>0</v>
      </c>
      <c r="BM143" s="214"/>
      <c r="BN143" s="214"/>
      <c r="BO143" s="214"/>
      <c r="CI143" s="236"/>
      <c r="CJ143" s="236"/>
      <c r="CK143" s="236"/>
      <c r="CL143" s="236"/>
      <c r="CM143" s="236"/>
      <c r="CN143" s="236"/>
    </row>
    <row r="144" spans="2:108" ht="21" customHeight="1" thickBot="1" x14ac:dyDescent="0.35">
      <c r="B144" s="277">
        <v>7</v>
      </c>
      <c r="C144" s="278"/>
      <c r="D144" s="25">
        <v>0</v>
      </c>
      <c r="E144" s="279" t="s">
        <v>130</v>
      </c>
      <c r="F144" s="258"/>
      <c r="G144" s="258">
        <f t="shared" si="37"/>
        <v>0</v>
      </c>
      <c r="H144" s="506">
        <v>279.06049999999999</v>
      </c>
      <c r="I144" s="507">
        <v>79.962900599999998</v>
      </c>
      <c r="J144" s="474">
        <f t="shared" si="18"/>
        <v>79.962900599999998</v>
      </c>
      <c r="K144" s="474">
        <f t="shared" si="19"/>
        <v>39.981450299999999</v>
      </c>
      <c r="L144" s="474">
        <f t="shared" si="5"/>
        <v>0.64253956655634092</v>
      </c>
      <c r="M144" s="474">
        <f t="shared" si="6"/>
        <v>179.30741271299578</v>
      </c>
      <c r="N144" s="474">
        <f t="shared" si="7"/>
        <v>358.61482542599157</v>
      </c>
      <c r="O144" s="474">
        <f>+C138+D139+D140+D141+D142+D143+(D144/2)</f>
        <v>0</v>
      </c>
      <c r="P144" s="474">
        <f t="shared" si="8"/>
        <v>0</v>
      </c>
      <c r="Q144" s="474">
        <f t="shared" si="9"/>
        <v>0</v>
      </c>
      <c r="R144" s="474">
        <f t="shared" si="20"/>
        <v>213.83080000000001</v>
      </c>
      <c r="S144" s="474">
        <f t="shared" si="33"/>
        <v>213.83080000000001</v>
      </c>
      <c r="T144" s="476">
        <f t="shared" si="10"/>
        <v>213.83080000000001</v>
      </c>
      <c r="V144" s="437">
        <f t="shared" si="11"/>
        <v>0</v>
      </c>
      <c r="W144" s="437"/>
      <c r="X144" s="437"/>
      <c r="Y144" s="437"/>
      <c r="Z144" s="437"/>
      <c r="AA144" s="437"/>
      <c r="AB144" s="477" t="str">
        <f t="shared" si="34"/>
        <v xml:space="preserve"> </v>
      </c>
      <c r="AC144" s="514" t="b">
        <f>IF(AD144=7,AF144)</f>
        <v>0</v>
      </c>
      <c r="AD144" s="514">
        <f t="shared" si="12"/>
        <v>1</v>
      </c>
      <c r="AE144" s="514">
        <f>IF(V144=0,0,7)</f>
        <v>0</v>
      </c>
      <c r="AF144" s="437">
        <f>SUM(V144:V157)/($B$135-B143)</f>
        <v>0</v>
      </c>
      <c r="AG144" s="437"/>
      <c r="AH144" s="450">
        <f>SUM(D139:D144)+$C$138</f>
        <v>0</v>
      </c>
      <c r="AI144" s="516" t="b">
        <f t="shared" si="21"/>
        <v>0</v>
      </c>
      <c r="AJ144" s="287">
        <f t="shared" si="22"/>
        <v>66.255548399999995</v>
      </c>
      <c r="AK144" s="441">
        <f t="shared" si="13"/>
        <v>0.91535047595051022</v>
      </c>
      <c r="AL144" s="289">
        <f t="shared" si="23"/>
        <v>278.56028065668761</v>
      </c>
      <c r="AM144" s="287">
        <f t="shared" si="24"/>
        <v>50.018549700000001</v>
      </c>
      <c r="AN144" s="442">
        <f t="shared" si="25"/>
        <v>0.76625250760411079</v>
      </c>
      <c r="AO144" s="291">
        <f t="shared" si="26"/>
        <v>213.83080789825695</v>
      </c>
      <c r="AP144" s="519">
        <f t="shared" si="14"/>
        <v>-30399.909028840302</v>
      </c>
      <c r="AQ144" s="291">
        <f t="shared" si="35"/>
        <v>-202.5</v>
      </c>
      <c r="AR144" s="519">
        <f t="shared" si="15"/>
        <v>-1.2</v>
      </c>
      <c r="AS144" s="444">
        <f t="shared" si="27"/>
        <v>492.39108855494453</v>
      </c>
      <c r="AT144" s="445">
        <f t="shared" si="36"/>
        <v>-213.83080789825695</v>
      </c>
      <c r="AU144" s="446">
        <f t="shared" si="28"/>
        <v>-30186.078220942047</v>
      </c>
      <c r="AV144" s="445"/>
      <c r="AW144" s="447">
        <f t="shared" si="29"/>
        <v>-74.766103666574381</v>
      </c>
      <c r="AX144" s="447">
        <f t="shared" si="30"/>
        <v>73.566103666574378</v>
      </c>
      <c r="AY144" s="448">
        <f t="shared" si="16"/>
        <v>-155.15052184250712</v>
      </c>
      <c r="AZ144" s="448">
        <f t="shared" si="17"/>
        <v>135.93216850688827</v>
      </c>
      <c r="BA144" s="451">
        <f t="shared" si="31"/>
        <v>155.15052184250712</v>
      </c>
      <c r="BB144" s="451">
        <f t="shared" si="31"/>
        <v>135.93216850688827</v>
      </c>
      <c r="BC144">
        <f t="shared" si="32"/>
        <v>0</v>
      </c>
      <c r="BM144" s="214"/>
      <c r="BN144" s="214"/>
      <c r="BO144" s="214"/>
    </row>
    <row r="145" spans="1:129" ht="21" customHeight="1" thickBot="1" x14ac:dyDescent="0.35">
      <c r="B145" s="277">
        <v>8</v>
      </c>
      <c r="C145" s="278"/>
      <c r="D145" s="25">
        <v>0</v>
      </c>
      <c r="E145" s="279" t="s">
        <v>130</v>
      </c>
      <c r="F145" s="258"/>
      <c r="G145" s="258">
        <f t="shared" si="37"/>
        <v>0</v>
      </c>
      <c r="H145" s="506">
        <v>279.06049999999999</v>
      </c>
      <c r="I145" s="507">
        <v>79.962900599999998</v>
      </c>
      <c r="J145" s="474">
        <f t="shared" si="18"/>
        <v>79.962900599999998</v>
      </c>
      <c r="K145" s="474">
        <f t="shared" si="19"/>
        <v>39.981450299999999</v>
      </c>
      <c r="L145" s="474">
        <f t="shared" si="5"/>
        <v>0.64253956655634092</v>
      </c>
      <c r="M145" s="474">
        <f t="shared" si="6"/>
        <v>179.30741271299578</v>
      </c>
      <c r="N145" s="474">
        <f t="shared" si="7"/>
        <v>358.61482542599157</v>
      </c>
      <c r="O145" s="474">
        <f>+C138+D139+D140+D141+D142+D143+D144+(D145/2)</f>
        <v>0</v>
      </c>
      <c r="P145" s="474">
        <f t="shared" si="8"/>
        <v>0</v>
      </c>
      <c r="Q145" s="474">
        <f t="shared" si="9"/>
        <v>0</v>
      </c>
      <c r="R145" s="474">
        <f t="shared" si="20"/>
        <v>213.83080000000001</v>
      </c>
      <c r="S145" s="474">
        <f t="shared" si="33"/>
        <v>213.83080000000001</v>
      </c>
      <c r="T145" s="476">
        <f t="shared" si="10"/>
        <v>213.83080000000001</v>
      </c>
      <c r="V145" s="437">
        <f t="shared" si="11"/>
        <v>0</v>
      </c>
      <c r="W145" s="437"/>
      <c r="X145" s="437"/>
      <c r="Y145" s="437"/>
      <c r="Z145" s="437"/>
      <c r="AA145" s="437"/>
      <c r="AB145" s="477" t="str">
        <f t="shared" si="34"/>
        <v xml:space="preserve"> </v>
      </c>
      <c r="AC145" s="514" t="b">
        <f>IF(AD145=8,AF145)</f>
        <v>0</v>
      </c>
      <c r="AD145" s="514">
        <f t="shared" si="12"/>
        <v>1</v>
      </c>
      <c r="AE145" s="514">
        <f>IF(V145=0,0,8)</f>
        <v>0</v>
      </c>
      <c r="AF145" s="437">
        <f>SUM(V145:V157)/($B$135-B144)</f>
        <v>0</v>
      </c>
      <c r="AG145" s="437"/>
      <c r="AH145" s="450">
        <f>SUM(D139:D145)+$C$138</f>
        <v>0</v>
      </c>
      <c r="AI145" s="516" t="b">
        <f t="shared" si="21"/>
        <v>0</v>
      </c>
      <c r="AJ145" s="287">
        <f t="shared" si="22"/>
        <v>66.255548399999995</v>
      </c>
      <c r="AK145" s="441">
        <f t="shared" si="13"/>
        <v>0.91535047595051022</v>
      </c>
      <c r="AL145" s="289">
        <f t="shared" si="23"/>
        <v>278.56028065668761</v>
      </c>
      <c r="AM145" s="287">
        <f t="shared" si="24"/>
        <v>50.018549700000001</v>
      </c>
      <c r="AN145" s="442">
        <f t="shared" si="25"/>
        <v>0.76625250760411079</v>
      </c>
      <c r="AO145" s="291">
        <f t="shared" si="26"/>
        <v>213.83080789825695</v>
      </c>
      <c r="AP145" s="519">
        <f t="shared" si="14"/>
        <v>-874.8175260097928</v>
      </c>
      <c r="AQ145" s="291">
        <f t="shared" si="35"/>
        <v>-243</v>
      </c>
      <c r="AR145" s="519">
        <f t="shared" si="15"/>
        <v>-41.7</v>
      </c>
      <c r="AS145" s="444">
        <f t="shared" si="27"/>
        <v>492.39108855494453</v>
      </c>
      <c r="AT145" s="445">
        <f t="shared" si="36"/>
        <v>-213.83080789825695</v>
      </c>
      <c r="AU145" s="446">
        <f t="shared" si="28"/>
        <v>-660.98671811153588</v>
      </c>
      <c r="AV145" s="445"/>
      <c r="AW145" s="447">
        <f t="shared" si="29"/>
        <v>-97.678157984423706</v>
      </c>
      <c r="AX145" s="447">
        <f t="shared" si="30"/>
        <v>55.97815798442371</v>
      </c>
      <c r="AY145" s="448">
        <f t="shared" si="16"/>
        <v>-118.75735824020964</v>
      </c>
      <c r="AZ145" s="448">
        <f t="shared" si="17"/>
        <v>178.64110503211924</v>
      </c>
      <c r="BA145" s="451">
        <f t="shared" si="31"/>
        <v>118.75735824020964</v>
      </c>
      <c r="BB145" s="451">
        <f t="shared" si="31"/>
        <v>178.64110503211924</v>
      </c>
      <c r="BC145">
        <f t="shared" si="32"/>
        <v>0</v>
      </c>
      <c r="BM145" s="214"/>
      <c r="BN145" s="214"/>
      <c r="BO145" s="214"/>
    </row>
    <row r="146" spans="1:129" ht="21" customHeight="1" thickBot="1" x14ac:dyDescent="0.35">
      <c r="B146" s="277">
        <v>9</v>
      </c>
      <c r="C146" s="278"/>
      <c r="D146" s="25">
        <v>0</v>
      </c>
      <c r="E146" s="279" t="s">
        <v>130</v>
      </c>
      <c r="F146" s="258"/>
      <c r="G146" s="258">
        <f t="shared" si="37"/>
        <v>0</v>
      </c>
      <c r="H146" s="506">
        <v>279.06049999999999</v>
      </c>
      <c r="I146" s="507">
        <v>79.962900599999998</v>
      </c>
      <c r="J146" s="474">
        <f t="shared" si="18"/>
        <v>79.962900599999998</v>
      </c>
      <c r="K146" s="474">
        <f t="shared" si="19"/>
        <v>39.981450299999999</v>
      </c>
      <c r="L146" s="474">
        <f t="shared" si="5"/>
        <v>0.64253956655634092</v>
      </c>
      <c r="M146" s="474">
        <f t="shared" si="6"/>
        <v>179.30741271299578</v>
      </c>
      <c r="N146" s="474">
        <f t="shared" si="7"/>
        <v>358.61482542599157</v>
      </c>
      <c r="O146" s="474">
        <f>+C138+D139+D140+D141+D142+D143+D144+D145+(D146/2)</f>
        <v>0</v>
      </c>
      <c r="P146" s="474">
        <f t="shared" si="8"/>
        <v>0</v>
      </c>
      <c r="Q146" s="474">
        <f t="shared" si="9"/>
        <v>0</v>
      </c>
      <c r="R146" s="474">
        <f t="shared" si="20"/>
        <v>213.83080000000001</v>
      </c>
      <c r="S146" s="474">
        <f t="shared" si="33"/>
        <v>213.83080000000001</v>
      </c>
      <c r="T146" s="476">
        <f t="shared" si="10"/>
        <v>213.83080000000001</v>
      </c>
      <c r="V146" s="437">
        <f t="shared" si="11"/>
        <v>0</v>
      </c>
      <c r="W146" s="437"/>
      <c r="X146" s="437"/>
      <c r="Y146" s="437"/>
      <c r="Z146" s="437"/>
      <c r="AA146" s="437"/>
      <c r="AB146" s="477" t="str">
        <f t="shared" si="34"/>
        <v xml:space="preserve"> </v>
      </c>
      <c r="AC146" s="514" t="b">
        <f>IF(AD146=9,AF146)</f>
        <v>0</v>
      </c>
      <c r="AD146" s="514">
        <f t="shared" si="12"/>
        <v>1</v>
      </c>
      <c r="AE146" s="514">
        <f>IF(V146=0,0,9)</f>
        <v>0</v>
      </c>
      <c r="AF146" s="437">
        <f>SUM(V146:V157)/($B$135-B145)</f>
        <v>0</v>
      </c>
      <c r="AG146" s="437"/>
      <c r="AH146" s="450">
        <f>SUM(D139:D146)+$C$138</f>
        <v>0</v>
      </c>
      <c r="AI146" s="516" t="b">
        <f t="shared" si="21"/>
        <v>0</v>
      </c>
      <c r="AJ146" s="287">
        <f t="shared" si="22"/>
        <v>66.255548399999995</v>
      </c>
      <c r="AK146" s="441">
        <f t="shared" si="13"/>
        <v>0.91535047595051022</v>
      </c>
      <c r="AL146" s="289">
        <f t="shared" si="23"/>
        <v>278.56028065668761</v>
      </c>
      <c r="AM146" s="287">
        <f t="shared" si="24"/>
        <v>50.018549700000001</v>
      </c>
      <c r="AN146" s="442">
        <f t="shared" si="25"/>
        <v>0.76625250760411079</v>
      </c>
      <c r="AO146" s="291">
        <f t="shared" si="26"/>
        <v>213.83080789825695</v>
      </c>
      <c r="AP146" s="519">
        <f t="shared" si="14"/>
        <v>-443.79429239182923</v>
      </c>
      <c r="AQ146" s="291">
        <f t="shared" si="35"/>
        <v>-283.5</v>
      </c>
      <c r="AR146" s="519">
        <f t="shared" si="15"/>
        <v>-82.2</v>
      </c>
      <c r="AS146" s="444">
        <f t="shared" si="27"/>
        <v>492.39108855494453</v>
      </c>
      <c r="AT146" s="445">
        <f t="shared" si="36"/>
        <v>-213.83080789825695</v>
      </c>
      <c r="AU146" s="446">
        <f t="shared" si="28"/>
        <v>-229.96348449357228</v>
      </c>
      <c r="AV146" s="445"/>
      <c r="AW146" s="447">
        <f t="shared" si="29"/>
        <v>-120.59021230227303</v>
      </c>
      <c r="AX146" s="447">
        <f t="shared" si="30"/>
        <v>38.390212302273035</v>
      </c>
      <c r="AY146" s="448">
        <f t="shared" si="16"/>
        <v>-96.19354488673828</v>
      </c>
      <c r="AZ146" s="448">
        <f t="shared" si="17"/>
        <v>260.48306066304076</v>
      </c>
      <c r="BA146" s="451">
        <f t="shared" si="31"/>
        <v>96.19354488673828</v>
      </c>
      <c r="BB146" s="451">
        <f t="shared" si="31"/>
        <v>260.48306066304076</v>
      </c>
      <c r="BC146">
        <f t="shared" si="32"/>
        <v>0</v>
      </c>
      <c r="BM146" s="214"/>
      <c r="BN146" s="214"/>
      <c r="BO146" s="214"/>
    </row>
    <row r="147" spans="1:129" ht="21" customHeight="1" thickBot="1" x14ac:dyDescent="0.35">
      <c r="B147" s="277">
        <v>10</v>
      </c>
      <c r="C147" s="278"/>
      <c r="D147" s="25">
        <v>0</v>
      </c>
      <c r="E147" s="279" t="s">
        <v>130</v>
      </c>
      <c r="F147" s="258"/>
      <c r="G147" s="258">
        <f t="shared" si="37"/>
        <v>0</v>
      </c>
      <c r="H147" s="506">
        <v>279.06049999999999</v>
      </c>
      <c r="I147" s="507">
        <v>79.962900599999998</v>
      </c>
      <c r="J147" s="474">
        <f t="shared" si="18"/>
        <v>79.962900599999998</v>
      </c>
      <c r="K147" s="474">
        <f t="shared" si="19"/>
        <v>39.981450299999999</v>
      </c>
      <c r="L147" s="474">
        <f t="shared" si="5"/>
        <v>0.64253956655634092</v>
      </c>
      <c r="M147" s="474">
        <f t="shared" si="6"/>
        <v>179.30741271299578</v>
      </c>
      <c r="N147" s="474">
        <f t="shared" si="7"/>
        <v>358.61482542599157</v>
      </c>
      <c r="O147" s="474">
        <f>+C138+D139+D140+D141+D142+D143+D144+D145+D146+(D147/2)</f>
        <v>0</v>
      </c>
      <c r="P147" s="474">
        <f t="shared" si="8"/>
        <v>0</v>
      </c>
      <c r="Q147" s="474">
        <f t="shared" si="9"/>
        <v>0</v>
      </c>
      <c r="R147" s="474">
        <f t="shared" si="20"/>
        <v>213.83080000000001</v>
      </c>
      <c r="S147" s="474">
        <f t="shared" si="33"/>
        <v>213.83080000000001</v>
      </c>
      <c r="T147" s="476">
        <f t="shared" si="10"/>
        <v>213.83080000000001</v>
      </c>
      <c r="V147" s="437">
        <f t="shared" si="11"/>
        <v>0</v>
      </c>
      <c r="W147" s="437"/>
      <c r="X147" s="437"/>
      <c r="Y147" s="437"/>
      <c r="Z147" s="437"/>
      <c r="AA147" s="437"/>
      <c r="AB147" s="477" t="str">
        <f t="shared" si="34"/>
        <v xml:space="preserve"> </v>
      </c>
      <c r="AC147" s="514" t="b">
        <f>IF(AD147=10,AF147)</f>
        <v>0</v>
      </c>
      <c r="AD147" s="514">
        <f t="shared" si="12"/>
        <v>1</v>
      </c>
      <c r="AE147" s="514">
        <f>IF(V147=0,0,10)</f>
        <v>0</v>
      </c>
      <c r="AF147" s="437">
        <f>SUM(V147:V157)/($B$135-B146)</f>
        <v>0</v>
      </c>
      <c r="AG147" s="437"/>
      <c r="AH147" s="450">
        <f>SUM(D139:D147)+$C$138</f>
        <v>0</v>
      </c>
      <c r="AI147" s="516" t="b">
        <f t="shared" si="21"/>
        <v>0</v>
      </c>
      <c r="AJ147" s="287">
        <f t="shared" si="22"/>
        <v>66.255548399999995</v>
      </c>
      <c r="AK147" s="441">
        <f t="shared" si="13"/>
        <v>0.91535047595051022</v>
      </c>
      <c r="AL147" s="289">
        <f t="shared" si="23"/>
        <v>278.56028065668761</v>
      </c>
      <c r="AM147" s="287">
        <f t="shared" si="24"/>
        <v>50.018549700000001</v>
      </c>
      <c r="AN147" s="442">
        <f t="shared" si="25"/>
        <v>0.76625250760411079</v>
      </c>
      <c r="AO147" s="291">
        <f t="shared" si="26"/>
        <v>213.83080789825695</v>
      </c>
      <c r="AP147" s="519">
        <f t="shared" si="14"/>
        <v>-297.30962375393938</v>
      </c>
      <c r="AQ147" s="291">
        <f t="shared" si="35"/>
        <v>-324</v>
      </c>
      <c r="AR147" s="519">
        <f t="shared" si="15"/>
        <v>-122.7</v>
      </c>
      <c r="AS147" s="444">
        <f t="shared" si="27"/>
        <v>492.39108855494453</v>
      </c>
      <c r="AT147" s="445">
        <f t="shared" si="36"/>
        <v>-213.83080789825695</v>
      </c>
      <c r="AU147" s="446">
        <f t="shared" si="28"/>
        <v>-83.478815855682427</v>
      </c>
      <c r="AV147" s="445"/>
      <c r="AW147" s="447">
        <f t="shared" si="29"/>
        <v>-143.50226662012236</v>
      </c>
      <c r="AX147" s="447">
        <f t="shared" si="30"/>
        <v>20.802266620122356</v>
      </c>
      <c r="AY147" s="448">
        <f t="shared" si="16"/>
        <v>-80.834960124409704</v>
      </c>
      <c r="AZ147" s="448">
        <f t="shared" si="17"/>
        <v>480.71684603478951</v>
      </c>
      <c r="BA147" s="451">
        <f t="shared" si="31"/>
        <v>80.834960124409704</v>
      </c>
      <c r="BB147" s="451">
        <f t="shared" si="31"/>
        <v>480.71684603478951</v>
      </c>
      <c r="BC147">
        <f t="shared" si="32"/>
        <v>0</v>
      </c>
      <c r="BM147" s="214"/>
      <c r="BN147" s="214"/>
      <c r="BO147" s="214"/>
    </row>
    <row r="148" spans="1:129" ht="21" customHeight="1" thickBot="1" x14ac:dyDescent="0.35">
      <c r="A148" s="296"/>
      <c r="B148" s="277">
        <v>11</v>
      </c>
      <c r="C148" s="278"/>
      <c r="D148" s="25">
        <v>3</v>
      </c>
      <c r="E148" s="279" t="s">
        <v>130</v>
      </c>
      <c r="F148" s="258"/>
      <c r="G148" s="258">
        <f t="shared" si="37"/>
        <v>3</v>
      </c>
      <c r="H148" s="506">
        <v>279.06049999999999</v>
      </c>
      <c r="I148" s="507">
        <v>79.962900599999998</v>
      </c>
      <c r="J148" s="474">
        <f t="shared" si="18"/>
        <v>76.962900599999998</v>
      </c>
      <c r="K148" s="474">
        <f t="shared" si="19"/>
        <v>38.481450299999999</v>
      </c>
      <c r="L148" s="474">
        <f t="shared" si="5"/>
        <v>0.62226123201233485</v>
      </c>
      <c r="M148" s="474">
        <f t="shared" si="6"/>
        <v>173.64853053597815</v>
      </c>
      <c r="N148" s="474">
        <f t="shared" si="7"/>
        <v>347.29706107195631</v>
      </c>
      <c r="O148" s="474">
        <f>+C138+D139+D140+D141+D142+D143+D144+D145+D146+D147+(D148/2)</f>
        <v>1.5</v>
      </c>
      <c r="P148" s="474">
        <f t="shared" si="8"/>
        <v>2.6176948307873125E-2</v>
      </c>
      <c r="Q148" s="474">
        <f t="shared" si="9"/>
        <v>9.091177215156856</v>
      </c>
      <c r="R148" s="474">
        <f t="shared" si="20"/>
        <v>213.83080000000001</v>
      </c>
      <c r="S148" s="474">
        <f t="shared" si="33"/>
        <v>222.92197721515686</v>
      </c>
      <c r="T148" s="476">
        <f t="shared" si="10"/>
        <v>222.92197721515686</v>
      </c>
      <c r="V148" s="437">
        <f t="shared" si="11"/>
        <v>0</v>
      </c>
      <c r="W148" s="437"/>
      <c r="X148" s="437"/>
      <c r="Y148" s="437"/>
      <c r="Z148" s="437"/>
      <c r="AA148" s="437"/>
      <c r="AB148" s="477" t="str">
        <f t="shared" si="34"/>
        <v xml:space="preserve"> </v>
      </c>
      <c r="AC148" s="514" t="b">
        <f>IF(AD148=11,AF148)</f>
        <v>0</v>
      </c>
      <c r="AD148" s="514">
        <f t="shared" si="12"/>
        <v>1</v>
      </c>
      <c r="AE148" s="514">
        <f>IF(V148=0,0,11)</f>
        <v>0</v>
      </c>
      <c r="AF148" s="437">
        <f>SUM(V148:V157)/($B$135-B147)</f>
        <v>0</v>
      </c>
      <c r="AG148" s="437"/>
      <c r="AH148" s="450">
        <f>SUM(D139:D148)+$C$138</f>
        <v>3</v>
      </c>
      <c r="AI148" s="516" t="b">
        <f t="shared" si="21"/>
        <v>0</v>
      </c>
      <c r="AJ148" s="287">
        <f t="shared" si="22"/>
        <v>63.255548399999995</v>
      </c>
      <c r="AK148" s="441">
        <f t="shared" si="13"/>
        <v>0.89302252578859875</v>
      </c>
      <c r="AL148" s="289">
        <f t="shared" si="23"/>
        <v>271.76541876825956</v>
      </c>
      <c r="AM148" s="287">
        <f t="shared" si="24"/>
        <v>53.018549700000001</v>
      </c>
      <c r="AN148" s="442">
        <f t="shared" si="25"/>
        <v>0.79883030781287157</v>
      </c>
      <c r="AO148" s="291">
        <f t="shared" si="26"/>
        <v>222.92198511341383</v>
      </c>
      <c r="AP148" s="519">
        <f t="shared" si="14"/>
        <v>-223.52874285911989</v>
      </c>
      <c r="AQ148" s="291">
        <f t="shared" si="35"/>
        <v>-364.5</v>
      </c>
      <c r="AR148" s="519">
        <f t="shared" si="15"/>
        <v>-163.19999999999999</v>
      </c>
      <c r="AS148" s="444">
        <f t="shared" si="27"/>
        <v>494.68740388167339</v>
      </c>
      <c r="AT148" s="445">
        <f t="shared" si="36"/>
        <v>-222.92198511341383</v>
      </c>
      <c r="AU148" s="446">
        <f t="shared" si="28"/>
        <v>-0.60675774570606222</v>
      </c>
      <c r="AV148" s="445"/>
      <c r="AW148" s="447">
        <f t="shared" si="29"/>
        <v>-163.40017260055993</v>
      </c>
      <c r="AX148" s="447">
        <f t="shared" si="30"/>
        <v>0.20017260055991862</v>
      </c>
      <c r="AY148" s="448">
        <f t="shared" si="16"/>
        <v>-70.991357079877716</v>
      </c>
      <c r="AZ148" s="448">
        <f t="shared" si="17"/>
        <v>49956.887066602569</v>
      </c>
      <c r="BA148" s="451">
        <f t="shared" si="31"/>
        <v>70.991357079877716</v>
      </c>
      <c r="BB148" s="451">
        <f t="shared" si="31"/>
        <v>49956.887066602569</v>
      </c>
      <c r="BC148">
        <f t="shared" si="32"/>
        <v>0</v>
      </c>
      <c r="BM148" s="214"/>
      <c r="BN148" s="214"/>
      <c r="BO148" s="214"/>
    </row>
    <row r="149" spans="1:129" ht="21" customHeight="1" thickBot="1" x14ac:dyDescent="0.35">
      <c r="A149" s="296"/>
      <c r="B149" s="277">
        <v>12</v>
      </c>
      <c r="C149" s="278"/>
      <c r="D149" s="25">
        <v>0</v>
      </c>
      <c r="E149" s="279" t="s">
        <v>130</v>
      </c>
      <c r="F149" s="258"/>
      <c r="G149" s="258">
        <f t="shared" si="37"/>
        <v>0.3</v>
      </c>
      <c r="H149" s="506">
        <v>279.06049999999999</v>
      </c>
      <c r="I149" s="507">
        <v>79.962900599999998</v>
      </c>
      <c r="J149" s="474">
        <f t="shared" si="18"/>
        <v>79.962900599999998</v>
      </c>
      <c r="K149" s="474">
        <f t="shared" si="19"/>
        <v>39.981450299999999</v>
      </c>
      <c r="L149" s="474">
        <f t="shared" si="5"/>
        <v>0.64253956655634092</v>
      </c>
      <c r="M149" s="474">
        <f t="shared" si="6"/>
        <v>179.30741271299578</v>
      </c>
      <c r="N149" s="474">
        <f t="shared" si="7"/>
        <v>358.61482542599157</v>
      </c>
      <c r="O149" s="474">
        <f>+C138+D139+D140+D141+D142+D143+D144+D145+D146+D147+D148+(D149/2)</f>
        <v>3</v>
      </c>
      <c r="P149" s="474">
        <f t="shared" si="8"/>
        <v>5.2335956242943779E-2</v>
      </c>
      <c r="Q149" s="474">
        <f t="shared" si="9"/>
        <v>18.768449811565617</v>
      </c>
      <c r="R149" s="474">
        <f t="shared" si="20"/>
        <v>222.92197721515686</v>
      </c>
      <c r="S149" s="474">
        <f t="shared" si="33"/>
        <v>241.69042702672249</v>
      </c>
      <c r="T149" s="476">
        <f t="shared" si="10"/>
        <v>241.69042702672249</v>
      </c>
      <c r="V149" s="437">
        <f t="shared" si="11"/>
        <v>0</v>
      </c>
      <c r="W149" s="437"/>
      <c r="X149" s="437"/>
      <c r="Y149" s="437"/>
      <c r="Z149" s="437"/>
      <c r="AA149" s="437"/>
      <c r="AB149" s="477" t="str">
        <f t="shared" si="34"/>
        <v>use the locking pin</v>
      </c>
      <c r="AC149" s="514" t="b">
        <f>IF(AD149=12,AF149)</f>
        <v>0</v>
      </c>
      <c r="AD149" s="514">
        <f t="shared" si="12"/>
        <v>1</v>
      </c>
      <c r="AE149" s="514">
        <f>IF(V149=0,0,12)</f>
        <v>0</v>
      </c>
      <c r="AF149" s="437">
        <f>SUM(V149:V157)/($B$135-B148)</f>
        <v>0</v>
      </c>
      <c r="AG149" s="437"/>
      <c r="AH149" s="450">
        <f>SUM(D139:D149)+$C$138</f>
        <v>3</v>
      </c>
      <c r="AI149" s="516" t="b">
        <f t="shared" si="21"/>
        <v>0</v>
      </c>
      <c r="AJ149" s="287">
        <f t="shared" si="22"/>
        <v>63.255548399999995</v>
      </c>
      <c r="AK149" s="441">
        <f t="shared" si="13"/>
        <v>0.89302252578859875</v>
      </c>
      <c r="AL149" s="289">
        <f t="shared" si="23"/>
        <v>271.76541876825956</v>
      </c>
      <c r="AM149" s="287">
        <f t="shared" si="24"/>
        <v>53.018549700000001</v>
      </c>
      <c r="AN149" s="442">
        <f t="shared" si="25"/>
        <v>0.79883030781287157</v>
      </c>
      <c r="AO149" s="291">
        <f t="shared" si="26"/>
        <v>222.92198511341383</v>
      </c>
      <c r="AP149" s="519">
        <f t="shared" si="14"/>
        <v>-179.08635657637882</v>
      </c>
      <c r="AQ149" s="291">
        <f t="shared" si="35"/>
        <v>-405</v>
      </c>
      <c r="AR149" s="519">
        <f t="shared" si="15"/>
        <v>-203.7</v>
      </c>
      <c r="AS149" s="444">
        <f t="shared" si="27"/>
        <v>494.68740388167339</v>
      </c>
      <c r="AT149" s="445">
        <f t="shared" si="36"/>
        <v>-222.92198511341383</v>
      </c>
      <c r="AU149" s="446">
        <f t="shared" si="28"/>
        <v>43.835628537035007</v>
      </c>
      <c r="AV149" s="445"/>
      <c r="AW149" s="447">
        <f t="shared" si="29"/>
        <v>-185.64957570593432</v>
      </c>
      <c r="AX149" s="447">
        <f t="shared" si="30"/>
        <v>-18.050424294065664</v>
      </c>
      <c r="AY149" s="448">
        <f t="shared" si="16"/>
        <v>-62.483310052774897</v>
      </c>
      <c r="AZ149" s="448">
        <f t="shared" si="17"/>
        <v>-554.00359775961851</v>
      </c>
      <c r="BA149" s="451">
        <f t="shared" si="31"/>
        <v>62.483310052774897</v>
      </c>
      <c r="BB149" s="451">
        <f t="shared" si="31"/>
        <v>554.00359775961851</v>
      </c>
      <c r="BC149">
        <f t="shared" si="32"/>
        <v>0.3</v>
      </c>
      <c r="BM149" s="214"/>
      <c r="BN149" s="214"/>
      <c r="BO149" s="214"/>
    </row>
    <row r="150" spans="1:129" ht="21" customHeight="1" thickBot="1" x14ac:dyDescent="0.35">
      <c r="B150" s="277">
        <v>13</v>
      </c>
      <c r="C150" s="278"/>
      <c r="D150" s="25">
        <v>0</v>
      </c>
      <c r="E150" s="279" t="s">
        <v>130</v>
      </c>
      <c r="F150" s="258"/>
      <c r="G150" s="258">
        <f t="shared" si="37"/>
        <v>0.3</v>
      </c>
      <c r="H150" s="506">
        <v>279.06049999999999</v>
      </c>
      <c r="I150" s="507">
        <v>79.962900599999998</v>
      </c>
      <c r="J150" s="474">
        <f t="shared" si="18"/>
        <v>79.962900599999998</v>
      </c>
      <c r="K150" s="474">
        <f t="shared" si="19"/>
        <v>39.981450299999999</v>
      </c>
      <c r="L150" s="474">
        <f t="shared" si="5"/>
        <v>0.64253956655634092</v>
      </c>
      <c r="M150" s="474">
        <f t="shared" si="6"/>
        <v>179.30741271299578</v>
      </c>
      <c r="N150" s="474">
        <f t="shared" si="7"/>
        <v>358.61482542599157</v>
      </c>
      <c r="O150" s="474">
        <f>+C138+D139+D140+D141+D142+D143+D144+D145+D146+D147+D148+D149+(D150/2)</f>
        <v>3</v>
      </c>
      <c r="P150" s="474">
        <f t="shared" si="8"/>
        <v>5.2335956242943779E-2</v>
      </c>
      <c r="Q150" s="474">
        <f t="shared" si="9"/>
        <v>18.768449811565617</v>
      </c>
      <c r="R150" s="474">
        <f t="shared" si="20"/>
        <v>241.69042702672249</v>
      </c>
      <c r="S150" s="474">
        <f t="shared" si="33"/>
        <v>260.45887683828812</v>
      </c>
      <c r="T150" s="476">
        <f t="shared" si="10"/>
        <v>260.45887683828812</v>
      </c>
      <c r="V150" s="437">
        <f t="shared" si="11"/>
        <v>0</v>
      </c>
      <c r="W150" s="437"/>
      <c r="X150" s="437"/>
      <c r="Y150" s="437"/>
      <c r="Z150" s="437"/>
      <c r="AA150" s="437"/>
      <c r="AB150" s="477" t="str">
        <f t="shared" si="34"/>
        <v>use the locking pin</v>
      </c>
      <c r="AC150" s="514" t="b">
        <f>IF(AD150=13,AF150)</f>
        <v>0</v>
      </c>
      <c r="AD150" s="514">
        <f t="shared" si="12"/>
        <v>1</v>
      </c>
      <c r="AE150" s="514">
        <f>IF(V150=0,0,13)</f>
        <v>0</v>
      </c>
      <c r="AF150" s="437">
        <f>SUM(V150:V157)/($B$135-B149)</f>
        <v>0</v>
      </c>
      <c r="AG150" s="437"/>
      <c r="AH150" s="450">
        <f>SUM(D139:D150)+$C$138</f>
        <v>3</v>
      </c>
      <c r="AI150" s="516" t="b">
        <f t="shared" si="21"/>
        <v>0</v>
      </c>
      <c r="AJ150" s="287">
        <f t="shared" si="22"/>
        <v>63.255548399999995</v>
      </c>
      <c r="AK150" s="441">
        <f t="shared" si="13"/>
        <v>0.89302252578859875</v>
      </c>
      <c r="AL150" s="289">
        <f t="shared" si="23"/>
        <v>271.76541876825956</v>
      </c>
      <c r="AM150" s="287">
        <f t="shared" si="24"/>
        <v>53.018549700000001</v>
      </c>
      <c r="AN150" s="442">
        <f t="shared" si="25"/>
        <v>0.79883030781287157</v>
      </c>
      <c r="AO150" s="291">
        <f t="shared" si="26"/>
        <v>222.92198511341383</v>
      </c>
      <c r="AP150" s="519">
        <f t="shared" si="14"/>
        <v>-149.3853023530236</v>
      </c>
      <c r="AQ150" s="291">
        <f t="shared" si="35"/>
        <v>-445.5</v>
      </c>
      <c r="AR150" s="519">
        <f t="shared" si="15"/>
        <v>-244.2</v>
      </c>
      <c r="AS150" s="444">
        <f t="shared" si="27"/>
        <v>494.68740388167339</v>
      </c>
      <c r="AT150" s="445">
        <f t="shared" si="36"/>
        <v>-222.92198511341383</v>
      </c>
      <c r="AU150" s="446">
        <f t="shared" si="28"/>
        <v>73.536682760390221</v>
      </c>
      <c r="AV150" s="445"/>
      <c r="AW150" s="447">
        <f t="shared" si="29"/>
        <v>-207.89897881130872</v>
      </c>
      <c r="AX150" s="447">
        <f t="shared" si="30"/>
        <v>-36.301021188691251</v>
      </c>
      <c r="AY150" s="448">
        <f t="shared" si="16"/>
        <v>-55.796329863304813</v>
      </c>
      <c r="AZ150" s="448">
        <f t="shared" si="17"/>
        <v>-275.47434404173924</v>
      </c>
      <c r="BA150" s="451">
        <f t="shared" si="31"/>
        <v>55.796329863304813</v>
      </c>
      <c r="BB150" s="451">
        <f t="shared" si="31"/>
        <v>275.47434404173924</v>
      </c>
      <c r="BC150">
        <f t="shared" si="32"/>
        <v>0.3</v>
      </c>
      <c r="BM150" s="214"/>
      <c r="BN150" s="214"/>
      <c r="BO150" s="214"/>
      <c r="DE150" s="126"/>
    </row>
    <row r="151" spans="1:129" ht="21" customHeight="1" thickBot="1" x14ac:dyDescent="0.35">
      <c r="B151" s="277">
        <v>14</v>
      </c>
      <c r="C151" s="278"/>
      <c r="D151" s="25">
        <v>0</v>
      </c>
      <c r="E151" s="279" t="s">
        <v>130</v>
      </c>
      <c r="F151" s="258"/>
      <c r="G151" s="258">
        <f t="shared" si="37"/>
        <v>0.3</v>
      </c>
      <c r="H151" s="506">
        <v>279.06049999999999</v>
      </c>
      <c r="I151" s="507">
        <v>79.962900599999998</v>
      </c>
      <c r="J151" s="474">
        <f t="shared" si="18"/>
        <v>79.962900599999998</v>
      </c>
      <c r="K151" s="474">
        <f t="shared" si="19"/>
        <v>39.981450299999999</v>
      </c>
      <c r="L151" s="474">
        <f t="shared" si="5"/>
        <v>0.64253956655634092</v>
      </c>
      <c r="M151" s="474">
        <f t="shared" si="6"/>
        <v>179.30741271299578</v>
      </c>
      <c r="N151" s="474">
        <f t="shared" si="7"/>
        <v>358.61482542599157</v>
      </c>
      <c r="O151" s="474">
        <f>+C138+D139+D140+D141+D142+D143+D144+D145+D146+D147+D148+D149+D150+(D151/2)</f>
        <v>3</v>
      </c>
      <c r="P151" s="474">
        <f t="shared" si="8"/>
        <v>5.2335956242943779E-2</v>
      </c>
      <c r="Q151" s="474">
        <f t="shared" si="9"/>
        <v>18.768449811565617</v>
      </c>
      <c r="R151" s="474">
        <f t="shared" si="20"/>
        <v>260.45887683828812</v>
      </c>
      <c r="S151" s="474">
        <f t="shared" si="33"/>
        <v>279.22732664985375</v>
      </c>
      <c r="T151" s="476">
        <f t="shared" si="10"/>
        <v>279.22732664985375</v>
      </c>
      <c r="V151" s="437">
        <f t="shared" si="11"/>
        <v>0</v>
      </c>
      <c r="W151" s="437"/>
      <c r="X151" s="437"/>
      <c r="Y151" s="437"/>
      <c r="Z151" s="437"/>
      <c r="AA151" s="437"/>
      <c r="AB151" s="477" t="str">
        <f t="shared" si="34"/>
        <v>use the locking pin</v>
      </c>
      <c r="AC151" s="514" t="b">
        <f>IF(AD151=14,AF151)</f>
        <v>0</v>
      </c>
      <c r="AD151" s="514">
        <f t="shared" si="12"/>
        <v>1</v>
      </c>
      <c r="AE151" s="514">
        <f>IF(V151=0,0,14)</f>
        <v>0</v>
      </c>
      <c r="AF151" s="437">
        <f>SUM(V151:V157)/($B$135-B150)</f>
        <v>0</v>
      </c>
      <c r="AG151" s="437"/>
      <c r="AH151" s="450">
        <f>SUM(D139:D151)+$C$138</f>
        <v>3</v>
      </c>
      <c r="AI151" s="516" t="b">
        <f t="shared" si="21"/>
        <v>0</v>
      </c>
      <c r="AJ151" s="287">
        <f t="shared" si="22"/>
        <v>63.255548399999995</v>
      </c>
      <c r="AK151" s="441">
        <f t="shared" si="13"/>
        <v>0.89302252578859875</v>
      </c>
      <c r="AL151" s="289">
        <f t="shared" si="23"/>
        <v>271.76541876825956</v>
      </c>
      <c r="AM151" s="287">
        <f t="shared" si="24"/>
        <v>53.018549700000001</v>
      </c>
      <c r="AN151" s="442">
        <f t="shared" si="25"/>
        <v>0.79883030781287157</v>
      </c>
      <c r="AO151" s="291">
        <f t="shared" si="26"/>
        <v>222.92198511341383</v>
      </c>
      <c r="AP151" s="519">
        <f t="shared" si="14"/>
        <v>-128.1344953797273</v>
      </c>
      <c r="AQ151" s="291">
        <f t="shared" si="35"/>
        <v>-486</v>
      </c>
      <c r="AR151" s="519">
        <f t="shared" si="15"/>
        <v>-284.7</v>
      </c>
      <c r="AS151" s="444">
        <f t="shared" si="27"/>
        <v>494.68740388167339</v>
      </c>
      <c r="AT151" s="445">
        <f t="shared" si="36"/>
        <v>-222.92198511341383</v>
      </c>
      <c r="AU151" s="446">
        <f t="shared" si="28"/>
        <v>94.787489733686527</v>
      </c>
      <c r="AV151" s="445"/>
      <c r="AW151" s="447">
        <f t="shared" si="29"/>
        <v>-230.14838191668315</v>
      </c>
      <c r="AX151" s="447">
        <f t="shared" si="30"/>
        <v>-54.551618083316839</v>
      </c>
      <c r="AY151" s="448">
        <f t="shared" si="16"/>
        <v>-50.402266152795974</v>
      </c>
      <c r="AZ151" s="448">
        <f t="shared" si="17"/>
        <v>-183.31261933838465</v>
      </c>
      <c r="BA151" s="451">
        <f t="shared" si="31"/>
        <v>50.402266152795974</v>
      </c>
      <c r="BB151" s="451">
        <f t="shared" si="31"/>
        <v>183.31261933838465</v>
      </c>
      <c r="BC151">
        <f t="shared" si="32"/>
        <v>0.3</v>
      </c>
      <c r="BM151" s="214"/>
      <c r="BN151" s="214"/>
      <c r="BO151" s="214"/>
      <c r="DE151" s="126"/>
    </row>
    <row r="152" spans="1:129" ht="21" customHeight="1" thickBot="1" x14ac:dyDescent="0.35">
      <c r="B152" s="277">
        <v>15</v>
      </c>
      <c r="C152" s="278"/>
      <c r="D152" s="25">
        <v>0</v>
      </c>
      <c r="E152" s="279" t="s">
        <v>130</v>
      </c>
      <c r="F152" s="258"/>
      <c r="G152" s="258">
        <f t="shared" si="37"/>
        <v>0.3</v>
      </c>
      <c r="H152" s="506">
        <v>279.06049999999999</v>
      </c>
      <c r="I152" s="507">
        <v>79.962900599999998</v>
      </c>
      <c r="J152" s="474">
        <f t="shared" si="18"/>
        <v>79.962900599999998</v>
      </c>
      <c r="K152" s="474">
        <f t="shared" si="19"/>
        <v>39.981450299999999</v>
      </c>
      <c r="L152" s="474">
        <f t="shared" si="5"/>
        <v>0.64253956655634092</v>
      </c>
      <c r="M152" s="474">
        <f t="shared" si="6"/>
        <v>179.30741271299578</v>
      </c>
      <c r="N152" s="474">
        <f t="shared" si="7"/>
        <v>358.61482542599157</v>
      </c>
      <c r="O152" s="474">
        <f>+C138+D139+D140+D141+D142+D143+D144+D145+D146+D147+D148+D149+D150+D151+(D152/2)</f>
        <v>3</v>
      </c>
      <c r="P152" s="474">
        <f t="shared" si="8"/>
        <v>5.2335956242943779E-2</v>
      </c>
      <c r="Q152" s="474">
        <f t="shared" si="9"/>
        <v>18.768449811565617</v>
      </c>
      <c r="R152" s="474">
        <f t="shared" si="20"/>
        <v>279.22732664985375</v>
      </c>
      <c r="S152" s="474">
        <f t="shared" si="33"/>
        <v>297.99577646141938</v>
      </c>
      <c r="T152" s="476">
        <f t="shared" si="10"/>
        <v>297.99577646141938</v>
      </c>
      <c r="V152" s="437">
        <f t="shared" si="11"/>
        <v>0</v>
      </c>
      <c r="W152" s="437"/>
      <c r="X152" s="437"/>
      <c r="Y152" s="437"/>
      <c r="Z152" s="437"/>
      <c r="AA152" s="437"/>
      <c r="AB152" s="477" t="str">
        <f t="shared" si="34"/>
        <v>use the locking pin</v>
      </c>
      <c r="AC152" s="514" t="b">
        <f>IF(AD152=15,AF152)</f>
        <v>0</v>
      </c>
      <c r="AD152" s="514">
        <f t="shared" si="12"/>
        <v>1</v>
      </c>
      <c r="AE152" s="514">
        <f>IF(V152=0,0,15)</f>
        <v>0</v>
      </c>
      <c r="AF152" s="437">
        <f>SUM(V152:V157)/($B$135-B151)</f>
        <v>0</v>
      </c>
      <c r="AG152" s="437"/>
      <c r="AH152" s="450">
        <f>SUM(D139:D152)+$C$138</f>
        <v>3</v>
      </c>
      <c r="AI152" s="516" t="b">
        <f t="shared" si="21"/>
        <v>0</v>
      </c>
      <c r="AJ152" s="287">
        <f t="shared" si="22"/>
        <v>63.255548399999995</v>
      </c>
      <c r="AK152" s="441">
        <f t="shared" si="13"/>
        <v>0.89302252578859875</v>
      </c>
      <c r="AL152" s="289">
        <f t="shared" si="23"/>
        <v>271.76541876825956</v>
      </c>
      <c r="AM152" s="287">
        <f t="shared" si="24"/>
        <v>53.018549700000001</v>
      </c>
      <c r="AN152" s="442">
        <f t="shared" si="25"/>
        <v>0.79883030781287157</v>
      </c>
      <c r="AO152" s="291">
        <f t="shared" si="26"/>
        <v>222.92198511341383</v>
      </c>
      <c r="AP152" s="519">
        <f t="shared" si="14"/>
        <v>-112.17678608428156</v>
      </c>
      <c r="AQ152" s="291">
        <f t="shared" si="35"/>
        <v>-526.5</v>
      </c>
      <c r="AR152" s="519">
        <f t="shared" si="15"/>
        <v>-325.2</v>
      </c>
      <c r="AS152" s="444">
        <f t="shared" si="27"/>
        <v>494.68740388167339</v>
      </c>
      <c r="AT152" s="445">
        <f t="shared" si="36"/>
        <v>-222.92198511341383</v>
      </c>
      <c r="AU152" s="446">
        <f t="shared" si="28"/>
        <v>110.74519902913227</v>
      </c>
      <c r="AV152" s="445"/>
      <c r="AW152" s="447">
        <f t="shared" si="29"/>
        <v>-252.39778502205758</v>
      </c>
      <c r="AX152" s="447">
        <f t="shared" si="30"/>
        <v>-72.802214977942413</v>
      </c>
      <c r="AY152" s="448">
        <f t="shared" si="16"/>
        <v>-45.959198885149689</v>
      </c>
      <c r="AZ152" s="448">
        <f t="shared" si="17"/>
        <v>-137.35845815995842</v>
      </c>
      <c r="BA152" s="451">
        <f t="shared" si="31"/>
        <v>45.959198885149689</v>
      </c>
      <c r="BB152" s="451">
        <f t="shared" si="31"/>
        <v>137.35845815995842</v>
      </c>
      <c r="BC152">
        <f t="shared" si="32"/>
        <v>0.3</v>
      </c>
      <c r="BM152" s="214"/>
      <c r="BN152" s="214"/>
      <c r="BO152" s="214"/>
      <c r="DE152" s="126"/>
    </row>
    <row r="153" spans="1:129" ht="21" customHeight="1" thickBot="1" x14ac:dyDescent="0.35">
      <c r="B153" s="277">
        <v>16</v>
      </c>
      <c r="C153" s="278"/>
      <c r="D153" s="25">
        <v>0</v>
      </c>
      <c r="E153" s="279" t="s">
        <v>130</v>
      </c>
      <c r="F153" s="258"/>
      <c r="G153" s="258">
        <f t="shared" si="37"/>
        <v>0.3</v>
      </c>
      <c r="H153" s="506">
        <v>279.06049999999999</v>
      </c>
      <c r="I153" s="507">
        <v>79.962900599999998</v>
      </c>
      <c r="J153" s="474">
        <f t="shared" si="18"/>
        <v>79.962900599999998</v>
      </c>
      <c r="K153" s="474">
        <f t="shared" si="19"/>
        <v>39.981450299999999</v>
      </c>
      <c r="L153" s="474">
        <f t="shared" si="5"/>
        <v>0.64253956655634092</v>
      </c>
      <c r="M153" s="474">
        <f t="shared" si="6"/>
        <v>179.30741271299578</v>
      </c>
      <c r="N153" s="474">
        <f t="shared" si="7"/>
        <v>358.61482542599157</v>
      </c>
      <c r="O153" s="474">
        <f>+C138+D139+D140+D141+D142+D143+D144+D145+D146+D147+D148+D149+D150+D151+D152+(D153/2)</f>
        <v>3</v>
      </c>
      <c r="P153" s="474">
        <f t="shared" si="8"/>
        <v>5.2335956242943779E-2</v>
      </c>
      <c r="Q153" s="474">
        <f t="shared" si="9"/>
        <v>18.768449811565617</v>
      </c>
      <c r="R153" s="474">
        <f t="shared" si="20"/>
        <v>297.99577646141938</v>
      </c>
      <c r="S153" s="474">
        <f t="shared" si="33"/>
        <v>316.76422627298501</v>
      </c>
      <c r="T153" s="476">
        <f t="shared" si="10"/>
        <v>316.76422627298501</v>
      </c>
      <c r="V153" s="437">
        <f t="shared" si="11"/>
        <v>0</v>
      </c>
      <c r="W153" s="437"/>
      <c r="X153" s="437"/>
      <c r="Y153" s="437"/>
      <c r="Z153" s="437"/>
      <c r="AA153" s="437"/>
      <c r="AB153" s="477" t="str">
        <f t="shared" si="34"/>
        <v>use the locking pin</v>
      </c>
      <c r="AC153" s="514" t="b">
        <f>IF(AD153=16,AF153)</f>
        <v>0</v>
      </c>
      <c r="AD153" s="514">
        <f t="shared" si="12"/>
        <v>1</v>
      </c>
      <c r="AE153" s="514">
        <f>IF(V153=0,0,16)</f>
        <v>0</v>
      </c>
      <c r="AF153" s="437">
        <f>SUM(V153:V157)/($B$135-B152)</f>
        <v>0</v>
      </c>
      <c r="AG153" s="437"/>
      <c r="AH153" s="450">
        <f>SUM(D139:D153)+$C$138</f>
        <v>3</v>
      </c>
      <c r="AI153" s="516" t="b">
        <f t="shared" si="21"/>
        <v>0</v>
      </c>
      <c r="AJ153" s="287">
        <f t="shared" si="22"/>
        <v>63.255548399999995</v>
      </c>
      <c r="AK153" s="441">
        <f t="shared" si="13"/>
        <v>0.89302252578859875</v>
      </c>
      <c r="AL153" s="289">
        <f t="shared" si="23"/>
        <v>271.76541876825956</v>
      </c>
      <c r="AM153" s="287">
        <f t="shared" si="24"/>
        <v>53.018549700000001</v>
      </c>
      <c r="AN153" s="442">
        <f t="shared" si="25"/>
        <v>0.79883030781287157</v>
      </c>
      <c r="AO153" s="291">
        <f t="shared" si="26"/>
        <v>222.92198511341383</v>
      </c>
      <c r="AP153" s="519">
        <f t="shared" si="14"/>
        <v>-99.753598125809035</v>
      </c>
      <c r="AQ153" s="291">
        <f t="shared" si="35"/>
        <v>-567</v>
      </c>
      <c r="AR153" s="519">
        <f t="shared" si="15"/>
        <v>-365.7</v>
      </c>
      <c r="AS153" s="444">
        <f t="shared" si="27"/>
        <v>494.68740388167339</v>
      </c>
      <c r="AT153" s="445">
        <f t="shared" si="36"/>
        <v>-222.92198511341383</v>
      </c>
      <c r="AU153" s="446">
        <f t="shared" si="28"/>
        <v>123.16838698760479</v>
      </c>
      <c r="AV153" s="445"/>
      <c r="AW153" s="447">
        <f t="shared" si="29"/>
        <v>-274.647188127432</v>
      </c>
      <c r="AX153" s="447">
        <f t="shared" si="30"/>
        <v>-91.052811872568</v>
      </c>
      <c r="AY153" s="448">
        <f t="shared" si="16"/>
        <v>-42.236004959999015</v>
      </c>
      <c r="AZ153" s="448">
        <f t="shared" si="17"/>
        <v>-109.82637212780858</v>
      </c>
      <c r="BA153" s="451">
        <f t="shared" si="31"/>
        <v>42.236004959999015</v>
      </c>
      <c r="BB153" s="451">
        <f t="shared" si="31"/>
        <v>109.82637212780858</v>
      </c>
      <c r="BC153">
        <f t="shared" si="32"/>
        <v>0.3</v>
      </c>
      <c r="BM153" s="214"/>
      <c r="BN153" s="214"/>
      <c r="BO153" s="214"/>
      <c r="DE153" s="126"/>
    </row>
    <row r="154" spans="1:129" ht="21" customHeight="1" thickBot="1" x14ac:dyDescent="0.35">
      <c r="B154" s="277">
        <v>17</v>
      </c>
      <c r="C154" s="278"/>
      <c r="D154" s="25">
        <v>0</v>
      </c>
      <c r="E154" s="279" t="s">
        <v>130</v>
      </c>
      <c r="F154" s="258"/>
      <c r="G154" s="258">
        <f t="shared" si="37"/>
        <v>0.3</v>
      </c>
      <c r="H154" s="506">
        <v>279.06049999999999</v>
      </c>
      <c r="I154" s="507">
        <v>79.962900599999998</v>
      </c>
      <c r="J154" s="474">
        <f t="shared" si="18"/>
        <v>79.962900599999998</v>
      </c>
      <c r="K154" s="474">
        <f t="shared" si="19"/>
        <v>39.981450299999999</v>
      </c>
      <c r="L154" s="474">
        <f t="shared" si="5"/>
        <v>0.64253956655634092</v>
      </c>
      <c r="M154" s="474">
        <f t="shared" si="6"/>
        <v>179.30741271299578</v>
      </c>
      <c r="N154" s="474">
        <f t="shared" si="7"/>
        <v>358.61482542599157</v>
      </c>
      <c r="O154" s="474">
        <f>+C138+D139+D140+D141+D142+D143+D144+D145+D146+D147+D148+D149+D150+D151+D152+D153+(D154/2)</f>
        <v>3</v>
      </c>
      <c r="P154" s="474">
        <f t="shared" si="8"/>
        <v>5.2335956242943779E-2</v>
      </c>
      <c r="Q154" s="474">
        <f t="shared" si="9"/>
        <v>18.768449811565617</v>
      </c>
      <c r="R154" s="474">
        <f t="shared" si="20"/>
        <v>316.76422627298501</v>
      </c>
      <c r="S154" s="474">
        <f t="shared" si="33"/>
        <v>335.53267608455064</v>
      </c>
      <c r="T154" s="476">
        <f t="shared" si="10"/>
        <v>335.53267608455064</v>
      </c>
      <c r="V154" s="437">
        <f t="shared" si="11"/>
        <v>0</v>
      </c>
      <c r="W154" s="437"/>
      <c r="X154" s="437"/>
      <c r="Y154" s="437"/>
      <c r="Z154" s="437"/>
      <c r="AA154" s="437"/>
      <c r="AB154" s="477" t="str">
        <f t="shared" si="34"/>
        <v>use the locking pin</v>
      </c>
      <c r="AC154" s="514" t="b">
        <f>IF(AD154=17,AF154)</f>
        <v>0</v>
      </c>
      <c r="AD154" s="514">
        <f t="shared" si="12"/>
        <v>1</v>
      </c>
      <c r="AE154" s="514">
        <f>IF(V154=0,0,17)</f>
        <v>0</v>
      </c>
      <c r="AF154" s="437">
        <f>SUM(V154:V157)/($B$135-B153)</f>
        <v>0</v>
      </c>
      <c r="AG154" s="437"/>
      <c r="AH154" s="450">
        <f>SUM(D139:D154)+$C$138</f>
        <v>3</v>
      </c>
      <c r="AI154" s="516" t="b">
        <f t="shared" si="21"/>
        <v>0</v>
      </c>
      <c r="AJ154" s="287">
        <f t="shared" si="22"/>
        <v>63.255548399999995</v>
      </c>
      <c r="AK154" s="441">
        <f t="shared" si="13"/>
        <v>0.89302252578859875</v>
      </c>
      <c r="AL154" s="289">
        <f t="shared" si="23"/>
        <v>271.76541876825956</v>
      </c>
      <c r="AM154" s="287">
        <f t="shared" si="24"/>
        <v>53.018549700000001</v>
      </c>
      <c r="AN154" s="442">
        <f t="shared" si="25"/>
        <v>0.79883030781287157</v>
      </c>
      <c r="AO154" s="291">
        <f t="shared" si="26"/>
        <v>222.92198511341383</v>
      </c>
      <c r="AP154" s="519">
        <f t="shared" si="14"/>
        <v>-89.80770761843516</v>
      </c>
      <c r="AQ154" s="291">
        <f t="shared" si="35"/>
        <v>-607.5</v>
      </c>
      <c r="AR154" s="519">
        <f t="shared" si="15"/>
        <v>-406.2</v>
      </c>
      <c r="AS154" s="444">
        <f t="shared" si="27"/>
        <v>494.68740388167339</v>
      </c>
      <c r="AT154" s="445">
        <f t="shared" si="36"/>
        <v>-222.92198511341383</v>
      </c>
      <c r="AU154" s="446">
        <f t="shared" si="28"/>
        <v>133.11427749497867</v>
      </c>
      <c r="AV154" s="445"/>
      <c r="AW154" s="447">
        <f t="shared" si="29"/>
        <v>-296.89659123280643</v>
      </c>
      <c r="AX154" s="447">
        <f t="shared" si="30"/>
        <v>-109.30340876719357</v>
      </c>
      <c r="AY154" s="448">
        <f t="shared" si="16"/>
        <v>-39.07084265209383</v>
      </c>
      <c r="AZ154" s="448">
        <f t="shared" si="17"/>
        <v>-91.488455051745916</v>
      </c>
      <c r="BA154" s="451">
        <f t="shared" si="31"/>
        <v>39.07084265209383</v>
      </c>
      <c r="BB154" s="451">
        <f t="shared" si="31"/>
        <v>91.488455051745916</v>
      </c>
      <c r="BC154">
        <f t="shared" si="32"/>
        <v>0.3</v>
      </c>
      <c r="BD154" s="136"/>
      <c r="BM154" s="214"/>
      <c r="BN154" s="214"/>
      <c r="BO154" s="214"/>
      <c r="DF154" s="126"/>
      <c r="DG154" s="126"/>
      <c r="DH154" s="126"/>
      <c r="DI154" s="126"/>
      <c r="DJ154" s="126"/>
      <c r="DK154" s="126"/>
      <c r="DL154" s="203"/>
      <c r="DM154" s="203"/>
      <c r="DN154" s="203"/>
      <c r="DO154" s="203"/>
      <c r="DP154" s="203"/>
      <c r="DQ154" s="203"/>
      <c r="DR154" s="203"/>
      <c r="DS154" s="203"/>
      <c r="DT154" s="203"/>
      <c r="DU154" s="203"/>
      <c r="DV154" s="203"/>
      <c r="DW154" s="203"/>
      <c r="DX154" s="203"/>
      <c r="DY154" s="203"/>
    </row>
    <row r="155" spans="1:129" ht="21" customHeight="1" thickBot="1" x14ac:dyDescent="0.35">
      <c r="B155" s="277">
        <v>18</v>
      </c>
      <c r="C155" s="278"/>
      <c r="D155" s="25">
        <v>0</v>
      </c>
      <c r="E155" s="279" t="s">
        <v>130</v>
      </c>
      <c r="F155" s="258"/>
      <c r="G155" s="258">
        <f t="shared" si="37"/>
        <v>0.3</v>
      </c>
      <c r="H155" s="506">
        <v>279.06049999999999</v>
      </c>
      <c r="I155" s="507">
        <v>79.962900599999998</v>
      </c>
      <c r="J155" s="474">
        <f t="shared" si="18"/>
        <v>79.962900599999998</v>
      </c>
      <c r="K155" s="474">
        <f t="shared" si="19"/>
        <v>39.981450299999999</v>
      </c>
      <c r="L155" s="474">
        <f t="shared" si="5"/>
        <v>0.64253956655634092</v>
      </c>
      <c r="M155" s="474">
        <f t="shared" si="6"/>
        <v>179.30741271299578</v>
      </c>
      <c r="N155" s="474">
        <f t="shared" si="7"/>
        <v>358.61482542599157</v>
      </c>
      <c r="O155" s="474">
        <f>+C138+D139+D140+D141+D142+D143+D144+D145+D146+D147+D148+D149+D150+D151+D152+D153+D154+(D155/2)</f>
        <v>3</v>
      </c>
      <c r="P155" s="474">
        <f t="shared" si="8"/>
        <v>5.2335956242943779E-2</v>
      </c>
      <c r="Q155" s="474">
        <f t="shared" si="9"/>
        <v>18.768449811565617</v>
      </c>
      <c r="R155" s="474">
        <f t="shared" si="20"/>
        <v>335.53267608455064</v>
      </c>
      <c r="S155" s="474">
        <f t="shared" si="33"/>
        <v>354.30112589611628</v>
      </c>
      <c r="T155" s="476">
        <f t="shared" si="10"/>
        <v>354.30112589611628</v>
      </c>
      <c r="V155" s="437">
        <f t="shared" si="11"/>
        <v>0</v>
      </c>
      <c r="W155" s="437"/>
      <c r="X155" s="437"/>
      <c r="Y155" s="437"/>
      <c r="Z155" s="437"/>
      <c r="AA155" s="437"/>
      <c r="AB155" s="477" t="str">
        <f t="shared" si="34"/>
        <v>use the locking pin</v>
      </c>
      <c r="AC155" s="514" t="b">
        <f>IF(AD155=18,AF155)</f>
        <v>0</v>
      </c>
      <c r="AD155" s="514">
        <f t="shared" si="12"/>
        <v>1</v>
      </c>
      <c r="AE155" s="514">
        <f>IF(V155=0,0,18)</f>
        <v>0</v>
      </c>
      <c r="AF155" s="437">
        <f>SUM(V155:V157)/($B$135-B154)</f>
        <v>0</v>
      </c>
      <c r="AG155" s="437"/>
      <c r="AH155" s="450">
        <f>SUM(D139:D155)+$C$138</f>
        <v>3</v>
      </c>
      <c r="AI155" s="516" t="b">
        <f t="shared" si="21"/>
        <v>0</v>
      </c>
      <c r="AJ155" s="287">
        <f t="shared" si="22"/>
        <v>63.255548399999995</v>
      </c>
      <c r="AK155" s="441">
        <f t="shared" si="13"/>
        <v>0.89302252578859875</v>
      </c>
      <c r="AL155" s="289">
        <f t="shared" si="23"/>
        <v>271.76541876825956</v>
      </c>
      <c r="AM155" s="287">
        <f t="shared" si="24"/>
        <v>53.018549700000001</v>
      </c>
      <c r="AN155" s="442">
        <f t="shared" si="25"/>
        <v>0.79883030781287157</v>
      </c>
      <c r="AO155" s="291">
        <f t="shared" si="26"/>
        <v>222.92198511341383</v>
      </c>
      <c r="AP155" s="519">
        <f t="shared" si="14"/>
        <v>-81.665302965319825</v>
      </c>
      <c r="AQ155" s="291">
        <f t="shared" si="35"/>
        <v>-648</v>
      </c>
      <c r="AR155" s="519">
        <f t="shared" si="15"/>
        <v>-446.7</v>
      </c>
      <c r="AS155" s="444">
        <f t="shared" si="27"/>
        <v>494.68740388167339</v>
      </c>
      <c r="AT155" s="445">
        <f t="shared" si="36"/>
        <v>-222.92198511341383</v>
      </c>
      <c r="AU155" s="446">
        <f t="shared" si="28"/>
        <v>141.256682148094</v>
      </c>
      <c r="AV155" s="445"/>
      <c r="AW155" s="447">
        <f t="shared" si="29"/>
        <v>-319.14599433818086</v>
      </c>
      <c r="AX155" s="447">
        <f t="shared" si="30"/>
        <v>-127.55400566181916</v>
      </c>
      <c r="AY155" s="448">
        <f t="shared" si="16"/>
        <v>-36.347001703891479</v>
      </c>
      <c r="AZ155" s="448">
        <f t="shared" si="17"/>
        <v>-78.398165138872685</v>
      </c>
      <c r="BA155" s="451">
        <f t="shared" si="31"/>
        <v>36.347001703891479</v>
      </c>
      <c r="BB155" s="451">
        <f t="shared" si="31"/>
        <v>78.398165138872685</v>
      </c>
      <c r="BC155">
        <f t="shared" si="32"/>
        <v>0.3</v>
      </c>
      <c r="BD155" s="458"/>
      <c r="BM155" s="214"/>
      <c r="BN155" s="214"/>
      <c r="BO155" s="214"/>
      <c r="DF155" s="126"/>
      <c r="DG155" s="126"/>
      <c r="DH155" s="126"/>
      <c r="DI155" s="126"/>
      <c r="DJ155" s="126"/>
      <c r="DK155" s="126"/>
      <c r="DL155" s="203"/>
      <c r="DM155" s="203"/>
      <c r="DN155" s="203"/>
      <c r="DO155" s="203"/>
      <c r="DP155" s="203"/>
      <c r="DQ155" s="203"/>
      <c r="DR155" s="203"/>
      <c r="DS155" s="203"/>
      <c r="DT155" s="203"/>
      <c r="DU155" s="203"/>
      <c r="DV155" s="203"/>
      <c r="DW155" s="203"/>
      <c r="DX155" s="203"/>
      <c r="DY155" s="203"/>
    </row>
    <row r="156" spans="1:129" ht="21" customHeight="1" thickBot="1" x14ac:dyDescent="0.35">
      <c r="B156" s="277">
        <v>19</v>
      </c>
      <c r="C156" s="524"/>
      <c r="D156" s="29">
        <v>0</v>
      </c>
      <c r="E156" s="279" t="s">
        <v>130</v>
      </c>
      <c r="F156" s="525"/>
      <c r="G156" s="525">
        <f t="shared" si="37"/>
        <v>0.3</v>
      </c>
      <c r="H156" s="506">
        <v>279.06049999999999</v>
      </c>
      <c r="I156" s="507">
        <v>79.962900599999998</v>
      </c>
      <c r="J156" s="526">
        <f t="shared" si="18"/>
        <v>79.962900599999998</v>
      </c>
      <c r="K156" s="526">
        <f t="shared" si="19"/>
        <v>39.981450299999999</v>
      </c>
      <c r="L156" s="526">
        <f t="shared" si="5"/>
        <v>0.64253956655634092</v>
      </c>
      <c r="M156" s="526">
        <f t="shared" si="6"/>
        <v>179.30741271299578</v>
      </c>
      <c r="N156" s="526">
        <f t="shared" si="7"/>
        <v>358.61482542599157</v>
      </c>
      <c r="O156" s="526">
        <f>+C138+D139+D140+D141+D142+D143+D144+D145+D146+D147+D148+D149+D150+D151+D152+D153+D154+D155+(D156/2)</f>
        <v>3</v>
      </c>
      <c r="P156" s="526">
        <f t="shared" si="8"/>
        <v>5.2335956242943779E-2</v>
      </c>
      <c r="Q156" s="526">
        <f t="shared" si="9"/>
        <v>18.768449811565617</v>
      </c>
      <c r="R156" s="526">
        <f t="shared" si="20"/>
        <v>354.30112589611628</v>
      </c>
      <c r="S156" s="526">
        <f t="shared" si="33"/>
        <v>373.06957570768191</v>
      </c>
      <c r="T156" s="527">
        <f t="shared" si="10"/>
        <v>373.06957570768191</v>
      </c>
      <c r="U156" s="528"/>
      <c r="V156" s="529">
        <f t="shared" si="11"/>
        <v>0</v>
      </c>
      <c r="W156" s="529"/>
      <c r="X156" s="529"/>
      <c r="Y156" s="529"/>
      <c r="Z156" s="529"/>
      <c r="AA156" s="529"/>
      <c r="AB156" s="530" t="str">
        <f t="shared" si="34"/>
        <v>use the locking pin</v>
      </c>
      <c r="AC156" s="531" t="b">
        <f>IF(AD156=19,AF156)</f>
        <v>0</v>
      </c>
      <c r="AD156" s="531">
        <f t="shared" si="12"/>
        <v>1</v>
      </c>
      <c r="AE156" s="531">
        <f>IF(V156=0,0,19)</f>
        <v>0</v>
      </c>
      <c r="AF156" s="529">
        <f>SUM(V156:V157)/($B$135-B155)</f>
        <v>0</v>
      </c>
      <c r="AG156" s="529"/>
      <c r="AH156" s="532">
        <f>SUM(D138:D156)+$C$138</f>
        <v>3</v>
      </c>
      <c r="AI156" s="533" t="b">
        <f t="shared" si="21"/>
        <v>0</v>
      </c>
      <c r="AJ156" s="287">
        <f t="shared" si="22"/>
        <v>63.255548399999995</v>
      </c>
      <c r="AK156" s="534">
        <f t="shared" si="13"/>
        <v>0.89302252578859875</v>
      </c>
      <c r="AL156" s="289">
        <f t="shared" si="23"/>
        <v>271.76541876825956</v>
      </c>
      <c r="AM156" s="287">
        <f t="shared" si="24"/>
        <v>53.018549700000001</v>
      </c>
      <c r="AN156" s="535">
        <f t="shared" si="25"/>
        <v>0.79883030781287157</v>
      </c>
      <c r="AO156" s="291">
        <f t="shared" si="26"/>
        <v>222.92198511341383</v>
      </c>
      <c r="AP156" s="519">
        <f t="shared" si="14"/>
        <v>-74.876623223744588</v>
      </c>
      <c r="AQ156" s="291">
        <f t="shared" si="35"/>
        <v>-688.5</v>
      </c>
      <c r="AR156" s="519">
        <f t="shared" si="15"/>
        <v>-487.2</v>
      </c>
      <c r="AS156" s="538">
        <f t="shared" si="27"/>
        <v>494.68740388167339</v>
      </c>
      <c r="AT156" s="529">
        <f t="shared" si="36"/>
        <v>-222.92198511341383</v>
      </c>
      <c r="AU156" s="539">
        <f t="shared" si="28"/>
        <v>148.04536188966924</v>
      </c>
      <c r="AV156" s="529"/>
      <c r="AW156" s="540">
        <f t="shared" si="29"/>
        <v>-341.39539744355523</v>
      </c>
      <c r="AX156" s="540">
        <f t="shared" si="30"/>
        <v>-145.80460255644476</v>
      </c>
      <c r="AY156" s="541">
        <f t="shared" si="16"/>
        <v>-33.978196797213386</v>
      </c>
      <c r="AZ156" s="541">
        <f t="shared" si="17"/>
        <v>-68.584940562001393</v>
      </c>
      <c r="BA156" s="542">
        <f t="shared" si="31"/>
        <v>33.978196797213386</v>
      </c>
      <c r="BB156" s="542">
        <f t="shared" si="31"/>
        <v>68.584940562001393</v>
      </c>
      <c r="BC156">
        <f t="shared" si="32"/>
        <v>0.3</v>
      </c>
      <c r="BD156" s="144"/>
      <c r="BM156" s="214"/>
      <c r="BN156" s="214"/>
      <c r="BO156" s="214"/>
      <c r="DF156" s="126"/>
      <c r="DG156" s="126"/>
      <c r="DH156" s="126"/>
      <c r="DI156" s="126"/>
      <c r="DJ156" s="126"/>
      <c r="DK156" s="126"/>
      <c r="DL156" s="203"/>
      <c r="DM156" s="203"/>
      <c r="DN156" s="203"/>
      <c r="DO156" s="203"/>
      <c r="DP156" s="203"/>
      <c r="DQ156" s="203"/>
      <c r="DR156" s="203"/>
      <c r="DS156" s="203"/>
      <c r="DT156" s="203"/>
      <c r="DU156" s="203"/>
      <c r="DV156" s="203"/>
      <c r="DW156" s="203"/>
      <c r="DX156" s="203"/>
      <c r="DY156" s="203"/>
    </row>
    <row r="157" spans="1:129" ht="21" customHeight="1" thickBot="1" x14ac:dyDescent="0.35">
      <c r="B157" s="277">
        <v>20</v>
      </c>
      <c r="C157" s="278"/>
      <c r="D157" s="25">
        <v>0</v>
      </c>
      <c r="E157" s="279" t="s">
        <v>130</v>
      </c>
      <c r="F157" s="258"/>
      <c r="G157" s="258">
        <f t="shared" si="37"/>
        <v>0.3</v>
      </c>
      <c r="H157" s="506">
        <v>279.06049999999999</v>
      </c>
      <c r="I157" s="507">
        <v>79.962900599999998</v>
      </c>
      <c r="J157" s="474">
        <f t="shared" si="18"/>
        <v>79.962900599999998</v>
      </c>
      <c r="K157" s="474">
        <f t="shared" si="19"/>
        <v>39.981450299999999</v>
      </c>
      <c r="L157" s="474">
        <f t="shared" si="5"/>
        <v>0.64253956655634092</v>
      </c>
      <c r="M157" s="474">
        <f t="shared" si="6"/>
        <v>179.30741271299578</v>
      </c>
      <c r="N157" s="474">
        <f t="shared" si="7"/>
        <v>358.61482542599157</v>
      </c>
      <c r="O157" s="474">
        <f>+C138+D139+D140+D141+D142+D143+D144+D145+D146+D147+D148+D149+D150+D151+D152+D153+D154+D155+D156+(D157/2)</f>
        <v>3</v>
      </c>
      <c r="P157" s="474">
        <f t="shared" si="8"/>
        <v>5.2335956242943779E-2</v>
      </c>
      <c r="Q157" s="474">
        <f t="shared" si="9"/>
        <v>18.768449811565617</v>
      </c>
      <c r="R157" s="474">
        <f t="shared" si="20"/>
        <v>373.06957570768191</v>
      </c>
      <c r="S157" s="474">
        <f t="shared" si="33"/>
        <v>391.83802551924754</v>
      </c>
      <c r="T157" s="476">
        <f t="shared" si="10"/>
        <v>391.83802551924754</v>
      </c>
      <c r="V157" s="437">
        <f t="shared" si="11"/>
        <v>0</v>
      </c>
      <c r="W157" s="437"/>
      <c r="X157" s="437"/>
      <c r="Y157" s="437"/>
      <c r="Z157" s="437"/>
      <c r="AA157" s="437"/>
      <c r="AB157" s="477" t="str">
        <f t="shared" si="34"/>
        <v>use the locking pin</v>
      </c>
      <c r="AC157" s="514" t="b">
        <f>IF(AD157=20,AF157)</f>
        <v>0</v>
      </c>
      <c r="AD157" s="514">
        <f t="shared" si="12"/>
        <v>1</v>
      </c>
      <c r="AE157" s="514">
        <f>IF(V157=0,0,20)</f>
        <v>0</v>
      </c>
      <c r="AF157" s="437">
        <f>SUM(V157:V157)/($B$135-B156)</f>
        <v>0</v>
      </c>
      <c r="AG157" s="437"/>
      <c r="AH157" s="450">
        <f>SUM(D139:D157)+$C$138</f>
        <v>3</v>
      </c>
      <c r="AI157" s="516" t="b">
        <f t="shared" si="21"/>
        <v>0</v>
      </c>
      <c r="AJ157" s="287">
        <f t="shared" si="22"/>
        <v>63.255548399999995</v>
      </c>
      <c r="AK157" s="441">
        <f t="shared" si="13"/>
        <v>0.89302252578859875</v>
      </c>
      <c r="AL157" s="289">
        <f t="shared" si="23"/>
        <v>271.76541876825956</v>
      </c>
      <c r="AM157" s="287">
        <f t="shared" si="24"/>
        <v>53.018549700000001</v>
      </c>
      <c r="AN157" s="442">
        <f t="shared" si="25"/>
        <v>0.79883030781287157</v>
      </c>
      <c r="AO157" s="291">
        <f t="shared" si="26"/>
        <v>222.92198511341383</v>
      </c>
      <c r="AP157" s="519">
        <f t="shared" si="14"/>
        <v>-69.1299807364191</v>
      </c>
      <c r="AQ157" s="291">
        <f t="shared" si="35"/>
        <v>-729</v>
      </c>
      <c r="AR157" s="519">
        <f t="shared" si="15"/>
        <v>-527.70000000000005</v>
      </c>
      <c r="AS157" s="444">
        <f t="shared" si="27"/>
        <v>494.68740388167339</v>
      </c>
      <c r="AT157" s="445">
        <f t="shared" si="36"/>
        <v>-222.92198511341383</v>
      </c>
      <c r="AU157" s="446">
        <f t="shared" si="28"/>
        <v>153.79200437699473</v>
      </c>
      <c r="AV157" s="445"/>
      <c r="AW157" s="447">
        <f t="shared" si="29"/>
        <v>-363.64480054892971</v>
      </c>
      <c r="AX157" s="447">
        <f t="shared" si="30"/>
        <v>-164.05519945107034</v>
      </c>
      <c r="AY157" s="448">
        <f t="shared" si="16"/>
        <v>-31.899259889016832</v>
      </c>
      <c r="AZ157" s="448">
        <f t="shared" si="17"/>
        <v>-60.955093367720494</v>
      </c>
      <c r="BA157" s="451">
        <f t="shared" si="31"/>
        <v>31.899259889016832</v>
      </c>
      <c r="BB157" s="451">
        <f t="shared" si="31"/>
        <v>60.955093367720494</v>
      </c>
      <c r="BC157">
        <f t="shared" si="32"/>
        <v>0.3</v>
      </c>
      <c r="BD157" s="144"/>
      <c r="BM157" s="214"/>
      <c r="BN157" s="214"/>
      <c r="BO157" s="214"/>
      <c r="DF157" s="126"/>
      <c r="DG157" s="126"/>
      <c r="DH157" s="126"/>
      <c r="DI157" s="126"/>
      <c r="DJ157" s="126"/>
      <c r="DK157" s="126"/>
      <c r="DL157" s="203"/>
      <c r="DM157" s="203"/>
      <c r="DN157" s="203"/>
      <c r="DO157" s="203"/>
      <c r="DP157" s="203"/>
      <c r="DQ157" s="203"/>
      <c r="DR157" s="203"/>
      <c r="DS157" s="203"/>
      <c r="DT157" s="203"/>
      <c r="DU157" s="203"/>
      <c r="DV157" s="203"/>
      <c r="DW157" s="203"/>
      <c r="DX157" s="203"/>
      <c r="DY157" s="203"/>
    </row>
    <row r="158" spans="1:129" ht="24.75" customHeight="1" thickBot="1" x14ac:dyDescent="0.35">
      <c r="D158" s="543"/>
      <c r="E158" s="543"/>
      <c r="F158" s="543"/>
      <c r="G158" s="543"/>
      <c r="V158" s="437"/>
      <c r="W158" s="437"/>
      <c r="X158" s="437"/>
      <c r="Y158" s="437"/>
      <c r="Z158" s="437"/>
      <c r="AA158" s="437"/>
      <c r="AB158" s="464"/>
      <c r="AC158" s="464"/>
      <c r="AD158" s="464"/>
      <c r="AE158" s="464"/>
      <c r="AF158" s="437"/>
      <c r="AG158" s="437"/>
      <c r="AH158" s="437"/>
      <c r="AI158" s="437"/>
      <c r="AJ158" s="543"/>
      <c r="AK158" s="415"/>
      <c r="AL158" s="292"/>
      <c r="AM158" s="543"/>
      <c r="AN158" s="415"/>
      <c r="AO158" s="292"/>
      <c r="AP158" s="445"/>
      <c r="AQ158" s="292"/>
      <c r="AR158" s="445"/>
      <c r="AS158" s="445"/>
      <c r="AT158" s="445"/>
      <c r="AU158" s="445"/>
      <c r="AV158" s="445"/>
      <c r="AW158" s="445"/>
      <c r="AX158" s="445"/>
      <c r="AY158" s="544"/>
      <c r="AZ158" s="544"/>
      <c r="BA158" s="544"/>
      <c r="BB158" s="544"/>
      <c r="BD158" s="545"/>
      <c r="BM158" s="214"/>
      <c r="BN158" s="214"/>
      <c r="BO158" s="214"/>
    </row>
    <row r="159" spans="1:129" ht="20.25" customHeight="1" thickBot="1" x14ac:dyDescent="0.35">
      <c r="B159" s="1854" t="s">
        <v>268</v>
      </c>
      <c r="D159" s="543"/>
      <c r="E159" s="543"/>
      <c r="F159" s="543"/>
      <c r="G159" s="543"/>
      <c r="V159" s="437"/>
      <c r="W159" s="437"/>
      <c r="X159" s="437"/>
      <c r="Y159" s="437"/>
      <c r="Z159" s="437"/>
      <c r="AA159" s="437"/>
      <c r="AB159" s="464"/>
      <c r="AC159" s="464"/>
      <c r="AD159" s="464"/>
      <c r="AE159" s="464"/>
      <c r="AF159" s="437"/>
      <c r="AG159" s="437"/>
      <c r="AH159" s="546" t="s">
        <v>79</v>
      </c>
      <c r="AI159" s="547">
        <f>MAX(AI138:AI157)</f>
        <v>0</v>
      </c>
      <c r="AJ159" s="543"/>
      <c r="AK159" s="415"/>
      <c r="AL159" s="845" t="s">
        <v>200</v>
      </c>
      <c r="AM159" s="846"/>
      <c r="AN159" s="846"/>
      <c r="AO159" s="846"/>
      <c r="AP159" s="847"/>
      <c r="AQ159" s="292"/>
      <c r="AR159" s="445"/>
      <c r="AS159" s="445"/>
      <c r="AT159" s="445"/>
      <c r="AU159" s="445"/>
      <c r="AV159" s="445"/>
      <c r="AW159" s="445"/>
      <c r="AX159" s="445"/>
      <c r="AY159" s="544"/>
      <c r="AZ159" s="544"/>
      <c r="BA159" s="544"/>
      <c r="BB159" s="544"/>
      <c r="BD159" s="545"/>
      <c r="BE159" s="136"/>
      <c r="BF159" s="136"/>
      <c r="BG159" s="297" t="s">
        <v>122</v>
      </c>
      <c r="BH159" s="136"/>
      <c r="BI159" s="136"/>
      <c r="BJ159" s="136"/>
      <c r="BK159" s="136"/>
      <c r="BL159" s="136"/>
      <c r="BM159" s="214"/>
      <c r="BN159" s="214"/>
      <c r="BO159" s="214"/>
    </row>
    <row r="160" spans="1:129" ht="20.25" customHeight="1" thickBot="1" x14ac:dyDescent="0.35">
      <c r="B160" s="1855"/>
      <c r="D160" s="543"/>
      <c r="E160" s="543"/>
      <c r="F160" s="543"/>
      <c r="G160" s="543"/>
      <c r="V160" s="437"/>
      <c r="W160" s="437"/>
      <c r="X160" s="437"/>
      <c r="Y160" s="437"/>
      <c r="Z160" s="437"/>
      <c r="AA160" s="437"/>
      <c r="AB160" s="464"/>
      <c r="AC160" s="464"/>
      <c r="AD160" s="464"/>
      <c r="AE160" s="464"/>
      <c r="AF160" s="437"/>
      <c r="AG160" s="437"/>
      <c r="AH160" s="853"/>
      <c r="AI160" s="854"/>
      <c r="AJ160" s="543"/>
      <c r="AK160" s="415"/>
      <c r="AL160" s="814" t="s">
        <v>175</v>
      </c>
      <c r="AM160" s="815" t="s">
        <v>176</v>
      </c>
      <c r="AN160" s="815" t="s">
        <v>177</v>
      </c>
      <c r="AO160" s="816" t="s">
        <v>181</v>
      </c>
      <c r="AP160" s="817"/>
      <c r="AQ160" s="292"/>
      <c r="AR160" s="445"/>
      <c r="AS160" s="445"/>
      <c r="AT160" s="445"/>
      <c r="AU160" s="445"/>
      <c r="AV160" s="445"/>
      <c r="AW160" s="445"/>
      <c r="AX160" s="445"/>
      <c r="AY160" s="544"/>
      <c r="AZ160" s="544"/>
      <c r="BA160" s="544"/>
      <c r="BB160" s="544"/>
      <c r="BD160" s="545"/>
      <c r="BE160" s="136"/>
      <c r="BF160" s="136"/>
      <c r="BG160" s="297"/>
      <c r="BH160" s="136"/>
      <c r="BI160" s="136"/>
      <c r="BJ160" s="136"/>
      <c r="BK160" s="136"/>
      <c r="BL160" s="136"/>
      <c r="BM160" s="214"/>
      <c r="BN160" s="214"/>
      <c r="BO160" s="214"/>
    </row>
    <row r="161" spans="2:142" ht="20.25" customHeight="1" thickBot="1" x14ac:dyDescent="0.35">
      <c r="B161" s="1855"/>
      <c r="D161" s="543"/>
      <c r="E161" s="543"/>
      <c r="F161" s="543"/>
      <c r="G161" s="543"/>
      <c r="V161" s="437"/>
      <c r="W161" s="437"/>
      <c r="X161" s="437"/>
      <c r="Y161" s="437"/>
      <c r="Z161" s="437"/>
      <c r="AA161" s="437"/>
      <c r="AB161" s="464"/>
      <c r="AC161" s="464"/>
      <c r="AD161" s="464"/>
      <c r="AE161" s="464"/>
      <c r="AF161" s="437"/>
      <c r="AG161" s="437"/>
      <c r="AH161" s="853"/>
      <c r="AI161" s="854"/>
      <c r="AJ161" s="543"/>
      <c r="AK161" s="415"/>
      <c r="AL161" s="818">
        <v>6.8623010000000004</v>
      </c>
      <c r="AM161" s="819">
        <f>+(AI159*-1)-AL161</f>
        <v>-6.8623010000000004</v>
      </c>
      <c r="AN161" s="820">
        <f>COS(AM161*3.14159265358979/180)</f>
        <v>0.99283617366519983</v>
      </c>
      <c r="AO161" s="848">
        <f>+AN161*378.71303</f>
        <v>375.99999562235405</v>
      </c>
      <c r="AP161" s="821"/>
      <c r="AQ161" s="292"/>
      <c r="AR161" s="445"/>
      <c r="AS161" s="445"/>
      <c r="AT161" s="445"/>
      <c r="AU161" s="445"/>
      <c r="AV161" s="445"/>
      <c r="AW161" s="445"/>
      <c r="AX161" s="445"/>
      <c r="AY161" s="544"/>
      <c r="AZ161" s="544"/>
      <c r="BA161" s="544"/>
      <c r="BB161" s="544"/>
      <c r="BD161" s="545"/>
      <c r="BE161" s="136"/>
      <c r="BF161" s="136"/>
      <c r="BG161" s="297"/>
      <c r="BH161" s="136"/>
      <c r="BI161" s="136"/>
      <c r="BJ161" s="136"/>
      <c r="BK161" s="136"/>
      <c r="BL161" s="136"/>
      <c r="BM161" s="214"/>
      <c r="BN161" s="214"/>
      <c r="BO161" s="214"/>
    </row>
    <row r="162" spans="2:142" ht="20.25" customHeight="1" thickBot="1" x14ac:dyDescent="0.35">
      <c r="B162" s="1855"/>
      <c r="D162" s="543"/>
      <c r="E162" s="543"/>
      <c r="F162" s="543"/>
      <c r="G162" s="543"/>
      <c r="V162" s="437"/>
      <c r="W162" s="437"/>
      <c r="X162" s="437"/>
      <c r="Y162" s="437"/>
      <c r="Z162" s="437"/>
      <c r="AA162" s="437"/>
      <c r="AB162" s="464"/>
      <c r="AC162" s="464"/>
      <c r="AD162" s="464"/>
      <c r="AE162" s="464"/>
      <c r="AF162" s="437"/>
      <c r="AG162" s="437"/>
      <c r="AH162" s="853"/>
      <c r="AI162" s="854"/>
      <c r="AJ162" s="543"/>
      <c r="AK162" s="415"/>
      <c r="AL162" s="844" t="s">
        <v>199</v>
      </c>
      <c r="AM162" s="849"/>
      <c r="AN162" s="849"/>
      <c r="AO162" s="849"/>
      <c r="AP162" s="850"/>
      <c r="AQ162" s="292"/>
      <c r="AR162" s="445"/>
      <c r="AS162" s="445"/>
      <c r="AT162" s="445"/>
      <c r="AU162" s="445"/>
      <c r="AV162" s="445"/>
      <c r="AW162" s="445"/>
      <c r="AX162" s="445"/>
      <c r="AY162" s="544"/>
      <c r="AZ162" s="544"/>
      <c r="BA162" s="544"/>
      <c r="BB162" s="544"/>
      <c r="BD162" s="545"/>
      <c r="BE162" s="136"/>
      <c r="BF162" s="136"/>
      <c r="BG162" s="297"/>
      <c r="BH162" s="136"/>
      <c r="BI162" s="136"/>
      <c r="BJ162" s="136"/>
      <c r="BK162" s="136"/>
      <c r="BL162" s="136"/>
      <c r="BM162" s="214"/>
      <c r="BN162" s="214"/>
      <c r="BO162" s="214"/>
    </row>
    <row r="163" spans="2:142" ht="20.25" customHeight="1" thickBot="1" x14ac:dyDescent="0.35">
      <c r="B163" s="1856"/>
      <c r="C163"/>
      <c r="D163" s="543"/>
      <c r="E163" s="464"/>
      <c r="F163" s="543"/>
      <c r="G163" s="543"/>
      <c r="V163" s="437"/>
      <c r="W163" s="437"/>
      <c r="X163" s="437"/>
      <c r="Y163" s="437"/>
      <c r="Z163" s="437"/>
      <c r="AA163" s="437"/>
      <c r="AB163" s="464"/>
      <c r="AC163" s="464"/>
      <c r="AD163" s="464"/>
      <c r="AE163" s="464"/>
      <c r="AF163" s="437"/>
      <c r="AG163" s="437"/>
      <c r="AH163" s="437"/>
      <c r="AI163" s="437"/>
      <c r="AJ163" s="543"/>
      <c r="AK163" s="415"/>
      <c r="AL163" s="851"/>
      <c r="AM163" s="815" t="s">
        <v>194</v>
      </c>
      <c r="AN163" s="815" t="s">
        <v>193</v>
      </c>
      <c r="AO163" s="816" t="s">
        <v>197</v>
      </c>
      <c r="AP163" s="843" t="s">
        <v>191</v>
      </c>
      <c r="AQ163" s="292"/>
      <c r="AR163" s="445"/>
      <c r="AS163" s="445"/>
      <c r="AT163" s="445"/>
      <c r="AU163" s="445"/>
      <c r="AV163" s="445"/>
      <c r="AW163" s="445"/>
      <c r="AX163" s="445"/>
      <c r="AY163" s="544"/>
      <c r="AZ163" s="544"/>
      <c r="BA163" s="544"/>
      <c r="BB163" s="544"/>
      <c r="BD163" s="545"/>
      <c r="BE163" s="298">
        <v>1</v>
      </c>
      <c r="BF163" s="299">
        <v>-473</v>
      </c>
      <c r="BG163" s="300">
        <f>+COS(($B$132*-1)*3.14159265358979/180)*BF163</f>
        <v>-473</v>
      </c>
      <c r="BH163" s="301">
        <f t="shared" ref="BH163:BH202" si="38">+BG163-D$3</f>
        <v>-676.72311331126275</v>
      </c>
      <c r="BI163" s="302">
        <f t="shared" ref="BI163:BI202" si="39">ABS(BH163)</f>
        <v>676.72311331126275</v>
      </c>
      <c r="BJ163" s="303">
        <f>MIN(BI163:BI202)</f>
        <v>11.276886688737221</v>
      </c>
      <c r="BK163" s="302" t="b">
        <f>IF(BJ163=BI163,BE163)</f>
        <v>0</v>
      </c>
      <c r="BL163" s="304">
        <v>1</v>
      </c>
      <c r="BM163" s="214"/>
      <c r="BN163" s="214"/>
      <c r="BO163" s="214"/>
    </row>
    <row r="164" spans="2:142" ht="30" customHeight="1" thickBot="1" x14ac:dyDescent="0.35">
      <c r="B164" s="34">
        <v>0</v>
      </c>
      <c r="D164" s="548" t="s">
        <v>269</v>
      </c>
      <c r="E164" s="1101"/>
      <c r="F164" s="1103" t="s">
        <v>270</v>
      </c>
      <c r="G164" s="543"/>
      <c r="V164" s="437"/>
      <c r="W164" s="437"/>
      <c r="X164" s="437"/>
      <c r="Y164" s="437"/>
      <c r="Z164" s="437"/>
      <c r="AA164" s="437"/>
      <c r="AB164" s="464"/>
      <c r="AC164" s="464"/>
      <c r="AD164" s="464"/>
      <c r="AE164" s="464"/>
      <c r="AF164" s="437"/>
      <c r="AG164" s="437"/>
      <c r="AH164" s="437"/>
      <c r="AI164" s="437"/>
      <c r="AJ164" s="543"/>
      <c r="AK164" s="415"/>
      <c r="AL164" s="852"/>
      <c r="AM164" s="822">
        <f>+AI159</f>
        <v>0</v>
      </c>
      <c r="AN164" s="823">
        <f>SIN(AM164*3.14159265358979/180)</f>
        <v>0</v>
      </c>
      <c r="AO164" s="824">
        <f>+AN164*((+B135*358.6)+119+119)</f>
        <v>0</v>
      </c>
      <c r="AP164" s="825">
        <f>+AO161+AO164</f>
        <v>375.99999562235405</v>
      </c>
      <c r="AQ164" s="292"/>
      <c r="AR164" s="445"/>
      <c r="AS164" s="445"/>
      <c r="AT164" s="445"/>
      <c r="AU164" s="445"/>
      <c r="AV164" s="445"/>
      <c r="AW164" s="445"/>
      <c r="AX164" s="445"/>
      <c r="AY164" s="544"/>
      <c r="AZ164" s="544"/>
      <c r="BA164" s="544"/>
      <c r="BB164" s="544"/>
      <c r="BD164" s="545"/>
      <c r="BE164" s="298">
        <v>2</v>
      </c>
      <c r="BF164" s="299">
        <f>+BF163+43</f>
        <v>-430</v>
      </c>
      <c r="BG164" s="42">
        <f>+BG163+$E$2</f>
        <v>-430</v>
      </c>
      <c r="BH164" s="301">
        <f t="shared" si="38"/>
        <v>-633.72311331126275</v>
      </c>
      <c r="BI164" s="302">
        <f t="shared" si="39"/>
        <v>633.72311331126275</v>
      </c>
      <c r="BJ164" s="302">
        <f>+BJ163</f>
        <v>11.276886688737221</v>
      </c>
      <c r="BK164" s="302" t="b">
        <f t="shared" ref="BK164:BK202" si="40">IF(BJ164=BI164,BE164)</f>
        <v>0</v>
      </c>
      <c r="BL164" s="304">
        <v>2</v>
      </c>
      <c r="BM164" s="214"/>
      <c r="BN164" s="214"/>
      <c r="BO164" s="214"/>
    </row>
    <row r="165" spans="2:142" ht="24.75" customHeight="1" thickBot="1" x14ac:dyDescent="0.35">
      <c r="D165" s="543"/>
      <c r="E165" s="543"/>
      <c r="F165" s="543"/>
      <c r="G165" s="543"/>
      <c r="V165" s="437"/>
      <c r="W165" s="437"/>
      <c r="X165" s="437"/>
      <c r="Y165" s="437"/>
      <c r="Z165" s="437"/>
      <c r="AA165" s="437"/>
      <c r="AB165" s="464"/>
      <c r="AC165" s="464"/>
      <c r="AD165" s="464"/>
      <c r="AE165" s="464"/>
      <c r="AF165" s="437"/>
      <c r="AG165" s="437"/>
      <c r="AH165" s="437"/>
      <c r="AI165" s="437"/>
      <c r="AJ165" s="543"/>
      <c r="AK165" s="415"/>
      <c r="AL165" s="292"/>
      <c r="AM165" s="543"/>
      <c r="AN165" s="415"/>
      <c r="AO165" s="292"/>
      <c r="AP165" s="445"/>
      <c r="AQ165" s="292"/>
      <c r="AR165" s="445"/>
      <c r="AS165" s="445"/>
      <c r="AT165" s="445"/>
      <c r="AU165" s="445"/>
      <c r="AV165" s="445"/>
      <c r="AW165" s="445"/>
      <c r="AX165" s="445"/>
      <c r="AY165" s="544"/>
      <c r="AZ165" s="544"/>
      <c r="BA165" s="544"/>
      <c r="BB165" s="544"/>
      <c r="BD165" s="545"/>
      <c r="BE165" s="298">
        <v>3</v>
      </c>
      <c r="BF165" s="299">
        <f t="shared" ref="BF165:BF202" si="41">+BF164+43</f>
        <v>-387</v>
      </c>
      <c r="BG165" s="42">
        <f t="shared" ref="BG165:BG202" si="42">+BG164+$E$2</f>
        <v>-387</v>
      </c>
      <c r="BH165" s="301">
        <f t="shared" si="38"/>
        <v>-590.72311331126275</v>
      </c>
      <c r="BI165" s="302">
        <f t="shared" si="39"/>
        <v>590.72311331126275</v>
      </c>
      <c r="BJ165" s="302">
        <f t="shared" ref="BJ165:BJ202" si="43">+BJ164</f>
        <v>11.276886688737221</v>
      </c>
      <c r="BK165" s="302" t="b">
        <f t="shared" si="40"/>
        <v>0</v>
      </c>
      <c r="BL165" s="304">
        <v>3</v>
      </c>
      <c r="BM165" s="214"/>
      <c r="BN165" s="214"/>
      <c r="BO165" s="214"/>
    </row>
    <row r="166" spans="2:142" ht="68.25" customHeight="1" thickBot="1" x14ac:dyDescent="0.35">
      <c r="B166" s="345" t="s">
        <v>211</v>
      </c>
      <c r="C166" s="412"/>
      <c r="D166" s="37"/>
      <c r="E166" s="37"/>
      <c r="F166" s="37"/>
      <c r="G166" s="37"/>
      <c r="T166" s="187"/>
      <c r="BD166" s="136"/>
      <c r="BE166" s="298">
        <v>4</v>
      </c>
      <c r="BF166" s="299">
        <f t="shared" si="41"/>
        <v>-344</v>
      </c>
      <c r="BG166" s="42">
        <f t="shared" si="42"/>
        <v>-344</v>
      </c>
      <c r="BH166" s="301">
        <f t="shared" si="38"/>
        <v>-547.72311331126275</v>
      </c>
      <c r="BI166" s="302">
        <f t="shared" si="39"/>
        <v>547.72311331126275</v>
      </c>
      <c r="BJ166" s="302">
        <f t="shared" si="43"/>
        <v>11.276886688737221</v>
      </c>
      <c r="BK166" s="302" t="b">
        <f t="shared" si="40"/>
        <v>0</v>
      </c>
      <c r="BL166" s="304">
        <v>4</v>
      </c>
      <c r="BM166" s="214"/>
      <c r="BN166" s="214"/>
      <c r="BO166" s="214"/>
      <c r="EK166" s="78"/>
      <c r="EL166" s="78"/>
    </row>
    <row r="167" spans="2:142" ht="41" thickBot="1" x14ac:dyDescent="0.35">
      <c r="B167" s="27">
        <v>1</v>
      </c>
      <c r="C167" s="216"/>
      <c r="D167" s="556" t="s">
        <v>109</v>
      </c>
      <c r="E167" s="330"/>
      <c r="F167" s="330"/>
      <c r="G167" s="330"/>
      <c r="H167" s="342" t="s">
        <v>87</v>
      </c>
      <c r="I167" s="342" t="s">
        <v>88</v>
      </c>
      <c r="J167" s="342" t="s">
        <v>89</v>
      </c>
      <c r="K167"/>
      <c r="L167"/>
      <c r="M167"/>
      <c r="N167"/>
      <c r="O167"/>
      <c r="P167" s="342" t="s">
        <v>90</v>
      </c>
      <c r="Q167" s="342" t="s">
        <v>91</v>
      </c>
      <c r="R167" s="330"/>
      <c r="S167" s="342" t="s">
        <v>92</v>
      </c>
      <c r="T167" s="414"/>
      <c r="W167" s="1850" t="s">
        <v>93</v>
      </c>
      <c r="X167" s="1850"/>
      <c r="Y167" s="1850"/>
      <c r="Z167" s="1850"/>
      <c r="AA167" s="1850"/>
      <c r="AZ167" s="415"/>
      <c r="BA167" s="1848" t="s">
        <v>52</v>
      </c>
      <c r="BB167" s="1849"/>
      <c r="BD167" s="136"/>
      <c r="BE167" s="298">
        <v>5</v>
      </c>
      <c r="BF167" s="299">
        <f t="shared" si="41"/>
        <v>-301</v>
      </c>
      <c r="BG167" s="42">
        <f t="shared" si="42"/>
        <v>-301</v>
      </c>
      <c r="BH167" s="301">
        <f t="shared" si="38"/>
        <v>-504.72311331126275</v>
      </c>
      <c r="BI167" s="302">
        <f t="shared" si="39"/>
        <v>504.72311331126275</v>
      </c>
      <c r="BJ167" s="302">
        <f t="shared" si="43"/>
        <v>11.276886688737221</v>
      </c>
      <c r="BK167" s="302" t="b">
        <f t="shared" si="40"/>
        <v>0</v>
      </c>
      <c r="BL167" s="304">
        <v>5</v>
      </c>
      <c r="BM167" s="214"/>
      <c r="BN167" s="214"/>
      <c r="BO167" s="214"/>
      <c r="EK167" s="78"/>
      <c r="EL167" s="78"/>
    </row>
    <row r="168" spans="2:142" ht="79" hidden="1" thickBot="1" x14ac:dyDescent="0.35">
      <c r="C168" s="416"/>
      <c r="D168" s="550" t="s">
        <v>13</v>
      </c>
      <c r="H168" s="356" t="s">
        <v>4</v>
      </c>
      <c r="I168" s="356" t="s">
        <v>1</v>
      </c>
      <c r="J168" s="377" t="s">
        <v>73</v>
      </c>
      <c r="K168" s="316" t="s">
        <v>2</v>
      </c>
      <c r="L168" s="316" t="s">
        <v>3</v>
      </c>
      <c r="M168" s="316" t="s">
        <v>8</v>
      </c>
      <c r="N168" s="316" t="s">
        <v>5</v>
      </c>
      <c r="O168" s="316" t="s">
        <v>6</v>
      </c>
      <c r="P168" s="316" t="s">
        <v>7</v>
      </c>
      <c r="Q168" s="316" t="s">
        <v>9</v>
      </c>
      <c r="R168" s="356" t="s">
        <v>10</v>
      </c>
      <c r="S168" s="316" t="s">
        <v>11</v>
      </c>
      <c r="T168" s="418" t="s">
        <v>12</v>
      </c>
      <c r="W168" s="356" t="s">
        <v>111</v>
      </c>
      <c r="X168" s="316" t="s">
        <v>94</v>
      </c>
      <c r="Y168" s="356" t="s">
        <v>110</v>
      </c>
      <c r="Z168" s="419" t="s">
        <v>95</v>
      </c>
      <c r="AA168" s="419" t="s">
        <v>96</v>
      </c>
      <c r="AC168" s="316" t="s">
        <v>99</v>
      </c>
      <c r="AD168" s="316"/>
      <c r="AE168" s="316"/>
      <c r="AF168" s="420"/>
      <c r="AG168" s="420"/>
      <c r="AH168" s="420"/>
      <c r="AI168" s="420"/>
      <c r="AJ168" s="420"/>
      <c r="AK168" s="420"/>
      <c r="AL168" s="420"/>
      <c r="AM168" s="420"/>
      <c r="AN168" s="420"/>
      <c r="AO168" s="420"/>
      <c r="AP168" s="420" t="s">
        <v>135</v>
      </c>
      <c r="AQ168" s="420"/>
      <c r="AR168" s="420" t="s">
        <v>135</v>
      </c>
      <c r="AS168" s="420"/>
      <c r="AT168" s="420"/>
      <c r="AU168" s="420" t="s">
        <v>135</v>
      </c>
      <c r="AV168" s="420"/>
      <c r="AW168" s="420"/>
      <c r="AX168" s="420"/>
      <c r="AY168" s="415" t="s">
        <v>51</v>
      </c>
      <c r="AZ168" s="415"/>
      <c r="BA168" s="420"/>
      <c r="BB168" s="420"/>
      <c r="BC168" s="231"/>
      <c r="BD168" s="136"/>
      <c r="BE168" s="298">
        <v>6</v>
      </c>
      <c r="BF168" s="299">
        <f t="shared" si="41"/>
        <v>-258</v>
      </c>
      <c r="BG168" s="42">
        <f t="shared" si="42"/>
        <v>-258</v>
      </c>
      <c r="BH168" s="301">
        <f t="shared" si="38"/>
        <v>-461.72311331126275</v>
      </c>
      <c r="BI168" s="302">
        <f t="shared" si="39"/>
        <v>461.72311331126275</v>
      </c>
      <c r="BJ168" s="302">
        <f t="shared" si="43"/>
        <v>11.276886688737221</v>
      </c>
      <c r="BK168" s="302" t="b">
        <f t="shared" si="40"/>
        <v>0</v>
      </c>
      <c r="BL168" s="304">
        <v>6</v>
      </c>
      <c r="BM168" s="214"/>
      <c r="BN168" s="214"/>
      <c r="BO168" s="214"/>
      <c r="EK168" s="78"/>
      <c r="EL168" s="78"/>
    </row>
    <row r="169" spans="2:142" ht="36.5" customHeight="1" thickBot="1" x14ac:dyDescent="0.35">
      <c r="B169" s="421"/>
      <c r="C169" s="422"/>
      <c r="D169" s="551" t="s">
        <v>22</v>
      </c>
      <c r="E169" s="37"/>
      <c r="F169" s="330"/>
      <c r="G169" s="240"/>
      <c r="H169" s="356"/>
      <c r="I169" s="356"/>
      <c r="J169" s="377"/>
      <c r="K169" s="316"/>
      <c r="L169" s="316"/>
      <c r="M169" s="316"/>
      <c r="N169" s="316"/>
      <c r="O169" s="316"/>
      <c r="P169" s="316"/>
      <c r="Q169" s="316"/>
      <c r="R169" s="356"/>
      <c r="S169" s="316"/>
      <c r="T169" s="418"/>
      <c r="V169" s="420"/>
      <c r="W169" s="420"/>
      <c r="X169" s="420"/>
      <c r="Y169" s="420"/>
      <c r="Z169" s="420"/>
      <c r="AA169" s="420"/>
      <c r="AB169" s="420"/>
      <c r="AC169" s="423">
        <f>SUM(AC170:AC181)</f>
        <v>334.49993130661176</v>
      </c>
      <c r="AD169" s="424"/>
      <c r="AE169" s="424"/>
      <c r="AF169" s="420" t="s">
        <v>38</v>
      </c>
      <c r="AG169" s="552" t="s">
        <v>101</v>
      </c>
      <c r="AH169" s="425" t="s">
        <v>31</v>
      </c>
      <c r="AI169" s="425"/>
      <c r="AJ169" s="10" t="s">
        <v>108</v>
      </c>
      <c r="AK169" s="426" t="s">
        <v>32</v>
      </c>
      <c r="AL169" s="9" t="s">
        <v>33</v>
      </c>
      <c r="AM169" s="8" t="s">
        <v>107</v>
      </c>
      <c r="AN169" s="427" t="s">
        <v>34</v>
      </c>
      <c r="AO169" s="9" t="s">
        <v>35</v>
      </c>
      <c r="AP169" s="428" t="s">
        <v>48</v>
      </c>
      <c r="AQ169" s="367" t="s">
        <v>154</v>
      </c>
      <c r="AR169" s="428" t="s">
        <v>155</v>
      </c>
      <c r="AS169" s="420" t="s">
        <v>46</v>
      </c>
      <c r="AT169" s="420" t="s">
        <v>72</v>
      </c>
      <c r="AU169" s="428" t="s">
        <v>71</v>
      </c>
      <c r="AV169" s="553"/>
      <c r="AW169" s="429" t="s">
        <v>41</v>
      </c>
      <c r="AX169" s="429" t="s">
        <v>42</v>
      </c>
      <c r="AY169" s="430" t="s">
        <v>23</v>
      </c>
      <c r="AZ169" s="430" t="s">
        <v>24</v>
      </c>
      <c r="BA169" s="431" t="s">
        <v>23</v>
      </c>
      <c r="BB169" s="431" t="s">
        <v>24</v>
      </c>
      <c r="BD169" s="136"/>
      <c r="BE169" s="298">
        <v>7</v>
      </c>
      <c r="BF169" s="299">
        <f t="shared" si="41"/>
        <v>-215</v>
      </c>
      <c r="BG169" s="42">
        <f t="shared" si="42"/>
        <v>-215</v>
      </c>
      <c r="BH169" s="301">
        <f t="shared" si="38"/>
        <v>-418.72311331126275</v>
      </c>
      <c r="BI169" s="302">
        <f t="shared" si="39"/>
        <v>418.72311331126275</v>
      </c>
      <c r="BJ169" s="302">
        <f t="shared" si="43"/>
        <v>11.276886688737221</v>
      </c>
      <c r="BK169" s="302" t="b">
        <f t="shared" si="40"/>
        <v>0</v>
      </c>
      <c r="BL169" s="304">
        <v>7</v>
      </c>
      <c r="BM169" s="214"/>
      <c r="BN169" s="214"/>
      <c r="BO169" s="214"/>
      <c r="EK169" s="78"/>
      <c r="EL169" s="78"/>
    </row>
    <row r="170" spans="2:142" ht="23" thickBot="1" x14ac:dyDescent="0.35">
      <c r="B170" s="255">
        <v>1</v>
      </c>
      <c r="C170" s="256">
        <f>+B164+AI159+D170</f>
        <v>0</v>
      </c>
      <c r="D170" s="25">
        <v>0</v>
      </c>
      <c r="E170" s="257" t="s">
        <v>80</v>
      </c>
      <c r="F170" s="258"/>
      <c r="G170" s="258"/>
      <c r="H170" s="506">
        <v>414.62658399999998</v>
      </c>
      <c r="I170" s="507">
        <v>36.220413100000002</v>
      </c>
      <c r="J170" s="508">
        <f>+I170-C170</f>
        <v>36.220413100000002</v>
      </c>
      <c r="K170" s="508"/>
      <c r="L170" s="508"/>
      <c r="M170" s="508"/>
      <c r="N170" s="508"/>
      <c r="O170" s="508"/>
      <c r="P170" s="508">
        <f>COS(J170*3.14159265358979/180)</f>
        <v>0.80674984242354264</v>
      </c>
      <c r="Q170" s="508">
        <f>+P170*H170</f>
        <v>334.49993130661176</v>
      </c>
      <c r="R170" s="509">
        <v>334.5</v>
      </c>
      <c r="S170" s="508">
        <f>+Q170</f>
        <v>334.49993130661176</v>
      </c>
      <c r="T170" s="510">
        <f t="shared" ref="T170:T181" si="44">+S170</f>
        <v>334.49993130661176</v>
      </c>
      <c r="U170" s="456"/>
      <c r="V170" s="511">
        <f>IF(B170&lt;($B$167+1),T170,0)</f>
        <v>334.49993130661176</v>
      </c>
      <c r="W170" s="512">
        <v>36.220415500000001</v>
      </c>
      <c r="X170" s="511">
        <f>+W170+AI182</f>
        <v>36.220415500000001</v>
      </c>
      <c r="Y170" s="512">
        <v>414.6266</v>
      </c>
      <c r="Z170" s="419">
        <f>+COS(X170*3.14159265358979/180)*Y170</f>
        <v>334.49993395207258</v>
      </c>
      <c r="AA170" s="513">
        <f>+AC169-Z170</f>
        <v>-2.6454608246240241E-6</v>
      </c>
      <c r="AB170" s="477"/>
      <c r="AC170" s="514">
        <f>IF(AD170=1,AF170)</f>
        <v>334.49993130661176</v>
      </c>
      <c r="AD170" s="514">
        <f>MAX(AE$170:AE$181)</f>
        <v>1</v>
      </c>
      <c r="AE170" s="514">
        <f>IF(V170=0,0,1)</f>
        <v>1</v>
      </c>
      <c r="AF170" s="511">
        <f>SUM(V170:V181)/($B$167)</f>
        <v>334.49993130661176</v>
      </c>
      <c r="AG170" s="511">
        <f>+AA138+$AF$170</f>
        <v>334.49992246950308</v>
      </c>
      <c r="AH170" s="515">
        <f>+D170+C170</f>
        <v>0</v>
      </c>
      <c r="AI170" s="516">
        <f>IF(B170&lt;($B$167+1),AH170)</f>
        <v>0</v>
      </c>
      <c r="AJ170" s="287">
        <f>53.779595+AI170</f>
        <v>53.779595</v>
      </c>
      <c r="AK170" s="517">
        <f>SIN(AJ170*3.14159265358979/180)</f>
        <v>0.8067499259590819</v>
      </c>
      <c r="AL170" s="289">
        <f>+AK170*414.6266</f>
        <v>334.49997885066585</v>
      </c>
      <c r="AM170" s="287">
        <f>59.2910885-AI170</f>
        <v>59.291088500000001</v>
      </c>
      <c r="AN170" s="518">
        <f>SIN(AM170*3.14159265358979/180)</f>
        <v>0.85977285389573432</v>
      </c>
      <c r="AO170" s="291">
        <f>+AN170*479.7721</f>
        <v>412.49502763654965</v>
      </c>
      <c r="AP170" s="519">
        <f t="shared" ref="AP170:AP181" si="45">+((AF170*AQ170)+($AG$194*$AQ$194)+($AG$225*$AQ$225))/AR170</f>
        <v>214.20957998168049</v>
      </c>
      <c r="AQ170" s="269">
        <f>72*B167</f>
        <v>72</v>
      </c>
      <c r="AR170" s="519">
        <f t="shared" ref="AR170:AR179" si="46">+AQ170+$AQ$194+$AQ$225+31+1.3</f>
        <v>170.3</v>
      </c>
      <c r="AS170" s="520">
        <f>+AO170+AL170</f>
        <v>746.99500648721551</v>
      </c>
      <c r="AT170" s="521">
        <f>+V170-AL170</f>
        <v>-4.7544054098125343E-5</v>
      </c>
      <c r="AU170" s="522">
        <f>+AP170-AT170</f>
        <v>214.20962752573459</v>
      </c>
      <c r="AV170" s="521"/>
      <c r="AW170" s="523">
        <f>+((AS170-AU170)/AS170)*AR170</f>
        <v>121.46446662852367</v>
      </c>
      <c r="AX170" s="523">
        <f>+(AU170/AS170)*AR170</f>
        <v>48.835533371476352</v>
      </c>
      <c r="AY170" s="448">
        <f t="shared" ref="AY170:AY181" si="47">2*$C$20/AW170</f>
        <v>95.50118089660269</v>
      </c>
      <c r="AZ170" s="448">
        <f>2*$D$21/AX170</f>
        <v>237.5319608319314</v>
      </c>
      <c r="BA170" s="451">
        <f>ABS(AY170)</f>
        <v>95.50118089660269</v>
      </c>
      <c r="BB170" s="451">
        <f>ABS(AZ170)</f>
        <v>237.5319608319314</v>
      </c>
      <c r="BC170" s="91"/>
      <c r="BD170" s="136"/>
      <c r="BE170" s="298">
        <v>8</v>
      </c>
      <c r="BF170" s="299">
        <f t="shared" si="41"/>
        <v>-172</v>
      </c>
      <c r="BG170" s="42">
        <f t="shared" si="42"/>
        <v>-172</v>
      </c>
      <c r="BH170" s="301">
        <f t="shared" si="38"/>
        <v>-375.72311331126275</v>
      </c>
      <c r="BI170" s="302">
        <f t="shared" si="39"/>
        <v>375.72311331126275</v>
      </c>
      <c r="BJ170" s="302">
        <f t="shared" si="43"/>
        <v>11.276886688737221</v>
      </c>
      <c r="BK170" s="302" t="b">
        <f t="shared" si="40"/>
        <v>0</v>
      </c>
      <c r="BL170" s="304">
        <v>8</v>
      </c>
      <c r="BM170" s="214"/>
      <c r="BN170" s="214"/>
      <c r="BO170" s="214"/>
      <c r="EK170" s="78"/>
      <c r="EL170" s="78"/>
    </row>
    <row r="171" spans="2:142" ht="23" thickBot="1" x14ac:dyDescent="0.35">
      <c r="B171" s="277">
        <v>2</v>
      </c>
      <c r="C171" s="278"/>
      <c r="D171" s="25">
        <v>0</v>
      </c>
      <c r="E171" s="279" t="s">
        <v>80</v>
      </c>
      <c r="F171" s="258"/>
      <c r="G171" s="258"/>
      <c r="H171" s="506">
        <v>479.77208100000001</v>
      </c>
      <c r="I171" s="507">
        <v>61.416098300000002</v>
      </c>
      <c r="J171" s="474">
        <f>+I171+D171</f>
        <v>61.416098300000002</v>
      </c>
      <c r="K171" s="474">
        <f t="shared" ref="K171:K181" si="48">+J171/2</f>
        <v>30.708049150000001</v>
      </c>
      <c r="L171" s="474">
        <f t="shared" ref="L171:L181" si="49">SIN(K171*3.14159265358979/180)</f>
        <v>0.51066370850547771</v>
      </c>
      <c r="M171" s="474">
        <f t="shared" ref="M171:M181" si="50">+L171*H171</f>
        <v>245.00219012085046</v>
      </c>
      <c r="N171" s="474">
        <f t="shared" ref="N171:N181" si="51">+M171*2</f>
        <v>490.00438024170091</v>
      </c>
      <c r="O171" s="474">
        <f>+C170+(D171/2)</f>
        <v>0</v>
      </c>
      <c r="P171" s="474">
        <f t="shared" ref="P171:P181" si="52">SIN(O171*3.14159265358979/180)</f>
        <v>0</v>
      </c>
      <c r="Q171" s="474">
        <f t="shared" ref="Q171:Q181" si="53">+P171*N171</f>
        <v>0</v>
      </c>
      <c r="R171" s="474">
        <f t="shared" ref="R171:R181" si="54">+T170</f>
        <v>334.49993130661176</v>
      </c>
      <c r="S171" s="474">
        <f>+R171+Q171</f>
        <v>334.49993130661176</v>
      </c>
      <c r="T171" s="476">
        <f t="shared" si="44"/>
        <v>334.49993130661176</v>
      </c>
      <c r="V171" s="437">
        <f t="shared" ref="V171:V181" si="55">IF(B171&lt;($B$167+1),T171,0)</f>
        <v>0</v>
      </c>
      <c r="W171" s="437"/>
      <c r="X171" s="437"/>
      <c r="Y171" s="437"/>
      <c r="Z171" s="437"/>
      <c r="AA171" s="437"/>
      <c r="AB171" s="477"/>
      <c r="AC171" s="514" t="b">
        <f>IF(AD171=2,AF171)</f>
        <v>0</v>
      </c>
      <c r="AD171" s="514">
        <f t="shared" ref="AD171:AD181" si="56">MAX(AE$170:AE$181)</f>
        <v>1</v>
      </c>
      <c r="AE171" s="514">
        <f>IF(V171=0,0,2)</f>
        <v>0</v>
      </c>
      <c r="AF171" s="437" t="e">
        <f>SUM(V171:V181)/($B$167-B170)</f>
        <v>#DIV/0!</v>
      </c>
      <c r="AG171" s="437"/>
      <c r="AH171" s="450">
        <f>SUM(D171)+$C$170</f>
        <v>0</v>
      </c>
      <c r="AI171" s="516" t="b">
        <f t="shared" ref="AI171:AI181" si="57">IF(B171&lt;($B$167+1),AH171)</f>
        <v>0</v>
      </c>
      <c r="AJ171" s="287">
        <f t="shared" ref="AJ171:AJ181" si="58">53.779595+AI171</f>
        <v>53.779595</v>
      </c>
      <c r="AK171" s="441">
        <f>SIN(AJ171*3.14159265358979/180)</f>
        <v>0.8067499259590819</v>
      </c>
      <c r="AL171" s="289">
        <f t="shared" ref="AL171:AL181" si="59">+AK171*414.6266</f>
        <v>334.49997885066585</v>
      </c>
      <c r="AM171" s="287">
        <f t="shared" ref="AM171:AM181" si="60">59.2910885-AI171</f>
        <v>59.291088500000001</v>
      </c>
      <c r="AN171" s="442">
        <f t="shared" ref="AN171:AN181" si="61">SIN(AM171*3.14159265358979/180)</f>
        <v>0.85977285389573432</v>
      </c>
      <c r="AO171" s="291">
        <f t="shared" ref="AO171:AO181" si="62">+AN171*479.7721</f>
        <v>412.49502763654965</v>
      </c>
      <c r="AP171" s="519" t="e">
        <f t="shared" si="45"/>
        <v>#DIV/0!</v>
      </c>
      <c r="AQ171" s="291">
        <f>72*($B$167-B170)</f>
        <v>0</v>
      </c>
      <c r="AR171" s="519">
        <f t="shared" si="46"/>
        <v>98.3</v>
      </c>
      <c r="AS171" s="444">
        <f t="shared" ref="AS171:AS181" si="63">+AO171+AL171</f>
        <v>746.99500648721551</v>
      </c>
      <c r="AT171" s="445">
        <f t="shared" ref="AT171:AT181" si="64">+V171-AL171</f>
        <v>-334.49997885066585</v>
      </c>
      <c r="AU171" s="446" t="e">
        <f t="shared" ref="AU171:AU181" si="65">+AP171-AT171</f>
        <v>#DIV/0!</v>
      </c>
      <c r="AV171" s="445"/>
      <c r="AW171" s="447" t="e">
        <f t="shared" ref="AW171:AW181" si="66">+((AS171-AU171)/AS171)*AR171</f>
        <v>#DIV/0!</v>
      </c>
      <c r="AX171" s="447" t="e">
        <f t="shared" ref="AX171:AX181" si="67">+(AU171/AS171)*AR171</f>
        <v>#DIV/0!</v>
      </c>
      <c r="AY171" s="448" t="e">
        <f t="shared" si="47"/>
        <v>#DIV/0!</v>
      </c>
      <c r="AZ171" s="448" t="e">
        <f t="shared" ref="AZ171:AZ181" si="68">2*$D$21/AX171</f>
        <v>#DIV/0!</v>
      </c>
      <c r="BA171" s="451" t="e">
        <f t="shared" ref="BA171:BB181" si="69">ABS(AY171)</f>
        <v>#DIV/0!</v>
      </c>
      <c r="BB171" s="451" t="e">
        <f t="shared" si="69"/>
        <v>#DIV/0!</v>
      </c>
      <c r="BD171" s="136"/>
      <c r="BE171" s="298">
        <v>9</v>
      </c>
      <c r="BF171" s="299">
        <f t="shared" si="41"/>
        <v>-129</v>
      </c>
      <c r="BG171" s="42">
        <f t="shared" si="42"/>
        <v>-129</v>
      </c>
      <c r="BH171" s="301">
        <f t="shared" si="38"/>
        <v>-332.72311331126275</v>
      </c>
      <c r="BI171" s="302">
        <f t="shared" si="39"/>
        <v>332.72311331126275</v>
      </c>
      <c r="BJ171" s="302">
        <f t="shared" si="43"/>
        <v>11.276886688737221</v>
      </c>
      <c r="BK171" s="302" t="b">
        <f t="shared" si="40"/>
        <v>0</v>
      </c>
      <c r="BL171" s="304">
        <v>9</v>
      </c>
      <c r="BM171" s="214"/>
      <c r="BN171" s="214"/>
      <c r="BO171" s="214"/>
      <c r="EK171" s="78"/>
      <c r="EL171" s="78"/>
    </row>
    <row r="172" spans="2:142" ht="23" thickBot="1" x14ac:dyDescent="0.35">
      <c r="B172" s="277">
        <v>3</v>
      </c>
      <c r="C172" s="278"/>
      <c r="D172" s="25">
        <v>0</v>
      </c>
      <c r="E172" s="279" t="s">
        <v>80</v>
      </c>
      <c r="F172" s="258"/>
      <c r="G172" s="258"/>
      <c r="H172" s="506">
        <v>479.77208100000001</v>
      </c>
      <c r="I172" s="507">
        <v>61.416098300000002</v>
      </c>
      <c r="J172" s="474">
        <f t="shared" ref="J172:J181" si="70">+I172+D172</f>
        <v>61.416098300000002</v>
      </c>
      <c r="K172" s="474">
        <f t="shared" si="48"/>
        <v>30.708049150000001</v>
      </c>
      <c r="L172" s="474">
        <f t="shared" si="49"/>
        <v>0.51066370850547771</v>
      </c>
      <c r="M172" s="474">
        <f t="shared" si="50"/>
        <v>245.00219012085046</v>
      </c>
      <c r="N172" s="474">
        <f t="shared" si="51"/>
        <v>490.00438024170091</v>
      </c>
      <c r="O172" s="474">
        <f>+C170+D171+(D172/2)</f>
        <v>0</v>
      </c>
      <c r="P172" s="474">
        <f t="shared" si="52"/>
        <v>0</v>
      </c>
      <c r="Q172" s="474">
        <f t="shared" si="53"/>
        <v>0</v>
      </c>
      <c r="R172" s="474">
        <f t="shared" si="54"/>
        <v>334.49993130661176</v>
      </c>
      <c r="S172" s="474">
        <f t="shared" ref="S172:S181" si="71">+S171+Q172</f>
        <v>334.49993130661176</v>
      </c>
      <c r="T172" s="476">
        <f t="shared" si="44"/>
        <v>334.49993130661176</v>
      </c>
      <c r="V172" s="437">
        <f t="shared" si="55"/>
        <v>0</v>
      </c>
      <c r="W172" s="437"/>
      <c r="X172" s="437"/>
      <c r="Y172" s="437"/>
      <c r="Z172" s="437"/>
      <c r="AA172" s="437"/>
      <c r="AB172" s="477"/>
      <c r="AC172" s="514" t="b">
        <f>IF(AD172=3,AF172)</f>
        <v>0</v>
      </c>
      <c r="AD172" s="514">
        <f t="shared" si="56"/>
        <v>1</v>
      </c>
      <c r="AE172" s="514">
        <f>IF(V172=0,0,3)</f>
        <v>0</v>
      </c>
      <c r="AF172" s="437">
        <f>SUM(V172:V181)/($B$167-B171)</f>
        <v>0</v>
      </c>
      <c r="AG172" s="437"/>
      <c r="AH172" s="450">
        <f>SUM(D171:D172)+$C$170</f>
        <v>0</v>
      </c>
      <c r="AI172" s="516" t="b">
        <f t="shared" si="57"/>
        <v>0</v>
      </c>
      <c r="AJ172" s="287">
        <f t="shared" si="58"/>
        <v>53.779595</v>
      </c>
      <c r="AK172" s="441">
        <f t="shared" ref="AK172:AK181" si="72">SIN(AJ172*3.14159265358979/180)</f>
        <v>0.8067499259590819</v>
      </c>
      <c r="AL172" s="289">
        <f t="shared" si="59"/>
        <v>334.49997885066585</v>
      </c>
      <c r="AM172" s="287">
        <f t="shared" si="60"/>
        <v>59.291088500000001</v>
      </c>
      <c r="AN172" s="442">
        <f t="shared" si="61"/>
        <v>0.85977285389573432</v>
      </c>
      <c r="AO172" s="291">
        <f t="shared" si="62"/>
        <v>412.49502763654965</v>
      </c>
      <c r="AP172" s="519">
        <f t="shared" si="45"/>
        <v>471.32685995453022</v>
      </c>
      <c r="AQ172" s="291">
        <f t="shared" ref="AQ172:AQ181" si="73">72*($B$167-B171)</f>
        <v>-72</v>
      </c>
      <c r="AR172" s="519">
        <f t="shared" si="46"/>
        <v>26.3</v>
      </c>
      <c r="AS172" s="444">
        <f t="shared" si="63"/>
        <v>746.99500648721551</v>
      </c>
      <c r="AT172" s="445">
        <f t="shared" si="64"/>
        <v>-334.49997885066585</v>
      </c>
      <c r="AU172" s="446">
        <f t="shared" si="65"/>
        <v>805.82683880519608</v>
      </c>
      <c r="AV172" s="445"/>
      <c r="AW172" s="447">
        <f t="shared" si="66"/>
        <v>-2.0713353858134123</v>
      </c>
      <c r="AX172" s="447">
        <f t="shared" si="67"/>
        <v>28.371335385813413</v>
      </c>
      <c r="AY172" s="448">
        <f t="shared" si="47"/>
        <v>-5600.2519338241727</v>
      </c>
      <c r="AZ172" s="448">
        <f t="shared" si="68"/>
        <v>408.8633771465116</v>
      </c>
      <c r="BA172" s="451">
        <f t="shared" si="69"/>
        <v>5600.2519338241727</v>
      </c>
      <c r="BB172" s="451">
        <f t="shared" si="69"/>
        <v>408.8633771465116</v>
      </c>
      <c r="BD172" s="136"/>
      <c r="BE172" s="298">
        <v>10</v>
      </c>
      <c r="BF172" s="299">
        <f t="shared" si="41"/>
        <v>-86</v>
      </c>
      <c r="BG172" s="42">
        <f t="shared" si="42"/>
        <v>-86</v>
      </c>
      <c r="BH172" s="301">
        <f t="shared" si="38"/>
        <v>-289.72311331126275</v>
      </c>
      <c r="BI172" s="302">
        <f t="shared" si="39"/>
        <v>289.72311331126275</v>
      </c>
      <c r="BJ172" s="302">
        <f t="shared" si="43"/>
        <v>11.276886688737221</v>
      </c>
      <c r="BK172" s="302" t="b">
        <f t="shared" si="40"/>
        <v>0</v>
      </c>
      <c r="BL172" s="304">
        <v>10</v>
      </c>
      <c r="BM172" s="214"/>
      <c r="BN172" s="214"/>
      <c r="BO172" s="214"/>
      <c r="EK172" s="78"/>
      <c r="EL172" s="78"/>
    </row>
    <row r="173" spans="2:142" ht="23" thickBot="1" x14ac:dyDescent="0.35">
      <c r="B173" s="277">
        <v>4</v>
      </c>
      <c r="C173" s="278"/>
      <c r="D173" s="25">
        <v>0</v>
      </c>
      <c r="E173" s="279" t="s">
        <v>80</v>
      </c>
      <c r="F173" s="258"/>
      <c r="G173" s="258"/>
      <c r="H173" s="506">
        <v>479.77208100000001</v>
      </c>
      <c r="I173" s="507">
        <v>61.416098300000002</v>
      </c>
      <c r="J173" s="474">
        <f t="shared" si="70"/>
        <v>61.416098300000002</v>
      </c>
      <c r="K173" s="474">
        <f t="shared" si="48"/>
        <v>30.708049150000001</v>
      </c>
      <c r="L173" s="474">
        <f t="shared" si="49"/>
        <v>0.51066370850547771</v>
      </c>
      <c r="M173" s="474">
        <f t="shared" si="50"/>
        <v>245.00219012085046</v>
      </c>
      <c r="N173" s="474">
        <f t="shared" si="51"/>
        <v>490.00438024170091</v>
      </c>
      <c r="O173" s="474">
        <f>+C170+D171+D172+(D173/2)</f>
        <v>0</v>
      </c>
      <c r="P173" s="474">
        <f t="shared" si="52"/>
        <v>0</v>
      </c>
      <c r="Q173" s="474">
        <f t="shared" si="53"/>
        <v>0</v>
      </c>
      <c r="R173" s="474">
        <f t="shared" si="54"/>
        <v>334.49993130661176</v>
      </c>
      <c r="S173" s="474">
        <f t="shared" si="71"/>
        <v>334.49993130661176</v>
      </c>
      <c r="T173" s="476">
        <f t="shared" si="44"/>
        <v>334.49993130661176</v>
      </c>
      <c r="V173" s="437">
        <f t="shared" si="55"/>
        <v>0</v>
      </c>
      <c r="W173" s="437"/>
      <c r="X173" s="437"/>
      <c r="Y173" s="437"/>
      <c r="Z173" s="437"/>
      <c r="AA173" s="437"/>
      <c r="AB173" s="477"/>
      <c r="AC173" s="514" t="b">
        <f>IF(AD173=4,AF173)</f>
        <v>0</v>
      </c>
      <c r="AD173" s="514">
        <f t="shared" si="56"/>
        <v>1</v>
      </c>
      <c r="AE173" s="514">
        <f>IF(V173=0,0,4)</f>
        <v>0</v>
      </c>
      <c r="AF173" s="437">
        <f>SUM(V173:V181)/($B$167-B172)</f>
        <v>0</v>
      </c>
      <c r="AG173" s="437"/>
      <c r="AH173" s="450">
        <f>SUM(D171:D173)+$C$170</f>
        <v>0</v>
      </c>
      <c r="AI173" s="516" t="b">
        <f t="shared" si="57"/>
        <v>0</v>
      </c>
      <c r="AJ173" s="287">
        <f t="shared" si="58"/>
        <v>53.779595</v>
      </c>
      <c r="AK173" s="441">
        <f t="shared" si="72"/>
        <v>0.8067499259590819</v>
      </c>
      <c r="AL173" s="289">
        <f t="shared" si="59"/>
        <v>334.49997885066585</v>
      </c>
      <c r="AM173" s="287">
        <f t="shared" si="60"/>
        <v>59.291088500000001</v>
      </c>
      <c r="AN173" s="442">
        <f t="shared" si="61"/>
        <v>0.85977285389573432</v>
      </c>
      <c r="AO173" s="291">
        <f t="shared" si="62"/>
        <v>412.49502763654965</v>
      </c>
      <c r="AP173" s="519">
        <f t="shared" si="45"/>
        <v>-271.24499817952176</v>
      </c>
      <c r="AQ173" s="291">
        <f t="shared" si="73"/>
        <v>-144</v>
      </c>
      <c r="AR173" s="519">
        <f t="shared" si="46"/>
        <v>-45.7</v>
      </c>
      <c r="AS173" s="444">
        <f t="shared" si="63"/>
        <v>746.99500648721551</v>
      </c>
      <c r="AT173" s="445">
        <f t="shared" si="64"/>
        <v>-334.49997885066585</v>
      </c>
      <c r="AU173" s="446">
        <f t="shared" si="65"/>
        <v>63.254980671144097</v>
      </c>
      <c r="AV173" s="445"/>
      <c r="AW173" s="447">
        <f t="shared" si="66"/>
        <v>-41.830158044475823</v>
      </c>
      <c r="AX173" s="447">
        <f t="shared" si="67"/>
        <v>-3.8698419555241825</v>
      </c>
      <c r="AY173" s="448">
        <f t="shared" si="47"/>
        <v>-277.31188554598157</v>
      </c>
      <c r="AZ173" s="448">
        <f t="shared" si="68"/>
        <v>-2997.5384352430856</v>
      </c>
      <c r="BA173" s="451">
        <f t="shared" si="69"/>
        <v>277.31188554598157</v>
      </c>
      <c r="BB173" s="451">
        <f t="shared" si="69"/>
        <v>2997.5384352430856</v>
      </c>
      <c r="BD173" s="136"/>
      <c r="BE173" s="298">
        <v>11</v>
      </c>
      <c r="BF173" s="299">
        <f t="shared" si="41"/>
        <v>-43</v>
      </c>
      <c r="BG173" s="42">
        <f t="shared" si="42"/>
        <v>-43</v>
      </c>
      <c r="BH173" s="301">
        <f t="shared" si="38"/>
        <v>-246.72311331126278</v>
      </c>
      <c r="BI173" s="302">
        <f t="shared" si="39"/>
        <v>246.72311331126278</v>
      </c>
      <c r="BJ173" s="302">
        <f t="shared" si="43"/>
        <v>11.276886688737221</v>
      </c>
      <c r="BK173" s="302" t="b">
        <f t="shared" si="40"/>
        <v>0</v>
      </c>
      <c r="BL173" s="304">
        <v>11</v>
      </c>
      <c r="BM173" s="214"/>
      <c r="BN173" s="214"/>
      <c r="BO173" s="214"/>
      <c r="EK173" s="78"/>
      <c r="EL173" s="78"/>
    </row>
    <row r="174" spans="2:142" ht="23" thickBot="1" x14ac:dyDescent="0.35">
      <c r="B174" s="277">
        <v>5</v>
      </c>
      <c r="C174" s="278"/>
      <c r="D174" s="25">
        <v>0</v>
      </c>
      <c r="E174" s="279" t="s">
        <v>80</v>
      </c>
      <c r="F174" s="258"/>
      <c r="G174" s="258"/>
      <c r="H174" s="506">
        <v>479.77208100000001</v>
      </c>
      <c r="I174" s="507">
        <v>61.416098300000002</v>
      </c>
      <c r="J174" s="474">
        <f t="shared" si="70"/>
        <v>61.416098300000002</v>
      </c>
      <c r="K174" s="474">
        <f t="shared" si="48"/>
        <v>30.708049150000001</v>
      </c>
      <c r="L174" s="474">
        <f t="shared" si="49"/>
        <v>0.51066370850547771</v>
      </c>
      <c r="M174" s="474">
        <f t="shared" si="50"/>
        <v>245.00219012085046</v>
      </c>
      <c r="N174" s="474">
        <f t="shared" si="51"/>
        <v>490.00438024170091</v>
      </c>
      <c r="O174" s="474">
        <f>+C170+D171+D172+D173+(D174/2)</f>
        <v>0</v>
      </c>
      <c r="P174" s="474">
        <f t="shared" si="52"/>
        <v>0</v>
      </c>
      <c r="Q174" s="474">
        <f t="shared" si="53"/>
        <v>0</v>
      </c>
      <c r="R174" s="474">
        <f t="shared" si="54"/>
        <v>334.49993130661176</v>
      </c>
      <c r="S174" s="474">
        <f t="shared" si="71"/>
        <v>334.49993130661176</v>
      </c>
      <c r="T174" s="476">
        <f t="shared" si="44"/>
        <v>334.49993130661176</v>
      </c>
      <c r="V174" s="437">
        <f t="shared" si="55"/>
        <v>0</v>
      </c>
      <c r="W174" s="437"/>
      <c r="X174" s="437"/>
      <c r="Y174" s="437"/>
      <c r="Z174" s="437"/>
      <c r="AA174" s="437"/>
      <c r="AB174" s="477"/>
      <c r="AC174" s="514" t="b">
        <f>IF(AD174=5,AF174)</f>
        <v>0</v>
      </c>
      <c r="AD174" s="514">
        <f t="shared" si="56"/>
        <v>1</v>
      </c>
      <c r="AE174" s="514">
        <f>IF(V174=0,0,5)</f>
        <v>0</v>
      </c>
      <c r="AF174" s="437">
        <f>SUM(V174:V181)/($B$167-B173)</f>
        <v>0</v>
      </c>
      <c r="AG174" s="437"/>
      <c r="AH174" s="450">
        <f>SUM(D171:D174)+$C$170</f>
        <v>0</v>
      </c>
      <c r="AI174" s="516" t="b">
        <f t="shared" si="57"/>
        <v>0</v>
      </c>
      <c r="AJ174" s="287">
        <f t="shared" si="58"/>
        <v>53.779595</v>
      </c>
      <c r="AK174" s="441">
        <f t="shared" si="72"/>
        <v>0.8067499259590819</v>
      </c>
      <c r="AL174" s="289">
        <f t="shared" si="59"/>
        <v>334.49997885066585</v>
      </c>
      <c r="AM174" s="287">
        <f t="shared" si="60"/>
        <v>59.291088500000001</v>
      </c>
      <c r="AN174" s="442">
        <f t="shared" si="61"/>
        <v>0.85977285389573432</v>
      </c>
      <c r="AO174" s="291">
        <f t="shared" si="62"/>
        <v>412.49502763654965</v>
      </c>
      <c r="AP174" s="519">
        <f t="shared" si="45"/>
        <v>-105.31772656588059</v>
      </c>
      <c r="AQ174" s="291">
        <f t="shared" si="73"/>
        <v>-216</v>
      </c>
      <c r="AR174" s="519">
        <f t="shared" si="46"/>
        <v>-117.7</v>
      </c>
      <c r="AS174" s="444">
        <f t="shared" si="63"/>
        <v>746.99500648721551</v>
      </c>
      <c r="AT174" s="445">
        <f t="shared" si="64"/>
        <v>-334.49997885066585</v>
      </c>
      <c r="AU174" s="446">
        <f t="shared" si="65"/>
        <v>229.18225228478525</v>
      </c>
      <c r="AV174" s="445"/>
      <c r="AW174" s="447">
        <f t="shared" si="66"/>
        <v>-81.588980703138219</v>
      </c>
      <c r="AX174" s="447">
        <f t="shared" si="67"/>
        <v>-36.11101929686177</v>
      </c>
      <c r="AY174" s="448">
        <f t="shared" si="47"/>
        <v>-142.17606225780219</v>
      </c>
      <c r="AZ174" s="448">
        <f t="shared" si="68"/>
        <v>-321.23158597763808</v>
      </c>
      <c r="BA174" s="451">
        <f t="shared" si="69"/>
        <v>142.17606225780219</v>
      </c>
      <c r="BB174" s="451">
        <f t="shared" si="69"/>
        <v>321.23158597763808</v>
      </c>
      <c r="BD174" s="136"/>
      <c r="BE174" s="298">
        <v>12</v>
      </c>
      <c r="BF174" s="299">
        <f t="shared" si="41"/>
        <v>0</v>
      </c>
      <c r="BG174" s="42">
        <f t="shared" si="42"/>
        <v>0</v>
      </c>
      <c r="BH174" s="301">
        <f t="shared" si="38"/>
        <v>-203.72311331126278</v>
      </c>
      <c r="BI174" s="302">
        <f t="shared" si="39"/>
        <v>203.72311331126278</v>
      </c>
      <c r="BJ174" s="302">
        <f t="shared" si="43"/>
        <v>11.276886688737221</v>
      </c>
      <c r="BK174" s="302" t="b">
        <f t="shared" si="40"/>
        <v>0</v>
      </c>
      <c r="BL174" s="304">
        <v>12</v>
      </c>
      <c r="BM174" s="214"/>
      <c r="BN174" s="214"/>
      <c r="BO174" s="214"/>
      <c r="EK174" s="78"/>
      <c r="EL174" s="78"/>
    </row>
    <row r="175" spans="2:142" ht="23" thickBot="1" x14ac:dyDescent="0.35">
      <c r="B175" s="277">
        <v>6</v>
      </c>
      <c r="C175" s="278"/>
      <c r="D175" s="25">
        <v>0</v>
      </c>
      <c r="E175" s="279" t="s">
        <v>80</v>
      </c>
      <c r="F175" s="258"/>
      <c r="G175" s="258"/>
      <c r="H175" s="506">
        <v>479.77208100000001</v>
      </c>
      <c r="I175" s="507">
        <v>61.416098300000002</v>
      </c>
      <c r="J175" s="474">
        <f t="shared" si="70"/>
        <v>61.416098300000002</v>
      </c>
      <c r="K175" s="474">
        <f t="shared" si="48"/>
        <v>30.708049150000001</v>
      </c>
      <c r="L175" s="474">
        <f t="shared" si="49"/>
        <v>0.51066370850547771</v>
      </c>
      <c r="M175" s="474">
        <f t="shared" si="50"/>
        <v>245.00219012085046</v>
      </c>
      <c r="N175" s="474">
        <f t="shared" si="51"/>
        <v>490.00438024170091</v>
      </c>
      <c r="O175" s="474">
        <f>+C170+D171+D172+D173+D174+(D175/2)</f>
        <v>0</v>
      </c>
      <c r="P175" s="474">
        <f t="shared" si="52"/>
        <v>0</v>
      </c>
      <c r="Q175" s="474">
        <f t="shared" si="53"/>
        <v>0</v>
      </c>
      <c r="R175" s="474">
        <f t="shared" si="54"/>
        <v>334.49993130661176</v>
      </c>
      <c r="S175" s="474">
        <f t="shared" si="71"/>
        <v>334.49993130661176</v>
      </c>
      <c r="T175" s="476">
        <f t="shared" si="44"/>
        <v>334.49993130661176</v>
      </c>
      <c r="V175" s="437">
        <f t="shared" si="55"/>
        <v>0</v>
      </c>
      <c r="W175" s="437"/>
      <c r="X175" s="437"/>
      <c r="Y175" s="437"/>
      <c r="Z175" s="437"/>
      <c r="AA175" s="437"/>
      <c r="AB175" s="477"/>
      <c r="AC175" s="514" t="b">
        <f>IF(AD175=6,AF175)</f>
        <v>0</v>
      </c>
      <c r="AD175" s="514">
        <f t="shared" si="56"/>
        <v>1</v>
      </c>
      <c r="AE175" s="514">
        <f>IF(V175=0,0,6)</f>
        <v>0</v>
      </c>
      <c r="AF175" s="437">
        <f>SUM(V175:V181)/($B$167-B174)</f>
        <v>0</v>
      </c>
      <c r="AG175" s="437"/>
      <c r="AH175" s="450">
        <f>SUM(D171:D175)+$C$170</f>
        <v>0</v>
      </c>
      <c r="AI175" s="516" t="b">
        <f t="shared" si="57"/>
        <v>0</v>
      </c>
      <c r="AJ175" s="287">
        <f t="shared" si="58"/>
        <v>53.779595</v>
      </c>
      <c r="AK175" s="441">
        <f t="shared" si="72"/>
        <v>0.8067499259590819</v>
      </c>
      <c r="AL175" s="289">
        <f t="shared" si="59"/>
        <v>334.49997885066585</v>
      </c>
      <c r="AM175" s="287">
        <f t="shared" si="60"/>
        <v>59.291088500000001</v>
      </c>
      <c r="AN175" s="442">
        <f t="shared" si="61"/>
        <v>0.85977285389573432</v>
      </c>
      <c r="AO175" s="291">
        <f t="shared" si="62"/>
        <v>412.49502763654965</v>
      </c>
      <c r="AP175" s="519">
        <f t="shared" si="45"/>
        <v>-65.344735987370299</v>
      </c>
      <c r="AQ175" s="291">
        <f t="shared" si="73"/>
        <v>-288</v>
      </c>
      <c r="AR175" s="519">
        <f t="shared" si="46"/>
        <v>-189.7</v>
      </c>
      <c r="AS175" s="444">
        <f t="shared" si="63"/>
        <v>746.99500648721551</v>
      </c>
      <c r="AT175" s="445">
        <f t="shared" si="64"/>
        <v>-334.49997885066585</v>
      </c>
      <c r="AU175" s="446">
        <f t="shared" si="65"/>
        <v>269.15524286329554</v>
      </c>
      <c r="AV175" s="445"/>
      <c r="AW175" s="447">
        <f t="shared" si="66"/>
        <v>-121.34780336180062</v>
      </c>
      <c r="AX175" s="447">
        <f t="shared" si="67"/>
        <v>-68.352196638199359</v>
      </c>
      <c r="AY175" s="448">
        <f t="shared" si="47"/>
        <v>-95.592995329420148</v>
      </c>
      <c r="AZ175" s="448">
        <f t="shared" si="68"/>
        <v>-169.70924960028594</v>
      </c>
      <c r="BA175" s="451">
        <f t="shared" si="69"/>
        <v>95.592995329420148</v>
      </c>
      <c r="BB175" s="451">
        <f t="shared" si="69"/>
        <v>169.70924960028594</v>
      </c>
      <c r="BD175" s="136"/>
      <c r="BE175" s="298">
        <v>13</v>
      </c>
      <c r="BF175" s="299">
        <f t="shared" si="41"/>
        <v>43</v>
      </c>
      <c r="BG175" s="42">
        <f t="shared" si="42"/>
        <v>43</v>
      </c>
      <c r="BH175" s="301">
        <f t="shared" si="38"/>
        <v>-160.72311331126278</v>
      </c>
      <c r="BI175" s="302">
        <f t="shared" si="39"/>
        <v>160.72311331126278</v>
      </c>
      <c r="BJ175" s="302">
        <f t="shared" si="43"/>
        <v>11.276886688737221</v>
      </c>
      <c r="BK175" s="302" t="b">
        <f t="shared" si="40"/>
        <v>0</v>
      </c>
      <c r="BL175" s="304">
        <v>13</v>
      </c>
      <c r="BM175" s="214"/>
      <c r="BN175" s="214"/>
      <c r="BO175" s="214"/>
      <c r="EK175" s="78"/>
      <c r="EL175" s="78"/>
    </row>
    <row r="176" spans="2:142" ht="23" thickBot="1" x14ac:dyDescent="0.35">
      <c r="B176" s="277">
        <v>7</v>
      </c>
      <c r="C176" s="278"/>
      <c r="D176" s="25">
        <v>0</v>
      </c>
      <c r="E176" s="279" t="s">
        <v>80</v>
      </c>
      <c r="F176" s="258"/>
      <c r="G176" s="258"/>
      <c r="H176" s="506">
        <v>479.77208100000001</v>
      </c>
      <c r="I176" s="507">
        <v>61.416098300000002</v>
      </c>
      <c r="J176" s="474">
        <f t="shared" si="70"/>
        <v>61.416098300000002</v>
      </c>
      <c r="K176" s="474">
        <f t="shared" si="48"/>
        <v>30.708049150000001</v>
      </c>
      <c r="L176" s="474">
        <f t="shared" si="49"/>
        <v>0.51066370850547771</v>
      </c>
      <c r="M176" s="474">
        <f t="shared" si="50"/>
        <v>245.00219012085046</v>
      </c>
      <c r="N176" s="474">
        <f t="shared" si="51"/>
        <v>490.00438024170091</v>
      </c>
      <c r="O176" s="474">
        <f>+C170+D171+D172+D173+D174+D175+(D176/2)</f>
        <v>0</v>
      </c>
      <c r="P176" s="474">
        <f t="shared" si="52"/>
        <v>0</v>
      </c>
      <c r="Q176" s="474">
        <f t="shared" si="53"/>
        <v>0</v>
      </c>
      <c r="R176" s="474">
        <f t="shared" si="54"/>
        <v>334.49993130661176</v>
      </c>
      <c r="S176" s="474">
        <f t="shared" si="71"/>
        <v>334.49993130661176</v>
      </c>
      <c r="T176" s="476">
        <f t="shared" si="44"/>
        <v>334.49993130661176</v>
      </c>
      <c r="V176" s="437">
        <f t="shared" si="55"/>
        <v>0</v>
      </c>
      <c r="W176" s="437"/>
      <c r="X176" s="437"/>
      <c r="Y176" s="437"/>
      <c r="Z176" s="437"/>
      <c r="AA176" s="437"/>
      <c r="AB176" s="477"/>
      <c r="AC176" s="514" t="b">
        <f>IF(AD176=7,AF176)</f>
        <v>0</v>
      </c>
      <c r="AD176" s="514">
        <f t="shared" si="56"/>
        <v>1</v>
      </c>
      <c r="AE176" s="514">
        <f>IF(V176=0,0,7)</f>
        <v>0</v>
      </c>
      <c r="AF176" s="437">
        <f>SUM(V176:V181)/($B$167-B175)</f>
        <v>0</v>
      </c>
      <c r="AG176" s="437"/>
      <c r="AH176" s="450">
        <f>SUM(D171:D176)+$C$170</f>
        <v>0</v>
      </c>
      <c r="AI176" s="516" t="b">
        <f t="shared" si="57"/>
        <v>0</v>
      </c>
      <c r="AJ176" s="287">
        <f t="shared" si="58"/>
        <v>53.779595</v>
      </c>
      <c r="AK176" s="441">
        <f t="shared" si="72"/>
        <v>0.8067499259590819</v>
      </c>
      <c r="AL176" s="289">
        <f t="shared" si="59"/>
        <v>334.49997885066585</v>
      </c>
      <c r="AM176" s="287">
        <f t="shared" si="60"/>
        <v>59.291088500000001</v>
      </c>
      <c r="AN176" s="442">
        <f t="shared" si="61"/>
        <v>0.85977285389573432</v>
      </c>
      <c r="AO176" s="291">
        <f t="shared" si="62"/>
        <v>412.49502763654965</v>
      </c>
      <c r="AP176" s="519">
        <f t="shared" si="45"/>
        <v>-47.366818558670793</v>
      </c>
      <c r="AQ176" s="291">
        <f t="shared" si="73"/>
        <v>-360</v>
      </c>
      <c r="AR176" s="519">
        <f t="shared" si="46"/>
        <v>-261.7</v>
      </c>
      <c r="AS176" s="444">
        <f t="shared" si="63"/>
        <v>746.99500648721551</v>
      </c>
      <c r="AT176" s="445">
        <f t="shared" si="64"/>
        <v>-334.49997885066585</v>
      </c>
      <c r="AU176" s="446">
        <f t="shared" si="65"/>
        <v>287.13316029199507</v>
      </c>
      <c r="AV176" s="445"/>
      <c r="AW176" s="447">
        <f t="shared" si="66"/>
        <v>-161.10662602046304</v>
      </c>
      <c r="AX176" s="447">
        <f t="shared" si="67"/>
        <v>-100.59337397953696</v>
      </c>
      <c r="AY176" s="448">
        <f t="shared" si="47"/>
        <v>-72.002004427345028</v>
      </c>
      <c r="AZ176" s="448">
        <f t="shared" si="68"/>
        <v>-115.31574636675086</v>
      </c>
      <c r="BA176" s="451">
        <f t="shared" si="69"/>
        <v>72.002004427345028</v>
      </c>
      <c r="BB176" s="451">
        <f t="shared" si="69"/>
        <v>115.31574636675086</v>
      </c>
      <c r="BD176" s="136"/>
      <c r="BE176" s="298">
        <v>14</v>
      </c>
      <c r="BF176" s="299">
        <f t="shared" si="41"/>
        <v>86</v>
      </c>
      <c r="BG176" s="42">
        <f t="shared" si="42"/>
        <v>86</v>
      </c>
      <c r="BH176" s="301">
        <f t="shared" si="38"/>
        <v>-117.72311331126278</v>
      </c>
      <c r="BI176" s="302">
        <f t="shared" si="39"/>
        <v>117.72311331126278</v>
      </c>
      <c r="BJ176" s="302">
        <f t="shared" si="43"/>
        <v>11.276886688737221</v>
      </c>
      <c r="BK176" s="302" t="b">
        <f t="shared" si="40"/>
        <v>0</v>
      </c>
      <c r="BL176" s="304">
        <v>14</v>
      </c>
      <c r="EK176" s="78"/>
      <c r="EL176" s="78"/>
    </row>
    <row r="177" spans="2:142" ht="23" thickBot="1" x14ac:dyDescent="0.35">
      <c r="B177" s="277">
        <v>8</v>
      </c>
      <c r="C177" s="278"/>
      <c r="D177" s="25">
        <v>0</v>
      </c>
      <c r="E177" s="279" t="s">
        <v>80</v>
      </c>
      <c r="F177" s="258"/>
      <c r="G177" s="258"/>
      <c r="H177" s="506">
        <v>479.77208100000001</v>
      </c>
      <c r="I177" s="507">
        <v>61.416098300000002</v>
      </c>
      <c r="J177" s="474">
        <f t="shared" si="70"/>
        <v>61.416098300000002</v>
      </c>
      <c r="K177" s="474">
        <f t="shared" si="48"/>
        <v>30.708049150000001</v>
      </c>
      <c r="L177" s="474">
        <f t="shared" si="49"/>
        <v>0.51066370850547771</v>
      </c>
      <c r="M177" s="474">
        <f t="shared" si="50"/>
        <v>245.00219012085046</v>
      </c>
      <c r="N177" s="474">
        <f t="shared" si="51"/>
        <v>490.00438024170091</v>
      </c>
      <c r="O177" s="474">
        <f>+C170+D171+D172+D173+D174+D175+D176+(D177/2)</f>
        <v>0</v>
      </c>
      <c r="P177" s="474">
        <f t="shared" si="52"/>
        <v>0</v>
      </c>
      <c r="Q177" s="474">
        <f t="shared" si="53"/>
        <v>0</v>
      </c>
      <c r="R177" s="474">
        <f t="shared" si="54"/>
        <v>334.49993130661176</v>
      </c>
      <c r="S177" s="474">
        <f t="shared" si="71"/>
        <v>334.49993130661176</v>
      </c>
      <c r="T177" s="476">
        <f t="shared" si="44"/>
        <v>334.49993130661176</v>
      </c>
      <c r="V177" s="437">
        <f t="shared" si="55"/>
        <v>0</v>
      </c>
      <c r="W177" s="437"/>
      <c r="X177" s="437"/>
      <c r="Y177" s="437"/>
      <c r="Z177" s="437"/>
      <c r="AA177" s="437"/>
      <c r="AB177" s="477"/>
      <c r="AC177" s="514" t="b">
        <f>IF(AD177=8,AF177)</f>
        <v>0</v>
      </c>
      <c r="AD177" s="514">
        <f t="shared" si="56"/>
        <v>1</v>
      </c>
      <c r="AE177" s="514">
        <f>IF(V177=0,0,8)</f>
        <v>0</v>
      </c>
      <c r="AF177" s="437">
        <f>SUM(V177:V181)/($B$167-B176)</f>
        <v>0</v>
      </c>
      <c r="AG177" s="437"/>
      <c r="AH177" s="450">
        <f>SUM(D171:D177)+$C$170</f>
        <v>0</v>
      </c>
      <c r="AI177" s="516" t="b">
        <f t="shared" si="57"/>
        <v>0</v>
      </c>
      <c r="AJ177" s="287">
        <f t="shared" si="58"/>
        <v>53.779595</v>
      </c>
      <c r="AK177" s="441">
        <f t="shared" si="72"/>
        <v>0.8067499259590819</v>
      </c>
      <c r="AL177" s="289">
        <f t="shared" si="59"/>
        <v>334.49997885066585</v>
      </c>
      <c r="AM177" s="287">
        <f t="shared" si="60"/>
        <v>59.291088500000001</v>
      </c>
      <c r="AN177" s="442">
        <f t="shared" si="61"/>
        <v>0.85977285389573432</v>
      </c>
      <c r="AO177" s="291">
        <f t="shared" si="62"/>
        <v>412.49502763654965</v>
      </c>
      <c r="AP177" s="519">
        <f t="shared" si="45"/>
        <v>-37.146827739898548</v>
      </c>
      <c r="AQ177" s="291">
        <f t="shared" si="73"/>
        <v>-432</v>
      </c>
      <c r="AR177" s="519">
        <f t="shared" si="46"/>
        <v>-333.7</v>
      </c>
      <c r="AS177" s="444">
        <f t="shared" si="63"/>
        <v>746.99500648721551</v>
      </c>
      <c r="AT177" s="445">
        <f t="shared" si="64"/>
        <v>-334.49997885066585</v>
      </c>
      <c r="AU177" s="446">
        <f t="shared" si="65"/>
        <v>297.35315111076733</v>
      </c>
      <c r="AV177" s="445"/>
      <c r="AW177" s="447">
        <f t="shared" si="66"/>
        <v>-200.86544867912542</v>
      </c>
      <c r="AX177" s="447">
        <f t="shared" si="67"/>
        <v>-132.83455132087457</v>
      </c>
      <c r="AY177" s="448">
        <f t="shared" si="47"/>
        <v>-57.750101255744283</v>
      </c>
      <c r="AZ177" s="448">
        <f t="shared" si="68"/>
        <v>-87.326677318908466</v>
      </c>
      <c r="BA177" s="451">
        <f t="shared" si="69"/>
        <v>57.750101255744283</v>
      </c>
      <c r="BB177" s="451">
        <f t="shared" si="69"/>
        <v>87.326677318908466</v>
      </c>
      <c r="BD177" s="136"/>
      <c r="BE177" s="298">
        <v>15</v>
      </c>
      <c r="BF177" s="299">
        <f t="shared" si="41"/>
        <v>129</v>
      </c>
      <c r="BG177" s="42">
        <f t="shared" si="42"/>
        <v>129</v>
      </c>
      <c r="BH177" s="301">
        <f t="shared" si="38"/>
        <v>-74.723113311262779</v>
      </c>
      <c r="BI177" s="302">
        <f t="shared" si="39"/>
        <v>74.723113311262779</v>
      </c>
      <c r="BJ177" s="302">
        <f t="shared" si="43"/>
        <v>11.276886688737221</v>
      </c>
      <c r="BK177" s="302" t="b">
        <f t="shared" si="40"/>
        <v>0</v>
      </c>
      <c r="BL177" s="304">
        <v>15</v>
      </c>
      <c r="EK177" s="78"/>
      <c r="EL177" s="78"/>
    </row>
    <row r="178" spans="2:142" ht="23" thickBot="1" x14ac:dyDescent="0.35">
      <c r="B178" s="277">
        <v>9</v>
      </c>
      <c r="C178" s="278"/>
      <c r="D178" s="25">
        <v>0</v>
      </c>
      <c r="E178" s="279" t="s">
        <v>80</v>
      </c>
      <c r="F178" s="258"/>
      <c r="G178" s="258"/>
      <c r="H178" s="506">
        <v>479.77208100000001</v>
      </c>
      <c r="I178" s="507">
        <v>61.416098300000002</v>
      </c>
      <c r="J178" s="474">
        <f t="shared" si="70"/>
        <v>61.416098300000002</v>
      </c>
      <c r="K178" s="474">
        <f t="shared" si="48"/>
        <v>30.708049150000001</v>
      </c>
      <c r="L178" s="474">
        <f t="shared" si="49"/>
        <v>0.51066370850547771</v>
      </c>
      <c r="M178" s="474">
        <f t="shared" si="50"/>
        <v>245.00219012085046</v>
      </c>
      <c r="N178" s="474">
        <f t="shared" si="51"/>
        <v>490.00438024170091</v>
      </c>
      <c r="O178" s="474">
        <f>+C170+D171+D172+D173+D174+D175+D176+D177+(D178/2)</f>
        <v>0</v>
      </c>
      <c r="P178" s="474">
        <f t="shared" si="52"/>
        <v>0</v>
      </c>
      <c r="Q178" s="474">
        <f t="shared" si="53"/>
        <v>0</v>
      </c>
      <c r="R178" s="474">
        <f t="shared" si="54"/>
        <v>334.49993130661176</v>
      </c>
      <c r="S178" s="474">
        <f t="shared" si="71"/>
        <v>334.49993130661176</v>
      </c>
      <c r="T178" s="476">
        <f t="shared" si="44"/>
        <v>334.49993130661176</v>
      </c>
      <c r="V178" s="437">
        <f t="shared" si="55"/>
        <v>0</v>
      </c>
      <c r="W178" s="437"/>
      <c r="X178" s="437"/>
      <c r="Y178" s="437"/>
      <c r="Z178" s="437"/>
      <c r="AA178" s="437"/>
      <c r="AB178" s="477"/>
      <c r="AC178" s="514" t="b">
        <f>IF(AD178=9,AF178)</f>
        <v>0</v>
      </c>
      <c r="AD178" s="514">
        <f t="shared" si="56"/>
        <v>1</v>
      </c>
      <c r="AE178" s="514">
        <f>IF(V178=0,0,9)</f>
        <v>0</v>
      </c>
      <c r="AF178" s="437">
        <f>SUM(V178:V181)/($B$167-B177)</f>
        <v>0</v>
      </c>
      <c r="AG178" s="437"/>
      <c r="AH178" s="450">
        <f>SUM(D171:D178)+$C$170</f>
        <v>0</v>
      </c>
      <c r="AI178" s="516" t="b">
        <f t="shared" si="57"/>
        <v>0</v>
      </c>
      <c r="AJ178" s="287">
        <f t="shared" si="58"/>
        <v>53.779595</v>
      </c>
      <c r="AK178" s="441">
        <f t="shared" si="72"/>
        <v>0.8067499259590819</v>
      </c>
      <c r="AL178" s="289">
        <f t="shared" si="59"/>
        <v>334.49997885066585</v>
      </c>
      <c r="AM178" s="287">
        <f t="shared" si="60"/>
        <v>59.291088500000001</v>
      </c>
      <c r="AN178" s="442">
        <f t="shared" si="61"/>
        <v>0.85977285389573432</v>
      </c>
      <c r="AO178" s="291">
        <f t="shared" si="62"/>
        <v>412.49502763654965</v>
      </c>
      <c r="AP178" s="519">
        <f t="shared" si="45"/>
        <v>-30.554341673167723</v>
      </c>
      <c r="AQ178" s="291">
        <f t="shared" si="73"/>
        <v>-504</v>
      </c>
      <c r="AR178" s="519">
        <f t="shared" si="46"/>
        <v>-405.7</v>
      </c>
      <c r="AS178" s="444">
        <f t="shared" si="63"/>
        <v>746.99500648721551</v>
      </c>
      <c r="AT178" s="445">
        <f t="shared" si="64"/>
        <v>-334.49997885066585</v>
      </c>
      <c r="AU178" s="446">
        <f t="shared" si="65"/>
        <v>303.94563717749816</v>
      </c>
      <c r="AV178" s="445"/>
      <c r="AW178" s="447">
        <f t="shared" si="66"/>
        <v>-240.6242713377878</v>
      </c>
      <c r="AX178" s="447">
        <f t="shared" si="67"/>
        <v>-165.07572866221216</v>
      </c>
      <c r="AY178" s="448">
        <f t="shared" si="47"/>
        <v>-48.207938191388628</v>
      </c>
      <c r="AZ178" s="448">
        <f t="shared" si="68"/>
        <v>-70.270778714759544</v>
      </c>
      <c r="BA178" s="451">
        <f t="shared" si="69"/>
        <v>48.207938191388628</v>
      </c>
      <c r="BB178" s="451">
        <f t="shared" si="69"/>
        <v>70.270778714759544</v>
      </c>
      <c r="BD178" s="136"/>
      <c r="BE178" s="298">
        <v>16</v>
      </c>
      <c r="BF178" s="299">
        <f t="shared" si="41"/>
        <v>172</v>
      </c>
      <c r="BG178" s="42">
        <f t="shared" si="42"/>
        <v>172</v>
      </c>
      <c r="BH178" s="301">
        <f t="shared" si="38"/>
        <v>-31.723113311262779</v>
      </c>
      <c r="BI178" s="302">
        <f t="shared" si="39"/>
        <v>31.723113311262779</v>
      </c>
      <c r="BJ178" s="302">
        <f t="shared" si="43"/>
        <v>11.276886688737221</v>
      </c>
      <c r="BK178" s="302" t="b">
        <f t="shared" si="40"/>
        <v>0</v>
      </c>
      <c r="BL178" s="304">
        <v>16</v>
      </c>
      <c r="EK178" s="78"/>
      <c r="EL178" s="78"/>
    </row>
    <row r="179" spans="2:142" ht="23" thickBot="1" x14ac:dyDescent="0.35">
      <c r="B179" s="277">
        <v>10</v>
      </c>
      <c r="C179" s="278"/>
      <c r="D179" s="25">
        <v>0</v>
      </c>
      <c r="E179" s="279" t="s">
        <v>80</v>
      </c>
      <c r="F179" s="258"/>
      <c r="G179" s="258"/>
      <c r="H179" s="506">
        <v>479.77208100000001</v>
      </c>
      <c r="I179" s="507">
        <v>61.416098300000002</v>
      </c>
      <c r="J179" s="474">
        <f t="shared" si="70"/>
        <v>61.416098300000002</v>
      </c>
      <c r="K179" s="474">
        <f t="shared" si="48"/>
        <v>30.708049150000001</v>
      </c>
      <c r="L179" s="474">
        <f t="shared" si="49"/>
        <v>0.51066370850547771</v>
      </c>
      <c r="M179" s="474">
        <f>+L179*H179</f>
        <v>245.00219012085046</v>
      </c>
      <c r="N179" s="474">
        <f t="shared" si="51"/>
        <v>490.00438024170091</v>
      </c>
      <c r="O179" s="474">
        <f>+C170+D171+D172+D173+D174+D175+D176+D177+D178+(D179/2)</f>
        <v>0</v>
      </c>
      <c r="P179" s="474">
        <f t="shared" si="52"/>
        <v>0</v>
      </c>
      <c r="Q179" s="474">
        <f t="shared" si="53"/>
        <v>0</v>
      </c>
      <c r="R179" s="474">
        <f t="shared" si="54"/>
        <v>334.49993130661176</v>
      </c>
      <c r="S179" s="474">
        <f t="shared" si="71"/>
        <v>334.49993130661176</v>
      </c>
      <c r="T179" s="476">
        <f t="shared" si="44"/>
        <v>334.49993130661176</v>
      </c>
      <c r="V179" s="437">
        <f t="shared" si="55"/>
        <v>0</v>
      </c>
      <c r="W179" s="437"/>
      <c r="X179" s="437"/>
      <c r="Y179" s="437"/>
      <c r="Z179" s="437"/>
      <c r="AA179" s="437"/>
      <c r="AB179" s="477"/>
      <c r="AC179" s="514" t="b">
        <f>IF(AD179=10,AF179)</f>
        <v>0</v>
      </c>
      <c r="AD179" s="514">
        <f t="shared" si="56"/>
        <v>1</v>
      </c>
      <c r="AE179" s="514">
        <f>IF(V179=0,0,10)</f>
        <v>0</v>
      </c>
      <c r="AF179" s="437">
        <f>SUM(V179:V181)/($B$167-B178)</f>
        <v>0</v>
      </c>
      <c r="AG179" s="437"/>
      <c r="AH179" s="450">
        <f>SUM(D171:D179)+$C$170</f>
        <v>0</v>
      </c>
      <c r="AI179" s="516" t="b">
        <f t="shared" si="57"/>
        <v>0</v>
      </c>
      <c r="AJ179" s="287">
        <f t="shared" si="58"/>
        <v>53.779595</v>
      </c>
      <c r="AK179" s="441">
        <f t="shared" si="72"/>
        <v>0.8067499259590819</v>
      </c>
      <c r="AL179" s="289">
        <f t="shared" si="59"/>
        <v>334.49997885066585</v>
      </c>
      <c r="AM179" s="287">
        <f t="shared" si="60"/>
        <v>59.291088500000001</v>
      </c>
      <c r="AN179" s="442">
        <f t="shared" si="61"/>
        <v>0.85977285389573432</v>
      </c>
      <c r="AO179" s="291">
        <f t="shared" si="62"/>
        <v>412.49502763654965</v>
      </c>
      <c r="AP179" s="519">
        <f t="shared" si="45"/>
        <v>-25.949123752991724</v>
      </c>
      <c r="AQ179" s="291">
        <f t="shared" si="73"/>
        <v>-576</v>
      </c>
      <c r="AR179" s="519">
        <f t="shared" si="46"/>
        <v>-477.7</v>
      </c>
      <c r="AS179" s="444">
        <f t="shared" si="63"/>
        <v>746.99500648721551</v>
      </c>
      <c r="AT179" s="445">
        <f t="shared" si="64"/>
        <v>-334.49997885066585</v>
      </c>
      <c r="AU179" s="446">
        <f t="shared" si="65"/>
        <v>308.55085509767412</v>
      </c>
      <c r="AV179" s="445"/>
      <c r="AW179" s="447">
        <f t="shared" si="66"/>
        <v>-280.38309399645027</v>
      </c>
      <c r="AX179" s="447">
        <f t="shared" si="67"/>
        <v>-197.31690600354975</v>
      </c>
      <c r="AY179" s="448">
        <f t="shared" si="47"/>
        <v>-41.371966599907978</v>
      </c>
      <c r="AZ179" s="448">
        <f t="shared" si="68"/>
        <v>-58.788677741537846</v>
      </c>
      <c r="BA179" s="451">
        <f t="shared" si="69"/>
        <v>41.371966599907978</v>
      </c>
      <c r="BB179" s="451">
        <f t="shared" si="69"/>
        <v>58.788677741537846</v>
      </c>
      <c r="BD179" s="136"/>
      <c r="BE179" s="298">
        <v>17</v>
      </c>
      <c r="BF179" s="299">
        <f t="shared" si="41"/>
        <v>215</v>
      </c>
      <c r="BG179" s="42">
        <f t="shared" si="42"/>
        <v>215</v>
      </c>
      <c r="BH179" s="301">
        <f t="shared" si="38"/>
        <v>11.276886688737221</v>
      </c>
      <c r="BI179" s="302">
        <f t="shared" si="39"/>
        <v>11.276886688737221</v>
      </c>
      <c r="BJ179" s="302">
        <f t="shared" si="43"/>
        <v>11.276886688737221</v>
      </c>
      <c r="BK179" s="302">
        <f t="shared" si="40"/>
        <v>17</v>
      </c>
      <c r="BL179" s="304">
        <v>17</v>
      </c>
      <c r="EK179" s="78"/>
      <c r="EL179" s="78"/>
    </row>
    <row r="180" spans="2:142" ht="23" hidden="1" thickBot="1" x14ac:dyDescent="0.35">
      <c r="B180" s="277">
        <v>11</v>
      </c>
      <c r="C180" s="278"/>
      <c r="D180" s="25">
        <v>0</v>
      </c>
      <c r="E180" s="279" t="s">
        <v>80</v>
      </c>
      <c r="F180" s="258"/>
      <c r="G180" s="258"/>
      <c r="H180" s="506">
        <v>479.77208100000001</v>
      </c>
      <c r="I180" s="507">
        <v>61.416098300000002</v>
      </c>
      <c r="J180" s="474">
        <f t="shared" si="70"/>
        <v>61.416098300000002</v>
      </c>
      <c r="K180" s="474">
        <f t="shared" si="48"/>
        <v>30.708049150000001</v>
      </c>
      <c r="L180" s="474">
        <f t="shared" si="49"/>
        <v>0.51066370850547771</v>
      </c>
      <c r="M180" s="474">
        <f t="shared" si="50"/>
        <v>245.00219012085046</v>
      </c>
      <c r="N180" s="474">
        <f t="shared" si="51"/>
        <v>490.00438024170091</v>
      </c>
      <c r="O180" s="474">
        <f>+C170+D171+D172+D173+D174+D175+D176+D177+D178+D179+(D180/2)</f>
        <v>0</v>
      </c>
      <c r="P180" s="474">
        <f t="shared" si="52"/>
        <v>0</v>
      </c>
      <c r="Q180" s="474">
        <f t="shared" si="53"/>
        <v>0</v>
      </c>
      <c r="R180" s="474">
        <f t="shared" si="54"/>
        <v>334.49993130661176</v>
      </c>
      <c r="S180" s="474">
        <f t="shared" si="71"/>
        <v>334.49993130661176</v>
      </c>
      <c r="T180" s="476">
        <f t="shared" si="44"/>
        <v>334.49993130661176</v>
      </c>
      <c r="V180" s="437">
        <f t="shared" si="55"/>
        <v>0</v>
      </c>
      <c r="W180" s="437"/>
      <c r="X180" s="437"/>
      <c r="Y180" s="437"/>
      <c r="Z180" s="437"/>
      <c r="AA180" s="437"/>
      <c r="AB180" s="477"/>
      <c r="AC180" s="514" t="b">
        <f>IF(AD180=11,AF180)</f>
        <v>0</v>
      </c>
      <c r="AD180" s="514">
        <f t="shared" si="56"/>
        <v>1</v>
      </c>
      <c r="AE180" s="514">
        <f>IF(V180=0,0,11)</f>
        <v>0</v>
      </c>
      <c r="AF180" s="437">
        <f>SUM(V180:V181)/($B$167-B179)</f>
        <v>0</v>
      </c>
      <c r="AG180" s="437"/>
      <c r="AH180" s="450">
        <f>SUM(D171:D180)+$C$170</f>
        <v>0</v>
      </c>
      <c r="AI180" s="516" t="b">
        <f t="shared" si="57"/>
        <v>0</v>
      </c>
      <c r="AJ180" s="287">
        <f t="shared" si="58"/>
        <v>53.779595</v>
      </c>
      <c r="AK180" s="441">
        <f t="shared" si="72"/>
        <v>0.8067499259590819</v>
      </c>
      <c r="AL180" s="289">
        <f t="shared" si="59"/>
        <v>334.49997885066585</v>
      </c>
      <c r="AM180" s="287">
        <f t="shared" si="60"/>
        <v>59.291088500000001</v>
      </c>
      <c r="AN180" s="442">
        <f t="shared" si="61"/>
        <v>0.85977285389573432</v>
      </c>
      <c r="AO180" s="291">
        <f t="shared" si="62"/>
        <v>412.49502763654965</v>
      </c>
      <c r="AP180" s="519">
        <f t="shared" si="45"/>
        <v>-22.497089685669955</v>
      </c>
      <c r="AQ180" s="291">
        <f t="shared" si="73"/>
        <v>-648</v>
      </c>
      <c r="AR180" s="519">
        <f>+AQ180+$AQ$194+$AQ$225+31</f>
        <v>-551</v>
      </c>
      <c r="AS180" s="444">
        <f t="shared" si="63"/>
        <v>746.99500648721551</v>
      </c>
      <c r="AT180" s="445">
        <f t="shared" si="64"/>
        <v>-334.49997885066585</v>
      </c>
      <c r="AU180" s="446">
        <f t="shared" si="65"/>
        <v>312.00288916499591</v>
      </c>
      <c r="AV180" s="445"/>
      <c r="AW180" s="447">
        <f t="shared" si="66"/>
        <v>-320.85978428644961</v>
      </c>
      <c r="AX180" s="447">
        <f t="shared" si="67"/>
        <v>-230.14021571355036</v>
      </c>
      <c r="AY180" s="448">
        <f t="shared" si="47"/>
        <v>-36.152863550029771</v>
      </c>
      <c r="AZ180" s="448">
        <f t="shared" si="68"/>
        <v>-50.404054606597846</v>
      </c>
      <c r="BA180" s="451">
        <f t="shared" si="69"/>
        <v>36.152863550029771</v>
      </c>
      <c r="BB180" s="451">
        <f t="shared" si="69"/>
        <v>50.404054606597846</v>
      </c>
      <c r="BD180" s="136"/>
      <c r="BE180" s="298">
        <v>18</v>
      </c>
      <c r="BF180" s="299">
        <f t="shared" si="41"/>
        <v>258</v>
      </c>
      <c r="BG180" s="42">
        <f t="shared" si="42"/>
        <v>258</v>
      </c>
      <c r="BH180" s="301">
        <f t="shared" si="38"/>
        <v>54.276886688737221</v>
      </c>
      <c r="BI180" s="302">
        <f t="shared" si="39"/>
        <v>54.276886688737221</v>
      </c>
      <c r="BJ180" s="302">
        <f t="shared" si="43"/>
        <v>11.276886688737221</v>
      </c>
      <c r="BK180" s="302" t="b">
        <f t="shared" si="40"/>
        <v>0</v>
      </c>
      <c r="BL180" s="304">
        <v>18</v>
      </c>
      <c r="EK180" s="78"/>
      <c r="EL180" s="78"/>
    </row>
    <row r="181" spans="2:142" ht="23" hidden="1" thickBot="1" x14ac:dyDescent="0.35">
      <c r="B181" s="277">
        <v>12</v>
      </c>
      <c r="C181" s="278"/>
      <c r="D181" s="25">
        <v>0</v>
      </c>
      <c r="E181" s="279" t="s">
        <v>80</v>
      </c>
      <c r="F181" s="258"/>
      <c r="G181" s="258"/>
      <c r="H181" s="506">
        <v>479.77208100000001</v>
      </c>
      <c r="I181" s="507">
        <v>61.416098300000002</v>
      </c>
      <c r="J181" s="474">
        <f t="shared" si="70"/>
        <v>61.416098300000002</v>
      </c>
      <c r="K181" s="474">
        <f t="shared" si="48"/>
        <v>30.708049150000001</v>
      </c>
      <c r="L181" s="474">
        <f t="shared" si="49"/>
        <v>0.51066370850547771</v>
      </c>
      <c r="M181" s="474">
        <f t="shared" si="50"/>
        <v>245.00219012085046</v>
      </c>
      <c r="N181" s="474">
        <f t="shared" si="51"/>
        <v>490.00438024170091</v>
      </c>
      <c r="O181" s="474">
        <f>+C170+D171+D172+D173+D174+D175+D176+D177+D178+D179+D180+(D181/2)</f>
        <v>0</v>
      </c>
      <c r="P181" s="474">
        <f t="shared" si="52"/>
        <v>0</v>
      </c>
      <c r="Q181" s="474">
        <f t="shared" si="53"/>
        <v>0</v>
      </c>
      <c r="R181" s="474">
        <f t="shared" si="54"/>
        <v>334.49993130661176</v>
      </c>
      <c r="S181" s="474">
        <f t="shared" si="71"/>
        <v>334.49993130661176</v>
      </c>
      <c r="T181" s="476">
        <f t="shared" si="44"/>
        <v>334.49993130661176</v>
      </c>
      <c r="V181" s="437">
        <f t="shared" si="55"/>
        <v>0</v>
      </c>
      <c r="W181" s="437"/>
      <c r="X181" s="437"/>
      <c r="Y181" s="437"/>
      <c r="Z181" s="437"/>
      <c r="AA181" s="437"/>
      <c r="AB181" s="477"/>
      <c r="AC181" s="514" t="b">
        <f>IF(AD181=12,AF181)</f>
        <v>0</v>
      </c>
      <c r="AD181" s="514">
        <f t="shared" si="56"/>
        <v>1</v>
      </c>
      <c r="AE181" s="514">
        <f>IF(V181=0,0,12)</f>
        <v>0</v>
      </c>
      <c r="AF181" s="437">
        <f>SUM(V181)/($B$167-B180)</f>
        <v>0</v>
      </c>
      <c r="AG181" s="437"/>
      <c r="AH181" s="450">
        <f>SUM(D171:D181)+$C$170</f>
        <v>0</v>
      </c>
      <c r="AI181" s="516" t="b">
        <f t="shared" si="57"/>
        <v>0</v>
      </c>
      <c r="AJ181" s="287">
        <f t="shared" si="58"/>
        <v>53.779595</v>
      </c>
      <c r="AK181" s="441">
        <f t="shared" si="72"/>
        <v>0.8067499259590819</v>
      </c>
      <c r="AL181" s="289">
        <f t="shared" si="59"/>
        <v>334.49997885066585</v>
      </c>
      <c r="AM181" s="287">
        <f t="shared" si="60"/>
        <v>59.291088500000001</v>
      </c>
      <c r="AN181" s="442">
        <f t="shared" si="61"/>
        <v>0.85977285389573432</v>
      </c>
      <c r="AO181" s="291">
        <f t="shared" si="62"/>
        <v>412.49502763654965</v>
      </c>
      <c r="AP181" s="519">
        <f t="shared" si="45"/>
        <v>-19.897105002895898</v>
      </c>
      <c r="AQ181" s="291">
        <f t="shared" si="73"/>
        <v>-720</v>
      </c>
      <c r="AR181" s="519">
        <f>+AQ181+$AQ$194+$AQ$225+31</f>
        <v>-623</v>
      </c>
      <c r="AS181" s="444">
        <f t="shared" si="63"/>
        <v>746.99500648721551</v>
      </c>
      <c r="AT181" s="445">
        <f t="shared" si="64"/>
        <v>-334.49997885066585</v>
      </c>
      <c r="AU181" s="446">
        <f t="shared" si="65"/>
        <v>314.60287384776996</v>
      </c>
      <c r="AV181" s="445"/>
      <c r="AW181" s="447">
        <f t="shared" si="66"/>
        <v>-360.61860694511199</v>
      </c>
      <c r="AX181" s="447">
        <f t="shared" si="67"/>
        <v>-262.38139305488801</v>
      </c>
      <c r="AY181" s="448">
        <f t="shared" si="47"/>
        <v>-32.166948062570661</v>
      </c>
      <c r="AZ181" s="448">
        <f t="shared" si="68"/>
        <v>-44.2104520634715</v>
      </c>
      <c r="BA181" s="451">
        <f t="shared" si="69"/>
        <v>32.166948062570661</v>
      </c>
      <c r="BB181" s="451">
        <f t="shared" si="69"/>
        <v>44.2104520634715</v>
      </c>
      <c r="BD181" s="136"/>
      <c r="BE181" s="298">
        <v>19</v>
      </c>
      <c r="BF181" s="299">
        <f t="shared" si="41"/>
        <v>301</v>
      </c>
      <c r="BG181" s="42">
        <f t="shared" si="42"/>
        <v>301</v>
      </c>
      <c r="BH181" s="301">
        <f t="shared" si="38"/>
        <v>97.276886688737221</v>
      </c>
      <c r="BI181" s="302">
        <f t="shared" si="39"/>
        <v>97.276886688737221</v>
      </c>
      <c r="BJ181" s="302">
        <f t="shared" si="43"/>
        <v>11.276886688737221</v>
      </c>
      <c r="BK181" s="302" t="b">
        <f t="shared" si="40"/>
        <v>0</v>
      </c>
      <c r="BL181" s="304">
        <v>19</v>
      </c>
      <c r="EK181" s="78"/>
      <c r="EL181" s="78"/>
    </row>
    <row r="182" spans="2:142" ht="24" thickBot="1" x14ac:dyDescent="0.35">
      <c r="U182" s="276"/>
      <c r="AH182" s="554" t="s">
        <v>79</v>
      </c>
      <c r="AI182" s="555">
        <f>MAX(AI170:AI181)</f>
        <v>0</v>
      </c>
      <c r="BD182" s="136"/>
      <c r="BE182" s="298">
        <v>20</v>
      </c>
      <c r="BF182" s="299">
        <f t="shared" si="41"/>
        <v>344</v>
      </c>
      <c r="BG182" s="42">
        <f t="shared" si="42"/>
        <v>344</v>
      </c>
      <c r="BH182" s="301">
        <f t="shared" si="38"/>
        <v>140.27688668873722</v>
      </c>
      <c r="BI182" s="302">
        <f t="shared" si="39"/>
        <v>140.27688668873722</v>
      </c>
      <c r="BJ182" s="302">
        <f t="shared" si="43"/>
        <v>11.276886688737221</v>
      </c>
      <c r="BK182" s="302" t="b">
        <f t="shared" si="40"/>
        <v>0</v>
      </c>
      <c r="BL182" s="304">
        <v>20</v>
      </c>
      <c r="EK182" s="78"/>
      <c r="EL182" s="78"/>
    </row>
    <row r="183" spans="2:142" ht="27" hidden="1" thickBot="1" x14ac:dyDescent="0.35">
      <c r="B183" s="350"/>
      <c r="U183" s="276"/>
      <c r="AL183" s="845" t="s">
        <v>201</v>
      </c>
      <c r="AM183" s="846"/>
      <c r="AN183" s="846"/>
      <c r="AO183" s="846"/>
      <c r="AP183" s="847"/>
      <c r="BE183" s="298">
        <v>21</v>
      </c>
      <c r="BF183" s="299">
        <f t="shared" si="41"/>
        <v>387</v>
      </c>
      <c r="BG183" s="42">
        <f t="shared" si="42"/>
        <v>387</v>
      </c>
      <c r="BH183" s="301">
        <f t="shared" si="38"/>
        <v>183.27688668873722</v>
      </c>
      <c r="BI183" s="302">
        <f t="shared" si="39"/>
        <v>183.27688668873722</v>
      </c>
      <c r="BJ183" s="302">
        <f t="shared" si="43"/>
        <v>11.276886688737221</v>
      </c>
      <c r="BK183" s="302" t="b">
        <f t="shared" si="40"/>
        <v>0</v>
      </c>
      <c r="BL183" s="304">
        <v>21</v>
      </c>
    </row>
    <row r="184" spans="2:142" ht="146" hidden="1" thickBot="1" x14ac:dyDescent="0.35">
      <c r="B184" s="350"/>
      <c r="AB184" s="415"/>
      <c r="AC184" s="415"/>
      <c r="AD184" s="415"/>
      <c r="AE184" s="415"/>
      <c r="AH184" s="546" t="s">
        <v>79</v>
      </c>
      <c r="AI184" s="547">
        <f>MAX(AI170:AI182)</f>
        <v>0</v>
      </c>
      <c r="AL184" s="814" t="s">
        <v>175</v>
      </c>
      <c r="AM184" s="815" t="s">
        <v>176</v>
      </c>
      <c r="AN184" s="815" t="s">
        <v>177</v>
      </c>
      <c r="AO184" s="816" t="s">
        <v>181</v>
      </c>
      <c r="AP184" s="817"/>
      <c r="BE184" s="298">
        <v>22</v>
      </c>
      <c r="BF184" s="299">
        <f t="shared" si="41"/>
        <v>430</v>
      </c>
      <c r="BG184" s="42">
        <f t="shared" si="42"/>
        <v>430</v>
      </c>
      <c r="BH184" s="301">
        <f t="shared" si="38"/>
        <v>226.27688668873722</v>
      </c>
      <c r="BI184" s="302">
        <f t="shared" si="39"/>
        <v>226.27688668873722</v>
      </c>
      <c r="BJ184" s="302">
        <f t="shared" si="43"/>
        <v>11.276886688737221</v>
      </c>
      <c r="BK184" s="302" t="b">
        <f t="shared" si="40"/>
        <v>0</v>
      </c>
      <c r="BL184" s="304">
        <v>22</v>
      </c>
    </row>
    <row r="185" spans="2:142" ht="25" hidden="1" thickBot="1" x14ac:dyDescent="0.35">
      <c r="B185" s="350"/>
      <c r="AB185" s="415"/>
      <c r="AC185" s="415"/>
      <c r="AD185" s="415"/>
      <c r="AE185" s="415"/>
      <c r="AH185" s="853"/>
      <c r="AI185" s="854"/>
      <c r="AL185" s="818">
        <v>6.8623010000000004</v>
      </c>
      <c r="AM185" s="819">
        <f>+(AI184*-1)-AL185</f>
        <v>-6.8623010000000004</v>
      </c>
      <c r="AN185" s="820">
        <f>COS(AM185*3.14159265358979/180)</f>
        <v>0.99283617366519983</v>
      </c>
      <c r="AO185" s="848">
        <f>+AN185*378.71303</f>
        <v>375.99999562235405</v>
      </c>
      <c r="AP185" s="821"/>
      <c r="BE185" s="298"/>
      <c r="BF185" s="299"/>
      <c r="BG185" s="42"/>
      <c r="BH185" s="301"/>
      <c r="BI185" s="302"/>
      <c r="BJ185" s="302"/>
      <c r="BK185" s="302"/>
      <c r="BL185" s="304"/>
    </row>
    <row r="186" spans="2:142" ht="27" hidden="1" thickBot="1" x14ac:dyDescent="0.35">
      <c r="B186" s="350"/>
      <c r="AB186" s="415"/>
      <c r="AC186" s="415"/>
      <c r="AD186" s="415"/>
      <c r="AE186" s="415"/>
      <c r="AH186" s="853"/>
      <c r="AI186" s="854"/>
      <c r="AL186" s="844" t="s">
        <v>202</v>
      </c>
      <c r="AM186" s="849"/>
      <c r="AN186" s="849"/>
      <c r="AO186" s="849"/>
      <c r="AP186" s="850"/>
      <c r="BE186" s="298"/>
      <c r="BF186" s="299"/>
      <c r="BG186" s="42"/>
      <c r="BH186" s="301"/>
      <c r="BI186" s="302"/>
      <c r="BJ186" s="302"/>
      <c r="BK186" s="302"/>
      <c r="BL186" s="304"/>
    </row>
    <row r="187" spans="2:142" ht="385" hidden="1" x14ac:dyDescent="0.3">
      <c r="B187" s="350"/>
      <c r="AB187" s="415"/>
      <c r="AC187" s="415"/>
      <c r="AD187" s="415"/>
      <c r="AE187" s="415"/>
      <c r="AH187" s="853"/>
      <c r="AI187" s="854"/>
      <c r="AL187" s="851"/>
      <c r="AM187" s="815" t="s">
        <v>194</v>
      </c>
      <c r="AN187" s="815" t="s">
        <v>193</v>
      </c>
      <c r="AO187" s="816" t="s">
        <v>203</v>
      </c>
      <c r="AP187" s="843" t="s">
        <v>191</v>
      </c>
      <c r="BE187" s="298"/>
      <c r="BF187" s="299"/>
      <c r="BG187" s="42"/>
      <c r="BH187" s="301"/>
      <c r="BI187" s="302"/>
      <c r="BJ187" s="302"/>
      <c r="BK187" s="302"/>
      <c r="BL187" s="304"/>
    </row>
    <row r="188" spans="2:142" ht="25" hidden="1" thickBot="1" x14ac:dyDescent="0.35">
      <c r="V188" s="187"/>
      <c r="W188" s="187"/>
      <c r="X188" s="187"/>
      <c r="Y188" s="187"/>
      <c r="Z188" s="187"/>
      <c r="AA188" s="187"/>
      <c r="AB188" s="187"/>
      <c r="AC188" s="187"/>
      <c r="AD188" s="187"/>
      <c r="AE188" s="187"/>
      <c r="AF188" s="187"/>
      <c r="AG188" s="187"/>
      <c r="AH188" s="187"/>
      <c r="AI188" s="187"/>
      <c r="AJ188" s="187"/>
      <c r="AK188" s="187"/>
      <c r="AL188" s="852"/>
      <c r="AM188" s="822">
        <f>+AI184</f>
        <v>0</v>
      </c>
      <c r="AN188" s="823">
        <f>SIN(AM188*3.14159265358979/180)</f>
        <v>0</v>
      </c>
      <c r="AO188" s="824">
        <f>+AN188*((+B135*358.6)+(B167*491.5)+119+119+119)</f>
        <v>0</v>
      </c>
      <c r="AP188" s="825">
        <f>+AO185+AO188</f>
        <v>375.99999562235405</v>
      </c>
      <c r="AQ188" s="187"/>
      <c r="AR188" s="187"/>
      <c r="AS188" s="187"/>
      <c r="AT188" s="187">
        <f>+AS170-AP170</f>
        <v>532.78542650553504</v>
      </c>
      <c r="AU188" s="187"/>
      <c r="AV188" s="187"/>
      <c r="AW188" s="187"/>
      <c r="AX188" s="187"/>
      <c r="AY188" s="187"/>
      <c r="AZ188" s="187"/>
      <c r="BA188" s="187"/>
      <c r="BB188" s="187"/>
      <c r="BC188" s="126"/>
      <c r="BE188" s="298">
        <v>23</v>
      </c>
      <c r="BF188" s="299">
        <f>+BF184+43</f>
        <v>473</v>
      </c>
      <c r="BG188" s="42">
        <f>+BG184+$E$2</f>
        <v>473</v>
      </c>
      <c r="BH188" s="301">
        <f t="shared" si="38"/>
        <v>269.27688668873725</v>
      </c>
      <c r="BI188" s="302">
        <f t="shared" si="39"/>
        <v>269.27688668873725</v>
      </c>
      <c r="BJ188" s="302">
        <f>+BJ184</f>
        <v>11.276886688737221</v>
      </c>
      <c r="BK188" s="302" t="b">
        <f t="shared" si="40"/>
        <v>0</v>
      </c>
      <c r="BL188" s="304">
        <v>23</v>
      </c>
    </row>
    <row r="189" spans="2:142" ht="21" hidden="1" thickBot="1" x14ac:dyDescent="0.35">
      <c r="V189" s="187"/>
      <c r="W189" s="187"/>
      <c r="X189" s="187"/>
      <c r="Y189" s="187"/>
      <c r="Z189" s="187"/>
      <c r="AA189" s="187"/>
      <c r="AB189" s="187"/>
      <c r="AC189" s="187"/>
      <c r="AD189" s="187"/>
      <c r="AE189" s="187"/>
      <c r="AF189" s="187"/>
      <c r="AG189" s="187"/>
      <c r="AH189" s="187"/>
      <c r="AI189" s="187"/>
      <c r="AJ189" s="187"/>
      <c r="AK189" s="187"/>
      <c r="AL189" s="187"/>
      <c r="AM189" s="187"/>
      <c r="AN189" s="187"/>
      <c r="AO189" s="187"/>
      <c r="AP189" s="187"/>
      <c r="AQ189" s="187"/>
      <c r="AR189" s="187"/>
      <c r="AS189" s="187"/>
      <c r="AT189" s="187"/>
      <c r="AU189" s="187"/>
      <c r="AV189" s="187"/>
      <c r="AW189" s="187"/>
      <c r="AX189" s="187"/>
      <c r="AY189" s="187"/>
      <c r="AZ189" s="187"/>
      <c r="BA189" s="187"/>
      <c r="BB189" s="187"/>
      <c r="BC189" s="126"/>
      <c r="BE189" s="298">
        <v>24</v>
      </c>
      <c r="BF189" s="299">
        <f t="shared" si="41"/>
        <v>516</v>
      </c>
      <c r="BG189" s="42">
        <f t="shared" si="42"/>
        <v>516</v>
      </c>
      <c r="BH189" s="301">
        <f t="shared" si="38"/>
        <v>312.27688668873725</v>
      </c>
      <c r="BI189" s="302">
        <f t="shared" si="39"/>
        <v>312.27688668873725</v>
      </c>
      <c r="BJ189" s="302">
        <f t="shared" si="43"/>
        <v>11.276886688737221</v>
      </c>
      <c r="BK189" s="302" t="b">
        <f t="shared" si="40"/>
        <v>0</v>
      </c>
      <c r="BL189" s="304">
        <v>24</v>
      </c>
    </row>
    <row r="190" spans="2:142" ht="67.5" customHeight="1" thickBot="1" x14ac:dyDescent="0.35">
      <c r="B190" s="345" t="s">
        <v>118</v>
      </c>
      <c r="C190" s="454"/>
      <c r="D190" s="455"/>
      <c r="E190" s="37"/>
      <c r="F190" s="37"/>
      <c r="G190" s="37"/>
      <c r="H190" s="456"/>
      <c r="I190" s="456"/>
      <c r="J190" s="456"/>
      <c r="K190" s="456"/>
      <c r="L190" s="456"/>
      <c r="M190" s="456"/>
      <c r="N190" s="456"/>
      <c r="O190" s="456"/>
      <c r="P190" s="456"/>
      <c r="Q190" s="456"/>
      <c r="R190" s="456"/>
      <c r="S190" s="457" t="s">
        <v>66</v>
      </c>
      <c r="T190" s="457">
        <f>SUM(V194:V213)/B191</f>
        <v>213.83080000000001</v>
      </c>
      <c r="U190" s="212"/>
      <c r="V190" s="187"/>
      <c r="W190" s="187"/>
      <c r="X190" s="187"/>
      <c r="Y190" s="187"/>
      <c r="Z190" s="187"/>
      <c r="AA190" s="187"/>
      <c r="AB190" s="187"/>
      <c r="AC190" s="187"/>
      <c r="AD190" s="187"/>
      <c r="AE190" s="187"/>
      <c r="AF190" s="187"/>
      <c r="AG190" s="187"/>
      <c r="AH190" s="187"/>
      <c r="AI190" s="187"/>
      <c r="AJ190" s="187"/>
      <c r="AK190" s="187"/>
      <c r="AL190" s="187"/>
      <c r="AM190" s="187"/>
      <c r="AN190" s="187"/>
      <c r="AO190" s="187"/>
      <c r="AP190" s="187"/>
      <c r="AQ190" s="187"/>
      <c r="AR190" s="187"/>
      <c r="AS190" s="187"/>
      <c r="AT190" s="187"/>
      <c r="AU190" s="187"/>
      <c r="AV190" s="187"/>
      <c r="AW190" s="187"/>
      <c r="AX190" s="187"/>
      <c r="AY190" s="187"/>
      <c r="AZ190" s="187"/>
      <c r="BA190" s="187"/>
      <c r="BB190" s="187"/>
      <c r="BC190" s="126"/>
      <c r="BE190" s="298">
        <v>25</v>
      </c>
      <c r="BF190" s="299">
        <f t="shared" si="41"/>
        <v>559</v>
      </c>
      <c r="BG190" s="42">
        <f t="shared" si="42"/>
        <v>559</v>
      </c>
      <c r="BH190" s="301">
        <f t="shared" si="38"/>
        <v>355.27688668873725</v>
      </c>
      <c r="BI190" s="302">
        <f t="shared" si="39"/>
        <v>355.27688668873725</v>
      </c>
      <c r="BJ190" s="302">
        <f t="shared" si="43"/>
        <v>11.276886688737221</v>
      </c>
      <c r="BK190" s="302" t="b">
        <f t="shared" si="40"/>
        <v>0</v>
      </c>
      <c r="BL190" s="304">
        <v>25</v>
      </c>
    </row>
    <row r="191" spans="2:142" ht="48.75" customHeight="1" thickBot="1" x14ac:dyDescent="0.35">
      <c r="B191" s="27">
        <v>1</v>
      </c>
      <c r="C191" s="216"/>
      <c r="D191" s="556" t="s">
        <v>117</v>
      </c>
      <c r="E191" s="330"/>
      <c r="F191" s="330"/>
      <c r="G191" s="330"/>
      <c r="H191" s="460"/>
      <c r="I191" s="461"/>
      <c r="J191" s="461"/>
      <c r="K191" s="461"/>
      <c r="L191" s="461"/>
      <c r="M191" s="461"/>
      <c r="N191" s="461"/>
      <c r="O191" s="461"/>
      <c r="P191" s="461"/>
      <c r="Q191" s="461"/>
      <c r="R191" s="461"/>
      <c r="S191" s="462"/>
      <c r="T191" s="463"/>
      <c r="U191" s="401"/>
      <c r="V191" s="464"/>
      <c r="W191" s="1850" t="s">
        <v>93</v>
      </c>
      <c r="X191" s="1850"/>
      <c r="Y191" s="1850"/>
      <c r="Z191" s="1850"/>
      <c r="AA191" s="1850"/>
      <c r="AB191" s="464"/>
      <c r="AC191" s="464"/>
      <c r="AD191" s="464"/>
      <c r="AE191" s="464"/>
      <c r="AF191" s="464"/>
      <c r="AG191" s="464"/>
      <c r="AH191" s="464"/>
      <c r="AI191" s="464"/>
      <c r="AJ191" s="464"/>
      <c r="AK191" s="464"/>
      <c r="AL191" s="464"/>
      <c r="AM191" s="464"/>
      <c r="AN191" s="464"/>
      <c r="AO191" s="464"/>
      <c r="AP191" s="464"/>
      <c r="AQ191" s="464"/>
      <c r="AR191" s="464"/>
      <c r="AS191" s="464"/>
      <c r="AT191" s="464"/>
      <c r="AU191" s="464"/>
      <c r="AV191" s="464"/>
      <c r="AW191" s="464"/>
      <c r="AX191" s="464"/>
      <c r="AY191" s="464"/>
      <c r="AZ191" s="464"/>
      <c r="BA191" s="1848" t="s">
        <v>52</v>
      </c>
      <c r="BB191" s="1849"/>
      <c r="BC191" s="218"/>
      <c r="BE191" s="298">
        <v>26</v>
      </c>
      <c r="BF191" s="299">
        <f t="shared" si="41"/>
        <v>602</v>
      </c>
      <c r="BG191" s="42">
        <f t="shared" si="42"/>
        <v>602</v>
      </c>
      <c r="BH191" s="301">
        <f t="shared" si="38"/>
        <v>398.27688668873725</v>
      </c>
      <c r="BI191" s="302">
        <f t="shared" si="39"/>
        <v>398.27688668873725</v>
      </c>
      <c r="BJ191" s="302">
        <f t="shared" si="43"/>
        <v>11.276886688737221</v>
      </c>
      <c r="BK191" s="302" t="b">
        <f t="shared" si="40"/>
        <v>0</v>
      </c>
      <c r="BL191" s="304">
        <v>26</v>
      </c>
      <c r="BP191" s="305"/>
      <c r="BQ191" s="305"/>
      <c r="BR191" s="305"/>
      <c r="BS191" s="305"/>
      <c r="BT191" s="305"/>
      <c r="BU191" s="305"/>
      <c r="BV191" s="1818"/>
      <c r="BW191" s="1818"/>
      <c r="BX191" s="1818"/>
      <c r="BY191" s="126"/>
    </row>
    <row r="192" spans="2:142" ht="60" hidden="1" thickBot="1" x14ac:dyDescent="0.35">
      <c r="C192" s="416"/>
      <c r="D192" s="354" t="s">
        <v>13</v>
      </c>
      <c r="H192" s="465" t="s">
        <v>4</v>
      </c>
      <c r="I192" s="465" t="s">
        <v>1</v>
      </c>
      <c r="J192" s="456" t="s">
        <v>0</v>
      </c>
      <c r="K192" s="456" t="s">
        <v>2</v>
      </c>
      <c r="L192" s="456" t="s">
        <v>3</v>
      </c>
      <c r="M192" s="456" t="s">
        <v>8</v>
      </c>
      <c r="N192" s="456" t="s">
        <v>5</v>
      </c>
      <c r="O192" s="456" t="s">
        <v>6</v>
      </c>
      <c r="P192" s="456" t="s">
        <v>7</v>
      </c>
      <c r="Q192" s="456" t="s">
        <v>9</v>
      </c>
      <c r="R192" s="466" t="s">
        <v>10</v>
      </c>
      <c r="S192" s="456" t="s">
        <v>11</v>
      </c>
      <c r="T192" s="467" t="s">
        <v>12</v>
      </c>
      <c r="V192" s="420"/>
      <c r="W192" s="356" t="s">
        <v>140</v>
      </c>
      <c r="X192" s="316" t="s">
        <v>94</v>
      </c>
      <c r="Y192" s="356" t="s">
        <v>141</v>
      </c>
      <c r="Z192" s="419" t="s">
        <v>100</v>
      </c>
      <c r="AA192" s="419" t="s">
        <v>96</v>
      </c>
      <c r="AB192" s="420"/>
      <c r="AC192" s="316" t="s">
        <v>99</v>
      </c>
      <c r="AD192" s="420"/>
      <c r="AE192" s="420"/>
      <c r="AF192" s="420"/>
      <c r="AG192" s="420"/>
      <c r="AH192" s="420"/>
      <c r="AI192" s="420"/>
      <c r="AJ192" s="420"/>
      <c r="AK192" s="420"/>
      <c r="AL192" s="420"/>
      <c r="AM192" s="420"/>
      <c r="AN192" s="420"/>
      <c r="AO192" s="420"/>
      <c r="AP192" s="420"/>
      <c r="AQ192" s="420"/>
      <c r="AR192" s="420"/>
      <c r="AS192" s="420"/>
      <c r="AT192" s="420"/>
      <c r="AU192" s="420"/>
      <c r="AV192" s="420"/>
      <c r="AW192" s="420"/>
      <c r="AX192" s="420"/>
      <c r="AY192" s="415"/>
      <c r="AZ192" s="420"/>
      <c r="BA192" s="420"/>
      <c r="BB192" s="420"/>
      <c r="BC192" s="231"/>
      <c r="BE192" s="298">
        <v>27</v>
      </c>
      <c r="BF192" s="299">
        <f t="shared" si="41"/>
        <v>645</v>
      </c>
      <c r="BG192" s="42">
        <f t="shared" si="42"/>
        <v>645</v>
      </c>
      <c r="BH192" s="301">
        <f t="shared" si="38"/>
        <v>441.27688668873725</v>
      </c>
      <c r="BI192" s="302">
        <f t="shared" si="39"/>
        <v>441.27688668873725</v>
      </c>
      <c r="BJ192" s="302">
        <f t="shared" si="43"/>
        <v>11.276886688737221</v>
      </c>
      <c r="BK192" s="302" t="b">
        <f t="shared" si="40"/>
        <v>0</v>
      </c>
      <c r="BL192" s="304">
        <v>27</v>
      </c>
      <c r="BV192" s="306"/>
      <c r="CI192" s="306"/>
    </row>
    <row r="193" spans="1:109" ht="34.5" customHeight="1" thickBot="1" x14ac:dyDescent="0.35">
      <c r="B193" s="421"/>
      <c r="C193" s="422"/>
      <c r="D193" s="551" t="s">
        <v>22</v>
      </c>
      <c r="E193" s="330"/>
      <c r="F193" s="468" t="s">
        <v>45</v>
      </c>
      <c r="G193" s="240"/>
      <c r="H193" s="469"/>
      <c r="I193" s="470"/>
      <c r="R193" s="466"/>
      <c r="T193" s="471"/>
      <c r="V193" s="420"/>
      <c r="W193" s="420"/>
      <c r="X193" s="420"/>
      <c r="Y193" s="420"/>
      <c r="Z193" s="420"/>
      <c r="AA193" s="420"/>
      <c r="AB193" s="420"/>
      <c r="AC193" s="423">
        <f>SUM(AC194:AC213)</f>
        <v>213.83080000000001</v>
      </c>
      <c r="AD193" s="420"/>
      <c r="AE193" s="420"/>
      <c r="AF193" s="420" t="s">
        <v>38</v>
      </c>
      <c r="AG193" s="552" t="s">
        <v>102</v>
      </c>
      <c r="AH193" s="425" t="s">
        <v>31</v>
      </c>
      <c r="AI193" s="425"/>
      <c r="AJ193" s="368" t="s">
        <v>120</v>
      </c>
      <c r="AK193" s="426" t="s">
        <v>32</v>
      </c>
      <c r="AL193" s="472" t="s">
        <v>142</v>
      </c>
      <c r="AM193" s="368" t="s">
        <v>121</v>
      </c>
      <c r="AN193" s="427" t="s">
        <v>34</v>
      </c>
      <c r="AO193" s="472" t="s">
        <v>143</v>
      </c>
      <c r="AP193" s="428" t="s">
        <v>48</v>
      </c>
      <c r="AQ193" s="473" t="s">
        <v>36</v>
      </c>
      <c r="AR193" s="420" t="s">
        <v>208</v>
      </c>
      <c r="AS193" s="420" t="s">
        <v>37</v>
      </c>
      <c r="AT193" s="420" t="s">
        <v>39</v>
      </c>
      <c r="AU193" s="420" t="s">
        <v>208</v>
      </c>
      <c r="AV193" s="420" t="s">
        <v>40</v>
      </c>
      <c r="AW193" s="429" t="s">
        <v>41</v>
      </c>
      <c r="AX193" s="429" t="s">
        <v>42</v>
      </c>
      <c r="AY193" s="430" t="s">
        <v>23</v>
      </c>
      <c r="AZ193" s="430" t="s">
        <v>24</v>
      </c>
      <c r="BA193" s="431" t="s">
        <v>23</v>
      </c>
      <c r="BB193" s="431" t="s">
        <v>24</v>
      </c>
      <c r="BE193" s="298">
        <v>28</v>
      </c>
      <c r="BF193" s="299">
        <f t="shared" si="41"/>
        <v>688</v>
      </c>
      <c r="BG193" s="42">
        <f t="shared" si="42"/>
        <v>688</v>
      </c>
      <c r="BH193" s="301">
        <f t="shared" si="38"/>
        <v>484.27688668873725</v>
      </c>
      <c r="BI193" s="302">
        <f t="shared" si="39"/>
        <v>484.27688668873725</v>
      </c>
      <c r="BJ193" s="302">
        <f t="shared" si="43"/>
        <v>11.276886688737221</v>
      </c>
      <c r="BK193" s="302" t="b">
        <f t="shared" si="40"/>
        <v>0</v>
      </c>
      <c r="BL193" s="304">
        <v>28</v>
      </c>
      <c r="BP193" s="307"/>
      <c r="BQ193" s="307"/>
      <c r="BR193" s="307"/>
      <c r="BS193" s="307"/>
      <c r="BT193" s="307"/>
      <c r="BU193" s="307"/>
      <c r="BV193" s="1819"/>
      <c r="BW193" s="1819"/>
      <c r="CH193" s="1813"/>
      <c r="CI193" s="1813"/>
    </row>
    <row r="194" spans="1:109" ht="21" customHeight="1" thickBot="1" x14ac:dyDescent="0.35">
      <c r="B194" s="255">
        <v>1</v>
      </c>
      <c r="C194" s="256">
        <f>+AI184+D194</f>
        <v>0</v>
      </c>
      <c r="D194" s="25">
        <v>0</v>
      </c>
      <c r="E194" s="257" t="s">
        <v>119</v>
      </c>
      <c r="F194" s="258">
        <f>+G194</f>
        <v>0</v>
      </c>
      <c r="G194" s="258">
        <f>+D194</f>
        <v>0</v>
      </c>
      <c r="H194" s="506">
        <v>279.06049999999999</v>
      </c>
      <c r="I194" s="507">
        <v>79.962900599999998</v>
      </c>
      <c r="J194" s="508">
        <f>+I194-C194</f>
        <v>79.962900599999998</v>
      </c>
      <c r="K194" s="508">
        <f>+J194/2</f>
        <v>39.981450299999999</v>
      </c>
      <c r="L194" s="508">
        <f t="shared" ref="L194:L213" si="74">SIN(K194*3.14159265358979/180)</f>
        <v>0.64253956655634092</v>
      </c>
      <c r="M194" s="508">
        <f t="shared" ref="M194:M213" si="75">+L194*H194</f>
        <v>179.30741271299578</v>
      </c>
      <c r="N194" s="508">
        <f t="shared" ref="N194:N213" si="76">+M194*2</f>
        <v>358.61482542599157</v>
      </c>
      <c r="O194" s="508">
        <f>+C194/2</f>
        <v>0</v>
      </c>
      <c r="P194" s="508">
        <f t="shared" ref="P194:P213" si="77">SIN(O194*3.14159265358979/180)</f>
        <v>0</v>
      </c>
      <c r="Q194" s="508">
        <f t="shared" ref="Q194:Q213" si="78">+P194*N194</f>
        <v>0</v>
      </c>
      <c r="R194" s="509">
        <v>213.83080000000001</v>
      </c>
      <c r="S194" s="508">
        <f>+R194+Q194</f>
        <v>213.83080000000001</v>
      </c>
      <c r="T194" s="510">
        <f t="shared" ref="T194:T213" si="79">+S194</f>
        <v>213.83080000000001</v>
      </c>
      <c r="U194" s="456"/>
      <c r="V194" s="511">
        <f t="shared" ref="V194:V213" si="80">IF(B194&lt;($B$191+1),T194,0)</f>
        <v>213.83080000000001</v>
      </c>
      <c r="W194" s="512">
        <v>39.981450000000002</v>
      </c>
      <c r="X194" s="511">
        <f>+W194+AI215</f>
        <v>39.981450000000002</v>
      </c>
      <c r="Y194" s="512">
        <v>279.06049999999999</v>
      </c>
      <c r="Z194" s="419">
        <f>+COS(X194*3.14159265358979/180)*Y194</f>
        <v>213.83080883710866</v>
      </c>
      <c r="AA194" s="513">
        <f>+AC193-Z194</f>
        <v>-8.8371086519600794E-6</v>
      </c>
      <c r="AB194" s="477" t="str">
        <f>IF(AZ194&lt;0,"use the locking pin"," ")</f>
        <v xml:space="preserve"> </v>
      </c>
      <c r="AC194" s="514">
        <f>IF(AD194=1,AF194)</f>
        <v>213.83080000000001</v>
      </c>
      <c r="AD194" s="514">
        <f>MAX(AE$194:AE$213)</f>
        <v>1</v>
      </c>
      <c r="AE194" s="514">
        <f>IF(V194=0,0,1)</f>
        <v>1</v>
      </c>
      <c r="AF194" s="511">
        <f>SUM(V194:V213)/($B$191)</f>
        <v>213.83080000000001</v>
      </c>
      <c r="AG194" s="511">
        <f>+AF194+AA170+AA138</f>
        <v>213.83078851743053</v>
      </c>
      <c r="AH194" s="515">
        <f>C194</f>
        <v>0</v>
      </c>
      <c r="AI194" s="516">
        <f>IF(B194&lt;($B$191+1),AH194)</f>
        <v>0</v>
      </c>
      <c r="AJ194" s="287">
        <f>66.2555484-AH194</f>
        <v>66.255548399999995</v>
      </c>
      <c r="AK194" s="517">
        <f t="shared" ref="AK194:AK213" si="81">SIN(AJ194*3.14159265358979/180)</f>
        <v>0.91535047595051022</v>
      </c>
      <c r="AL194" s="289">
        <f>+AK194*304.3209</f>
        <v>278.56028065668761</v>
      </c>
      <c r="AM194" s="287">
        <f>50.0185497+AH194</f>
        <v>50.018549700000001</v>
      </c>
      <c r="AN194" s="518">
        <f>SIN(AM194*3.14159265358979/180)</f>
        <v>0.76625250760411079</v>
      </c>
      <c r="AO194" s="291">
        <f>+AN194*279.0605</f>
        <v>213.83080789825695</v>
      </c>
      <c r="AP194" s="519">
        <f t="shared" ref="AP194:AP213" si="82">((AF194*AQ194)+($AG$225*$AQ$225))/AR194</f>
        <v>184.18866094871038</v>
      </c>
      <c r="AQ194" s="269">
        <f>40.5*B191</f>
        <v>40.5</v>
      </c>
      <c r="AR194" s="519">
        <f t="shared" ref="AR194:AR213" si="83">AQ194+$AQ$225+1.3</f>
        <v>67.3</v>
      </c>
      <c r="AS194" s="520">
        <f>+AO194+AL194</f>
        <v>492.39108855494453</v>
      </c>
      <c r="AT194" s="521">
        <f>+V194-AO194</f>
        <v>-7.8982569391428115E-6</v>
      </c>
      <c r="AU194" s="522">
        <f>+AP194-AT194</f>
        <v>184.18866884696732</v>
      </c>
      <c r="AV194" s="521"/>
      <c r="AW194" s="523">
        <f>+((AS194-AU194)/AS194)*AR194</f>
        <v>42.125097972873498</v>
      </c>
      <c r="AX194" s="523">
        <f>+(AU194/AS194)*AR194</f>
        <v>25.174902027126503</v>
      </c>
      <c r="AY194" s="448">
        <f t="shared" ref="AY194:AY213" si="84">2*$C$20/AW194</f>
        <v>275.37027943459816</v>
      </c>
      <c r="AZ194" s="448">
        <f t="shared" ref="AZ194:AZ213" si="85">$D$20/AX194</f>
        <v>397.22100960809234</v>
      </c>
      <c r="BA194" s="451">
        <f>ABS(AY194)</f>
        <v>275.37027943459816</v>
      </c>
      <c r="BB194" s="451">
        <f>ABS(AZ194)</f>
        <v>397.22100960809234</v>
      </c>
      <c r="BC194" s="91" t="s">
        <v>43</v>
      </c>
      <c r="BE194" s="298">
        <v>29</v>
      </c>
      <c r="BF194" s="299">
        <f t="shared" si="41"/>
        <v>731</v>
      </c>
      <c r="BG194" s="42">
        <f t="shared" si="42"/>
        <v>731</v>
      </c>
      <c r="BH194" s="301">
        <f t="shared" si="38"/>
        <v>527.27688668873725</v>
      </c>
      <c r="BI194" s="302">
        <f t="shared" si="39"/>
        <v>527.27688668873725</v>
      </c>
      <c r="BJ194" s="302">
        <f t="shared" si="43"/>
        <v>11.276886688737221</v>
      </c>
      <c r="BK194" s="302" t="b">
        <f t="shared" si="40"/>
        <v>0</v>
      </c>
      <c r="BL194" s="304">
        <v>29</v>
      </c>
    </row>
    <row r="195" spans="1:109" ht="21" customHeight="1" thickBot="1" x14ac:dyDescent="0.35">
      <c r="B195" s="277">
        <v>2</v>
      </c>
      <c r="C195" s="278"/>
      <c r="D195" s="25">
        <v>0</v>
      </c>
      <c r="E195" s="279" t="s">
        <v>130</v>
      </c>
      <c r="F195" s="258" t="e">
        <f t="shared" ref="F195:F213" si="86">+G195</f>
        <v>#DIV/0!</v>
      </c>
      <c r="G195" s="258" t="e">
        <f>+D195+BC195</f>
        <v>#DIV/0!</v>
      </c>
      <c r="H195" s="506">
        <v>279.06049999999999</v>
      </c>
      <c r="I195" s="507">
        <v>79.962900599999998</v>
      </c>
      <c r="J195" s="474">
        <f t="shared" ref="J195:J213" si="87">+I195-D195</f>
        <v>79.962900599999998</v>
      </c>
      <c r="K195" s="474">
        <f t="shared" ref="K195:K213" si="88">+J195/2</f>
        <v>39.981450299999999</v>
      </c>
      <c r="L195" s="474">
        <f t="shared" si="74"/>
        <v>0.64253956655634092</v>
      </c>
      <c r="M195" s="474">
        <f t="shared" si="75"/>
        <v>179.30741271299578</v>
      </c>
      <c r="N195" s="474">
        <f t="shared" si="76"/>
        <v>358.61482542599157</v>
      </c>
      <c r="O195" s="474">
        <f>+C194+(D195/2)</f>
        <v>0</v>
      </c>
      <c r="P195" s="474">
        <f t="shared" si="77"/>
        <v>0</v>
      </c>
      <c r="Q195" s="474">
        <f t="shared" si="78"/>
        <v>0</v>
      </c>
      <c r="R195" s="474">
        <f t="shared" ref="R195:R213" si="89">+T194</f>
        <v>213.83080000000001</v>
      </c>
      <c r="S195" s="474">
        <f>+R195+Q195</f>
        <v>213.83080000000001</v>
      </c>
      <c r="T195" s="476">
        <f t="shared" si="79"/>
        <v>213.83080000000001</v>
      </c>
      <c r="V195" s="437">
        <f t="shared" si="80"/>
        <v>0</v>
      </c>
      <c r="W195" s="437"/>
      <c r="X195" s="437"/>
      <c r="Y195" s="437"/>
      <c r="Z195" s="437"/>
      <c r="AA195" s="437"/>
      <c r="AB195" s="477" t="e">
        <f t="shared" ref="AB195:AB213" si="90">IF(AZ195&lt;0,"use the locking pin"," ")</f>
        <v>#DIV/0!</v>
      </c>
      <c r="AC195" s="514" t="b">
        <f>IF(AD195=2,AF195)</f>
        <v>0</v>
      </c>
      <c r="AD195" s="514">
        <f t="shared" ref="AD195:AD213" si="91">MAX(AE$194:AE$213)</f>
        <v>1</v>
      </c>
      <c r="AE195" s="514">
        <f>IF(V195=0,0,2)</f>
        <v>0</v>
      </c>
      <c r="AF195" s="437" t="e">
        <f>SUM(V195:V214)/($B$191-B194)</f>
        <v>#DIV/0!</v>
      </c>
      <c r="AG195" s="437"/>
      <c r="AH195" s="450">
        <f>SUM(D195)+$C$194</f>
        <v>0</v>
      </c>
      <c r="AI195" s="516" t="b">
        <f t="shared" ref="AI195:AI213" si="92">IF(B195&lt;($B$191+1),AH195)</f>
        <v>0</v>
      </c>
      <c r="AJ195" s="287">
        <f t="shared" ref="AJ195:AJ213" si="93">66.2555484-AH195</f>
        <v>66.255548399999995</v>
      </c>
      <c r="AK195" s="441">
        <f t="shared" si="81"/>
        <v>0.91535047595051022</v>
      </c>
      <c r="AL195" s="289">
        <f t="shared" ref="AL195:AL213" si="94">+AK195*304.3209</f>
        <v>278.56028065668761</v>
      </c>
      <c r="AM195" s="287">
        <f t="shared" ref="AM195:AM213" si="95">50.0185497+AH195</f>
        <v>50.018549700000001</v>
      </c>
      <c r="AN195" s="442">
        <f t="shared" ref="AN195:AN213" si="96">SIN(AM195*3.14159265358979/180)</f>
        <v>0.76625250760411079</v>
      </c>
      <c r="AO195" s="291">
        <f t="shared" ref="AO195:AO213" si="97">+AN195*279.0605</f>
        <v>213.83080789825695</v>
      </c>
      <c r="AP195" s="519" t="e">
        <f t="shared" si="82"/>
        <v>#DIV/0!</v>
      </c>
      <c r="AQ195" s="291">
        <f>40.5*($B$191-B194)</f>
        <v>0</v>
      </c>
      <c r="AR195" s="519">
        <f t="shared" si="83"/>
        <v>26.8</v>
      </c>
      <c r="AS195" s="444">
        <f t="shared" ref="AS195:AS213" si="98">+AO195+AL195</f>
        <v>492.39108855494453</v>
      </c>
      <c r="AT195" s="445">
        <f>+V195-AO195</f>
        <v>-213.83080789825695</v>
      </c>
      <c r="AU195" s="522" t="e">
        <f t="shared" ref="AU195:AU213" si="99">+AP195-AT195</f>
        <v>#DIV/0!</v>
      </c>
      <c r="AV195" s="445"/>
      <c r="AW195" s="523" t="e">
        <f t="shared" ref="AW195:AW213" si="100">+((AS195-AU195)/AS195)*AR195</f>
        <v>#DIV/0!</v>
      </c>
      <c r="AX195" s="523" t="e">
        <f t="shared" ref="AX195:AX213" si="101">+(AU195/AS195)*AR195</f>
        <v>#DIV/0!</v>
      </c>
      <c r="AY195" s="448" t="e">
        <f t="shared" si="84"/>
        <v>#DIV/0!</v>
      </c>
      <c r="AZ195" s="448" t="e">
        <f t="shared" si="85"/>
        <v>#DIV/0!</v>
      </c>
      <c r="BA195" s="451" t="e">
        <f t="shared" ref="BA195:BB213" si="102">ABS(AY195)</f>
        <v>#DIV/0!</v>
      </c>
      <c r="BB195" s="451" t="e">
        <f t="shared" si="102"/>
        <v>#DIV/0!</v>
      </c>
      <c r="BC195" t="e">
        <f t="shared" ref="BC195:BC213" si="103">IF(AZ195&lt;0,0.3,0)</f>
        <v>#DIV/0!</v>
      </c>
      <c r="BE195" s="298">
        <v>30</v>
      </c>
      <c r="BF195" s="299">
        <f t="shared" si="41"/>
        <v>774</v>
      </c>
      <c r="BG195" s="42">
        <f t="shared" si="42"/>
        <v>774</v>
      </c>
      <c r="BH195" s="301">
        <f t="shared" si="38"/>
        <v>570.27688668873725</v>
      </c>
      <c r="BI195" s="302">
        <f t="shared" si="39"/>
        <v>570.27688668873725</v>
      </c>
      <c r="BJ195" s="302">
        <f t="shared" si="43"/>
        <v>11.276886688737221</v>
      </c>
      <c r="BK195" s="302" t="b">
        <f t="shared" si="40"/>
        <v>0</v>
      </c>
      <c r="BL195" s="304">
        <v>30</v>
      </c>
    </row>
    <row r="196" spans="1:109" ht="21" customHeight="1" thickBot="1" x14ac:dyDescent="0.35">
      <c r="B196" s="277">
        <v>3</v>
      </c>
      <c r="C196" s="278"/>
      <c r="D196" s="25">
        <v>0</v>
      </c>
      <c r="E196" s="279" t="s">
        <v>130</v>
      </c>
      <c r="F196" s="258">
        <f t="shared" si="86"/>
        <v>0</v>
      </c>
      <c r="G196" s="258">
        <f t="shared" ref="G196:G213" si="104">+D196+BC196</f>
        <v>0</v>
      </c>
      <c r="H196" s="506">
        <v>279.06049999999999</v>
      </c>
      <c r="I196" s="507">
        <v>79.962900599999998</v>
      </c>
      <c r="J196" s="474">
        <f t="shared" si="87"/>
        <v>79.962900599999998</v>
      </c>
      <c r="K196" s="474">
        <f t="shared" si="88"/>
        <v>39.981450299999999</v>
      </c>
      <c r="L196" s="474">
        <f t="shared" si="74"/>
        <v>0.64253956655634092</v>
      </c>
      <c r="M196" s="474">
        <f t="shared" si="75"/>
        <v>179.30741271299578</v>
      </c>
      <c r="N196" s="474">
        <f t="shared" si="76"/>
        <v>358.61482542599157</v>
      </c>
      <c r="O196" s="474">
        <f>+C194+D195+(D196/2)</f>
        <v>0</v>
      </c>
      <c r="P196" s="474">
        <f t="shared" si="77"/>
        <v>0</v>
      </c>
      <c r="Q196" s="474">
        <f t="shared" si="78"/>
        <v>0</v>
      </c>
      <c r="R196" s="474">
        <f t="shared" si="89"/>
        <v>213.83080000000001</v>
      </c>
      <c r="S196" s="474">
        <f t="shared" ref="S196:S213" si="105">+S195+Q196</f>
        <v>213.83080000000001</v>
      </c>
      <c r="T196" s="476">
        <f t="shared" si="79"/>
        <v>213.83080000000001</v>
      </c>
      <c r="V196" s="437">
        <f t="shared" si="80"/>
        <v>0</v>
      </c>
      <c r="W196" s="437"/>
      <c r="X196" s="437"/>
      <c r="Y196" s="437"/>
      <c r="Z196" s="437"/>
      <c r="AA196" s="437"/>
      <c r="AB196" s="477" t="str">
        <f t="shared" si="90"/>
        <v xml:space="preserve"> </v>
      </c>
      <c r="AC196" s="514" t="b">
        <f>IF(AD196=3,AF196)</f>
        <v>0</v>
      </c>
      <c r="AD196" s="514">
        <f t="shared" si="91"/>
        <v>1</v>
      </c>
      <c r="AE196" s="514">
        <f>IF(V196=0,0,3)</f>
        <v>0</v>
      </c>
      <c r="AF196" s="437">
        <f>SUM(V196:V213)/($B$191-B195)</f>
        <v>0</v>
      </c>
      <c r="AG196" s="437"/>
      <c r="AH196" s="450">
        <f>SUM(D195:D196)+$C$194</f>
        <v>0</v>
      </c>
      <c r="AI196" s="516" t="b">
        <f t="shared" si="92"/>
        <v>0</v>
      </c>
      <c r="AJ196" s="287">
        <f t="shared" si="93"/>
        <v>66.255548399999995</v>
      </c>
      <c r="AK196" s="441">
        <f t="shared" si="81"/>
        <v>0.91535047595051022</v>
      </c>
      <c r="AL196" s="289">
        <f t="shared" si="94"/>
        <v>278.56028065668761</v>
      </c>
      <c r="AM196" s="287">
        <f t="shared" si="95"/>
        <v>50.018549700000001</v>
      </c>
      <c r="AN196" s="442">
        <f t="shared" si="96"/>
        <v>0.76625250760411079</v>
      </c>
      <c r="AO196" s="291">
        <f t="shared" si="97"/>
        <v>213.83080789825695</v>
      </c>
      <c r="AP196" s="519">
        <f t="shared" si="82"/>
        <v>-272.68244393052612</v>
      </c>
      <c r="AQ196" s="291">
        <f t="shared" ref="AQ196:AQ213" si="106">40.5*($B$191-B195)</f>
        <v>-40.5</v>
      </c>
      <c r="AR196" s="519">
        <f t="shared" si="83"/>
        <v>-13.7</v>
      </c>
      <c r="AS196" s="444">
        <f t="shared" si="98"/>
        <v>492.39108855494453</v>
      </c>
      <c r="AT196" s="445">
        <f>+V196-AO196</f>
        <v>-213.83080789825695</v>
      </c>
      <c r="AU196" s="522">
        <f t="shared" si="99"/>
        <v>-58.85163603226917</v>
      </c>
      <c r="AV196" s="445"/>
      <c r="AW196" s="523">
        <f t="shared" si="100"/>
        <v>-15.337453301619043</v>
      </c>
      <c r="AX196" s="523">
        <f t="shared" si="101"/>
        <v>1.6374533016190411</v>
      </c>
      <c r="AY196" s="448">
        <f t="shared" si="84"/>
        <v>-756.31852119644191</v>
      </c>
      <c r="AZ196" s="448">
        <f t="shared" si="85"/>
        <v>6107.0443902812031</v>
      </c>
      <c r="BA196" s="451">
        <f t="shared" si="102"/>
        <v>756.31852119644191</v>
      </c>
      <c r="BB196" s="451">
        <f t="shared" si="102"/>
        <v>6107.0443902812031</v>
      </c>
      <c r="BC196">
        <f t="shared" si="103"/>
        <v>0</v>
      </c>
      <c r="BE196" s="298">
        <v>31</v>
      </c>
      <c r="BF196" s="299">
        <f t="shared" si="41"/>
        <v>817</v>
      </c>
      <c r="BG196" s="42">
        <f t="shared" si="42"/>
        <v>817</v>
      </c>
      <c r="BH196" s="301">
        <f t="shared" si="38"/>
        <v>613.27688668873725</v>
      </c>
      <c r="BI196" s="302">
        <f t="shared" si="39"/>
        <v>613.27688668873725</v>
      </c>
      <c r="BJ196" s="302">
        <f t="shared" si="43"/>
        <v>11.276886688737221</v>
      </c>
      <c r="BK196" s="302" t="b">
        <f t="shared" si="40"/>
        <v>0</v>
      </c>
      <c r="BL196" s="304">
        <v>31</v>
      </c>
    </row>
    <row r="197" spans="1:109" ht="21" customHeight="1" thickBot="1" x14ac:dyDescent="0.35">
      <c r="B197" s="277">
        <v>4</v>
      </c>
      <c r="C197" s="278"/>
      <c r="D197" s="25">
        <v>0</v>
      </c>
      <c r="E197" s="279" t="s">
        <v>130</v>
      </c>
      <c r="F197" s="258">
        <f t="shared" si="86"/>
        <v>0.3</v>
      </c>
      <c r="G197" s="258">
        <f t="shared" si="104"/>
        <v>0.3</v>
      </c>
      <c r="H197" s="506">
        <v>279.06049999999999</v>
      </c>
      <c r="I197" s="507">
        <v>79.962900599999998</v>
      </c>
      <c r="J197" s="474">
        <f t="shared" si="87"/>
        <v>79.962900599999998</v>
      </c>
      <c r="K197" s="474">
        <f t="shared" si="88"/>
        <v>39.981450299999999</v>
      </c>
      <c r="L197" s="474">
        <f t="shared" si="74"/>
        <v>0.64253956655634092</v>
      </c>
      <c r="M197" s="474">
        <f t="shared" si="75"/>
        <v>179.30741271299578</v>
      </c>
      <c r="N197" s="474">
        <f t="shared" si="76"/>
        <v>358.61482542599157</v>
      </c>
      <c r="O197" s="474">
        <f>+C194+D195+D196+(D197/2)</f>
        <v>0</v>
      </c>
      <c r="P197" s="474">
        <f t="shared" si="77"/>
        <v>0</v>
      </c>
      <c r="Q197" s="474">
        <f t="shared" si="78"/>
        <v>0</v>
      </c>
      <c r="R197" s="474">
        <f t="shared" si="89"/>
        <v>213.83080000000001</v>
      </c>
      <c r="S197" s="474">
        <f t="shared" si="105"/>
        <v>213.83080000000001</v>
      </c>
      <c r="T197" s="476">
        <f t="shared" si="79"/>
        <v>213.83080000000001</v>
      </c>
      <c r="V197" s="437">
        <f t="shared" si="80"/>
        <v>0</v>
      </c>
      <c r="W197" s="437"/>
      <c r="X197" s="437"/>
      <c r="Y197" s="437"/>
      <c r="Z197" s="437"/>
      <c r="AA197" s="437"/>
      <c r="AB197" s="477" t="str">
        <f t="shared" si="90"/>
        <v>use the locking pin</v>
      </c>
      <c r="AC197" s="514" t="b">
        <f>IF(AD197=4,AF197)</f>
        <v>0</v>
      </c>
      <c r="AD197" s="514">
        <f t="shared" si="91"/>
        <v>1</v>
      </c>
      <c r="AE197" s="514">
        <f>IF(V197=0,0,4)</f>
        <v>0</v>
      </c>
      <c r="AF197" s="437">
        <f>SUM(V197:V213)/($B$191-B196)</f>
        <v>0</v>
      </c>
      <c r="AG197" s="437"/>
      <c r="AH197" s="450">
        <f>SUM(D195:D197)+$C$194</f>
        <v>0</v>
      </c>
      <c r="AI197" s="516" t="b">
        <f t="shared" si="92"/>
        <v>0</v>
      </c>
      <c r="AJ197" s="287">
        <f t="shared" si="93"/>
        <v>66.255548399999995</v>
      </c>
      <c r="AK197" s="441">
        <f t="shared" si="81"/>
        <v>0.91535047595051022</v>
      </c>
      <c r="AL197" s="289">
        <f t="shared" si="94"/>
        <v>278.56028065668761</v>
      </c>
      <c r="AM197" s="287">
        <f t="shared" si="95"/>
        <v>50.018549700000001</v>
      </c>
      <c r="AN197" s="442">
        <f t="shared" si="96"/>
        <v>0.76625250760411079</v>
      </c>
      <c r="AO197" s="291">
        <f t="shared" si="97"/>
        <v>213.83080789825695</v>
      </c>
      <c r="AP197" s="519">
        <f t="shared" si="82"/>
        <v>-68.925267192771358</v>
      </c>
      <c r="AQ197" s="291">
        <f t="shared" si="106"/>
        <v>-81</v>
      </c>
      <c r="AR197" s="519">
        <f t="shared" si="83"/>
        <v>-54.2</v>
      </c>
      <c r="AS197" s="444">
        <f t="shared" si="98"/>
        <v>492.39108855494453</v>
      </c>
      <c r="AT197" s="445">
        <f>+V197-AO197</f>
        <v>-213.83080789825695</v>
      </c>
      <c r="AU197" s="522">
        <f t="shared" si="99"/>
        <v>144.90554070548558</v>
      </c>
      <c r="AV197" s="445"/>
      <c r="AW197" s="523">
        <f t="shared" si="100"/>
        <v>-38.249507619468375</v>
      </c>
      <c r="AX197" s="523">
        <f t="shared" si="101"/>
        <v>-15.950492380531633</v>
      </c>
      <c r="AY197" s="448">
        <f t="shared" si="84"/>
        <v>-303.27187778218064</v>
      </c>
      <c r="AZ197" s="448">
        <f t="shared" si="85"/>
        <v>-626.93989385590976</v>
      </c>
      <c r="BA197" s="451">
        <f t="shared" si="102"/>
        <v>303.27187778218064</v>
      </c>
      <c r="BB197" s="451">
        <f t="shared" si="102"/>
        <v>626.93989385590976</v>
      </c>
      <c r="BC197">
        <f t="shared" si="103"/>
        <v>0.3</v>
      </c>
      <c r="BE197" s="298">
        <v>32</v>
      </c>
      <c r="BF197" s="299">
        <f t="shared" si="41"/>
        <v>860</v>
      </c>
      <c r="BG197" s="42">
        <f t="shared" si="42"/>
        <v>860</v>
      </c>
      <c r="BH197" s="301">
        <f t="shared" si="38"/>
        <v>656.27688668873725</v>
      </c>
      <c r="BI197" s="302">
        <f t="shared" si="39"/>
        <v>656.27688668873725</v>
      </c>
      <c r="BJ197" s="302">
        <f t="shared" si="43"/>
        <v>11.276886688737221</v>
      </c>
      <c r="BK197" s="302" t="b">
        <f t="shared" si="40"/>
        <v>0</v>
      </c>
      <c r="BL197" s="304">
        <v>32</v>
      </c>
    </row>
    <row r="198" spans="1:109" ht="21" customHeight="1" thickBot="1" x14ac:dyDescent="0.35">
      <c r="B198" s="277">
        <v>5</v>
      </c>
      <c r="C198" s="278"/>
      <c r="D198" s="25">
        <v>0</v>
      </c>
      <c r="E198" s="279" t="s">
        <v>130</v>
      </c>
      <c r="F198" s="258">
        <f t="shared" si="86"/>
        <v>0.3</v>
      </c>
      <c r="G198" s="258">
        <f>+D198+BC198</f>
        <v>0.3</v>
      </c>
      <c r="H198" s="506">
        <v>279.06049999999999</v>
      </c>
      <c r="I198" s="507">
        <v>79.962900599999998</v>
      </c>
      <c r="J198" s="474">
        <f t="shared" si="87"/>
        <v>79.962900599999998</v>
      </c>
      <c r="K198" s="474">
        <f t="shared" si="88"/>
        <v>39.981450299999999</v>
      </c>
      <c r="L198" s="474">
        <f t="shared" si="74"/>
        <v>0.64253956655634092</v>
      </c>
      <c r="M198" s="474">
        <f t="shared" si="75"/>
        <v>179.30741271299578</v>
      </c>
      <c r="N198" s="474">
        <f t="shared" si="76"/>
        <v>358.61482542599157</v>
      </c>
      <c r="O198" s="474">
        <f>+C194+D195+D196+D197+(D198/2)</f>
        <v>0</v>
      </c>
      <c r="P198" s="474">
        <f t="shared" si="77"/>
        <v>0</v>
      </c>
      <c r="Q198" s="474">
        <f t="shared" si="78"/>
        <v>0</v>
      </c>
      <c r="R198" s="474">
        <f t="shared" si="89"/>
        <v>213.83080000000001</v>
      </c>
      <c r="S198" s="474">
        <f t="shared" si="105"/>
        <v>213.83080000000001</v>
      </c>
      <c r="T198" s="476">
        <f t="shared" si="79"/>
        <v>213.83080000000001</v>
      </c>
      <c r="V198" s="437">
        <f t="shared" si="80"/>
        <v>0</v>
      </c>
      <c r="W198" s="437"/>
      <c r="X198" s="437"/>
      <c r="Y198" s="437"/>
      <c r="Z198" s="437"/>
      <c r="AA198" s="437"/>
      <c r="AB198" s="477" t="str">
        <f t="shared" si="90"/>
        <v>use the locking pin</v>
      </c>
      <c r="AC198" s="514" t="b">
        <f>IF(AD198=5,AF198)</f>
        <v>0</v>
      </c>
      <c r="AD198" s="514">
        <f t="shared" si="91"/>
        <v>1</v>
      </c>
      <c r="AE198" s="514">
        <f>IF(V198=0,0,5)</f>
        <v>0</v>
      </c>
      <c r="AF198" s="437">
        <f>SUM(V198:V213)/($B$191-B197)</f>
        <v>0</v>
      </c>
      <c r="AG198" s="437"/>
      <c r="AH198" s="450">
        <f>SUM(D195:D198)+$C$194</f>
        <v>0</v>
      </c>
      <c r="AI198" s="516" t="b">
        <f t="shared" si="92"/>
        <v>0</v>
      </c>
      <c r="AJ198" s="287">
        <f t="shared" si="93"/>
        <v>66.255548399999995</v>
      </c>
      <c r="AK198" s="441">
        <f t="shared" si="81"/>
        <v>0.91535047595051022</v>
      </c>
      <c r="AL198" s="289">
        <f t="shared" si="94"/>
        <v>278.56028065668761</v>
      </c>
      <c r="AM198" s="287">
        <f t="shared" si="95"/>
        <v>50.018549700000001</v>
      </c>
      <c r="AN198" s="442">
        <f t="shared" si="96"/>
        <v>0.76625250760411079</v>
      </c>
      <c r="AO198" s="291">
        <f t="shared" si="97"/>
        <v>213.83080789825695</v>
      </c>
      <c r="AP198" s="519">
        <f t="shared" si="82"/>
        <v>-39.448252184247174</v>
      </c>
      <c r="AQ198" s="291">
        <f t="shared" si="106"/>
        <v>-121.5</v>
      </c>
      <c r="AR198" s="519">
        <f t="shared" si="83"/>
        <v>-94.7</v>
      </c>
      <c r="AS198" s="444">
        <f t="shared" si="98"/>
        <v>492.39108855494453</v>
      </c>
      <c r="AT198" s="445">
        <f t="shared" ref="AT198:AT213" si="107">+V198-AO198</f>
        <v>-213.83080789825695</v>
      </c>
      <c r="AU198" s="522">
        <f t="shared" si="99"/>
        <v>174.38255571400978</v>
      </c>
      <c r="AV198" s="445"/>
      <c r="AW198" s="523">
        <f t="shared" si="100"/>
        <v>-61.1615619373177</v>
      </c>
      <c r="AX198" s="523">
        <f t="shared" si="101"/>
        <v>-33.53843806268231</v>
      </c>
      <c r="AY198" s="448">
        <f t="shared" si="84"/>
        <v>-189.66160497811396</v>
      </c>
      <c r="AZ198" s="448">
        <f t="shared" si="85"/>
        <v>-298.16534632025224</v>
      </c>
      <c r="BA198" s="451">
        <f t="shared" si="102"/>
        <v>189.66160497811396</v>
      </c>
      <c r="BB198" s="451">
        <f t="shared" si="102"/>
        <v>298.16534632025224</v>
      </c>
      <c r="BC198">
        <f t="shared" si="103"/>
        <v>0.3</v>
      </c>
      <c r="BE198" s="298">
        <v>33</v>
      </c>
      <c r="BF198" s="299">
        <f t="shared" si="41"/>
        <v>903</v>
      </c>
      <c r="BG198" s="42">
        <f t="shared" si="42"/>
        <v>903</v>
      </c>
      <c r="BH198" s="301">
        <f t="shared" si="38"/>
        <v>699.27688668873725</v>
      </c>
      <c r="BI198" s="302">
        <f t="shared" si="39"/>
        <v>699.27688668873725</v>
      </c>
      <c r="BJ198" s="302">
        <f t="shared" si="43"/>
        <v>11.276886688737221</v>
      </c>
      <c r="BK198" s="302" t="b">
        <f t="shared" si="40"/>
        <v>0</v>
      </c>
      <c r="BL198" s="304">
        <v>33</v>
      </c>
      <c r="DE198" s="305"/>
    </row>
    <row r="199" spans="1:109" ht="21" customHeight="1" thickBot="1" x14ac:dyDescent="0.35">
      <c r="B199" s="277">
        <v>6</v>
      </c>
      <c r="C199" s="278"/>
      <c r="D199" s="25">
        <v>0</v>
      </c>
      <c r="E199" s="279" t="s">
        <v>130</v>
      </c>
      <c r="F199" s="258">
        <f t="shared" si="86"/>
        <v>0.3</v>
      </c>
      <c r="G199" s="258">
        <f t="shared" si="104"/>
        <v>0.3</v>
      </c>
      <c r="H199" s="506">
        <v>279.06049999999999</v>
      </c>
      <c r="I199" s="507">
        <v>79.962900599999998</v>
      </c>
      <c r="J199" s="474">
        <f t="shared" si="87"/>
        <v>79.962900599999998</v>
      </c>
      <c r="K199" s="474">
        <f t="shared" si="88"/>
        <v>39.981450299999999</v>
      </c>
      <c r="L199" s="474">
        <f t="shared" si="74"/>
        <v>0.64253956655634092</v>
      </c>
      <c r="M199" s="474">
        <f t="shared" si="75"/>
        <v>179.30741271299578</v>
      </c>
      <c r="N199" s="474">
        <f t="shared" si="76"/>
        <v>358.61482542599157</v>
      </c>
      <c r="O199" s="474">
        <f>+C194+D195+D196+D197+D198+(D199/2)</f>
        <v>0</v>
      </c>
      <c r="P199" s="474">
        <f t="shared" si="77"/>
        <v>0</v>
      </c>
      <c r="Q199" s="474">
        <f t="shared" si="78"/>
        <v>0</v>
      </c>
      <c r="R199" s="474">
        <f t="shared" si="89"/>
        <v>213.83080000000001</v>
      </c>
      <c r="S199" s="474">
        <f t="shared" si="105"/>
        <v>213.83080000000001</v>
      </c>
      <c r="T199" s="476">
        <f t="shared" si="79"/>
        <v>213.83080000000001</v>
      </c>
      <c r="V199" s="437">
        <f t="shared" si="80"/>
        <v>0</v>
      </c>
      <c r="W199" s="437"/>
      <c r="X199" s="437"/>
      <c r="Y199" s="437"/>
      <c r="Z199" s="437"/>
      <c r="AA199" s="437"/>
      <c r="AB199" s="477" t="str">
        <f t="shared" si="90"/>
        <v>use the locking pin</v>
      </c>
      <c r="AC199" s="514" t="b">
        <f>IF(AD199=6,AF199)</f>
        <v>0</v>
      </c>
      <c r="AD199" s="514">
        <f t="shared" si="91"/>
        <v>1</v>
      </c>
      <c r="AE199" s="514">
        <f>IF(V199=0,0,6)</f>
        <v>0</v>
      </c>
      <c r="AF199" s="437">
        <f>SUM(V199:V213)/($B$191-B198)</f>
        <v>0</v>
      </c>
      <c r="AG199" s="437"/>
      <c r="AH199" s="450">
        <f>SUM(D195:D199)+$C$194</f>
        <v>0</v>
      </c>
      <c r="AI199" s="516" t="b">
        <f t="shared" si="92"/>
        <v>0</v>
      </c>
      <c r="AJ199" s="287">
        <f t="shared" si="93"/>
        <v>66.255548399999995</v>
      </c>
      <c r="AK199" s="441">
        <f t="shared" si="81"/>
        <v>0.91535047595051022</v>
      </c>
      <c r="AL199" s="289">
        <f t="shared" si="94"/>
        <v>278.56028065668761</v>
      </c>
      <c r="AM199" s="287">
        <f t="shared" si="95"/>
        <v>50.018549700000001</v>
      </c>
      <c r="AN199" s="442">
        <f t="shared" si="96"/>
        <v>0.76625250760411079</v>
      </c>
      <c r="AO199" s="291">
        <f t="shared" si="97"/>
        <v>213.83080789825695</v>
      </c>
      <c r="AP199" s="519">
        <f t="shared" si="82"/>
        <v>-27.631283149764851</v>
      </c>
      <c r="AQ199" s="291">
        <f t="shared" si="106"/>
        <v>-162</v>
      </c>
      <c r="AR199" s="519">
        <f t="shared" si="83"/>
        <v>-135.19999999999999</v>
      </c>
      <c r="AS199" s="444">
        <f t="shared" si="98"/>
        <v>492.39108855494453</v>
      </c>
      <c r="AT199" s="445">
        <f t="shared" si="107"/>
        <v>-213.83080789825695</v>
      </c>
      <c r="AU199" s="522">
        <f t="shared" si="99"/>
        <v>186.19952474849211</v>
      </c>
      <c r="AV199" s="445"/>
      <c r="AW199" s="523">
        <f t="shared" si="100"/>
        <v>-84.073616255167011</v>
      </c>
      <c r="AX199" s="523">
        <f t="shared" si="101"/>
        <v>-51.126383744832978</v>
      </c>
      <c r="AY199" s="448">
        <f t="shared" si="84"/>
        <v>-137.97431961048881</v>
      </c>
      <c r="AZ199" s="448">
        <f t="shared" si="85"/>
        <v>-195.59372808194433</v>
      </c>
      <c r="BA199" s="451">
        <f t="shared" si="102"/>
        <v>137.97431961048881</v>
      </c>
      <c r="BB199" s="451">
        <f t="shared" si="102"/>
        <v>195.59372808194433</v>
      </c>
      <c r="BC199">
        <f t="shared" si="103"/>
        <v>0.3</v>
      </c>
      <c r="BE199" s="298">
        <v>34</v>
      </c>
      <c r="BF199" s="299">
        <f t="shared" si="41"/>
        <v>946</v>
      </c>
      <c r="BG199" s="42">
        <f t="shared" si="42"/>
        <v>946</v>
      </c>
      <c r="BH199" s="301">
        <f t="shared" si="38"/>
        <v>742.27688668873725</v>
      </c>
      <c r="BI199" s="302">
        <f t="shared" si="39"/>
        <v>742.27688668873725</v>
      </c>
      <c r="BJ199" s="302">
        <f t="shared" si="43"/>
        <v>11.276886688737221</v>
      </c>
      <c r="BK199" s="302" t="b">
        <f t="shared" si="40"/>
        <v>0</v>
      </c>
      <c r="BL199" s="304">
        <v>34</v>
      </c>
    </row>
    <row r="200" spans="1:109" ht="21" customHeight="1" thickBot="1" x14ac:dyDescent="0.35">
      <c r="B200" s="277">
        <v>7</v>
      </c>
      <c r="C200" s="278"/>
      <c r="D200" s="25">
        <v>0</v>
      </c>
      <c r="E200" s="279" t="s">
        <v>130</v>
      </c>
      <c r="F200" s="258">
        <f t="shared" si="86"/>
        <v>0.3</v>
      </c>
      <c r="G200" s="258">
        <f t="shared" si="104"/>
        <v>0.3</v>
      </c>
      <c r="H200" s="506">
        <v>279.06049999999999</v>
      </c>
      <c r="I200" s="507">
        <v>79.962900599999998</v>
      </c>
      <c r="J200" s="474">
        <f t="shared" si="87"/>
        <v>79.962900599999998</v>
      </c>
      <c r="K200" s="474">
        <f t="shared" si="88"/>
        <v>39.981450299999999</v>
      </c>
      <c r="L200" s="474">
        <f t="shared" si="74"/>
        <v>0.64253956655634092</v>
      </c>
      <c r="M200" s="474">
        <f t="shared" si="75"/>
        <v>179.30741271299578</v>
      </c>
      <c r="N200" s="474">
        <f t="shared" si="76"/>
        <v>358.61482542599157</v>
      </c>
      <c r="O200" s="474">
        <f>+C194+D195+D196+D197+D198+D199+(D200/2)</f>
        <v>0</v>
      </c>
      <c r="P200" s="474">
        <f t="shared" si="77"/>
        <v>0</v>
      </c>
      <c r="Q200" s="474">
        <f t="shared" si="78"/>
        <v>0</v>
      </c>
      <c r="R200" s="474">
        <f t="shared" si="89"/>
        <v>213.83080000000001</v>
      </c>
      <c r="S200" s="474">
        <f t="shared" si="105"/>
        <v>213.83080000000001</v>
      </c>
      <c r="T200" s="476">
        <f t="shared" si="79"/>
        <v>213.83080000000001</v>
      </c>
      <c r="V200" s="437">
        <f t="shared" si="80"/>
        <v>0</v>
      </c>
      <c r="W200" s="437"/>
      <c r="X200" s="437"/>
      <c r="Y200" s="437"/>
      <c r="Z200" s="437"/>
      <c r="AA200" s="437"/>
      <c r="AB200" s="477" t="str">
        <f t="shared" si="90"/>
        <v>use the locking pin</v>
      </c>
      <c r="AC200" s="514" t="b">
        <f>IF(AD200=7,AF200)</f>
        <v>0</v>
      </c>
      <c r="AD200" s="514">
        <f t="shared" si="91"/>
        <v>1</v>
      </c>
      <c r="AE200" s="514">
        <f>IF(V200=0,0,7)</f>
        <v>0</v>
      </c>
      <c r="AF200" s="437">
        <f>SUM(V200:V213)/($B$191-B199)</f>
        <v>0</v>
      </c>
      <c r="AG200" s="437"/>
      <c r="AH200" s="450">
        <f>SUM(D195:D200)+$C$194</f>
        <v>0</v>
      </c>
      <c r="AI200" s="516" t="b">
        <f t="shared" si="92"/>
        <v>0</v>
      </c>
      <c r="AJ200" s="287">
        <f t="shared" si="93"/>
        <v>66.255548399999995</v>
      </c>
      <c r="AK200" s="441">
        <f t="shared" si="81"/>
        <v>0.91535047595051022</v>
      </c>
      <c r="AL200" s="289">
        <f t="shared" si="94"/>
        <v>278.56028065668761</v>
      </c>
      <c r="AM200" s="287">
        <f t="shared" si="95"/>
        <v>50.018549700000001</v>
      </c>
      <c r="AN200" s="442">
        <f t="shared" si="96"/>
        <v>0.76625250760411079</v>
      </c>
      <c r="AO200" s="291">
        <f t="shared" si="97"/>
        <v>213.83080789825695</v>
      </c>
      <c r="AP200" s="519">
        <f t="shared" si="82"/>
        <v>-21.262091530154855</v>
      </c>
      <c r="AQ200" s="291">
        <f t="shared" si="106"/>
        <v>-202.5</v>
      </c>
      <c r="AR200" s="519">
        <f t="shared" si="83"/>
        <v>-175.7</v>
      </c>
      <c r="AS200" s="444">
        <f t="shared" si="98"/>
        <v>492.39108855494453</v>
      </c>
      <c r="AT200" s="445">
        <f t="shared" si="107"/>
        <v>-213.83080789825695</v>
      </c>
      <c r="AU200" s="522">
        <f t="shared" si="99"/>
        <v>192.56871636810209</v>
      </c>
      <c r="AV200" s="445"/>
      <c r="AW200" s="523">
        <f t="shared" si="100"/>
        <v>-106.98567057301636</v>
      </c>
      <c r="AX200" s="523">
        <f t="shared" si="101"/>
        <v>-68.714329426983639</v>
      </c>
      <c r="AY200" s="448">
        <f t="shared" si="84"/>
        <v>-108.42573531455456</v>
      </c>
      <c r="AZ200" s="448">
        <f t="shared" si="85"/>
        <v>-145.53005295097984</v>
      </c>
      <c r="BA200" s="451">
        <f t="shared" si="102"/>
        <v>108.42573531455456</v>
      </c>
      <c r="BB200" s="451">
        <f t="shared" si="102"/>
        <v>145.53005295097984</v>
      </c>
      <c r="BC200">
        <f t="shared" si="103"/>
        <v>0.3</v>
      </c>
      <c r="BE200" s="298">
        <v>35</v>
      </c>
      <c r="BF200" s="299">
        <f t="shared" si="41"/>
        <v>989</v>
      </c>
      <c r="BG200" s="42">
        <f t="shared" si="42"/>
        <v>989</v>
      </c>
      <c r="BH200" s="301">
        <f t="shared" si="38"/>
        <v>785.27688668873725</v>
      </c>
      <c r="BI200" s="302">
        <f t="shared" si="39"/>
        <v>785.27688668873725</v>
      </c>
      <c r="BJ200" s="302">
        <f t="shared" si="43"/>
        <v>11.276886688737221</v>
      </c>
      <c r="BK200" s="302" t="b">
        <f t="shared" si="40"/>
        <v>0</v>
      </c>
      <c r="BL200" s="304">
        <v>35</v>
      </c>
      <c r="DE200" s="307"/>
    </row>
    <row r="201" spans="1:109" ht="21" customHeight="1" thickBot="1" x14ac:dyDescent="0.35">
      <c r="B201" s="277">
        <v>8</v>
      </c>
      <c r="C201" s="278"/>
      <c r="D201" s="25">
        <v>0</v>
      </c>
      <c r="E201" s="279" t="s">
        <v>130</v>
      </c>
      <c r="F201" s="258">
        <f t="shared" si="86"/>
        <v>0.3</v>
      </c>
      <c r="G201" s="258">
        <f t="shared" si="104"/>
        <v>0.3</v>
      </c>
      <c r="H201" s="506">
        <v>279.06049999999999</v>
      </c>
      <c r="I201" s="507">
        <v>79.962900599999998</v>
      </c>
      <c r="J201" s="474">
        <f t="shared" si="87"/>
        <v>79.962900599999998</v>
      </c>
      <c r="K201" s="474">
        <f t="shared" si="88"/>
        <v>39.981450299999999</v>
      </c>
      <c r="L201" s="474">
        <f t="shared" si="74"/>
        <v>0.64253956655634092</v>
      </c>
      <c r="M201" s="474">
        <f t="shared" si="75"/>
        <v>179.30741271299578</v>
      </c>
      <c r="N201" s="474">
        <f t="shared" si="76"/>
        <v>358.61482542599157</v>
      </c>
      <c r="O201" s="474">
        <f>+C194+D195+D196+D197+D198+D199+D200+(D201/2)</f>
        <v>0</v>
      </c>
      <c r="P201" s="474">
        <f t="shared" si="77"/>
        <v>0</v>
      </c>
      <c r="Q201" s="474">
        <f t="shared" si="78"/>
        <v>0</v>
      </c>
      <c r="R201" s="474">
        <f t="shared" si="89"/>
        <v>213.83080000000001</v>
      </c>
      <c r="S201" s="474">
        <f t="shared" si="105"/>
        <v>213.83080000000001</v>
      </c>
      <c r="T201" s="476">
        <f t="shared" si="79"/>
        <v>213.83080000000001</v>
      </c>
      <c r="V201" s="437">
        <f t="shared" si="80"/>
        <v>0</v>
      </c>
      <c r="W201" s="437"/>
      <c r="X201" s="437"/>
      <c r="Y201" s="437"/>
      <c r="Z201" s="437"/>
      <c r="AA201" s="437"/>
      <c r="AB201" s="477" t="str">
        <f t="shared" si="90"/>
        <v>use the locking pin</v>
      </c>
      <c r="AC201" s="514" t="b">
        <f>IF(AD201=8,AF201)</f>
        <v>0</v>
      </c>
      <c r="AD201" s="514">
        <f t="shared" si="91"/>
        <v>1</v>
      </c>
      <c r="AE201" s="514">
        <f>IF(V201=0,0,8)</f>
        <v>0</v>
      </c>
      <c r="AF201" s="437">
        <f>SUM(V201:V213)/($B$191-B200)</f>
        <v>0</v>
      </c>
      <c r="AG201" s="437"/>
      <c r="AH201" s="450">
        <f>SUM(D195:D201)+$C$194</f>
        <v>0</v>
      </c>
      <c r="AI201" s="516" t="b">
        <f t="shared" si="92"/>
        <v>0</v>
      </c>
      <c r="AJ201" s="287">
        <f t="shared" si="93"/>
        <v>66.255548399999995</v>
      </c>
      <c r="AK201" s="441">
        <f t="shared" si="81"/>
        <v>0.91535047595051022</v>
      </c>
      <c r="AL201" s="289">
        <f t="shared" si="94"/>
        <v>278.56028065668761</v>
      </c>
      <c r="AM201" s="287">
        <f t="shared" si="95"/>
        <v>50.018549700000001</v>
      </c>
      <c r="AN201" s="442">
        <f t="shared" si="96"/>
        <v>0.76625250760411079</v>
      </c>
      <c r="AO201" s="291">
        <f t="shared" si="97"/>
        <v>213.83080789825695</v>
      </c>
      <c r="AP201" s="519">
        <f t="shared" si="82"/>
        <v>-17.279137288844627</v>
      </c>
      <c r="AQ201" s="291">
        <f t="shared" si="106"/>
        <v>-243</v>
      </c>
      <c r="AR201" s="519">
        <f t="shared" si="83"/>
        <v>-216.2</v>
      </c>
      <c r="AS201" s="444">
        <f t="shared" si="98"/>
        <v>492.39108855494453</v>
      </c>
      <c r="AT201" s="445">
        <f t="shared" si="107"/>
        <v>-213.83080789825695</v>
      </c>
      <c r="AU201" s="522">
        <f t="shared" si="99"/>
        <v>196.55167060941233</v>
      </c>
      <c r="AV201" s="445"/>
      <c r="AW201" s="523">
        <f t="shared" si="100"/>
        <v>-129.89772489086567</v>
      </c>
      <c r="AX201" s="523">
        <f t="shared" si="101"/>
        <v>-86.302275109134328</v>
      </c>
      <c r="AY201" s="448">
        <f t="shared" si="84"/>
        <v>-89.301025169962045</v>
      </c>
      <c r="AZ201" s="448">
        <f t="shared" si="85"/>
        <v>-115.87180045200904</v>
      </c>
      <c r="BA201" s="451">
        <f t="shared" si="102"/>
        <v>89.301025169962045</v>
      </c>
      <c r="BB201" s="451">
        <f t="shared" si="102"/>
        <v>115.87180045200904</v>
      </c>
      <c r="BC201">
        <f t="shared" si="103"/>
        <v>0.3</v>
      </c>
      <c r="BE201" s="298">
        <v>36</v>
      </c>
      <c r="BF201" s="299">
        <f t="shared" si="41"/>
        <v>1032</v>
      </c>
      <c r="BG201" s="42">
        <f t="shared" si="42"/>
        <v>1032</v>
      </c>
      <c r="BH201" s="301">
        <f t="shared" si="38"/>
        <v>828.27688668873725</v>
      </c>
      <c r="BI201" s="302">
        <f t="shared" si="39"/>
        <v>828.27688668873725</v>
      </c>
      <c r="BJ201" s="302">
        <f t="shared" si="43"/>
        <v>11.276886688737221</v>
      </c>
      <c r="BK201" s="302" t="b">
        <f t="shared" si="40"/>
        <v>0</v>
      </c>
      <c r="BL201" s="304">
        <v>36</v>
      </c>
    </row>
    <row r="202" spans="1:109" ht="21" customHeight="1" thickBot="1" x14ac:dyDescent="0.35">
      <c r="B202" s="277">
        <v>9</v>
      </c>
      <c r="C202" s="278"/>
      <c r="D202" s="25">
        <v>0</v>
      </c>
      <c r="E202" s="279" t="s">
        <v>130</v>
      </c>
      <c r="F202" s="258">
        <f t="shared" si="86"/>
        <v>0.3</v>
      </c>
      <c r="G202" s="258">
        <f t="shared" si="104"/>
        <v>0.3</v>
      </c>
      <c r="H202" s="506">
        <v>279.06049999999999</v>
      </c>
      <c r="I202" s="507">
        <v>79.962900599999998</v>
      </c>
      <c r="J202" s="474">
        <f t="shared" si="87"/>
        <v>79.962900599999998</v>
      </c>
      <c r="K202" s="474">
        <f t="shared" si="88"/>
        <v>39.981450299999999</v>
      </c>
      <c r="L202" s="474">
        <f t="shared" si="74"/>
        <v>0.64253956655634092</v>
      </c>
      <c r="M202" s="474">
        <f t="shared" si="75"/>
        <v>179.30741271299578</v>
      </c>
      <c r="N202" s="474">
        <f t="shared" si="76"/>
        <v>358.61482542599157</v>
      </c>
      <c r="O202" s="474">
        <f>+C194+D195+D196+D197+D198+D199+D200+D201+(D202/2)</f>
        <v>0</v>
      </c>
      <c r="P202" s="474">
        <f t="shared" si="77"/>
        <v>0</v>
      </c>
      <c r="Q202" s="474">
        <f t="shared" si="78"/>
        <v>0</v>
      </c>
      <c r="R202" s="474">
        <f t="shared" si="89"/>
        <v>213.83080000000001</v>
      </c>
      <c r="S202" s="474">
        <f t="shared" si="105"/>
        <v>213.83080000000001</v>
      </c>
      <c r="T202" s="476">
        <f t="shared" si="79"/>
        <v>213.83080000000001</v>
      </c>
      <c r="V202" s="437">
        <f t="shared" si="80"/>
        <v>0</v>
      </c>
      <c r="W202" s="437"/>
      <c r="X202" s="437"/>
      <c r="Y202" s="437"/>
      <c r="Z202" s="437"/>
      <c r="AA202" s="437"/>
      <c r="AB202" s="477" t="str">
        <f t="shared" si="90"/>
        <v>use the locking pin</v>
      </c>
      <c r="AC202" s="514" t="b">
        <f>IF(AD202=9,AF202)</f>
        <v>0</v>
      </c>
      <c r="AD202" s="514">
        <f t="shared" si="91"/>
        <v>1</v>
      </c>
      <c r="AE202" s="514">
        <f>IF(V202=0,0,9)</f>
        <v>0</v>
      </c>
      <c r="AF202" s="437">
        <f>SUM(V202:V213)/($B$191-B201)</f>
        <v>0</v>
      </c>
      <c r="AG202" s="437"/>
      <c r="AH202" s="450">
        <f>SUM(D195:D202)+$C$194</f>
        <v>0</v>
      </c>
      <c r="AI202" s="516" t="b">
        <f t="shared" si="92"/>
        <v>0</v>
      </c>
      <c r="AJ202" s="287">
        <f t="shared" si="93"/>
        <v>66.255548399999995</v>
      </c>
      <c r="AK202" s="441">
        <f t="shared" si="81"/>
        <v>0.91535047595051022</v>
      </c>
      <c r="AL202" s="289">
        <f t="shared" si="94"/>
        <v>278.56028065668761</v>
      </c>
      <c r="AM202" s="287">
        <f t="shared" si="95"/>
        <v>50.018549700000001</v>
      </c>
      <c r="AN202" s="442">
        <f t="shared" si="96"/>
        <v>0.76625250760411079</v>
      </c>
      <c r="AO202" s="291">
        <f t="shared" si="97"/>
        <v>213.83080789825695</v>
      </c>
      <c r="AP202" s="519">
        <f t="shared" si="82"/>
        <v>-14.552978113939259</v>
      </c>
      <c r="AQ202" s="291">
        <f t="shared" si="106"/>
        <v>-283.5</v>
      </c>
      <c r="AR202" s="519">
        <f t="shared" si="83"/>
        <v>-256.7</v>
      </c>
      <c r="AS202" s="444">
        <f t="shared" si="98"/>
        <v>492.39108855494453</v>
      </c>
      <c r="AT202" s="445">
        <f t="shared" si="107"/>
        <v>-213.83080789825695</v>
      </c>
      <c r="AU202" s="522">
        <f t="shared" si="99"/>
        <v>199.2778297843177</v>
      </c>
      <c r="AV202" s="445"/>
      <c r="AW202" s="523">
        <f t="shared" si="100"/>
        <v>-152.80977920871499</v>
      </c>
      <c r="AX202" s="523">
        <f t="shared" si="101"/>
        <v>-103.890220791285</v>
      </c>
      <c r="AY202" s="448">
        <f t="shared" si="84"/>
        <v>-75.911372034352325</v>
      </c>
      <c r="AZ202" s="448">
        <f t="shared" si="85"/>
        <v>-96.255450453704938</v>
      </c>
      <c r="BA202" s="451">
        <f t="shared" si="102"/>
        <v>75.911372034352325</v>
      </c>
      <c r="BB202" s="451">
        <f t="shared" si="102"/>
        <v>96.255450453704938</v>
      </c>
      <c r="BC202">
        <f t="shared" si="103"/>
        <v>0.3</v>
      </c>
      <c r="BE202" s="308">
        <v>37</v>
      </c>
      <c r="BF202" s="309">
        <f t="shared" si="41"/>
        <v>1075</v>
      </c>
      <c r="BG202" s="42">
        <f t="shared" si="42"/>
        <v>1075</v>
      </c>
      <c r="BH202" s="301">
        <f t="shared" si="38"/>
        <v>871.27688668873725</v>
      </c>
      <c r="BI202" s="302">
        <f t="shared" si="39"/>
        <v>871.27688668873725</v>
      </c>
      <c r="BJ202" s="302">
        <f t="shared" si="43"/>
        <v>11.276886688737221</v>
      </c>
      <c r="BK202" s="302" t="b">
        <f t="shared" si="40"/>
        <v>0</v>
      </c>
      <c r="BL202" s="310">
        <v>37</v>
      </c>
    </row>
    <row r="203" spans="1:109" ht="21" customHeight="1" thickBot="1" x14ac:dyDescent="0.25">
      <c r="B203" s="277">
        <v>10</v>
      </c>
      <c r="C203" s="278"/>
      <c r="D203" s="25">
        <v>0</v>
      </c>
      <c r="E203" s="279" t="s">
        <v>130</v>
      </c>
      <c r="F203" s="258">
        <f t="shared" si="86"/>
        <v>0.3</v>
      </c>
      <c r="G203" s="258">
        <f t="shared" si="104"/>
        <v>0.3</v>
      </c>
      <c r="H203" s="506">
        <v>279.06049999999999</v>
      </c>
      <c r="I203" s="507">
        <v>79.962900599999998</v>
      </c>
      <c r="J203" s="474">
        <f t="shared" si="87"/>
        <v>79.962900599999998</v>
      </c>
      <c r="K203" s="474">
        <f t="shared" si="88"/>
        <v>39.981450299999999</v>
      </c>
      <c r="L203" s="474">
        <f t="shared" si="74"/>
        <v>0.64253956655634092</v>
      </c>
      <c r="M203" s="474">
        <f t="shared" si="75"/>
        <v>179.30741271299578</v>
      </c>
      <c r="N203" s="474">
        <f t="shared" si="76"/>
        <v>358.61482542599157</v>
      </c>
      <c r="O203" s="474">
        <f>+C194+D195+D196+D197+D198+D199+D200+D201+D202+(D203/2)</f>
        <v>0</v>
      </c>
      <c r="P203" s="474">
        <f t="shared" si="77"/>
        <v>0</v>
      </c>
      <c r="Q203" s="474">
        <f t="shared" si="78"/>
        <v>0</v>
      </c>
      <c r="R203" s="474">
        <f t="shared" si="89"/>
        <v>213.83080000000001</v>
      </c>
      <c r="S203" s="474">
        <f t="shared" si="105"/>
        <v>213.83080000000001</v>
      </c>
      <c r="T203" s="476">
        <f t="shared" si="79"/>
        <v>213.83080000000001</v>
      </c>
      <c r="V203" s="437">
        <f t="shared" si="80"/>
        <v>0</v>
      </c>
      <c r="W203" s="437"/>
      <c r="X203" s="437"/>
      <c r="Y203" s="437"/>
      <c r="Z203" s="437"/>
      <c r="AA203" s="437"/>
      <c r="AB203" s="477" t="str">
        <f t="shared" si="90"/>
        <v>use the locking pin</v>
      </c>
      <c r="AC203" s="514" t="b">
        <f>IF(AD203=10,AF203)</f>
        <v>0</v>
      </c>
      <c r="AD203" s="514">
        <f t="shared" si="91"/>
        <v>1</v>
      </c>
      <c r="AE203" s="514">
        <f>IF(V203=0,0,10)</f>
        <v>0</v>
      </c>
      <c r="AF203" s="437">
        <f>SUM(V203:V213)/($B$191-B202)</f>
        <v>0</v>
      </c>
      <c r="AG203" s="437"/>
      <c r="AH203" s="450">
        <f>SUM(D195:D203)+$C$194</f>
        <v>0</v>
      </c>
      <c r="AI203" s="516" t="b">
        <f t="shared" si="92"/>
        <v>0</v>
      </c>
      <c r="AJ203" s="287">
        <f t="shared" si="93"/>
        <v>66.255548399999995</v>
      </c>
      <c r="AK203" s="441">
        <f t="shared" si="81"/>
        <v>0.91535047595051022</v>
      </c>
      <c r="AL203" s="289">
        <f t="shared" si="94"/>
        <v>278.56028065668761</v>
      </c>
      <c r="AM203" s="287">
        <f t="shared" si="95"/>
        <v>50.018549700000001</v>
      </c>
      <c r="AN203" s="442">
        <f t="shared" si="96"/>
        <v>0.76625250760411079</v>
      </c>
      <c r="AO203" s="291">
        <f t="shared" si="97"/>
        <v>213.83080789825695</v>
      </c>
      <c r="AP203" s="519">
        <f t="shared" si="82"/>
        <v>-12.569816560727483</v>
      </c>
      <c r="AQ203" s="291">
        <f t="shared" si="106"/>
        <v>-324</v>
      </c>
      <c r="AR203" s="519">
        <f t="shared" si="83"/>
        <v>-297.2</v>
      </c>
      <c r="AS203" s="444">
        <f t="shared" si="98"/>
        <v>492.39108855494453</v>
      </c>
      <c r="AT203" s="445">
        <f t="shared" si="107"/>
        <v>-213.83080789825695</v>
      </c>
      <c r="AU203" s="522">
        <f t="shared" si="99"/>
        <v>201.26099133752948</v>
      </c>
      <c r="AV203" s="445"/>
      <c r="AW203" s="523">
        <f t="shared" si="100"/>
        <v>-175.72183352656432</v>
      </c>
      <c r="AX203" s="523">
        <f t="shared" si="101"/>
        <v>-121.47816647343568</v>
      </c>
      <c r="AY203" s="448">
        <f t="shared" si="84"/>
        <v>-66.013424554020474</v>
      </c>
      <c r="AZ203" s="448">
        <f t="shared" si="85"/>
        <v>-82.319319514809735</v>
      </c>
      <c r="BA203" s="451">
        <f t="shared" si="102"/>
        <v>66.013424554020474</v>
      </c>
      <c r="BB203" s="451">
        <f t="shared" si="102"/>
        <v>82.319319514809735</v>
      </c>
      <c r="BC203">
        <f t="shared" si="103"/>
        <v>0.3</v>
      </c>
    </row>
    <row r="204" spans="1:109" ht="21" customHeight="1" thickBot="1" x14ac:dyDescent="0.25">
      <c r="A204" s="296"/>
      <c r="B204" s="277">
        <v>11</v>
      </c>
      <c r="C204" s="278"/>
      <c r="D204" s="25">
        <v>0</v>
      </c>
      <c r="E204" s="279" t="s">
        <v>130</v>
      </c>
      <c r="F204" s="258">
        <f t="shared" si="86"/>
        <v>0.3</v>
      </c>
      <c r="G204" s="258">
        <f t="shared" si="104"/>
        <v>0.3</v>
      </c>
      <c r="H204" s="506">
        <v>279.06049999999999</v>
      </c>
      <c r="I204" s="507">
        <v>79.962900599999998</v>
      </c>
      <c r="J204" s="474">
        <f t="shared" si="87"/>
        <v>79.962900599999998</v>
      </c>
      <c r="K204" s="474">
        <f t="shared" si="88"/>
        <v>39.981450299999999</v>
      </c>
      <c r="L204" s="474">
        <f t="shared" si="74"/>
        <v>0.64253956655634092</v>
      </c>
      <c r="M204" s="474">
        <f t="shared" si="75"/>
        <v>179.30741271299578</v>
      </c>
      <c r="N204" s="474">
        <f t="shared" si="76"/>
        <v>358.61482542599157</v>
      </c>
      <c r="O204" s="474">
        <f>+C194+D195+D196+D197+D198+D199+D200+D201+D202+D203+(D204/2)</f>
        <v>0</v>
      </c>
      <c r="P204" s="474">
        <f t="shared" si="77"/>
        <v>0</v>
      </c>
      <c r="Q204" s="474">
        <f t="shared" si="78"/>
        <v>0</v>
      </c>
      <c r="R204" s="474">
        <f t="shared" si="89"/>
        <v>213.83080000000001</v>
      </c>
      <c r="S204" s="474">
        <f t="shared" si="105"/>
        <v>213.83080000000001</v>
      </c>
      <c r="T204" s="476">
        <f t="shared" si="79"/>
        <v>213.83080000000001</v>
      </c>
      <c r="V204" s="437">
        <f t="shared" si="80"/>
        <v>0</v>
      </c>
      <c r="W204" s="437"/>
      <c r="X204" s="437"/>
      <c r="Y204" s="437"/>
      <c r="Z204" s="437"/>
      <c r="AA204" s="437"/>
      <c r="AB204" s="477" t="str">
        <f t="shared" si="90"/>
        <v>use the locking pin</v>
      </c>
      <c r="AC204" s="514" t="b">
        <f>IF(AD204=11,AF204)</f>
        <v>0</v>
      </c>
      <c r="AD204" s="514">
        <f t="shared" si="91"/>
        <v>1</v>
      </c>
      <c r="AE204" s="514">
        <f>IF(V204=0,0,11)</f>
        <v>0</v>
      </c>
      <c r="AF204" s="437">
        <f>SUM(V204:V213)/($B$191-B203)</f>
        <v>0</v>
      </c>
      <c r="AG204" s="437"/>
      <c r="AH204" s="450">
        <f>SUM(D195:D204)+$C$194</f>
        <v>0</v>
      </c>
      <c r="AI204" s="516" t="b">
        <f t="shared" si="92"/>
        <v>0</v>
      </c>
      <c r="AJ204" s="287">
        <f t="shared" si="93"/>
        <v>66.255548399999995</v>
      </c>
      <c r="AK204" s="441">
        <f t="shared" si="81"/>
        <v>0.91535047595051022</v>
      </c>
      <c r="AL204" s="289">
        <f t="shared" si="94"/>
        <v>278.56028065668761</v>
      </c>
      <c r="AM204" s="287">
        <f t="shared" si="95"/>
        <v>50.018549700000001</v>
      </c>
      <c r="AN204" s="442">
        <f t="shared" si="96"/>
        <v>0.76625250760411079</v>
      </c>
      <c r="AO204" s="291">
        <f t="shared" si="97"/>
        <v>213.83080789825695</v>
      </c>
      <c r="AP204" s="519">
        <f t="shared" si="82"/>
        <v>-11.062331897684951</v>
      </c>
      <c r="AQ204" s="291">
        <f t="shared" si="106"/>
        <v>-364.5</v>
      </c>
      <c r="AR204" s="519">
        <f t="shared" si="83"/>
        <v>-337.7</v>
      </c>
      <c r="AS204" s="444">
        <f t="shared" si="98"/>
        <v>492.39108855494453</v>
      </c>
      <c r="AT204" s="445">
        <f t="shared" si="107"/>
        <v>-213.83080789825695</v>
      </c>
      <c r="AU204" s="522">
        <f t="shared" si="99"/>
        <v>202.76847600057201</v>
      </c>
      <c r="AV204" s="445"/>
      <c r="AW204" s="523">
        <f t="shared" si="100"/>
        <v>-198.63388784441361</v>
      </c>
      <c r="AX204" s="523">
        <f t="shared" si="101"/>
        <v>-139.06611215558635</v>
      </c>
      <c r="AY204" s="448">
        <f t="shared" si="84"/>
        <v>-58.398897216803576</v>
      </c>
      <c r="AZ204" s="448">
        <f t="shared" si="85"/>
        <v>-71.90824453920203</v>
      </c>
      <c r="BA204" s="451">
        <f t="shared" si="102"/>
        <v>58.398897216803576</v>
      </c>
      <c r="BB204" s="451">
        <f t="shared" si="102"/>
        <v>71.90824453920203</v>
      </c>
      <c r="BC204">
        <f t="shared" si="103"/>
        <v>0.3</v>
      </c>
    </row>
    <row r="205" spans="1:109" ht="21" customHeight="1" thickBot="1" x14ac:dyDescent="0.25">
      <c r="A205" s="296"/>
      <c r="B205" s="277">
        <v>12</v>
      </c>
      <c r="C205" s="278"/>
      <c r="D205" s="25">
        <v>0</v>
      </c>
      <c r="E205" s="279" t="s">
        <v>130</v>
      </c>
      <c r="F205" s="258">
        <f t="shared" si="86"/>
        <v>0.3</v>
      </c>
      <c r="G205" s="258">
        <f t="shared" si="104"/>
        <v>0.3</v>
      </c>
      <c r="H205" s="506">
        <v>279.06049999999999</v>
      </c>
      <c r="I205" s="507">
        <v>79.962900599999998</v>
      </c>
      <c r="J205" s="474">
        <f t="shared" si="87"/>
        <v>79.962900599999998</v>
      </c>
      <c r="K205" s="474">
        <f t="shared" si="88"/>
        <v>39.981450299999999</v>
      </c>
      <c r="L205" s="474">
        <f t="shared" si="74"/>
        <v>0.64253956655634092</v>
      </c>
      <c r="M205" s="474">
        <f t="shared" si="75"/>
        <v>179.30741271299578</v>
      </c>
      <c r="N205" s="474">
        <f t="shared" si="76"/>
        <v>358.61482542599157</v>
      </c>
      <c r="O205" s="474">
        <f>+C194+D195+D196+D197+D198+D199+D200+D201+D202+D203+D204+(D205/2)</f>
        <v>0</v>
      </c>
      <c r="P205" s="474">
        <f t="shared" si="77"/>
        <v>0</v>
      </c>
      <c r="Q205" s="474">
        <f t="shared" si="78"/>
        <v>0</v>
      </c>
      <c r="R205" s="474">
        <f t="shared" si="89"/>
        <v>213.83080000000001</v>
      </c>
      <c r="S205" s="474">
        <f t="shared" si="105"/>
        <v>213.83080000000001</v>
      </c>
      <c r="T205" s="476">
        <f t="shared" si="79"/>
        <v>213.83080000000001</v>
      </c>
      <c r="V205" s="437">
        <f t="shared" si="80"/>
        <v>0</v>
      </c>
      <c r="W205" s="437"/>
      <c r="X205" s="437"/>
      <c r="Y205" s="437"/>
      <c r="Z205" s="437"/>
      <c r="AA205" s="437"/>
      <c r="AB205" s="477" t="str">
        <f t="shared" si="90"/>
        <v>use the locking pin</v>
      </c>
      <c r="AC205" s="514" t="b">
        <f>IF(AD205=12,AF205)</f>
        <v>0</v>
      </c>
      <c r="AD205" s="514">
        <f t="shared" si="91"/>
        <v>1</v>
      </c>
      <c r="AE205" s="514">
        <f>IF(V205=0,0,12)</f>
        <v>0</v>
      </c>
      <c r="AF205" s="437">
        <f>SUM(V205:V213)/($B$191-B204)</f>
        <v>0</v>
      </c>
      <c r="AG205" s="437"/>
      <c r="AH205" s="450">
        <f>SUM(D195:D205)+$C$194</f>
        <v>0</v>
      </c>
      <c r="AI205" s="516" t="b">
        <f t="shared" si="92"/>
        <v>0</v>
      </c>
      <c r="AJ205" s="287">
        <f t="shared" si="93"/>
        <v>66.255548399999995</v>
      </c>
      <c r="AK205" s="441">
        <f t="shared" si="81"/>
        <v>0.91535047595051022</v>
      </c>
      <c r="AL205" s="289">
        <f t="shared" si="94"/>
        <v>278.56028065668761</v>
      </c>
      <c r="AM205" s="287">
        <f t="shared" si="95"/>
        <v>50.018549700000001</v>
      </c>
      <c r="AN205" s="442">
        <f t="shared" si="96"/>
        <v>0.76625250760411079</v>
      </c>
      <c r="AO205" s="291">
        <f t="shared" si="97"/>
        <v>213.83080789825695</v>
      </c>
      <c r="AP205" s="519">
        <f t="shared" si="82"/>
        <v>-9.8777088361930403</v>
      </c>
      <c r="AQ205" s="291">
        <f t="shared" si="106"/>
        <v>-405</v>
      </c>
      <c r="AR205" s="519">
        <f t="shared" si="83"/>
        <v>-378.2</v>
      </c>
      <c r="AS205" s="444">
        <f t="shared" si="98"/>
        <v>492.39108855494453</v>
      </c>
      <c r="AT205" s="445">
        <f t="shared" si="107"/>
        <v>-213.83080789825695</v>
      </c>
      <c r="AU205" s="522">
        <f t="shared" si="99"/>
        <v>203.9530990620639</v>
      </c>
      <c r="AV205" s="445"/>
      <c r="AW205" s="523">
        <f t="shared" si="100"/>
        <v>-221.54594216226303</v>
      </c>
      <c r="AX205" s="523">
        <f t="shared" si="101"/>
        <v>-156.65405783773701</v>
      </c>
      <c r="AY205" s="448">
        <f t="shared" si="84"/>
        <v>-52.359343108636196</v>
      </c>
      <c r="AZ205" s="448">
        <f t="shared" si="85"/>
        <v>-63.834924789232367</v>
      </c>
      <c r="BA205" s="451">
        <f t="shared" si="102"/>
        <v>52.359343108636196</v>
      </c>
      <c r="BB205" s="451">
        <f t="shared" si="102"/>
        <v>63.834924789232367</v>
      </c>
      <c r="BC205">
        <f t="shared" si="103"/>
        <v>0.3</v>
      </c>
    </row>
    <row r="206" spans="1:109" ht="21" customHeight="1" thickBot="1" x14ac:dyDescent="0.25">
      <c r="B206" s="277">
        <v>13</v>
      </c>
      <c r="C206" s="278"/>
      <c r="D206" s="25">
        <v>0</v>
      </c>
      <c r="E206" s="279" t="s">
        <v>130</v>
      </c>
      <c r="F206" s="258">
        <f t="shared" si="86"/>
        <v>0.3</v>
      </c>
      <c r="G206" s="258">
        <f t="shared" si="104"/>
        <v>0.3</v>
      </c>
      <c r="H206" s="506">
        <v>279.06049999999999</v>
      </c>
      <c r="I206" s="507">
        <v>79.962900599999998</v>
      </c>
      <c r="J206" s="474">
        <f t="shared" si="87"/>
        <v>79.962900599999998</v>
      </c>
      <c r="K206" s="474">
        <f t="shared" si="88"/>
        <v>39.981450299999999</v>
      </c>
      <c r="L206" s="474">
        <f t="shared" si="74"/>
        <v>0.64253956655634092</v>
      </c>
      <c r="M206" s="474">
        <f t="shared" si="75"/>
        <v>179.30741271299578</v>
      </c>
      <c r="N206" s="474">
        <f t="shared" si="76"/>
        <v>358.61482542599157</v>
      </c>
      <c r="O206" s="474">
        <f>+C194+D195+D196+D197+D198+D199+D200+D201+D202+D203+D204+D205+(D206/2)</f>
        <v>0</v>
      </c>
      <c r="P206" s="474">
        <f t="shared" si="77"/>
        <v>0</v>
      </c>
      <c r="Q206" s="474">
        <f t="shared" si="78"/>
        <v>0</v>
      </c>
      <c r="R206" s="474">
        <f t="shared" si="89"/>
        <v>213.83080000000001</v>
      </c>
      <c r="S206" s="474">
        <f t="shared" si="105"/>
        <v>213.83080000000001</v>
      </c>
      <c r="T206" s="476">
        <f t="shared" si="79"/>
        <v>213.83080000000001</v>
      </c>
      <c r="V206" s="437">
        <f t="shared" si="80"/>
        <v>0</v>
      </c>
      <c r="W206" s="437"/>
      <c r="X206" s="437"/>
      <c r="Y206" s="437"/>
      <c r="Z206" s="437"/>
      <c r="AA206" s="437"/>
      <c r="AB206" s="477" t="str">
        <f t="shared" si="90"/>
        <v>use the locking pin</v>
      </c>
      <c r="AC206" s="514" t="b">
        <f>IF(AD206=13,AF206)</f>
        <v>0</v>
      </c>
      <c r="AD206" s="514">
        <f t="shared" si="91"/>
        <v>1</v>
      </c>
      <c r="AE206" s="514">
        <f>IF(V206=0,0,13)</f>
        <v>0</v>
      </c>
      <c r="AF206" s="437">
        <f>SUM(V206:V213)/($B$191-B205)</f>
        <v>0</v>
      </c>
      <c r="AG206" s="437"/>
      <c r="AH206" s="450">
        <f>SUM(D195:D206)+$C$194</f>
        <v>0</v>
      </c>
      <c r="AI206" s="516" t="b">
        <f t="shared" si="92"/>
        <v>0</v>
      </c>
      <c r="AJ206" s="287">
        <f t="shared" si="93"/>
        <v>66.255548399999995</v>
      </c>
      <c r="AK206" s="441">
        <f t="shared" si="81"/>
        <v>0.91535047595051022</v>
      </c>
      <c r="AL206" s="289">
        <f t="shared" si="94"/>
        <v>278.56028065668761</v>
      </c>
      <c r="AM206" s="287">
        <f t="shared" si="95"/>
        <v>50.018549700000001</v>
      </c>
      <c r="AN206" s="442">
        <f t="shared" si="96"/>
        <v>0.76625250760411079</v>
      </c>
      <c r="AO206" s="291">
        <f t="shared" si="97"/>
        <v>213.83080789825695</v>
      </c>
      <c r="AP206" s="519">
        <f t="shared" si="82"/>
        <v>-8.9222581367284644</v>
      </c>
      <c r="AQ206" s="291">
        <f t="shared" si="106"/>
        <v>-445.5</v>
      </c>
      <c r="AR206" s="519">
        <f t="shared" si="83"/>
        <v>-418.7</v>
      </c>
      <c r="AS206" s="444">
        <f t="shared" si="98"/>
        <v>492.39108855494453</v>
      </c>
      <c r="AT206" s="445">
        <f t="shared" si="107"/>
        <v>-213.83080789825695</v>
      </c>
      <c r="AU206" s="522">
        <f t="shared" si="99"/>
        <v>204.90854976152849</v>
      </c>
      <c r="AV206" s="445"/>
      <c r="AW206" s="523">
        <f t="shared" si="100"/>
        <v>-244.45799648011229</v>
      </c>
      <c r="AX206" s="523">
        <f t="shared" si="101"/>
        <v>-174.24200351988767</v>
      </c>
      <c r="AY206" s="448">
        <f t="shared" si="84"/>
        <v>-47.451914713469847</v>
      </c>
      <c r="AZ206" s="448">
        <f t="shared" si="85"/>
        <v>-57.391442924143249</v>
      </c>
      <c r="BA206" s="451">
        <f t="shared" si="102"/>
        <v>47.451914713469847</v>
      </c>
      <c r="BB206" s="451">
        <f t="shared" si="102"/>
        <v>57.391442924143249</v>
      </c>
      <c r="BC206">
        <f t="shared" si="103"/>
        <v>0.3</v>
      </c>
    </row>
    <row r="207" spans="1:109" ht="21" customHeight="1" thickBot="1" x14ac:dyDescent="0.25">
      <c r="B207" s="277">
        <v>14</v>
      </c>
      <c r="C207" s="278"/>
      <c r="D207" s="25">
        <v>0</v>
      </c>
      <c r="E207" s="279" t="s">
        <v>130</v>
      </c>
      <c r="F207" s="258">
        <f t="shared" si="86"/>
        <v>0.3</v>
      </c>
      <c r="G207" s="258">
        <f t="shared" si="104"/>
        <v>0.3</v>
      </c>
      <c r="H207" s="506">
        <v>279.06049999999999</v>
      </c>
      <c r="I207" s="507">
        <v>79.962900599999998</v>
      </c>
      <c r="J207" s="474">
        <f t="shared" si="87"/>
        <v>79.962900599999998</v>
      </c>
      <c r="K207" s="474">
        <f t="shared" si="88"/>
        <v>39.981450299999999</v>
      </c>
      <c r="L207" s="474">
        <f t="shared" si="74"/>
        <v>0.64253956655634092</v>
      </c>
      <c r="M207" s="474">
        <f t="shared" si="75"/>
        <v>179.30741271299578</v>
      </c>
      <c r="N207" s="474">
        <f t="shared" si="76"/>
        <v>358.61482542599157</v>
      </c>
      <c r="O207" s="474">
        <f>+C194+D195+D196+D197+D198+D199+D200+D201+D202+D203+D204+D205+D206+(D207/2)</f>
        <v>0</v>
      </c>
      <c r="P207" s="474">
        <f t="shared" si="77"/>
        <v>0</v>
      </c>
      <c r="Q207" s="474">
        <f t="shared" si="78"/>
        <v>0</v>
      </c>
      <c r="R207" s="474">
        <f t="shared" si="89"/>
        <v>213.83080000000001</v>
      </c>
      <c r="S207" s="474">
        <f t="shared" si="105"/>
        <v>213.83080000000001</v>
      </c>
      <c r="T207" s="476">
        <f t="shared" si="79"/>
        <v>213.83080000000001</v>
      </c>
      <c r="V207" s="437">
        <f t="shared" si="80"/>
        <v>0</v>
      </c>
      <c r="W207" s="437"/>
      <c r="X207" s="437"/>
      <c r="Y207" s="437"/>
      <c r="Z207" s="437"/>
      <c r="AA207" s="437"/>
      <c r="AB207" s="477" t="str">
        <f t="shared" si="90"/>
        <v>use the locking pin</v>
      </c>
      <c r="AC207" s="514" t="b">
        <f>IF(AD207=14,AF207)</f>
        <v>0</v>
      </c>
      <c r="AD207" s="514">
        <f t="shared" si="91"/>
        <v>1</v>
      </c>
      <c r="AE207" s="514">
        <f>IF(V207=0,0,14)</f>
        <v>0</v>
      </c>
      <c r="AF207" s="437">
        <f>SUM(V207:V213)/($B$191-B206)</f>
        <v>0</v>
      </c>
      <c r="AG207" s="437"/>
      <c r="AH207" s="450">
        <f>SUM(D195:D207)+$C$194</f>
        <v>0</v>
      </c>
      <c r="AI207" s="516" t="b">
        <f t="shared" si="92"/>
        <v>0</v>
      </c>
      <c r="AJ207" s="287">
        <f t="shared" si="93"/>
        <v>66.255548399999995</v>
      </c>
      <c r="AK207" s="441">
        <f t="shared" si="81"/>
        <v>0.91535047595051022</v>
      </c>
      <c r="AL207" s="289">
        <f t="shared" si="94"/>
        <v>278.56028065668761</v>
      </c>
      <c r="AM207" s="287">
        <f t="shared" si="95"/>
        <v>50.018549700000001</v>
      </c>
      <c r="AN207" s="442">
        <f t="shared" si="96"/>
        <v>0.76625250760411079</v>
      </c>
      <c r="AO207" s="291">
        <f t="shared" si="97"/>
        <v>213.83080789825695</v>
      </c>
      <c r="AP207" s="519">
        <f t="shared" si="82"/>
        <v>-8.1353429482757136</v>
      </c>
      <c r="AQ207" s="291">
        <f t="shared" si="106"/>
        <v>-486</v>
      </c>
      <c r="AR207" s="519">
        <f t="shared" si="83"/>
        <v>-459.2</v>
      </c>
      <c r="AS207" s="444">
        <f t="shared" si="98"/>
        <v>492.39108855494453</v>
      </c>
      <c r="AT207" s="445">
        <f t="shared" si="107"/>
        <v>-213.83080789825695</v>
      </c>
      <c r="AU207" s="522">
        <f t="shared" si="99"/>
        <v>205.69546494998124</v>
      </c>
      <c r="AV207" s="445"/>
      <c r="AW207" s="523">
        <f t="shared" si="100"/>
        <v>-267.37005079796165</v>
      </c>
      <c r="AX207" s="523">
        <f t="shared" si="101"/>
        <v>-191.82994920203836</v>
      </c>
      <c r="AY207" s="448">
        <f t="shared" si="84"/>
        <v>-43.385562314776784</v>
      </c>
      <c r="AZ207" s="448">
        <f t="shared" si="85"/>
        <v>-52.129503456563192</v>
      </c>
      <c r="BA207" s="451">
        <f t="shared" si="102"/>
        <v>43.385562314776784</v>
      </c>
      <c r="BB207" s="451">
        <f t="shared" si="102"/>
        <v>52.129503456563192</v>
      </c>
      <c r="BC207">
        <f t="shared" si="103"/>
        <v>0.3</v>
      </c>
    </row>
    <row r="208" spans="1:109" ht="21" customHeight="1" thickBot="1" x14ac:dyDescent="0.25">
      <c r="B208" s="277">
        <v>15</v>
      </c>
      <c r="C208" s="278"/>
      <c r="D208" s="25">
        <v>0</v>
      </c>
      <c r="E208" s="279" t="s">
        <v>130</v>
      </c>
      <c r="F208" s="258">
        <f t="shared" si="86"/>
        <v>0.3</v>
      </c>
      <c r="G208" s="258">
        <f t="shared" si="104"/>
        <v>0.3</v>
      </c>
      <c r="H208" s="506">
        <v>279.06049999999999</v>
      </c>
      <c r="I208" s="507">
        <v>79.962900599999998</v>
      </c>
      <c r="J208" s="474">
        <f t="shared" si="87"/>
        <v>79.962900599999998</v>
      </c>
      <c r="K208" s="474">
        <f t="shared" si="88"/>
        <v>39.981450299999999</v>
      </c>
      <c r="L208" s="474">
        <f t="shared" si="74"/>
        <v>0.64253956655634092</v>
      </c>
      <c r="M208" s="474">
        <f t="shared" si="75"/>
        <v>179.30741271299578</v>
      </c>
      <c r="N208" s="474">
        <f t="shared" si="76"/>
        <v>358.61482542599157</v>
      </c>
      <c r="O208" s="474">
        <f>+C194+D195+D196+D197+D198+D199+D200+D201+D202+D203+D204+D205+D206+D207+(D208/2)</f>
        <v>0</v>
      </c>
      <c r="P208" s="474">
        <f t="shared" si="77"/>
        <v>0</v>
      </c>
      <c r="Q208" s="474">
        <f t="shared" si="78"/>
        <v>0</v>
      </c>
      <c r="R208" s="474">
        <f t="shared" si="89"/>
        <v>213.83080000000001</v>
      </c>
      <c r="S208" s="474">
        <f t="shared" si="105"/>
        <v>213.83080000000001</v>
      </c>
      <c r="T208" s="476">
        <f t="shared" si="79"/>
        <v>213.83080000000001</v>
      </c>
      <c r="V208" s="437">
        <f t="shared" si="80"/>
        <v>0</v>
      </c>
      <c r="W208" s="437"/>
      <c r="X208" s="437"/>
      <c r="Y208" s="437"/>
      <c r="Z208" s="437"/>
      <c r="AA208" s="437"/>
      <c r="AB208" s="477" t="str">
        <f t="shared" si="90"/>
        <v>use the locking pin</v>
      </c>
      <c r="AC208" s="514" t="b">
        <f>IF(AD208=15,AF208)</f>
        <v>0</v>
      </c>
      <c r="AD208" s="514">
        <f t="shared" si="91"/>
        <v>1</v>
      </c>
      <c r="AE208" s="514">
        <f>IF(V208=0,0,15)</f>
        <v>0</v>
      </c>
      <c r="AF208" s="437">
        <f>SUM(V208:V213)/($B$191-B207)</f>
        <v>0</v>
      </c>
      <c r="AG208" s="437"/>
      <c r="AH208" s="450">
        <f>SUM(D195:D208)+$C$194</f>
        <v>0</v>
      </c>
      <c r="AI208" s="516" t="b">
        <f t="shared" si="92"/>
        <v>0</v>
      </c>
      <c r="AJ208" s="287">
        <f t="shared" si="93"/>
        <v>66.255548399999995</v>
      </c>
      <c r="AK208" s="441">
        <f t="shared" si="81"/>
        <v>0.91535047595051022</v>
      </c>
      <c r="AL208" s="289">
        <f t="shared" si="94"/>
        <v>278.56028065668761</v>
      </c>
      <c r="AM208" s="287">
        <f t="shared" si="95"/>
        <v>50.018549700000001</v>
      </c>
      <c r="AN208" s="442">
        <f t="shared" si="96"/>
        <v>0.76625250760411079</v>
      </c>
      <c r="AO208" s="291">
        <f t="shared" si="97"/>
        <v>213.83080789825695</v>
      </c>
      <c r="AP208" s="519">
        <f t="shared" si="82"/>
        <v>-7.4759845544290728</v>
      </c>
      <c r="AQ208" s="291">
        <f t="shared" si="106"/>
        <v>-526.5</v>
      </c>
      <c r="AR208" s="519">
        <f t="shared" si="83"/>
        <v>-499.7</v>
      </c>
      <c r="AS208" s="444">
        <f t="shared" si="98"/>
        <v>492.39108855494453</v>
      </c>
      <c r="AT208" s="445">
        <f t="shared" si="107"/>
        <v>-213.83080789825695</v>
      </c>
      <c r="AU208" s="522">
        <f t="shared" si="99"/>
        <v>206.35482334382789</v>
      </c>
      <c r="AV208" s="445"/>
      <c r="AW208" s="523">
        <f t="shared" si="100"/>
        <v>-290.28210511581091</v>
      </c>
      <c r="AX208" s="523">
        <f t="shared" si="101"/>
        <v>-209.41789488418905</v>
      </c>
      <c r="AY208" s="448">
        <f t="shared" si="84"/>
        <v>-39.961126764504016</v>
      </c>
      <c r="AZ208" s="448">
        <f t="shared" si="85"/>
        <v>-47.751411146263962</v>
      </c>
      <c r="BA208" s="451">
        <f t="shared" si="102"/>
        <v>39.961126764504016</v>
      </c>
      <c r="BB208" s="451">
        <f t="shared" si="102"/>
        <v>47.751411146263962</v>
      </c>
      <c r="BC208">
        <f t="shared" si="103"/>
        <v>0.3</v>
      </c>
    </row>
    <row r="209" spans="2:129" ht="21" customHeight="1" thickBot="1" x14ac:dyDescent="0.25">
      <c r="B209" s="277">
        <v>16</v>
      </c>
      <c r="C209" s="278"/>
      <c r="D209" s="25">
        <v>0</v>
      </c>
      <c r="E209" s="279" t="s">
        <v>130</v>
      </c>
      <c r="F209" s="258">
        <f t="shared" si="86"/>
        <v>0.3</v>
      </c>
      <c r="G209" s="258">
        <f t="shared" si="104"/>
        <v>0.3</v>
      </c>
      <c r="H209" s="506">
        <v>279.06049999999999</v>
      </c>
      <c r="I209" s="507">
        <v>79.962900599999998</v>
      </c>
      <c r="J209" s="474">
        <f t="shared" si="87"/>
        <v>79.962900599999998</v>
      </c>
      <c r="K209" s="474">
        <f t="shared" si="88"/>
        <v>39.981450299999999</v>
      </c>
      <c r="L209" s="474">
        <f t="shared" si="74"/>
        <v>0.64253956655634092</v>
      </c>
      <c r="M209" s="474">
        <f t="shared" si="75"/>
        <v>179.30741271299578</v>
      </c>
      <c r="N209" s="474">
        <f t="shared" si="76"/>
        <v>358.61482542599157</v>
      </c>
      <c r="O209" s="474">
        <f>+C194+D195+D196+D197+D198+D199+D200+D201+D202+D203+D204+D205+D206+D207+D208+(D209/2)</f>
        <v>0</v>
      </c>
      <c r="P209" s="474">
        <f t="shared" si="77"/>
        <v>0</v>
      </c>
      <c r="Q209" s="474">
        <f t="shared" si="78"/>
        <v>0</v>
      </c>
      <c r="R209" s="474">
        <f t="shared" si="89"/>
        <v>213.83080000000001</v>
      </c>
      <c r="S209" s="474">
        <f t="shared" si="105"/>
        <v>213.83080000000001</v>
      </c>
      <c r="T209" s="476">
        <f t="shared" si="79"/>
        <v>213.83080000000001</v>
      </c>
      <c r="V209" s="437">
        <f t="shared" si="80"/>
        <v>0</v>
      </c>
      <c r="W209" s="437"/>
      <c r="X209" s="437"/>
      <c r="Y209" s="437"/>
      <c r="Z209" s="437"/>
      <c r="AA209" s="437"/>
      <c r="AB209" s="477" t="str">
        <f t="shared" si="90"/>
        <v>use the locking pin</v>
      </c>
      <c r="AC209" s="514" t="b">
        <f>IF(AD209=16,AF209)</f>
        <v>0</v>
      </c>
      <c r="AD209" s="514">
        <f t="shared" si="91"/>
        <v>1</v>
      </c>
      <c r="AE209" s="514">
        <f>IF(V209=0,0,16)</f>
        <v>0</v>
      </c>
      <c r="AF209" s="437">
        <f>SUM(V209:V213)/($B$191-B208)</f>
        <v>0</v>
      </c>
      <c r="AG209" s="437"/>
      <c r="AH209" s="450">
        <f>SUM(D195:D209)+$C$194</f>
        <v>0</v>
      </c>
      <c r="AI209" s="516" t="b">
        <f t="shared" si="92"/>
        <v>0</v>
      </c>
      <c r="AJ209" s="287">
        <f t="shared" si="93"/>
        <v>66.255548399999995</v>
      </c>
      <c r="AK209" s="441">
        <f t="shared" si="81"/>
        <v>0.91535047595051022</v>
      </c>
      <c r="AL209" s="289">
        <f t="shared" si="94"/>
        <v>278.56028065668761</v>
      </c>
      <c r="AM209" s="287">
        <f t="shared" si="95"/>
        <v>50.018549700000001</v>
      </c>
      <c r="AN209" s="442">
        <f t="shared" si="96"/>
        <v>0.76625250760411079</v>
      </c>
      <c r="AO209" s="291">
        <f t="shared" si="97"/>
        <v>213.83080789825695</v>
      </c>
      <c r="AP209" s="519">
        <f t="shared" si="82"/>
        <v>-6.9154933021995699</v>
      </c>
      <c r="AQ209" s="291">
        <f t="shared" si="106"/>
        <v>-567</v>
      </c>
      <c r="AR209" s="519">
        <f t="shared" si="83"/>
        <v>-540.20000000000005</v>
      </c>
      <c r="AS209" s="444">
        <f t="shared" si="98"/>
        <v>492.39108855494453</v>
      </c>
      <c r="AT209" s="445">
        <f t="shared" si="107"/>
        <v>-213.83080789825695</v>
      </c>
      <c r="AU209" s="522">
        <f t="shared" si="99"/>
        <v>206.91531459605739</v>
      </c>
      <c r="AV209" s="445"/>
      <c r="AW209" s="523">
        <f t="shared" si="100"/>
        <v>-313.19415943366033</v>
      </c>
      <c r="AX209" s="523">
        <f t="shared" si="101"/>
        <v>-227.00584056633974</v>
      </c>
      <c r="AY209" s="448">
        <f t="shared" si="84"/>
        <v>-37.037727718090061</v>
      </c>
      <c r="AZ209" s="448">
        <f t="shared" si="85"/>
        <v>-44.051730012988891</v>
      </c>
      <c r="BA209" s="451">
        <f t="shared" si="102"/>
        <v>37.037727718090061</v>
      </c>
      <c r="BB209" s="451">
        <f t="shared" si="102"/>
        <v>44.051730012988891</v>
      </c>
      <c r="BC209">
        <f t="shared" si="103"/>
        <v>0.3</v>
      </c>
    </row>
    <row r="210" spans="2:129" ht="21" customHeight="1" thickBot="1" x14ac:dyDescent="0.25">
      <c r="B210" s="277">
        <v>17</v>
      </c>
      <c r="C210" s="278"/>
      <c r="D210" s="25">
        <v>0</v>
      </c>
      <c r="E210" s="279" t="s">
        <v>130</v>
      </c>
      <c r="F210" s="258">
        <f t="shared" si="86"/>
        <v>0.3</v>
      </c>
      <c r="G210" s="258">
        <f t="shared" si="104"/>
        <v>0.3</v>
      </c>
      <c r="H210" s="506">
        <v>279.06049999999999</v>
      </c>
      <c r="I210" s="507">
        <v>79.962900599999998</v>
      </c>
      <c r="J210" s="474">
        <f t="shared" si="87"/>
        <v>79.962900599999998</v>
      </c>
      <c r="K210" s="474">
        <f t="shared" si="88"/>
        <v>39.981450299999999</v>
      </c>
      <c r="L210" s="474">
        <f t="shared" si="74"/>
        <v>0.64253956655634092</v>
      </c>
      <c r="M210" s="474">
        <f t="shared" si="75"/>
        <v>179.30741271299578</v>
      </c>
      <c r="N210" s="474">
        <f t="shared" si="76"/>
        <v>358.61482542599157</v>
      </c>
      <c r="O210" s="474">
        <f>+C194+D195+D196+D197+D198+D199+D200+D201+D202+D203+D204+D205+D206+D207+D208+D209+(D210/2)</f>
        <v>0</v>
      </c>
      <c r="P210" s="474">
        <f t="shared" si="77"/>
        <v>0</v>
      </c>
      <c r="Q210" s="474">
        <f t="shared" si="78"/>
        <v>0</v>
      </c>
      <c r="R210" s="474">
        <f t="shared" si="89"/>
        <v>213.83080000000001</v>
      </c>
      <c r="S210" s="474">
        <f t="shared" si="105"/>
        <v>213.83080000000001</v>
      </c>
      <c r="T210" s="476">
        <f t="shared" si="79"/>
        <v>213.83080000000001</v>
      </c>
      <c r="V210" s="437">
        <f t="shared" si="80"/>
        <v>0</v>
      </c>
      <c r="W210" s="437"/>
      <c r="X210" s="437"/>
      <c r="Y210" s="437"/>
      <c r="Z210" s="437"/>
      <c r="AA210" s="437"/>
      <c r="AB210" s="477" t="str">
        <f t="shared" si="90"/>
        <v>use the locking pin</v>
      </c>
      <c r="AC210" s="514" t="b">
        <f>IF(AD210=17,AF210)</f>
        <v>0</v>
      </c>
      <c r="AD210" s="514">
        <f t="shared" si="91"/>
        <v>1</v>
      </c>
      <c r="AE210" s="514">
        <f>IF(V210=0,0,17)</f>
        <v>0</v>
      </c>
      <c r="AF210" s="437">
        <f>SUM(V210:V213)/($B$191-B209)</f>
        <v>0</v>
      </c>
      <c r="AG210" s="437"/>
      <c r="AH210" s="450">
        <f>SUM(D195:D210)+$C$194</f>
        <v>0</v>
      </c>
      <c r="AI210" s="516" t="b">
        <f t="shared" si="92"/>
        <v>0</v>
      </c>
      <c r="AJ210" s="287">
        <f t="shared" si="93"/>
        <v>66.255548399999995</v>
      </c>
      <c r="AK210" s="441">
        <f t="shared" si="81"/>
        <v>0.91535047595051022</v>
      </c>
      <c r="AL210" s="289">
        <f t="shared" si="94"/>
        <v>278.56028065668761</v>
      </c>
      <c r="AM210" s="287">
        <f t="shared" si="95"/>
        <v>50.018549700000001</v>
      </c>
      <c r="AN210" s="442">
        <f t="shared" si="96"/>
        <v>0.76625250760411079</v>
      </c>
      <c r="AO210" s="291">
        <f t="shared" si="97"/>
        <v>213.83080789825695</v>
      </c>
      <c r="AP210" s="519">
        <f t="shared" si="82"/>
        <v>-6.4331831958811909</v>
      </c>
      <c r="AQ210" s="291">
        <f t="shared" si="106"/>
        <v>-607.5</v>
      </c>
      <c r="AR210" s="519">
        <f t="shared" si="83"/>
        <v>-580.70000000000005</v>
      </c>
      <c r="AS210" s="444">
        <f t="shared" si="98"/>
        <v>492.39108855494453</v>
      </c>
      <c r="AT210" s="445">
        <f t="shared" si="107"/>
        <v>-213.83080789825695</v>
      </c>
      <c r="AU210" s="522">
        <f t="shared" si="99"/>
        <v>207.39762470237577</v>
      </c>
      <c r="AV210" s="445"/>
      <c r="AW210" s="523">
        <f t="shared" si="100"/>
        <v>-336.10621375150964</v>
      </c>
      <c r="AX210" s="523">
        <f t="shared" si="101"/>
        <v>-244.59378624849043</v>
      </c>
      <c r="AY210" s="448">
        <f t="shared" si="84"/>
        <v>-34.512899569825038</v>
      </c>
      <c r="AZ210" s="448">
        <f t="shared" si="85"/>
        <v>-40.884113016021956</v>
      </c>
      <c r="BA210" s="451">
        <f t="shared" si="102"/>
        <v>34.512899569825038</v>
      </c>
      <c r="BB210" s="451">
        <f t="shared" si="102"/>
        <v>40.884113016021956</v>
      </c>
      <c r="BC210">
        <f t="shared" si="103"/>
        <v>0.3</v>
      </c>
      <c r="BD210" s="136"/>
      <c r="BP210" s="126"/>
      <c r="BR210" s="126"/>
      <c r="BT210" s="126"/>
      <c r="DF210" s="126"/>
      <c r="DG210" s="126"/>
      <c r="DH210" s="126"/>
      <c r="DI210" s="126"/>
      <c r="DJ210" s="126"/>
      <c r="DK210" s="126"/>
      <c r="DL210" s="203"/>
      <c r="DM210" s="203"/>
      <c r="DN210" s="203"/>
      <c r="DO210" s="203"/>
      <c r="DP210" s="203"/>
      <c r="DQ210" s="203"/>
      <c r="DR210" s="203"/>
      <c r="DS210" s="203"/>
      <c r="DT210" s="203"/>
      <c r="DU210" s="203"/>
      <c r="DV210" s="203"/>
      <c r="DW210" s="203"/>
      <c r="DX210" s="203"/>
      <c r="DY210" s="203"/>
    </row>
    <row r="211" spans="2:129" ht="21" customHeight="1" thickBot="1" x14ac:dyDescent="0.25">
      <c r="B211" s="277">
        <v>18</v>
      </c>
      <c r="C211" s="278"/>
      <c r="D211" s="25">
        <v>0</v>
      </c>
      <c r="E211" s="279" t="s">
        <v>130</v>
      </c>
      <c r="F211" s="258">
        <f t="shared" si="86"/>
        <v>0.3</v>
      </c>
      <c r="G211" s="258">
        <f t="shared" si="104"/>
        <v>0.3</v>
      </c>
      <c r="H211" s="506">
        <v>279.06049999999999</v>
      </c>
      <c r="I211" s="507">
        <v>79.962900599999998</v>
      </c>
      <c r="J211" s="474">
        <f t="shared" si="87"/>
        <v>79.962900599999998</v>
      </c>
      <c r="K211" s="474">
        <f t="shared" si="88"/>
        <v>39.981450299999999</v>
      </c>
      <c r="L211" s="474">
        <f t="shared" si="74"/>
        <v>0.64253956655634092</v>
      </c>
      <c r="M211" s="474">
        <f t="shared" si="75"/>
        <v>179.30741271299578</v>
      </c>
      <c r="N211" s="474">
        <f t="shared" si="76"/>
        <v>358.61482542599157</v>
      </c>
      <c r="O211" s="474">
        <f>+C194+D195+D196+D197+D198+D199+D200+D201+D202+D203+D204+D205+D206+D207+D208+D209+D210+(D211/2)</f>
        <v>0</v>
      </c>
      <c r="P211" s="474">
        <f t="shared" si="77"/>
        <v>0</v>
      </c>
      <c r="Q211" s="474">
        <f t="shared" si="78"/>
        <v>0</v>
      </c>
      <c r="R211" s="474">
        <f t="shared" si="89"/>
        <v>213.83080000000001</v>
      </c>
      <c r="S211" s="474">
        <f t="shared" si="105"/>
        <v>213.83080000000001</v>
      </c>
      <c r="T211" s="476">
        <f t="shared" si="79"/>
        <v>213.83080000000001</v>
      </c>
      <c r="V211" s="437">
        <f t="shared" si="80"/>
        <v>0</v>
      </c>
      <c r="W211" s="437"/>
      <c r="X211" s="437"/>
      <c r="Y211" s="437"/>
      <c r="Z211" s="437"/>
      <c r="AA211" s="437"/>
      <c r="AB211" s="477" t="str">
        <f t="shared" si="90"/>
        <v>use the locking pin</v>
      </c>
      <c r="AC211" s="514" t="b">
        <f>IF(AD211=18,AF211)</f>
        <v>0</v>
      </c>
      <c r="AD211" s="514">
        <f t="shared" si="91"/>
        <v>1</v>
      </c>
      <c r="AE211" s="514">
        <f>IF(V211=0,0,18)</f>
        <v>0</v>
      </c>
      <c r="AF211" s="437">
        <f>SUM(V211:V213)/($B$191-B210)</f>
        <v>0</v>
      </c>
      <c r="AG211" s="437"/>
      <c r="AH211" s="450">
        <f>SUM(D195:D211)+$C$194</f>
        <v>0</v>
      </c>
      <c r="AI211" s="516" t="b">
        <f t="shared" si="92"/>
        <v>0</v>
      </c>
      <c r="AJ211" s="287">
        <f t="shared" si="93"/>
        <v>66.255548399999995</v>
      </c>
      <c r="AK211" s="441">
        <f t="shared" si="81"/>
        <v>0.91535047595051022</v>
      </c>
      <c r="AL211" s="289">
        <f t="shared" si="94"/>
        <v>278.56028065668761</v>
      </c>
      <c r="AM211" s="287">
        <f t="shared" si="95"/>
        <v>50.018549700000001</v>
      </c>
      <c r="AN211" s="442">
        <f t="shared" si="96"/>
        <v>0.76625250760411079</v>
      </c>
      <c r="AO211" s="291">
        <f t="shared" si="97"/>
        <v>213.83080789825695</v>
      </c>
      <c r="AP211" s="519">
        <f t="shared" si="82"/>
        <v>-6.0137628490795354</v>
      </c>
      <c r="AQ211" s="291">
        <f t="shared" si="106"/>
        <v>-648</v>
      </c>
      <c r="AR211" s="519">
        <f t="shared" si="83"/>
        <v>-621.20000000000005</v>
      </c>
      <c r="AS211" s="444">
        <f t="shared" si="98"/>
        <v>492.39108855494453</v>
      </c>
      <c r="AT211" s="445">
        <f t="shared" si="107"/>
        <v>-213.83080789825695</v>
      </c>
      <c r="AU211" s="522">
        <f t="shared" si="99"/>
        <v>207.81704504917741</v>
      </c>
      <c r="AV211" s="445"/>
      <c r="AW211" s="523">
        <f t="shared" si="100"/>
        <v>-359.01826806935895</v>
      </c>
      <c r="AX211" s="523">
        <f t="shared" si="101"/>
        <v>-262.18173193064104</v>
      </c>
      <c r="AY211" s="448">
        <f t="shared" si="84"/>
        <v>-32.310333572660959</v>
      </c>
      <c r="AZ211" s="448">
        <f t="shared" si="85"/>
        <v>-38.141482727886832</v>
      </c>
      <c r="BA211" s="451">
        <f t="shared" si="102"/>
        <v>32.310333572660959</v>
      </c>
      <c r="BB211" s="451">
        <f t="shared" si="102"/>
        <v>38.141482727886832</v>
      </c>
      <c r="BC211">
        <f t="shared" si="103"/>
        <v>0.3</v>
      </c>
      <c r="BD211" s="458"/>
      <c r="BP211" s="126"/>
      <c r="BT211" s="126"/>
      <c r="DF211" s="126"/>
      <c r="DG211" s="126"/>
      <c r="DH211" s="126"/>
      <c r="DI211" s="126"/>
      <c r="DJ211" s="126"/>
      <c r="DK211" s="126"/>
      <c r="DL211" s="203"/>
      <c r="DM211" s="203"/>
      <c r="DN211" s="203"/>
      <c r="DO211" s="203"/>
      <c r="DP211" s="203"/>
      <c r="DQ211" s="203"/>
      <c r="DR211" s="203"/>
      <c r="DS211" s="203"/>
      <c r="DT211" s="203"/>
      <c r="DU211" s="203"/>
      <c r="DV211" s="203"/>
      <c r="DW211" s="203"/>
      <c r="DX211" s="203"/>
      <c r="DY211" s="203"/>
    </row>
    <row r="212" spans="2:129" ht="21" customHeight="1" thickBot="1" x14ac:dyDescent="0.25">
      <c r="B212" s="277">
        <v>19</v>
      </c>
      <c r="C212" s="524"/>
      <c r="D212" s="29">
        <v>0</v>
      </c>
      <c r="E212" s="279" t="s">
        <v>130</v>
      </c>
      <c r="F212" s="525">
        <f t="shared" si="86"/>
        <v>0.3</v>
      </c>
      <c r="G212" s="525">
        <f t="shared" si="104"/>
        <v>0.3</v>
      </c>
      <c r="H212" s="506">
        <v>279.06049999999999</v>
      </c>
      <c r="I212" s="507">
        <v>79.962900599999998</v>
      </c>
      <c r="J212" s="526">
        <f t="shared" si="87"/>
        <v>79.962900599999998</v>
      </c>
      <c r="K212" s="526">
        <f t="shared" si="88"/>
        <v>39.981450299999999</v>
      </c>
      <c r="L212" s="526">
        <f t="shared" si="74"/>
        <v>0.64253956655634092</v>
      </c>
      <c r="M212" s="526">
        <f t="shared" si="75"/>
        <v>179.30741271299578</v>
      </c>
      <c r="N212" s="526">
        <f t="shared" si="76"/>
        <v>358.61482542599157</v>
      </c>
      <c r="O212" s="526">
        <f>+C194+D195+D196+D197+D198+D199+D200+D201+D202+D203+D204+D205+D206+D207+D208+D209+D210+D211+(D212/2)</f>
        <v>0</v>
      </c>
      <c r="P212" s="526">
        <f t="shared" si="77"/>
        <v>0</v>
      </c>
      <c r="Q212" s="526">
        <f t="shared" si="78"/>
        <v>0</v>
      </c>
      <c r="R212" s="526">
        <f t="shared" si="89"/>
        <v>213.83080000000001</v>
      </c>
      <c r="S212" s="526">
        <f t="shared" si="105"/>
        <v>213.83080000000001</v>
      </c>
      <c r="T212" s="527">
        <f t="shared" si="79"/>
        <v>213.83080000000001</v>
      </c>
      <c r="U212" s="528"/>
      <c r="V212" s="529">
        <f t="shared" si="80"/>
        <v>0</v>
      </c>
      <c r="W212" s="529"/>
      <c r="X212" s="529"/>
      <c r="Y212" s="529"/>
      <c r="Z212" s="529"/>
      <c r="AA212" s="529"/>
      <c r="AB212" s="530" t="str">
        <f t="shared" si="90"/>
        <v>use the locking pin</v>
      </c>
      <c r="AC212" s="531" t="b">
        <f>IF(AD212=19,AF212)</f>
        <v>0</v>
      </c>
      <c r="AD212" s="514">
        <f t="shared" si="91"/>
        <v>1</v>
      </c>
      <c r="AE212" s="531">
        <f>IF(V212=0,0,19)</f>
        <v>0</v>
      </c>
      <c r="AF212" s="529">
        <f>SUM(V212:V213)/($B$191-B211)</f>
        <v>0</v>
      </c>
      <c r="AG212" s="529"/>
      <c r="AH212" s="532">
        <f>SUM(D194:D212)+$C$194</f>
        <v>0</v>
      </c>
      <c r="AI212" s="516" t="b">
        <f t="shared" si="92"/>
        <v>0</v>
      </c>
      <c r="AJ212" s="287">
        <f t="shared" si="93"/>
        <v>66.255548399999995</v>
      </c>
      <c r="AK212" s="534">
        <f t="shared" si="81"/>
        <v>0.91535047595051022</v>
      </c>
      <c r="AL212" s="289">
        <f t="shared" si="94"/>
        <v>278.56028065668761</v>
      </c>
      <c r="AM212" s="287">
        <f t="shared" si="95"/>
        <v>50.018549700000001</v>
      </c>
      <c r="AN212" s="535">
        <f t="shared" si="96"/>
        <v>0.76625250760411079</v>
      </c>
      <c r="AO212" s="291">
        <f t="shared" si="97"/>
        <v>213.83080789825695</v>
      </c>
      <c r="AP212" s="519">
        <f t="shared" si="82"/>
        <v>-5.6456845728399694</v>
      </c>
      <c r="AQ212" s="291">
        <f t="shared" si="106"/>
        <v>-688.5</v>
      </c>
      <c r="AR212" s="519">
        <f t="shared" si="83"/>
        <v>-661.7</v>
      </c>
      <c r="AS212" s="538">
        <f t="shared" si="98"/>
        <v>492.39108855494453</v>
      </c>
      <c r="AT212" s="529">
        <f t="shared" si="107"/>
        <v>-213.83080789825695</v>
      </c>
      <c r="AU212" s="522">
        <f t="shared" si="99"/>
        <v>208.18512332541698</v>
      </c>
      <c r="AV212" s="529"/>
      <c r="AW212" s="523">
        <f t="shared" si="100"/>
        <v>-381.93032238720832</v>
      </c>
      <c r="AX212" s="523">
        <f t="shared" si="101"/>
        <v>-279.76967761279178</v>
      </c>
      <c r="AY212" s="541">
        <f t="shared" si="84"/>
        <v>-30.372032069869793</v>
      </c>
      <c r="AZ212" s="541">
        <f t="shared" si="85"/>
        <v>-35.74368775532654</v>
      </c>
      <c r="BA212" s="542">
        <f t="shared" si="102"/>
        <v>30.372032069869793</v>
      </c>
      <c r="BB212" s="542">
        <f t="shared" si="102"/>
        <v>35.74368775532654</v>
      </c>
      <c r="BC212">
        <f t="shared" si="103"/>
        <v>0.3</v>
      </c>
      <c r="BD212" s="144"/>
      <c r="BP212" s="126"/>
      <c r="BQ212" s="311"/>
      <c r="BR212" s="311"/>
      <c r="BS212" s="311"/>
      <c r="BT212" s="311"/>
      <c r="BU212" s="311"/>
      <c r="BV212" s="311"/>
      <c r="BW212" s="311"/>
      <c r="BX212" s="311"/>
      <c r="BY212" s="311"/>
      <c r="BZ212" s="311"/>
      <c r="CA212" s="311"/>
      <c r="CB212" s="311"/>
      <c r="CC212" s="311"/>
      <c r="CD212" s="311"/>
      <c r="CE212" s="311"/>
      <c r="CF212" s="311"/>
      <c r="CG212" s="311"/>
      <c r="CH212" s="311"/>
      <c r="CI212" s="311"/>
      <c r="CJ212" s="311"/>
      <c r="CK212" s="311"/>
      <c r="CL212" s="311"/>
      <c r="CM212" s="311"/>
      <c r="CN212" s="311"/>
      <c r="DF212" s="126"/>
      <c r="DG212" s="126"/>
      <c r="DH212" s="126"/>
      <c r="DI212" s="126"/>
      <c r="DJ212" s="126"/>
      <c r="DK212" s="126"/>
      <c r="DL212" s="203"/>
      <c r="DM212" s="203"/>
      <c r="DN212" s="203"/>
      <c r="DO212" s="203"/>
      <c r="DP212" s="203"/>
      <c r="DQ212" s="203"/>
      <c r="DR212" s="203"/>
      <c r="DS212" s="203"/>
      <c r="DT212" s="203"/>
      <c r="DU212" s="203"/>
      <c r="DV212" s="203"/>
      <c r="DW212" s="203"/>
      <c r="DX212" s="203"/>
      <c r="DY212" s="203"/>
    </row>
    <row r="213" spans="2:129" ht="21" customHeight="1" thickBot="1" x14ac:dyDescent="0.25">
      <c r="B213" s="277">
        <v>20</v>
      </c>
      <c r="C213" s="278"/>
      <c r="D213" s="25">
        <v>0</v>
      </c>
      <c r="E213" s="279" t="s">
        <v>130</v>
      </c>
      <c r="F213" s="258">
        <f t="shared" si="86"/>
        <v>0.3</v>
      </c>
      <c r="G213" s="258">
        <f t="shared" si="104"/>
        <v>0.3</v>
      </c>
      <c r="H213" s="506">
        <v>279.06049999999999</v>
      </c>
      <c r="I213" s="507">
        <v>79.962900599999998</v>
      </c>
      <c r="J213" s="474">
        <f t="shared" si="87"/>
        <v>79.962900599999998</v>
      </c>
      <c r="K213" s="474">
        <f t="shared" si="88"/>
        <v>39.981450299999999</v>
      </c>
      <c r="L213" s="474">
        <f t="shared" si="74"/>
        <v>0.64253956655634092</v>
      </c>
      <c r="M213" s="474">
        <f t="shared" si="75"/>
        <v>179.30741271299578</v>
      </c>
      <c r="N213" s="474">
        <f t="shared" si="76"/>
        <v>358.61482542599157</v>
      </c>
      <c r="O213" s="474">
        <f>+C194+D195+D196+D197+D198+D199+D200+D201+D202+D203+D204+D205+D206+D207+D208+D209+D210+D211+D212+(D213/2)</f>
        <v>0</v>
      </c>
      <c r="P213" s="474">
        <f t="shared" si="77"/>
        <v>0</v>
      </c>
      <c r="Q213" s="474">
        <f t="shared" si="78"/>
        <v>0</v>
      </c>
      <c r="R213" s="474">
        <f t="shared" si="89"/>
        <v>213.83080000000001</v>
      </c>
      <c r="S213" s="474">
        <f t="shared" si="105"/>
        <v>213.83080000000001</v>
      </c>
      <c r="T213" s="476">
        <f t="shared" si="79"/>
        <v>213.83080000000001</v>
      </c>
      <c r="V213" s="437">
        <f t="shared" si="80"/>
        <v>0</v>
      </c>
      <c r="W213" s="437"/>
      <c r="X213" s="437"/>
      <c r="Y213" s="437"/>
      <c r="Z213" s="437"/>
      <c r="AA213" s="437"/>
      <c r="AB213" s="477" t="str">
        <f t="shared" si="90"/>
        <v>use the locking pin</v>
      </c>
      <c r="AC213" s="514" t="b">
        <f>IF(AD213=20,AF213)</f>
        <v>0</v>
      </c>
      <c r="AD213" s="514">
        <f t="shared" si="91"/>
        <v>1</v>
      </c>
      <c r="AE213" s="514">
        <f>IF(V213=0,0,20)</f>
        <v>0</v>
      </c>
      <c r="AF213" s="437">
        <f>SUM(V213:V213)/($B$191-B212)</f>
        <v>0</v>
      </c>
      <c r="AG213" s="437"/>
      <c r="AH213" s="450">
        <f>SUM(D195:D213)+$C$194</f>
        <v>0</v>
      </c>
      <c r="AI213" s="516" t="b">
        <f t="shared" si="92"/>
        <v>0</v>
      </c>
      <c r="AJ213" s="287">
        <f t="shared" si="93"/>
        <v>66.255548399999995</v>
      </c>
      <c r="AK213" s="441">
        <f t="shared" si="81"/>
        <v>0.91535047595051022</v>
      </c>
      <c r="AL213" s="289">
        <f t="shared" si="94"/>
        <v>278.56028065668761</v>
      </c>
      <c r="AM213" s="287">
        <f t="shared" si="95"/>
        <v>50.018549700000001</v>
      </c>
      <c r="AN213" s="442">
        <f t="shared" si="96"/>
        <v>0.76625250760411079</v>
      </c>
      <c r="AO213" s="291">
        <f t="shared" si="97"/>
        <v>213.83080789825695</v>
      </c>
      <c r="AP213" s="519">
        <f t="shared" si="82"/>
        <v>-5.3200647705044251</v>
      </c>
      <c r="AQ213" s="291">
        <f t="shared" si="106"/>
        <v>-729</v>
      </c>
      <c r="AR213" s="519">
        <f t="shared" si="83"/>
        <v>-702.2</v>
      </c>
      <c r="AS213" s="444">
        <f t="shared" si="98"/>
        <v>492.39108855494453</v>
      </c>
      <c r="AT213" s="445">
        <f t="shared" si="107"/>
        <v>-213.83080789825695</v>
      </c>
      <c r="AU213" s="522">
        <f t="shared" si="99"/>
        <v>208.51074312775253</v>
      </c>
      <c r="AV213" s="445"/>
      <c r="AW213" s="523">
        <f t="shared" si="100"/>
        <v>-404.84237670505757</v>
      </c>
      <c r="AX213" s="523">
        <f t="shared" si="101"/>
        <v>-297.35762329494241</v>
      </c>
      <c r="AY213" s="448">
        <f t="shared" si="84"/>
        <v>-28.653126914258344</v>
      </c>
      <c r="AZ213" s="448">
        <f t="shared" si="85"/>
        <v>-33.62953970775191</v>
      </c>
      <c r="BA213" s="451">
        <f t="shared" si="102"/>
        <v>28.653126914258344</v>
      </c>
      <c r="BB213" s="451">
        <f t="shared" si="102"/>
        <v>33.62953970775191</v>
      </c>
      <c r="BC213">
        <f t="shared" si="103"/>
        <v>0.3</v>
      </c>
      <c r="BD213" s="144"/>
      <c r="BP213" s="126"/>
      <c r="DF213" s="126"/>
      <c r="DG213" s="126"/>
      <c r="DH213" s="126"/>
      <c r="DI213" s="126"/>
      <c r="DJ213" s="126"/>
      <c r="DK213" s="126"/>
      <c r="DL213" s="203"/>
      <c r="DM213" s="203"/>
      <c r="DN213" s="203"/>
      <c r="DO213" s="203"/>
      <c r="DP213" s="203"/>
      <c r="DQ213" s="203"/>
      <c r="DR213" s="203"/>
      <c r="DS213" s="203"/>
      <c r="DT213" s="203"/>
      <c r="DU213" s="203"/>
      <c r="DV213" s="203"/>
      <c r="DW213" s="203"/>
      <c r="DX213" s="203"/>
      <c r="DY213" s="203"/>
    </row>
    <row r="214" spans="2:129" ht="19" hidden="1" thickBot="1" x14ac:dyDescent="0.25">
      <c r="BD214" s="545"/>
      <c r="BQ214" s="236"/>
      <c r="BR214" s="236"/>
      <c r="BS214" s="236"/>
      <c r="BT214" s="236"/>
      <c r="BU214" s="236"/>
      <c r="BV214" s="236"/>
      <c r="CA214" s="236"/>
      <c r="CB214" s="236"/>
      <c r="CC214" s="236"/>
      <c r="CD214" s="236"/>
      <c r="CI214" s="236"/>
      <c r="CJ214" s="236"/>
      <c r="CK214" s="236"/>
      <c r="CL214" s="236"/>
      <c r="CM214" s="236"/>
      <c r="CN214" s="236"/>
      <c r="DE214" s="126"/>
    </row>
    <row r="215" spans="2:129" ht="22" hidden="1" thickBot="1" x14ac:dyDescent="0.25">
      <c r="AH215" s="546" t="s">
        <v>79</v>
      </c>
      <c r="AI215" s="547">
        <f>MAX(AI194:AI213)</f>
        <v>0</v>
      </c>
      <c r="BD215" s="545"/>
      <c r="DE215" s="126"/>
    </row>
    <row r="216" spans="2:129" ht="21" hidden="1" thickBot="1" x14ac:dyDescent="0.25">
      <c r="AH216" s="853"/>
      <c r="AI216" s="854"/>
      <c r="BD216" s="545"/>
      <c r="DE216" s="126"/>
    </row>
    <row r="217" spans="2:129" ht="20" hidden="1" x14ac:dyDescent="0.2">
      <c r="AH217" s="853"/>
      <c r="AI217" s="854"/>
      <c r="AJ217" s="1769"/>
      <c r="AK217" s="619"/>
      <c r="AL217" s="619"/>
      <c r="AM217" s="619"/>
      <c r="AN217" s="619"/>
      <c r="AO217" s="619"/>
      <c r="AP217" s="619"/>
      <c r="AQ217" s="619"/>
      <c r="AR217" s="619"/>
      <c r="AS217" s="619"/>
      <c r="AT217" s="619"/>
      <c r="AU217" s="619"/>
      <c r="AV217" s="619"/>
      <c r="AW217" s="1770" t="s">
        <v>361</v>
      </c>
      <c r="AX217" s="1770"/>
      <c r="AY217" s="1770"/>
      <c r="AZ217" s="1771"/>
      <c r="BD217" s="545"/>
      <c r="DE217" s="126"/>
    </row>
    <row r="218" spans="2:129" ht="20" hidden="1" x14ac:dyDescent="0.2">
      <c r="AH218" s="853"/>
      <c r="AI218" s="854"/>
      <c r="AJ218" s="1772" t="s">
        <v>364</v>
      </c>
      <c r="AK218" s="1773">
        <v>0</v>
      </c>
      <c r="AL218" s="1773">
        <v>0.5</v>
      </c>
      <c r="AM218" s="1773">
        <v>1</v>
      </c>
      <c r="AN218" s="1773">
        <v>2</v>
      </c>
      <c r="AO218" s="1773">
        <v>2.5</v>
      </c>
      <c r="AP218" s="1773">
        <v>3</v>
      </c>
      <c r="AQ218" s="1773">
        <v>4.5</v>
      </c>
      <c r="AR218" s="1773">
        <v>5.5</v>
      </c>
      <c r="AS218" s="1773">
        <v>6.5</v>
      </c>
      <c r="AT218" s="1773">
        <v>8</v>
      </c>
      <c r="AU218" s="1773">
        <v>9</v>
      </c>
      <c r="AV218" s="1773"/>
      <c r="AW218" s="1579" t="s">
        <v>355</v>
      </c>
      <c r="AX218" s="457" t="s">
        <v>362</v>
      </c>
      <c r="AY218" s="1579" t="s">
        <v>367</v>
      </c>
      <c r="AZ218" s="1774"/>
      <c r="BD218" s="545"/>
      <c r="DE218" s="126"/>
    </row>
    <row r="219" spans="2:129" ht="20" hidden="1" x14ac:dyDescent="0.2">
      <c r="AH219" s="853"/>
      <c r="AI219" s="854"/>
      <c r="AJ219" s="1772" t="s">
        <v>355</v>
      </c>
      <c r="AK219" s="1773">
        <v>42.229500000000002</v>
      </c>
      <c r="AL219" s="1773">
        <v>44.134999999999998</v>
      </c>
      <c r="AM219" s="1773">
        <v>46.5276</v>
      </c>
      <c r="AN219" s="1773">
        <v>43.849899999999998</v>
      </c>
      <c r="AO219" s="1773">
        <v>45.737900000000003</v>
      </c>
      <c r="AP219" s="1773">
        <v>48.129600000000003</v>
      </c>
      <c r="AQ219" s="1773">
        <v>45.033700000000003</v>
      </c>
      <c r="AR219" s="1773">
        <v>49.315600000000003</v>
      </c>
      <c r="AS219" s="1773">
        <v>46.436199999999999</v>
      </c>
      <c r="AT219" s="1773">
        <v>50.406599999999997</v>
      </c>
      <c r="AU219" s="1773">
        <v>47.3827</v>
      </c>
      <c r="AV219" s="1773"/>
      <c r="AW219" s="1775">
        <f>SUM(AK220:AU220)</f>
        <v>42.229500000000002</v>
      </c>
      <c r="AX219" s="457">
        <f>+SIN((AW219+AI215)*3.14159265358979/180)</f>
        <v>0.6721019199117364</v>
      </c>
      <c r="AY219" s="1579">
        <f>+AX225/AX219</f>
        <v>17.021464603480222</v>
      </c>
      <c r="AZ219" s="1776"/>
      <c r="BD219" s="545"/>
      <c r="DE219" s="126"/>
    </row>
    <row r="220" spans="2:129" ht="21" thickBot="1" x14ac:dyDescent="0.25">
      <c r="AH220" s="853"/>
      <c r="AI220" s="854"/>
      <c r="AJ220" s="1777"/>
      <c r="AK220" s="1778">
        <f>IF(($D$225=AK218),AK219)</f>
        <v>42.229500000000002</v>
      </c>
      <c r="AL220" s="1778" t="b">
        <f t="shared" ref="AL220:AU220" si="108">IF(($D$225=AL218),AL219)</f>
        <v>0</v>
      </c>
      <c r="AM220" s="1778" t="b">
        <f t="shared" si="108"/>
        <v>0</v>
      </c>
      <c r="AN220" s="1778" t="b">
        <f t="shared" si="108"/>
        <v>0</v>
      </c>
      <c r="AO220" s="1778" t="b">
        <f t="shared" si="108"/>
        <v>0</v>
      </c>
      <c r="AP220" s="1778" t="b">
        <f t="shared" si="108"/>
        <v>0</v>
      </c>
      <c r="AQ220" s="1778" t="b">
        <f t="shared" si="108"/>
        <v>0</v>
      </c>
      <c r="AR220" s="1778" t="b">
        <f t="shared" si="108"/>
        <v>0</v>
      </c>
      <c r="AS220" s="1778" t="b">
        <f t="shared" si="108"/>
        <v>0</v>
      </c>
      <c r="AT220" s="1778" t="b">
        <f t="shared" si="108"/>
        <v>0</v>
      </c>
      <c r="AU220" s="1778" t="b">
        <f t="shared" si="108"/>
        <v>0</v>
      </c>
      <c r="AV220" s="1778"/>
      <c r="AW220" s="1579"/>
      <c r="AX220" s="457"/>
      <c r="AY220" s="1579"/>
      <c r="AZ220" s="1776"/>
      <c r="BD220" s="545"/>
      <c r="DE220" s="126"/>
    </row>
    <row r="221" spans="2:129" ht="71.25" customHeight="1" thickBot="1" x14ac:dyDescent="0.25">
      <c r="B221" s="345" t="s">
        <v>157</v>
      </c>
      <c r="C221" s="454"/>
      <c r="D221" s="455"/>
      <c r="E221" s="37"/>
      <c r="F221" s="37"/>
      <c r="G221" s="37"/>
      <c r="H221" s="456"/>
      <c r="I221" s="456"/>
      <c r="J221" s="456"/>
      <c r="K221" s="456"/>
      <c r="L221" s="456"/>
      <c r="M221" s="456"/>
      <c r="N221" s="456"/>
      <c r="O221" s="456"/>
      <c r="P221" s="456"/>
      <c r="Q221" s="456"/>
      <c r="R221" s="456"/>
      <c r="S221" s="457" t="s">
        <v>66</v>
      </c>
      <c r="T221" s="457">
        <f>SUM(V225:V232)/B222</f>
        <v>146.5</v>
      </c>
      <c r="U221" s="212"/>
      <c r="V221" s="187"/>
      <c r="W221" s="187"/>
      <c r="X221" s="187"/>
      <c r="Y221" s="187"/>
      <c r="Z221" s="187"/>
      <c r="AA221" s="187"/>
      <c r="AB221" s="187"/>
      <c r="AC221" s="187"/>
      <c r="AD221" s="187"/>
      <c r="AE221" s="187"/>
      <c r="AF221" s="187"/>
      <c r="AG221" s="187"/>
      <c r="AH221" s="187"/>
      <c r="AI221" s="187"/>
      <c r="AJ221" s="1777"/>
      <c r="AK221" s="560"/>
      <c r="AL221" s="560"/>
      <c r="AM221" s="560"/>
      <c r="AN221" s="560"/>
      <c r="AO221" s="560"/>
      <c r="AP221" s="560"/>
      <c r="AQ221" s="560"/>
      <c r="AR221" s="560"/>
      <c r="AS221" s="560"/>
      <c r="AT221" s="560"/>
      <c r="AU221" s="560"/>
      <c r="AV221" s="560"/>
      <c r="AW221" s="1779" t="s">
        <v>363</v>
      </c>
      <c r="AX221" s="1579"/>
      <c r="AY221" s="1780"/>
      <c r="AZ221" s="1781">
        <v>2000</v>
      </c>
      <c r="BA221" s="187"/>
      <c r="BB221" s="187"/>
      <c r="BC221" s="126"/>
    </row>
    <row r="222" spans="2:129" ht="36" customHeight="1" thickBot="1" x14ac:dyDescent="0.3">
      <c r="B222" s="27">
        <v>1</v>
      </c>
      <c r="C222" s="216"/>
      <c r="D222" s="549" t="s">
        <v>53</v>
      </c>
      <c r="E222" s="330"/>
      <c r="F222" s="330"/>
      <c r="G222" s="330"/>
      <c r="H222" s="460"/>
      <c r="I222" s="461"/>
      <c r="J222" s="461"/>
      <c r="K222" s="461"/>
      <c r="L222" s="461"/>
      <c r="M222" s="461"/>
      <c r="N222" s="461"/>
      <c r="O222" s="461"/>
      <c r="P222" s="461"/>
      <c r="Q222" s="461"/>
      <c r="R222" s="461"/>
      <c r="S222" s="462"/>
      <c r="T222" s="463"/>
      <c r="U222" s="401"/>
      <c r="V222" s="464"/>
      <c r="W222" s="464"/>
      <c r="X222" s="464"/>
      <c r="Y222" s="464"/>
      <c r="Z222" s="464"/>
      <c r="AA222" s="464"/>
      <c r="AB222" s="464"/>
      <c r="AC222" s="464"/>
      <c r="AD222" s="464"/>
      <c r="AE222" s="464"/>
      <c r="AF222" s="464"/>
      <c r="AG222" s="464"/>
      <c r="AH222" s="464"/>
      <c r="AI222" s="464"/>
      <c r="AJ222" s="1782"/>
      <c r="AK222" s="655"/>
      <c r="AL222" s="655"/>
      <c r="AM222" s="655"/>
      <c r="AN222" s="655"/>
      <c r="AO222" s="655"/>
      <c r="AP222" s="655"/>
      <c r="AQ222" s="655"/>
      <c r="AR222" s="655"/>
      <c r="AS222" s="655"/>
      <c r="AT222" s="655"/>
      <c r="AU222" s="655"/>
      <c r="AV222" s="655"/>
      <c r="AW222" s="1783" t="s">
        <v>365</v>
      </c>
      <c r="AX222" s="1784"/>
      <c r="AY222" s="1785"/>
      <c r="AZ222" s="1786">
        <f>+AZ221/SIN((AT219)*3.14159265358979/180)</f>
        <v>2595.4251408435985</v>
      </c>
      <c r="BA222" s="1848" t="s">
        <v>52</v>
      </c>
      <c r="BB222" s="1849"/>
      <c r="BC222" s="218"/>
      <c r="BP222" s="305"/>
      <c r="BQ222" s="305"/>
      <c r="BR222" s="305"/>
      <c r="BS222" s="305"/>
      <c r="BT222" s="305"/>
      <c r="BU222" s="305"/>
      <c r="BV222" s="1818"/>
      <c r="BW222" s="1818"/>
      <c r="BX222" s="1818"/>
      <c r="BY222" s="126"/>
    </row>
    <row r="223" spans="2:129" ht="58" hidden="1" thickBot="1" x14ac:dyDescent="0.25">
      <c r="C223" s="416"/>
      <c r="D223" s="354"/>
      <c r="H223" s="465" t="s">
        <v>4</v>
      </c>
      <c r="I223" s="465" t="s">
        <v>1</v>
      </c>
      <c r="J223" s="456" t="s">
        <v>0</v>
      </c>
      <c r="K223" s="456" t="s">
        <v>2</v>
      </c>
      <c r="L223" s="456" t="s">
        <v>3</v>
      </c>
      <c r="M223" s="456" t="s">
        <v>8</v>
      </c>
      <c r="N223" s="456" t="s">
        <v>5</v>
      </c>
      <c r="O223" s="456" t="s">
        <v>6</v>
      </c>
      <c r="P223" s="456" t="s">
        <v>7</v>
      </c>
      <c r="Q223" s="456" t="s">
        <v>9</v>
      </c>
      <c r="R223" s="466" t="s">
        <v>10</v>
      </c>
      <c r="S223" s="456" t="s">
        <v>11</v>
      </c>
      <c r="T223" s="467" t="s">
        <v>12</v>
      </c>
      <c r="V223" s="420"/>
      <c r="W223" s="420"/>
      <c r="X223" s="420"/>
      <c r="Y223" s="420"/>
      <c r="Z223" s="420"/>
      <c r="AA223" s="420"/>
      <c r="AB223" s="420"/>
      <c r="AC223" s="420"/>
      <c r="AD223" s="420"/>
      <c r="AE223" s="420"/>
      <c r="AF223" s="420"/>
      <c r="AG223" s="420"/>
      <c r="AH223" s="420"/>
      <c r="AI223" s="420"/>
      <c r="AJ223" s="560"/>
      <c r="AK223" s="560"/>
      <c r="AL223" s="560"/>
      <c r="AM223" s="560"/>
      <c r="AN223" s="560"/>
      <c r="AO223" s="560"/>
      <c r="AP223" s="560"/>
      <c r="AQ223" s="560"/>
      <c r="AR223" s="560"/>
      <c r="AS223" s="560"/>
      <c r="AT223" s="560"/>
      <c r="AU223" s="560"/>
      <c r="AV223" s="560"/>
      <c r="AW223" s="1788" t="s">
        <v>366</v>
      </c>
      <c r="AX223" s="1789"/>
      <c r="AY223" s="1789"/>
      <c r="AZ223" s="1790">
        <v>2570</v>
      </c>
      <c r="BA223" s="420"/>
      <c r="BB223" s="420"/>
      <c r="BC223" s="231"/>
      <c r="BV223" s="306"/>
      <c r="CI223" s="306"/>
    </row>
    <row r="224" spans="2:129" ht="36" customHeight="1" thickBot="1" x14ac:dyDescent="0.25">
      <c r="B224" s="421"/>
      <c r="C224" s="422"/>
      <c r="D224" s="551" t="s">
        <v>22</v>
      </c>
      <c r="E224" s="330"/>
      <c r="F224" s="729" t="s">
        <v>45</v>
      </c>
      <c r="G224" s="240"/>
      <c r="H224" s="730"/>
      <c r="I224" s="731"/>
      <c r="R224" s="187"/>
      <c r="T224" s="471"/>
      <c r="V224" s="420"/>
      <c r="W224" s="420"/>
      <c r="X224" s="420"/>
      <c r="Y224" s="420"/>
      <c r="Z224" s="420"/>
      <c r="AA224" s="420"/>
      <c r="AB224" s="420"/>
      <c r="AC224" s="420"/>
      <c r="AD224" s="420"/>
      <c r="AE224" s="420"/>
      <c r="AF224" s="420" t="s">
        <v>38</v>
      </c>
      <c r="AG224" s="552" t="s">
        <v>102</v>
      </c>
      <c r="AH224" s="425" t="s">
        <v>31</v>
      </c>
      <c r="AI224" s="425"/>
      <c r="AJ224" s="287" t="s">
        <v>60</v>
      </c>
      <c r="AK224" s="426" t="s">
        <v>32</v>
      </c>
      <c r="AL224" s="287" t="s">
        <v>33</v>
      </c>
      <c r="AM224" s="287" t="s">
        <v>61</v>
      </c>
      <c r="AN224" s="427" t="s">
        <v>34</v>
      </c>
      <c r="AO224" s="698" t="s">
        <v>35</v>
      </c>
      <c r="AP224" s="427"/>
      <c r="AQ224" s="473" t="s">
        <v>36</v>
      </c>
      <c r="AR224" s="420"/>
      <c r="AS224" s="420" t="s">
        <v>37</v>
      </c>
      <c r="AT224" s="420" t="s">
        <v>39</v>
      </c>
      <c r="AU224" s="420"/>
      <c r="AV224" s="420" t="s">
        <v>40</v>
      </c>
      <c r="AW224" s="429" t="s">
        <v>41</v>
      </c>
      <c r="AX224" s="429" t="s">
        <v>42</v>
      </c>
      <c r="AY224" s="430" t="s">
        <v>23</v>
      </c>
      <c r="AZ224" s="430" t="s">
        <v>24</v>
      </c>
      <c r="BA224" s="431" t="s">
        <v>23</v>
      </c>
      <c r="BB224" s="431" t="s">
        <v>24</v>
      </c>
      <c r="BP224" s="307"/>
      <c r="BQ224" s="307"/>
      <c r="BR224" s="307"/>
      <c r="BS224" s="307"/>
      <c r="BT224" s="307"/>
      <c r="BU224" s="307"/>
      <c r="BV224" s="1819"/>
      <c r="BW224" s="1819"/>
      <c r="CH224" s="1813"/>
      <c r="CI224" s="1813"/>
    </row>
    <row r="225" spans="2:109" ht="21" customHeight="1" thickBot="1" x14ac:dyDescent="0.25">
      <c r="B225" s="255">
        <v>1</v>
      </c>
      <c r="C225" s="256">
        <f>+D225+AI215</f>
        <v>0</v>
      </c>
      <c r="D225" s="25">
        <v>0</v>
      </c>
      <c r="E225" s="257" t="s">
        <v>158</v>
      </c>
      <c r="F225" s="258"/>
      <c r="G225" s="258">
        <f>+D225</f>
        <v>0</v>
      </c>
      <c r="H225" s="732">
        <v>190.76</v>
      </c>
      <c r="I225" s="733">
        <v>79.651040199999997</v>
      </c>
      <c r="J225" s="508">
        <f>+I225-C225</f>
        <v>79.651040199999997</v>
      </c>
      <c r="K225" s="508">
        <f>+J225/2</f>
        <v>39.825520099999999</v>
      </c>
      <c r="L225" s="508">
        <f t="shared" ref="L225:L232" si="109">SIN(K225*3.14159265358979/180)</f>
        <v>0.64045183696587837</v>
      </c>
      <c r="M225" s="508">
        <f t="shared" ref="M225:M232" si="110">+L225*H225</f>
        <v>122.17259241961095</v>
      </c>
      <c r="N225" s="508">
        <f t="shared" ref="N225:N232" si="111">+M225*2</f>
        <v>244.3451848392219</v>
      </c>
      <c r="O225" s="508">
        <f>+C225/2</f>
        <v>0</v>
      </c>
      <c r="P225" s="508">
        <f t="shared" ref="P225:P232" si="112">SIN(O225*3.14159265358979/180)</f>
        <v>0</v>
      </c>
      <c r="Q225" s="508">
        <f t="shared" ref="Q225:Q232" si="113">+P225*N225</f>
        <v>0</v>
      </c>
      <c r="R225" s="733">
        <v>146.5</v>
      </c>
      <c r="S225" s="508">
        <f>+R225+Q225</f>
        <v>146.5</v>
      </c>
      <c r="T225" s="510">
        <f t="shared" ref="T225:T232" si="114">+S225</f>
        <v>146.5</v>
      </c>
      <c r="U225" s="456"/>
      <c r="V225" s="511">
        <f>IF(B225&lt;($B$222+1),T225,0)</f>
        <v>146.5</v>
      </c>
      <c r="W225" s="511"/>
      <c r="X225" s="511"/>
      <c r="Y225" s="511"/>
      <c r="Z225" s="511"/>
      <c r="AA225" s="511"/>
      <c r="AB225" s="477" t="str">
        <f>IF(AZ225&lt;0,"pin in groundstacking hole"," ")</f>
        <v xml:space="preserve"> </v>
      </c>
      <c r="AC225" s="734"/>
      <c r="AD225" s="734"/>
      <c r="AE225" s="734"/>
      <c r="AF225" s="511">
        <f>SUM(V225:V232)/($B$222)</f>
        <v>146.5</v>
      </c>
      <c r="AG225" s="511">
        <f>+AF225+AA138+AA194+AA170</f>
        <v>146.49997968032187</v>
      </c>
      <c r="AH225" s="515">
        <f>C225</f>
        <v>0</v>
      </c>
      <c r="AI225" s="516"/>
      <c r="AJ225" s="287">
        <f>69.3447148-AH225</f>
        <v>69.344714800000006</v>
      </c>
      <c r="AK225" s="517">
        <f t="shared" ref="AK225:AK232" si="115">SIN(AJ225*3.14159265358979/180)</f>
        <v>0.93571960494171247</v>
      </c>
      <c r="AL225" s="287">
        <f>+AK225*192.42</f>
        <v>180.0511663828843</v>
      </c>
      <c r="AM225" s="287">
        <f>50.1744799+AH225</f>
        <v>50.174479900000001</v>
      </c>
      <c r="AN225" s="518">
        <f>SIN(AM225*3.14159265358979/180)</f>
        <v>0.76799833627881664</v>
      </c>
      <c r="AO225" s="287">
        <f>+AN225*190.76</f>
        <v>146.50336262854705</v>
      </c>
      <c r="AP225" s="287"/>
      <c r="AQ225" s="269">
        <f>25.5*B222</f>
        <v>25.5</v>
      </c>
      <c r="AR225" s="519"/>
      <c r="AS225" s="520">
        <f>+AO225+AL225</f>
        <v>326.55452901143133</v>
      </c>
      <c r="AT225" s="521">
        <f>+V225-AO225</f>
        <v>-3.3626285470518269E-3</v>
      </c>
      <c r="AU225" s="522"/>
      <c r="AV225" s="521">
        <f>+AF225-AT225</f>
        <v>146.50336262854705</v>
      </c>
      <c r="AW225" s="523">
        <f>+((AS225-AV225)/AS225)*AQ225</f>
        <v>14.059840960291279</v>
      </c>
      <c r="AX225" s="523">
        <f>+(AV225/AS225)*AQ225</f>
        <v>11.440159039708721</v>
      </c>
      <c r="AY225" s="448">
        <f t="shared" ref="AY225:AY232" si="116">2*$C$20/AW225</f>
        <v>825.04489437408847</v>
      </c>
      <c r="AZ225" s="1787">
        <f>AZ223/AY219</f>
        <v>150.98583229286484</v>
      </c>
      <c r="BA225" s="451">
        <f>ABS(AY225)</f>
        <v>825.04489437408847</v>
      </c>
      <c r="BB225" s="451">
        <f>ABS(AZ225)</f>
        <v>150.98583229286484</v>
      </c>
      <c r="BC225" s="91"/>
    </row>
    <row r="226" spans="2:109" ht="21" customHeight="1" thickBot="1" x14ac:dyDescent="0.25">
      <c r="B226" s="277">
        <v>2</v>
      </c>
      <c r="C226" s="278"/>
      <c r="D226" s="25">
        <v>0</v>
      </c>
      <c r="E226" s="279" t="s">
        <v>173</v>
      </c>
      <c r="F226" s="258"/>
      <c r="G226" s="258">
        <f>+D226+BC226</f>
        <v>0</v>
      </c>
      <c r="H226" s="732">
        <v>190.76</v>
      </c>
      <c r="I226" s="733">
        <v>79.651040199999997</v>
      </c>
      <c r="J226" s="474">
        <f t="shared" ref="J226:J232" si="117">+I226-D226</f>
        <v>79.651040199999997</v>
      </c>
      <c r="K226" s="474">
        <f t="shared" ref="K226:K232" si="118">+J226/2</f>
        <v>39.825520099999999</v>
      </c>
      <c r="L226" s="474">
        <f t="shared" si="109"/>
        <v>0.64045183696587837</v>
      </c>
      <c r="M226" s="474">
        <f t="shared" si="110"/>
        <v>122.17259241961095</v>
      </c>
      <c r="N226" s="474">
        <f t="shared" si="111"/>
        <v>244.3451848392219</v>
      </c>
      <c r="O226" s="474">
        <f>+C225+(D226/2)</f>
        <v>0</v>
      </c>
      <c r="P226" s="474">
        <f t="shared" si="112"/>
        <v>0</v>
      </c>
      <c r="Q226" s="474">
        <f t="shared" si="113"/>
        <v>0</v>
      </c>
      <c r="R226" s="474">
        <f t="shared" ref="R226:R232" si="119">+T225</f>
        <v>146.5</v>
      </c>
      <c r="S226" s="474">
        <f>+R226+Q226</f>
        <v>146.5</v>
      </c>
      <c r="T226" s="476">
        <f t="shared" si="114"/>
        <v>146.5</v>
      </c>
      <c r="V226" s="437">
        <f>IF(B226&lt;($B$222+1),T226,0)</f>
        <v>0</v>
      </c>
      <c r="W226" s="437"/>
      <c r="X226" s="437"/>
      <c r="Y226" s="437"/>
      <c r="Z226" s="437"/>
      <c r="AA226" s="437"/>
      <c r="AB226" s="477" t="e">
        <f t="shared" ref="AB226:AB231" si="120">IF(AZ226&lt;0,"pin in groundstacking hole"," ")</f>
        <v>#DIV/0!</v>
      </c>
      <c r="AC226" s="478"/>
      <c r="AD226" s="478"/>
      <c r="AE226" s="478"/>
      <c r="AF226" s="437" t="e">
        <f>SUM(V226:V233)/($B$222-B225)</f>
        <v>#DIV/0!</v>
      </c>
      <c r="AG226" s="437"/>
      <c r="AH226" s="450">
        <f>SUM(D226)+$C$225</f>
        <v>0</v>
      </c>
      <c r="AI226" s="717"/>
      <c r="AJ226" s="287">
        <f t="shared" ref="AJ226:AJ232" si="121">69.3447148-AH226</f>
        <v>69.344714800000006</v>
      </c>
      <c r="AK226" s="441">
        <f t="shared" si="115"/>
        <v>0.93571960494171247</v>
      </c>
      <c r="AL226" s="287">
        <f t="shared" ref="AL226:AL232" si="122">+AK226*192.42</f>
        <v>180.0511663828843</v>
      </c>
      <c r="AM226" s="287">
        <f t="shared" ref="AM226:AM232" si="123">50.1744799+AH226</f>
        <v>50.174479900000001</v>
      </c>
      <c r="AN226" s="442">
        <f t="shared" ref="AN226:AN232" si="124">SIN(AM226*3.14159265358979/180)</f>
        <v>0.76799833627881664</v>
      </c>
      <c r="AO226" s="287">
        <f t="shared" ref="AO226:AO232" si="125">+AN226*190.76</f>
        <v>146.50336262854705</v>
      </c>
      <c r="AP226" s="443"/>
      <c r="AQ226" s="291">
        <f t="shared" ref="AQ226:AQ232" si="126">25.5*($B$222-B225)</f>
        <v>0</v>
      </c>
      <c r="AR226" s="443"/>
      <c r="AS226" s="444">
        <f t="shared" ref="AS226:AS232" si="127">+AO226+AL226</f>
        <v>326.55452901143133</v>
      </c>
      <c r="AT226" s="445">
        <f>+V226-AO226</f>
        <v>-146.50336262854705</v>
      </c>
      <c r="AU226" s="446"/>
      <c r="AV226" s="445" t="e">
        <f>+AF226-AT226</f>
        <v>#DIV/0!</v>
      </c>
      <c r="AW226" s="447" t="e">
        <f t="shared" ref="AW226:AW232" si="128">+((AS226-AV226)/AS226)*AQ226</f>
        <v>#DIV/0!</v>
      </c>
      <c r="AX226" s="447" t="e">
        <f t="shared" ref="AX226:AX232" si="129">+(AV226/AS226)*AQ226</f>
        <v>#DIV/0!</v>
      </c>
      <c r="AY226" s="448" t="e">
        <f t="shared" si="116"/>
        <v>#DIV/0!</v>
      </c>
      <c r="AZ226" s="448" t="e">
        <f t="shared" ref="AZ226:AZ232" si="130">$D$20/AX226</f>
        <v>#DIV/0!</v>
      </c>
      <c r="BA226" s="451" t="e">
        <f t="shared" ref="BA226:BB232" si="131">ABS(AY226)</f>
        <v>#DIV/0!</v>
      </c>
      <c r="BB226" s="451" t="e">
        <f t="shared" si="131"/>
        <v>#DIV/0!</v>
      </c>
    </row>
    <row r="227" spans="2:109" ht="21" customHeight="1" thickBot="1" x14ac:dyDescent="0.25">
      <c r="B227" s="277">
        <v>3</v>
      </c>
      <c r="C227" s="278"/>
      <c r="D227" s="25">
        <v>0</v>
      </c>
      <c r="E227" s="279" t="s">
        <v>54</v>
      </c>
      <c r="F227" s="258"/>
      <c r="G227" s="258">
        <f t="shared" ref="G227:G232" si="132">+D227+BC227</f>
        <v>0</v>
      </c>
      <c r="H227" s="732">
        <v>190.76</v>
      </c>
      <c r="I227" s="733">
        <v>79.651040199999997</v>
      </c>
      <c r="J227" s="474">
        <f t="shared" si="117"/>
        <v>79.651040199999997</v>
      </c>
      <c r="K227" s="474">
        <f t="shared" si="118"/>
        <v>39.825520099999999</v>
      </c>
      <c r="L227" s="474">
        <f t="shared" si="109"/>
        <v>0.64045183696587837</v>
      </c>
      <c r="M227" s="474">
        <f t="shared" si="110"/>
        <v>122.17259241961095</v>
      </c>
      <c r="N227" s="474">
        <f t="shared" si="111"/>
        <v>244.3451848392219</v>
      </c>
      <c r="O227" s="474">
        <f>+C225+D226+(D227/2)</f>
        <v>0</v>
      </c>
      <c r="P227" s="474">
        <f t="shared" si="112"/>
        <v>0</v>
      </c>
      <c r="Q227" s="474">
        <f t="shared" si="113"/>
        <v>0</v>
      </c>
      <c r="R227" s="474">
        <f t="shared" si="119"/>
        <v>146.5</v>
      </c>
      <c r="S227" s="474">
        <f t="shared" ref="S227:S232" si="133">+S226+Q227</f>
        <v>146.5</v>
      </c>
      <c r="T227" s="476">
        <f t="shared" si="114"/>
        <v>146.5</v>
      </c>
      <c r="V227" s="437">
        <f t="shared" ref="V227:V232" si="134">IF(B227&lt;($B$222+1),T227,0)</f>
        <v>0</v>
      </c>
      <c r="W227" s="437"/>
      <c r="X227" s="437"/>
      <c r="Y227" s="437"/>
      <c r="Z227" s="437"/>
      <c r="AA227" s="437"/>
      <c r="AB227" s="477" t="str">
        <f t="shared" si="120"/>
        <v>pin in groundstacking hole</v>
      </c>
      <c r="AC227" s="478"/>
      <c r="AD227" s="478"/>
      <c r="AE227" s="478"/>
      <c r="AF227" s="437">
        <f>SUM(V227:V232)/($B$222-B226)</f>
        <v>0</v>
      </c>
      <c r="AG227" s="437"/>
      <c r="AH227" s="450">
        <f>SUM(D226:D227)+$C$225</f>
        <v>0</v>
      </c>
      <c r="AI227" s="717"/>
      <c r="AJ227" s="287">
        <f t="shared" si="121"/>
        <v>69.344714800000006</v>
      </c>
      <c r="AK227" s="441">
        <f t="shared" si="115"/>
        <v>0.93571960494171247</v>
      </c>
      <c r="AL227" s="287">
        <f t="shared" si="122"/>
        <v>180.0511663828843</v>
      </c>
      <c r="AM227" s="287">
        <f t="shared" si="123"/>
        <v>50.174479900000001</v>
      </c>
      <c r="AN227" s="442">
        <f t="shared" si="124"/>
        <v>0.76799833627881664</v>
      </c>
      <c r="AO227" s="287">
        <f t="shared" si="125"/>
        <v>146.50336262854705</v>
      </c>
      <c r="AP227" s="443"/>
      <c r="AQ227" s="291">
        <f t="shared" si="126"/>
        <v>-25.5</v>
      </c>
      <c r="AR227" s="443"/>
      <c r="AS227" s="444">
        <f t="shared" si="127"/>
        <v>326.55452901143133</v>
      </c>
      <c r="AT227" s="445">
        <f>+V227-AO227</f>
        <v>-146.50336262854705</v>
      </c>
      <c r="AU227" s="446"/>
      <c r="AV227" s="445">
        <f>+AF227-AT227</f>
        <v>146.50336262854705</v>
      </c>
      <c r="AW227" s="447">
        <f t="shared" si="128"/>
        <v>-14.059840960291279</v>
      </c>
      <c r="AX227" s="447">
        <f t="shared" si="129"/>
        <v>-11.440159039708721</v>
      </c>
      <c r="AY227" s="448">
        <f t="shared" si="116"/>
        <v>-825.04489437408847</v>
      </c>
      <c r="AZ227" s="448">
        <f t="shared" si="130"/>
        <v>-874.11372213358766</v>
      </c>
      <c r="BA227" s="451">
        <f t="shared" si="131"/>
        <v>825.04489437408847</v>
      </c>
      <c r="BB227" s="451">
        <f t="shared" si="131"/>
        <v>874.11372213358766</v>
      </c>
    </row>
    <row r="228" spans="2:109" ht="21" customHeight="1" thickBot="1" x14ac:dyDescent="0.25">
      <c r="B228" s="277">
        <v>4</v>
      </c>
      <c r="C228" s="278"/>
      <c r="D228" s="25">
        <v>0</v>
      </c>
      <c r="E228" s="279" t="s">
        <v>54</v>
      </c>
      <c r="F228" s="258"/>
      <c r="G228" s="258">
        <f t="shared" si="132"/>
        <v>0</v>
      </c>
      <c r="H228" s="732">
        <v>190.76</v>
      </c>
      <c r="I228" s="733">
        <v>79.651040199999997</v>
      </c>
      <c r="J228" s="474">
        <f t="shared" si="117"/>
        <v>79.651040199999997</v>
      </c>
      <c r="K228" s="474">
        <f t="shared" si="118"/>
        <v>39.825520099999999</v>
      </c>
      <c r="L228" s="474">
        <f t="shared" si="109"/>
        <v>0.64045183696587837</v>
      </c>
      <c r="M228" s="474">
        <f t="shared" si="110"/>
        <v>122.17259241961095</v>
      </c>
      <c r="N228" s="474">
        <f t="shared" si="111"/>
        <v>244.3451848392219</v>
      </c>
      <c r="O228" s="474">
        <f>+C225+D226+D227+(D228/2)</f>
        <v>0</v>
      </c>
      <c r="P228" s="474">
        <f t="shared" si="112"/>
        <v>0</v>
      </c>
      <c r="Q228" s="474">
        <f t="shared" si="113"/>
        <v>0</v>
      </c>
      <c r="R228" s="474">
        <f t="shared" si="119"/>
        <v>146.5</v>
      </c>
      <c r="S228" s="474">
        <f t="shared" si="133"/>
        <v>146.5</v>
      </c>
      <c r="T228" s="476">
        <f t="shared" si="114"/>
        <v>146.5</v>
      </c>
      <c r="V228" s="437">
        <f t="shared" si="134"/>
        <v>0</v>
      </c>
      <c r="W228" s="437"/>
      <c r="X228" s="437"/>
      <c r="Y228" s="437"/>
      <c r="Z228" s="437"/>
      <c r="AA228" s="437"/>
      <c r="AB228" s="477" t="str">
        <f t="shared" si="120"/>
        <v>pin in groundstacking hole</v>
      </c>
      <c r="AC228" s="478"/>
      <c r="AD228" s="478"/>
      <c r="AE228" s="478"/>
      <c r="AF228" s="437">
        <f>SUM(V228:V232)/($B$222-B227)</f>
        <v>0</v>
      </c>
      <c r="AG228" s="437"/>
      <c r="AH228" s="450">
        <f>SUM(D226:D228)+$C$225</f>
        <v>0</v>
      </c>
      <c r="AI228" s="717"/>
      <c r="AJ228" s="287">
        <f t="shared" si="121"/>
        <v>69.344714800000006</v>
      </c>
      <c r="AK228" s="441">
        <f t="shared" si="115"/>
        <v>0.93571960494171247</v>
      </c>
      <c r="AL228" s="287">
        <f t="shared" si="122"/>
        <v>180.0511663828843</v>
      </c>
      <c r="AM228" s="287">
        <f t="shared" si="123"/>
        <v>50.174479900000001</v>
      </c>
      <c r="AN228" s="442">
        <f t="shared" si="124"/>
        <v>0.76799833627881664</v>
      </c>
      <c r="AO228" s="287">
        <f t="shared" si="125"/>
        <v>146.50336262854705</v>
      </c>
      <c r="AP228" s="443"/>
      <c r="AQ228" s="291">
        <f t="shared" si="126"/>
        <v>-51</v>
      </c>
      <c r="AR228" s="443"/>
      <c r="AS228" s="444">
        <f t="shared" si="127"/>
        <v>326.55452901143133</v>
      </c>
      <c r="AT228" s="445">
        <f>+V228-AO228</f>
        <v>-146.50336262854705</v>
      </c>
      <c r="AU228" s="446"/>
      <c r="AV228" s="445">
        <f t="shared" ref="AV228:AV232" si="135">+AF228-AT228</f>
        <v>146.50336262854705</v>
      </c>
      <c r="AW228" s="447">
        <f t="shared" si="128"/>
        <v>-28.119681920582558</v>
      </c>
      <c r="AX228" s="447">
        <f t="shared" si="129"/>
        <v>-22.880318079417442</v>
      </c>
      <c r="AY228" s="448">
        <f t="shared" si="116"/>
        <v>-412.52244718704424</v>
      </c>
      <c r="AZ228" s="448">
        <f t="shared" si="130"/>
        <v>-437.05686106679383</v>
      </c>
      <c r="BA228" s="451">
        <f t="shared" si="131"/>
        <v>412.52244718704424</v>
      </c>
      <c r="BB228" s="451">
        <f t="shared" si="131"/>
        <v>437.05686106679383</v>
      </c>
    </row>
    <row r="229" spans="2:109" ht="21" customHeight="1" thickBot="1" x14ac:dyDescent="0.25">
      <c r="B229" s="277">
        <v>5</v>
      </c>
      <c r="C229" s="278"/>
      <c r="D229" s="25">
        <v>0</v>
      </c>
      <c r="E229" s="279" t="s">
        <v>54</v>
      </c>
      <c r="F229" s="258"/>
      <c r="G229" s="258">
        <f>+D229+BC229</f>
        <v>0</v>
      </c>
      <c r="H229" s="732">
        <v>190.76</v>
      </c>
      <c r="I229" s="733">
        <v>79.651040199999997</v>
      </c>
      <c r="J229" s="474">
        <f t="shared" si="117"/>
        <v>79.651040199999997</v>
      </c>
      <c r="K229" s="474">
        <f t="shared" si="118"/>
        <v>39.825520099999999</v>
      </c>
      <c r="L229" s="474">
        <f t="shared" si="109"/>
        <v>0.64045183696587837</v>
      </c>
      <c r="M229" s="474">
        <f t="shared" si="110"/>
        <v>122.17259241961095</v>
      </c>
      <c r="N229" s="474">
        <f t="shared" si="111"/>
        <v>244.3451848392219</v>
      </c>
      <c r="O229" s="474">
        <f>+C225+D226+D227+D228+(D229/2)</f>
        <v>0</v>
      </c>
      <c r="P229" s="474">
        <f t="shared" si="112"/>
        <v>0</v>
      </c>
      <c r="Q229" s="474">
        <f t="shared" si="113"/>
        <v>0</v>
      </c>
      <c r="R229" s="474">
        <f t="shared" si="119"/>
        <v>146.5</v>
      </c>
      <c r="S229" s="474">
        <f t="shared" si="133"/>
        <v>146.5</v>
      </c>
      <c r="T229" s="476">
        <f t="shared" si="114"/>
        <v>146.5</v>
      </c>
      <c r="V229" s="437">
        <f t="shared" si="134"/>
        <v>0</v>
      </c>
      <c r="W229" s="437"/>
      <c r="X229" s="437"/>
      <c r="Y229" s="437"/>
      <c r="Z229" s="437"/>
      <c r="AA229" s="437"/>
      <c r="AB229" s="477" t="str">
        <f t="shared" si="120"/>
        <v>pin in groundstacking hole</v>
      </c>
      <c r="AC229" s="478"/>
      <c r="AD229" s="478"/>
      <c r="AE229" s="478"/>
      <c r="AF229" s="437">
        <f>SUM(V229:V232)/($B$222-B228)</f>
        <v>0</v>
      </c>
      <c r="AG229" s="437"/>
      <c r="AH229" s="450">
        <f>SUM(D226:D229)+$C$225</f>
        <v>0</v>
      </c>
      <c r="AI229" s="717"/>
      <c r="AJ229" s="287">
        <f t="shared" si="121"/>
        <v>69.344714800000006</v>
      </c>
      <c r="AK229" s="441">
        <f t="shared" si="115"/>
        <v>0.93571960494171247</v>
      </c>
      <c r="AL229" s="287">
        <f t="shared" si="122"/>
        <v>180.0511663828843</v>
      </c>
      <c r="AM229" s="287">
        <f t="shared" si="123"/>
        <v>50.174479900000001</v>
      </c>
      <c r="AN229" s="442">
        <f t="shared" si="124"/>
        <v>0.76799833627881664</v>
      </c>
      <c r="AO229" s="287">
        <f t="shared" si="125"/>
        <v>146.50336262854705</v>
      </c>
      <c r="AP229" s="443"/>
      <c r="AQ229" s="291">
        <f t="shared" si="126"/>
        <v>-76.5</v>
      </c>
      <c r="AR229" s="443"/>
      <c r="AS229" s="444">
        <f t="shared" si="127"/>
        <v>326.55452901143133</v>
      </c>
      <c r="AT229" s="445">
        <f t="shared" ref="AT229:AT232" si="136">+V229-AO229</f>
        <v>-146.50336262854705</v>
      </c>
      <c r="AU229" s="446"/>
      <c r="AV229" s="445">
        <f t="shared" si="135"/>
        <v>146.50336262854705</v>
      </c>
      <c r="AW229" s="447">
        <f t="shared" si="128"/>
        <v>-42.17952288087384</v>
      </c>
      <c r="AX229" s="447">
        <f t="shared" si="129"/>
        <v>-34.32047711912616</v>
      </c>
      <c r="AY229" s="448">
        <f t="shared" si="116"/>
        <v>-275.01496479136279</v>
      </c>
      <c r="AZ229" s="448">
        <f t="shared" si="130"/>
        <v>-291.37124071119592</v>
      </c>
      <c r="BA229" s="451">
        <f t="shared" si="131"/>
        <v>275.01496479136279</v>
      </c>
      <c r="BB229" s="451">
        <f t="shared" si="131"/>
        <v>291.37124071119592</v>
      </c>
      <c r="DE229" s="305"/>
    </row>
    <row r="230" spans="2:109" ht="21" customHeight="1" thickBot="1" x14ac:dyDescent="0.25">
      <c r="B230" s="277">
        <v>6</v>
      </c>
      <c r="C230" s="278"/>
      <c r="D230" s="25">
        <v>0</v>
      </c>
      <c r="E230" s="279" t="s">
        <v>54</v>
      </c>
      <c r="F230" s="258"/>
      <c r="G230" s="258">
        <f t="shared" si="132"/>
        <v>0</v>
      </c>
      <c r="H230" s="732">
        <v>190.76</v>
      </c>
      <c r="I230" s="733">
        <v>79.651040199999997</v>
      </c>
      <c r="J230" s="474">
        <f t="shared" si="117"/>
        <v>79.651040199999997</v>
      </c>
      <c r="K230" s="474">
        <f t="shared" si="118"/>
        <v>39.825520099999999</v>
      </c>
      <c r="L230" s="474">
        <f t="shared" si="109"/>
        <v>0.64045183696587837</v>
      </c>
      <c r="M230" s="474">
        <f t="shared" si="110"/>
        <v>122.17259241961095</v>
      </c>
      <c r="N230" s="474">
        <f t="shared" si="111"/>
        <v>244.3451848392219</v>
      </c>
      <c r="O230" s="474">
        <f>+C225+D226+D227+D228+D229+(D230/2)</f>
        <v>0</v>
      </c>
      <c r="P230" s="474">
        <f t="shared" si="112"/>
        <v>0</v>
      </c>
      <c r="Q230" s="474">
        <f t="shared" si="113"/>
        <v>0</v>
      </c>
      <c r="R230" s="474">
        <f t="shared" si="119"/>
        <v>146.5</v>
      </c>
      <c r="S230" s="474">
        <f t="shared" si="133"/>
        <v>146.5</v>
      </c>
      <c r="T230" s="476">
        <f t="shared" si="114"/>
        <v>146.5</v>
      </c>
      <c r="V230" s="437">
        <f t="shared" si="134"/>
        <v>0</v>
      </c>
      <c r="W230" s="437"/>
      <c r="X230" s="437"/>
      <c r="Y230" s="437"/>
      <c r="Z230" s="437"/>
      <c r="AA230" s="437"/>
      <c r="AB230" s="477" t="str">
        <f t="shared" si="120"/>
        <v>pin in groundstacking hole</v>
      </c>
      <c r="AC230" s="478"/>
      <c r="AD230" s="478"/>
      <c r="AE230" s="478"/>
      <c r="AF230" s="437">
        <f>SUM(V230:V232)/($B$222-B229)</f>
        <v>0</v>
      </c>
      <c r="AG230" s="437"/>
      <c r="AH230" s="450">
        <f>SUM(D226:D230)+$C$225</f>
        <v>0</v>
      </c>
      <c r="AI230" s="717"/>
      <c r="AJ230" s="287">
        <f t="shared" si="121"/>
        <v>69.344714800000006</v>
      </c>
      <c r="AK230" s="441">
        <f t="shared" si="115"/>
        <v>0.93571960494171247</v>
      </c>
      <c r="AL230" s="287">
        <f t="shared" si="122"/>
        <v>180.0511663828843</v>
      </c>
      <c r="AM230" s="287">
        <f t="shared" si="123"/>
        <v>50.174479900000001</v>
      </c>
      <c r="AN230" s="442">
        <f t="shared" si="124"/>
        <v>0.76799833627881664</v>
      </c>
      <c r="AO230" s="287">
        <f t="shared" si="125"/>
        <v>146.50336262854705</v>
      </c>
      <c r="AP230" s="443"/>
      <c r="AQ230" s="291">
        <f t="shared" si="126"/>
        <v>-102</v>
      </c>
      <c r="AR230" s="443"/>
      <c r="AS230" s="444">
        <f t="shared" si="127"/>
        <v>326.55452901143133</v>
      </c>
      <c r="AT230" s="445">
        <f t="shared" si="136"/>
        <v>-146.50336262854705</v>
      </c>
      <c r="AU230" s="446"/>
      <c r="AV230" s="445">
        <f t="shared" si="135"/>
        <v>146.50336262854705</v>
      </c>
      <c r="AW230" s="447">
        <f t="shared" si="128"/>
        <v>-56.239363841165115</v>
      </c>
      <c r="AX230" s="447">
        <f t="shared" si="129"/>
        <v>-45.760636158834885</v>
      </c>
      <c r="AY230" s="448">
        <f t="shared" si="116"/>
        <v>-206.26122359352212</v>
      </c>
      <c r="AZ230" s="448">
        <f t="shared" si="130"/>
        <v>-218.52843053339691</v>
      </c>
      <c r="BA230" s="451">
        <f t="shared" si="131"/>
        <v>206.26122359352212</v>
      </c>
      <c r="BB230" s="451">
        <f t="shared" si="131"/>
        <v>218.52843053339691</v>
      </c>
    </row>
    <row r="231" spans="2:109" ht="21" customHeight="1" thickBot="1" x14ac:dyDescent="0.25">
      <c r="B231" s="277">
        <v>7</v>
      </c>
      <c r="C231" s="278"/>
      <c r="D231" s="25">
        <v>0</v>
      </c>
      <c r="E231" s="279" t="s">
        <v>54</v>
      </c>
      <c r="F231" s="258"/>
      <c r="G231" s="258">
        <f t="shared" si="132"/>
        <v>0</v>
      </c>
      <c r="H231" s="732">
        <v>190.76</v>
      </c>
      <c r="I231" s="733">
        <v>79.651040199999997</v>
      </c>
      <c r="J231" s="474">
        <f t="shared" si="117"/>
        <v>79.651040199999997</v>
      </c>
      <c r="K231" s="474">
        <f t="shared" si="118"/>
        <v>39.825520099999999</v>
      </c>
      <c r="L231" s="474">
        <f t="shared" si="109"/>
        <v>0.64045183696587837</v>
      </c>
      <c r="M231" s="474">
        <f t="shared" si="110"/>
        <v>122.17259241961095</v>
      </c>
      <c r="N231" s="474">
        <f t="shared" si="111"/>
        <v>244.3451848392219</v>
      </c>
      <c r="O231" s="474">
        <f>+C225+D226+D227+D228+D229+D230+(D231/2)</f>
        <v>0</v>
      </c>
      <c r="P231" s="474">
        <f t="shared" si="112"/>
        <v>0</v>
      </c>
      <c r="Q231" s="474">
        <f t="shared" si="113"/>
        <v>0</v>
      </c>
      <c r="R231" s="474">
        <f t="shared" si="119"/>
        <v>146.5</v>
      </c>
      <c r="S231" s="474">
        <f t="shared" si="133"/>
        <v>146.5</v>
      </c>
      <c r="T231" s="476">
        <f t="shared" si="114"/>
        <v>146.5</v>
      </c>
      <c r="V231" s="437">
        <f t="shared" si="134"/>
        <v>0</v>
      </c>
      <c r="W231" s="437"/>
      <c r="X231" s="437"/>
      <c r="Y231" s="437"/>
      <c r="Z231" s="437"/>
      <c r="AA231" s="437"/>
      <c r="AB231" s="477" t="str">
        <f t="shared" si="120"/>
        <v>pin in groundstacking hole</v>
      </c>
      <c r="AC231" s="478"/>
      <c r="AD231" s="478"/>
      <c r="AE231" s="478"/>
      <c r="AF231" s="437">
        <f>SUM(V231:V232)/($B$222-B230)</f>
        <v>0</v>
      </c>
      <c r="AG231" s="437"/>
      <c r="AH231" s="450">
        <f>SUM(D226:D231)+$C$225</f>
        <v>0</v>
      </c>
      <c r="AI231" s="717"/>
      <c r="AJ231" s="287">
        <f t="shared" si="121"/>
        <v>69.344714800000006</v>
      </c>
      <c r="AK231" s="441">
        <f t="shared" si="115"/>
        <v>0.93571960494171247</v>
      </c>
      <c r="AL231" s="287">
        <f t="shared" si="122"/>
        <v>180.0511663828843</v>
      </c>
      <c r="AM231" s="287">
        <f t="shared" si="123"/>
        <v>50.174479900000001</v>
      </c>
      <c r="AN231" s="442">
        <f t="shared" si="124"/>
        <v>0.76799833627881664</v>
      </c>
      <c r="AO231" s="287">
        <f t="shared" si="125"/>
        <v>146.50336262854705</v>
      </c>
      <c r="AP231" s="443"/>
      <c r="AQ231" s="291">
        <f t="shared" si="126"/>
        <v>-127.5</v>
      </c>
      <c r="AR231" s="443"/>
      <c r="AS231" s="444">
        <f t="shared" si="127"/>
        <v>326.55452901143133</v>
      </c>
      <c r="AT231" s="445">
        <f t="shared" si="136"/>
        <v>-146.50336262854705</v>
      </c>
      <c r="AU231" s="446"/>
      <c r="AV231" s="445">
        <f t="shared" si="135"/>
        <v>146.50336262854705</v>
      </c>
      <c r="AW231" s="447">
        <f t="shared" si="128"/>
        <v>-70.299204801456398</v>
      </c>
      <c r="AX231" s="447">
        <f t="shared" si="129"/>
        <v>-57.200795198543602</v>
      </c>
      <c r="AY231" s="448">
        <f t="shared" si="116"/>
        <v>-165.00897887481767</v>
      </c>
      <c r="AZ231" s="448">
        <f t="shared" si="130"/>
        <v>-174.82274442671755</v>
      </c>
      <c r="BA231" s="451">
        <f t="shared" si="131"/>
        <v>165.00897887481767</v>
      </c>
      <c r="BB231" s="451">
        <f t="shared" si="131"/>
        <v>174.82274442671755</v>
      </c>
      <c r="DE231" s="307"/>
    </row>
    <row r="232" spans="2:109" ht="21" customHeight="1" thickBot="1" x14ac:dyDescent="0.25">
      <c r="B232" s="277">
        <v>8</v>
      </c>
      <c r="C232" s="278"/>
      <c r="D232" s="25">
        <v>0</v>
      </c>
      <c r="E232" s="279" t="s">
        <v>54</v>
      </c>
      <c r="F232" s="258"/>
      <c r="G232" s="258">
        <f t="shared" si="132"/>
        <v>0</v>
      </c>
      <c r="H232" s="732">
        <v>190.76</v>
      </c>
      <c r="I232" s="733">
        <v>79.651040199999997</v>
      </c>
      <c r="J232" s="474">
        <f t="shared" si="117"/>
        <v>79.651040199999997</v>
      </c>
      <c r="K232" s="474">
        <f t="shared" si="118"/>
        <v>39.825520099999999</v>
      </c>
      <c r="L232" s="474">
        <f t="shared" si="109"/>
        <v>0.64045183696587837</v>
      </c>
      <c r="M232" s="474">
        <f t="shared" si="110"/>
        <v>122.17259241961095</v>
      </c>
      <c r="N232" s="474">
        <f t="shared" si="111"/>
        <v>244.3451848392219</v>
      </c>
      <c r="O232" s="474">
        <f>+C225+D226+D227+D228+D229+D230+D231+(D232/2)</f>
        <v>0</v>
      </c>
      <c r="P232" s="474">
        <f t="shared" si="112"/>
        <v>0</v>
      </c>
      <c r="Q232" s="474">
        <f t="shared" si="113"/>
        <v>0</v>
      </c>
      <c r="R232" s="474">
        <f t="shared" si="119"/>
        <v>146.5</v>
      </c>
      <c r="S232" s="474">
        <f t="shared" si="133"/>
        <v>146.5</v>
      </c>
      <c r="T232" s="476">
        <f t="shared" si="114"/>
        <v>146.5</v>
      </c>
      <c r="V232" s="437">
        <f t="shared" si="134"/>
        <v>0</v>
      </c>
      <c r="W232" s="437"/>
      <c r="X232" s="437"/>
      <c r="Y232" s="437"/>
      <c r="Z232" s="437"/>
      <c r="AA232" s="437"/>
      <c r="AB232" s="477" t="str">
        <f>IF(AZ232&lt;0,"pin in groundstacking hole"," ")</f>
        <v>pin in groundstacking hole</v>
      </c>
      <c r="AC232" s="478"/>
      <c r="AD232" s="478"/>
      <c r="AE232" s="478"/>
      <c r="AF232" s="437">
        <f>SUM(V232:V232)/($B$222-B231)</f>
        <v>0</v>
      </c>
      <c r="AG232" s="437"/>
      <c r="AH232" s="450">
        <f>SUM(D226:D232)+$C$225</f>
        <v>0</v>
      </c>
      <c r="AI232" s="717"/>
      <c r="AJ232" s="287">
        <f t="shared" si="121"/>
        <v>69.344714800000006</v>
      </c>
      <c r="AK232" s="441">
        <f t="shared" si="115"/>
        <v>0.93571960494171247</v>
      </c>
      <c r="AL232" s="287">
        <f t="shared" si="122"/>
        <v>180.0511663828843</v>
      </c>
      <c r="AM232" s="287">
        <f t="shared" si="123"/>
        <v>50.174479900000001</v>
      </c>
      <c r="AN232" s="442">
        <f t="shared" si="124"/>
        <v>0.76799833627881664</v>
      </c>
      <c r="AO232" s="287">
        <f t="shared" si="125"/>
        <v>146.50336262854705</v>
      </c>
      <c r="AP232" s="443"/>
      <c r="AQ232" s="291">
        <f t="shared" si="126"/>
        <v>-153</v>
      </c>
      <c r="AR232" s="443"/>
      <c r="AS232" s="444">
        <f t="shared" si="127"/>
        <v>326.55452901143133</v>
      </c>
      <c r="AT232" s="445">
        <f t="shared" si="136"/>
        <v>-146.50336262854705</v>
      </c>
      <c r="AU232" s="446"/>
      <c r="AV232" s="445">
        <f t="shared" si="135"/>
        <v>146.50336262854705</v>
      </c>
      <c r="AW232" s="447">
        <f t="shared" si="128"/>
        <v>-84.35904576174768</v>
      </c>
      <c r="AX232" s="447">
        <f t="shared" si="129"/>
        <v>-68.64095423825232</v>
      </c>
      <c r="AY232" s="448">
        <f t="shared" si="116"/>
        <v>-137.50748239568139</v>
      </c>
      <c r="AZ232" s="448">
        <f t="shared" si="130"/>
        <v>-145.68562035559796</v>
      </c>
      <c r="BA232" s="451">
        <f t="shared" si="131"/>
        <v>137.50748239568139</v>
      </c>
      <c r="BB232" s="451">
        <f t="shared" si="131"/>
        <v>145.68562035559796</v>
      </c>
    </row>
    <row r="261" spans="110:129" x14ac:dyDescent="0.2">
      <c r="DF261" s="305"/>
      <c r="DG261" s="305"/>
      <c r="DH261" s="305"/>
      <c r="DI261" s="305"/>
      <c r="DJ261" s="305"/>
      <c r="DK261" s="305"/>
      <c r="DL261" s="1818"/>
      <c r="DM261" s="1818"/>
      <c r="DN261" s="1818"/>
      <c r="DO261" s="126"/>
    </row>
    <row r="262" spans="110:129" x14ac:dyDescent="0.2">
      <c r="DL262" s="306"/>
      <c r="DY262" s="306"/>
    </row>
    <row r="263" spans="110:129" x14ac:dyDescent="0.2">
      <c r="DF263" s="307"/>
      <c r="DG263" s="307"/>
      <c r="DH263" s="307"/>
      <c r="DI263" s="307"/>
      <c r="DJ263" s="307"/>
      <c r="DK263" s="307"/>
      <c r="DL263" s="1819"/>
      <c r="DM263" s="1819"/>
      <c r="DX263" s="1813"/>
      <c r="DY263" s="1813"/>
    </row>
    <row r="280" spans="110:134" x14ac:dyDescent="0.2">
      <c r="DF280" s="126"/>
      <c r="DH280" s="126"/>
      <c r="DJ280" s="126"/>
    </row>
    <row r="281" spans="110:134" x14ac:dyDescent="0.2">
      <c r="DF281" s="126"/>
      <c r="DJ281" s="126"/>
    </row>
    <row r="282" spans="110:134" x14ac:dyDescent="0.2">
      <c r="DF282" s="126"/>
      <c r="DG282" s="311"/>
      <c r="DH282" s="311"/>
      <c r="DI282" s="311"/>
      <c r="DJ282" s="311"/>
      <c r="DK282" s="311"/>
      <c r="DL282" s="311"/>
      <c r="DM282" s="311"/>
      <c r="DN282" s="311"/>
      <c r="DO282" s="311"/>
      <c r="DP282" s="311"/>
      <c r="DQ282" s="311"/>
      <c r="DR282" s="311"/>
      <c r="DS282" s="311"/>
      <c r="DT282" s="311"/>
      <c r="DU282" s="311"/>
      <c r="DV282" s="311"/>
      <c r="DW282" s="311"/>
      <c r="DX282" s="311"/>
      <c r="DY282" s="311"/>
      <c r="DZ282" s="311"/>
      <c r="EA282" s="311"/>
      <c r="EB282" s="311"/>
      <c r="EC282" s="311"/>
      <c r="ED282" s="311"/>
    </row>
    <row r="283" spans="110:134" x14ac:dyDescent="0.2">
      <c r="DF283" s="126"/>
    </row>
    <row r="284" spans="110:134" x14ac:dyDescent="0.2">
      <c r="DF284" s="235"/>
      <c r="DG284" s="312"/>
      <c r="DH284" s="312"/>
      <c r="DI284" s="312"/>
      <c r="DJ284" s="312"/>
      <c r="DK284" s="312"/>
      <c r="DL284" s="312"/>
      <c r="DM284" s="312"/>
      <c r="DN284" s="312"/>
      <c r="DO284" s="312"/>
      <c r="DP284" s="312"/>
      <c r="DQ284" s="312"/>
      <c r="DR284" s="312"/>
      <c r="DS284" s="312"/>
      <c r="DT284" s="312"/>
      <c r="DU284" s="312"/>
      <c r="DV284" s="312"/>
      <c r="DW284" s="312"/>
      <c r="DX284" s="312"/>
      <c r="DY284" s="312"/>
      <c r="DZ284" s="312"/>
      <c r="EA284" s="312"/>
      <c r="EB284" s="312"/>
      <c r="EC284" s="312"/>
      <c r="ED284" s="312"/>
    </row>
    <row r="285" spans="110:134" x14ac:dyDescent="0.2">
      <c r="DF285" s="126"/>
      <c r="DG285" s="203"/>
      <c r="DH285" s="203"/>
      <c r="DI285" s="203"/>
      <c r="DJ285" s="203"/>
      <c r="DK285" s="203"/>
      <c r="DL285" s="203"/>
      <c r="DM285" s="203"/>
      <c r="DN285" s="203"/>
      <c r="DO285" s="203"/>
      <c r="DP285" s="203"/>
      <c r="DQ285" s="203"/>
      <c r="DR285" s="203"/>
      <c r="DS285" s="203"/>
      <c r="DT285" s="203"/>
      <c r="DU285" s="203"/>
      <c r="DV285" s="203"/>
      <c r="DW285" s="203"/>
      <c r="DX285" s="203"/>
      <c r="DY285" s="203"/>
      <c r="DZ285" s="203"/>
      <c r="EA285" s="203"/>
      <c r="EB285" s="203"/>
      <c r="EC285" s="203"/>
      <c r="ED285" s="203"/>
    </row>
    <row r="287" spans="110:134" x14ac:dyDescent="0.2">
      <c r="DG287" s="236"/>
      <c r="DH287" s="236"/>
      <c r="DI287" s="236"/>
      <c r="DJ287" s="236"/>
      <c r="DK287" s="236"/>
      <c r="DL287" s="236"/>
      <c r="DM287" s="126"/>
      <c r="DN287" s="126"/>
      <c r="DO287" s="126"/>
      <c r="DP287" s="126"/>
      <c r="DQ287" s="126"/>
      <c r="DR287" s="236"/>
      <c r="DS287" s="236"/>
      <c r="DT287" s="236"/>
      <c r="DU287" s="126"/>
      <c r="DV287" s="126"/>
      <c r="DW287" s="126"/>
      <c r="DX287" s="126"/>
      <c r="DY287" s="126"/>
      <c r="DZ287" s="126"/>
      <c r="EA287" s="126"/>
      <c r="EB287" s="126"/>
      <c r="EC287" s="126"/>
      <c r="ED287" s="126"/>
    </row>
    <row r="288" spans="110:134" x14ac:dyDescent="0.2">
      <c r="DG288" s="236"/>
      <c r="DH288" s="236"/>
      <c r="DI288" s="236"/>
      <c r="DJ288" s="236"/>
      <c r="DK288" s="236"/>
      <c r="DL288" s="236"/>
      <c r="DQ288" s="236"/>
      <c r="DR288" s="236"/>
      <c r="DS288" s="236"/>
      <c r="DT288" s="236"/>
      <c r="DY288" s="236"/>
      <c r="DZ288" s="236"/>
      <c r="EA288" s="236"/>
      <c r="EB288" s="236"/>
      <c r="EC288" s="236"/>
      <c r="ED288" s="236"/>
    </row>
  </sheetData>
  <sheetProtection algorithmName="SHA-512" hashValue="UrUSyda/n4mxeXXfCP03ehs5hP99unMwILLxCw5lZbNj7a1iYTx0vsmjmQMGkhmqGk9WRHWPtQR2269tT/DBvg==" saltValue="ekKANr+gci1gv1zTvPd+nQ==" spinCount="100000" sheet="1" objects="1" scenarios="1" selectLockedCells="1"/>
  <protectedRanges>
    <protectedRange sqref="B132 B135 D138:D157 B167 D170:D181 B191 D194:D213" name="Range1"/>
    <protectedRange sqref="D225:D232 B222" name="Range1_1"/>
    <protectedRange sqref="B164" name="Range1_3_1"/>
  </protectedRanges>
  <mergeCells count="30">
    <mergeCell ref="BQ54:BR54"/>
    <mergeCell ref="CQ55:DA56"/>
    <mergeCell ref="BQ56:BR56"/>
    <mergeCell ref="CO56:CP56"/>
    <mergeCell ref="BQ58:CA59"/>
    <mergeCell ref="CB59:CC59"/>
    <mergeCell ref="CZ59:DA59"/>
    <mergeCell ref="CS61:DA62"/>
    <mergeCell ref="CB62:CC62"/>
    <mergeCell ref="CQ62:CR62"/>
    <mergeCell ref="DG68:DH68"/>
    <mergeCell ref="B130:B131"/>
    <mergeCell ref="B159:B163"/>
    <mergeCell ref="W167:AA167"/>
    <mergeCell ref="BA167:BB167"/>
    <mergeCell ref="BA191:BB191"/>
    <mergeCell ref="BQ61:CA62"/>
    <mergeCell ref="DL261:DN261"/>
    <mergeCell ref="DL263:DM263"/>
    <mergeCell ref="DX263:DY263"/>
    <mergeCell ref="W135:AA135"/>
    <mergeCell ref="BA135:BB135"/>
    <mergeCell ref="BA222:BB222"/>
    <mergeCell ref="BV222:BX222"/>
    <mergeCell ref="BV224:BW224"/>
    <mergeCell ref="CH224:CI224"/>
    <mergeCell ref="W191:AA191"/>
    <mergeCell ref="BV191:BX191"/>
    <mergeCell ref="BV193:BW193"/>
    <mergeCell ref="CH193:CI193"/>
  </mergeCells>
  <conditionalFormatting sqref="B227:U227 W227:BB227">
    <cfRule type="expression" dxfId="884" priority="28">
      <formula>$B$222&lt;3</formula>
    </cfRule>
  </conditionalFormatting>
  <conditionalFormatting sqref="B228:U228 W228:BB228">
    <cfRule type="expression" dxfId="883" priority="27">
      <formula>$B$222&lt;4</formula>
    </cfRule>
  </conditionalFormatting>
  <conditionalFormatting sqref="B229:U229 W229:BB229">
    <cfRule type="expression" dxfId="882" priority="26">
      <formula>$B$222&lt;5</formula>
    </cfRule>
  </conditionalFormatting>
  <conditionalFormatting sqref="B230:U230 W230:BB230">
    <cfRule type="expression" dxfId="881" priority="25">
      <formula>$B$222&lt;6</formula>
    </cfRule>
  </conditionalFormatting>
  <conditionalFormatting sqref="B231:U231 W231:BB231">
    <cfRule type="expression" dxfId="880" priority="24">
      <formula>$B$222&lt;7</formula>
    </cfRule>
  </conditionalFormatting>
  <conditionalFormatting sqref="B232:U232 W232:BB232">
    <cfRule type="expression" dxfId="879" priority="23">
      <formula>$B$222&lt;8</formula>
    </cfRule>
  </conditionalFormatting>
  <conditionalFormatting sqref="B195:AB195 AF195:AH195 AJ195:AO195 AQ195 AS195:AT195 AV195 AY195:BB195">
    <cfRule type="expression" dxfId="878" priority="57" stopIfTrue="1">
      <formula>$B$191&lt;2</formula>
    </cfRule>
  </conditionalFormatting>
  <conditionalFormatting sqref="B196:AB196 AF196:AH196 AJ196:AO196 AQ196 AS196:AT196 AV196 AY196:BB196">
    <cfRule type="expression" dxfId="877" priority="56" stopIfTrue="1">
      <formula>$B$191&lt;3</formula>
    </cfRule>
  </conditionalFormatting>
  <conditionalFormatting sqref="B197:AB197 AF197:AH197 AJ197:AO197 AQ197 AS197:AT197 AV197 AY197:BB197">
    <cfRule type="expression" dxfId="876" priority="55">
      <formula>$B$191&lt;4</formula>
    </cfRule>
  </conditionalFormatting>
  <conditionalFormatting sqref="B198:AB198 AF198:AH198 AJ198:AO198 AQ198 AS198:AT198 AV198 AY198:BB198">
    <cfRule type="expression" dxfId="875" priority="54">
      <formula>$B$191&lt;5</formula>
    </cfRule>
  </conditionalFormatting>
  <conditionalFormatting sqref="B199:AB199 AF199:AH199 AJ199:AO199 AQ199 AS199:AT199 AV199 AY199:BB199">
    <cfRule type="expression" dxfId="874" priority="53">
      <formula>$B$191&lt;6</formula>
    </cfRule>
  </conditionalFormatting>
  <conditionalFormatting sqref="B200:AB200 AF200:AH200 AJ200:AO200 AQ200 AS200:AT200 AV200 AY200:BB200">
    <cfRule type="expression" dxfId="873" priority="52">
      <formula>$B$191&lt;7</formula>
    </cfRule>
  </conditionalFormatting>
  <conditionalFormatting sqref="B201:AB201 AF201:AH201 AJ201:AO201 AQ201 AS201:AT201 AV201 AY201:BB201">
    <cfRule type="expression" dxfId="872" priority="51">
      <formula>$B$191&lt;8</formula>
    </cfRule>
  </conditionalFormatting>
  <conditionalFormatting sqref="B202:AB202 AF202:AH202 AJ202:AO202 AQ202 AS202:AT202 AV202 AY202:BB202">
    <cfRule type="expression" dxfId="871" priority="50">
      <formula>$B$191&lt;9</formula>
    </cfRule>
  </conditionalFormatting>
  <conditionalFormatting sqref="B203:AB203 AF203:AH203 AJ203:AO203 AQ203 AS203:AT203 AV203 AY203:BB203">
    <cfRule type="expression" dxfId="870" priority="49">
      <formula>$B$191&lt;10</formula>
    </cfRule>
  </conditionalFormatting>
  <conditionalFormatting sqref="B204:AB204 AF204:AH204 AJ204:AO204 AQ204 AS204:AT204 AV204 AY204:BB204">
    <cfRule type="expression" dxfId="869" priority="48">
      <formula>$B$191&lt;11</formula>
    </cfRule>
  </conditionalFormatting>
  <conditionalFormatting sqref="B205:AB205 AF205:AH205 AJ205:AO205 AQ205 AS205:AT205 AV205 AY205:BB205">
    <cfRule type="expression" dxfId="868" priority="47">
      <formula>$B$191&lt;12</formula>
    </cfRule>
  </conditionalFormatting>
  <conditionalFormatting sqref="B206:AB206 AF206:AH206 AJ206:AO206 AQ206 AS206:AT206 AV206 AY206:BB206">
    <cfRule type="expression" dxfId="867" priority="46">
      <formula>$B$191&lt;13</formula>
    </cfRule>
  </conditionalFormatting>
  <conditionalFormatting sqref="B207:AB207 AF207:AH207 AJ207:AO207 AQ207 AS207:AT207 AV207 AY207:BB207">
    <cfRule type="expression" dxfId="866" priority="45">
      <formula>$B$191&lt;14</formula>
    </cfRule>
  </conditionalFormatting>
  <conditionalFormatting sqref="B208:AB208 AF208:AH208 AJ208:AO208 AQ208 AS208:AT208 AV208 AY208:BB208">
    <cfRule type="expression" dxfId="865" priority="44">
      <formula>$B$191&lt;15</formula>
    </cfRule>
  </conditionalFormatting>
  <conditionalFormatting sqref="B209:AB209 AF209:AH209 AJ209:AO209 AQ209 AS209:AT209 AV209 AY209:BB209">
    <cfRule type="expression" dxfId="864" priority="43">
      <formula>$B$191&lt;16</formula>
    </cfRule>
  </conditionalFormatting>
  <conditionalFormatting sqref="B210:AB210 AF210:AH210 AJ210:AO210 AQ210 AS210:AT210 AV210 AY210:BB210">
    <cfRule type="expression" dxfId="863" priority="42">
      <formula>$B$191&lt;17</formula>
    </cfRule>
  </conditionalFormatting>
  <conditionalFormatting sqref="B211:AB211 AF211:AH211 AJ211:AO211 AQ211 AS211:AT211 AV211 AY211:BB211">
    <cfRule type="expression" dxfId="862" priority="41">
      <formula>$B$191&lt;18</formula>
    </cfRule>
  </conditionalFormatting>
  <conditionalFormatting sqref="B212:AB212 AF212:AH212 AJ212:AO212 AQ212 AS212:AT212 AV212 AY212:BB212">
    <cfRule type="expression" dxfId="861" priority="40">
      <formula>$B$191&lt;19</formula>
    </cfRule>
  </conditionalFormatting>
  <conditionalFormatting sqref="B213:AB213 AF213:AH213 AJ213:AO213 AQ213 AS213:AT213 AV213 AY213:BB213">
    <cfRule type="expression" dxfId="860" priority="39">
      <formula>$B$191&lt;20</formula>
    </cfRule>
  </conditionalFormatting>
  <conditionalFormatting sqref="B139:AO139 AQ139 AS139:BB139 AE195">
    <cfRule type="expression" dxfId="859" priority="90" stopIfTrue="1">
      <formula>$B$135&lt;2</formula>
    </cfRule>
  </conditionalFormatting>
  <conditionalFormatting sqref="B140:AO140 AQ140 AS140:BB140 AE196">
    <cfRule type="expression" dxfId="858" priority="89" stopIfTrue="1">
      <formula>$B$135&lt;3</formula>
    </cfRule>
  </conditionalFormatting>
  <conditionalFormatting sqref="B141:AO141 AQ141 AS141:BB141 AE197">
    <cfRule type="expression" dxfId="857" priority="88">
      <formula>$B$135&lt;4</formula>
    </cfRule>
  </conditionalFormatting>
  <conditionalFormatting sqref="B142:AO142 AQ142 AS142:BB142 AE198">
    <cfRule type="expression" dxfId="856" priority="87">
      <formula>$B$135&lt;5</formula>
    </cfRule>
  </conditionalFormatting>
  <conditionalFormatting sqref="B143:AO143 AQ143 AS143:BB143 AE199">
    <cfRule type="expression" dxfId="855" priority="86">
      <formula>$B$135&lt;6</formula>
    </cfRule>
  </conditionalFormatting>
  <conditionalFormatting sqref="B144:AO144 AQ144 AS144:BB144 AE200">
    <cfRule type="expression" dxfId="854" priority="85">
      <formula>$B$135&lt;7</formula>
    </cfRule>
  </conditionalFormatting>
  <conditionalFormatting sqref="B145:AO145 AQ145 AS145:BB145 AE201">
    <cfRule type="expression" dxfId="853" priority="84">
      <formula>$B$135&lt;8</formula>
    </cfRule>
  </conditionalFormatting>
  <conditionalFormatting sqref="B146:AO146 AQ146 AS146:BB146 AE202">
    <cfRule type="expression" dxfId="852" priority="83">
      <formula>$B$135&lt;9</formula>
    </cfRule>
  </conditionalFormatting>
  <conditionalFormatting sqref="B147:AO147 AQ147 AS147:BB147 AE203">
    <cfRule type="expression" dxfId="851" priority="82">
      <formula>$B$135&lt;10</formula>
    </cfRule>
  </conditionalFormatting>
  <conditionalFormatting sqref="B148:AO148 AQ148 AS148:BB148 AE204">
    <cfRule type="expression" dxfId="850" priority="81">
      <formula>$B$135&lt;11</formula>
    </cfRule>
  </conditionalFormatting>
  <conditionalFormatting sqref="B149:AO149 AQ149 AS149:BB149 AE205">
    <cfRule type="expression" dxfId="849" priority="80">
      <formula>$B$135&lt;12</formula>
    </cfRule>
  </conditionalFormatting>
  <conditionalFormatting sqref="B150:AO150 AQ150 AS150:BB150 AE206">
    <cfRule type="expression" dxfId="848" priority="79">
      <formula>$B$135&lt;13</formula>
    </cfRule>
  </conditionalFormatting>
  <conditionalFormatting sqref="B151:AO151 AQ151 AS151:BB151 AE207">
    <cfRule type="expression" dxfId="847" priority="78">
      <formula>$B$135&lt;14</formula>
    </cfRule>
  </conditionalFormatting>
  <conditionalFormatting sqref="B152:AO152 AQ152 AS152:BB152 AE208">
    <cfRule type="expression" dxfId="846" priority="77">
      <formula>$B$135&lt;15</formula>
    </cfRule>
  </conditionalFormatting>
  <conditionalFormatting sqref="B153:AO153 AQ153 AS153:BB153 AE209">
    <cfRule type="expression" dxfId="845" priority="76">
      <formula>$B$135&lt;16</formula>
    </cfRule>
  </conditionalFormatting>
  <conditionalFormatting sqref="B154:AO154 AQ154 AS154:BB154 AE210">
    <cfRule type="expression" dxfId="844" priority="75">
      <formula>$B$135&lt;17</formula>
    </cfRule>
  </conditionalFormatting>
  <conditionalFormatting sqref="B155:AO155 AQ155 AS155:BB155 AE211">
    <cfRule type="expression" dxfId="843" priority="74">
      <formula>$B$135&lt;18</formula>
    </cfRule>
  </conditionalFormatting>
  <conditionalFormatting sqref="B156:AO156 AQ156 AS156:BB156 AE212">
    <cfRule type="expression" dxfId="842" priority="73">
      <formula>$B$135&lt;19</formula>
    </cfRule>
  </conditionalFormatting>
  <conditionalFormatting sqref="B157:AO157 AQ157 AS157:BB157 AE213">
    <cfRule type="expression" dxfId="841" priority="70">
      <formula>$B$135&lt;20</formula>
    </cfRule>
  </conditionalFormatting>
  <conditionalFormatting sqref="B171:AO171 AQ171 AS171:BB171">
    <cfRule type="expression" dxfId="840" priority="69" stopIfTrue="1">
      <formula>$B$167&lt;2</formula>
    </cfRule>
  </conditionalFormatting>
  <conditionalFormatting sqref="B172:AO172 AQ172 AS172:BB172">
    <cfRule type="expression" dxfId="839" priority="68" stopIfTrue="1">
      <formula>$B$167&lt;3</formula>
    </cfRule>
  </conditionalFormatting>
  <conditionalFormatting sqref="B173:AO173 AQ173 AS173:BB173">
    <cfRule type="expression" dxfId="838" priority="67">
      <formula>$B$167&lt;4</formula>
    </cfRule>
  </conditionalFormatting>
  <conditionalFormatting sqref="B174:AO174 AQ174 AS174:BB174">
    <cfRule type="expression" dxfId="837" priority="66">
      <formula>$B$167&lt;5</formula>
    </cfRule>
  </conditionalFormatting>
  <conditionalFormatting sqref="B175:AO175 AQ175 AS175:BB175">
    <cfRule type="expression" dxfId="836" priority="65">
      <formula>$B$167&lt;6</formula>
    </cfRule>
  </conditionalFormatting>
  <conditionalFormatting sqref="B176:AO176 AQ176 AS176:BB176">
    <cfRule type="expression" dxfId="835" priority="64">
      <formula>$B$167&lt;7</formula>
    </cfRule>
  </conditionalFormatting>
  <conditionalFormatting sqref="B177:AO177 AQ177 AS177:BB177">
    <cfRule type="expression" dxfId="834" priority="63">
      <formula>$B$167&lt;8</formula>
    </cfRule>
  </conditionalFormatting>
  <conditionalFormatting sqref="B178:AO178 AQ178 AS178:BB178">
    <cfRule type="expression" dxfId="833" priority="62">
      <formula>$B$167&lt;9</formula>
    </cfRule>
  </conditionalFormatting>
  <conditionalFormatting sqref="B179:AO179 AQ179 AS179:BB179">
    <cfRule type="expression" dxfId="832" priority="61">
      <formula>$B$167&lt;10</formula>
    </cfRule>
  </conditionalFormatting>
  <conditionalFormatting sqref="B180:AO180 AQ180 AS180:BB180">
    <cfRule type="expression" dxfId="831" priority="60">
      <formula>$B$167&lt;11</formula>
    </cfRule>
  </conditionalFormatting>
  <conditionalFormatting sqref="B181:AO181 AQ181 AS181:BB181">
    <cfRule type="expression" dxfId="830" priority="58">
      <formula>$B$167&lt;12</formula>
    </cfRule>
  </conditionalFormatting>
  <conditionalFormatting sqref="B226:BB226">
    <cfRule type="expression" dxfId="829" priority="29">
      <formula>$B$222&lt;2</formula>
    </cfRule>
  </conditionalFormatting>
  <conditionalFormatting sqref="D129:D130">
    <cfRule type="cellIs" dxfId="828" priority="96" stopIfTrue="1" operator="equal">
      <formula>"change the angle of frame or of cabinets"</formula>
    </cfRule>
  </conditionalFormatting>
  <conditionalFormatting sqref="D131">
    <cfRule type="cellIs" dxfId="827" priority="95" stopIfTrue="1" operator="equal">
      <formula>"USE EXBAR AR AT THE FRONT"</formula>
    </cfRule>
  </conditionalFormatting>
  <conditionalFormatting sqref="D132">
    <cfRule type="cellIs" dxfId="826" priority="94" stopIfTrue="1" operator="equal">
      <formula>"USE EXBAR AR AT THE BACK"</formula>
    </cfRule>
  </conditionalFormatting>
  <conditionalFormatting sqref="D138:D157">
    <cfRule type="cellIs" dxfId="825" priority="93" operator="notEqual">
      <formula>0</formula>
    </cfRule>
  </conditionalFormatting>
  <conditionalFormatting sqref="D170:D181">
    <cfRule type="cellIs" dxfId="824" priority="72" operator="notEqual">
      <formula>0</formula>
    </cfRule>
  </conditionalFormatting>
  <conditionalFormatting sqref="D194:D213">
    <cfRule type="cellIs" dxfId="823" priority="59" operator="notEqual">
      <formula>0</formula>
    </cfRule>
  </conditionalFormatting>
  <conditionalFormatting sqref="D225:D232">
    <cfRule type="cellIs" dxfId="822" priority="30" operator="notEqual">
      <formula>0</formula>
    </cfRule>
  </conditionalFormatting>
  <conditionalFormatting sqref="E138">
    <cfRule type="expression" dxfId="821" priority="92" stopIfTrue="1">
      <formula>$B$142&lt;1</formula>
    </cfRule>
  </conditionalFormatting>
  <conditionalFormatting sqref="E170">
    <cfRule type="expression" dxfId="820" priority="71" stopIfTrue="1">
      <formula>$B$167&lt;1</formula>
    </cfRule>
  </conditionalFormatting>
  <conditionalFormatting sqref="AC195">
    <cfRule type="expression" dxfId="819" priority="21" stopIfTrue="1">
      <formula>$B$135&lt;2</formula>
    </cfRule>
  </conditionalFormatting>
  <conditionalFormatting sqref="AC196">
    <cfRule type="expression" dxfId="818" priority="20" stopIfTrue="1">
      <formula>$B$135&lt;3</formula>
    </cfRule>
  </conditionalFormatting>
  <conditionalFormatting sqref="AC197">
    <cfRule type="expression" dxfId="817" priority="19">
      <formula>$B$135&lt;4</formula>
    </cfRule>
  </conditionalFormatting>
  <conditionalFormatting sqref="AC198">
    <cfRule type="expression" dxfId="816" priority="18">
      <formula>$B$135&lt;5</formula>
    </cfRule>
  </conditionalFormatting>
  <conditionalFormatting sqref="AC199">
    <cfRule type="expression" dxfId="815" priority="17">
      <formula>$B$135&lt;6</formula>
    </cfRule>
  </conditionalFormatting>
  <conditionalFormatting sqref="AC200">
    <cfRule type="expression" dxfId="814" priority="16">
      <formula>$B$135&lt;7</formula>
    </cfRule>
  </conditionalFormatting>
  <conditionalFormatting sqref="AC201">
    <cfRule type="expression" dxfId="813" priority="15">
      <formula>$B$135&lt;8</formula>
    </cfRule>
  </conditionalFormatting>
  <conditionalFormatting sqref="AC202">
    <cfRule type="expression" dxfId="812" priority="14">
      <formula>$B$135&lt;9</formula>
    </cfRule>
  </conditionalFormatting>
  <conditionalFormatting sqref="AC203">
    <cfRule type="expression" dxfId="811" priority="13">
      <formula>$B$135&lt;10</formula>
    </cfRule>
  </conditionalFormatting>
  <conditionalFormatting sqref="AC204">
    <cfRule type="expression" dxfId="810" priority="12">
      <formula>$B$135&lt;11</formula>
    </cfRule>
  </conditionalFormatting>
  <conditionalFormatting sqref="AC205">
    <cfRule type="expression" dxfId="809" priority="11">
      <formula>$B$135&lt;12</formula>
    </cfRule>
  </conditionalFormatting>
  <conditionalFormatting sqref="AC206">
    <cfRule type="expression" dxfId="808" priority="10">
      <formula>$B$135&lt;13</formula>
    </cfRule>
  </conditionalFormatting>
  <conditionalFormatting sqref="AC207">
    <cfRule type="expression" dxfId="807" priority="9">
      <formula>$B$135&lt;14</formula>
    </cfRule>
  </conditionalFormatting>
  <conditionalFormatting sqref="AC208">
    <cfRule type="expression" dxfId="806" priority="8">
      <formula>$B$135&lt;15</formula>
    </cfRule>
  </conditionalFormatting>
  <conditionalFormatting sqref="AC209">
    <cfRule type="expression" dxfId="805" priority="7">
      <formula>$B$135&lt;16</formula>
    </cfRule>
  </conditionalFormatting>
  <conditionalFormatting sqref="AC210">
    <cfRule type="expression" dxfId="804" priority="6">
      <formula>$B$135&lt;17</formula>
    </cfRule>
  </conditionalFormatting>
  <conditionalFormatting sqref="AC211">
    <cfRule type="expression" dxfId="803" priority="5">
      <formula>$B$135&lt;18</formula>
    </cfRule>
  </conditionalFormatting>
  <conditionalFormatting sqref="AC212">
    <cfRule type="expression" dxfId="802" priority="4">
      <formula>$B$135&lt;19</formula>
    </cfRule>
  </conditionalFormatting>
  <conditionalFormatting sqref="AC213">
    <cfRule type="expression" dxfId="801" priority="3">
      <formula>$B$135&lt;20</formula>
    </cfRule>
  </conditionalFormatting>
  <conditionalFormatting sqref="AZ225">
    <cfRule type="expression" dxfId="800" priority="1" stopIfTrue="1">
      <formula>$B$144&lt;1</formula>
    </cfRule>
  </conditionalFormatting>
  <conditionalFormatting sqref="BA138:BB157 BA170:BB181 BA194:BB213">
    <cfRule type="cellIs" dxfId="799" priority="91" operator="lessThan">
      <formula>10</formula>
    </cfRule>
  </conditionalFormatting>
  <conditionalFormatting sqref="BA225:BB232">
    <cfRule type="cellIs" dxfId="798" priority="31" operator="lessThan">
      <formula>10</formula>
    </cfRule>
  </conditionalFormatting>
  <conditionalFormatting sqref="BK163:BK202">
    <cfRule type="cellIs" dxfId="797" priority="101" stopIfTrue="1" operator="equal">
      <formula>FALSE</formula>
    </cfRule>
  </conditionalFormatting>
  <conditionalFormatting sqref="BN55">
    <cfRule type="cellIs" dxfId="796" priority="38" stopIfTrue="1" operator="equal">
      <formula>"negative force at the motor"</formula>
    </cfRule>
  </conditionalFormatting>
  <conditionalFormatting sqref="BN55:BN56">
    <cfRule type="cellIs" dxfId="795" priority="37" operator="equal">
      <formula>"""OK"""</formula>
    </cfRule>
  </conditionalFormatting>
  <conditionalFormatting sqref="BN56">
    <cfRule type="cellIs" dxfId="794" priority="100" stopIfTrue="1" operator="equal">
      <formula>"overload"</formula>
    </cfRule>
  </conditionalFormatting>
  <conditionalFormatting sqref="BN58">
    <cfRule type="cellIs" dxfId="793" priority="36" stopIfTrue="1" operator="equal">
      <formula>"negative force at the motor"</formula>
    </cfRule>
  </conditionalFormatting>
  <conditionalFormatting sqref="BN58:BN59">
    <cfRule type="cellIs" dxfId="792" priority="35" operator="equal">
      <formula>"""OK"""</formula>
    </cfRule>
  </conditionalFormatting>
  <conditionalFormatting sqref="BN61">
    <cfRule type="cellIs" dxfId="791" priority="34" stopIfTrue="1" operator="equal">
      <formula>"negative force at the motor"</formula>
    </cfRule>
  </conditionalFormatting>
  <conditionalFormatting sqref="BN61:BN62">
    <cfRule type="cellIs" dxfId="790" priority="33" operator="equal">
      <formula>"""OK"""</formula>
    </cfRule>
  </conditionalFormatting>
  <conditionalFormatting sqref="BN85 BN90 BN131">
    <cfRule type="cellIs" dxfId="789" priority="97" operator="equal">
      <formula>"""OK"""</formula>
    </cfRule>
  </conditionalFormatting>
  <conditionalFormatting sqref="BN85 BN131 BN90 BN59 BN62">
    <cfRule type="cellIs" dxfId="788" priority="106" stopIfTrue="1" operator="equal">
      <formula>"overload"</formula>
    </cfRule>
  </conditionalFormatting>
  <conditionalFormatting sqref="BN85 BN131 BO84:BO85">
    <cfRule type="expression" dxfId="787" priority="98">
      <formula>$B$132&lt;&gt;0</formula>
    </cfRule>
  </conditionalFormatting>
  <conditionalFormatting sqref="BO130:BO131">
    <cfRule type="expression" dxfId="786" priority="2">
      <formula>$B$132&lt;&gt;0</formula>
    </cfRule>
  </conditionalFormatting>
  <conditionalFormatting sqref="BQ130:CG130 BQ132:CG132">
    <cfRule type="expression" dxfId="785" priority="107">
      <formula>$B$132=0</formula>
    </cfRule>
  </conditionalFormatting>
  <conditionalFormatting sqref="BQ86:DB88 BV135:CI142">
    <cfRule type="cellIs" dxfId="784" priority="102" stopIfTrue="1" operator="equal">
      <formula>FALSE</formula>
    </cfRule>
  </conditionalFormatting>
  <conditionalFormatting sqref="CB84:CR84">
    <cfRule type="expression" dxfId="783" priority="105">
      <formula>$B$132=0</formula>
    </cfRule>
    <cfRule type="cellIs" dxfId="782" priority="104" operator="equal">
      <formula>0</formula>
    </cfRule>
  </conditionalFormatting>
  <conditionalFormatting sqref="CH132:DA132">
    <cfRule type="expression" dxfId="781" priority="32">
      <formula>$B$132=0</formula>
    </cfRule>
  </conditionalFormatting>
  <conditionalFormatting sqref="CK130:DA130">
    <cfRule type="expression" dxfId="780" priority="108">
      <formula>$B$132=0</formula>
    </cfRule>
  </conditionalFormatting>
  <dataValidations xWindow="91" yWindow="650" count="13">
    <dataValidation type="decimal" allowBlank="1" showInputMessage="1" showErrorMessage="1" sqref="B132" xr:uid="{00000000-0002-0000-0C00-000000000000}">
      <formula1>-89.9</formula1>
      <formula2>89.9</formula2>
    </dataValidation>
    <dataValidation type="custom" allowBlank="1" showInputMessage="1" showErrorMessage="1" sqref="D139:D157 D195:D213" xr:uid="{00000000-0002-0000-0C00-000001000000}">
      <formula1>OR(D139=0,D139=0.5,D139=1,D139=2,D139=2.5,D139=3,D139=4,D139=5,D139=6,D139=7,D139=8)</formula1>
    </dataValidation>
    <dataValidation type="whole" allowBlank="1" showInputMessage="1" showErrorMessage="1" sqref="D226" xr:uid="{00000000-0002-0000-0C00-000002000000}">
      <formula1>0</formula1>
      <formula2>5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91 B135" xr:uid="{00000000-0002-0000-0C00-000003000000}">
      <formula1>1</formula1>
      <formula2>20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67" xr:uid="{00000000-0002-0000-0C00-000004000000}">
      <formula1>1</formula1>
      <formula2>10</formula2>
    </dataValidation>
    <dataValidation type="decimal" allowBlank="1" showInputMessage="1" showErrorMessage="1" sqref="G171:G181 F227:F232 D158:D162 G195:G213 F196:F213 F172:F181 G139:G165 D165 G226:G232 F140:F163 F165" xr:uid="{00000000-0002-0000-0C00-000005000000}">
      <formula1>0</formula1>
      <formula2>8</formula2>
    </dataValidation>
    <dataValidation type="decimal" allowBlank="1" showInputMessage="1" showErrorMessage="1" sqref="F170:G170 F138:G138 F194:G194 F225:G225" xr:uid="{00000000-0002-0000-0C00-000006000000}">
      <formula1>0</formula1>
      <formula2>4</formula2>
    </dataValidation>
    <dataValidation type="whole" allowBlank="1" showInputMessage="1" showErrorMessage="1" sqref="D138 D194" xr:uid="{00000000-0002-0000-0C00-000007000000}">
      <formula1>-2</formula1>
      <formula2>4</formula2>
    </dataValidation>
    <dataValidation type="custom" allowBlank="1" showInputMessage="1" showErrorMessage="1" sqref="D170:D181" xr:uid="{00000000-0002-0000-0C00-000008000000}">
      <formula1>OR(D170=0,D170=2.5,D170=5)</formula1>
    </dataValidation>
    <dataValidation type="whole" allowBlank="1" showInputMessage="1" showErrorMessage="1" errorTitle="Coda Audio" error="YOU HAVE ENTERED A WRONG NUMBER OF CABINETS" promptTitle="Coda Audio" prompt="ENTER THE NUMBER OF CABINETS FROM 1 UP TO 8" sqref="B222" xr:uid="{00000000-0002-0000-0C00-000009000000}">
      <formula1>1</formula1>
      <formula2>8</formula2>
    </dataValidation>
    <dataValidation type="whole" allowBlank="1" showInputMessage="1" showErrorMessage="1" sqref="D227:D232" xr:uid="{00000000-0002-0000-0C00-00000A000000}">
      <formula1>0</formula1>
      <formula2>10</formula2>
    </dataValidation>
    <dataValidation type="custom" allowBlank="1" showInputMessage="1" showErrorMessage="1" sqref="D225" xr:uid="{00000000-0002-0000-0C00-00000B000000}">
      <formula1>OR(D225=0,D225=0.5,D225=1,D225=2,D225=2.5,D225=3,D225=4.5,D225=5.5,D225=6.5,D225=8,D225=9)</formula1>
    </dataValidation>
    <dataValidation type="custom" allowBlank="1" showInputMessage="1" showErrorMessage="1" sqref="B164" xr:uid="{00000000-0002-0000-0C00-00000C000000}">
      <formula1>OR(B164=-6,B164=-5,B164=-4,B164=-3,B164=-2,B164=-1,B164=0,B164=0.5,B164=1,B164=2,B164=2.5,B164=3,B164=4)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7" tint="0.59999389629810485"/>
  </sheetPr>
  <dimension ref="A1:EA202"/>
  <sheetViews>
    <sheetView topLeftCell="A25" zoomScale="50" zoomScaleNormal="50" workbookViewId="0">
      <selection activeCell="D148" sqref="D148"/>
    </sheetView>
  </sheetViews>
  <sheetFormatPr baseColWidth="10" defaultColWidth="9.1640625" defaultRowHeight="16" x14ac:dyDescent="0.2"/>
  <cols>
    <col min="1" max="1" width="1.5" style="560" customWidth="1"/>
    <col min="2" max="2" width="29" style="559" customWidth="1"/>
    <col min="3" max="3" width="17.5" style="559" hidden="1" customWidth="1"/>
    <col min="4" max="4" width="30.6640625" style="560" customWidth="1"/>
    <col min="5" max="5" width="38.83203125" style="560" customWidth="1"/>
    <col min="6" max="6" width="28.5" style="560" hidden="1" customWidth="1"/>
    <col min="7" max="7" width="45" style="560" hidden="1" customWidth="1"/>
    <col min="8" max="8" width="17" style="560" hidden="1" customWidth="1"/>
    <col min="9" max="9" width="20.83203125" style="560" hidden="1" customWidth="1"/>
    <col min="10" max="13" width="23.33203125" style="560" hidden="1" customWidth="1"/>
    <col min="14" max="14" width="12.5" style="560" hidden="1" customWidth="1"/>
    <col min="15" max="15" width="18.33203125" style="560" hidden="1" customWidth="1"/>
    <col min="16" max="17" width="12.5" style="560" hidden="1" customWidth="1"/>
    <col min="18" max="18" width="29.33203125" style="560" hidden="1" customWidth="1"/>
    <col min="19" max="19" width="12.5" style="560" hidden="1" customWidth="1"/>
    <col min="20" max="20" width="15" style="560" hidden="1" customWidth="1"/>
    <col min="21" max="21" width="11.1640625" style="560" hidden="1" customWidth="1"/>
    <col min="22" max="22" width="19.83203125" style="560" hidden="1" customWidth="1"/>
    <col min="23" max="23" width="17" style="560" hidden="1" customWidth="1"/>
    <col min="24" max="24" width="15" style="560" hidden="1" customWidth="1"/>
    <col min="25" max="25" width="17" style="560" hidden="1" customWidth="1"/>
    <col min="26" max="26" width="19.83203125" style="560" hidden="1" customWidth="1"/>
    <col min="27" max="27" width="22.6640625" style="560" hidden="1" customWidth="1"/>
    <col min="28" max="28" width="36.5" style="560" customWidth="1"/>
    <col min="29" max="29" width="26.33203125" style="560" hidden="1" customWidth="1"/>
    <col min="30" max="30" width="5.33203125" style="560" hidden="1" customWidth="1"/>
    <col min="31" max="31" width="4.5" style="560" hidden="1" customWidth="1"/>
    <col min="32" max="32" width="35.5" style="560" hidden="1" customWidth="1"/>
    <col min="33" max="33" width="11.5" style="560" hidden="1" customWidth="1"/>
    <col min="34" max="34" width="11.33203125" style="560" hidden="1" customWidth="1"/>
    <col min="35" max="35" width="18" style="560" hidden="1" customWidth="1"/>
    <col min="36" max="36" width="16.33203125" style="560" hidden="1" customWidth="1"/>
    <col min="37" max="39" width="23" style="560" hidden="1" customWidth="1"/>
    <col min="40" max="40" width="48.6640625" style="560" hidden="1" customWidth="1"/>
    <col min="41" max="41" width="36.6640625" style="560" hidden="1" customWidth="1"/>
    <col min="42" max="42" width="39.5" style="560" hidden="1" customWidth="1"/>
    <col min="43" max="43" width="31" style="560" hidden="1" customWidth="1"/>
    <col min="44" max="44" width="19.83203125" style="560" hidden="1" customWidth="1"/>
    <col min="45" max="50" width="20.83203125" style="560" hidden="1" customWidth="1"/>
    <col min="51" max="51" width="19.83203125" style="560" hidden="1" customWidth="1"/>
    <col min="52" max="52" width="12.1640625" style="560" customWidth="1"/>
    <col min="53" max="53" width="13.83203125" style="560" customWidth="1"/>
    <col min="54" max="54" width="21.5" style="560" hidden="1" customWidth="1"/>
    <col min="55" max="55" width="18.6640625" style="560" hidden="1" customWidth="1"/>
    <col min="56" max="56" width="23.5" style="560" hidden="1" customWidth="1"/>
    <col min="57" max="57" width="22.5" style="560" hidden="1" customWidth="1"/>
    <col min="58" max="58" width="17.5" hidden="1" customWidth="1"/>
    <col min="59" max="59" width="21.5" hidden="1" customWidth="1"/>
    <col min="60" max="60" width="13" hidden="1" customWidth="1"/>
    <col min="61" max="61" width="15" hidden="1" customWidth="1"/>
    <col min="62" max="62" width="23.5" hidden="1" customWidth="1"/>
    <col min="63" max="63" width="10.83203125" hidden="1" customWidth="1"/>
    <col min="64" max="64" width="13.33203125" hidden="1" customWidth="1"/>
    <col min="65" max="65" width="7.83203125" hidden="1" customWidth="1"/>
    <col min="66" max="66" width="25.33203125" style="81" hidden="1" customWidth="1"/>
    <col min="67" max="67" width="24.83203125" bestFit="1" customWidth="1"/>
    <col min="68" max="68" width="36.5" style="59" customWidth="1"/>
    <col min="69" max="69" width="43.1640625" customWidth="1"/>
    <col min="70" max="80" width="6.5" customWidth="1"/>
    <col min="81" max="81" width="8.33203125" customWidth="1"/>
    <col min="82" max="94" width="6.5" customWidth="1"/>
    <col min="95" max="95" width="8" customWidth="1"/>
    <col min="96" max="106" width="6.5" customWidth="1"/>
    <col min="107" max="107" width="7.6640625" hidden="1" customWidth="1"/>
    <col min="108" max="108" width="16" hidden="1" customWidth="1"/>
    <col min="109" max="109" width="41" hidden="1" customWidth="1"/>
    <col min="110" max="110" width="9.33203125" style="560" hidden="1" customWidth="1"/>
    <col min="111" max="130" width="9.1640625" style="560" hidden="1" customWidth="1"/>
    <col min="131" max="131" width="9.1640625" style="560" customWidth="1"/>
    <col min="132" max="16384" width="9.1640625" style="560"/>
  </cols>
  <sheetData>
    <row r="1" spans="2:109" s="66" customFormat="1" ht="20" hidden="1" x14ac:dyDescent="0.2">
      <c r="B1" s="559"/>
      <c r="C1" s="560"/>
      <c r="D1" s="561" t="s">
        <v>104</v>
      </c>
      <c r="E1" s="561" t="s">
        <v>105</v>
      </c>
      <c r="F1" s="561" t="s">
        <v>106</v>
      </c>
      <c r="G1" s="990" t="s">
        <v>220</v>
      </c>
      <c r="H1" s="1073">
        <v>18000</v>
      </c>
      <c r="I1" s="992"/>
      <c r="J1" s="992"/>
      <c r="K1" s="992"/>
      <c r="L1" s="992"/>
      <c r="M1" s="992"/>
      <c r="N1" s="992"/>
      <c r="O1" s="993"/>
      <c r="BF1"/>
      <c r="BG1"/>
      <c r="BH1"/>
      <c r="BI1"/>
      <c r="BJ1"/>
      <c r="BK1"/>
      <c r="BL1"/>
      <c r="BM1"/>
      <c r="BN1" s="81"/>
      <c r="BO1"/>
      <c r="BP1" s="59"/>
      <c r="BQ1"/>
      <c r="BR1"/>
      <c r="BS1"/>
      <c r="BT1"/>
      <c r="BU1"/>
      <c r="BV1"/>
      <c r="BW1"/>
      <c r="BX1"/>
      <c r="BY1"/>
      <c r="BZ1"/>
      <c r="CA1"/>
      <c r="CB1"/>
      <c r="CC1"/>
      <c r="CD1"/>
      <c r="CE1"/>
      <c r="CF1"/>
      <c r="CG1"/>
      <c r="CH1"/>
      <c r="CI1"/>
      <c r="CJ1"/>
      <c r="CK1"/>
      <c r="CL1"/>
      <c r="CM1"/>
      <c r="CN1"/>
      <c r="CO1"/>
      <c r="CP1"/>
      <c r="CQ1"/>
      <c r="CR1"/>
      <c r="CS1"/>
      <c r="CT1"/>
      <c r="CU1"/>
      <c r="CV1"/>
      <c r="CW1"/>
      <c r="CX1"/>
      <c r="CY1"/>
      <c r="CZ1"/>
      <c r="DA1"/>
      <c r="DB1"/>
      <c r="DC1"/>
      <c r="DD1"/>
      <c r="DE1"/>
    </row>
    <row r="2" spans="2:109" ht="25" hidden="1" x14ac:dyDescent="0.25">
      <c r="B2" s="562" t="s">
        <v>26</v>
      </c>
      <c r="C2" s="39">
        <v>688</v>
      </c>
      <c r="D2" s="40">
        <f>+COS(($B$137*-1)*3.14159265358979/180)*C2</f>
        <v>688</v>
      </c>
      <c r="E2" s="41">
        <f>+COS(($B$137*-1)*3.14159265358979/180)*43</f>
        <v>43</v>
      </c>
      <c r="F2" s="42">
        <f>+COS((($B$137*-1)+72.969997)*3.14159265358979/180)*162.1867</f>
        <v>47.500013702602963</v>
      </c>
      <c r="G2" s="994" t="s">
        <v>212</v>
      </c>
      <c r="H2" s="1074">
        <v>77</v>
      </c>
      <c r="I2"/>
      <c r="J2"/>
      <c r="K2"/>
      <c r="L2"/>
      <c r="M2"/>
      <c r="N2"/>
      <c r="O2" s="995"/>
      <c r="U2" s="563"/>
      <c r="BC2" s="563"/>
      <c r="BD2" s="563"/>
    </row>
    <row r="3" spans="2:109" ht="26" hidden="1" thickBot="1" x14ac:dyDescent="0.3">
      <c r="B3" s="38" t="s">
        <v>113</v>
      </c>
      <c r="C3" s="43">
        <f>+C9-47.5</f>
        <v>200.51813685566876</v>
      </c>
      <c r="D3" s="40">
        <f>+C9-F2</f>
        <v>200.5181231530658</v>
      </c>
      <c r="E3" s="564"/>
      <c r="F3" s="565"/>
      <c r="G3" s="994" t="s">
        <v>213</v>
      </c>
      <c r="H3" s="1075">
        <v>215</v>
      </c>
      <c r="I3" s="182"/>
      <c r="J3"/>
      <c r="K3"/>
      <c r="L3"/>
      <c r="M3"/>
      <c r="N3"/>
      <c r="O3" s="995"/>
      <c r="BC3" s="563"/>
      <c r="BD3" s="563"/>
    </row>
    <row r="4" spans="2:109" ht="59" hidden="1" thickBot="1" x14ac:dyDescent="0.3">
      <c r="B4" s="44" t="s">
        <v>114</v>
      </c>
      <c r="C4" s="45">
        <v>1075</v>
      </c>
      <c r="D4" s="40">
        <f>+COS(($B$137*-1)*3.14159265358979/180)*C4</f>
        <v>1075</v>
      </c>
      <c r="E4" s="565"/>
      <c r="F4" s="565"/>
      <c r="G4" s="996" t="s">
        <v>233</v>
      </c>
      <c r="H4" s="1076">
        <v>860</v>
      </c>
      <c r="I4" s="984">
        <v>1</v>
      </c>
      <c r="J4" s="1721" t="s">
        <v>228</v>
      </c>
      <c r="K4" s="1727"/>
      <c r="L4" s="1727"/>
      <c r="M4" s="1727"/>
      <c r="N4"/>
      <c r="O4" s="995"/>
      <c r="BC4" s="563"/>
      <c r="BD4" s="563"/>
    </row>
    <row r="5" spans="2:109" ht="39" hidden="1" x14ac:dyDescent="0.25">
      <c r="B5" s="44" t="s">
        <v>115</v>
      </c>
      <c r="C5" s="45">
        <f>+C9+425.5</f>
        <v>673.51813685566879</v>
      </c>
      <c r="D5" s="40">
        <f>+(COS(($B$137*-1)*3.14159265358979/180)*473)+$D$3</f>
        <v>673.51812315306574</v>
      </c>
      <c r="E5" s="565"/>
      <c r="F5" s="565"/>
      <c r="G5" s="996" t="s">
        <v>214</v>
      </c>
      <c r="H5" s="1076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  <c r="U5" s="563"/>
      <c r="AB5" s="563"/>
      <c r="AC5" s="563"/>
      <c r="AD5" s="563"/>
      <c r="AE5" s="563"/>
    </row>
    <row r="6" spans="2:109" ht="25" hidden="1" x14ac:dyDescent="0.25">
      <c r="B6" s="566"/>
      <c r="C6" s="566"/>
      <c r="D6" s="565"/>
      <c r="E6" s="565"/>
      <c r="F6" s="565"/>
      <c r="G6" s="996" t="s">
        <v>259</v>
      </c>
      <c r="H6" s="1076">
        <v>602</v>
      </c>
      <c r="I6"/>
      <c r="J6" s="963">
        <f>+H9/H8*BR27</f>
        <v>194.80274136126596</v>
      </c>
      <c r="K6" s="963">
        <f>((H8-H9)/H8)*BR27</f>
        <v>-133.92688468587036</v>
      </c>
      <c r="L6" s="963">
        <f>+CP27</f>
        <v>102.12414332460438</v>
      </c>
      <c r="M6" s="961" t="s">
        <v>223</v>
      </c>
      <c r="N6"/>
      <c r="O6" s="995"/>
      <c r="U6" s="563"/>
      <c r="AB6" s="563"/>
      <c r="AC6" s="563"/>
      <c r="AD6" s="563"/>
      <c r="AE6" s="563"/>
      <c r="BC6" s="567"/>
      <c r="BD6" s="567"/>
    </row>
    <row r="7" spans="2:109" ht="25" hidden="1" x14ac:dyDescent="0.25">
      <c r="B7" s="568" t="s">
        <v>18</v>
      </c>
      <c r="C7" s="568">
        <f>+(B145*40.5)+(B176*25.5)+31+31+4.5+0.5+30</f>
        <v>163</v>
      </c>
      <c r="D7" s="565"/>
      <c r="E7" s="565"/>
      <c r="F7" s="565"/>
      <c r="G7" s="997" t="s">
        <v>230</v>
      </c>
      <c r="H7" s="1077">
        <f>(+SIN(($B$137*-1)*3.14159265358979/180)*H2)</f>
        <v>0</v>
      </c>
      <c r="I7"/>
      <c r="J7" s="965">
        <f>ABS($H$1/J6)</f>
        <v>92.401163732180777</v>
      </c>
      <c r="K7" s="965">
        <f>ABS($H$1/K6)</f>
        <v>134.40169270135385</v>
      </c>
      <c r="L7" s="965">
        <f>ABS($H$1/L6)</f>
        <v>176.25606848702279</v>
      </c>
      <c r="M7" s="967" t="s">
        <v>222</v>
      </c>
      <c r="N7"/>
      <c r="O7" s="995"/>
      <c r="U7" s="563"/>
      <c r="AB7" s="563"/>
      <c r="AC7" s="563"/>
      <c r="AD7" s="563"/>
      <c r="AE7" s="563"/>
      <c r="BC7" s="567"/>
      <c r="BD7" s="567"/>
    </row>
    <row r="8" spans="2:109" ht="25" hidden="1" x14ac:dyDescent="0.25">
      <c r="B8" s="568" t="s">
        <v>19</v>
      </c>
      <c r="C8" s="568">
        <f>+AR148</f>
        <v>492.39108855494453</v>
      </c>
      <c r="D8" s="565"/>
      <c r="E8" s="565"/>
      <c r="F8" s="565"/>
      <c r="G8" s="997" t="s">
        <v>229</v>
      </c>
      <c r="H8" s="1077">
        <f>(+COS(($B$137*-1)*3.14159265358979/180)*H3)</f>
        <v>215</v>
      </c>
      <c r="I8"/>
      <c r="J8" s="1733">
        <f>ABS($F$13/BR27)</f>
        <v>131.41498841910155</v>
      </c>
      <c r="K8" s="1733"/>
      <c r="L8" s="1733">
        <f>ABS($F$13/CP27)</f>
        <v>78.336030438676801</v>
      </c>
      <c r="M8" s="1732" t="s">
        <v>350</v>
      </c>
      <c r="N8"/>
      <c r="O8" s="995"/>
      <c r="U8" s="563"/>
      <c r="AB8" s="563"/>
      <c r="AC8" s="563"/>
      <c r="AD8" s="563"/>
      <c r="AE8" s="563"/>
    </row>
    <row r="9" spans="2:109" ht="26" hidden="1" thickBot="1" x14ac:dyDescent="0.3">
      <c r="B9" s="568" t="s">
        <v>14</v>
      </c>
      <c r="C9" s="568">
        <f>+AO144</f>
        <v>248.01813685566876</v>
      </c>
      <c r="D9" s="565"/>
      <c r="E9" s="565"/>
      <c r="F9" s="565"/>
      <c r="G9" s="994" t="s">
        <v>227</v>
      </c>
      <c r="H9" s="1077">
        <f>+D2+H7</f>
        <v>688</v>
      </c>
      <c r="I9"/>
      <c r="J9" s="59"/>
      <c r="K9" s="59"/>
      <c r="L9" s="59"/>
      <c r="M9" s="59"/>
      <c r="N9"/>
      <c r="O9" s="995"/>
      <c r="U9" s="563"/>
      <c r="AB9" s="563"/>
      <c r="AC9" s="563"/>
      <c r="AD9" s="563"/>
      <c r="AE9" s="563"/>
      <c r="BC9" s="569"/>
      <c r="BD9" s="569"/>
    </row>
    <row r="10" spans="2:109" ht="26" hidden="1" thickBot="1" x14ac:dyDescent="0.3">
      <c r="D10" s="565"/>
      <c r="E10" s="565"/>
      <c r="F10" s="565"/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  <c r="U10" s="563"/>
      <c r="AB10" s="563"/>
      <c r="AC10" s="563"/>
      <c r="AD10" s="563"/>
      <c r="AE10" s="563"/>
      <c r="BC10" s="569"/>
      <c r="BD10" s="569"/>
    </row>
    <row r="11" spans="2:109" ht="20" hidden="1" x14ac:dyDescent="0.2">
      <c r="B11" s="570" t="s">
        <v>160</v>
      </c>
      <c r="C11" s="571"/>
      <c r="D11" s="572">
        <v>5800</v>
      </c>
      <c r="E11" s="572"/>
      <c r="F11" s="573">
        <v>10000</v>
      </c>
      <c r="G11" s="994" t="s">
        <v>226</v>
      </c>
      <c r="H11" s="1077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  <c r="BC11" s="569"/>
      <c r="BD11" s="569"/>
    </row>
    <row r="12" spans="2:109" ht="20" hidden="1" x14ac:dyDescent="0.2">
      <c r="B12" s="574"/>
      <c r="C12" s="575"/>
      <c r="D12" s="576"/>
      <c r="E12" s="576"/>
      <c r="F12" s="577"/>
      <c r="G12" s="998"/>
      <c r="H12" s="37"/>
      <c r="I12"/>
      <c r="J12" s="963">
        <f>(CC30)</f>
        <v>132.59585667539559</v>
      </c>
      <c r="K12" s="963">
        <f>((+H8-H11)/H8*DA30)</f>
        <v>-66.889115314129668</v>
      </c>
      <c r="L12" s="963">
        <f>(H11/H8*DA30)</f>
        <v>97.293258638734073</v>
      </c>
      <c r="M12" s="961" t="s">
        <v>223</v>
      </c>
      <c r="N12"/>
      <c r="O12" s="995"/>
      <c r="BC12" s="569"/>
      <c r="BD12" s="569"/>
    </row>
    <row r="13" spans="2:109" ht="20" hidden="1" x14ac:dyDescent="0.2">
      <c r="B13" s="578" t="s">
        <v>161</v>
      </c>
      <c r="C13" s="575"/>
      <c r="D13" s="576">
        <v>8000</v>
      </c>
      <c r="E13" s="576">
        <v>8000</v>
      </c>
      <c r="F13" s="577">
        <v>8000</v>
      </c>
      <c r="G13" s="998"/>
      <c r="H13"/>
      <c r="I13"/>
      <c r="J13" s="965">
        <f>ABS($H$1/J12)</f>
        <v>135.75084811334131</v>
      </c>
      <c r="K13" s="965">
        <f>ABS($H$1/K12)</f>
        <v>269.1020790971304</v>
      </c>
      <c r="L13" s="965">
        <f>ABS($H$1/L12)</f>
        <v>185.00767937927714</v>
      </c>
      <c r="M13" s="967" t="s">
        <v>222</v>
      </c>
      <c r="N13"/>
      <c r="O13" s="995"/>
      <c r="BC13" s="569"/>
      <c r="BD13" s="569"/>
    </row>
    <row r="14" spans="2:109" ht="20" hidden="1" x14ac:dyDescent="0.2">
      <c r="B14" s="574"/>
      <c r="C14" s="575"/>
      <c r="D14" s="579" t="s">
        <v>20</v>
      </c>
      <c r="E14" s="579"/>
      <c r="F14" s="580" t="s">
        <v>21</v>
      </c>
      <c r="G14" s="998"/>
      <c r="H14"/>
      <c r="I14"/>
      <c r="J14" s="1733">
        <f>ABS($F$13/CC30)</f>
        <v>60.333710272596136</v>
      </c>
      <c r="K14" s="1733"/>
      <c r="L14" s="1733">
        <f>ABS($F$13/DA30)</f>
        <v>263.12203289497199</v>
      </c>
      <c r="M14" s="1734" t="s">
        <v>350</v>
      </c>
      <c r="N14"/>
      <c r="O14" s="995"/>
      <c r="BC14" s="569"/>
      <c r="BD14" s="569"/>
    </row>
    <row r="15" spans="2:109" ht="21" hidden="1" thickBot="1" x14ac:dyDescent="0.25">
      <c r="B15" s="581" t="s">
        <v>17</v>
      </c>
      <c r="C15" s="582"/>
      <c r="D15" s="583">
        <f>+((C8-C9)/C8)*C7</f>
        <v>80.896653194683324</v>
      </c>
      <c r="E15" s="583"/>
      <c r="F15" s="584">
        <f>+(C9/C8)*C7</f>
        <v>82.103346805316676</v>
      </c>
      <c r="G15" s="998"/>
      <c r="H15"/>
      <c r="I15"/>
      <c r="J15" s="59"/>
      <c r="K15" s="59"/>
      <c r="L15" s="59"/>
      <c r="M15" s="59"/>
      <c r="N15"/>
      <c r="O15" s="995"/>
      <c r="BC15" s="569"/>
      <c r="BD15" s="569"/>
    </row>
    <row r="16" spans="2:109" ht="21" hidden="1" thickBot="1" x14ac:dyDescent="0.25">
      <c r="G16" s="994" t="s">
        <v>231</v>
      </c>
      <c r="H16" s="1077">
        <f>+D2+H7-BN67</f>
        <v>14.481876846934256</v>
      </c>
      <c r="I16" s="984" t="s">
        <v>251</v>
      </c>
      <c r="J16" s="1721" t="s">
        <v>232</v>
      </c>
      <c r="K16" s="1727"/>
      <c r="L16" s="1727"/>
      <c r="M16" s="1727"/>
      <c r="N16"/>
      <c r="O16" s="995"/>
      <c r="BC16" s="569"/>
      <c r="BD16" s="569"/>
    </row>
    <row r="17" spans="2:109" ht="20" hidden="1" x14ac:dyDescent="0.2"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  <c r="BC17" s="569"/>
      <c r="BD17" s="569"/>
    </row>
    <row r="18" spans="2:109" ht="20" hidden="1" x14ac:dyDescent="0.2">
      <c r="G18" s="998"/>
      <c r="H18"/>
      <c r="I18"/>
      <c r="J18" s="963">
        <f>+H16/H8*BR25</f>
        <v>10.979283376978064</v>
      </c>
      <c r="K18" s="963">
        <f>((H8-H16)/H8)*BR25</f>
        <v>152.02071662302194</v>
      </c>
      <c r="L18" s="963"/>
      <c r="M18" s="961" t="s">
        <v>223</v>
      </c>
      <c r="N18"/>
      <c r="O18" s="995"/>
      <c r="BC18" s="569"/>
      <c r="BD18" s="569"/>
    </row>
    <row r="19" spans="2:109" ht="20" hidden="1" x14ac:dyDescent="0.2">
      <c r="G19" s="998"/>
      <c r="H19"/>
      <c r="I19"/>
      <c r="J19" s="965">
        <f>ABS($H$1/J18)</f>
        <v>1639.451263070898</v>
      </c>
      <c r="K19" s="965">
        <f>ABS($H$1/K18)</f>
        <v>118.40491480273741</v>
      </c>
      <c r="L19" s="965"/>
      <c r="M19" s="967" t="s">
        <v>222</v>
      </c>
      <c r="N19"/>
      <c r="O19" s="995"/>
      <c r="BC19" s="569"/>
      <c r="BD19" s="569"/>
    </row>
    <row r="20" spans="2:109" ht="20" hidden="1" x14ac:dyDescent="0.2">
      <c r="G20" s="998"/>
      <c r="H20"/>
      <c r="I20"/>
      <c r="J20" s="1733">
        <f>ABS($F$13/BR25)</f>
        <v>49.079754601226995</v>
      </c>
      <c r="K20" s="1733"/>
      <c r="L20" s="1733"/>
      <c r="M20" s="1734" t="s">
        <v>350</v>
      </c>
      <c r="N20"/>
      <c r="O20" s="995"/>
      <c r="BC20" s="569"/>
      <c r="BD20" s="569"/>
    </row>
    <row r="21" spans="2:109" ht="17" hidden="1" thickBot="1" x14ac:dyDescent="0.25">
      <c r="G21" s="998"/>
      <c r="H21"/>
      <c r="I21"/>
      <c r="J21" s="59"/>
      <c r="K21" s="59"/>
      <c r="L21" s="59"/>
      <c r="M21" s="59"/>
      <c r="N21"/>
      <c r="O21" s="995"/>
      <c r="BC21" s="569"/>
      <c r="BD21" s="569"/>
    </row>
    <row r="22" spans="2:109" ht="21" hidden="1" thickBot="1" x14ac:dyDescent="0.25">
      <c r="G22" s="994" t="s">
        <v>219</v>
      </c>
      <c r="H22" s="1077">
        <f>(+COS(($B$137*-1)*3.14159265358979/180)*(H4))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  <c r="AF22" s="567"/>
      <c r="BC22" s="569"/>
      <c r="BD22" s="569"/>
    </row>
    <row r="23" spans="2:109" ht="20" hidden="1" x14ac:dyDescent="0.2">
      <c r="G23" s="994" t="s">
        <v>234</v>
      </c>
      <c r="H23" s="1092">
        <f>+BN67-H22+H7</f>
        <v>-186.48187684693426</v>
      </c>
      <c r="I23" s="999"/>
      <c r="J23" s="961"/>
      <c r="K23" s="961" t="s">
        <v>215</v>
      </c>
      <c r="L23" s="961" t="s">
        <v>216</v>
      </c>
      <c r="M23" s="1724"/>
      <c r="N23"/>
      <c r="O23" s="995"/>
      <c r="AF23" s="567"/>
      <c r="BC23" s="569"/>
      <c r="BD23" s="569"/>
    </row>
    <row r="24" spans="2:109" ht="20" hidden="1" x14ac:dyDescent="0.2">
      <c r="G24" s="998"/>
      <c r="H24"/>
      <c r="I24"/>
      <c r="J24" s="963"/>
      <c r="K24" s="963">
        <f>((+H8-H23)/H8*BR25)</f>
        <v>304.37928337697804</v>
      </c>
      <c r="L24" s="963">
        <f>(H23/H8*BR25)</f>
        <v>-141.37928337697807</v>
      </c>
      <c r="M24" s="961" t="s">
        <v>223</v>
      </c>
      <c r="N24"/>
      <c r="O24" s="995"/>
      <c r="AF24" s="567"/>
      <c r="BC24" s="569"/>
      <c r="BD24" s="569"/>
    </row>
    <row r="25" spans="2:109" ht="33" customHeight="1" thickBot="1" x14ac:dyDescent="0.25">
      <c r="C25" s="566"/>
      <c r="E25" s="585"/>
      <c r="G25" s="998"/>
      <c r="H25"/>
      <c r="I25"/>
      <c r="J25" s="965"/>
      <c r="K25" s="965">
        <f>ABS($H$1/K24)</f>
        <v>59.136744788595699</v>
      </c>
      <c r="L25" s="965">
        <f>ABS($H$1/L24)</f>
        <v>127.31709745623938</v>
      </c>
      <c r="M25" s="967" t="s">
        <v>222</v>
      </c>
      <c r="N25"/>
      <c r="O25" s="995"/>
      <c r="AF25" s="567"/>
      <c r="BC25" s="569"/>
      <c r="BD25" s="569"/>
      <c r="BF25" s="74"/>
      <c r="BG25" s="74"/>
      <c r="BH25" s="74"/>
      <c r="BI25" s="74"/>
      <c r="BP25" s="64"/>
      <c r="BQ25" s="75" t="s">
        <v>25</v>
      </c>
      <c r="BR25" s="1814">
        <f>+C7</f>
        <v>163</v>
      </c>
      <c r="BS25" s="1814"/>
      <c r="BT25" s="76" t="s">
        <v>17</v>
      </c>
      <c r="BU25" s="76"/>
      <c r="BV25" s="77" t="s">
        <v>205</v>
      </c>
      <c r="BW25" s="78"/>
      <c r="BX25" s="78"/>
      <c r="BY25" s="78"/>
      <c r="BZ25" s="78"/>
      <c r="CA25" s="78"/>
      <c r="CB25" s="78"/>
      <c r="CC25" s="78"/>
      <c r="CD25" s="78"/>
      <c r="CE25" s="78"/>
      <c r="CF25" s="78"/>
      <c r="CG25" s="78"/>
      <c r="CH25" s="78"/>
      <c r="CI25" s="78"/>
      <c r="CJ25" s="78"/>
      <c r="CK25" s="78"/>
      <c r="CL25" s="78"/>
      <c r="CM25" s="78"/>
      <c r="CN25" s="78"/>
      <c r="CO25" s="78"/>
      <c r="CP25" s="78"/>
      <c r="CQ25" s="78"/>
      <c r="CR25" s="78"/>
      <c r="CS25" s="78"/>
      <c r="CT25" s="78"/>
      <c r="CU25" s="78"/>
      <c r="CV25" s="78"/>
      <c r="CW25" s="78"/>
      <c r="CX25" s="78"/>
      <c r="CY25" s="78"/>
      <c r="CZ25" s="78"/>
      <c r="DA25" s="78"/>
      <c r="DB25" s="78"/>
      <c r="DC25" s="78"/>
      <c r="DD25" s="78"/>
      <c r="DE25" s="78"/>
    </row>
    <row r="26" spans="2:109" ht="47.25" customHeight="1" thickBot="1" x14ac:dyDescent="0.3">
      <c r="B26" s="560"/>
      <c r="C26" s="566"/>
      <c r="D26" s="567"/>
      <c r="E26" s="567"/>
      <c r="F26" s="567"/>
      <c r="G26" s="998"/>
      <c r="H26"/>
      <c r="I26"/>
      <c r="J26" s="1733"/>
      <c r="K26" s="1733"/>
      <c r="L26" s="1733">
        <f>ABS($F$13/BR25)</f>
        <v>49.079754601226995</v>
      </c>
      <c r="M26" s="1734" t="s">
        <v>350</v>
      </c>
      <c r="N26"/>
      <c r="O26" s="995"/>
      <c r="AF26" s="567"/>
      <c r="BC26" s="569"/>
      <c r="BD26" s="569"/>
      <c r="BF26" s="85"/>
      <c r="BG26" s="85"/>
      <c r="BH26" s="85"/>
      <c r="BI26" s="85"/>
      <c r="BN26" s="81" t="b">
        <f>AND(BR27&gt;0,CP27&gt;0)</f>
        <v>1</v>
      </c>
      <c r="BO26" s="952" t="str">
        <f>IF(BN26=TRUE,"","negative force at the motor")</f>
        <v/>
      </c>
      <c r="BP26" s="1095" t="s">
        <v>128</v>
      </c>
      <c r="BQ26" s="740" t="s">
        <v>27</v>
      </c>
      <c r="BR26" s="776" t="s">
        <v>28</v>
      </c>
      <c r="BS26" s="777"/>
      <c r="BT26" s="777"/>
      <c r="BU26" s="777"/>
      <c r="BV26" s="777"/>
      <c r="BW26" s="777"/>
      <c r="BX26" s="777"/>
      <c r="BY26" s="777"/>
      <c r="BZ26" s="777"/>
      <c r="CA26" s="777"/>
      <c r="CB26" s="777"/>
      <c r="CC26" s="777"/>
      <c r="CD26" s="777"/>
      <c r="CE26" s="777"/>
      <c r="CF26" s="777"/>
      <c r="CG26" s="777"/>
      <c r="CH26" s="777"/>
      <c r="CI26" s="777"/>
      <c r="CJ26" s="884"/>
      <c r="CK26" s="777"/>
      <c r="CL26" s="885"/>
      <c r="CM26" s="885"/>
      <c r="CN26" s="885"/>
      <c r="CO26" s="885"/>
      <c r="CP26" s="777"/>
      <c r="CQ26" s="782" t="s">
        <v>29</v>
      </c>
      <c r="CR26" s="1801"/>
      <c r="CS26" s="1801"/>
      <c r="CT26" s="1801"/>
      <c r="CU26" s="1801"/>
      <c r="CV26" s="1801"/>
      <c r="CW26" s="1801"/>
      <c r="CX26" s="1801"/>
      <c r="CY26" s="1801"/>
      <c r="CZ26" s="1801"/>
      <c r="DA26" s="1801"/>
      <c r="DB26" s="1802"/>
      <c r="DC26" s="78"/>
      <c r="DD26" s="78"/>
      <c r="DE26" s="78"/>
    </row>
    <row r="27" spans="2:109" ht="45" customHeight="1" thickBot="1" x14ac:dyDescent="0.3">
      <c r="G27" s="998"/>
      <c r="H27"/>
      <c r="I27"/>
      <c r="J27" s="59"/>
      <c r="K27" s="59"/>
      <c r="L27" s="59"/>
      <c r="M27" s="59"/>
      <c r="N27"/>
      <c r="O27" s="995"/>
      <c r="P27" s="968">
        <v>1</v>
      </c>
      <c r="BC27" s="569"/>
      <c r="BD27" s="569"/>
      <c r="BF27" s="85"/>
      <c r="BG27" s="85"/>
      <c r="BH27" s="85"/>
      <c r="BI27" s="85"/>
      <c r="BN27" s="1762" t="b">
        <f>AND(BP27&gt;=10,$BA$148&gt;=10,$AZ$148&gt;=10,$AZ$179&gt;=10,$BA$179&gt;=10)</f>
        <v>1</v>
      </c>
      <c r="BO27" s="84" t="str">
        <f>IF(BN27=TRUE,"O K","OVERLOAD")</f>
        <v>O K</v>
      </c>
      <c r="BP27" s="982">
        <f>+MIN(J7:L8)</f>
        <v>78.336030438676801</v>
      </c>
      <c r="BQ27" s="741" t="s">
        <v>180</v>
      </c>
      <c r="BR27" s="1873">
        <f>+((D4-D5)/D4)*C7</f>
        <v>60.87585667539561</v>
      </c>
      <c r="BS27" s="1874"/>
      <c r="BT27" s="783"/>
      <c r="BU27" s="783"/>
      <c r="BV27" s="783"/>
      <c r="BW27" s="784"/>
      <c r="BX27" s="784"/>
      <c r="BY27" s="784"/>
      <c r="BZ27" s="886"/>
      <c r="CA27" s="886"/>
      <c r="CB27" s="886"/>
      <c r="CC27" s="886"/>
      <c r="CD27" s="886"/>
      <c r="CE27" s="886"/>
      <c r="CF27" s="886"/>
      <c r="CG27" s="886"/>
      <c r="CH27" s="886"/>
      <c r="CI27" s="886"/>
      <c r="CJ27" s="887"/>
      <c r="CK27" s="783"/>
      <c r="CL27" s="783"/>
      <c r="CM27" s="783"/>
      <c r="CN27" s="784"/>
      <c r="CO27" s="784"/>
      <c r="CP27" s="1871">
        <f>+(D5/D4)*C7</f>
        <v>102.12414332460438</v>
      </c>
      <c r="CQ27" s="1872"/>
      <c r="CR27" s="1803"/>
      <c r="CS27" s="1803"/>
      <c r="CT27" s="1803"/>
      <c r="CU27" s="1803"/>
      <c r="CV27" s="1803"/>
      <c r="CW27" s="1803"/>
      <c r="CX27" s="1803"/>
      <c r="CY27" s="1803"/>
      <c r="CZ27" s="1803"/>
      <c r="DA27" s="1803"/>
      <c r="DB27" s="1804"/>
      <c r="DC27" s="78"/>
      <c r="DD27" s="78"/>
      <c r="DE27" s="78"/>
    </row>
    <row r="28" spans="2:109" ht="16" customHeight="1" thickBot="1" x14ac:dyDescent="0.3"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  <c r="BC28" s="569"/>
      <c r="BD28" s="569"/>
      <c r="BF28" s="85"/>
      <c r="BG28" s="85"/>
      <c r="BH28" s="85"/>
      <c r="BI28" s="85"/>
      <c r="BO28" s="86"/>
      <c r="BP28" s="85"/>
      <c r="BQ28" s="87"/>
      <c r="BR28" s="88"/>
      <c r="BS28" s="88"/>
      <c r="BT28" s="87"/>
      <c r="BU28" s="87"/>
      <c r="BV28" s="87"/>
      <c r="BW28" s="87"/>
      <c r="BX28" s="87"/>
      <c r="BY28" s="87"/>
      <c r="BZ28" s="87"/>
      <c r="CA28" s="87"/>
      <c r="CB28" s="87"/>
      <c r="CC28" s="87"/>
      <c r="CD28" s="87"/>
      <c r="CE28" s="87"/>
      <c r="CF28" s="87"/>
      <c r="CG28" s="87"/>
      <c r="CH28" s="87"/>
      <c r="CI28" s="87"/>
      <c r="CK28" s="76"/>
      <c r="CL28" s="76"/>
      <c r="CM28" s="88"/>
      <c r="CN28" s="89"/>
      <c r="CO28" s="89"/>
      <c r="CP28" s="89"/>
      <c r="CQ28" s="89"/>
      <c r="CR28" s="89"/>
      <c r="CS28" s="89"/>
      <c r="CT28" s="89"/>
      <c r="CU28" s="89"/>
      <c r="CV28" s="89"/>
      <c r="CW28" s="89"/>
      <c r="CX28" s="89"/>
      <c r="CY28" s="89"/>
      <c r="CZ28" s="89"/>
      <c r="DA28" s="89"/>
      <c r="DB28" s="89"/>
      <c r="DC28" s="89"/>
      <c r="DD28" s="78"/>
      <c r="DE28" s="78"/>
    </row>
    <row r="29" spans="2:109" ht="47.25" customHeight="1" thickBot="1" x14ac:dyDescent="0.3"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  <c r="BC29" s="569"/>
      <c r="BD29" s="569"/>
      <c r="BF29" s="85"/>
      <c r="BG29" s="85"/>
      <c r="BH29" s="85"/>
      <c r="BI29" s="85"/>
      <c r="BN29" s="81" t="b">
        <f>AND(CC30&gt;0,DA30&gt;0)</f>
        <v>1</v>
      </c>
      <c r="BO29" s="952" t="str">
        <f>IF(BN29=TRUE,"","negative force at the motor")</f>
        <v/>
      </c>
      <c r="BP29" s="1095" t="s">
        <v>128</v>
      </c>
      <c r="BQ29" s="742" t="s">
        <v>27</v>
      </c>
      <c r="BR29" s="1833"/>
      <c r="BS29" s="1834"/>
      <c r="BT29" s="1834"/>
      <c r="BU29" s="1834"/>
      <c r="BV29" s="1834"/>
      <c r="BW29" s="1834"/>
      <c r="BX29" s="1834"/>
      <c r="BY29" s="1834"/>
      <c r="BZ29" s="1834"/>
      <c r="CA29" s="1834"/>
      <c r="CB29" s="1834"/>
      <c r="CC29" s="772" t="s">
        <v>28</v>
      </c>
      <c r="CD29" s="774"/>
      <c r="CE29" s="774"/>
      <c r="CF29" s="774"/>
      <c r="CG29" s="774"/>
      <c r="CH29" s="774"/>
      <c r="CI29" s="774"/>
      <c r="CJ29" s="774"/>
      <c r="CK29" s="774"/>
      <c r="CL29" s="774"/>
      <c r="CM29" s="774"/>
      <c r="CN29" s="774"/>
      <c r="CO29" s="888"/>
      <c r="CP29" s="765"/>
      <c r="CQ29" s="765"/>
      <c r="CR29" s="765"/>
      <c r="CS29" s="765"/>
      <c r="CT29" s="889"/>
      <c r="CU29" s="889"/>
      <c r="CV29" s="888"/>
      <c r="CW29" s="888"/>
      <c r="CX29" s="888"/>
      <c r="CY29" s="888"/>
      <c r="CZ29" s="888"/>
      <c r="DA29" s="765"/>
      <c r="DB29" s="766" t="s">
        <v>29</v>
      </c>
      <c r="DC29" s="90"/>
      <c r="DD29" s="78"/>
      <c r="DE29" s="78"/>
    </row>
    <row r="30" spans="2:109" ht="45" customHeight="1" thickBot="1" x14ac:dyDescent="0.3">
      <c r="G30" s="1000"/>
      <c r="H30" s="63"/>
      <c r="I30"/>
      <c r="J30" s="963"/>
      <c r="K30" s="963">
        <f>((+H8-H23)/H8*BR25)</f>
        <v>304.37928337697804</v>
      </c>
      <c r="L30" s="963">
        <f>(H23/H8*BR25)</f>
        <v>-141.37928337697807</v>
      </c>
      <c r="M30" s="961" t="s">
        <v>223</v>
      </c>
      <c r="N30"/>
      <c r="O30" s="995"/>
      <c r="P30" s="968">
        <v>2</v>
      </c>
      <c r="BC30" s="569"/>
      <c r="BD30" s="569"/>
      <c r="BN30" s="1762" t="b">
        <f>AND(BP30&gt;=10,$BA$148&gt;=10,$AZ$148&gt;=10,$AZ$179&gt;=10,$BA$179&gt;=10)</f>
        <v>1</v>
      </c>
      <c r="BO30" s="84" t="str">
        <f>IF(BN30=TRUE,"O K","OVERLOAD")</f>
        <v>O K</v>
      </c>
      <c r="BP30" s="982">
        <f>+MIN(J13:L14)</f>
        <v>60.333710272596136</v>
      </c>
      <c r="BQ30" s="743" t="s">
        <v>126</v>
      </c>
      <c r="BR30" s="1835"/>
      <c r="BS30" s="1836"/>
      <c r="BT30" s="1836"/>
      <c r="BU30" s="1836"/>
      <c r="BV30" s="1836"/>
      <c r="BW30" s="1836"/>
      <c r="BX30" s="1836"/>
      <c r="BY30" s="1836"/>
      <c r="BZ30" s="1836"/>
      <c r="CA30" s="1836"/>
      <c r="CB30" s="1836"/>
      <c r="CC30" s="1864">
        <f>+((D4-D3)/D4)*C7</f>
        <v>132.59585667539559</v>
      </c>
      <c r="CD30" s="1865"/>
      <c r="CE30" s="890"/>
      <c r="CF30" s="890"/>
      <c r="CG30" s="890"/>
      <c r="CH30" s="890"/>
      <c r="CI30" s="890"/>
      <c r="CJ30" s="890"/>
      <c r="CK30" s="890"/>
      <c r="CL30" s="890"/>
      <c r="CM30" s="890"/>
      <c r="CN30" s="890"/>
      <c r="CO30" s="891"/>
      <c r="CP30" s="892"/>
      <c r="CQ30" s="892"/>
      <c r="CR30" s="892"/>
      <c r="CS30" s="892"/>
      <c r="CT30" s="893"/>
      <c r="CU30" s="893"/>
      <c r="CV30" s="883"/>
      <c r="CW30" s="883"/>
      <c r="CX30" s="883"/>
      <c r="CY30" s="883"/>
      <c r="CZ30" s="883"/>
      <c r="DA30" s="1869">
        <f>+(D3/D4)*C7</f>
        <v>30.404143324604394</v>
      </c>
      <c r="DB30" s="1870"/>
      <c r="DC30" s="92"/>
      <c r="DD30" s="78"/>
      <c r="DE30" s="78"/>
    </row>
    <row r="31" spans="2:109" ht="16" customHeight="1" thickBot="1" x14ac:dyDescent="0.3">
      <c r="G31" s="1000"/>
      <c r="H31" s="63"/>
      <c r="I31"/>
      <c r="J31" s="965"/>
      <c r="K31" s="965">
        <f>ABS($H$1/K30)</f>
        <v>59.136744788595699</v>
      </c>
      <c r="L31" s="965">
        <f>ABS($H$1/L30)</f>
        <v>127.31709745623938</v>
      </c>
      <c r="M31" s="967" t="s">
        <v>222</v>
      </c>
      <c r="N31"/>
      <c r="O31" s="995"/>
      <c r="BC31" s="569"/>
      <c r="BD31" s="569"/>
      <c r="BO31" s="86"/>
      <c r="BP31" s="18"/>
      <c r="BQ31" s="93"/>
      <c r="BR31" s="93"/>
      <c r="BS31" s="93"/>
      <c r="BT31" s="93"/>
      <c r="BU31" s="93"/>
      <c r="BV31" s="93"/>
      <c r="BW31" s="93"/>
      <c r="BX31" s="93"/>
      <c r="BY31" s="93"/>
      <c r="BZ31" s="94"/>
      <c r="CA31" s="94"/>
      <c r="CB31" s="89"/>
      <c r="CC31" s="89"/>
      <c r="CD31" s="89"/>
      <c r="CE31" s="89"/>
      <c r="CF31" s="89"/>
      <c r="CG31" s="89"/>
      <c r="CH31" s="89"/>
      <c r="CI31" s="89"/>
      <c r="CJ31" s="89"/>
      <c r="CK31" s="89"/>
      <c r="CL31" s="89"/>
      <c r="CM31" s="89"/>
      <c r="CN31" s="89"/>
      <c r="CO31" s="37"/>
      <c r="CP31" s="95"/>
      <c r="CQ31" s="95"/>
      <c r="CR31" s="95"/>
      <c r="CS31" s="95"/>
      <c r="CT31" s="92"/>
      <c r="CU31" s="92"/>
      <c r="CV31" s="92"/>
      <c r="CW31" s="92"/>
      <c r="CX31" s="92"/>
      <c r="CY31" s="92"/>
      <c r="CZ31" s="92"/>
      <c r="DA31" s="92"/>
      <c r="DB31" s="92"/>
      <c r="DC31" s="92"/>
      <c r="DD31" s="78"/>
      <c r="DE31" s="78"/>
    </row>
    <row r="32" spans="2:109" ht="47.25" customHeight="1" thickBot="1" x14ac:dyDescent="0.25">
      <c r="G32" s="1000"/>
      <c r="H32" s="63"/>
      <c r="I32"/>
      <c r="J32" s="1733"/>
      <c r="K32" s="1733"/>
      <c r="L32" s="1733">
        <f>ABS($F$13/BR25)*2</f>
        <v>98.159509202453989</v>
      </c>
      <c r="M32" s="1734" t="s">
        <v>350</v>
      </c>
      <c r="N32" s="1730" t="s">
        <v>352</v>
      </c>
      <c r="O32" s="995"/>
      <c r="BC32" s="569"/>
      <c r="BD32" s="569"/>
      <c r="BN32" s="81" t="b">
        <f>AND(CC33&gt;0,CR33&gt;0)</f>
        <v>1</v>
      </c>
      <c r="BO32" s="952" t="str">
        <f>IF(BN32=TRUE,"","negative force at the motor")</f>
        <v/>
      </c>
      <c r="BP32" s="1095" t="s">
        <v>128</v>
      </c>
      <c r="BQ32" s="744" t="s">
        <v>27</v>
      </c>
      <c r="BR32" s="1822"/>
      <c r="BS32" s="1823"/>
      <c r="BT32" s="1823"/>
      <c r="BU32" s="1823"/>
      <c r="BV32" s="1823"/>
      <c r="BW32" s="1823"/>
      <c r="BX32" s="1823"/>
      <c r="BY32" s="1823"/>
      <c r="BZ32" s="1823"/>
      <c r="CA32" s="1823"/>
      <c r="CB32" s="1823"/>
      <c r="CC32" s="894" t="s">
        <v>28</v>
      </c>
      <c r="CD32" s="895"/>
      <c r="CE32" s="895"/>
      <c r="CF32" s="895"/>
      <c r="CG32" s="895"/>
      <c r="CH32" s="895"/>
      <c r="CI32" s="895"/>
      <c r="CJ32" s="896"/>
      <c r="CK32" s="895"/>
      <c r="CL32" s="897"/>
      <c r="CM32" s="897"/>
      <c r="CN32" s="895"/>
      <c r="CO32" s="895"/>
      <c r="CP32" s="895"/>
      <c r="CQ32" s="895"/>
      <c r="CR32" s="895"/>
      <c r="CS32" s="898" t="s">
        <v>29</v>
      </c>
      <c r="CT32" s="1801"/>
      <c r="CU32" s="1801"/>
      <c r="CV32" s="1801"/>
      <c r="CW32" s="1801"/>
      <c r="CX32" s="1801"/>
      <c r="CY32" s="1801"/>
      <c r="CZ32" s="1801"/>
      <c r="DA32" s="1801"/>
      <c r="DB32" s="1802"/>
      <c r="DC32" s="89"/>
      <c r="DD32" s="78"/>
      <c r="DE32" s="78"/>
    </row>
    <row r="33" spans="2:109" ht="45" customHeight="1" thickBot="1" x14ac:dyDescent="0.3">
      <c r="G33" s="1000"/>
      <c r="H33" s="63"/>
      <c r="I33"/>
      <c r="J33" s="59"/>
      <c r="K33" s="59"/>
      <c r="L33" s="59"/>
      <c r="M33" s="59"/>
      <c r="N33"/>
      <c r="O33" s="995"/>
      <c r="P33" s="968">
        <v>3</v>
      </c>
      <c r="BC33" s="569"/>
      <c r="BD33" s="569"/>
      <c r="BN33" s="1762" t="b">
        <f>AND(BP33&gt;=10,$BA$148&gt;=10,$AZ$148&gt;=10,$AZ$179&gt;=10,$BA$179&gt;=10)</f>
        <v>1</v>
      </c>
      <c r="BO33" s="84" t="str">
        <f>IF(BN33=TRUE,"O K","OVERLOAD")</f>
        <v>O K</v>
      </c>
      <c r="BP33" s="983">
        <f>+$F$13/(MAX(CC33,CR33))</f>
        <v>69.267951834539133</v>
      </c>
      <c r="BQ33" s="745" t="s">
        <v>123</v>
      </c>
      <c r="BR33" s="1824"/>
      <c r="BS33" s="1825"/>
      <c r="BT33" s="1825"/>
      <c r="BU33" s="1825"/>
      <c r="BV33" s="1825"/>
      <c r="BW33" s="1825"/>
      <c r="BX33" s="1825"/>
      <c r="BY33" s="1825"/>
      <c r="BZ33" s="1825"/>
      <c r="CA33" s="1825"/>
      <c r="CB33" s="1825"/>
      <c r="CC33" s="1919">
        <f>+((D2-D3)/D2)*C7</f>
        <v>115.49352605530562</v>
      </c>
      <c r="CD33" s="1920"/>
      <c r="CE33" s="899"/>
      <c r="CF33" s="899"/>
      <c r="CG33" s="899"/>
      <c r="CH33" s="899"/>
      <c r="CI33" s="899"/>
      <c r="CJ33" s="900"/>
      <c r="CK33" s="899"/>
      <c r="CL33" s="901"/>
      <c r="CM33" s="901"/>
      <c r="CN33" s="902"/>
      <c r="CO33" s="902"/>
      <c r="CP33" s="902"/>
      <c r="CQ33" s="902"/>
      <c r="CR33" s="1921">
        <f>+(D3/D2)*C7</f>
        <v>47.50647394469437</v>
      </c>
      <c r="CS33" s="1922"/>
      <c r="CT33" s="1803"/>
      <c r="CU33" s="1803"/>
      <c r="CV33" s="1803"/>
      <c r="CW33" s="1803"/>
      <c r="CX33" s="1803"/>
      <c r="CY33" s="1803"/>
      <c r="CZ33" s="1803"/>
      <c r="DA33" s="1803"/>
      <c r="DB33" s="1804"/>
      <c r="DC33" s="89"/>
      <c r="DD33" s="78"/>
      <c r="DE33" s="78"/>
    </row>
    <row r="34" spans="2:109" ht="16" hidden="1" customHeight="1" thickBot="1" x14ac:dyDescent="0.3"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  <c r="BC34" s="569"/>
      <c r="BD34" s="569"/>
      <c r="BO34" s="86"/>
      <c r="BP34" s="18"/>
      <c r="BQ34" s="93"/>
      <c r="BR34" s="93"/>
      <c r="BS34" s="93"/>
      <c r="BT34" s="93"/>
      <c r="BU34" s="93"/>
      <c r="BV34" s="93"/>
      <c r="BW34" s="93"/>
      <c r="BX34" s="93"/>
      <c r="BY34" s="93"/>
      <c r="BZ34" s="94"/>
      <c r="CA34" s="94"/>
      <c r="CB34" s="89"/>
      <c r="CC34" s="89"/>
      <c r="CD34" s="89"/>
      <c r="CE34" s="89"/>
      <c r="CF34" s="89"/>
      <c r="CG34" s="89"/>
      <c r="CH34" s="89"/>
      <c r="CI34" s="89"/>
      <c r="CJ34" s="89"/>
      <c r="CK34" s="89"/>
      <c r="CL34" s="93"/>
      <c r="CM34" s="89"/>
      <c r="CN34" s="89"/>
      <c r="CO34" s="37"/>
      <c r="CP34" s="95"/>
      <c r="CQ34" s="95"/>
      <c r="CR34" s="95"/>
      <c r="CS34" s="95"/>
      <c r="CT34" s="92"/>
      <c r="CU34" s="92"/>
      <c r="CV34" s="92"/>
      <c r="CW34" s="92"/>
      <c r="CX34" s="92"/>
      <c r="CY34" s="92"/>
      <c r="CZ34" s="92"/>
      <c r="DA34" s="92"/>
      <c r="DB34" s="92"/>
      <c r="DC34" s="92"/>
      <c r="DD34" s="78"/>
      <c r="DE34" s="78"/>
    </row>
    <row r="35" spans="2:109" ht="16" hidden="1" customHeight="1" x14ac:dyDescent="0.2">
      <c r="B35" s="560"/>
      <c r="C35" s="560"/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  <c r="BD35" s="600"/>
      <c r="BF35" s="136"/>
      <c r="BG35" s="136"/>
      <c r="BH35" s="136"/>
      <c r="BI35" s="136"/>
      <c r="BO35" s="86"/>
    </row>
    <row r="36" spans="2:109" ht="20" hidden="1" x14ac:dyDescent="0.2">
      <c r="B36" s="560"/>
      <c r="C36" s="560"/>
      <c r="G36" s="1000"/>
      <c r="H36" s="63"/>
      <c r="I36"/>
      <c r="J36" s="963">
        <f>+H16/H8*BR25</f>
        <v>10.979283376978064</v>
      </c>
      <c r="K36" s="963">
        <f>((H8-H16)/H8)*BR25</f>
        <v>152.02071662302194</v>
      </c>
      <c r="L36" s="963"/>
      <c r="M36" s="961" t="s">
        <v>223</v>
      </c>
      <c r="N36"/>
      <c r="O36" s="995"/>
      <c r="BD36" s="600"/>
      <c r="BF36" s="136"/>
      <c r="BG36" s="136"/>
      <c r="BH36" s="136"/>
      <c r="BI36" s="136"/>
      <c r="BO36" s="86"/>
    </row>
    <row r="37" spans="2:109" ht="23.25" hidden="1" customHeight="1" x14ac:dyDescent="0.25">
      <c r="B37" s="560"/>
      <c r="C37" s="560"/>
      <c r="G37" s="1000"/>
      <c r="H37" s="63"/>
      <c r="I37"/>
      <c r="J37" s="965">
        <f>ABS($H$1/J36)</f>
        <v>1639.451263070898</v>
      </c>
      <c r="K37" s="965">
        <f>ABS($H$1/K36)</f>
        <v>118.40491480273741</v>
      </c>
      <c r="L37" s="965"/>
      <c r="M37" s="967" t="s">
        <v>222</v>
      </c>
      <c r="N37"/>
      <c r="O37" s="995"/>
      <c r="BD37" s="600"/>
      <c r="BF37" s="136"/>
      <c r="BG37" s="136"/>
      <c r="BH37" s="136"/>
      <c r="BI37" s="136"/>
      <c r="BO37" s="86"/>
      <c r="BP37" s="17"/>
      <c r="BQ37" s="177"/>
      <c r="BR37" s="178"/>
      <c r="BS37" s="178"/>
      <c r="BT37" s="178"/>
      <c r="BU37" s="178"/>
      <c r="BV37" s="178"/>
      <c r="BW37" s="178"/>
      <c r="BX37" s="178"/>
      <c r="BY37" s="178"/>
      <c r="BZ37" s="179"/>
      <c r="CA37" s="179"/>
      <c r="CB37" s="180"/>
      <c r="CC37" s="180"/>
      <c r="CD37" s="180"/>
      <c r="CE37" s="180"/>
      <c r="CF37" s="180"/>
      <c r="CG37" s="180"/>
      <c r="CH37" s="180"/>
      <c r="CI37" s="180"/>
      <c r="CJ37" s="37"/>
      <c r="CK37" s="89"/>
      <c r="CL37" s="181"/>
      <c r="CM37" s="181"/>
      <c r="CN37" s="89"/>
      <c r="CO37" s="89"/>
      <c r="CP37" s="89"/>
      <c r="CQ37" s="89"/>
      <c r="CR37" s="89"/>
      <c r="CS37" s="89"/>
      <c r="CT37" s="89"/>
      <c r="CU37" s="89"/>
      <c r="CV37" s="89"/>
      <c r="CW37" s="89"/>
      <c r="CX37" s="178"/>
      <c r="CY37" s="178"/>
      <c r="CZ37" s="178"/>
      <c r="DA37" s="178"/>
      <c r="DB37" s="178"/>
      <c r="DC37" s="178"/>
      <c r="DD37" s="178"/>
      <c r="DE37" s="178"/>
    </row>
    <row r="38" spans="2:109" ht="24" hidden="1" thickBot="1" x14ac:dyDescent="0.3">
      <c r="B38" s="560"/>
      <c r="C38" s="560"/>
      <c r="G38" s="1000"/>
      <c r="H38" s="63"/>
      <c r="I38"/>
      <c r="J38" s="1733">
        <f>ABS($F$13/BR25)*2</f>
        <v>98.159509202453989</v>
      </c>
      <c r="K38" s="1733"/>
      <c r="L38" s="1733"/>
      <c r="M38" s="1734" t="s">
        <v>350</v>
      </c>
      <c r="N38" s="1730" t="s">
        <v>352</v>
      </c>
      <c r="O38" s="995"/>
      <c r="BD38" s="600"/>
      <c r="BF38" s="136"/>
      <c r="BG38" s="136"/>
      <c r="BH38" s="136"/>
      <c r="BI38" s="136"/>
      <c r="BO38" s="86"/>
      <c r="BP38" s="17"/>
      <c r="BQ38" s="177"/>
      <c r="BR38" s="178"/>
      <c r="BS38" s="178"/>
      <c r="BT38" s="178"/>
      <c r="BU38" s="178"/>
      <c r="BV38" s="178"/>
      <c r="BW38" s="178"/>
      <c r="BX38" s="178"/>
      <c r="BY38" s="178"/>
      <c r="BZ38" s="179"/>
      <c r="CA38" s="179"/>
      <c r="CB38" s="180"/>
      <c r="CC38" s="180"/>
      <c r="CD38" s="180"/>
      <c r="CE38" s="180"/>
      <c r="CF38" s="180"/>
      <c r="CG38" s="180"/>
      <c r="CH38" s="180"/>
      <c r="CI38" s="180"/>
      <c r="CJ38" s="37"/>
      <c r="CK38" s="89"/>
      <c r="CL38" s="181"/>
      <c r="CM38" s="181"/>
      <c r="CN38" s="89"/>
      <c r="CO38" s="89"/>
      <c r="CP38" s="89"/>
      <c r="CQ38" s="89"/>
      <c r="CR38" s="89"/>
      <c r="CS38" s="89"/>
      <c r="CT38" s="89"/>
      <c r="CU38" s="89"/>
      <c r="CV38" s="89"/>
      <c r="CW38" s="89"/>
      <c r="CX38" s="178"/>
      <c r="CY38" s="178"/>
      <c r="CZ38" s="178"/>
      <c r="DA38" s="178"/>
      <c r="DB38" s="178"/>
      <c r="DC38" s="178"/>
      <c r="DD38" s="178"/>
      <c r="DE38" s="178"/>
    </row>
    <row r="39" spans="2:109" ht="24" hidden="1" thickBot="1" x14ac:dyDescent="0.3">
      <c r="B39" s="560"/>
      <c r="C39" s="560"/>
      <c r="G39" s="998"/>
      <c r="H39"/>
      <c r="I39"/>
      <c r="J39" s="59"/>
      <c r="K39" s="59"/>
      <c r="L39" s="59"/>
      <c r="M39" s="59"/>
      <c r="N39"/>
      <c r="O39" s="995"/>
      <c r="BD39" s="600"/>
      <c r="BF39" s="136"/>
      <c r="BG39" s="136"/>
      <c r="BH39" s="136"/>
      <c r="BI39" s="136"/>
      <c r="BO39" s="86"/>
      <c r="BP39" s="17"/>
      <c r="BQ39" s="177"/>
      <c r="BR39" s="178"/>
      <c r="BS39" s="178"/>
      <c r="BT39" s="178"/>
      <c r="BU39" s="178"/>
      <c r="BV39" s="178"/>
      <c r="BW39" s="178"/>
      <c r="BX39" s="178"/>
      <c r="BY39" s="178"/>
      <c r="BZ39" s="179"/>
      <c r="CA39" s="179"/>
      <c r="CB39" s="182">
        <v>16</v>
      </c>
      <c r="CC39" s="180"/>
      <c r="CD39" s="180"/>
      <c r="CE39" s="180"/>
      <c r="CF39" s="180"/>
      <c r="CG39" s="180"/>
      <c r="CH39" s="180"/>
      <c r="CI39" s="180"/>
      <c r="CJ39" s="37"/>
      <c r="CK39" s="89"/>
      <c r="CL39" s="181"/>
      <c r="CM39" s="181"/>
      <c r="CN39" s="89"/>
      <c r="CO39" s="89"/>
      <c r="CP39" s="89"/>
      <c r="CQ39" s="117" t="b">
        <f>IF(CR57=27,15)</f>
        <v>0</v>
      </c>
      <c r="CR39" s="183"/>
      <c r="CS39" s="103" t="b">
        <f>IF(CR57=27,17)</f>
        <v>0</v>
      </c>
      <c r="CT39" s="89"/>
      <c r="CU39" s="89"/>
      <c r="CV39" s="89"/>
      <c r="CW39" s="89"/>
      <c r="CX39" s="178"/>
      <c r="CY39" s="178"/>
      <c r="CZ39" s="178"/>
      <c r="DA39" s="178"/>
      <c r="DB39" s="178"/>
      <c r="DC39" s="178"/>
      <c r="DD39" s="178"/>
      <c r="DE39" s="178"/>
    </row>
    <row r="40" spans="2:109" ht="24" hidden="1" thickBot="1" x14ac:dyDescent="0.3">
      <c r="B40" s="560"/>
      <c r="C40" s="560"/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/>
      <c r="O40" s="995"/>
      <c r="BD40" s="600"/>
      <c r="BF40" s="136"/>
      <c r="BG40" s="136"/>
      <c r="BH40" s="136"/>
      <c r="BI40" s="136"/>
      <c r="BO40" s="86"/>
      <c r="BP40" s="17"/>
      <c r="BQ40" s="177"/>
      <c r="BR40" s="178"/>
      <c r="BS40" s="178"/>
      <c r="BT40" s="178"/>
      <c r="BU40" s="178"/>
      <c r="BV40" s="178"/>
      <c r="BW40" s="178"/>
      <c r="BX40" s="178"/>
      <c r="BY40" s="178"/>
      <c r="BZ40" s="179"/>
      <c r="CA40" s="179"/>
      <c r="CB40" s="182">
        <v>15</v>
      </c>
      <c r="CC40" s="180"/>
      <c r="CD40" s="180"/>
      <c r="CE40" s="180"/>
      <c r="CF40" s="180"/>
      <c r="CG40" s="180"/>
      <c r="CH40" s="180"/>
      <c r="CI40" s="180"/>
      <c r="CJ40" s="37"/>
      <c r="CK40" s="89"/>
      <c r="CL40" s="181"/>
      <c r="CM40" s="181"/>
      <c r="CN40" s="89"/>
      <c r="CO40" s="117" t="b">
        <f>IF(CQ57=26,13)</f>
        <v>0</v>
      </c>
      <c r="CP40" s="183"/>
      <c r="CQ40" s="183"/>
      <c r="CR40" s="183"/>
      <c r="CS40" s="103" t="b">
        <f>IF(CQ57=26,17)</f>
        <v>0</v>
      </c>
      <c r="CT40" s="89"/>
      <c r="CU40" s="89"/>
      <c r="CV40" s="89"/>
      <c r="CW40" s="89"/>
      <c r="CX40" s="178"/>
      <c r="CY40" s="178"/>
      <c r="CZ40" s="178"/>
      <c r="DA40" s="178"/>
      <c r="DB40" s="178"/>
      <c r="DC40" s="178"/>
      <c r="DD40" s="178"/>
      <c r="DE40" s="178"/>
    </row>
    <row r="41" spans="2:109" ht="24" hidden="1" thickBot="1" x14ac:dyDescent="0.3">
      <c r="B41" s="560"/>
      <c r="C41" s="560"/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  <c r="BD41" s="600"/>
      <c r="BF41" s="136"/>
      <c r="BG41" s="136"/>
      <c r="BH41" s="136"/>
      <c r="BI41" s="136"/>
      <c r="BO41" s="86"/>
      <c r="BP41" s="17"/>
      <c r="BQ41" s="177"/>
      <c r="BR41" s="178"/>
      <c r="BS41" s="178"/>
      <c r="BT41" s="178"/>
      <c r="BU41" s="178"/>
      <c r="BV41" s="178"/>
      <c r="BW41" s="178"/>
      <c r="BX41" s="178"/>
      <c r="BY41" s="178"/>
      <c r="BZ41" s="179"/>
      <c r="CA41" s="179"/>
      <c r="CB41" s="182">
        <v>14</v>
      </c>
      <c r="CC41" s="180"/>
      <c r="CD41" s="180"/>
      <c r="CE41" s="180"/>
      <c r="CF41" s="180"/>
      <c r="CG41" s="180"/>
      <c r="CH41" s="180"/>
      <c r="CI41" s="180"/>
      <c r="CJ41" s="37"/>
      <c r="CK41" s="89"/>
      <c r="CL41" s="181"/>
      <c r="CM41" s="117" t="b">
        <f>IF(CP57=25,11)</f>
        <v>0</v>
      </c>
      <c r="CN41" s="183"/>
      <c r="CO41" s="184"/>
      <c r="CP41" s="184"/>
      <c r="CQ41" s="184"/>
      <c r="CR41" s="184"/>
      <c r="CS41" s="124" t="b">
        <f>IF(CP57=25,17)</f>
        <v>0</v>
      </c>
      <c r="CT41" s="89"/>
      <c r="CU41" s="89"/>
      <c r="CV41" s="89"/>
      <c r="CW41" s="89"/>
      <c r="CX41" s="178"/>
      <c r="CY41" s="178"/>
      <c r="CZ41" s="178"/>
      <c r="DA41" s="178"/>
      <c r="DB41" s="178"/>
      <c r="DC41" s="178"/>
      <c r="DD41" s="178"/>
      <c r="DE41" s="178"/>
    </row>
    <row r="42" spans="2:109" ht="24" hidden="1" thickBot="1" x14ac:dyDescent="0.3">
      <c r="B42" s="560"/>
      <c r="C42" s="560"/>
      <c r="G42" s="1002" t="s">
        <v>245</v>
      </c>
      <c r="H42" s="1078">
        <f>SUM(BR130:CB130)</f>
        <v>8</v>
      </c>
      <c r="I42"/>
      <c r="J42" s="963">
        <f>+H43/H8*BR25/2</f>
        <v>146.70000000000002</v>
      </c>
      <c r="K42" s="963">
        <f>((H8-H43)/H8)*BR25/2</f>
        <v>-65.2</v>
      </c>
      <c r="L42" s="963">
        <f>+BR25/2</f>
        <v>81.5</v>
      </c>
      <c r="M42" s="961" t="s">
        <v>223</v>
      </c>
      <c r="N42"/>
      <c r="O42" s="995"/>
      <c r="BD42" s="600"/>
      <c r="BF42" s="136"/>
      <c r="BG42" s="136"/>
      <c r="BH42" s="136"/>
      <c r="BI42" s="136"/>
      <c r="BO42" s="86"/>
      <c r="BP42" s="1091"/>
      <c r="BQ42" s="177"/>
      <c r="BR42" s="178"/>
      <c r="BS42" s="178"/>
      <c r="BT42" s="178"/>
      <c r="BU42" s="178"/>
      <c r="BV42" s="178"/>
      <c r="BW42" s="178"/>
      <c r="BX42" s="178"/>
      <c r="BY42" s="178"/>
      <c r="CB42" s="182">
        <v>13</v>
      </c>
      <c r="CC42" s="178"/>
      <c r="CD42" s="177"/>
      <c r="CE42" s="177"/>
      <c r="CF42" s="177"/>
      <c r="CG42" s="177"/>
      <c r="CH42" s="177"/>
      <c r="CI42" s="177"/>
      <c r="CJ42" s="177"/>
      <c r="CK42" s="117" t="b">
        <f>IF(CO57=24,9)</f>
        <v>0</v>
      </c>
      <c r="CL42" s="185"/>
      <c r="CM42" s="186"/>
      <c r="CN42" s="122"/>
      <c r="CO42" s="186"/>
      <c r="CP42" s="122"/>
      <c r="CQ42" s="122"/>
      <c r="CR42" s="121"/>
      <c r="CS42" s="124" t="b">
        <f>IF(CO57=24,17)</f>
        <v>0</v>
      </c>
      <c r="CT42" s="78"/>
      <c r="CU42" s="78"/>
      <c r="CV42" s="78"/>
      <c r="CW42" s="78"/>
      <c r="CX42" s="78"/>
      <c r="CY42" s="78"/>
      <c r="CZ42" s="78"/>
      <c r="DA42" s="78"/>
      <c r="DB42" s="78"/>
      <c r="DC42" s="78"/>
      <c r="DD42" s="78"/>
      <c r="DE42" s="78"/>
    </row>
    <row r="43" spans="2:109" ht="21" hidden="1" thickBot="1" x14ac:dyDescent="0.25">
      <c r="B43" s="560"/>
      <c r="C43" s="560"/>
      <c r="G43" s="994" t="s">
        <v>243</v>
      </c>
      <c r="H43" s="1077">
        <f>$H$5-((H42-1)*$E$2)</f>
        <v>387</v>
      </c>
      <c r="I43"/>
      <c r="J43" s="965">
        <f>ABS($H$1/J42)</f>
        <v>122.69938650306747</v>
      </c>
      <c r="K43" s="965">
        <f>ABS($H$1/K42)</f>
        <v>276.07361963190181</v>
      </c>
      <c r="L43" s="965">
        <f>ABS($H$1/L42)</f>
        <v>220.85889570552146</v>
      </c>
      <c r="M43" s="967" t="s">
        <v>222</v>
      </c>
      <c r="N43"/>
      <c r="O43" s="995"/>
      <c r="BD43" s="600"/>
      <c r="BF43" s="136"/>
      <c r="BG43" s="136"/>
      <c r="BH43" s="136"/>
      <c r="BI43" s="136"/>
      <c r="BO43" s="86"/>
      <c r="BP43" s="1091"/>
      <c r="BQ43" s="177"/>
      <c r="BR43" s="177"/>
      <c r="BS43" s="178"/>
      <c r="BT43" s="177"/>
      <c r="BU43" s="177"/>
      <c r="BV43" s="177"/>
      <c r="CB43" s="182">
        <v>12</v>
      </c>
      <c r="CC43" s="178"/>
      <c r="CD43" s="177"/>
      <c r="CE43" s="177"/>
      <c r="CF43" s="177"/>
      <c r="CG43" s="177"/>
      <c r="CH43" s="177"/>
      <c r="CI43" s="117" t="b">
        <f>IF(CN57=23,7)</f>
        <v>0</v>
      </c>
      <c r="CJ43" s="185"/>
      <c r="CK43" s="185"/>
      <c r="CL43" s="118"/>
      <c r="CM43" s="185"/>
      <c r="CN43" s="185"/>
      <c r="CO43" s="185"/>
      <c r="CP43" s="118"/>
      <c r="CQ43" s="118"/>
      <c r="CR43" s="111"/>
      <c r="CS43" s="103" t="b">
        <f>IF(CN57=23,17)</f>
        <v>0</v>
      </c>
      <c r="CT43" s="78"/>
      <c r="CU43" s="78"/>
      <c r="CV43" s="78"/>
      <c r="CW43" s="78"/>
      <c r="CX43" s="78"/>
      <c r="CY43" s="78"/>
      <c r="CZ43" s="78"/>
      <c r="DA43" s="78"/>
      <c r="DB43" s="78"/>
      <c r="DC43" s="78"/>
      <c r="DD43" s="78"/>
      <c r="DE43" s="78"/>
    </row>
    <row r="44" spans="2:109" ht="24.75" hidden="1" customHeight="1" thickBot="1" x14ac:dyDescent="0.25">
      <c r="B44" s="560"/>
      <c r="C44" s="560"/>
      <c r="G44" s="1000"/>
      <c r="H44" s="63"/>
      <c r="I44"/>
      <c r="J44" s="1733"/>
      <c r="K44" s="1733"/>
      <c r="L44" s="1733">
        <f>ABS($F$13/BR25)*2</f>
        <v>98.159509202453989</v>
      </c>
      <c r="M44" s="1734" t="s">
        <v>350</v>
      </c>
      <c r="N44" s="1730" t="s">
        <v>352</v>
      </c>
      <c r="O44" s="995"/>
      <c r="BD44" s="600"/>
      <c r="BF44" s="136"/>
      <c r="BG44" s="136"/>
      <c r="BH44" s="136"/>
      <c r="BI44" s="136"/>
      <c r="BO44" s="86"/>
      <c r="BP44" s="1091"/>
      <c r="BQ44" s="177"/>
      <c r="BR44" s="177"/>
      <c r="BS44" s="178"/>
      <c r="BT44" s="177"/>
      <c r="BU44" s="177"/>
      <c r="BV44" s="177"/>
      <c r="CB44" s="182">
        <v>11</v>
      </c>
      <c r="CC44" s="178"/>
      <c r="CD44" s="177"/>
      <c r="CE44" s="177"/>
      <c r="CF44" s="177"/>
      <c r="CG44" s="117" t="b">
        <f>IF(CM57=22,5)</f>
        <v>0</v>
      </c>
      <c r="CH44" s="185"/>
      <c r="CI44" s="185"/>
      <c r="CJ44" s="118"/>
      <c r="CK44" s="185"/>
      <c r="CL44" s="118"/>
      <c r="CM44" s="185"/>
      <c r="CN44" s="118"/>
      <c r="CO44" s="185"/>
      <c r="CP44" s="118"/>
      <c r="CQ44" s="118"/>
      <c r="CR44" s="111"/>
      <c r="CS44" s="103" t="b">
        <f>IF(CM57=22,17)</f>
        <v>0</v>
      </c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DE44" s="78"/>
    </row>
    <row r="45" spans="2:109" ht="21" hidden="1" thickBot="1" x14ac:dyDescent="0.25">
      <c r="B45" s="560"/>
      <c r="C45" s="560"/>
      <c r="G45" s="998"/>
      <c r="H45" s="1069" t="s">
        <v>263</v>
      </c>
      <c r="I45"/>
      <c r="J45" s="59"/>
      <c r="K45" s="59"/>
      <c r="L45" s="59"/>
      <c r="M45" s="59"/>
      <c r="N45"/>
      <c r="O45" s="995"/>
      <c r="BD45" s="600"/>
      <c r="BF45" s="136"/>
      <c r="BG45" s="136"/>
      <c r="BH45" s="136"/>
      <c r="BI45" s="136"/>
      <c r="BO45" s="86"/>
      <c r="BP45" s="1091"/>
      <c r="BQ45" s="177"/>
      <c r="BR45" s="177"/>
      <c r="BS45" s="178"/>
      <c r="BT45" s="177"/>
      <c r="BU45" s="177"/>
      <c r="BV45" s="177"/>
      <c r="CB45" s="182">
        <v>10</v>
      </c>
      <c r="CC45" s="178"/>
      <c r="CD45" s="177"/>
      <c r="CE45" s="117" t="b">
        <f>IF(CL57=21,3)</f>
        <v>0</v>
      </c>
      <c r="CF45" s="185"/>
      <c r="CG45" s="185"/>
      <c r="CH45" s="118"/>
      <c r="CI45" s="118"/>
      <c r="CJ45" s="118"/>
      <c r="CK45" s="185"/>
      <c r="CL45" s="185"/>
      <c r="CM45" s="185"/>
      <c r="CN45" s="118"/>
      <c r="CO45" s="185"/>
      <c r="CP45" s="118"/>
      <c r="CQ45" s="118"/>
      <c r="CR45" s="111"/>
      <c r="CS45" s="103" t="b">
        <f>IF(CL57=21,17)</f>
        <v>0</v>
      </c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DE45" s="78"/>
    </row>
    <row r="46" spans="2:109" ht="21" hidden="1" thickBot="1" x14ac:dyDescent="0.25">
      <c r="B46" s="560"/>
      <c r="C46" s="560"/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  <c r="BD46" s="600"/>
      <c r="BF46" s="136"/>
      <c r="BG46" s="136"/>
      <c r="BH46" s="136"/>
      <c r="BI46" s="136"/>
      <c r="BO46" s="86"/>
      <c r="BP46" s="1091"/>
      <c r="BQ46" s="177"/>
      <c r="BR46" s="177"/>
      <c r="BS46" s="178"/>
      <c r="BT46" s="177"/>
      <c r="BU46" s="177"/>
      <c r="BV46" s="177"/>
      <c r="CB46" s="182">
        <v>9</v>
      </c>
      <c r="CC46" s="117" t="b">
        <f>IF(CK57=20,1)</f>
        <v>0</v>
      </c>
      <c r="CD46" s="185"/>
      <c r="CE46" s="185"/>
      <c r="CF46" s="118"/>
      <c r="CG46" s="185"/>
      <c r="CH46" s="185"/>
      <c r="CI46" s="185"/>
      <c r="CJ46" s="185"/>
      <c r="CK46" s="185"/>
      <c r="CL46" s="185"/>
      <c r="CM46" s="185"/>
      <c r="CN46" s="185"/>
      <c r="CO46" s="185"/>
      <c r="CP46" s="118"/>
      <c r="CQ46" s="118"/>
      <c r="CR46" s="111"/>
      <c r="CS46" s="103" t="b">
        <f>IF(CK57=20,17)</f>
        <v>0</v>
      </c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DE46" s="78"/>
    </row>
    <row r="47" spans="2:109" ht="18" hidden="1" customHeight="1" thickBot="1" x14ac:dyDescent="0.3">
      <c r="B47" s="560"/>
      <c r="C47" s="560"/>
      <c r="G47" s="1002" t="s">
        <v>245</v>
      </c>
      <c r="H47" s="1079">
        <f>SUM(CR130:DB130)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  <c r="BD47" s="600"/>
      <c r="BF47" s="136"/>
      <c r="BG47" s="136"/>
      <c r="BH47" s="136"/>
      <c r="BI47" s="136"/>
      <c r="BO47" s="86"/>
      <c r="BP47" s="1091"/>
      <c r="BQ47" s="177"/>
      <c r="BR47" s="177"/>
      <c r="BS47" s="178"/>
      <c r="BT47" s="177"/>
      <c r="BU47" s="177"/>
      <c r="BV47" s="177"/>
      <c r="CB47" s="182">
        <v>8</v>
      </c>
      <c r="CC47" s="120" t="b">
        <f>IF(CJ57=19,1)</f>
        <v>0</v>
      </c>
      <c r="CD47" s="122"/>
      <c r="CE47" s="186"/>
      <c r="CF47" s="186"/>
      <c r="CG47" s="186"/>
      <c r="CH47" s="186"/>
      <c r="CI47" s="186"/>
      <c r="CJ47" s="186"/>
      <c r="CK47" s="186"/>
      <c r="CL47" s="186"/>
      <c r="CM47" s="186"/>
      <c r="CN47" s="186"/>
      <c r="CO47" s="186"/>
      <c r="CP47" s="122"/>
      <c r="CQ47" s="124" t="b">
        <f>IF(CJ57=19,15)</f>
        <v>0</v>
      </c>
      <c r="CR47" s="78"/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DE47" s="78"/>
    </row>
    <row r="48" spans="2:109" ht="24.75" hidden="1" customHeight="1" thickBot="1" x14ac:dyDescent="0.25">
      <c r="B48" s="560"/>
      <c r="C48" s="560"/>
      <c r="G48" s="994" t="s">
        <v>243</v>
      </c>
      <c r="H48" s="1077">
        <f>($E$2*(H47-1))-$H$4</f>
        <v>-903</v>
      </c>
      <c r="I48"/>
      <c r="J48" s="963">
        <f>+BR25/2</f>
        <v>81.5</v>
      </c>
      <c r="K48" s="963">
        <f>((H8-H48)/H8)*BR25/2</f>
        <v>423.8</v>
      </c>
      <c r="L48" s="963">
        <f>+H48/H8*BR25/2</f>
        <v>-342.3</v>
      </c>
      <c r="M48" s="961" t="s">
        <v>223</v>
      </c>
      <c r="N48"/>
      <c r="O48" s="995"/>
      <c r="BD48" s="600"/>
      <c r="BF48" s="136"/>
      <c r="BG48" s="136"/>
      <c r="BH48" s="136"/>
      <c r="BI48" s="136"/>
      <c r="BO48" s="86"/>
      <c r="BP48" s="1091"/>
      <c r="BQ48" s="177"/>
      <c r="BR48" s="177"/>
      <c r="BS48" s="178"/>
      <c r="BT48" s="177"/>
      <c r="BU48" s="177"/>
      <c r="BV48" s="177"/>
      <c r="CB48" s="182">
        <v>7</v>
      </c>
      <c r="CC48" s="120" t="b">
        <f>IF(CI57=18,1)</f>
        <v>0</v>
      </c>
      <c r="CD48" s="186"/>
      <c r="CE48" s="186"/>
      <c r="CF48" s="186"/>
      <c r="CG48" s="186"/>
      <c r="CH48" s="186"/>
      <c r="CI48" s="186"/>
      <c r="CJ48" s="186"/>
      <c r="CK48" s="186"/>
      <c r="CL48" s="186"/>
      <c r="CM48" s="186"/>
      <c r="CN48" s="186"/>
      <c r="CO48" s="124" t="b">
        <f>IF(CI57=18,13)</f>
        <v>0</v>
      </c>
      <c r="CP48" s="178"/>
      <c r="CR48" s="78"/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DE48" s="78"/>
    </row>
    <row r="49" spans="2:109" ht="18" hidden="1" customHeight="1" thickBot="1" x14ac:dyDescent="0.25">
      <c r="B49" s="560"/>
      <c r="C49" s="560"/>
      <c r="G49" s="998"/>
      <c r="H49"/>
      <c r="I49"/>
      <c r="J49" s="965">
        <f>ABS($H$1/J48)</f>
        <v>220.85889570552146</v>
      </c>
      <c r="K49" s="965">
        <f>ABS($H$1/K48)</f>
        <v>42.472864558754125</v>
      </c>
      <c r="L49" s="965">
        <f>ABS($H$1/L48)</f>
        <v>52.58545135845749</v>
      </c>
      <c r="M49" s="967" t="s">
        <v>222</v>
      </c>
      <c r="N49" s="74"/>
      <c r="O49" s="1010"/>
      <c r="BD49" s="600"/>
      <c r="BF49" s="136"/>
      <c r="BG49" s="136"/>
      <c r="BH49" s="136"/>
      <c r="BI49" s="136"/>
      <c r="BO49" s="86"/>
      <c r="BP49" s="1091"/>
      <c r="BQ49" s="177"/>
      <c r="BR49" s="177"/>
      <c r="BS49" s="178"/>
      <c r="BT49" s="177"/>
      <c r="BU49" s="177"/>
      <c r="BV49" s="177"/>
      <c r="CB49" s="182">
        <v>6</v>
      </c>
      <c r="CC49" s="120">
        <f>IF(CH57=17,1)</f>
        <v>1</v>
      </c>
      <c r="CD49" s="186"/>
      <c r="CE49" s="186"/>
      <c r="CF49" s="186"/>
      <c r="CG49" s="186"/>
      <c r="CH49" s="186"/>
      <c r="CI49" s="186"/>
      <c r="CJ49" s="186"/>
      <c r="CK49" s="186"/>
      <c r="CL49" s="186"/>
      <c r="CM49" s="124">
        <f>IF(CH57=17,11)</f>
        <v>11</v>
      </c>
      <c r="CN49" s="177"/>
      <c r="CO49" s="177"/>
      <c r="CP49" s="1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DE49" s="78"/>
    </row>
    <row r="50" spans="2:109" ht="23.25" hidden="1" customHeight="1" thickBot="1" x14ac:dyDescent="0.25">
      <c r="B50" s="560"/>
      <c r="C50" s="560"/>
      <c r="G50" s="998"/>
      <c r="H50"/>
      <c r="I50"/>
      <c r="J50" s="1733">
        <f>ABS($F$13/BR25)*2</f>
        <v>98.159509202453989</v>
      </c>
      <c r="K50" s="1733"/>
      <c r="L50" s="1733"/>
      <c r="M50" s="1734" t="s">
        <v>350</v>
      </c>
      <c r="N50" s="1730" t="s">
        <v>352</v>
      </c>
      <c r="O50" s="995"/>
      <c r="BD50" s="600"/>
      <c r="BF50" s="136"/>
      <c r="BG50" s="136"/>
      <c r="BH50" s="136"/>
      <c r="BI50" s="136"/>
      <c r="BO50" s="86"/>
      <c r="BP50" s="1091"/>
      <c r="BQ50" s="177"/>
      <c r="BR50" s="177"/>
      <c r="BS50" s="178"/>
      <c r="BT50" s="177"/>
      <c r="BU50" s="177"/>
      <c r="BV50" s="177"/>
      <c r="CB50" s="182">
        <v>5</v>
      </c>
      <c r="CC50" s="117" t="b">
        <f>IF(CG57=16,1)</f>
        <v>0</v>
      </c>
      <c r="CD50" s="185"/>
      <c r="CE50" s="185"/>
      <c r="CF50" s="118"/>
      <c r="CG50" s="185"/>
      <c r="CH50" s="118"/>
      <c r="CI50" s="185"/>
      <c r="CJ50" s="185"/>
      <c r="CK50" s="103" t="b">
        <f>IF(CG57=16,9)</f>
        <v>0</v>
      </c>
      <c r="CL50" s="177"/>
      <c r="CM50" s="177"/>
      <c r="CN50" s="177"/>
      <c r="CO50" s="177"/>
      <c r="CP50" s="1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DE50" s="78"/>
    </row>
    <row r="51" spans="2:109" ht="18" hidden="1" customHeight="1" thickBot="1" x14ac:dyDescent="0.25">
      <c r="B51" s="560"/>
      <c r="C51" s="560"/>
      <c r="G51" s="998"/>
      <c r="H51"/>
      <c r="I51"/>
      <c r="J51" s="59"/>
      <c r="K51" s="59"/>
      <c r="L51" s="59"/>
      <c r="M51" s="59"/>
      <c r="N51"/>
      <c r="O51" s="995"/>
      <c r="BD51" s="600"/>
      <c r="BF51" s="136"/>
      <c r="BG51" s="136"/>
      <c r="BH51" s="136"/>
      <c r="BI51" s="136"/>
      <c r="BO51" s="86"/>
      <c r="BP51" s="1091"/>
      <c r="BQ51" s="177"/>
      <c r="BR51" s="177"/>
      <c r="BS51" s="178"/>
      <c r="BT51" s="177"/>
      <c r="BU51" s="177"/>
      <c r="BV51" s="177"/>
      <c r="CB51" s="182">
        <v>4</v>
      </c>
      <c r="CC51" s="117" t="b">
        <f>IF(CF57=15,1)</f>
        <v>0</v>
      </c>
      <c r="CD51" s="118"/>
      <c r="CE51" s="118"/>
      <c r="CF51" s="185"/>
      <c r="CG51" s="118"/>
      <c r="CH51" s="118"/>
      <c r="CI51" s="103" t="b">
        <f>IF(CF57=15,7)</f>
        <v>0</v>
      </c>
      <c r="CJ51" s="177"/>
      <c r="CK51" s="177"/>
      <c r="CL51" s="177"/>
      <c r="CM51" s="177"/>
      <c r="CN51" s="177"/>
      <c r="CO51" s="177"/>
      <c r="CP51" s="1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DE51" s="78"/>
    </row>
    <row r="52" spans="2:109" ht="18" hidden="1" customHeight="1" thickBot="1" x14ac:dyDescent="0.25">
      <c r="B52" s="560"/>
      <c r="C52" s="560"/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  <c r="BD52" s="600"/>
      <c r="BF52" s="136"/>
      <c r="BG52" s="136"/>
      <c r="BH52" s="136"/>
      <c r="BI52" s="136"/>
      <c r="BO52" s="86"/>
      <c r="BP52" s="1091"/>
      <c r="BQ52" s="177"/>
      <c r="BR52" s="177"/>
      <c r="BS52" s="178"/>
      <c r="BT52" s="177"/>
      <c r="BU52" s="177"/>
      <c r="BV52" s="177"/>
      <c r="CB52" s="182">
        <v>3</v>
      </c>
      <c r="CC52" s="120" t="b">
        <f>IF(CE57=14,1)</f>
        <v>0</v>
      </c>
      <c r="CD52" s="186"/>
      <c r="CE52" s="186"/>
      <c r="CF52" s="186"/>
      <c r="CG52" s="124" t="b">
        <f>IF(CE57=14,5)</f>
        <v>0</v>
      </c>
      <c r="CH52" s="177"/>
      <c r="CI52" s="177"/>
      <c r="CJ52" s="177"/>
      <c r="CK52" s="177"/>
      <c r="CL52" s="177"/>
      <c r="CM52" s="177"/>
      <c r="CN52" s="177"/>
      <c r="CO52" s="177"/>
      <c r="CP52" s="1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DE52" s="78"/>
    </row>
    <row r="53" spans="2:109" ht="18" hidden="1" customHeight="1" thickBot="1" x14ac:dyDescent="0.3">
      <c r="B53" s="560"/>
      <c r="C53" s="560"/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D53" s="600"/>
      <c r="BF53" s="136"/>
      <c r="BG53" s="136"/>
      <c r="BH53" s="136"/>
      <c r="BI53" s="136"/>
      <c r="BO53" s="86"/>
      <c r="BP53" s="1091"/>
      <c r="BQ53" s="177"/>
      <c r="BR53" s="177"/>
      <c r="BS53" s="178"/>
      <c r="BT53" s="177"/>
      <c r="BU53" s="177"/>
      <c r="BV53" s="177"/>
      <c r="CB53" s="182">
        <v>2</v>
      </c>
      <c r="CC53" s="120" t="b">
        <f>IF(CD57=13,1)</f>
        <v>0</v>
      </c>
      <c r="CD53" s="186"/>
      <c r="CE53" s="124" t="b">
        <f>IF(CD57=13,3)</f>
        <v>0</v>
      </c>
      <c r="CF53" s="177"/>
      <c r="CG53" s="177"/>
      <c r="CH53" s="177"/>
      <c r="CI53" s="177"/>
      <c r="CJ53" s="177"/>
      <c r="CK53" s="177"/>
      <c r="CL53" s="177"/>
      <c r="CM53" s="177"/>
      <c r="CN53" s="177"/>
      <c r="CO53" s="177"/>
      <c r="CP53" s="1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DE53" s="78"/>
    </row>
    <row r="54" spans="2:109" ht="18" customHeight="1" thickBot="1" x14ac:dyDescent="0.25">
      <c r="B54" s="560"/>
      <c r="C54" s="560"/>
      <c r="G54" s="994" t="s">
        <v>243</v>
      </c>
      <c r="H54" s="956"/>
      <c r="I54"/>
      <c r="J54" s="963">
        <f>+((H6-D3)/H6)*BR25</f>
        <v>108.70688692034931</v>
      </c>
      <c r="K54" s="963"/>
      <c r="L54" s="963">
        <f>+(D3/H6)*BR25</f>
        <v>54.293113079650709</v>
      </c>
      <c r="M54" s="961" t="s">
        <v>223</v>
      </c>
      <c r="N54"/>
      <c r="O54" s="995"/>
      <c r="BD54" s="600"/>
      <c r="BF54" s="136"/>
      <c r="BG54" s="136"/>
      <c r="BH54" s="136"/>
      <c r="BI54" s="136"/>
      <c r="BO54" s="86"/>
      <c r="BP54" s="1091"/>
      <c r="BQ54" s="177"/>
      <c r="BR54" s="177"/>
      <c r="BS54" s="178"/>
      <c r="BT54" s="177"/>
      <c r="BU54" s="177"/>
      <c r="BV54" s="177"/>
      <c r="BW54" s="76"/>
      <c r="BX54" s="177"/>
      <c r="CB54" s="177"/>
      <c r="CC54" s="177"/>
      <c r="CD54" s="177"/>
      <c r="CE54" s="177"/>
      <c r="CF54" s="177"/>
      <c r="CG54" s="177"/>
      <c r="CH54" s="177"/>
      <c r="CI54" s="177"/>
      <c r="CJ54" s="177"/>
      <c r="CK54" s="177"/>
      <c r="CL54" s="177"/>
      <c r="CM54" s="178"/>
      <c r="CN54" s="107"/>
      <c r="CO54" s="107"/>
      <c r="CP54" s="107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DE54" s="78"/>
    </row>
    <row r="55" spans="2:109" ht="56" customHeight="1" thickBot="1" x14ac:dyDescent="0.3">
      <c r="B55" s="560"/>
      <c r="C55" s="560"/>
      <c r="G55" s="1000"/>
      <c r="H55" s="63"/>
      <c r="I55"/>
      <c r="J55" s="965">
        <f>ABS($H$1/J54)</f>
        <v>165.58288540806797</v>
      </c>
      <c r="K55" s="965"/>
      <c r="L55" s="965">
        <f>ABS($H$1/L54)</f>
        <v>331.53376144766463</v>
      </c>
      <c r="M55" s="967" t="s">
        <v>222</v>
      </c>
      <c r="N55"/>
      <c r="O55" s="995"/>
      <c r="BD55" s="600"/>
      <c r="BF55" s="136"/>
      <c r="BG55" s="136"/>
      <c r="BH55" s="136"/>
      <c r="BI55" s="136"/>
      <c r="BJ55" s="136"/>
      <c r="BL55" s="136"/>
      <c r="BM55" s="136"/>
      <c r="BN55" s="402"/>
      <c r="BO55" s="188"/>
      <c r="BP55" s="1095" t="s">
        <v>128</v>
      </c>
      <c r="BQ55" s="746" t="s">
        <v>125</v>
      </c>
      <c r="BR55" s="190"/>
      <c r="BS55" s="191"/>
      <c r="BT55" s="191"/>
      <c r="BU55" s="191"/>
      <c r="BV55" s="191"/>
      <c r="BW55" s="191"/>
      <c r="BX55" s="191"/>
      <c r="BY55" s="191"/>
      <c r="BZ55" s="191"/>
      <c r="CA55" s="191"/>
      <c r="CB55" s="191"/>
      <c r="CC55" s="758">
        <f>SUM(CC39:CC54)</f>
        <v>1</v>
      </c>
      <c r="CD55" s="759">
        <f t="shared" ref="CD55:CS55" si="0">SUM(CD39:CD54)</f>
        <v>0</v>
      </c>
      <c r="CE55" s="759">
        <f t="shared" si="0"/>
        <v>0</v>
      </c>
      <c r="CF55" s="759">
        <f t="shared" si="0"/>
        <v>0</v>
      </c>
      <c r="CG55" s="759">
        <f t="shared" si="0"/>
        <v>0</v>
      </c>
      <c r="CH55" s="759">
        <f t="shared" si="0"/>
        <v>0</v>
      </c>
      <c r="CI55" s="759">
        <f t="shared" si="0"/>
        <v>0</v>
      </c>
      <c r="CJ55" s="759">
        <f t="shared" si="0"/>
        <v>0</v>
      </c>
      <c r="CK55" s="759">
        <f t="shared" si="0"/>
        <v>0</v>
      </c>
      <c r="CL55" s="759">
        <f t="shared" si="0"/>
        <v>0</v>
      </c>
      <c r="CM55" s="759">
        <f t="shared" si="0"/>
        <v>11</v>
      </c>
      <c r="CN55" s="759">
        <f t="shared" si="0"/>
        <v>0</v>
      </c>
      <c r="CO55" s="759">
        <f t="shared" si="0"/>
        <v>0</v>
      </c>
      <c r="CP55" s="759">
        <f t="shared" si="0"/>
        <v>0</v>
      </c>
      <c r="CQ55" s="759">
        <f t="shared" si="0"/>
        <v>0</v>
      </c>
      <c r="CR55" s="759">
        <f t="shared" si="0"/>
        <v>0</v>
      </c>
      <c r="CS55" s="760">
        <f t="shared" si="0"/>
        <v>0</v>
      </c>
      <c r="CT55" s="191"/>
      <c r="CU55" s="191"/>
      <c r="CV55" s="192"/>
      <c r="CW55" s="192"/>
      <c r="CX55" s="192"/>
      <c r="CY55" s="192"/>
      <c r="CZ55" s="192"/>
      <c r="DA55" s="192"/>
      <c r="DB55" s="193"/>
      <c r="DC55" s="89"/>
      <c r="DD55" s="78"/>
      <c r="DE55" s="78"/>
    </row>
    <row r="56" spans="2:109" ht="45" customHeight="1" thickBot="1" x14ac:dyDescent="0.3">
      <c r="B56" s="560"/>
      <c r="C56" s="560"/>
      <c r="G56" s="1000"/>
      <c r="H56" s="63"/>
      <c r="I56" s="74"/>
      <c r="J56" s="1733">
        <f>ABS($F$13/BR25)*2</f>
        <v>98.159509202453989</v>
      </c>
      <c r="K56" s="1733"/>
      <c r="L56" s="1733"/>
      <c r="M56" s="1734" t="s">
        <v>350</v>
      </c>
      <c r="N56" s="1730" t="s">
        <v>352</v>
      </c>
      <c r="O56" s="995"/>
      <c r="P56" s="968">
        <v>4</v>
      </c>
      <c r="BD56" s="600"/>
      <c r="BF56" s="136"/>
      <c r="BG56" s="136"/>
      <c r="BH56" s="136"/>
      <c r="BI56" s="136"/>
      <c r="BJ56" s="136"/>
      <c r="BK56" s="136"/>
      <c r="BL56" s="136"/>
      <c r="BM56" s="136"/>
      <c r="BN56" s="1762" t="b">
        <f>AND(BP56&gt;=10,$BA$148&gt;=10,$AZ$148&gt;=10,$AZ$179&gt;=10,$BA$179&gt;=10)</f>
        <v>1</v>
      </c>
      <c r="BO56" s="84" t="str">
        <f>IF(BN56=TRUE,"O K","OVERLOAD")</f>
        <v>O K</v>
      </c>
      <c r="BP56" s="982">
        <f>+$F$13/(BR25/2)</f>
        <v>98.159509202453989</v>
      </c>
      <c r="BQ56" s="194"/>
      <c r="BR56" s="107"/>
      <c r="BS56" s="108"/>
      <c r="BT56" s="107"/>
      <c r="BU56" s="107"/>
      <c r="BV56" s="107"/>
      <c r="BW56" s="108"/>
      <c r="BX56" s="107"/>
      <c r="BY56" s="107"/>
      <c r="BZ56" s="107"/>
      <c r="CA56" s="107"/>
      <c r="CB56" s="107"/>
      <c r="CC56" s="107"/>
      <c r="CD56" s="107"/>
      <c r="CE56" s="107"/>
      <c r="CF56" s="107"/>
      <c r="CG56" s="107"/>
      <c r="CH56" s="107"/>
      <c r="CI56" s="107"/>
      <c r="CJ56" s="107"/>
      <c r="CK56" s="107"/>
      <c r="CL56" s="107"/>
      <c r="CM56" s="107"/>
      <c r="CN56" s="107"/>
      <c r="CO56" s="107"/>
      <c r="CP56" s="107"/>
      <c r="CQ56" s="107"/>
      <c r="CR56" s="107"/>
      <c r="CS56" s="107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  <c r="DE56" s="78"/>
    </row>
    <row r="57" spans="2:109" ht="20" hidden="1" x14ac:dyDescent="0.2">
      <c r="B57" s="560"/>
      <c r="C57" s="560"/>
      <c r="G57" s="998"/>
      <c r="H57"/>
      <c r="I57"/>
      <c r="J57"/>
      <c r="K57"/>
      <c r="L57"/>
      <c r="M57"/>
      <c r="N57"/>
      <c r="O57" s="995"/>
      <c r="BD57" s="600"/>
      <c r="BF57" s="136"/>
      <c r="BG57" s="136"/>
      <c r="BH57" s="136"/>
      <c r="BI57" s="136"/>
      <c r="BJ57" s="136"/>
      <c r="BK57" s="136"/>
      <c r="BL57" s="136"/>
      <c r="BM57" s="136"/>
      <c r="BN57" s="402"/>
      <c r="BO57" s="188"/>
      <c r="BP57" s="1091"/>
      <c r="BQ57" s="76"/>
      <c r="BR57" s="195" t="b">
        <f>+BL69</f>
        <v>0</v>
      </c>
      <c r="BS57" s="195" t="b">
        <f>+BL70</f>
        <v>0</v>
      </c>
      <c r="BT57" s="195" t="b">
        <f>+BL71</f>
        <v>0</v>
      </c>
      <c r="BU57" s="195" t="b">
        <f>+BL72</f>
        <v>0</v>
      </c>
      <c r="BV57" s="195" t="b">
        <f>+BL73</f>
        <v>0</v>
      </c>
      <c r="BW57" s="195" t="b">
        <f>+BL74</f>
        <v>0</v>
      </c>
      <c r="BX57" s="195" t="b">
        <f>+BL75</f>
        <v>0</v>
      </c>
      <c r="BY57" s="195" t="b">
        <f>+BL76</f>
        <v>0</v>
      </c>
      <c r="BZ57" s="195" t="b">
        <f>+BL77</f>
        <v>0</v>
      </c>
      <c r="CA57" s="195" t="b">
        <f>+BL78</f>
        <v>0</v>
      </c>
      <c r="CB57" s="195" t="b">
        <f>+BL79</f>
        <v>0</v>
      </c>
      <c r="CC57" s="195" t="b">
        <f>+BL80</f>
        <v>0</v>
      </c>
      <c r="CD57" s="195" t="b">
        <f>+BL81</f>
        <v>0</v>
      </c>
      <c r="CE57" s="195" t="b">
        <f>+BL82</f>
        <v>0</v>
      </c>
      <c r="CF57" s="195" t="b">
        <f>+BL83</f>
        <v>0</v>
      </c>
      <c r="CG57" s="195" t="b">
        <f>+BL84</f>
        <v>0</v>
      </c>
      <c r="CH57" s="195">
        <f>+BL85</f>
        <v>17</v>
      </c>
      <c r="CI57" s="195" t="b">
        <f>+BL86</f>
        <v>0</v>
      </c>
      <c r="CJ57" s="195" t="b">
        <f>+BL87</f>
        <v>0</v>
      </c>
      <c r="CK57" s="195" t="b">
        <f>+BL88</f>
        <v>0</v>
      </c>
      <c r="CL57" s="195" t="b">
        <f>+BL89</f>
        <v>0</v>
      </c>
      <c r="CM57" s="195" t="b">
        <f>+BL90</f>
        <v>0</v>
      </c>
      <c r="CN57" s="195" t="b">
        <f>+BL91</f>
        <v>0</v>
      </c>
      <c r="CO57" s="195" t="b">
        <f>+BL92</f>
        <v>0</v>
      </c>
      <c r="CP57" s="195" t="b">
        <f>+BL134</f>
        <v>0</v>
      </c>
      <c r="CQ57" s="195" t="b">
        <f>+BL135</f>
        <v>0</v>
      </c>
      <c r="CR57" s="195" t="b">
        <f>+BL136</f>
        <v>0</v>
      </c>
      <c r="CS57" s="195" t="b">
        <f>+BL137</f>
        <v>0</v>
      </c>
      <c r="CT57" s="195" t="b">
        <f>+BL138</f>
        <v>0</v>
      </c>
      <c r="CU57" s="195" t="b">
        <f>+BL139</f>
        <v>0</v>
      </c>
      <c r="CV57" s="195" t="b">
        <f>+BL140</f>
        <v>0</v>
      </c>
      <c r="CW57" s="195" t="b">
        <f>+BL141</f>
        <v>0</v>
      </c>
      <c r="CX57" s="195" t="b">
        <f>+BL142</f>
        <v>0</v>
      </c>
      <c r="CY57" s="195" t="b">
        <f>+BL143</f>
        <v>0</v>
      </c>
      <c r="CZ57" s="195" t="b">
        <f>+BL144</f>
        <v>0</v>
      </c>
      <c r="DA57" s="195" t="b">
        <f>+BL145</f>
        <v>0</v>
      </c>
      <c r="DB57" s="195" t="b">
        <f>+BL146</f>
        <v>0</v>
      </c>
      <c r="DC57" s="196"/>
      <c r="DD57" s="78"/>
      <c r="DE57" s="78"/>
    </row>
    <row r="58" spans="2:109" ht="20" hidden="1" x14ac:dyDescent="0.2">
      <c r="B58" s="560"/>
      <c r="C58" s="560"/>
      <c r="G58" s="998"/>
      <c r="H58"/>
      <c r="I58"/>
      <c r="J58"/>
      <c r="K58"/>
      <c r="L58"/>
      <c r="M58"/>
      <c r="N58"/>
      <c r="O58" s="995"/>
      <c r="BD58" s="600"/>
      <c r="BF58" s="136"/>
      <c r="BG58" s="136"/>
      <c r="BH58" s="136"/>
      <c r="BI58" s="136"/>
      <c r="BJ58" s="136"/>
      <c r="BK58" s="136"/>
      <c r="BL58" s="136"/>
      <c r="BM58" s="136"/>
      <c r="BN58" s="402"/>
      <c r="BO58" s="188"/>
      <c r="BP58" s="1091"/>
      <c r="BQ58" s="78"/>
      <c r="BR58" s="196" t="b">
        <f>+BR57</f>
        <v>0</v>
      </c>
      <c r="BS58" s="196" t="b">
        <f t="shared" ref="BS58:CJ58" si="1">+BS57</f>
        <v>0</v>
      </c>
      <c r="BT58" s="196" t="b">
        <f t="shared" si="1"/>
        <v>0</v>
      </c>
      <c r="BU58" s="196" t="b">
        <f t="shared" si="1"/>
        <v>0</v>
      </c>
      <c r="BV58" s="196" t="b">
        <f t="shared" si="1"/>
        <v>0</v>
      </c>
      <c r="BW58" s="196" t="b">
        <f t="shared" si="1"/>
        <v>0</v>
      </c>
      <c r="BX58" s="196" t="b">
        <f>+BX57</f>
        <v>0</v>
      </c>
      <c r="BY58" s="196" t="b">
        <f t="shared" si="1"/>
        <v>0</v>
      </c>
      <c r="BZ58" s="196" t="b">
        <f t="shared" si="1"/>
        <v>0</v>
      </c>
      <c r="CA58" s="196" t="b">
        <f t="shared" si="1"/>
        <v>0</v>
      </c>
      <c r="CB58" s="196" t="b">
        <f t="shared" si="1"/>
        <v>0</v>
      </c>
      <c r="CC58" s="196" t="b">
        <f>+CC57</f>
        <v>0</v>
      </c>
      <c r="CD58" s="196" t="b">
        <f>+CD57</f>
        <v>0</v>
      </c>
      <c r="CE58" s="196" t="b">
        <f>+CE57</f>
        <v>0</v>
      </c>
      <c r="CF58" s="196" t="b">
        <f>+CF57</f>
        <v>0</v>
      </c>
      <c r="CG58" s="196" t="b">
        <f>+CG57</f>
        <v>0</v>
      </c>
      <c r="CH58" s="196">
        <f t="shared" si="1"/>
        <v>17</v>
      </c>
      <c r="CI58" s="196" t="b">
        <f t="shared" si="1"/>
        <v>0</v>
      </c>
      <c r="CJ58" s="196" t="b">
        <f t="shared" si="1"/>
        <v>0</v>
      </c>
      <c r="CK58" s="196" t="b">
        <f>+CK57</f>
        <v>0</v>
      </c>
      <c r="CL58" s="196" t="b">
        <f>+CL57</f>
        <v>0</v>
      </c>
      <c r="CM58" s="196" t="b">
        <f t="shared" ref="CM58:DB58" si="2">+CM57</f>
        <v>0</v>
      </c>
      <c r="CN58" s="196" t="b">
        <f t="shared" si="2"/>
        <v>0</v>
      </c>
      <c r="CO58" s="196" t="b">
        <f t="shared" si="2"/>
        <v>0</v>
      </c>
      <c r="CP58" s="196" t="b">
        <f t="shared" si="2"/>
        <v>0</v>
      </c>
      <c r="CQ58" s="196" t="b">
        <f t="shared" si="2"/>
        <v>0</v>
      </c>
      <c r="CR58" s="196" t="b">
        <f t="shared" si="2"/>
        <v>0</v>
      </c>
      <c r="CS58" s="196" t="b">
        <f t="shared" si="2"/>
        <v>0</v>
      </c>
      <c r="CT58" s="196" t="b">
        <f t="shared" si="2"/>
        <v>0</v>
      </c>
      <c r="CU58" s="196" t="b">
        <f t="shared" si="2"/>
        <v>0</v>
      </c>
      <c r="CV58" s="196" t="b">
        <f t="shared" si="2"/>
        <v>0</v>
      </c>
      <c r="CW58" s="196" t="b">
        <f t="shared" si="2"/>
        <v>0</v>
      </c>
      <c r="CX58" s="196" t="b">
        <f t="shared" si="2"/>
        <v>0</v>
      </c>
      <c r="CY58" s="196" t="b">
        <f t="shared" si="2"/>
        <v>0</v>
      </c>
      <c r="CZ58" s="196" t="b">
        <f t="shared" si="2"/>
        <v>0</v>
      </c>
      <c r="DA58" s="196" t="b">
        <f t="shared" si="2"/>
        <v>0</v>
      </c>
      <c r="DB58" s="196" t="b">
        <f t="shared" si="2"/>
        <v>0</v>
      </c>
      <c r="DC58" s="196"/>
      <c r="DD58" s="78"/>
      <c r="DE58" s="78"/>
    </row>
    <row r="59" spans="2:109" ht="19.5" customHeight="1" thickBot="1" x14ac:dyDescent="0.25">
      <c r="B59" s="560"/>
      <c r="C59" s="560"/>
      <c r="G59" s="998"/>
      <c r="H59"/>
      <c r="I59"/>
      <c r="J59"/>
      <c r="K59"/>
      <c r="L59"/>
      <c r="M59"/>
      <c r="N59"/>
      <c r="O59" s="995"/>
      <c r="BD59" s="600"/>
      <c r="BF59" s="136"/>
      <c r="BG59" s="136"/>
      <c r="BH59" s="136"/>
      <c r="BI59" s="136"/>
      <c r="BJ59" s="136"/>
      <c r="BK59" s="136"/>
      <c r="BL59" s="136"/>
      <c r="BM59" s="136"/>
      <c r="BN59" s="402"/>
      <c r="BO59" s="188"/>
      <c r="BP59" s="1091"/>
      <c r="BQ59" s="78"/>
      <c r="BR59" s="196"/>
      <c r="BS59" s="196"/>
      <c r="BT59" s="196"/>
      <c r="BU59" s="196"/>
      <c r="BV59" s="196"/>
      <c r="BW59" s="196"/>
      <c r="BX59" s="196"/>
      <c r="BY59" s="196"/>
      <c r="BZ59" s="196"/>
      <c r="CA59" s="196"/>
      <c r="CB59" s="196"/>
      <c r="CC59" s="196"/>
      <c r="CD59" s="196"/>
      <c r="CE59" s="196"/>
      <c r="CF59" s="196"/>
      <c r="CG59" s="196"/>
      <c r="CH59" s="196"/>
      <c r="CI59" s="196"/>
      <c r="CJ59" s="196"/>
      <c r="CK59" s="196"/>
      <c r="CL59" s="196"/>
      <c r="CM59" s="196"/>
      <c r="CN59" s="196"/>
      <c r="CO59" s="196"/>
      <c r="CP59" s="196"/>
      <c r="CQ59" s="196"/>
      <c r="CR59" s="196"/>
      <c r="CS59" s="196"/>
      <c r="CT59" s="196"/>
      <c r="CU59" s="196"/>
      <c r="CV59" s="196"/>
      <c r="CW59" s="196"/>
      <c r="CX59" s="196"/>
      <c r="CY59" s="196"/>
      <c r="CZ59" s="196"/>
      <c r="DA59" s="196"/>
      <c r="DB59" s="196"/>
      <c r="DC59" s="196"/>
      <c r="DD59" s="78"/>
      <c r="DE59" s="78"/>
    </row>
    <row r="60" spans="2:109" ht="56" customHeight="1" thickBot="1" x14ac:dyDescent="0.3">
      <c r="B60" s="560"/>
      <c r="C60" s="560"/>
      <c r="G60" s="998"/>
      <c r="H60"/>
      <c r="I60"/>
      <c r="J60"/>
      <c r="K60"/>
      <c r="L60"/>
      <c r="M60"/>
      <c r="N60"/>
      <c r="O60" s="995"/>
      <c r="BC60" s="600"/>
      <c r="BD60" s="600"/>
      <c r="BF60" s="136"/>
      <c r="BG60" s="136"/>
      <c r="BH60" s="136"/>
      <c r="BI60" s="136"/>
      <c r="BJ60" s="136"/>
      <c r="BK60" s="136"/>
      <c r="BL60" s="136"/>
      <c r="BM60" s="136"/>
      <c r="BN60" s="402"/>
      <c r="BO60" s="188"/>
      <c r="BP60" s="1095" t="s">
        <v>128</v>
      </c>
      <c r="BQ60" s="197" t="s">
        <v>129</v>
      </c>
      <c r="BR60" s="748" t="str">
        <f>IF(BR58=1,17,"")</f>
        <v/>
      </c>
      <c r="BS60" s="749" t="str">
        <f>IF(BS58=2,16,"")</f>
        <v/>
      </c>
      <c r="BT60" s="749" t="str">
        <f>IF(BT58=3,15,"")</f>
        <v/>
      </c>
      <c r="BU60" s="749" t="str">
        <f>IF(BU58=4,14,"")</f>
        <v/>
      </c>
      <c r="BV60" s="749" t="str">
        <f>IF(BV58=5,13,"")</f>
        <v/>
      </c>
      <c r="BW60" s="749" t="str">
        <f>IF(BW58=6,12,"")</f>
        <v/>
      </c>
      <c r="BX60" s="749" t="str">
        <f>IF(BX58=7,11,"")</f>
        <v/>
      </c>
      <c r="BY60" s="749" t="str">
        <f>IF(BY58=8,10,"")</f>
        <v/>
      </c>
      <c r="BZ60" s="749" t="str">
        <f>IF(BZ58=9,9,"")</f>
        <v/>
      </c>
      <c r="CA60" s="749" t="str">
        <f>IF(CA58=10,8,"")</f>
        <v/>
      </c>
      <c r="CB60" s="749" t="str">
        <f>IF(CB58=11,7,"")</f>
        <v/>
      </c>
      <c r="CC60" s="928" t="str">
        <f>IF(CC58=12,1,"")</f>
        <v/>
      </c>
      <c r="CD60" s="747" t="str">
        <f>IF(CD58=13,2,"")</f>
        <v/>
      </c>
      <c r="CE60" s="747" t="str">
        <f>IF(CE58=14,3,"")</f>
        <v/>
      </c>
      <c r="CF60" s="747" t="str">
        <f>IF(CF58=15,4,"")</f>
        <v/>
      </c>
      <c r="CG60" s="747" t="str">
        <f>IF(CG58=16,5,"")</f>
        <v/>
      </c>
      <c r="CH60" s="747">
        <f>IF(CH58=17,6,"")</f>
        <v>6</v>
      </c>
      <c r="CI60" s="747" t="str">
        <f>IF(CI58=18,7,"")</f>
        <v/>
      </c>
      <c r="CJ60" s="747" t="str">
        <f>IF(CJ58=19,8,"")</f>
        <v/>
      </c>
      <c r="CK60" s="747" t="str">
        <f>IF(CK58=20,9,"")</f>
        <v/>
      </c>
      <c r="CL60" s="747" t="str">
        <f>IF(CL58=21,10,"")</f>
        <v/>
      </c>
      <c r="CM60" s="747" t="str">
        <f>IF(CM58=22,11,"")</f>
        <v/>
      </c>
      <c r="CN60" s="747" t="str">
        <f>IF(CN58=23,12,"")</f>
        <v/>
      </c>
      <c r="CO60" s="747" t="str">
        <f>IF(CO58=24,13,"")</f>
        <v/>
      </c>
      <c r="CP60" s="747" t="str">
        <f>IF(CP58=25,14,"")</f>
        <v/>
      </c>
      <c r="CQ60" s="747" t="str">
        <f>IF(CQ58=26,15,"")</f>
        <v/>
      </c>
      <c r="CR60" s="747" t="str">
        <f>IF(CR58=27,16,"")</f>
        <v/>
      </c>
      <c r="CS60" s="929" t="str">
        <f>IF(CS58=28,17,"")</f>
        <v/>
      </c>
      <c r="CT60" s="756" t="str">
        <f>IF(CT58=29,9,"")</f>
        <v/>
      </c>
      <c r="CU60" s="756" t="str">
        <f>IF(CU58=30,10,"")</f>
        <v/>
      </c>
      <c r="CV60" s="756" t="str">
        <f>IF(CV58=31,11,"")</f>
        <v/>
      </c>
      <c r="CW60" s="756" t="str">
        <f>IF(CW58=32,12,"")</f>
        <v/>
      </c>
      <c r="CX60" s="756" t="str">
        <f>IF(CX58=33,13,"")</f>
        <v/>
      </c>
      <c r="CY60" s="756" t="str">
        <f>IF(CY58=34,14,"")</f>
        <v/>
      </c>
      <c r="CZ60" s="756" t="str">
        <f>IF(CZ58=35,15,"")</f>
        <v/>
      </c>
      <c r="DA60" s="756" t="str">
        <f>IF(DA58=36,16,"")</f>
        <v/>
      </c>
      <c r="DB60" s="757" t="str">
        <f>IF(DB58=37,17,"")</f>
        <v/>
      </c>
      <c r="DC60" s="198"/>
      <c r="DD60" s="78"/>
      <c r="DE60" s="78"/>
    </row>
    <row r="61" spans="2:109" ht="45" customHeight="1" thickBot="1" x14ac:dyDescent="0.3">
      <c r="B61" s="560"/>
      <c r="C61" s="560"/>
      <c r="G61" s="998"/>
      <c r="H61"/>
      <c r="I61"/>
      <c r="J61"/>
      <c r="K61"/>
      <c r="L61"/>
      <c r="M61"/>
      <c r="N61"/>
      <c r="O61" s="995"/>
      <c r="P61" s="968">
        <v>5</v>
      </c>
      <c r="BC61" s="600"/>
      <c r="BD61" s="600"/>
      <c r="BF61" s="136"/>
      <c r="BG61" s="136"/>
      <c r="BH61" s="136"/>
      <c r="BI61" s="136"/>
      <c r="BJ61" s="136"/>
      <c r="BK61" s="136"/>
      <c r="BL61" s="136"/>
      <c r="BM61" s="136"/>
      <c r="BN61" s="1762" t="b">
        <f>AND(BP61&gt;=10,$BA$148&gt;=10,$AZ$148&gt;=10,$AZ$179&gt;=10,$BA$179&gt;=10)</f>
        <v>1</v>
      </c>
      <c r="BO61" s="84" t="str">
        <f>IF(BN61=TRUE,"O K","OVERLOAD")</f>
        <v>O K</v>
      </c>
      <c r="BP61" s="982">
        <f>IF(SUM(BR60:CB60)&gt;0,K85,0)+IF(SUM(CC60:CS60)&gt;0,L85,0)+IF(SUM(CT60:DB60)&gt;0,M85,0)</f>
        <v>49.079754601226995</v>
      </c>
      <c r="BQ61" s="788" t="s">
        <v>185</v>
      </c>
      <c r="BR61" s="789">
        <v>-10</v>
      </c>
      <c r="BS61" s="789">
        <v>-9</v>
      </c>
      <c r="BT61" s="789">
        <v>-8</v>
      </c>
      <c r="BU61" s="789">
        <v>-7</v>
      </c>
      <c r="BV61" s="789">
        <v>-6</v>
      </c>
      <c r="BW61" s="789">
        <v>-5</v>
      </c>
      <c r="BX61" s="789">
        <v>-4</v>
      </c>
      <c r="BY61" s="789">
        <v>-3</v>
      </c>
      <c r="BZ61" s="789">
        <v>-2</v>
      </c>
      <c r="CA61" s="789">
        <v>-1</v>
      </c>
      <c r="CB61" s="789">
        <v>0</v>
      </c>
      <c r="CC61" s="789">
        <v>1</v>
      </c>
      <c r="CD61" s="789">
        <v>2</v>
      </c>
      <c r="CE61" s="789">
        <v>3</v>
      </c>
      <c r="CF61" s="789">
        <v>4</v>
      </c>
      <c r="CG61" s="789">
        <v>5</v>
      </c>
      <c r="CH61" s="789">
        <v>6</v>
      </c>
      <c r="CI61" s="789">
        <v>7</v>
      </c>
      <c r="CJ61" s="789">
        <v>8</v>
      </c>
      <c r="CK61" s="789">
        <v>9</v>
      </c>
      <c r="CL61" s="789">
        <v>10</v>
      </c>
      <c r="CM61" s="789">
        <v>11</v>
      </c>
      <c r="CN61" s="789">
        <v>12</v>
      </c>
      <c r="CO61" s="789">
        <v>13</v>
      </c>
      <c r="CP61" s="789">
        <v>14</v>
      </c>
      <c r="CQ61" s="789">
        <v>15</v>
      </c>
      <c r="CR61" s="789">
        <v>16</v>
      </c>
      <c r="CS61" s="789">
        <v>17</v>
      </c>
      <c r="CT61" s="789">
        <v>18</v>
      </c>
      <c r="CU61" s="789">
        <v>19</v>
      </c>
      <c r="CV61" s="789">
        <v>20</v>
      </c>
      <c r="CW61" s="789">
        <v>21</v>
      </c>
      <c r="CX61" s="789">
        <v>22</v>
      </c>
      <c r="CY61" s="789">
        <v>23</v>
      </c>
      <c r="CZ61" s="789">
        <v>24</v>
      </c>
      <c r="DA61" s="789">
        <v>25</v>
      </c>
      <c r="DB61" s="791">
        <v>26</v>
      </c>
      <c r="DC61" s="198"/>
      <c r="DD61" s="78"/>
      <c r="DE61" s="78"/>
    </row>
    <row r="62" spans="2:109" ht="24.75" hidden="1" customHeight="1" x14ac:dyDescent="0.2">
      <c r="B62" s="560"/>
      <c r="C62" s="560"/>
      <c r="G62" s="998"/>
      <c r="H62"/>
      <c r="I62"/>
      <c r="J62"/>
      <c r="K62"/>
      <c r="L62"/>
      <c r="M62"/>
      <c r="N62"/>
      <c r="O62" s="995"/>
      <c r="BC62" s="600"/>
      <c r="BD62" s="600"/>
      <c r="BF62" s="136"/>
      <c r="BG62" s="136"/>
      <c r="BH62" s="136"/>
      <c r="BI62" s="136"/>
      <c r="BJ62" s="136"/>
      <c r="BK62" s="136"/>
      <c r="BL62" s="136"/>
      <c r="BM62" s="136"/>
      <c r="BN62" s="402"/>
      <c r="BO62" s="136"/>
      <c r="BQ62" s="78"/>
      <c r="BR62" s="199">
        <v>1</v>
      </c>
      <c r="BS62" s="199">
        <v>2</v>
      </c>
      <c r="BT62" s="199">
        <v>3</v>
      </c>
      <c r="BU62" s="199">
        <v>4</v>
      </c>
      <c r="BV62" s="199">
        <v>5</v>
      </c>
      <c r="BW62" s="199">
        <v>6</v>
      </c>
      <c r="BX62" s="199">
        <v>7</v>
      </c>
      <c r="BY62" s="199">
        <v>8</v>
      </c>
      <c r="BZ62" s="199">
        <v>9</v>
      </c>
      <c r="CA62" s="199">
        <v>10</v>
      </c>
      <c r="CB62" s="199">
        <v>11</v>
      </c>
      <c r="CC62" s="199">
        <v>12</v>
      </c>
      <c r="CD62" s="199">
        <v>13</v>
      </c>
      <c r="CE62" s="199">
        <v>14</v>
      </c>
      <c r="CF62" s="199">
        <v>15</v>
      </c>
      <c r="CG62" s="199">
        <v>16</v>
      </c>
      <c r="CH62" s="199">
        <v>17</v>
      </c>
      <c r="CI62" s="199">
        <v>18</v>
      </c>
      <c r="CJ62" s="199">
        <v>19</v>
      </c>
      <c r="CK62" s="199">
        <v>20</v>
      </c>
      <c r="CL62" s="199">
        <v>21</v>
      </c>
      <c r="CM62" s="199">
        <v>22</v>
      </c>
      <c r="CN62" s="199">
        <v>23</v>
      </c>
      <c r="CO62" s="199">
        <v>24</v>
      </c>
      <c r="CP62" s="199">
        <v>25</v>
      </c>
      <c r="CQ62" s="199">
        <v>26</v>
      </c>
      <c r="CR62" s="199">
        <v>27</v>
      </c>
      <c r="CS62" s="199">
        <v>28</v>
      </c>
      <c r="CT62" s="199">
        <v>29</v>
      </c>
      <c r="CU62" s="199">
        <v>30</v>
      </c>
      <c r="CV62" s="199">
        <v>31</v>
      </c>
      <c r="CW62" s="199">
        <v>32</v>
      </c>
      <c r="CX62" s="199">
        <v>33</v>
      </c>
      <c r="CY62" s="199">
        <v>34</v>
      </c>
      <c r="CZ62" s="199">
        <v>35</v>
      </c>
      <c r="DA62" s="199">
        <v>36</v>
      </c>
      <c r="DB62" s="199">
        <v>37</v>
      </c>
      <c r="DC62" s="199"/>
      <c r="DD62" s="78"/>
      <c r="DE62" s="78"/>
    </row>
    <row r="63" spans="2:109" ht="20" hidden="1" x14ac:dyDescent="0.2">
      <c r="B63" s="560"/>
      <c r="C63" s="560"/>
      <c r="G63" s="998"/>
      <c r="H63"/>
      <c r="I63"/>
      <c r="J63"/>
      <c r="K63"/>
      <c r="L63"/>
      <c r="M63"/>
      <c r="N63"/>
      <c r="O63" s="995"/>
      <c r="BC63" s="600"/>
      <c r="BE63" s="66"/>
      <c r="BF63" s="136"/>
      <c r="BG63" s="136"/>
      <c r="BH63" s="136"/>
      <c r="BI63" s="136"/>
      <c r="BJ63" s="136"/>
      <c r="BK63" s="136"/>
      <c r="BL63" s="136"/>
      <c r="BM63" s="136"/>
      <c r="BN63" s="402"/>
      <c r="BO63" s="136"/>
      <c r="BP63" s="1091"/>
      <c r="BQ63" s="78"/>
      <c r="BR63" s="199"/>
      <c r="BS63" s="199"/>
      <c r="BT63" s="199"/>
      <c r="BU63" s="199"/>
      <c r="BV63" s="199"/>
      <c r="BW63" s="199"/>
      <c r="BX63" s="199"/>
      <c r="BY63" s="199"/>
      <c r="BZ63" s="199"/>
      <c r="CA63" s="199"/>
      <c r="CB63" s="199"/>
      <c r="CC63" s="199"/>
      <c r="CD63" s="199"/>
      <c r="CE63" s="199"/>
      <c r="CF63" s="199"/>
      <c r="CG63" s="199"/>
      <c r="CH63" s="199"/>
      <c r="CI63" s="199"/>
      <c r="CJ63" s="199"/>
      <c r="CK63" s="199"/>
      <c r="CL63" s="199"/>
      <c r="CM63" s="199"/>
      <c r="CN63" s="199"/>
      <c r="CO63" s="199"/>
      <c r="CP63" s="199"/>
      <c r="CQ63" s="199"/>
      <c r="CR63" s="199"/>
      <c r="CS63" s="199"/>
      <c r="CT63" s="199"/>
      <c r="CU63" s="199"/>
      <c r="CV63" s="199"/>
      <c r="CW63" s="199"/>
      <c r="CX63" s="199"/>
      <c r="CY63" s="199"/>
      <c r="CZ63" s="199"/>
      <c r="DA63" s="199"/>
      <c r="DB63" s="199"/>
      <c r="DC63" s="199"/>
    </row>
    <row r="64" spans="2:109" ht="20" hidden="1" x14ac:dyDescent="0.2">
      <c r="B64" s="560"/>
      <c r="C64" s="560"/>
      <c r="G64" s="998"/>
      <c r="H64"/>
      <c r="I64"/>
      <c r="J64"/>
      <c r="K64"/>
      <c r="L64"/>
      <c r="M64"/>
      <c r="N64"/>
      <c r="O64" s="995"/>
      <c r="BC64" s="600"/>
      <c r="BD64" s="603"/>
      <c r="BE64" s="66"/>
      <c r="BF64" s="136"/>
      <c r="BG64" s="136"/>
      <c r="BH64" s="136"/>
      <c r="BI64" s="136"/>
      <c r="BJ64" s="136"/>
      <c r="BK64" s="136"/>
      <c r="BL64" s="136"/>
      <c r="BM64" s="136"/>
      <c r="BN64" s="402"/>
      <c r="BO64" s="136"/>
      <c r="BP64" s="1091"/>
      <c r="BQ64" s="76"/>
      <c r="BR64" s="76"/>
      <c r="BS64" s="76"/>
      <c r="BT64" s="76"/>
      <c r="BU64" s="76"/>
      <c r="BV64" s="76"/>
      <c r="BW64" s="202"/>
      <c r="BX64" s="202"/>
      <c r="BY64" s="202"/>
      <c r="BZ64" s="202"/>
      <c r="CA64" s="202"/>
      <c r="CB64" s="202"/>
      <c r="CC64" s="202"/>
      <c r="CD64" s="202"/>
      <c r="CE64" s="202"/>
      <c r="CF64" s="202"/>
      <c r="CG64" s="202"/>
      <c r="CH64" s="202"/>
      <c r="CI64" s="202"/>
      <c r="CJ64" s="202"/>
      <c r="CK64" s="78"/>
      <c r="CL64" s="78"/>
      <c r="CM64" s="78"/>
      <c r="CN64" s="78"/>
      <c r="CO64" s="78"/>
      <c r="CP64" s="78"/>
      <c r="CQ64" s="78"/>
      <c r="CR64" s="78"/>
      <c r="CS64" s="78"/>
      <c r="CT64" s="78"/>
      <c r="CU64" s="78"/>
      <c r="CV64" s="78"/>
      <c r="CW64" s="78"/>
      <c r="CX64" s="78"/>
      <c r="CY64" s="78"/>
      <c r="CZ64" s="78"/>
      <c r="DA64" s="78"/>
      <c r="DB64" s="78"/>
      <c r="DC64" s="78"/>
      <c r="DD64" s="78"/>
      <c r="DE64" s="78"/>
    </row>
    <row r="65" spans="2:109" hidden="1" x14ac:dyDescent="0.2">
      <c r="B65" s="560"/>
      <c r="C65" s="560"/>
      <c r="G65" s="998"/>
      <c r="H65"/>
      <c r="I65"/>
      <c r="J65"/>
      <c r="K65"/>
      <c r="L65"/>
      <c r="M65"/>
      <c r="N65"/>
      <c r="O65" s="995"/>
      <c r="BC65" s="600"/>
      <c r="BD65" s="600"/>
      <c r="BF65" s="136"/>
      <c r="BG65" s="136"/>
      <c r="BH65" s="136"/>
      <c r="BI65" s="136"/>
      <c r="BJ65" s="136"/>
      <c r="BK65" s="136"/>
      <c r="BL65" s="136"/>
      <c r="BM65" s="136"/>
      <c r="BN65" s="402"/>
      <c r="BO65" s="136"/>
      <c r="BP65" s="1091"/>
      <c r="BQ65" s="126"/>
      <c r="BR65" s="126"/>
      <c r="BS65" s="126"/>
      <c r="BT65" s="126"/>
      <c r="BU65" s="126"/>
      <c r="BV65" s="126"/>
      <c r="BW65" s="203"/>
      <c r="BX65" s="203"/>
      <c r="BY65" s="203"/>
      <c r="BZ65" s="203"/>
      <c r="CA65" s="203"/>
      <c r="CB65" s="203"/>
      <c r="CC65" s="203"/>
      <c r="CD65" s="203"/>
      <c r="CE65" s="203"/>
      <c r="CF65" s="203"/>
      <c r="CG65" s="203"/>
      <c r="CH65" s="203"/>
      <c r="CI65" s="203"/>
      <c r="CJ65" s="203"/>
    </row>
    <row r="66" spans="2:109" ht="18" hidden="1" x14ac:dyDescent="0.2">
      <c r="B66" s="560"/>
      <c r="C66" s="560"/>
      <c r="G66" s="998"/>
      <c r="H66"/>
      <c r="I66"/>
      <c r="J66"/>
      <c r="K66"/>
      <c r="L66"/>
      <c r="M66"/>
      <c r="N66"/>
      <c r="O66" s="995"/>
      <c r="BC66" s="604"/>
      <c r="BD66" s="604"/>
      <c r="BF66" s="136"/>
      <c r="BG66" s="136"/>
      <c r="BH66" s="136"/>
      <c r="BI66" s="136"/>
      <c r="BJ66" s="136"/>
      <c r="BK66" s="136"/>
      <c r="BN66" s="204" t="s">
        <v>59</v>
      </c>
      <c r="BO66" s="187"/>
      <c r="BP66" s="1091"/>
      <c r="BQ66" s="64"/>
      <c r="BT66" s="126"/>
      <c r="BU66" s="126"/>
      <c r="BV66" s="126"/>
      <c r="BW66" s="203"/>
      <c r="BX66" s="203"/>
      <c r="BY66" s="203"/>
      <c r="BZ66" s="203"/>
      <c r="CA66" s="203"/>
      <c r="CB66" s="203"/>
      <c r="CC66" s="203"/>
      <c r="CD66" s="203"/>
      <c r="CE66" s="203"/>
      <c r="CF66" s="203"/>
      <c r="CG66" s="203"/>
      <c r="CH66" s="203"/>
      <c r="CI66" s="203"/>
      <c r="CJ66" s="203"/>
      <c r="CS66" s="64"/>
      <c r="DE66" s="204" t="s">
        <v>58</v>
      </c>
    </row>
    <row r="67" spans="2:109" ht="18" hidden="1" x14ac:dyDescent="0.2">
      <c r="B67" s="560"/>
      <c r="C67" s="560"/>
      <c r="G67" s="998"/>
      <c r="H67"/>
      <c r="I67"/>
      <c r="J67"/>
      <c r="K67"/>
      <c r="L67"/>
      <c r="M67"/>
      <c r="N67"/>
      <c r="O67" s="995"/>
      <c r="BC67" s="605"/>
      <c r="BD67" s="605"/>
      <c r="BF67" s="136"/>
      <c r="BG67" s="136"/>
      <c r="BH67" s="136"/>
      <c r="BI67" s="136"/>
      <c r="BJ67" s="136"/>
      <c r="BK67" s="136"/>
      <c r="BL67" s="212"/>
      <c r="BN67" s="204">
        <f>-+BI69</f>
        <v>673.51812315306574</v>
      </c>
      <c r="BO67" s="187"/>
      <c r="BP67" s="1091"/>
      <c r="BQ67" s="64"/>
      <c r="BT67" s="126"/>
      <c r="BU67" s="126"/>
      <c r="BV67" s="126"/>
      <c r="BW67" s="203"/>
      <c r="BX67" s="203"/>
      <c r="BY67" s="203"/>
      <c r="BZ67" s="203"/>
      <c r="CA67" s="203"/>
      <c r="CB67" s="203"/>
      <c r="CC67" s="203"/>
      <c r="CD67" s="203"/>
      <c r="CE67" s="203"/>
      <c r="CF67" s="203"/>
      <c r="CG67" s="203"/>
      <c r="CH67" s="203"/>
      <c r="CI67" s="203"/>
      <c r="CJ67" s="203"/>
      <c r="CQ67" s="212"/>
      <c r="CS67" s="64"/>
      <c r="DE67" s="204">
        <f>+-BI146</f>
        <v>-874.48187684693426</v>
      </c>
    </row>
    <row r="68" spans="2:109" ht="18" hidden="1" x14ac:dyDescent="0.2">
      <c r="B68" s="560"/>
      <c r="C68" s="560"/>
      <c r="G68" s="998"/>
      <c r="H68"/>
      <c r="I68"/>
      <c r="J68"/>
      <c r="K68"/>
      <c r="L68"/>
      <c r="M68"/>
      <c r="N68"/>
      <c r="O68" s="995"/>
      <c r="BC68" s="605"/>
      <c r="BD68" s="605"/>
      <c r="BF68" s="136"/>
      <c r="BG68" s="136"/>
      <c r="BH68" s="297" t="s">
        <v>122</v>
      </c>
      <c r="BI68" s="136"/>
      <c r="BJ68" s="136"/>
      <c r="BK68" s="136"/>
      <c r="BL68" s="136"/>
      <c r="BM68" s="136"/>
      <c r="BN68" s="402"/>
      <c r="BO68" s="136"/>
      <c r="BP68" s="1091"/>
      <c r="BQ68" s="126"/>
      <c r="BR68" s="126"/>
      <c r="BS68" s="126"/>
      <c r="BT68" s="126"/>
      <c r="BU68" s="126"/>
      <c r="BV68" s="126"/>
      <c r="BW68" s="203"/>
      <c r="BX68" s="203"/>
      <c r="BY68" s="203"/>
      <c r="BZ68" s="203"/>
      <c r="CA68" s="203"/>
      <c r="CB68" s="203"/>
      <c r="CC68" s="203"/>
      <c r="CD68" s="203"/>
      <c r="CE68" s="203"/>
      <c r="CF68" s="203"/>
      <c r="CG68" s="203"/>
      <c r="CH68" s="203"/>
      <c r="CI68" s="203"/>
      <c r="CJ68" s="203"/>
    </row>
    <row r="69" spans="2:109" ht="20" hidden="1" x14ac:dyDescent="0.3">
      <c r="B69" s="560"/>
      <c r="C69" s="560"/>
      <c r="G69" s="998"/>
      <c r="H69"/>
      <c r="I69"/>
      <c r="J69"/>
      <c r="K69"/>
      <c r="L69"/>
      <c r="M69"/>
      <c r="N69"/>
      <c r="O69" s="995"/>
      <c r="BF69" s="298">
        <v>1</v>
      </c>
      <c r="BG69" s="299">
        <v>-473</v>
      </c>
      <c r="BH69" s="300">
        <f>+COS(($B$137*-1)*3.14159265358979/180)*BG69</f>
        <v>-473</v>
      </c>
      <c r="BI69" s="301">
        <f t="shared" ref="BI69:BI146" si="3">+BH69-D$3</f>
        <v>-673.51812315306574</v>
      </c>
      <c r="BJ69" s="302">
        <f t="shared" ref="BJ69:BJ146" si="4">ABS(BI69)</f>
        <v>673.51812315306574</v>
      </c>
      <c r="BK69" s="303">
        <f>MIN(BJ69:BJ146)</f>
        <v>14.481876846934199</v>
      </c>
      <c r="BL69" s="302" t="b">
        <f>IF(BK69=BJ69,BF69)</f>
        <v>0</v>
      </c>
      <c r="BM69" s="304">
        <v>1</v>
      </c>
      <c r="BN69" s="214"/>
      <c r="BO69" s="214"/>
      <c r="BP69" s="214"/>
      <c r="BQ69" s="126"/>
      <c r="BR69" s="126"/>
      <c r="BS69" s="126"/>
      <c r="BT69" s="126"/>
      <c r="BU69" s="126"/>
      <c r="BV69" s="126"/>
      <c r="BW69" s="203"/>
      <c r="BX69" s="203"/>
      <c r="BY69" s="203"/>
      <c r="BZ69" s="203"/>
      <c r="CA69" s="203"/>
      <c r="CB69" s="203"/>
      <c r="CC69" s="203"/>
      <c r="CD69" s="203"/>
      <c r="CE69" s="203"/>
      <c r="CF69" s="203"/>
      <c r="CG69" s="203"/>
      <c r="CH69" s="203"/>
      <c r="CI69" s="203"/>
      <c r="CJ69" s="203"/>
    </row>
    <row r="70" spans="2:109" ht="20" hidden="1" x14ac:dyDescent="0.3">
      <c r="B70" s="560"/>
      <c r="C70" s="560"/>
      <c r="G70" s="998"/>
      <c r="H70"/>
      <c r="I70"/>
      <c r="J70"/>
      <c r="K70"/>
      <c r="L70"/>
      <c r="M70"/>
      <c r="N70"/>
      <c r="O70" s="995"/>
      <c r="BF70" s="298">
        <v>2</v>
      </c>
      <c r="BG70" s="299">
        <f>+BG69+43</f>
        <v>-430</v>
      </c>
      <c r="BH70" s="42">
        <f>+BH69+$E$2</f>
        <v>-430</v>
      </c>
      <c r="BI70" s="301">
        <f t="shared" si="3"/>
        <v>-630.51812315306574</v>
      </c>
      <c r="BJ70" s="302">
        <f t="shared" si="4"/>
        <v>630.51812315306574</v>
      </c>
      <c r="BK70" s="302">
        <f>+BK69</f>
        <v>14.481876846934199</v>
      </c>
      <c r="BL70" s="302" t="b">
        <f t="shared" ref="BL70:BL146" si="5">IF(BK70=BJ70,BF70)</f>
        <v>0</v>
      </c>
      <c r="BM70" s="304">
        <v>2</v>
      </c>
      <c r="BN70" s="214"/>
      <c r="BO70" s="214"/>
      <c r="BP70" s="214"/>
      <c r="BQ70" s="126"/>
      <c r="BR70" s="126"/>
      <c r="BS70" s="126"/>
      <c r="BT70" s="126"/>
      <c r="BU70" s="126"/>
      <c r="BV70" s="126"/>
      <c r="BW70" s="203"/>
      <c r="BX70" s="203"/>
      <c r="BY70" s="203"/>
      <c r="BZ70" s="203"/>
      <c r="CA70" s="203"/>
      <c r="CB70" s="203"/>
      <c r="CC70" s="203"/>
      <c r="CD70" s="203"/>
      <c r="CE70" s="203"/>
      <c r="CF70" s="203"/>
      <c r="CG70" s="203"/>
      <c r="CH70" s="203"/>
      <c r="CI70" s="203"/>
      <c r="CJ70" s="203"/>
    </row>
    <row r="71" spans="2:109" ht="20" hidden="1" x14ac:dyDescent="0.3">
      <c r="B71" s="560"/>
      <c r="C71" s="560"/>
      <c r="G71" s="998"/>
      <c r="H71"/>
      <c r="I71"/>
      <c r="J71"/>
      <c r="K71"/>
      <c r="L71"/>
      <c r="M71"/>
      <c r="N71"/>
      <c r="O71" s="995"/>
      <c r="BF71" s="298">
        <v>3</v>
      </c>
      <c r="BG71" s="299">
        <f t="shared" ref="BG71:BG146" si="6">+BG70+43</f>
        <v>-387</v>
      </c>
      <c r="BH71" s="42">
        <f t="shared" ref="BH71:BH146" si="7">+BH70+$E$2</f>
        <v>-387</v>
      </c>
      <c r="BI71" s="301">
        <f t="shared" si="3"/>
        <v>-587.51812315306574</v>
      </c>
      <c r="BJ71" s="302">
        <f t="shared" si="4"/>
        <v>587.51812315306574</v>
      </c>
      <c r="BK71" s="302">
        <f t="shared" ref="BK71:BK146" si="8">+BK70</f>
        <v>14.481876846934199</v>
      </c>
      <c r="BL71" s="302" t="b">
        <f t="shared" si="5"/>
        <v>0</v>
      </c>
      <c r="BM71" s="304">
        <v>3</v>
      </c>
      <c r="BN71" s="214"/>
      <c r="BO71" s="214"/>
      <c r="BP71" s="214"/>
      <c r="BQ71" s="126"/>
      <c r="BR71" s="126"/>
      <c r="BS71" s="126"/>
      <c r="BT71" s="126"/>
      <c r="BU71" s="126"/>
      <c r="BV71" s="126"/>
      <c r="BW71" s="203"/>
      <c r="BX71" s="203"/>
      <c r="BY71" s="203"/>
      <c r="BZ71" s="203"/>
      <c r="CA71" s="203"/>
      <c r="CB71" s="203"/>
      <c r="CC71" s="203"/>
      <c r="CD71" s="203"/>
      <c r="CE71" s="203"/>
      <c r="CF71" s="203"/>
      <c r="CG71" s="203"/>
      <c r="CH71" s="203"/>
      <c r="CI71" s="203"/>
      <c r="CJ71" s="203"/>
    </row>
    <row r="72" spans="2:109" ht="20" hidden="1" x14ac:dyDescent="0.3">
      <c r="B72" s="560"/>
      <c r="C72" s="560"/>
      <c r="G72" s="998"/>
      <c r="H72"/>
      <c r="I72"/>
      <c r="J72"/>
      <c r="K72"/>
      <c r="L72"/>
      <c r="M72"/>
      <c r="N72"/>
      <c r="O72" s="995"/>
      <c r="BF72" s="298">
        <v>4</v>
      </c>
      <c r="BG72" s="299">
        <f t="shared" si="6"/>
        <v>-344</v>
      </c>
      <c r="BH72" s="42">
        <f t="shared" si="7"/>
        <v>-344</v>
      </c>
      <c r="BI72" s="301">
        <f t="shared" si="3"/>
        <v>-544.51812315306574</v>
      </c>
      <c r="BJ72" s="302">
        <f t="shared" si="4"/>
        <v>544.51812315306574</v>
      </c>
      <c r="BK72" s="302">
        <f t="shared" si="8"/>
        <v>14.481876846934199</v>
      </c>
      <c r="BL72" s="302" t="b">
        <f t="shared" si="5"/>
        <v>0</v>
      </c>
      <c r="BM72" s="304">
        <v>4</v>
      </c>
      <c r="BN72" s="214"/>
      <c r="BO72" s="214"/>
      <c r="BP72" s="214"/>
      <c r="CJ72" s="236"/>
      <c r="CK72" s="236"/>
      <c r="CL72" s="236"/>
      <c r="CM72" s="236"/>
      <c r="CN72" s="236"/>
      <c r="CO72" s="236"/>
    </row>
    <row r="73" spans="2:109" ht="20" hidden="1" x14ac:dyDescent="0.3">
      <c r="B73" s="560"/>
      <c r="C73" s="560"/>
      <c r="G73" s="998"/>
      <c r="H73"/>
      <c r="I73"/>
      <c r="J73"/>
      <c r="K73"/>
      <c r="L73"/>
      <c r="M73"/>
      <c r="N73"/>
      <c r="O73" s="995"/>
      <c r="BF73" s="298">
        <v>5</v>
      </c>
      <c r="BG73" s="299">
        <f t="shared" si="6"/>
        <v>-301</v>
      </c>
      <c r="BH73" s="42">
        <f t="shared" si="7"/>
        <v>-301</v>
      </c>
      <c r="BI73" s="301">
        <f t="shared" si="3"/>
        <v>-501.5181231530658</v>
      </c>
      <c r="BJ73" s="302">
        <f t="shared" si="4"/>
        <v>501.5181231530658</v>
      </c>
      <c r="BK73" s="302">
        <f t="shared" si="8"/>
        <v>14.481876846934199</v>
      </c>
      <c r="BL73" s="302" t="b">
        <f t="shared" si="5"/>
        <v>0</v>
      </c>
      <c r="BM73" s="304">
        <v>5</v>
      </c>
      <c r="BN73" s="214"/>
      <c r="BO73" s="214"/>
      <c r="BP73" s="214"/>
    </row>
    <row r="74" spans="2:109" ht="20" hidden="1" x14ac:dyDescent="0.3">
      <c r="B74" s="560"/>
      <c r="C74" s="560"/>
      <c r="G74" s="998"/>
      <c r="H74"/>
      <c r="I74"/>
      <c r="J74"/>
      <c r="K74"/>
      <c r="L74"/>
      <c r="M74"/>
      <c r="N74"/>
      <c r="O74" s="995"/>
      <c r="BF74" s="298">
        <v>6</v>
      </c>
      <c r="BG74" s="299">
        <f t="shared" si="6"/>
        <v>-258</v>
      </c>
      <c r="BH74" s="42">
        <f t="shared" si="7"/>
        <v>-258</v>
      </c>
      <c r="BI74" s="301">
        <f t="shared" si="3"/>
        <v>-458.5181231530658</v>
      </c>
      <c r="BJ74" s="302">
        <f t="shared" si="4"/>
        <v>458.5181231530658</v>
      </c>
      <c r="BK74" s="302">
        <f t="shared" si="8"/>
        <v>14.481876846934199</v>
      </c>
      <c r="BL74" s="302" t="b">
        <f t="shared" si="5"/>
        <v>0</v>
      </c>
      <c r="BM74" s="304">
        <v>6</v>
      </c>
      <c r="BN74" s="214"/>
      <c r="BO74" s="214"/>
      <c r="BP74" s="214"/>
    </row>
    <row r="75" spans="2:109" ht="20" hidden="1" x14ac:dyDescent="0.3">
      <c r="B75" s="560"/>
      <c r="C75" s="560"/>
      <c r="G75" s="998"/>
      <c r="H75"/>
      <c r="I75"/>
      <c r="J75"/>
      <c r="K75"/>
      <c r="L75"/>
      <c r="M75"/>
      <c r="N75"/>
      <c r="O75" s="995"/>
      <c r="BF75" s="298">
        <v>7</v>
      </c>
      <c r="BG75" s="299">
        <f t="shared" si="6"/>
        <v>-215</v>
      </c>
      <c r="BH75" s="42">
        <f t="shared" si="7"/>
        <v>-215</v>
      </c>
      <c r="BI75" s="301">
        <f t="shared" si="3"/>
        <v>-415.5181231530658</v>
      </c>
      <c r="BJ75" s="302">
        <f t="shared" si="4"/>
        <v>415.5181231530658</v>
      </c>
      <c r="BK75" s="302">
        <f t="shared" si="8"/>
        <v>14.481876846934199</v>
      </c>
      <c r="BL75" s="302" t="b">
        <f t="shared" si="5"/>
        <v>0</v>
      </c>
      <c r="BM75" s="304">
        <v>7</v>
      </c>
      <c r="BN75" s="214"/>
      <c r="BO75" s="214"/>
      <c r="BP75" s="214"/>
    </row>
    <row r="76" spans="2:109" ht="20" hidden="1" x14ac:dyDescent="0.3">
      <c r="B76" s="560"/>
      <c r="C76" s="560"/>
      <c r="G76" s="998"/>
      <c r="H76"/>
      <c r="I76"/>
      <c r="J76"/>
      <c r="K76"/>
      <c r="L76"/>
      <c r="M76"/>
      <c r="N76"/>
      <c r="O76" s="995"/>
      <c r="BF76" s="298">
        <v>8</v>
      </c>
      <c r="BG76" s="299">
        <f t="shared" si="6"/>
        <v>-172</v>
      </c>
      <c r="BH76" s="42">
        <f t="shared" si="7"/>
        <v>-172</v>
      </c>
      <c r="BI76" s="301">
        <f t="shared" si="3"/>
        <v>-372.5181231530658</v>
      </c>
      <c r="BJ76" s="302">
        <f t="shared" si="4"/>
        <v>372.5181231530658</v>
      </c>
      <c r="BK76" s="302">
        <f t="shared" si="8"/>
        <v>14.481876846934199</v>
      </c>
      <c r="BL76" s="302" t="b">
        <f t="shared" si="5"/>
        <v>0</v>
      </c>
      <c r="BM76" s="304">
        <v>8</v>
      </c>
      <c r="BN76" s="214"/>
      <c r="BO76" s="214"/>
      <c r="BP76" s="214"/>
    </row>
    <row r="77" spans="2:109" ht="20" hidden="1" x14ac:dyDescent="0.3">
      <c r="B77" s="560"/>
      <c r="C77" s="560"/>
      <c r="G77" s="998"/>
      <c r="H77"/>
      <c r="I77"/>
      <c r="J77"/>
      <c r="K77"/>
      <c r="L77"/>
      <c r="M77"/>
      <c r="N77"/>
      <c r="O77" s="995"/>
      <c r="BF77" s="298">
        <v>9</v>
      </c>
      <c r="BG77" s="299">
        <f t="shared" si="6"/>
        <v>-129</v>
      </c>
      <c r="BH77" s="42">
        <f t="shared" si="7"/>
        <v>-129</v>
      </c>
      <c r="BI77" s="301">
        <f t="shared" si="3"/>
        <v>-329.5181231530658</v>
      </c>
      <c r="BJ77" s="302">
        <f t="shared" si="4"/>
        <v>329.5181231530658</v>
      </c>
      <c r="BK77" s="302">
        <f t="shared" si="8"/>
        <v>14.481876846934199</v>
      </c>
      <c r="BL77" s="302" t="b">
        <f t="shared" si="5"/>
        <v>0</v>
      </c>
      <c r="BM77" s="304">
        <v>9</v>
      </c>
      <c r="BN77" s="214"/>
      <c r="BO77" s="214"/>
      <c r="BP77" s="214"/>
    </row>
    <row r="78" spans="2:109" ht="20" hidden="1" x14ac:dyDescent="0.3">
      <c r="B78" s="560"/>
      <c r="C78" s="560"/>
      <c r="G78" s="998"/>
      <c r="H78"/>
      <c r="I78"/>
      <c r="J78"/>
      <c r="K78"/>
      <c r="L78"/>
      <c r="M78"/>
      <c r="N78"/>
      <c r="O78" s="995"/>
      <c r="BF78" s="298">
        <v>10</v>
      </c>
      <c r="BG78" s="299">
        <f t="shared" si="6"/>
        <v>-86</v>
      </c>
      <c r="BH78" s="42">
        <f t="shared" si="7"/>
        <v>-86</v>
      </c>
      <c r="BI78" s="301">
        <f t="shared" si="3"/>
        <v>-286.5181231530658</v>
      </c>
      <c r="BJ78" s="302">
        <f t="shared" si="4"/>
        <v>286.5181231530658</v>
      </c>
      <c r="BK78" s="302">
        <f t="shared" si="8"/>
        <v>14.481876846934199</v>
      </c>
      <c r="BL78" s="302" t="b">
        <f t="shared" si="5"/>
        <v>0</v>
      </c>
      <c r="BM78" s="304">
        <v>10</v>
      </c>
      <c r="BN78" s="214"/>
      <c r="BO78" s="214"/>
      <c r="BP78" s="214"/>
    </row>
    <row r="79" spans="2:109" ht="20" hidden="1" x14ac:dyDescent="0.3">
      <c r="B79" s="560"/>
      <c r="C79" s="560"/>
      <c r="G79" s="1008"/>
      <c r="H79"/>
      <c r="I79"/>
      <c r="J79"/>
      <c r="K79"/>
      <c r="L79"/>
      <c r="M79"/>
      <c r="N79"/>
      <c r="O79" s="995"/>
      <c r="BF79" s="298">
        <v>11</v>
      </c>
      <c r="BG79" s="299">
        <f t="shared" si="6"/>
        <v>-43</v>
      </c>
      <c r="BH79" s="42">
        <f t="shared" si="7"/>
        <v>-43</v>
      </c>
      <c r="BI79" s="301">
        <f t="shared" si="3"/>
        <v>-243.5181231530658</v>
      </c>
      <c r="BJ79" s="302">
        <f t="shared" si="4"/>
        <v>243.5181231530658</v>
      </c>
      <c r="BK79" s="302">
        <f t="shared" si="8"/>
        <v>14.481876846934199</v>
      </c>
      <c r="BL79" s="302" t="b">
        <f t="shared" si="5"/>
        <v>0</v>
      </c>
      <c r="BM79" s="304">
        <v>11</v>
      </c>
      <c r="BN79" s="214"/>
      <c r="BO79" s="214"/>
      <c r="BP79" s="214"/>
    </row>
    <row r="80" spans="2:109" ht="20" hidden="1" x14ac:dyDescent="0.3">
      <c r="B80" s="560"/>
      <c r="C80" s="560"/>
      <c r="G80" s="998"/>
      <c r="H80"/>
      <c r="I80"/>
      <c r="J80"/>
      <c r="K80"/>
      <c r="L80"/>
      <c r="M80"/>
      <c r="N80"/>
      <c r="O80" s="995"/>
      <c r="BF80" s="298">
        <v>12</v>
      </c>
      <c r="BG80" s="299">
        <f t="shared" si="6"/>
        <v>0</v>
      </c>
      <c r="BH80" s="42">
        <f t="shared" si="7"/>
        <v>0</v>
      </c>
      <c r="BI80" s="301">
        <f t="shared" si="3"/>
        <v>-200.5181231530658</v>
      </c>
      <c r="BJ80" s="302">
        <f t="shared" si="4"/>
        <v>200.5181231530658</v>
      </c>
      <c r="BK80" s="302">
        <f t="shared" si="8"/>
        <v>14.481876846934199</v>
      </c>
      <c r="BL80" s="302" t="b">
        <f t="shared" si="5"/>
        <v>0</v>
      </c>
      <c r="BM80" s="304">
        <v>12</v>
      </c>
      <c r="BN80" s="214"/>
      <c r="BO80" s="214"/>
      <c r="BP80" s="214"/>
    </row>
    <row r="81" spans="2:109" ht="20" hidden="1" x14ac:dyDescent="0.3">
      <c r="B81" s="560"/>
      <c r="C81" s="560"/>
      <c r="G81" s="998"/>
      <c r="H81"/>
      <c r="I81"/>
      <c r="J81"/>
      <c r="K81"/>
      <c r="L81"/>
      <c r="M81"/>
      <c r="N81"/>
      <c r="O81" s="995"/>
      <c r="BF81" s="298">
        <v>13</v>
      </c>
      <c r="BG81" s="299">
        <f t="shared" si="6"/>
        <v>43</v>
      </c>
      <c r="BH81" s="42">
        <f t="shared" si="7"/>
        <v>43</v>
      </c>
      <c r="BI81" s="301">
        <f t="shared" si="3"/>
        <v>-157.5181231530658</v>
      </c>
      <c r="BJ81" s="302">
        <f t="shared" si="4"/>
        <v>157.5181231530658</v>
      </c>
      <c r="BK81" s="302">
        <f t="shared" si="8"/>
        <v>14.481876846934199</v>
      </c>
      <c r="BL81" s="302" t="b">
        <f t="shared" si="5"/>
        <v>0</v>
      </c>
      <c r="BM81" s="304">
        <v>13</v>
      </c>
      <c r="BN81" s="214"/>
      <c r="BO81" s="214"/>
      <c r="BP81" s="214"/>
    </row>
    <row r="82" spans="2:109" ht="21" hidden="1" thickBot="1" x14ac:dyDescent="0.35">
      <c r="B82" s="560"/>
      <c r="C82" s="560"/>
      <c r="G82" s="998"/>
      <c r="H82"/>
      <c r="I82"/>
      <c r="J82"/>
      <c r="K82"/>
      <c r="L82"/>
      <c r="M82"/>
      <c r="N82"/>
      <c r="O82" s="995"/>
      <c r="BF82" s="298">
        <v>14</v>
      </c>
      <c r="BG82" s="299">
        <f t="shared" si="6"/>
        <v>86</v>
      </c>
      <c r="BH82" s="42">
        <f t="shared" si="7"/>
        <v>86</v>
      </c>
      <c r="BI82" s="301">
        <f t="shared" si="3"/>
        <v>-114.5181231530658</v>
      </c>
      <c r="BJ82" s="302">
        <f t="shared" si="4"/>
        <v>114.5181231530658</v>
      </c>
      <c r="BK82" s="302">
        <f t="shared" si="8"/>
        <v>14.481876846934199</v>
      </c>
      <c r="BL82" s="302" t="b">
        <f t="shared" si="5"/>
        <v>0</v>
      </c>
      <c r="BM82" s="304">
        <v>14</v>
      </c>
      <c r="BN82" s="214"/>
      <c r="BO82" s="214"/>
      <c r="BP82" s="214"/>
    </row>
    <row r="83" spans="2:109" ht="21" hidden="1" thickBot="1" x14ac:dyDescent="0.35">
      <c r="G83" s="998"/>
      <c r="H83"/>
      <c r="I83"/>
      <c r="J83"/>
      <c r="K83" s="988">
        <v>5</v>
      </c>
      <c r="L83"/>
      <c r="M83" s="988">
        <v>51</v>
      </c>
      <c r="N83"/>
      <c r="O83" s="995"/>
      <c r="BF83" s="298">
        <v>15</v>
      </c>
      <c r="BG83" s="299">
        <f t="shared" si="6"/>
        <v>129</v>
      </c>
      <c r="BH83" s="42">
        <f t="shared" si="7"/>
        <v>129</v>
      </c>
      <c r="BI83" s="301">
        <f t="shared" si="3"/>
        <v>-71.518123153065801</v>
      </c>
      <c r="BJ83" s="302">
        <f t="shared" si="4"/>
        <v>71.518123153065801</v>
      </c>
      <c r="BK83" s="302">
        <f t="shared" si="8"/>
        <v>14.481876846934199</v>
      </c>
      <c r="BL83" s="302" t="b">
        <f t="shared" si="5"/>
        <v>0</v>
      </c>
      <c r="BM83" s="304">
        <v>15</v>
      </c>
      <c r="BN83" s="214"/>
      <c r="BO83" s="214"/>
      <c r="BP83" s="214"/>
    </row>
    <row r="84" spans="2:109" ht="47.25" hidden="1" customHeight="1" thickBot="1" x14ac:dyDescent="0.35"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BF84" s="298">
        <v>16</v>
      </c>
      <c r="BG84" s="299">
        <f t="shared" si="6"/>
        <v>172</v>
      </c>
      <c r="BH84" s="42">
        <f t="shared" si="7"/>
        <v>172</v>
      </c>
      <c r="BI84" s="301">
        <f t="shared" si="3"/>
        <v>-28.518123153065801</v>
      </c>
      <c r="BJ84" s="302">
        <f t="shared" si="4"/>
        <v>28.518123153065801</v>
      </c>
      <c r="BK84" s="302">
        <f t="shared" si="8"/>
        <v>14.481876846934199</v>
      </c>
      <c r="BL84" s="302" t="b">
        <f t="shared" si="5"/>
        <v>0</v>
      </c>
      <c r="BM84" s="304">
        <v>16</v>
      </c>
      <c r="BN84" s="214"/>
      <c r="BO84" s="214"/>
      <c r="BP84" s="214"/>
    </row>
    <row r="85" spans="2:109" ht="47.25" hidden="1" customHeight="1" thickBot="1" x14ac:dyDescent="0.35">
      <c r="G85" s="998"/>
      <c r="H85"/>
      <c r="I85"/>
      <c r="J85" s="1087" t="s">
        <v>264</v>
      </c>
      <c r="K85" s="1080">
        <f>+MIN(J19:K20)</f>
        <v>49.079754601226995</v>
      </c>
      <c r="L85" s="1081">
        <f>+$F$13/(BR25)</f>
        <v>49.079754601226995</v>
      </c>
      <c r="M85" s="1081">
        <f>+MIN(K25:L26)</f>
        <v>49.079754601226995</v>
      </c>
      <c r="N85"/>
      <c r="O85" s="995"/>
      <c r="BF85" s="298">
        <v>17</v>
      </c>
      <c r="BG85" s="299">
        <f t="shared" si="6"/>
        <v>215</v>
      </c>
      <c r="BH85" s="42">
        <f t="shared" si="7"/>
        <v>215</v>
      </c>
      <c r="BI85" s="301">
        <f t="shared" si="3"/>
        <v>14.481876846934199</v>
      </c>
      <c r="BJ85" s="302">
        <f t="shared" si="4"/>
        <v>14.481876846934199</v>
      </c>
      <c r="BK85" s="302">
        <f t="shared" si="8"/>
        <v>14.481876846934199</v>
      </c>
      <c r="BL85" s="302">
        <f t="shared" si="5"/>
        <v>17</v>
      </c>
      <c r="BM85" s="304">
        <v>17</v>
      </c>
      <c r="BN85" s="214"/>
      <c r="BO85" s="214"/>
      <c r="BP85" s="214"/>
    </row>
    <row r="86" spans="2:109" ht="27" hidden="1" customHeight="1" thickBot="1" x14ac:dyDescent="0.35"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BF86" s="298">
        <v>18</v>
      </c>
      <c r="BG86" s="299">
        <f t="shared" si="6"/>
        <v>258</v>
      </c>
      <c r="BH86" s="42">
        <f t="shared" si="7"/>
        <v>258</v>
      </c>
      <c r="BI86" s="301">
        <f t="shared" si="3"/>
        <v>57.481876846934199</v>
      </c>
      <c r="BJ86" s="302">
        <f t="shared" si="4"/>
        <v>57.481876846934199</v>
      </c>
      <c r="BK86" s="302">
        <f t="shared" si="8"/>
        <v>14.481876846934199</v>
      </c>
      <c r="BL86" s="302" t="b">
        <f t="shared" si="5"/>
        <v>0</v>
      </c>
      <c r="BM86" s="304">
        <v>18</v>
      </c>
      <c r="BN86" s="214"/>
      <c r="BO86" s="214"/>
      <c r="BP86" s="214"/>
    </row>
    <row r="87" spans="2:109" ht="15.75" hidden="1" customHeight="1" x14ac:dyDescent="0.3">
      <c r="G87" s="998"/>
      <c r="H87"/>
      <c r="I87"/>
      <c r="J87"/>
      <c r="K87"/>
      <c r="L87"/>
      <c r="M87"/>
      <c r="N87"/>
      <c r="O87" s="995"/>
      <c r="BF87" s="298">
        <v>19</v>
      </c>
      <c r="BG87" s="299">
        <f t="shared" si="6"/>
        <v>301</v>
      </c>
      <c r="BH87" s="42">
        <f t="shared" si="7"/>
        <v>301</v>
      </c>
      <c r="BI87" s="301">
        <f t="shared" si="3"/>
        <v>100.4818768469342</v>
      </c>
      <c r="BJ87" s="302">
        <f t="shared" si="4"/>
        <v>100.4818768469342</v>
      </c>
      <c r="BK87" s="302">
        <f t="shared" si="8"/>
        <v>14.481876846934199</v>
      </c>
      <c r="BL87" s="302" t="b">
        <f t="shared" si="5"/>
        <v>0</v>
      </c>
      <c r="BM87" s="304">
        <v>19</v>
      </c>
      <c r="BN87" s="214"/>
      <c r="BO87" s="214"/>
      <c r="BP87" s="214"/>
    </row>
    <row r="88" spans="2:109" ht="15.75" hidden="1" customHeight="1" x14ac:dyDescent="0.3">
      <c r="G88" s="998"/>
      <c r="H88"/>
      <c r="I88"/>
      <c r="J88"/>
      <c r="K88"/>
      <c r="L88"/>
      <c r="M88"/>
      <c r="N88"/>
      <c r="O88" s="995"/>
      <c r="BF88" s="298">
        <v>20</v>
      </c>
      <c r="BG88" s="299">
        <f t="shared" si="6"/>
        <v>344</v>
      </c>
      <c r="BH88" s="42">
        <f t="shared" si="7"/>
        <v>344</v>
      </c>
      <c r="BI88" s="301">
        <f t="shared" si="3"/>
        <v>143.4818768469342</v>
      </c>
      <c r="BJ88" s="302">
        <f t="shared" si="4"/>
        <v>143.4818768469342</v>
      </c>
      <c r="BK88" s="302">
        <f t="shared" si="8"/>
        <v>14.481876846934199</v>
      </c>
      <c r="BL88" s="302" t="b">
        <f t="shared" si="5"/>
        <v>0</v>
      </c>
      <c r="BM88" s="304">
        <v>20</v>
      </c>
      <c r="BN88" s="214"/>
      <c r="BO88" s="214"/>
      <c r="BP88" s="214"/>
    </row>
    <row r="89" spans="2:109" ht="15.75" hidden="1" customHeight="1" x14ac:dyDescent="0.3">
      <c r="G89" s="998"/>
      <c r="H89"/>
      <c r="I89"/>
      <c r="J89"/>
      <c r="K89"/>
      <c r="L89"/>
      <c r="M89"/>
      <c r="N89"/>
      <c r="O89" s="995"/>
      <c r="BF89" s="298">
        <v>21</v>
      </c>
      <c r="BG89" s="299">
        <f t="shared" si="6"/>
        <v>387</v>
      </c>
      <c r="BH89" s="42">
        <f t="shared" si="7"/>
        <v>387</v>
      </c>
      <c r="BI89" s="301">
        <f t="shared" si="3"/>
        <v>186.4818768469342</v>
      </c>
      <c r="BJ89" s="302">
        <f t="shared" si="4"/>
        <v>186.4818768469342</v>
      </c>
      <c r="BK89" s="302">
        <f t="shared" si="8"/>
        <v>14.481876846934199</v>
      </c>
      <c r="BL89" s="302" t="b">
        <f t="shared" si="5"/>
        <v>0</v>
      </c>
      <c r="BM89" s="304">
        <v>21</v>
      </c>
      <c r="BN89" s="214"/>
      <c r="BO89" s="214"/>
      <c r="BP89" s="214"/>
    </row>
    <row r="90" spans="2:109" ht="15.75" hidden="1" customHeight="1" x14ac:dyDescent="0.3">
      <c r="G90" s="998"/>
      <c r="H90"/>
      <c r="I90"/>
      <c r="J90"/>
      <c r="K90"/>
      <c r="L90"/>
      <c r="M90"/>
      <c r="N90"/>
      <c r="O90" s="995"/>
      <c r="BF90" s="298">
        <v>22</v>
      </c>
      <c r="BG90" s="299">
        <f t="shared" si="6"/>
        <v>430</v>
      </c>
      <c r="BH90" s="42">
        <f t="shared" si="7"/>
        <v>430</v>
      </c>
      <c r="BI90" s="301">
        <f t="shared" si="3"/>
        <v>229.4818768469342</v>
      </c>
      <c r="BJ90" s="302">
        <f t="shared" si="4"/>
        <v>229.4818768469342</v>
      </c>
      <c r="BK90" s="302">
        <f t="shared" si="8"/>
        <v>14.481876846934199</v>
      </c>
      <c r="BL90" s="302" t="b">
        <f t="shared" si="5"/>
        <v>0</v>
      </c>
      <c r="BM90" s="304">
        <v>22</v>
      </c>
      <c r="BN90" s="214"/>
      <c r="BO90" s="214"/>
      <c r="BP90" s="214"/>
    </row>
    <row r="91" spans="2:109" ht="15.75" hidden="1" customHeight="1" x14ac:dyDescent="0.3">
      <c r="G91" s="998"/>
      <c r="H91"/>
      <c r="I91"/>
      <c r="J91"/>
      <c r="K91"/>
      <c r="L91"/>
      <c r="M91"/>
      <c r="N91"/>
      <c r="O91" s="995"/>
      <c r="BF91" s="298">
        <v>23</v>
      </c>
      <c r="BG91" s="299">
        <f t="shared" si="6"/>
        <v>473</v>
      </c>
      <c r="BH91" s="42">
        <f t="shared" si="7"/>
        <v>473</v>
      </c>
      <c r="BI91" s="301">
        <f t="shared" si="3"/>
        <v>272.4818768469342</v>
      </c>
      <c r="BJ91" s="302">
        <f t="shared" si="4"/>
        <v>272.4818768469342</v>
      </c>
      <c r="BK91" s="302">
        <f t="shared" si="8"/>
        <v>14.481876846934199</v>
      </c>
      <c r="BL91" s="302" t="b">
        <f t="shared" si="5"/>
        <v>0</v>
      </c>
      <c r="BM91" s="304">
        <v>23</v>
      </c>
      <c r="BN91" s="214"/>
      <c r="BO91" s="214"/>
      <c r="BP91" s="214"/>
    </row>
    <row r="92" spans="2:109" ht="15.75" hidden="1" customHeight="1" x14ac:dyDescent="0.3">
      <c r="G92" s="998"/>
      <c r="H92"/>
      <c r="I92"/>
      <c r="J92"/>
      <c r="K92"/>
      <c r="L92"/>
      <c r="M92"/>
      <c r="N92"/>
      <c r="O92" s="995"/>
      <c r="BF92" s="298">
        <v>24</v>
      </c>
      <c r="BG92" s="299">
        <f t="shared" si="6"/>
        <v>516</v>
      </c>
      <c r="BH92" s="42">
        <f t="shared" si="7"/>
        <v>516</v>
      </c>
      <c r="BI92" s="301">
        <f t="shared" si="3"/>
        <v>315.4818768469342</v>
      </c>
      <c r="BJ92" s="302">
        <f t="shared" si="4"/>
        <v>315.4818768469342</v>
      </c>
      <c r="BK92" s="302">
        <f t="shared" si="8"/>
        <v>14.481876846934199</v>
      </c>
      <c r="BL92" s="302" t="b">
        <f t="shared" si="5"/>
        <v>0</v>
      </c>
      <c r="BM92" s="304">
        <v>24</v>
      </c>
      <c r="BN92" s="214"/>
      <c r="BO92" s="214"/>
      <c r="BP92" s="214"/>
    </row>
    <row r="93" spans="2:109" ht="150.75" customHeight="1" thickBot="1" x14ac:dyDescent="0.35">
      <c r="G93" s="998"/>
      <c r="H93"/>
      <c r="I93"/>
      <c r="J93"/>
      <c r="K93"/>
      <c r="L93"/>
      <c r="M93"/>
      <c r="N93"/>
      <c r="O93" s="995"/>
      <c r="BF93" s="878"/>
      <c r="BG93" s="879"/>
      <c r="BH93" s="36"/>
      <c r="BI93" s="880"/>
      <c r="BJ93" s="228"/>
      <c r="BK93" s="228"/>
      <c r="BL93" s="228"/>
      <c r="BM93" s="214"/>
      <c r="BN93" s="214"/>
      <c r="BO93" s="214"/>
      <c r="BP93" s="214"/>
    </row>
    <row r="94" spans="2:109" ht="24" hidden="1" thickBot="1" x14ac:dyDescent="0.3">
      <c r="G94" s="998"/>
      <c r="H94"/>
      <c r="I94"/>
      <c r="J94"/>
      <c r="K94"/>
      <c r="L94"/>
      <c r="M94"/>
      <c r="N94"/>
      <c r="O94" s="995"/>
      <c r="BC94" s="569"/>
      <c r="BD94" s="569"/>
      <c r="BO94" s="86"/>
      <c r="BP94" s="18"/>
      <c r="BQ94" s="96"/>
      <c r="BR94" s="97"/>
      <c r="BS94" s="97"/>
      <c r="BT94" s="97"/>
      <c r="BU94" s="97"/>
      <c r="BV94" s="97"/>
      <c r="BW94" s="97"/>
      <c r="BX94" s="97"/>
      <c r="BY94" s="97"/>
      <c r="BZ94" s="94"/>
      <c r="CA94" s="94"/>
      <c r="CB94" s="89"/>
      <c r="CC94" s="89"/>
      <c r="CD94" s="89"/>
      <c r="CE94" s="89"/>
      <c r="CF94" s="89"/>
      <c r="CG94" s="89"/>
      <c r="CH94" s="89"/>
      <c r="CI94" s="89"/>
      <c r="CJ94" s="89"/>
      <c r="CK94" s="89"/>
      <c r="CL94" s="89"/>
      <c r="CM94" s="89"/>
      <c r="CN94" s="89"/>
      <c r="CO94" s="37"/>
      <c r="CP94" s="95"/>
      <c r="CQ94" s="95"/>
      <c r="CR94" s="95"/>
      <c r="CS94" s="95"/>
      <c r="CT94" s="92"/>
      <c r="CU94" s="92"/>
      <c r="CV94" s="92"/>
      <c r="CW94" s="92"/>
      <c r="CX94" s="92"/>
      <c r="CY94" s="92"/>
      <c r="CZ94" s="92"/>
      <c r="DA94" s="92"/>
      <c r="DB94" s="92"/>
      <c r="DC94" s="92"/>
      <c r="DD94" s="17"/>
      <c r="DE94" s="78"/>
    </row>
    <row r="95" spans="2:109" ht="24" hidden="1" thickBot="1" x14ac:dyDescent="0.3">
      <c r="G95" s="998"/>
      <c r="H95"/>
      <c r="I95"/>
      <c r="J95"/>
      <c r="K95"/>
      <c r="L95"/>
      <c r="M95"/>
      <c r="N95"/>
      <c r="O95" s="995"/>
      <c r="V95" s="567"/>
      <c r="W95" s="567"/>
      <c r="X95" s="567"/>
      <c r="Y95" s="567"/>
      <c r="Z95" s="567"/>
      <c r="AA95" s="567"/>
      <c r="BC95" s="569"/>
      <c r="BD95" s="569"/>
      <c r="BO95" s="86"/>
      <c r="BP95" s="18"/>
      <c r="BQ95" s="96">
        <v>36</v>
      </c>
      <c r="BR95" s="97"/>
      <c r="BS95" s="97"/>
      <c r="BT95" s="97"/>
      <c r="BU95" s="97"/>
      <c r="BV95" s="97"/>
      <c r="BW95" s="97"/>
      <c r="BX95" s="97"/>
      <c r="BY95" s="97"/>
      <c r="BZ95" s="94"/>
      <c r="CA95" s="94"/>
      <c r="CB95" s="89"/>
      <c r="CC95" s="89"/>
      <c r="CD95" s="89"/>
      <c r="CE95" s="89"/>
      <c r="CF95" s="89"/>
      <c r="CG95" s="89"/>
      <c r="CH95" s="89"/>
      <c r="CI95" s="98"/>
      <c r="CJ95" s="99"/>
      <c r="CK95" s="100"/>
      <c r="CL95" s="89"/>
      <c r="CM95" s="89"/>
      <c r="CN95" s="89"/>
      <c r="CO95" s="37"/>
      <c r="CP95" s="95"/>
      <c r="CQ95" s="95"/>
      <c r="CR95" s="95"/>
      <c r="CS95" s="95"/>
      <c r="CT95" s="92"/>
      <c r="CU95" s="92"/>
      <c r="CV95" s="92"/>
      <c r="CW95" s="92"/>
      <c r="CX95" s="92"/>
      <c r="CY95" s="92"/>
      <c r="CZ95" s="101" t="b">
        <f>IF(DA57=36,35)</f>
        <v>0</v>
      </c>
      <c r="DA95" s="102"/>
      <c r="DB95" s="103" t="b">
        <f>IF(DA57=36,37)</f>
        <v>0</v>
      </c>
      <c r="DC95" s="92"/>
      <c r="DD95" s="17"/>
      <c r="DE95" s="78"/>
    </row>
    <row r="96" spans="2:109" ht="24" hidden="1" thickBot="1" x14ac:dyDescent="0.3">
      <c r="B96" s="566"/>
      <c r="C96" s="566"/>
      <c r="D96" s="565"/>
      <c r="E96" s="565"/>
      <c r="F96" s="565"/>
      <c r="G96" s="998"/>
      <c r="H96"/>
      <c r="I96"/>
      <c r="J96"/>
      <c r="K96"/>
      <c r="L96"/>
      <c r="M96"/>
      <c r="N96"/>
      <c r="O96" s="995"/>
      <c r="V96" s="567"/>
      <c r="W96" s="567"/>
      <c r="X96" s="567"/>
      <c r="Y96" s="567"/>
      <c r="Z96" s="567"/>
      <c r="AA96" s="567"/>
      <c r="BC96" s="569"/>
      <c r="BD96" s="569"/>
      <c r="BO96" s="86"/>
      <c r="BP96" s="18"/>
      <c r="BQ96" s="96">
        <v>35</v>
      </c>
      <c r="BR96" s="97"/>
      <c r="BS96" s="97"/>
      <c r="BT96" s="97"/>
      <c r="BU96" s="97"/>
      <c r="BV96" s="97"/>
      <c r="BW96" s="97"/>
      <c r="BX96" s="97"/>
      <c r="BY96" s="97"/>
      <c r="BZ96" s="94"/>
      <c r="CA96" s="94"/>
      <c r="CB96" s="89"/>
      <c r="CC96" s="89"/>
      <c r="CD96" s="89"/>
      <c r="CE96" s="89"/>
      <c r="CF96" s="89"/>
      <c r="CG96" s="89"/>
      <c r="CH96" s="89"/>
      <c r="CI96" s="104"/>
      <c r="CJ96" s="89"/>
      <c r="CK96" s="105"/>
      <c r="CL96" s="89"/>
      <c r="CM96" s="89"/>
      <c r="CN96" s="89"/>
      <c r="CO96" s="37"/>
      <c r="CP96" s="95"/>
      <c r="CQ96" s="95"/>
      <c r="CR96" s="95"/>
      <c r="CS96" s="95"/>
      <c r="CT96" s="92"/>
      <c r="CU96" s="92"/>
      <c r="CV96" s="92"/>
      <c r="CW96" s="92"/>
      <c r="CX96" s="101" t="b">
        <f>IF(CZ57=35,33)</f>
        <v>0</v>
      </c>
      <c r="CY96" s="102"/>
      <c r="CZ96" s="102"/>
      <c r="DA96" s="102"/>
      <c r="DB96" s="103" t="b">
        <f>IF(CZ57=35,37)</f>
        <v>0</v>
      </c>
      <c r="DC96" s="92"/>
      <c r="DD96" s="17"/>
      <c r="DE96" s="78"/>
    </row>
    <row r="97" spans="2:109" ht="24" hidden="1" thickBot="1" x14ac:dyDescent="0.3">
      <c r="B97" s="566"/>
      <c r="C97" s="566"/>
      <c r="D97" s="565"/>
      <c r="E97" s="565"/>
      <c r="F97" s="565"/>
      <c r="G97" s="998"/>
      <c r="H97"/>
      <c r="I97"/>
      <c r="J97"/>
      <c r="K97"/>
      <c r="L97"/>
      <c r="M97"/>
      <c r="N97"/>
      <c r="O97" s="995"/>
      <c r="V97" s="567"/>
      <c r="W97" s="567"/>
      <c r="X97" s="567"/>
      <c r="Y97" s="567"/>
      <c r="Z97" s="567"/>
      <c r="AA97" s="567"/>
      <c r="BC97" s="586"/>
      <c r="BD97" s="587"/>
      <c r="BE97" s="586"/>
      <c r="BO97" s="86"/>
      <c r="BP97" s="18"/>
      <c r="BQ97" s="96">
        <v>34</v>
      </c>
      <c r="BR97" s="97"/>
      <c r="BS97" s="97"/>
      <c r="BT97" s="97"/>
      <c r="BU97" s="97"/>
      <c r="BV97" s="97"/>
      <c r="BW97" s="97"/>
      <c r="BX97" s="97"/>
      <c r="BY97" s="97"/>
      <c r="BZ97" s="94"/>
      <c r="CA97" s="94"/>
      <c r="CB97" s="89"/>
      <c r="CC97" s="89"/>
      <c r="CD97" s="89"/>
      <c r="CE97" s="89"/>
      <c r="CF97" s="89"/>
      <c r="CG97" s="89"/>
      <c r="CH97" s="89"/>
      <c r="CI97" s="104"/>
      <c r="CJ97" s="89"/>
      <c r="CK97" s="105"/>
      <c r="CL97" s="89"/>
      <c r="CM97" s="89"/>
      <c r="CN97" s="89"/>
      <c r="CO97" s="37"/>
      <c r="CP97" s="95"/>
      <c r="CQ97" s="95"/>
      <c r="CR97" s="95"/>
      <c r="CS97" s="95"/>
      <c r="CT97" s="92"/>
      <c r="CU97" s="92"/>
      <c r="CV97" s="101" t="b">
        <f>IF(CY57=34,31)</f>
        <v>0</v>
      </c>
      <c r="CW97" s="102"/>
      <c r="CX97" s="102"/>
      <c r="CY97" s="102"/>
      <c r="CZ97" s="102"/>
      <c r="DA97" s="102"/>
      <c r="DB97" s="103" t="b">
        <f>IF(CY57=34,37)</f>
        <v>0</v>
      </c>
      <c r="DC97" s="92"/>
      <c r="DD97" s="17"/>
      <c r="DE97" s="78"/>
    </row>
    <row r="98" spans="2:109" ht="24" hidden="1" thickBot="1" x14ac:dyDescent="0.3">
      <c r="B98" s="566"/>
      <c r="C98" s="566"/>
      <c r="D98" s="565"/>
      <c r="E98" s="565"/>
      <c r="F98" s="565"/>
      <c r="G98" s="998"/>
      <c r="H98"/>
      <c r="I98"/>
      <c r="J98"/>
      <c r="K98"/>
      <c r="L98"/>
      <c r="M98"/>
      <c r="N98"/>
      <c r="O98" s="995"/>
      <c r="U98" s="567"/>
      <c r="AB98" s="567"/>
      <c r="AC98" s="567"/>
      <c r="AD98" s="567"/>
      <c r="AE98" s="567"/>
      <c r="BC98" s="569"/>
      <c r="BD98" s="569"/>
      <c r="BO98" s="86"/>
      <c r="BP98" s="18"/>
      <c r="BQ98" s="96">
        <v>33</v>
      </c>
      <c r="BR98" s="97"/>
      <c r="BS98" s="97"/>
      <c r="BT98" s="97"/>
      <c r="BU98" s="97"/>
      <c r="BV98" s="97"/>
      <c r="BW98" s="97"/>
      <c r="BX98" s="97"/>
      <c r="BY98" s="97"/>
      <c r="BZ98" s="94"/>
      <c r="CA98" s="94"/>
      <c r="CB98" s="89"/>
      <c r="CC98" s="89"/>
      <c r="CD98" s="89"/>
      <c r="CE98" s="89"/>
      <c r="CF98" s="89"/>
      <c r="CG98" s="89"/>
      <c r="CH98" s="89"/>
      <c r="CI98" s="104"/>
      <c r="CJ98" s="89"/>
      <c r="CK98" s="105"/>
      <c r="CL98" s="89"/>
      <c r="CM98" s="89"/>
      <c r="CN98" s="89"/>
      <c r="CO98" s="37"/>
      <c r="CP98" s="95"/>
      <c r="CQ98" s="95"/>
      <c r="CR98" s="95"/>
      <c r="CS98" s="95"/>
      <c r="CT98" s="101" t="b">
        <f>IF(CX57=33,29)</f>
        <v>0</v>
      </c>
      <c r="CU98" s="102"/>
      <c r="CV98" s="102"/>
      <c r="CW98" s="102"/>
      <c r="CX98" s="102"/>
      <c r="CY98" s="102"/>
      <c r="CZ98" s="102"/>
      <c r="DA98" s="102"/>
      <c r="DB98" s="103" t="b">
        <f>IF(CX57=33,37)</f>
        <v>0</v>
      </c>
      <c r="DC98" s="92"/>
      <c r="DD98" s="17"/>
      <c r="DE98" s="78"/>
    </row>
    <row r="99" spans="2:109" ht="21" hidden="1" thickBot="1" x14ac:dyDescent="0.25">
      <c r="B99" s="566"/>
      <c r="C99" s="566"/>
      <c r="D99" s="565"/>
      <c r="E99" s="565"/>
      <c r="F99" s="565"/>
      <c r="G99" s="998"/>
      <c r="H99"/>
      <c r="I99"/>
      <c r="J99"/>
      <c r="K99"/>
      <c r="L99"/>
      <c r="M99"/>
      <c r="N99"/>
      <c r="O99" s="995"/>
      <c r="U99" s="567"/>
      <c r="AB99" s="567"/>
      <c r="AC99" s="567"/>
      <c r="AD99" s="567"/>
      <c r="AE99" s="567"/>
      <c r="BC99" s="569"/>
      <c r="BD99" s="569"/>
      <c r="BO99" s="86"/>
      <c r="BQ99" s="96">
        <v>32</v>
      </c>
      <c r="BR99" s="107"/>
      <c r="BS99" s="107"/>
      <c r="BT99" s="107"/>
      <c r="BU99" s="107"/>
      <c r="BV99" s="107"/>
      <c r="BW99" s="108"/>
      <c r="BX99" s="107"/>
      <c r="BY99" s="107"/>
      <c r="BZ99" s="107"/>
      <c r="CA99" s="107"/>
      <c r="CB99" s="107"/>
      <c r="CC99" s="107"/>
      <c r="CD99" s="107"/>
      <c r="CE99" s="107"/>
      <c r="CF99" s="107"/>
      <c r="CG99" s="107"/>
      <c r="CH99" s="107"/>
      <c r="CI99" s="109"/>
      <c r="CJ99" s="107"/>
      <c r="CK99" s="110"/>
      <c r="CL99" s="107"/>
      <c r="CM99" s="107"/>
      <c r="CN99" s="107"/>
      <c r="CO99" s="108"/>
      <c r="CP99" s="78"/>
      <c r="CQ99" s="78"/>
      <c r="CR99" s="101" t="b">
        <f>IF(CW57=32,27)</f>
        <v>0</v>
      </c>
      <c r="CS99" s="111"/>
      <c r="CT99" s="111"/>
      <c r="CU99" s="111"/>
      <c r="CV99" s="111"/>
      <c r="CW99" s="111"/>
      <c r="CX99" s="111"/>
      <c r="CY99" s="111"/>
      <c r="CZ99" s="111"/>
      <c r="DA99" s="111"/>
      <c r="DB99" s="103" t="b">
        <f>IF(CW57=32,37)</f>
        <v>0</v>
      </c>
      <c r="DC99" s="78"/>
      <c r="DD99" s="78"/>
      <c r="DE99" s="78"/>
    </row>
    <row r="100" spans="2:109" ht="21" hidden="1" thickBot="1" x14ac:dyDescent="0.25">
      <c r="B100" s="566"/>
      <c r="C100" s="566"/>
      <c r="D100" s="565"/>
      <c r="E100" s="565"/>
      <c r="F100" s="565"/>
      <c r="G100" s="998"/>
      <c r="H100"/>
      <c r="I100"/>
      <c r="J100"/>
      <c r="K100"/>
      <c r="L100"/>
      <c r="M100"/>
      <c r="N100"/>
      <c r="O100" s="995"/>
      <c r="U100" s="567"/>
      <c r="AB100" s="567"/>
      <c r="AC100" s="567"/>
      <c r="AD100" s="567"/>
      <c r="AE100" s="567"/>
      <c r="BC100" s="569"/>
      <c r="BD100" s="569"/>
      <c r="BO100" s="86"/>
      <c r="BQ100" s="96">
        <v>31</v>
      </c>
      <c r="BR100" s="107"/>
      <c r="BS100" s="107"/>
      <c r="BT100" s="107"/>
      <c r="BU100" s="107"/>
      <c r="BV100" s="107"/>
      <c r="BW100" s="108"/>
      <c r="BX100" s="107"/>
      <c r="BY100" s="107"/>
      <c r="BZ100" s="107"/>
      <c r="CA100" s="107"/>
      <c r="CB100" s="107"/>
      <c r="CC100" s="107"/>
      <c r="CD100" s="107"/>
      <c r="CE100" s="107"/>
      <c r="CF100" s="107"/>
      <c r="CG100" s="107"/>
      <c r="CH100" s="107"/>
      <c r="CI100" s="109"/>
      <c r="CJ100" s="107"/>
      <c r="CK100" s="110"/>
      <c r="CL100" s="107"/>
      <c r="CM100" s="107"/>
      <c r="CN100" s="107"/>
      <c r="CO100" s="108"/>
      <c r="CP100" s="101" t="b">
        <f>IF(CV57=31,25)</f>
        <v>0</v>
      </c>
      <c r="CQ100" s="111"/>
      <c r="CR100" s="111"/>
      <c r="CS100" s="111"/>
      <c r="CT100" s="111"/>
      <c r="CU100" s="111"/>
      <c r="CV100" s="111"/>
      <c r="CW100" s="111"/>
      <c r="CX100" s="111"/>
      <c r="CY100" s="111"/>
      <c r="CZ100" s="111"/>
      <c r="DA100" s="111"/>
      <c r="DB100" s="103" t="b">
        <f>IF(CV57=31,37)</f>
        <v>0</v>
      </c>
      <c r="DC100" s="78"/>
      <c r="DD100" s="78"/>
      <c r="DE100" s="78"/>
    </row>
    <row r="101" spans="2:109" ht="21" hidden="1" thickBot="1" x14ac:dyDescent="0.25">
      <c r="B101" s="566"/>
      <c r="C101" s="566"/>
      <c r="D101" s="565"/>
      <c r="E101" s="565"/>
      <c r="F101" s="565"/>
      <c r="G101" s="998"/>
      <c r="H101"/>
      <c r="I101"/>
      <c r="J101"/>
      <c r="K101"/>
      <c r="L101"/>
      <c r="M101"/>
      <c r="N101"/>
      <c r="O101" s="995"/>
      <c r="U101" s="567"/>
      <c r="AB101" s="567"/>
      <c r="AC101" s="567"/>
      <c r="AD101" s="567"/>
      <c r="AE101" s="567"/>
      <c r="BC101" s="569"/>
      <c r="BD101" s="569"/>
      <c r="BO101" s="86"/>
      <c r="BQ101" s="96">
        <v>30</v>
      </c>
      <c r="BR101" s="107"/>
      <c r="BS101" s="107"/>
      <c r="BT101" s="107"/>
      <c r="BU101" s="107"/>
      <c r="BV101" s="107"/>
      <c r="BW101" s="108"/>
      <c r="BX101" s="107"/>
      <c r="BY101" s="107"/>
      <c r="BZ101" s="107"/>
      <c r="CA101" s="107"/>
      <c r="CB101" s="107"/>
      <c r="CC101" s="107"/>
      <c r="CD101" s="107"/>
      <c r="CE101" s="107"/>
      <c r="CF101" s="107"/>
      <c r="CG101" s="107"/>
      <c r="CH101" s="107"/>
      <c r="CI101" s="109"/>
      <c r="CJ101" s="107"/>
      <c r="CK101" s="110"/>
      <c r="CL101" s="107"/>
      <c r="CM101" s="107"/>
      <c r="CN101" s="101" t="b">
        <f>IF(CU57=30,23)</f>
        <v>0</v>
      </c>
      <c r="CO101" s="112"/>
      <c r="CP101" s="111"/>
      <c r="CQ101" s="111"/>
      <c r="CR101" s="111"/>
      <c r="CS101" s="111"/>
      <c r="CT101" s="111"/>
      <c r="CU101" s="111"/>
      <c r="CV101" s="111"/>
      <c r="CW101" s="111"/>
      <c r="CX101" s="111"/>
      <c r="CY101" s="111"/>
      <c r="CZ101" s="111"/>
      <c r="DA101" s="111"/>
      <c r="DB101" s="103" t="b">
        <f>IF(CU57=30,37)</f>
        <v>0</v>
      </c>
      <c r="DC101" s="78"/>
      <c r="DD101" s="78"/>
      <c r="DE101" s="78"/>
    </row>
    <row r="102" spans="2:109" ht="21" hidden="1" thickBot="1" x14ac:dyDescent="0.25">
      <c r="B102" s="566"/>
      <c r="C102" s="566"/>
      <c r="D102" s="565"/>
      <c r="E102" s="565"/>
      <c r="F102" s="565"/>
      <c r="G102" s="998"/>
      <c r="H102"/>
      <c r="I102"/>
      <c r="J102"/>
      <c r="K102"/>
      <c r="L102"/>
      <c r="M102"/>
      <c r="N102"/>
      <c r="O102" s="995"/>
      <c r="U102" s="567"/>
      <c r="AB102" s="567"/>
      <c r="AC102" s="567"/>
      <c r="AD102" s="567"/>
      <c r="AE102" s="567"/>
      <c r="BC102" s="569"/>
      <c r="BD102" s="569"/>
      <c r="BF102" s="114"/>
      <c r="BG102" s="114"/>
      <c r="BH102" s="114"/>
      <c r="BI102" s="114"/>
      <c r="BO102" s="86"/>
      <c r="BP102" s="114"/>
      <c r="BQ102" s="96">
        <v>29</v>
      </c>
      <c r="BR102" s="78"/>
      <c r="BS102" s="78"/>
      <c r="BT102" s="78"/>
      <c r="BU102" s="78"/>
      <c r="BV102" s="78"/>
      <c r="BW102" s="78"/>
      <c r="BX102" s="78"/>
      <c r="BY102" s="78"/>
      <c r="BZ102" s="78"/>
      <c r="CA102" s="78"/>
      <c r="CB102" s="78"/>
      <c r="CC102" s="78"/>
      <c r="CD102" s="78"/>
      <c r="CE102" s="78"/>
      <c r="CF102" s="78"/>
      <c r="CG102" s="78"/>
      <c r="CH102" s="78"/>
      <c r="CI102" s="115"/>
      <c r="CJ102" s="78"/>
      <c r="CK102" s="116"/>
      <c r="CL102" s="117" t="b">
        <f>IF(CT57=29,21)</f>
        <v>0</v>
      </c>
      <c r="CM102" s="111"/>
      <c r="CN102" s="111"/>
      <c r="CO102" s="111"/>
      <c r="CP102" s="111"/>
      <c r="CQ102" s="111"/>
      <c r="CR102" s="111"/>
      <c r="CS102" s="118"/>
      <c r="CT102" s="111"/>
      <c r="CU102" s="118"/>
      <c r="CV102" s="119"/>
      <c r="CW102" s="119"/>
      <c r="CX102" s="119"/>
      <c r="CY102" s="119"/>
      <c r="CZ102" s="119"/>
      <c r="DA102" s="119"/>
      <c r="DB102" s="103" t="b">
        <f>IF(CT57=29,37)</f>
        <v>0</v>
      </c>
      <c r="DC102" s="76"/>
      <c r="DD102" s="78"/>
      <c r="DE102" s="78"/>
    </row>
    <row r="103" spans="2:109" ht="21" hidden="1" thickBot="1" x14ac:dyDescent="0.25">
      <c r="B103" s="566"/>
      <c r="C103" s="566"/>
      <c r="D103" s="565"/>
      <c r="E103" s="565"/>
      <c r="F103" s="565"/>
      <c r="G103" s="998"/>
      <c r="H103"/>
      <c r="I103"/>
      <c r="J103"/>
      <c r="K103"/>
      <c r="L103"/>
      <c r="M103"/>
      <c r="N103"/>
      <c r="O103" s="995"/>
      <c r="U103" s="567"/>
      <c r="AB103" s="567"/>
      <c r="AC103" s="567"/>
      <c r="AD103" s="567"/>
      <c r="AE103" s="567"/>
      <c r="BC103" s="569"/>
      <c r="BD103" s="569"/>
      <c r="BF103" s="114"/>
      <c r="BG103" s="114"/>
      <c r="BH103" s="114"/>
      <c r="BI103" s="114"/>
      <c r="BO103" s="86"/>
      <c r="BP103" s="114"/>
      <c r="BQ103" s="96">
        <v>28</v>
      </c>
      <c r="BR103" s="78"/>
      <c r="BS103" s="78"/>
      <c r="BT103" s="78"/>
      <c r="BU103" s="78"/>
      <c r="BV103" s="78"/>
      <c r="BW103" s="78"/>
      <c r="BX103" s="78"/>
      <c r="BY103" s="78"/>
      <c r="BZ103" s="78"/>
      <c r="CA103" s="78"/>
      <c r="CB103" s="78"/>
      <c r="CC103" s="78"/>
      <c r="CD103" s="78"/>
      <c r="CE103" s="78"/>
      <c r="CF103" s="78"/>
      <c r="CG103" s="78"/>
      <c r="CH103" s="78"/>
      <c r="CI103" s="115"/>
      <c r="CJ103" s="78"/>
      <c r="CK103" s="116"/>
      <c r="CL103" s="120" t="b">
        <f>IF(CS57=28,21)</f>
        <v>0</v>
      </c>
      <c r="CM103" s="121"/>
      <c r="CN103" s="121"/>
      <c r="CO103" s="121"/>
      <c r="CP103" s="121"/>
      <c r="CQ103" s="122"/>
      <c r="CR103" s="121"/>
      <c r="CS103" s="121"/>
      <c r="CT103" s="121"/>
      <c r="CU103" s="122"/>
      <c r="CV103" s="123"/>
      <c r="CW103" s="123"/>
      <c r="CX103" s="123"/>
      <c r="CY103" s="123"/>
      <c r="CZ103" s="124" t="b">
        <f>IF(CS57=28,35)</f>
        <v>0</v>
      </c>
      <c r="DA103" s="76"/>
      <c r="DB103" s="76"/>
      <c r="DC103" s="76"/>
      <c r="DD103" s="78"/>
      <c r="DE103" s="78"/>
    </row>
    <row r="104" spans="2:109" ht="21" hidden="1" thickBot="1" x14ac:dyDescent="0.25">
      <c r="B104" s="566"/>
      <c r="C104" s="566"/>
      <c r="D104" s="565"/>
      <c r="E104" s="565"/>
      <c r="F104" s="565"/>
      <c r="G104" s="998"/>
      <c r="H104"/>
      <c r="I104"/>
      <c r="J104"/>
      <c r="K104"/>
      <c r="L104"/>
      <c r="M104"/>
      <c r="N104"/>
      <c r="O104" s="995"/>
      <c r="U104" s="567"/>
      <c r="AB104" s="567"/>
      <c r="AC104" s="567"/>
      <c r="AD104" s="567"/>
      <c r="AE104" s="567"/>
      <c r="BC104" s="569"/>
      <c r="BD104" s="569"/>
      <c r="BF104" s="114"/>
      <c r="BG104" s="114"/>
      <c r="BH104" s="114"/>
      <c r="BI104" s="114"/>
      <c r="BO104" s="86"/>
      <c r="BP104" s="114"/>
      <c r="BQ104" s="96">
        <v>27</v>
      </c>
      <c r="BR104" s="78"/>
      <c r="BS104" s="78"/>
      <c r="BT104" s="78"/>
      <c r="BU104" s="78"/>
      <c r="BV104" s="78"/>
      <c r="BW104" s="78"/>
      <c r="BX104" s="78"/>
      <c r="BY104" s="78"/>
      <c r="BZ104" s="78"/>
      <c r="CA104" s="78"/>
      <c r="CB104" s="78"/>
      <c r="CC104" s="78"/>
      <c r="CD104" s="78"/>
      <c r="CE104" s="78"/>
      <c r="CF104" s="78"/>
      <c r="CG104" s="78"/>
      <c r="CH104" s="78"/>
      <c r="CI104" s="115"/>
      <c r="CJ104" s="78"/>
      <c r="CK104" s="116"/>
      <c r="CL104" s="120" t="b">
        <f>IF(CR57=27,21)</f>
        <v>0</v>
      </c>
      <c r="CM104" s="121"/>
      <c r="CN104" s="121"/>
      <c r="CO104" s="122"/>
      <c r="CP104" s="121"/>
      <c r="CQ104" s="121"/>
      <c r="CR104" s="121"/>
      <c r="CS104" s="121"/>
      <c r="CT104" s="121"/>
      <c r="CU104" s="122"/>
      <c r="CV104" s="123"/>
      <c r="CW104" s="123"/>
      <c r="CX104" s="124" t="b">
        <f>IF(CR57=27,33)</f>
        <v>0</v>
      </c>
      <c r="CY104" s="76"/>
      <c r="CZ104" s="76"/>
      <c r="DA104" s="76"/>
      <c r="DB104" s="76"/>
      <c r="DC104" s="76"/>
      <c r="DD104" s="78"/>
      <c r="DE104" s="78"/>
    </row>
    <row r="105" spans="2:109" ht="21" hidden="1" thickBot="1" x14ac:dyDescent="0.25">
      <c r="B105" s="566"/>
      <c r="C105" s="566"/>
      <c r="D105" s="565"/>
      <c r="E105" s="565"/>
      <c r="F105" s="565"/>
      <c r="G105" s="998"/>
      <c r="H105"/>
      <c r="I105"/>
      <c r="J105"/>
      <c r="K105"/>
      <c r="L105"/>
      <c r="M105"/>
      <c r="N105"/>
      <c r="O105" s="995"/>
      <c r="U105" s="567"/>
      <c r="AB105" s="567"/>
      <c r="AC105" s="567"/>
      <c r="AD105" s="567"/>
      <c r="AE105" s="567"/>
      <c r="BC105" s="569"/>
      <c r="BD105" s="569"/>
      <c r="BO105" s="86"/>
      <c r="BQ105" s="96">
        <v>26</v>
      </c>
      <c r="BR105" s="78"/>
      <c r="BS105" s="78"/>
      <c r="BT105" s="78"/>
      <c r="BU105" s="78"/>
      <c r="BV105" s="78"/>
      <c r="BW105" s="78"/>
      <c r="BX105" s="78"/>
      <c r="BY105" s="78"/>
      <c r="BZ105" s="78"/>
      <c r="CA105" s="78"/>
      <c r="CB105" s="78"/>
      <c r="CC105" s="78"/>
      <c r="CD105" s="78"/>
      <c r="CE105" s="78"/>
      <c r="CF105" s="78"/>
      <c r="CG105" s="78"/>
      <c r="CH105" s="78"/>
      <c r="CI105" s="115"/>
      <c r="CJ105" s="78"/>
      <c r="CK105" s="116"/>
      <c r="CL105" s="120" t="b">
        <f>IF(CQ57=26,21)</f>
        <v>0</v>
      </c>
      <c r="CM105" s="122"/>
      <c r="CN105" s="121"/>
      <c r="CO105" s="121"/>
      <c r="CP105" s="121"/>
      <c r="CQ105" s="121"/>
      <c r="CR105" s="121"/>
      <c r="CS105" s="121"/>
      <c r="CT105" s="121"/>
      <c r="CU105" s="122"/>
      <c r="CV105" s="124" t="b">
        <f>IF(CQ57=26,31)</f>
        <v>0</v>
      </c>
      <c r="CW105" s="76"/>
      <c r="CX105" s="76"/>
      <c r="CY105" s="76"/>
      <c r="CZ105" s="76"/>
      <c r="DA105" s="76"/>
      <c r="DB105" s="76"/>
      <c r="DC105" s="76"/>
      <c r="DD105" s="78"/>
      <c r="DE105" s="78"/>
    </row>
    <row r="106" spans="2:109" ht="21" hidden="1" thickBot="1" x14ac:dyDescent="0.25">
      <c r="B106" s="566"/>
      <c r="C106" s="566"/>
      <c r="D106" s="565"/>
      <c r="E106" s="565"/>
      <c r="F106" s="565"/>
      <c r="G106" s="998"/>
      <c r="H106"/>
      <c r="I106"/>
      <c r="J106"/>
      <c r="K106"/>
      <c r="L106"/>
      <c r="M106"/>
      <c r="N106"/>
      <c r="O106" s="995"/>
      <c r="U106" s="567"/>
      <c r="AB106" s="567"/>
      <c r="AC106" s="567"/>
      <c r="AD106" s="567"/>
      <c r="AE106" s="567"/>
      <c r="BC106" s="569"/>
      <c r="BD106" s="569"/>
      <c r="BF106" s="126"/>
      <c r="BG106" s="126"/>
      <c r="BH106" s="126"/>
      <c r="BI106" s="126"/>
      <c r="BO106" s="86"/>
      <c r="BP106" s="126"/>
      <c r="BQ106" s="96">
        <v>25</v>
      </c>
      <c r="BR106" s="78"/>
      <c r="BS106" s="78"/>
      <c r="BT106" s="78"/>
      <c r="BU106" s="78"/>
      <c r="BV106" s="78"/>
      <c r="BW106" s="78"/>
      <c r="BX106" s="78"/>
      <c r="BY106" s="78"/>
      <c r="BZ106" s="78"/>
      <c r="CA106" s="78"/>
      <c r="CB106" s="78"/>
      <c r="CD106" s="78"/>
      <c r="CE106" s="78"/>
      <c r="CF106" s="78"/>
      <c r="CG106" s="78"/>
      <c r="CH106" s="78"/>
      <c r="CI106" s="115"/>
      <c r="CJ106" s="78"/>
      <c r="CL106" s="128" t="b">
        <f>IF(CP57=25,21)</f>
        <v>0</v>
      </c>
      <c r="CM106" s="121"/>
      <c r="CN106" s="121"/>
      <c r="CO106" s="121"/>
      <c r="CP106" s="121"/>
      <c r="CQ106" s="121"/>
      <c r="CR106" s="121"/>
      <c r="CS106" s="121"/>
      <c r="CT106" s="124" t="b">
        <f>IF(CP57=25,29)</f>
        <v>0</v>
      </c>
      <c r="CV106" s="76"/>
      <c r="CW106" s="76"/>
      <c r="CX106" s="76"/>
      <c r="CY106" s="76"/>
      <c r="CZ106" s="76"/>
      <c r="DA106" s="76"/>
      <c r="DB106" s="76"/>
      <c r="DC106" s="76"/>
      <c r="DD106" s="78"/>
      <c r="DE106" s="78"/>
    </row>
    <row r="107" spans="2:109" ht="21" hidden="1" thickBot="1" x14ac:dyDescent="0.25">
      <c r="B107" s="566"/>
      <c r="C107" s="566"/>
      <c r="D107" s="565"/>
      <c r="E107" s="565"/>
      <c r="F107" s="565"/>
      <c r="G107" s="998"/>
      <c r="H107"/>
      <c r="I107"/>
      <c r="J107"/>
      <c r="K107"/>
      <c r="L107"/>
      <c r="M107"/>
      <c r="N107"/>
      <c r="O107" s="995"/>
      <c r="U107" s="567"/>
      <c r="AB107" s="567"/>
      <c r="AC107" s="567"/>
      <c r="AD107" s="567"/>
      <c r="AE107" s="567"/>
      <c r="BC107" s="569"/>
      <c r="BD107" s="569"/>
      <c r="BF107" s="126"/>
      <c r="BG107" s="126"/>
      <c r="BH107" s="126"/>
      <c r="BI107" s="126"/>
      <c r="BO107" s="86"/>
      <c r="BP107" s="126"/>
      <c r="BQ107" s="96">
        <v>24</v>
      </c>
      <c r="BR107" s="78"/>
      <c r="BS107" s="78"/>
      <c r="BT107" s="78"/>
      <c r="BU107" s="78"/>
      <c r="BV107" s="78"/>
      <c r="BW107" s="78"/>
      <c r="BX107" s="78"/>
      <c r="BY107" s="78"/>
      <c r="BZ107" s="78"/>
      <c r="CA107" s="78"/>
      <c r="CB107" s="78"/>
      <c r="CC107" s="117" t="b">
        <f>IF(CO57=24,12)</f>
        <v>0</v>
      </c>
      <c r="CD107" s="111"/>
      <c r="CE107" s="111"/>
      <c r="CF107" s="111"/>
      <c r="CG107" s="111"/>
      <c r="CH107" s="111"/>
      <c r="CI107" s="118"/>
      <c r="CJ107" s="111"/>
      <c r="CK107" s="129"/>
      <c r="CL107" s="111"/>
      <c r="CM107" s="111"/>
      <c r="CN107" s="111"/>
      <c r="CO107" s="111"/>
      <c r="CP107" s="111"/>
      <c r="CQ107" s="111"/>
      <c r="CR107" s="111"/>
      <c r="CS107" s="111"/>
      <c r="CT107" s="111"/>
      <c r="CU107" s="118"/>
      <c r="CV107" s="119"/>
      <c r="CW107" s="119"/>
      <c r="CX107" s="119"/>
      <c r="CY107" s="119"/>
      <c r="CZ107" s="119"/>
      <c r="DA107" s="103" t="b">
        <f>IF(CO57=24,36)</f>
        <v>0</v>
      </c>
      <c r="DB107" s="76"/>
      <c r="DC107" s="76"/>
      <c r="DD107" s="78"/>
      <c r="DE107" s="78"/>
    </row>
    <row r="108" spans="2:109" ht="21" hidden="1" thickBot="1" x14ac:dyDescent="0.25">
      <c r="B108" s="588"/>
      <c r="C108" s="566"/>
      <c r="D108" s="565"/>
      <c r="E108" s="565"/>
      <c r="F108" s="565"/>
      <c r="G108" s="998"/>
      <c r="H108"/>
      <c r="I108"/>
      <c r="J108"/>
      <c r="K108"/>
      <c r="L108"/>
      <c r="M108"/>
      <c r="N108"/>
      <c r="O108" s="995"/>
      <c r="U108" s="567"/>
      <c r="AB108" s="567"/>
      <c r="AC108" s="567"/>
      <c r="AD108" s="567"/>
      <c r="AE108" s="567"/>
      <c r="BC108" s="569"/>
      <c r="BD108" s="569"/>
      <c r="BF108" s="126"/>
      <c r="BG108" s="126"/>
      <c r="BH108" s="126"/>
      <c r="BI108" s="126"/>
      <c r="BO108" s="86"/>
      <c r="BP108" s="126"/>
      <c r="BQ108" s="96">
        <v>23</v>
      </c>
      <c r="BR108" s="78"/>
      <c r="BS108" s="78"/>
      <c r="BT108" s="78"/>
      <c r="BU108" s="78"/>
      <c r="BV108" s="78"/>
      <c r="BW108" s="78"/>
      <c r="BX108" s="78"/>
      <c r="BY108" s="78"/>
      <c r="BZ108" s="78"/>
      <c r="CA108" s="78"/>
      <c r="CB108" s="78"/>
      <c r="CC108" s="120" t="b">
        <f>IF(CN57=23,12)</f>
        <v>0</v>
      </c>
      <c r="CD108" s="121"/>
      <c r="CE108" s="121"/>
      <c r="CF108" s="121"/>
      <c r="CG108" s="122"/>
      <c r="CH108" s="121"/>
      <c r="CI108" s="132"/>
      <c r="CJ108" s="121"/>
      <c r="CK108" s="133"/>
      <c r="CL108" s="121"/>
      <c r="CM108" s="121"/>
      <c r="CN108" s="121"/>
      <c r="CO108" s="121"/>
      <c r="CP108" s="121"/>
      <c r="CQ108" s="121"/>
      <c r="CR108" s="121"/>
      <c r="CS108" s="121"/>
      <c r="CT108" s="121"/>
      <c r="CU108" s="122"/>
      <c r="CV108" s="123"/>
      <c r="CW108" s="123"/>
      <c r="CX108" s="123"/>
      <c r="CY108" s="124" t="b">
        <f>IF(CN57=23,34)</f>
        <v>0</v>
      </c>
      <c r="CZ108" s="76"/>
      <c r="DA108" s="76"/>
      <c r="DB108" s="76"/>
      <c r="DC108" s="76"/>
      <c r="DD108" s="78"/>
      <c r="DE108" s="78"/>
    </row>
    <row r="109" spans="2:109" ht="21" hidden="1" thickBot="1" x14ac:dyDescent="0.25">
      <c r="B109" s="585"/>
      <c r="C109" s="566"/>
      <c r="D109" s="589"/>
      <c r="E109" s="589"/>
      <c r="F109" s="565"/>
      <c r="G109" s="998"/>
      <c r="H109"/>
      <c r="I109"/>
      <c r="J109"/>
      <c r="K109"/>
      <c r="L109"/>
      <c r="M109"/>
      <c r="N109"/>
      <c r="O109" s="995"/>
      <c r="U109" s="567"/>
      <c r="AB109" s="567"/>
      <c r="AC109" s="567"/>
      <c r="AD109" s="567"/>
      <c r="AE109" s="567"/>
      <c r="BC109" s="569"/>
      <c r="BD109" s="569"/>
      <c r="BF109" s="126"/>
      <c r="BG109" s="126"/>
      <c r="BH109" s="126"/>
      <c r="BI109" s="126"/>
      <c r="BO109" s="86"/>
      <c r="BP109" s="126"/>
      <c r="BQ109" s="96">
        <v>22</v>
      </c>
      <c r="BR109" s="76"/>
      <c r="BS109" s="76"/>
      <c r="BT109" s="76"/>
      <c r="BU109" s="76"/>
      <c r="BV109" s="76"/>
      <c r="BW109" s="76"/>
      <c r="BX109" s="76"/>
      <c r="BY109" s="76"/>
      <c r="BZ109" s="76"/>
      <c r="CA109" s="76"/>
      <c r="CB109" s="76"/>
      <c r="CC109" s="120" t="b">
        <f>IF(CM57=22,12)</f>
        <v>0</v>
      </c>
      <c r="CD109" s="123"/>
      <c r="CE109" s="123"/>
      <c r="CF109" s="123"/>
      <c r="CG109" s="122"/>
      <c r="CH109" s="123"/>
      <c r="CI109" s="134"/>
      <c r="CJ109" s="123"/>
      <c r="CK109" s="135"/>
      <c r="CL109" s="123"/>
      <c r="CM109" s="123"/>
      <c r="CN109" s="123"/>
      <c r="CO109" s="123"/>
      <c r="CP109" s="121"/>
      <c r="CQ109" s="121"/>
      <c r="CR109" s="122"/>
      <c r="CS109" s="121"/>
      <c r="CT109" s="121"/>
      <c r="CU109" s="121"/>
      <c r="CV109" s="121"/>
      <c r="CW109" s="124" t="b">
        <f>IF(CM57=22,32)</f>
        <v>0</v>
      </c>
      <c r="CX109" s="78"/>
      <c r="CY109" s="78"/>
      <c r="CZ109" s="78"/>
      <c r="DA109" s="78"/>
      <c r="DB109" s="78"/>
      <c r="DC109" s="78"/>
      <c r="DD109" s="78"/>
      <c r="DE109" s="78"/>
    </row>
    <row r="110" spans="2:109" ht="21" hidden="1" thickBot="1" x14ac:dyDescent="0.25">
      <c r="B110" s="566"/>
      <c r="C110" s="566"/>
      <c r="D110" s="565"/>
      <c r="E110" s="565"/>
      <c r="F110" s="565"/>
      <c r="G110" s="998"/>
      <c r="H110"/>
      <c r="I110"/>
      <c r="J110"/>
      <c r="K110"/>
      <c r="L110"/>
      <c r="M110"/>
      <c r="N110"/>
      <c r="O110" s="995"/>
      <c r="U110" s="567"/>
      <c r="AB110" s="567"/>
      <c r="AC110" s="567"/>
      <c r="AD110" s="567"/>
      <c r="AE110" s="567"/>
      <c r="BC110" s="569"/>
      <c r="BD110" s="569"/>
      <c r="BF110" s="126"/>
      <c r="BG110" s="126"/>
      <c r="BH110" s="126"/>
      <c r="BI110" s="126"/>
      <c r="BO110" s="86"/>
      <c r="BP110" s="126"/>
      <c r="BQ110" s="96">
        <v>21</v>
      </c>
      <c r="BR110" s="78"/>
      <c r="BS110" s="78"/>
      <c r="BT110" s="78"/>
      <c r="BU110" s="78"/>
      <c r="BV110" s="78"/>
      <c r="BW110" s="78"/>
      <c r="BX110" s="78"/>
      <c r="BY110" s="78"/>
      <c r="BZ110" s="78"/>
      <c r="CA110" s="78"/>
      <c r="CB110" s="78"/>
      <c r="CC110" s="120" t="b">
        <f>IF(CL57=21,12)</f>
        <v>0</v>
      </c>
      <c r="CD110" s="121"/>
      <c r="CE110" s="121"/>
      <c r="CF110" s="121"/>
      <c r="CG110" s="121"/>
      <c r="CH110" s="121"/>
      <c r="CI110" s="132"/>
      <c r="CJ110" s="121"/>
      <c r="CK110" s="133"/>
      <c r="CL110" s="121"/>
      <c r="CM110" s="121"/>
      <c r="CN110" s="121"/>
      <c r="CO110" s="121"/>
      <c r="CP110" s="121"/>
      <c r="CQ110" s="121"/>
      <c r="CR110" s="121"/>
      <c r="CS110" s="121"/>
      <c r="CT110" s="121"/>
      <c r="CU110" s="124" t="b">
        <f>IF(CL57=21,30)</f>
        <v>0</v>
      </c>
      <c r="CV110" s="76"/>
      <c r="CW110" s="76"/>
      <c r="CX110" s="76"/>
      <c r="CY110" s="76"/>
      <c r="CZ110" s="76"/>
      <c r="DA110" s="76"/>
      <c r="DB110" s="76"/>
      <c r="DC110" s="76"/>
      <c r="DD110" s="78"/>
      <c r="DE110" s="78"/>
    </row>
    <row r="111" spans="2:109" ht="21" hidden="1" thickBot="1" x14ac:dyDescent="0.25">
      <c r="B111" s="566"/>
      <c r="C111" s="566"/>
      <c r="D111" s="565"/>
      <c r="E111" s="565"/>
      <c r="F111" s="565"/>
      <c r="G111" s="998"/>
      <c r="H111"/>
      <c r="I111"/>
      <c r="J111"/>
      <c r="K111"/>
      <c r="L111"/>
      <c r="M111"/>
      <c r="N111"/>
      <c r="O111" s="995"/>
      <c r="U111" s="567"/>
      <c r="AB111" s="567"/>
      <c r="AC111" s="567"/>
      <c r="AD111" s="567"/>
      <c r="AE111" s="567"/>
      <c r="BC111" s="569"/>
      <c r="BD111" s="569"/>
      <c r="BF111" s="136"/>
      <c r="BG111" s="136"/>
      <c r="BH111" s="136"/>
      <c r="BI111" s="136"/>
      <c r="BO111" s="86"/>
      <c r="BP111" s="1091"/>
      <c r="BQ111" s="96">
        <v>20</v>
      </c>
      <c r="BR111" s="78"/>
      <c r="BS111" s="78"/>
      <c r="BT111" s="78"/>
      <c r="BU111" s="78"/>
      <c r="BV111" s="78"/>
      <c r="BW111" s="78"/>
      <c r="BX111" s="78"/>
      <c r="BY111" s="78"/>
      <c r="CB111" s="137"/>
      <c r="CC111" s="117" t="b">
        <f>IF(CK57=20,12)</f>
        <v>0</v>
      </c>
      <c r="CD111" s="111"/>
      <c r="CE111" s="111"/>
      <c r="CF111" s="111"/>
      <c r="CG111" s="111"/>
      <c r="CH111" s="111"/>
      <c r="CI111" s="138"/>
      <c r="CJ111" s="111"/>
      <c r="CK111" s="129"/>
      <c r="CL111" s="111"/>
      <c r="CM111" s="111"/>
      <c r="CN111" s="111"/>
      <c r="CO111" s="111"/>
      <c r="CP111" s="111"/>
      <c r="CQ111" s="111"/>
      <c r="CR111" s="111"/>
      <c r="CS111" s="103" t="b">
        <f>IF(CK57=20,28)</f>
        <v>0</v>
      </c>
      <c r="CT111" s="137"/>
      <c r="CV111" s="76"/>
      <c r="CW111" s="76"/>
      <c r="CX111" s="76"/>
      <c r="CY111" s="76"/>
      <c r="CZ111" s="76"/>
      <c r="DA111" s="76"/>
      <c r="DB111" s="76"/>
      <c r="DC111" s="76"/>
      <c r="DD111" s="78"/>
      <c r="DE111" s="78"/>
    </row>
    <row r="112" spans="2:109" ht="21" hidden="1" thickBot="1" x14ac:dyDescent="0.25">
      <c r="B112" s="590"/>
      <c r="C112" s="591"/>
      <c r="D112" s="592"/>
      <c r="E112" s="590"/>
      <c r="F112" s="565"/>
      <c r="G112" s="998"/>
      <c r="H112"/>
      <c r="I112"/>
      <c r="J112"/>
      <c r="K112"/>
      <c r="L112"/>
      <c r="M112"/>
      <c r="N112"/>
      <c r="O112" s="995"/>
      <c r="U112" s="567"/>
      <c r="AB112" s="567"/>
      <c r="AC112" s="567"/>
      <c r="AD112" s="567"/>
      <c r="AE112" s="567"/>
      <c r="BC112" s="569"/>
      <c r="BD112" s="569"/>
      <c r="BF112" s="136"/>
      <c r="BG112" s="136"/>
      <c r="BH112" s="136"/>
      <c r="BI112" s="136"/>
      <c r="BO112" s="86"/>
      <c r="BP112" s="1091"/>
      <c r="BQ112" s="96">
        <v>19</v>
      </c>
      <c r="BR112" s="78"/>
      <c r="BS112" s="78"/>
      <c r="BT112" s="78"/>
      <c r="BU112" s="78"/>
      <c r="BV112" s="78"/>
      <c r="BW112" s="78"/>
      <c r="BX112" s="78"/>
      <c r="BY112" s="78"/>
      <c r="CA112" s="139"/>
      <c r="CB112" s="139"/>
      <c r="CC112" s="117" t="b">
        <f>IF(CJ57=19,12)</f>
        <v>0</v>
      </c>
      <c r="CD112" s="119"/>
      <c r="CE112" s="119"/>
      <c r="CF112" s="118"/>
      <c r="CG112" s="119"/>
      <c r="CH112" s="119"/>
      <c r="CI112" s="140"/>
      <c r="CJ112" s="119"/>
      <c r="CK112" s="141"/>
      <c r="CL112" s="118"/>
      <c r="CM112" s="119"/>
      <c r="CN112" s="119"/>
      <c r="CO112" s="119"/>
      <c r="CP112" s="111"/>
      <c r="CQ112" s="103" t="b">
        <f>IF(CJ57=19,26)</f>
        <v>0</v>
      </c>
      <c r="CR112" s="142"/>
      <c r="CS112" s="137"/>
      <c r="CU112" s="78"/>
      <c r="CV112" s="78"/>
      <c r="CW112" s="78"/>
      <c r="CX112" s="78"/>
      <c r="CY112" s="78"/>
      <c r="CZ112" s="78"/>
      <c r="DA112" s="78"/>
      <c r="DB112" s="78"/>
      <c r="DC112" s="78"/>
      <c r="DD112" s="78"/>
      <c r="DE112" s="78"/>
    </row>
    <row r="113" spans="2:109" ht="21" hidden="1" thickBot="1" x14ac:dyDescent="0.25">
      <c r="F113" s="565"/>
      <c r="G113" s="998"/>
      <c r="H113"/>
      <c r="I113"/>
      <c r="J113"/>
      <c r="K113"/>
      <c r="L113"/>
      <c r="M113"/>
      <c r="N113"/>
      <c r="O113" s="995"/>
      <c r="U113" s="567"/>
      <c r="AB113" s="567"/>
      <c r="AC113" s="567"/>
      <c r="AD113" s="567"/>
      <c r="AE113" s="567"/>
      <c r="BC113" s="569"/>
      <c r="BD113" s="569"/>
      <c r="BF113" s="136"/>
      <c r="BG113" s="136"/>
      <c r="BH113" s="136"/>
      <c r="BI113" s="136"/>
      <c r="BO113" s="86"/>
      <c r="BP113" s="1091"/>
      <c r="BQ113" s="96">
        <v>18</v>
      </c>
      <c r="BR113" s="76"/>
      <c r="BS113" s="76"/>
      <c r="BT113" s="76"/>
      <c r="BU113" s="76"/>
      <c r="BV113" s="76"/>
      <c r="BW113" s="76"/>
      <c r="BX113" s="76"/>
      <c r="BY113" s="76"/>
      <c r="CA113" s="117" t="b">
        <f>IF(CI57=18,10)</f>
        <v>0</v>
      </c>
      <c r="CB113" s="119"/>
      <c r="CC113" s="119"/>
      <c r="CD113" s="119"/>
      <c r="CE113" s="119"/>
      <c r="CF113" s="118"/>
      <c r="CG113" s="119"/>
      <c r="CH113" s="119"/>
      <c r="CI113" s="140"/>
      <c r="CJ113" s="119"/>
      <c r="CK113" s="141"/>
      <c r="CL113" s="118"/>
      <c r="CM113" s="119"/>
      <c r="CN113" s="119"/>
      <c r="CO113" s="119"/>
      <c r="CP113" s="111"/>
      <c r="CQ113" s="103" t="b">
        <f>IF(CI57=18,26)</f>
        <v>0</v>
      </c>
      <c r="CS113" s="78"/>
      <c r="CT113" s="78"/>
      <c r="CU113" s="78"/>
      <c r="CV113" s="78"/>
      <c r="CW113" s="78"/>
      <c r="CX113" s="78"/>
      <c r="CY113" s="78"/>
      <c r="CZ113" s="78"/>
      <c r="DA113" s="78"/>
      <c r="DB113" s="78"/>
      <c r="DC113" s="78"/>
      <c r="DD113" s="78"/>
      <c r="DE113" s="78"/>
    </row>
    <row r="114" spans="2:109" ht="21" hidden="1" thickBot="1" x14ac:dyDescent="0.25">
      <c r="F114" s="565"/>
      <c r="G114" s="998"/>
      <c r="H114"/>
      <c r="I114"/>
      <c r="J114"/>
      <c r="K114"/>
      <c r="L114"/>
      <c r="M114"/>
      <c r="N114"/>
      <c r="O114" s="995"/>
      <c r="U114" s="567"/>
      <c r="AB114" s="567"/>
      <c r="AC114" s="567"/>
      <c r="AD114" s="567"/>
      <c r="AE114" s="567"/>
      <c r="BC114" s="569"/>
      <c r="BD114" s="569"/>
      <c r="BF114" s="136"/>
      <c r="BG114" s="136"/>
      <c r="BH114" s="136"/>
      <c r="BI114" s="136"/>
      <c r="BO114" s="86"/>
      <c r="BP114" s="1091"/>
      <c r="BQ114" s="96">
        <v>17</v>
      </c>
      <c r="BR114" s="76"/>
      <c r="BS114" s="76"/>
      <c r="BT114" s="76"/>
      <c r="BU114" s="76"/>
      <c r="BV114" s="76"/>
      <c r="BW114" s="76"/>
      <c r="BX114" s="76"/>
      <c r="BY114" s="117">
        <f>IF(CH57=17,8)</f>
        <v>8</v>
      </c>
      <c r="BZ114" s="118"/>
      <c r="CA114" s="118"/>
      <c r="CB114" s="119"/>
      <c r="CC114" s="119"/>
      <c r="CD114" s="119"/>
      <c r="CE114" s="119"/>
      <c r="CF114" s="119"/>
      <c r="CG114" s="119"/>
      <c r="CH114" s="119"/>
      <c r="CI114" s="140"/>
      <c r="CJ114" s="119"/>
      <c r="CK114" s="141"/>
      <c r="CL114" s="119"/>
      <c r="CM114" s="119"/>
      <c r="CN114" s="119"/>
      <c r="CO114" s="118"/>
      <c r="CP114" s="118"/>
      <c r="CQ114" s="103">
        <f>IF(CH57=17,26)</f>
        <v>26</v>
      </c>
      <c r="CR114" s="78"/>
      <c r="CS114" s="78"/>
      <c r="CT114" s="78"/>
      <c r="CU114" s="78"/>
      <c r="CV114" s="78"/>
      <c r="CW114" s="78"/>
      <c r="CX114" s="78"/>
      <c r="CY114" s="78"/>
      <c r="CZ114" s="78"/>
      <c r="DA114" s="78"/>
      <c r="DB114" s="78"/>
      <c r="DC114" s="78"/>
      <c r="DD114" s="78"/>
      <c r="DE114" s="78"/>
    </row>
    <row r="115" spans="2:109" ht="31" hidden="1" thickBot="1" x14ac:dyDescent="0.25">
      <c r="B115" s="68"/>
      <c r="C115" s="566"/>
      <c r="E115" s="68"/>
      <c r="F115" s="565"/>
      <c r="G115" s="998"/>
      <c r="H115"/>
      <c r="I115"/>
      <c r="J115"/>
      <c r="K115"/>
      <c r="L115"/>
      <c r="M115"/>
      <c r="N115"/>
      <c r="O115" s="995"/>
      <c r="U115" s="567"/>
      <c r="AB115" s="567"/>
      <c r="AC115" s="567"/>
      <c r="AD115" s="567"/>
      <c r="AE115" s="567"/>
      <c r="BC115" s="569"/>
      <c r="BD115" s="569"/>
      <c r="BF115" s="136"/>
      <c r="BG115" s="136"/>
      <c r="BH115" s="136"/>
      <c r="BI115" s="136"/>
      <c r="BO115" s="86"/>
      <c r="BP115" s="1091"/>
      <c r="BQ115" s="96">
        <v>16</v>
      </c>
      <c r="BR115" s="76"/>
      <c r="BS115" s="76"/>
      <c r="BT115" s="76"/>
      <c r="BU115" s="76"/>
      <c r="BV115" s="76"/>
      <c r="BW115" s="145" t="b">
        <f>IF(CG57=16,6)</f>
        <v>0</v>
      </c>
      <c r="BX115" s="146"/>
      <c r="BY115" s="147"/>
      <c r="BZ115" s="147"/>
      <c r="CA115" s="146"/>
      <c r="CB115" s="146"/>
      <c r="CC115" s="146"/>
      <c r="CD115" s="146"/>
      <c r="CE115" s="146"/>
      <c r="CF115" s="146"/>
      <c r="CG115" s="146"/>
      <c r="CH115" s="146"/>
      <c r="CI115" s="148"/>
      <c r="CJ115" s="146"/>
      <c r="CK115" s="149"/>
      <c r="CL115" s="146"/>
      <c r="CM115" s="146"/>
      <c r="CN115" s="147"/>
      <c r="CO115" s="147"/>
      <c r="CP115" s="150"/>
      <c r="CQ115" s="151" t="b">
        <f>IF(CG57=16,26)</f>
        <v>0</v>
      </c>
      <c r="CR115" s="78"/>
      <c r="CS115" s="78"/>
      <c r="CT115" s="78"/>
      <c r="CU115" s="78"/>
      <c r="CV115" s="78"/>
      <c r="CW115" s="78"/>
      <c r="CX115" s="78"/>
      <c r="CY115" s="78"/>
      <c r="CZ115" s="78"/>
      <c r="DA115" s="78"/>
      <c r="DB115" s="78"/>
      <c r="DC115" s="78"/>
      <c r="DD115" s="78"/>
      <c r="DE115" s="78"/>
    </row>
    <row r="116" spans="2:109" ht="21" hidden="1" thickBot="1" x14ac:dyDescent="0.25">
      <c r="D116" s="593"/>
      <c r="F116" s="565"/>
      <c r="G116" s="998"/>
      <c r="H116"/>
      <c r="I116"/>
      <c r="J116"/>
      <c r="K116"/>
      <c r="L116"/>
      <c r="M116"/>
      <c r="N116"/>
      <c r="O116" s="995"/>
      <c r="U116" s="567"/>
      <c r="AB116" s="567"/>
      <c r="AC116" s="567"/>
      <c r="AD116" s="567"/>
      <c r="AE116" s="567"/>
      <c r="BC116" s="569"/>
      <c r="BD116" s="569"/>
      <c r="BF116" s="136"/>
      <c r="BG116" s="136"/>
      <c r="BH116" s="136"/>
      <c r="BI116" s="136"/>
      <c r="BO116" s="86"/>
      <c r="BP116" s="1091"/>
      <c r="BQ116" s="96">
        <v>15</v>
      </c>
      <c r="BR116" s="76"/>
      <c r="BS116" s="76"/>
      <c r="BT116" s="76"/>
      <c r="BU116" s="117" t="b">
        <f>IF(CF57=15,4)</f>
        <v>0</v>
      </c>
      <c r="BV116" s="119"/>
      <c r="BW116" s="119"/>
      <c r="BX116" s="119"/>
      <c r="BY116" s="118"/>
      <c r="BZ116" s="119"/>
      <c r="CA116" s="119"/>
      <c r="CB116" s="118"/>
      <c r="CC116" s="119"/>
      <c r="CD116" s="119"/>
      <c r="CE116" s="119"/>
      <c r="CF116" s="119"/>
      <c r="CG116" s="119"/>
      <c r="CH116" s="119"/>
      <c r="CI116" s="140"/>
      <c r="CJ116" s="118"/>
      <c r="CK116" s="141"/>
      <c r="CL116" s="119"/>
      <c r="CM116" s="118"/>
      <c r="CN116" s="119"/>
      <c r="CO116" s="119"/>
      <c r="CP116" s="111"/>
      <c r="CQ116" s="103" t="b">
        <f>IF(CF57=15,26)</f>
        <v>0</v>
      </c>
      <c r="CR116" s="78"/>
      <c r="CS116" s="78"/>
      <c r="CT116" s="78"/>
      <c r="CU116" s="78"/>
      <c r="CV116" s="78"/>
      <c r="CW116" s="78"/>
      <c r="CX116" s="78"/>
      <c r="CY116" s="78"/>
      <c r="CZ116" s="78"/>
      <c r="DA116" s="78"/>
      <c r="DB116" s="78"/>
      <c r="DC116" s="78"/>
      <c r="DD116" s="78"/>
      <c r="DE116" s="78"/>
    </row>
    <row r="117" spans="2:109" ht="21" hidden="1" thickBot="1" x14ac:dyDescent="0.25">
      <c r="D117" s="593"/>
      <c r="F117" s="565"/>
      <c r="G117" s="998"/>
      <c r="H117"/>
      <c r="I117"/>
      <c r="J117"/>
      <c r="K117"/>
      <c r="L117"/>
      <c r="M117"/>
      <c r="N117"/>
      <c r="O117" s="995"/>
      <c r="U117" s="567"/>
      <c r="AB117" s="567"/>
      <c r="AC117" s="567"/>
      <c r="AD117" s="567"/>
      <c r="AE117" s="567"/>
      <c r="BC117" s="569"/>
      <c r="BD117" s="569"/>
      <c r="BF117" s="136"/>
      <c r="BG117" s="136"/>
      <c r="BH117" s="136"/>
      <c r="BI117" s="136"/>
      <c r="BO117" s="86"/>
      <c r="BP117" s="1091"/>
      <c r="BQ117" s="96">
        <v>14</v>
      </c>
      <c r="BR117" s="76"/>
      <c r="BS117" s="117" t="b">
        <f>IF(CE57=14,2)</f>
        <v>0</v>
      </c>
      <c r="BT117" s="119"/>
      <c r="BU117" s="119"/>
      <c r="BV117" s="119"/>
      <c r="BW117" s="118"/>
      <c r="BX117" s="119"/>
      <c r="BY117" s="119"/>
      <c r="BZ117" s="118"/>
      <c r="CA117" s="119"/>
      <c r="CB117" s="119"/>
      <c r="CC117" s="119"/>
      <c r="CD117" s="119"/>
      <c r="CE117" s="119"/>
      <c r="CF117" s="119"/>
      <c r="CG117" s="119"/>
      <c r="CH117" s="119"/>
      <c r="CI117" s="140"/>
      <c r="CJ117" s="118"/>
      <c r="CK117" s="141"/>
      <c r="CL117" s="119"/>
      <c r="CM117" s="118"/>
      <c r="CN117" s="119"/>
      <c r="CO117" s="119"/>
      <c r="CP117" s="111"/>
      <c r="CQ117" s="103" t="b">
        <f>IF(CE57=14,26)</f>
        <v>0</v>
      </c>
      <c r="CR117" s="78"/>
      <c r="CS117" s="78"/>
      <c r="CT117" s="78"/>
      <c r="CU117" s="78"/>
      <c r="CV117" s="78"/>
      <c r="CW117" s="78"/>
      <c r="CX117" s="78"/>
      <c r="CY117" s="78"/>
      <c r="CZ117" s="78"/>
      <c r="DA117" s="78"/>
      <c r="DB117" s="78"/>
      <c r="DC117" s="78"/>
      <c r="DD117" s="78"/>
      <c r="DE117" s="78"/>
    </row>
    <row r="118" spans="2:109" ht="21" hidden="1" thickBot="1" x14ac:dyDescent="0.25">
      <c r="B118" s="594"/>
      <c r="C118" s="594"/>
      <c r="D118" s="594"/>
      <c r="E118" s="594"/>
      <c r="F118" s="565"/>
      <c r="G118" s="998"/>
      <c r="H118"/>
      <c r="I118"/>
      <c r="J118"/>
      <c r="K118"/>
      <c r="L118"/>
      <c r="M118"/>
      <c r="N118"/>
      <c r="O118" s="995"/>
      <c r="U118" s="567"/>
      <c r="AB118" s="567"/>
      <c r="AC118" s="567"/>
      <c r="AD118" s="567"/>
      <c r="AE118" s="567"/>
      <c r="BC118" s="569"/>
      <c r="BD118" s="569"/>
      <c r="BF118" s="136"/>
      <c r="BG118" s="136"/>
      <c r="BH118" s="136"/>
      <c r="BI118" s="136"/>
      <c r="BO118" s="86"/>
      <c r="BP118" s="1091"/>
      <c r="BQ118" s="96">
        <v>13</v>
      </c>
      <c r="BR118" s="76"/>
      <c r="BS118" s="76"/>
      <c r="BT118" s="76"/>
      <c r="BV118" s="152"/>
      <c r="BW118" s="152"/>
      <c r="BX118" s="91"/>
      <c r="BY118" s="152"/>
      <c r="BZ118" s="120" t="b">
        <f>IF(CD57=13,9)</f>
        <v>0</v>
      </c>
      <c r="CA118" s="123"/>
      <c r="CB118" s="123"/>
      <c r="CC118" s="123"/>
      <c r="CD118" s="123"/>
      <c r="CE118" s="123"/>
      <c r="CF118" s="123"/>
      <c r="CG118" s="123"/>
      <c r="CH118" s="124" t="b">
        <f>IF(CD57=13,17)</f>
        <v>0</v>
      </c>
      <c r="CI118" s="153"/>
      <c r="CJ118" s="91"/>
      <c r="CK118" s="154"/>
      <c r="CL118" s="152"/>
      <c r="CN118" s="76"/>
      <c r="CO118" s="76"/>
      <c r="CP118" s="78"/>
      <c r="CQ118" s="78"/>
      <c r="CR118" s="78"/>
      <c r="CS118" s="78"/>
      <c r="CT118" s="78"/>
      <c r="CU118" s="78"/>
      <c r="CV118" s="78"/>
      <c r="CW118" s="78"/>
      <c r="CX118" s="78"/>
      <c r="CY118" s="78"/>
      <c r="CZ118" s="78"/>
      <c r="DA118" s="78"/>
      <c r="DB118" s="78"/>
      <c r="DC118" s="78"/>
      <c r="DD118" s="78"/>
      <c r="DE118" s="78"/>
    </row>
    <row r="119" spans="2:109" ht="21" hidden="1" thickBot="1" x14ac:dyDescent="0.25">
      <c r="B119" s="595"/>
      <c r="D119" s="595"/>
      <c r="E119" s="595"/>
      <c r="F119" s="565"/>
      <c r="G119" s="998"/>
      <c r="H119"/>
      <c r="I119"/>
      <c r="J119"/>
      <c r="K119"/>
      <c r="L119"/>
      <c r="M119"/>
      <c r="N119"/>
      <c r="O119" s="995"/>
      <c r="U119" s="567"/>
      <c r="AB119" s="567"/>
      <c r="AC119" s="567"/>
      <c r="AD119" s="567"/>
      <c r="AE119" s="567"/>
      <c r="BC119" s="569"/>
      <c r="BD119" s="569"/>
      <c r="BF119" s="136"/>
      <c r="BG119" s="136"/>
      <c r="BH119" s="136"/>
      <c r="BI119" s="136"/>
      <c r="BO119" s="86"/>
      <c r="BP119" s="1091"/>
      <c r="BQ119" s="96">
        <v>12</v>
      </c>
      <c r="BR119" s="76"/>
      <c r="BT119" s="139"/>
      <c r="BU119" s="139"/>
      <c r="BV119" s="142"/>
      <c r="BW119" s="139"/>
      <c r="BX119" s="117" t="b">
        <f>IF(CC57=12,7)</f>
        <v>0</v>
      </c>
      <c r="BY119" s="119"/>
      <c r="BZ119" s="119"/>
      <c r="CA119" s="119"/>
      <c r="CB119" s="119"/>
      <c r="CC119" s="119"/>
      <c r="CD119" s="119"/>
      <c r="CE119" s="119"/>
      <c r="CF119" s="119"/>
      <c r="CG119" s="119"/>
      <c r="CH119" s="103" t="b">
        <f>IF(CC57=12,17)</f>
        <v>0</v>
      </c>
      <c r="CI119" s="155"/>
      <c r="CJ119" s="142"/>
      <c r="CK119" s="156"/>
      <c r="CL119" s="139"/>
      <c r="CN119" s="76"/>
      <c r="CO119" s="76"/>
      <c r="CP119" s="78"/>
      <c r="CQ119" s="78"/>
      <c r="CR119" s="78"/>
      <c r="CS119" s="78"/>
      <c r="CT119" s="78"/>
      <c r="CU119" s="78"/>
      <c r="CV119" s="78"/>
      <c r="CW119" s="78"/>
      <c r="CX119" s="78"/>
      <c r="CY119" s="78"/>
      <c r="CZ119" s="78"/>
      <c r="DA119" s="78"/>
      <c r="DB119" s="78"/>
      <c r="DC119" s="78"/>
      <c r="DD119" s="78"/>
      <c r="DE119" s="78"/>
    </row>
    <row r="120" spans="2:109" ht="21" hidden="1" thickBot="1" x14ac:dyDescent="0.25">
      <c r="B120" s="596"/>
      <c r="C120" s="566"/>
      <c r="D120" s="596"/>
      <c r="E120" s="596"/>
      <c r="F120" s="565"/>
      <c r="G120" s="998"/>
      <c r="H120"/>
      <c r="I120"/>
      <c r="J120"/>
      <c r="K120"/>
      <c r="L120"/>
      <c r="M120"/>
      <c r="N120"/>
      <c r="O120" s="995"/>
      <c r="U120" s="567"/>
      <c r="AB120" s="567"/>
      <c r="AC120" s="567"/>
      <c r="AD120" s="567"/>
      <c r="AE120" s="567"/>
      <c r="BC120" s="569"/>
      <c r="BD120" s="569"/>
      <c r="BF120" s="136"/>
      <c r="BG120" s="136"/>
      <c r="BH120" s="136"/>
      <c r="BI120" s="136"/>
      <c r="BO120" s="86"/>
      <c r="BP120" s="1091"/>
      <c r="BQ120" s="96">
        <v>11</v>
      </c>
      <c r="BS120" s="152"/>
      <c r="BT120" s="91"/>
      <c r="BU120" s="152"/>
      <c r="BV120" s="117" t="b">
        <f>IF(CB57=11,5)</f>
        <v>0</v>
      </c>
      <c r="BW120" s="119"/>
      <c r="BX120" s="119"/>
      <c r="BY120" s="119"/>
      <c r="BZ120" s="119"/>
      <c r="CA120" s="119"/>
      <c r="CB120" s="119"/>
      <c r="CC120" s="119"/>
      <c r="CD120" s="119"/>
      <c r="CE120" s="119"/>
      <c r="CF120" s="119"/>
      <c r="CG120" s="119"/>
      <c r="CH120" s="103" t="b">
        <f>IF(CB57=11,17)</f>
        <v>0</v>
      </c>
      <c r="CI120" s="153"/>
      <c r="CJ120" s="91"/>
      <c r="CK120" s="154"/>
      <c r="CM120" s="76"/>
      <c r="CN120" s="76"/>
      <c r="CO120" s="76"/>
      <c r="CP120" s="78"/>
      <c r="CQ120" s="78"/>
      <c r="CR120" s="78"/>
      <c r="CS120" s="78"/>
      <c r="CT120" s="78"/>
      <c r="CU120" s="78"/>
      <c r="CV120" s="78"/>
      <c r="CW120" s="78"/>
      <c r="CX120" s="78"/>
      <c r="CY120" s="78"/>
      <c r="CZ120" s="78"/>
      <c r="DA120" s="78"/>
      <c r="DB120" s="78"/>
      <c r="DC120" s="78"/>
      <c r="DD120" s="78"/>
      <c r="DE120" s="78"/>
    </row>
    <row r="121" spans="2:109" ht="21" hidden="1" thickBot="1" x14ac:dyDescent="0.25">
      <c r="B121" s="597"/>
      <c r="C121" s="597"/>
      <c r="D121" s="598"/>
      <c r="E121" s="598"/>
      <c r="F121" s="598"/>
      <c r="G121" s="998"/>
      <c r="H121"/>
      <c r="I121"/>
      <c r="J121"/>
      <c r="K121"/>
      <c r="L121"/>
      <c r="M121"/>
      <c r="N121"/>
      <c r="O121" s="995"/>
      <c r="BC121" s="569"/>
      <c r="BD121" s="569"/>
      <c r="BF121" s="136"/>
      <c r="BG121" s="136"/>
      <c r="BH121" s="136"/>
      <c r="BI121" s="136"/>
      <c r="BO121" s="86"/>
      <c r="BP121" s="1091"/>
      <c r="BQ121" s="96">
        <v>10</v>
      </c>
      <c r="BS121" s="152"/>
      <c r="BT121" s="117" t="b">
        <f>IF(CA57=10,3)</f>
        <v>0</v>
      </c>
      <c r="BU121" s="119"/>
      <c r="BV121" s="119"/>
      <c r="BW121" s="119"/>
      <c r="BX121" s="119"/>
      <c r="BY121" s="119"/>
      <c r="BZ121" s="119"/>
      <c r="CA121" s="119"/>
      <c r="CB121" s="119"/>
      <c r="CC121" s="119"/>
      <c r="CD121" s="119"/>
      <c r="CE121" s="119"/>
      <c r="CF121" s="119"/>
      <c r="CG121" s="119"/>
      <c r="CH121" s="103" t="b">
        <f>IF(CA57=10,17)</f>
        <v>0</v>
      </c>
      <c r="CI121" s="153"/>
      <c r="CK121" s="157"/>
      <c r="CL121" s="76"/>
      <c r="CM121" s="76"/>
      <c r="CN121" s="76"/>
      <c r="CO121" s="76"/>
      <c r="CP121" s="78"/>
      <c r="CQ121" s="78"/>
      <c r="CR121" s="78"/>
      <c r="CS121" s="78"/>
      <c r="CT121" s="78"/>
      <c r="CU121" s="78"/>
      <c r="CV121" s="78"/>
      <c r="CW121" s="78"/>
      <c r="CX121" s="78"/>
      <c r="CY121" s="78"/>
      <c r="CZ121" s="78"/>
      <c r="DA121" s="78"/>
      <c r="DB121" s="78"/>
      <c r="DC121" s="78"/>
      <c r="DD121" s="78"/>
      <c r="DE121" s="78"/>
    </row>
    <row r="122" spans="2:109" ht="21" hidden="1" thickBot="1" x14ac:dyDescent="0.25">
      <c r="G122" s="998"/>
      <c r="H122"/>
      <c r="I122"/>
      <c r="J122"/>
      <c r="K122"/>
      <c r="L122"/>
      <c r="M122"/>
      <c r="N122"/>
      <c r="O122" s="995"/>
      <c r="AZ122" s="599"/>
      <c r="BC122" s="600"/>
      <c r="BD122" s="600"/>
      <c r="BG122" s="136"/>
      <c r="BH122" s="136"/>
      <c r="BI122" s="136"/>
      <c r="BO122" s="86"/>
      <c r="BP122" s="1091"/>
      <c r="BQ122" s="96">
        <v>9</v>
      </c>
      <c r="BR122" s="117" t="b">
        <f>IF(BZ57=9,1)</f>
        <v>0</v>
      </c>
      <c r="BS122" s="119"/>
      <c r="BT122" s="119"/>
      <c r="BU122" s="119"/>
      <c r="BV122" s="119"/>
      <c r="BW122" s="119"/>
      <c r="BX122" s="119"/>
      <c r="BY122" s="119"/>
      <c r="BZ122" s="119"/>
      <c r="CA122" s="119"/>
      <c r="CB122" s="119"/>
      <c r="CC122" s="119"/>
      <c r="CD122" s="119"/>
      <c r="CE122" s="119"/>
      <c r="CF122" s="119"/>
      <c r="CG122" s="119"/>
      <c r="CH122" s="103" t="b">
        <f>IF(BZ57=9,17)</f>
        <v>0</v>
      </c>
      <c r="CI122" s="76"/>
      <c r="CJ122" s="76"/>
      <c r="CK122" s="157"/>
      <c r="CL122" s="76"/>
      <c r="CM122" s="76"/>
      <c r="CN122" s="76"/>
      <c r="CO122" s="76"/>
      <c r="CP122" s="78"/>
      <c r="CQ122" s="78"/>
      <c r="CR122" s="78"/>
      <c r="CS122" s="78"/>
      <c r="CT122" s="78"/>
      <c r="CU122" s="78"/>
      <c r="CV122" s="78"/>
      <c r="CW122" s="78"/>
      <c r="CX122" s="78"/>
      <c r="CY122" s="78"/>
      <c r="CZ122" s="78"/>
      <c r="DA122" s="78"/>
      <c r="DB122" s="78"/>
      <c r="DC122" s="78"/>
      <c r="DD122" s="78"/>
      <c r="DE122" s="78"/>
    </row>
    <row r="123" spans="2:109" ht="21" hidden="1" thickBot="1" x14ac:dyDescent="0.25">
      <c r="G123" s="998"/>
      <c r="H123"/>
      <c r="I123"/>
      <c r="J123"/>
      <c r="K123"/>
      <c r="L123"/>
      <c r="M123"/>
      <c r="N123"/>
      <c r="O123" s="995"/>
      <c r="BC123" s="600"/>
      <c r="BD123" s="600"/>
      <c r="BF123" s="136"/>
      <c r="BG123" s="136"/>
      <c r="BH123" s="136"/>
      <c r="BI123" s="136"/>
      <c r="BO123" s="86"/>
      <c r="BP123" s="1091"/>
      <c r="BQ123" s="96">
        <v>8</v>
      </c>
      <c r="BR123" s="117" t="b">
        <f>IF(BY57=8,1)</f>
        <v>0</v>
      </c>
      <c r="BS123" s="119"/>
      <c r="BT123" s="118"/>
      <c r="BU123" s="119"/>
      <c r="BV123" s="119"/>
      <c r="BW123" s="119"/>
      <c r="BX123" s="119"/>
      <c r="BY123" s="119"/>
      <c r="BZ123" s="119"/>
      <c r="CA123" s="119"/>
      <c r="CB123" s="119"/>
      <c r="CC123" s="119"/>
      <c r="CD123" s="118"/>
      <c r="CE123" s="119"/>
      <c r="CF123" s="103" t="b">
        <f>IF(BY57=8,15)</f>
        <v>0</v>
      </c>
      <c r="CG123" s="76"/>
      <c r="CH123" s="76"/>
      <c r="CI123" s="158"/>
      <c r="CJ123" s="76"/>
      <c r="CK123" s="157"/>
      <c r="CL123" s="76"/>
      <c r="CM123" s="76"/>
      <c r="CN123" s="76"/>
      <c r="CO123" s="76"/>
      <c r="CP123" s="78"/>
      <c r="CQ123" s="78"/>
      <c r="CR123" s="78"/>
      <c r="CS123" s="78"/>
      <c r="CT123" s="78"/>
      <c r="CU123" s="78"/>
      <c r="CV123" s="78"/>
      <c r="CW123" s="78"/>
      <c r="CX123" s="78"/>
      <c r="CY123" s="78"/>
      <c r="CZ123" s="78"/>
      <c r="DA123" s="78"/>
      <c r="DB123" s="78"/>
      <c r="DC123" s="78"/>
      <c r="DD123" s="78"/>
      <c r="DE123" s="78"/>
    </row>
    <row r="124" spans="2:109" ht="48.75" hidden="1" customHeight="1" thickBot="1" x14ac:dyDescent="0.25">
      <c r="B124" s="597"/>
      <c r="C124" s="597"/>
      <c r="D124" s="601"/>
      <c r="E124" s="598"/>
      <c r="F124" s="598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BC124" s="600"/>
      <c r="BD124" s="600"/>
      <c r="BG124" s="136"/>
      <c r="BH124" s="136"/>
      <c r="BI124" s="136"/>
      <c r="BO124" s="86"/>
      <c r="BP124" s="1091"/>
      <c r="BQ124" s="96">
        <v>7</v>
      </c>
      <c r="BR124" s="117" t="b">
        <f>IF(BX57=7,1)</f>
        <v>0</v>
      </c>
      <c r="BS124" s="118"/>
      <c r="BT124" s="119"/>
      <c r="BU124" s="119"/>
      <c r="BV124" s="119"/>
      <c r="BW124" s="119"/>
      <c r="BX124" s="119"/>
      <c r="BY124" s="119"/>
      <c r="BZ124" s="119"/>
      <c r="CA124" s="119"/>
      <c r="CB124" s="118"/>
      <c r="CC124" s="118"/>
      <c r="CD124" s="103" t="b">
        <f>IF(BX57=7,13)</f>
        <v>0</v>
      </c>
      <c r="CE124" s="76"/>
      <c r="CF124" s="76"/>
      <c r="CG124" s="76"/>
      <c r="CH124" s="76"/>
      <c r="CI124" s="158"/>
      <c r="CJ124" s="76"/>
      <c r="CK124" s="157"/>
      <c r="CL124" s="76"/>
      <c r="CM124" s="76"/>
      <c r="CN124" s="76"/>
      <c r="CO124" s="76"/>
      <c r="CP124" s="78"/>
      <c r="CQ124" s="78"/>
      <c r="CR124" s="78"/>
      <c r="CS124" s="78"/>
      <c r="CT124" s="78"/>
      <c r="CU124" s="78"/>
      <c r="CV124" s="78"/>
      <c r="CW124" s="78"/>
      <c r="CX124" s="78"/>
      <c r="CY124" s="78"/>
      <c r="CZ124" s="78"/>
      <c r="DA124" s="78"/>
      <c r="DB124" s="78"/>
      <c r="DC124" s="78"/>
      <c r="DD124" s="78"/>
      <c r="DE124" s="78"/>
    </row>
    <row r="125" spans="2:109" ht="48.75" hidden="1" customHeight="1" thickBot="1" x14ac:dyDescent="0.25">
      <c r="B125" s="597"/>
      <c r="C125" s="597"/>
      <c r="D125" s="601"/>
      <c r="E125" s="598"/>
      <c r="F125" s="598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BC125" s="600"/>
      <c r="BD125" s="600"/>
      <c r="BG125" s="136"/>
      <c r="BH125" s="136"/>
      <c r="BI125" s="136"/>
      <c r="BO125" s="86"/>
      <c r="BP125" s="1091"/>
      <c r="BQ125" s="96">
        <v>6</v>
      </c>
      <c r="BR125" s="120" t="b">
        <f>IF(BW57=6,1)</f>
        <v>0</v>
      </c>
      <c r="BS125" s="123"/>
      <c r="BT125" s="123"/>
      <c r="BU125" s="123"/>
      <c r="BV125" s="123"/>
      <c r="BW125" s="123"/>
      <c r="BX125" s="123"/>
      <c r="BY125" s="123"/>
      <c r="BZ125" s="123"/>
      <c r="CA125" s="123"/>
      <c r="CB125" s="124" t="b">
        <f>IF(BW57=6,11)</f>
        <v>0</v>
      </c>
      <c r="CC125" s="76"/>
      <c r="CD125" s="76"/>
      <c r="CE125" s="76"/>
      <c r="CF125" s="76"/>
      <c r="CG125" s="76"/>
      <c r="CH125" s="76"/>
      <c r="CI125" s="158"/>
      <c r="CJ125" s="76"/>
      <c r="CK125" s="157"/>
      <c r="CL125" s="76"/>
      <c r="CM125" s="76"/>
      <c r="CN125" s="76"/>
      <c r="CO125" s="76"/>
      <c r="CP125" s="78"/>
      <c r="CQ125" s="78"/>
      <c r="CR125" s="78"/>
      <c r="CS125" s="78"/>
      <c r="CT125" s="78"/>
      <c r="CU125" s="78"/>
      <c r="CV125" s="78"/>
      <c r="CW125" s="78"/>
      <c r="CX125" s="78"/>
      <c r="CY125" s="78"/>
      <c r="CZ125" s="78"/>
      <c r="DA125" s="78"/>
      <c r="DB125" s="78"/>
      <c r="DC125" s="78"/>
      <c r="DD125" s="78"/>
      <c r="DE125" s="78"/>
    </row>
    <row r="126" spans="2:109" ht="48.75" hidden="1" customHeight="1" thickBot="1" x14ac:dyDescent="0.3">
      <c r="G126" s="998"/>
      <c r="H126" s="1087" t="s">
        <v>265</v>
      </c>
      <c r="I126" s="1080">
        <f>+MIN(K31:L32)</f>
        <v>59.136744788595699</v>
      </c>
      <c r="J126" s="1080">
        <f>+MIN(J37:K38)</f>
        <v>98.159509202453989</v>
      </c>
      <c r="K126" s="1082">
        <f>+MIN(J43:L44)</f>
        <v>98.159509202453989</v>
      </c>
      <c r="L126" s="1083">
        <f>+MIN(J49:L50)</f>
        <v>42.472864558754125</v>
      </c>
      <c r="M126" s="1084">
        <f>+MIN(J55:L56)</f>
        <v>98.159509202453989</v>
      </c>
      <c r="N126"/>
      <c r="O126" s="995"/>
      <c r="BC126" s="600"/>
      <c r="BD126" s="600"/>
      <c r="BF126" s="136"/>
      <c r="BG126" s="136"/>
      <c r="BH126" s="136"/>
      <c r="BI126" s="136"/>
      <c r="BO126" s="86"/>
      <c r="BP126" s="1091"/>
      <c r="BQ126" s="96">
        <v>5</v>
      </c>
      <c r="BR126" s="120" t="b">
        <f>IF(BV57=5,1)</f>
        <v>0</v>
      </c>
      <c r="BS126" s="122"/>
      <c r="BT126" s="123"/>
      <c r="BU126" s="123"/>
      <c r="BV126" s="123"/>
      <c r="BW126" s="123"/>
      <c r="BX126" s="123"/>
      <c r="BY126" s="122"/>
      <c r="BZ126" s="124" t="b">
        <f>IF(BV57=5,9)</f>
        <v>0</v>
      </c>
      <c r="CA126" s="76"/>
      <c r="CB126" s="76"/>
      <c r="CC126" s="76"/>
      <c r="CD126" s="76"/>
      <c r="CE126" s="76"/>
      <c r="CF126" s="76"/>
      <c r="CG126" s="76"/>
      <c r="CH126" s="76"/>
      <c r="CI126" s="158"/>
      <c r="CJ126" s="76"/>
      <c r="CK126" s="157"/>
      <c r="CL126" s="76"/>
      <c r="CM126" s="76"/>
      <c r="CN126" s="76"/>
      <c r="CO126" s="76"/>
      <c r="CP126" s="78"/>
      <c r="CQ126" s="78"/>
      <c r="CR126" s="78"/>
      <c r="CS126" s="78"/>
      <c r="CT126" s="78"/>
      <c r="CU126" s="78"/>
      <c r="CV126" s="78"/>
      <c r="CW126" s="78"/>
      <c r="CX126" s="78"/>
      <c r="CY126" s="78"/>
      <c r="CZ126" s="78"/>
      <c r="DA126" s="78"/>
      <c r="DB126" s="78"/>
      <c r="DC126" s="78"/>
      <c r="DD126" s="78"/>
      <c r="DE126" s="78"/>
    </row>
    <row r="127" spans="2:109" ht="21" hidden="1" thickBot="1" x14ac:dyDescent="0.25">
      <c r="B127" s="602"/>
      <c r="C127" s="602"/>
      <c r="G127" s="1011"/>
      <c r="H127" s="131"/>
      <c r="I127" s="131"/>
      <c r="J127" s="131"/>
      <c r="K127" s="131"/>
      <c r="L127" s="131"/>
      <c r="M127" s="131"/>
      <c r="N127" s="131"/>
      <c r="O127" s="1012"/>
      <c r="U127" s="569"/>
      <c r="V127" s="569"/>
      <c r="W127" s="569"/>
      <c r="X127" s="569"/>
      <c r="Y127" s="569"/>
      <c r="Z127" s="569"/>
      <c r="AA127" s="569"/>
      <c r="AF127" s="569"/>
      <c r="AG127" s="569"/>
      <c r="AH127" s="569"/>
      <c r="AI127" s="569"/>
      <c r="AJ127" s="569"/>
      <c r="AK127" s="569"/>
      <c r="AL127" s="569"/>
      <c r="AM127" s="569"/>
      <c r="AN127" s="569"/>
      <c r="AO127" s="569"/>
      <c r="AP127" s="569"/>
      <c r="AQ127" s="569"/>
      <c r="AR127" s="569"/>
      <c r="AS127" s="569"/>
      <c r="AT127" s="569"/>
      <c r="AU127" s="569"/>
      <c r="AV127" s="569"/>
      <c r="AW127" s="569"/>
      <c r="AX127" s="569"/>
      <c r="AY127" s="569"/>
      <c r="AZ127" s="569"/>
      <c r="BA127" s="569"/>
      <c r="BB127" s="569"/>
      <c r="BC127" s="600"/>
      <c r="BD127" s="600"/>
      <c r="BG127" s="136"/>
      <c r="BH127" s="136"/>
      <c r="BI127" s="136"/>
      <c r="BO127" s="86"/>
      <c r="BP127" s="1091"/>
      <c r="BQ127" s="96">
        <v>4</v>
      </c>
      <c r="BR127" s="120" t="b">
        <f>IF(BU57=4,1)</f>
        <v>0</v>
      </c>
      <c r="BS127" s="123"/>
      <c r="BT127" s="123"/>
      <c r="BU127" s="123"/>
      <c r="BV127" s="123"/>
      <c r="BW127" s="123"/>
      <c r="BX127" s="124" t="b">
        <f>IF(BU57=4,7)</f>
        <v>0</v>
      </c>
      <c r="BY127" s="76"/>
      <c r="BZ127" s="159"/>
      <c r="CA127" s="159"/>
      <c r="CB127" s="76"/>
      <c r="CC127" s="159"/>
      <c r="CD127" s="76"/>
      <c r="CE127" s="76"/>
      <c r="CF127" s="76"/>
      <c r="CG127" s="76"/>
      <c r="CH127" s="76"/>
      <c r="CI127" s="158"/>
      <c r="CJ127" s="76"/>
      <c r="CK127" s="157"/>
      <c r="CL127" s="76"/>
      <c r="CM127" s="76"/>
      <c r="CN127" s="76"/>
      <c r="CO127" s="76"/>
      <c r="CP127" s="78"/>
      <c r="CQ127" s="78"/>
      <c r="CR127" s="78"/>
      <c r="CS127" s="78"/>
      <c r="CT127" s="78"/>
      <c r="CU127" s="78"/>
      <c r="CV127" s="78"/>
      <c r="CW127" s="78"/>
      <c r="CX127" s="78"/>
      <c r="CY127" s="78"/>
      <c r="CZ127" s="78"/>
      <c r="DA127" s="78"/>
      <c r="DB127" s="78"/>
      <c r="DC127" s="78"/>
      <c r="DD127" s="78"/>
      <c r="DE127" s="78"/>
    </row>
    <row r="128" spans="2:109" ht="31" hidden="1" thickBot="1" x14ac:dyDescent="0.25">
      <c r="B128" s="560"/>
      <c r="C128" s="560"/>
      <c r="G128" s="998"/>
      <c r="H128" s="201"/>
      <c r="I128" s="201"/>
      <c r="J128" s="201"/>
      <c r="K128" s="201"/>
      <c r="L128" s="201"/>
      <c r="M128" s="201"/>
      <c r="N128" s="201"/>
      <c r="O128" s="1013"/>
      <c r="BC128" s="600"/>
      <c r="BD128" s="600"/>
      <c r="BF128" s="136"/>
      <c r="BG128" s="136"/>
      <c r="BH128" s="136"/>
      <c r="BI128" s="136"/>
      <c r="BO128" s="86"/>
      <c r="BP128" s="1091"/>
      <c r="BQ128" s="96">
        <v>3</v>
      </c>
      <c r="BR128" s="120" t="b">
        <f>IF(BT57=3,1)</f>
        <v>0</v>
      </c>
      <c r="BS128" s="123"/>
      <c r="BT128" s="123"/>
      <c r="BU128" s="123"/>
      <c r="BV128" s="124" t="b">
        <f>IF(BT57=3,5)</f>
        <v>0</v>
      </c>
      <c r="BW128" s="76"/>
      <c r="BX128" s="76"/>
      <c r="BY128" s="76"/>
      <c r="BZ128" s="76"/>
      <c r="CA128" s="76"/>
      <c r="CB128" s="76"/>
      <c r="CC128" s="76"/>
      <c r="CD128" s="76"/>
      <c r="CE128" s="76"/>
      <c r="CF128" s="76"/>
      <c r="CG128" s="76"/>
      <c r="CH128" s="76"/>
      <c r="CI128" s="158"/>
      <c r="CJ128" s="76"/>
      <c r="CK128" s="157"/>
      <c r="CL128" s="76"/>
      <c r="CM128" s="76"/>
      <c r="CN128" s="76"/>
      <c r="CO128" s="76"/>
      <c r="CP128" s="78"/>
      <c r="CQ128" s="78"/>
      <c r="CR128" s="78"/>
      <c r="CS128" s="78"/>
      <c r="CT128" s="78"/>
      <c r="CU128" s="78"/>
      <c r="CV128" s="78"/>
      <c r="CW128" s="78"/>
      <c r="CX128" s="78"/>
      <c r="CY128" s="78"/>
      <c r="CZ128" s="78"/>
      <c r="DA128" s="78"/>
      <c r="DB128" s="78"/>
      <c r="DC128" s="78"/>
      <c r="DD128" s="78"/>
      <c r="DE128" s="78"/>
    </row>
    <row r="129" spans="2:109" ht="20" hidden="1" x14ac:dyDescent="0.2">
      <c r="B129" s="560"/>
      <c r="C129" s="560"/>
      <c r="G129" s="998"/>
      <c r="H129"/>
      <c r="I129"/>
      <c r="J129"/>
      <c r="K129"/>
      <c r="L129"/>
      <c r="M129"/>
      <c r="N129"/>
      <c r="O129" s="995"/>
      <c r="BC129" s="600"/>
      <c r="BD129" s="600"/>
      <c r="BF129" s="136"/>
      <c r="BG129" s="136"/>
      <c r="BH129" s="136"/>
      <c r="BI129" s="136"/>
      <c r="BO129" s="86"/>
      <c r="BP129" s="1091"/>
      <c r="BQ129" s="96">
        <v>2</v>
      </c>
      <c r="BR129" s="160" t="b">
        <f>IF(BS57=2,1)</f>
        <v>0</v>
      </c>
      <c r="BS129" s="161"/>
      <c r="BT129" s="162" t="b">
        <f>IF(BS57=2,3)</f>
        <v>0</v>
      </c>
      <c r="BU129" s="76"/>
      <c r="BV129" s="76"/>
      <c r="BW129" s="76"/>
      <c r="BX129" s="76"/>
      <c r="BY129" s="76"/>
      <c r="BZ129" s="76"/>
      <c r="CA129" s="76"/>
      <c r="CB129" s="76"/>
      <c r="CC129" s="76"/>
      <c r="CD129" s="76"/>
      <c r="CE129" s="76"/>
      <c r="CF129" s="76"/>
      <c r="CG129" s="76"/>
      <c r="CH129" s="76"/>
      <c r="CI129" s="158"/>
      <c r="CJ129" s="76"/>
      <c r="CK129" s="157"/>
      <c r="CL129" s="76"/>
      <c r="CM129" s="76"/>
      <c r="CN129" s="76"/>
      <c r="CO129" s="76"/>
      <c r="CP129" s="78"/>
      <c r="CQ129" s="78"/>
      <c r="CR129" s="78"/>
      <c r="CS129" s="78"/>
      <c r="CT129" s="78"/>
      <c r="CU129" s="78"/>
      <c r="CV129" s="78"/>
      <c r="CW129" s="78"/>
      <c r="CX129" s="78"/>
      <c r="CY129" s="78"/>
      <c r="CZ129" s="78"/>
      <c r="DA129" s="78"/>
      <c r="DB129" s="78"/>
      <c r="DC129" s="78"/>
      <c r="DD129" s="78"/>
      <c r="DE129" s="78"/>
    </row>
    <row r="130" spans="2:109" ht="24" hidden="1" thickBot="1" x14ac:dyDescent="0.3">
      <c r="B130" s="560"/>
      <c r="C130" s="560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BC130" s="600"/>
      <c r="BD130" s="600"/>
      <c r="BF130" s="136"/>
      <c r="BG130" s="136"/>
      <c r="BH130" s="136"/>
      <c r="BI130" s="136"/>
      <c r="BO130" s="86"/>
      <c r="BP130" s="1091"/>
      <c r="BQ130" s="163"/>
      <c r="BR130" s="164">
        <f>SUM(BR95:BR129)</f>
        <v>0</v>
      </c>
      <c r="BS130" s="164">
        <f t="shared" ref="BS130:DB130" si="9">SUM(BS95:BS129)</f>
        <v>0</v>
      </c>
      <c r="BT130" s="164">
        <f t="shared" si="9"/>
        <v>0</v>
      </c>
      <c r="BU130" s="164">
        <f t="shared" si="9"/>
        <v>0</v>
      </c>
      <c r="BV130" s="164">
        <f t="shared" si="9"/>
        <v>0</v>
      </c>
      <c r="BW130" s="164">
        <f t="shared" si="9"/>
        <v>0</v>
      </c>
      <c r="BX130" s="164">
        <f t="shared" si="9"/>
        <v>0</v>
      </c>
      <c r="BY130" s="164">
        <f t="shared" si="9"/>
        <v>8</v>
      </c>
      <c r="BZ130" s="164">
        <f t="shared" si="9"/>
        <v>0</v>
      </c>
      <c r="CA130" s="164">
        <f t="shared" si="9"/>
        <v>0</v>
      </c>
      <c r="CB130" s="164">
        <f t="shared" si="9"/>
        <v>0</v>
      </c>
      <c r="CC130" s="164">
        <f t="shared" si="9"/>
        <v>0</v>
      </c>
      <c r="CD130" s="164">
        <f t="shared" si="9"/>
        <v>0</v>
      </c>
      <c r="CE130" s="164">
        <f t="shared" si="9"/>
        <v>0</v>
      </c>
      <c r="CF130" s="164">
        <f t="shared" si="9"/>
        <v>0</v>
      </c>
      <c r="CG130" s="164">
        <f t="shared" si="9"/>
        <v>0</v>
      </c>
      <c r="CH130" s="165">
        <f t="shared" si="9"/>
        <v>0</v>
      </c>
      <c r="CI130" s="166"/>
      <c r="CJ130" s="167"/>
      <c r="CK130" s="168"/>
      <c r="CL130" s="169">
        <f t="shared" si="9"/>
        <v>0</v>
      </c>
      <c r="CM130" s="164">
        <f t="shared" si="9"/>
        <v>0</v>
      </c>
      <c r="CN130" s="164">
        <f t="shared" si="9"/>
        <v>0</v>
      </c>
      <c r="CO130" s="164">
        <f t="shared" si="9"/>
        <v>0</v>
      </c>
      <c r="CP130" s="164">
        <f t="shared" si="9"/>
        <v>0</v>
      </c>
      <c r="CQ130" s="164">
        <f t="shared" si="9"/>
        <v>26</v>
      </c>
      <c r="CR130" s="164">
        <f t="shared" si="9"/>
        <v>0</v>
      </c>
      <c r="CS130" s="164">
        <f t="shared" si="9"/>
        <v>0</v>
      </c>
      <c r="CT130" s="164">
        <f t="shared" si="9"/>
        <v>0</v>
      </c>
      <c r="CU130" s="164">
        <f t="shared" si="9"/>
        <v>0</v>
      </c>
      <c r="CV130" s="164">
        <f t="shared" si="9"/>
        <v>0</v>
      </c>
      <c r="CW130" s="164">
        <f t="shared" si="9"/>
        <v>0</v>
      </c>
      <c r="CX130" s="164">
        <f t="shared" si="9"/>
        <v>0</v>
      </c>
      <c r="CY130" s="164">
        <f t="shared" si="9"/>
        <v>0</v>
      </c>
      <c r="CZ130" s="164">
        <f t="shared" si="9"/>
        <v>0</v>
      </c>
      <c r="DA130" s="164">
        <f t="shared" si="9"/>
        <v>0</v>
      </c>
      <c r="DB130" s="164">
        <f t="shared" si="9"/>
        <v>0</v>
      </c>
      <c r="DC130" s="78"/>
      <c r="DD130" s="78"/>
      <c r="DE130" s="78"/>
    </row>
    <row r="131" spans="2:109" ht="24" hidden="1" thickBot="1" x14ac:dyDescent="0.3">
      <c r="B131" s="560"/>
      <c r="C131" s="560"/>
      <c r="G131" s="1014"/>
      <c r="H131" s="209"/>
      <c r="I131" s="1085">
        <f>COUNTIF(CL130:DB130,"&gt;0")</f>
        <v>1</v>
      </c>
      <c r="J131" s="1085">
        <f>COUNTIF(BR130:CH130,"&gt;0")</f>
        <v>1</v>
      </c>
      <c r="K131" s="1085" t="b">
        <f>AND(IF(SUM(BR132:CB132)&gt;0,1,0),IF(CQ132="6  ADS ",1,0))</f>
        <v>1</v>
      </c>
      <c r="L131" s="1085" t="b">
        <f>AND(IF(SUM(CR132:DB132)&gt;0,1,0),IF(CC132="6  ADS ",1,0))</f>
        <v>0</v>
      </c>
      <c r="M131" s="1085" t="b">
        <f>AND(IF(CQ132="6  ADS ",1,0),IF(CC132="6  ADS ",1,0))</f>
        <v>0</v>
      </c>
      <c r="N131" s="209"/>
      <c r="O131" s="1015"/>
      <c r="BC131" s="600"/>
      <c r="BD131" s="600"/>
      <c r="BF131" s="136"/>
      <c r="BG131" s="136"/>
      <c r="BH131" s="136"/>
      <c r="BI131" s="136"/>
      <c r="BO131" s="86"/>
      <c r="BP131" s="1091"/>
      <c r="BQ131" s="163"/>
      <c r="BR131" s="170"/>
      <c r="BS131" s="170"/>
      <c r="BT131" s="170"/>
      <c r="BU131" s="170"/>
      <c r="BV131" s="170"/>
      <c r="BW131" s="170"/>
      <c r="BX131" s="170"/>
      <c r="BY131" s="170"/>
      <c r="BZ131" s="170"/>
      <c r="CA131" s="170"/>
      <c r="CB131" s="170"/>
      <c r="CC131" s="170"/>
      <c r="CD131" s="170"/>
      <c r="CE131" s="170"/>
      <c r="CF131" s="170"/>
      <c r="CG131" s="170"/>
      <c r="CH131" s="170"/>
      <c r="CI131" s="170"/>
      <c r="CJ131" s="170"/>
      <c r="CK131" s="170"/>
      <c r="CL131" s="171"/>
      <c r="CM131" s="170"/>
      <c r="CN131" s="170"/>
      <c r="CO131" s="170"/>
      <c r="CP131" s="170"/>
      <c r="CQ131" s="170"/>
      <c r="CR131" s="170"/>
      <c r="CS131" s="170"/>
      <c r="CT131" s="170"/>
      <c r="CU131" s="170"/>
      <c r="CV131" s="170"/>
      <c r="CW131" s="170"/>
      <c r="CX131" s="170"/>
      <c r="CY131" s="170"/>
      <c r="CZ131" s="170"/>
      <c r="DA131" s="170"/>
      <c r="DB131" s="170"/>
      <c r="DC131" s="78"/>
      <c r="DD131" s="78"/>
      <c r="DE131" s="78"/>
    </row>
    <row r="132" spans="2:109" ht="56" customHeight="1" thickBot="1" x14ac:dyDescent="0.3">
      <c r="B132" s="560"/>
      <c r="C132" s="560"/>
      <c r="G132" s="1016"/>
      <c r="H132" s="1017"/>
      <c r="I132" s="1086">
        <f>IF(I131=2,I126,0)</f>
        <v>0</v>
      </c>
      <c r="J132" s="1086">
        <f>IF(J131=2,J126,0)</f>
        <v>0</v>
      </c>
      <c r="K132" s="1086">
        <f t="shared" ref="K132:M132" si="10">IF(K131=TRUE,K126,0)</f>
        <v>98.159509202453989</v>
      </c>
      <c r="L132" s="1086">
        <f t="shared" si="10"/>
        <v>0</v>
      </c>
      <c r="M132" s="1086">
        <f t="shared" si="10"/>
        <v>0</v>
      </c>
      <c r="N132" s="1017"/>
      <c r="O132" s="1018"/>
      <c r="BC132" s="600"/>
      <c r="BD132" s="600"/>
      <c r="BF132" s="136"/>
      <c r="BG132" s="136"/>
      <c r="BH132" s="136"/>
      <c r="BI132" s="136"/>
      <c r="BO132" s="86"/>
      <c r="BP132" s="1095" t="s">
        <v>128</v>
      </c>
      <c r="BQ132" s="172" t="s">
        <v>124</v>
      </c>
      <c r="BR132" s="750" t="str">
        <f>IF(BR130=1,17,"")</f>
        <v/>
      </c>
      <c r="BS132" s="751" t="str">
        <f>IF(BS130=2,16,"")</f>
        <v/>
      </c>
      <c r="BT132" s="751" t="str">
        <f>IF(BT130=3,15,"")</f>
        <v/>
      </c>
      <c r="BU132" s="751" t="str">
        <f>IF(BU130=4,14,"")</f>
        <v/>
      </c>
      <c r="BV132" s="751" t="str">
        <f>IF(BV130=5,13,"")</f>
        <v/>
      </c>
      <c r="BW132" s="751" t="str">
        <f>IF(BW130=6,12,"")</f>
        <v/>
      </c>
      <c r="BX132" s="751" t="str">
        <f>IF(BX130=7,11,"")</f>
        <v/>
      </c>
      <c r="BY132" s="751">
        <f>IF(BY130=8,10,"")</f>
        <v>10</v>
      </c>
      <c r="BZ132" s="751" t="str">
        <f>IF(BZ130=9,9,"")</f>
        <v/>
      </c>
      <c r="CA132" s="751" t="str">
        <f>IF(CA130=10,8,"")</f>
        <v/>
      </c>
      <c r="CB132" s="751" t="str">
        <f>IF(CB130=11,7,"")</f>
        <v/>
      </c>
      <c r="CC132" s="752" t="str">
        <f>IF(CC130=12,"6  ADS ","")</f>
        <v/>
      </c>
      <c r="CD132" s="751" t="str">
        <f>IF(CD130=13,5,"")</f>
        <v/>
      </c>
      <c r="CE132" s="751" t="str">
        <f>IF(CE130=14,4,"")</f>
        <v/>
      </c>
      <c r="CF132" s="751" t="str">
        <f>IF(CF130=15,3,"")</f>
        <v/>
      </c>
      <c r="CG132" s="751" t="str">
        <f>IF(CG130=16,2,"")</f>
        <v/>
      </c>
      <c r="CH132" s="751" t="str">
        <f>IF(CH130=17,1,"")</f>
        <v/>
      </c>
      <c r="CI132" s="173"/>
      <c r="CJ132" s="174"/>
      <c r="CK132" s="175"/>
      <c r="CL132" s="753" t="str">
        <f>IF(CL130=21,1,"")</f>
        <v/>
      </c>
      <c r="CM132" s="753" t="str">
        <f>IF(CM130=22,2,"")</f>
        <v/>
      </c>
      <c r="CN132" s="753" t="str">
        <f>IF(CN130=23,3,"")</f>
        <v/>
      </c>
      <c r="CO132" s="753" t="str">
        <f>IF(CO130=24,4,"")</f>
        <v/>
      </c>
      <c r="CP132" s="753" t="str">
        <f>IF(CP130=25,5,"")</f>
        <v/>
      </c>
      <c r="CQ132" s="754" t="str">
        <f>IF(CQ130=26,"6  ADS ","")</f>
        <v xml:space="preserve">6  ADS </v>
      </c>
      <c r="CR132" s="753" t="str">
        <f>IF(CR130=27,7,"")</f>
        <v/>
      </c>
      <c r="CS132" s="753" t="str">
        <f>IF(CS130=28,8,"")</f>
        <v/>
      </c>
      <c r="CT132" s="753" t="str">
        <f>IF(CT130=29,9,"")</f>
        <v/>
      </c>
      <c r="CU132" s="753" t="str">
        <f>IF(CU130=30,10,"")</f>
        <v/>
      </c>
      <c r="CV132" s="753" t="str">
        <f>IF(CV130=31,11,"")</f>
        <v/>
      </c>
      <c r="CW132" s="753" t="str">
        <f>IF(CW130=32,12,"")</f>
        <v/>
      </c>
      <c r="CX132" s="753" t="str">
        <f>IF(CX130=33,13,"")</f>
        <v/>
      </c>
      <c r="CY132" s="753" t="str">
        <f>IF(CY130=34,14,"")</f>
        <v/>
      </c>
      <c r="CZ132" s="753" t="str">
        <f>IF(CZ130=35,15,"")</f>
        <v/>
      </c>
      <c r="DA132" s="753" t="str">
        <f>IF(DA130=36,16,"")</f>
        <v/>
      </c>
      <c r="DB132" s="755" t="str">
        <f>IF(DB130=37,17,"")</f>
        <v/>
      </c>
      <c r="DC132" s="340"/>
      <c r="DD132" s="78"/>
      <c r="DE132" s="78"/>
    </row>
    <row r="133" spans="2:109" ht="45" customHeight="1" thickBot="1" x14ac:dyDescent="0.3">
      <c r="B133" s="560"/>
      <c r="C133" s="560"/>
      <c r="P133" s="968">
        <v>6</v>
      </c>
      <c r="BD133" s="600"/>
      <c r="BF133" s="136"/>
      <c r="BG133" s="136"/>
      <c r="BH133" s="136"/>
      <c r="BI133" s="136"/>
      <c r="BN133" s="1762" t="b">
        <f>AND(BP133&gt;=10,$BA$148&gt;=10,$AZ$148&gt;=10,$AZ$179&gt;=10,$BA$179&gt;=10)</f>
        <v>1</v>
      </c>
      <c r="BO133" s="84" t="str">
        <f>IF(BN133=TRUE,"O K","OVERLOAD")</f>
        <v>O K</v>
      </c>
      <c r="BP133" s="982">
        <f>SUM(I132:M132)</f>
        <v>98.159509202453989</v>
      </c>
      <c r="BQ133" s="788" t="s">
        <v>185</v>
      </c>
      <c r="BR133" s="789">
        <v>-10</v>
      </c>
      <c r="BS133" s="789">
        <v>-9</v>
      </c>
      <c r="BT133" s="789">
        <v>-8</v>
      </c>
      <c r="BU133" s="789">
        <v>-7</v>
      </c>
      <c r="BV133" s="789">
        <v>-6</v>
      </c>
      <c r="BW133" s="789">
        <v>-5</v>
      </c>
      <c r="BX133" s="789">
        <v>-4</v>
      </c>
      <c r="BY133" s="789">
        <v>-3</v>
      </c>
      <c r="BZ133" s="789">
        <v>-2</v>
      </c>
      <c r="CA133" s="789">
        <v>-1</v>
      </c>
      <c r="CB133" s="789">
        <v>0</v>
      </c>
      <c r="CC133" s="789">
        <v>1</v>
      </c>
      <c r="CD133" s="789">
        <v>2</v>
      </c>
      <c r="CE133" s="789">
        <v>3</v>
      </c>
      <c r="CF133" s="789">
        <v>4</v>
      </c>
      <c r="CG133" s="789">
        <v>5</v>
      </c>
      <c r="CH133" s="789">
        <v>6</v>
      </c>
      <c r="CI133" s="789">
        <v>7</v>
      </c>
      <c r="CJ133" s="789">
        <v>8</v>
      </c>
      <c r="CK133" s="789">
        <v>9</v>
      </c>
      <c r="CL133" s="789">
        <v>10</v>
      </c>
      <c r="CM133" s="789">
        <v>11</v>
      </c>
      <c r="CN133" s="789">
        <v>12</v>
      </c>
      <c r="CO133" s="789">
        <v>13</v>
      </c>
      <c r="CP133" s="789">
        <v>14</v>
      </c>
      <c r="CQ133" s="789">
        <v>15</v>
      </c>
      <c r="CR133" s="789">
        <v>16</v>
      </c>
      <c r="CS133" s="789">
        <v>17</v>
      </c>
      <c r="CT133" s="789">
        <v>18</v>
      </c>
      <c r="CU133" s="789">
        <v>19</v>
      </c>
      <c r="CV133" s="789">
        <v>20</v>
      </c>
      <c r="CW133" s="789">
        <v>21</v>
      </c>
      <c r="CX133" s="789">
        <v>22</v>
      </c>
      <c r="CY133" s="789">
        <v>23</v>
      </c>
      <c r="CZ133" s="789">
        <v>24</v>
      </c>
      <c r="DA133" s="789">
        <v>25</v>
      </c>
      <c r="DB133" s="791">
        <v>26</v>
      </c>
      <c r="DC133" s="78"/>
      <c r="DD133" s="78"/>
      <c r="DE133" s="78"/>
    </row>
    <row r="134" spans="2:109" ht="45" customHeight="1" thickBot="1" x14ac:dyDescent="0.35">
      <c r="B134" s="1866" t="s">
        <v>116</v>
      </c>
      <c r="C134" s="606"/>
      <c r="D134" s="341" t="str">
        <f>IF(BN67&gt;0," ","change the angle of frame or of cabinets")</f>
        <v xml:space="preserve"> </v>
      </c>
      <c r="E134" s="607"/>
      <c r="F134" s="607"/>
      <c r="G134" s="607"/>
      <c r="BF134" s="298">
        <v>25</v>
      </c>
      <c r="BG134" s="299">
        <f>+BG92+43</f>
        <v>559</v>
      </c>
      <c r="BH134" s="42">
        <f>+BH92+$E$2</f>
        <v>559</v>
      </c>
      <c r="BI134" s="301">
        <f t="shared" si="3"/>
        <v>358.4818768469342</v>
      </c>
      <c r="BJ134" s="302">
        <f t="shared" si="4"/>
        <v>358.4818768469342</v>
      </c>
      <c r="BK134" s="302">
        <f>+BK92</f>
        <v>14.481876846934199</v>
      </c>
      <c r="BL134" s="302" t="b">
        <f t="shared" si="5"/>
        <v>0</v>
      </c>
      <c r="BM134" s="304">
        <v>25</v>
      </c>
      <c r="BN134" s="214"/>
      <c r="BO134" s="214"/>
      <c r="BP134" s="214"/>
    </row>
    <row r="135" spans="2:109" ht="45" customHeight="1" thickBot="1" x14ac:dyDescent="0.35">
      <c r="B135" s="1867"/>
      <c r="D135" s="341" t="str">
        <f>IF(DE67&lt;0," ","change the angle of frame or of cabinets")</f>
        <v xml:space="preserve"> </v>
      </c>
      <c r="E135" s="607"/>
      <c r="F135" s="607"/>
      <c r="G135" s="607"/>
      <c r="V135" s="608"/>
      <c r="W135" s="608"/>
      <c r="X135" s="608"/>
      <c r="Y135" s="608"/>
      <c r="Z135" s="608"/>
      <c r="AA135" s="608"/>
      <c r="AF135" s="588"/>
      <c r="AG135" s="588"/>
      <c r="AH135" s="588"/>
      <c r="AI135" s="588"/>
      <c r="AJ135" s="588"/>
      <c r="AK135" s="588"/>
      <c r="AL135" s="588"/>
      <c r="AM135" s="588"/>
      <c r="AN135" s="588"/>
      <c r="AO135" s="588"/>
      <c r="AP135" s="588"/>
      <c r="AQ135" s="588"/>
      <c r="AR135" s="588"/>
      <c r="AS135" s="588"/>
      <c r="AT135" s="588"/>
      <c r="AU135" s="588"/>
      <c r="AV135" s="588"/>
      <c r="AW135" s="588"/>
      <c r="AX135" s="588"/>
      <c r="AY135" s="588"/>
      <c r="AZ135" s="588"/>
      <c r="BA135" s="588"/>
      <c r="BB135" s="588"/>
      <c r="BF135" s="298">
        <v>26</v>
      </c>
      <c r="BG135" s="299">
        <f t="shared" si="6"/>
        <v>602</v>
      </c>
      <c r="BH135" s="42">
        <f t="shared" si="7"/>
        <v>602</v>
      </c>
      <c r="BI135" s="301">
        <f t="shared" si="3"/>
        <v>401.4818768469342</v>
      </c>
      <c r="BJ135" s="302">
        <f t="shared" si="4"/>
        <v>401.4818768469342</v>
      </c>
      <c r="BK135" s="302">
        <f t="shared" si="8"/>
        <v>14.481876846934199</v>
      </c>
      <c r="BL135" s="302" t="b">
        <f t="shared" si="5"/>
        <v>0</v>
      </c>
      <c r="BM135" s="304">
        <v>26</v>
      </c>
      <c r="BN135" s="214"/>
      <c r="BO135" s="214"/>
      <c r="BP135" s="214"/>
    </row>
    <row r="136" spans="2:109" ht="45" customHeight="1" thickBot="1" x14ac:dyDescent="0.35">
      <c r="B136" s="1868"/>
      <c r="C136" s="609"/>
      <c r="D136" s="341" t="str">
        <f>IF(BN67&gt;(+COS(($B$137*-1)*3.14159265358979/180)*451.5)," ","USE EXBAR AR AT THE FRONT")</f>
        <v xml:space="preserve"> </v>
      </c>
      <c r="E136" s="607"/>
      <c r="F136" s="607"/>
      <c r="G136" s="607"/>
      <c r="U136" s="569"/>
      <c r="AB136" s="569"/>
      <c r="AC136" s="569"/>
      <c r="AD136" s="569"/>
      <c r="AE136" s="569"/>
      <c r="BF136" s="298">
        <v>27</v>
      </c>
      <c r="BG136" s="299">
        <f t="shared" si="6"/>
        <v>645</v>
      </c>
      <c r="BH136" s="42">
        <f t="shared" si="7"/>
        <v>645</v>
      </c>
      <c r="BI136" s="301">
        <f t="shared" si="3"/>
        <v>444.4818768469342</v>
      </c>
      <c r="BJ136" s="302">
        <f t="shared" si="4"/>
        <v>444.4818768469342</v>
      </c>
      <c r="BK136" s="302">
        <f t="shared" si="8"/>
        <v>14.481876846934199</v>
      </c>
      <c r="BL136" s="302" t="b">
        <f t="shared" si="5"/>
        <v>0</v>
      </c>
      <c r="BM136" s="304">
        <v>27</v>
      </c>
      <c r="BN136" s="214"/>
      <c r="BO136" s="214"/>
      <c r="BP136" s="214"/>
    </row>
    <row r="137" spans="2:109" ht="45" customHeight="1" thickBot="1" x14ac:dyDescent="0.35">
      <c r="B137" s="1">
        <v>0</v>
      </c>
      <c r="C137" s="609"/>
      <c r="D137" s="341" t="str">
        <f>IF(DE67&lt;-(+COS(($B$137*-1)*3.14159265358979/180)*365.5)," ","USE EXBAR AR AT THE BACK")</f>
        <v xml:space="preserve"> </v>
      </c>
      <c r="E137" s="607"/>
      <c r="F137" s="607"/>
      <c r="G137" s="607"/>
      <c r="BF137" s="298">
        <v>28</v>
      </c>
      <c r="BG137" s="299">
        <f t="shared" si="6"/>
        <v>688</v>
      </c>
      <c r="BH137" s="42">
        <f t="shared" si="7"/>
        <v>688</v>
      </c>
      <c r="BI137" s="301">
        <f t="shared" si="3"/>
        <v>487.4818768469342</v>
      </c>
      <c r="BJ137" s="302">
        <f t="shared" si="4"/>
        <v>487.4818768469342</v>
      </c>
      <c r="BK137" s="302">
        <f t="shared" si="8"/>
        <v>14.481876846934199</v>
      </c>
      <c r="BL137" s="302" t="b">
        <f t="shared" si="5"/>
        <v>0</v>
      </c>
      <c r="BM137" s="304">
        <v>28</v>
      </c>
      <c r="BN137" s="214"/>
      <c r="BO137" s="214"/>
      <c r="BP137" s="214"/>
    </row>
    <row r="138" spans="2:109" ht="15.75" hidden="1" customHeight="1" x14ac:dyDescent="0.3">
      <c r="BF138" s="298">
        <v>29</v>
      </c>
      <c r="BG138" s="299">
        <f t="shared" si="6"/>
        <v>731</v>
      </c>
      <c r="BH138" s="42">
        <f t="shared" si="7"/>
        <v>731</v>
      </c>
      <c r="BI138" s="301">
        <f t="shared" si="3"/>
        <v>530.48187684693426</v>
      </c>
      <c r="BJ138" s="302">
        <f t="shared" si="4"/>
        <v>530.48187684693426</v>
      </c>
      <c r="BK138" s="302">
        <f t="shared" si="8"/>
        <v>14.481876846934199</v>
      </c>
      <c r="BL138" s="302" t="b">
        <f t="shared" si="5"/>
        <v>0</v>
      </c>
      <c r="BM138" s="304">
        <v>29</v>
      </c>
      <c r="BN138" s="214"/>
      <c r="BO138" s="214"/>
      <c r="BP138" s="214"/>
    </row>
    <row r="139" spans="2:109" ht="15.75" hidden="1" customHeight="1" x14ac:dyDescent="0.3">
      <c r="U139" s="610"/>
      <c r="AG139" s="611"/>
      <c r="AH139" s="612"/>
      <c r="BF139" s="298">
        <v>30</v>
      </c>
      <c r="BG139" s="299">
        <f t="shared" si="6"/>
        <v>774</v>
      </c>
      <c r="BH139" s="42">
        <f t="shared" si="7"/>
        <v>774</v>
      </c>
      <c r="BI139" s="301">
        <f t="shared" si="3"/>
        <v>573.48187684693426</v>
      </c>
      <c r="BJ139" s="302">
        <f t="shared" si="4"/>
        <v>573.48187684693426</v>
      </c>
      <c r="BK139" s="302">
        <f t="shared" si="8"/>
        <v>14.481876846934199</v>
      </c>
      <c r="BL139" s="302" t="b">
        <f t="shared" si="5"/>
        <v>0</v>
      </c>
      <c r="BM139" s="304">
        <v>30</v>
      </c>
      <c r="BN139" s="214"/>
      <c r="BO139" s="214"/>
      <c r="BP139" s="214"/>
    </row>
    <row r="140" spans="2:109" ht="15.75" hidden="1" customHeight="1" x14ac:dyDescent="0.3">
      <c r="B140" s="613"/>
      <c r="U140" s="610"/>
      <c r="BF140" s="298">
        <v>31</v>
      </c>
      <c r="BG140" s="299">
        <f t="shared" si="6"/>
        <v>817</v>
      </c>
      <c r="BH140" s="42">
        <f t="shared" si="7"/>
        <v>817</v>
      </c>
      <c r="BI140" s="301">
        <f t="shared" si="3"/>
        <v>616.48187684693426</v>
      </c>
      <c r="BJ140" s="302">
        <f t="shared" si="4"/>
        <v>616.48187684693426</v>
      </c>
      <c r="BK140" s="302">
        <f t="shared" si="8"/>
        <v>14.481876846934199</v>
      </c>
      <c r="BL140" s="302" t="b">
        <f t="shared" si="5"/>
        <v>0</v>
      </c>
      <c r="BM140" s="304">
        <v>31</v>
      </c>
      <c r="BN140" s="214"/>
      <c r="BO140" s="214"/>
      <c r="BP140" s="214"/>
    </row>
    <row r="141" spans="2:109" ht="15.75" hidden="1" customHeight="1" thickBot="1" x14ac:dyDescent="0.35">
      <c r="B141" s="613"/>
      <c r="AB141" s="613"/>
      <c r="AC141" s="613"/>
      <c r="AD141" s="613"/>
      <c r="AE141" s="613"/>
      <c r="BF141" s="298">
        <v>32</v>
      </c>
      <c r="BG141" s="299">
        <f t="shared" si="6"/>
        <v>860</v>
      </c>
      <c r="BH141" s="42">
        <f t="shared" si="7"/>
        <v>860</v>
      </c>
      <c r="BI141" s="301">
        <f t="shared" si="3"/>
        <v>659.48187684693426</v>
      </c>
      <c r="BJ141" s="302">
        <f t="shared" si="4"/>
        <v>659.48187684693426</v>
      </c>
      <c r="BK141" s="302">
        <f t="shared" si="8"/>
        <v>14.481876846934199</v>
      </c>
      <c r="BL141" s="302" t="b">
        <f t="shared" si="5"/>
        <v>0</v>
      </c>
      <c r="BM141" s="304">
        <v>32</v>
      </c>
      <c r="BN141" s="214"/>
      <c r="BO141" s="214"/>
      <c r="BP141" s="214"/>
    </row>
    <row r="142" spans="2:109" ht="72" hidden="1" customHeight="1" x14ac:dyDescent="0.3">
      <c r="V142" s="569"/>
      <c r="W142" s="614" t="s">
        <v>103</v>
      </c>
      <c r="X142" s="614"/>
      <c r="Y142" s="614"/>
      <c r="Z142" s="614"/>
      <c r="AA142" s="614"/>
      <c r="AB142" s="569"/>
      <c r="AC142" s="569"/>
      <c r="AD142" s="569"/>
      <c r="AE142" s="569"/>
      <c r="AF142" s="569"/>
      <c r="AG142" s="569"/>
      <c r="AH142" s="569"/>
      <c r="AI142" s="569"/>
      <c r="AJ142" s="569"/>
      <c r="AK142" s="797" t="s">
        <v>174</v>
      </c>
      <c r="AL142" s="794"/>
      <c r="AM142" s="794"/>
      <c r="AN142" s="794"/>
      <c r="AO142" s="876" t="s">
        <v>178</v>
      </c>
      <c r="AP142" s="569"/>
      <c r="AQ142" s="569"/>
      <c r="AR142" s="569"/>
      <c r="AS142" s="569"/>
      <c r="AT142" s="569"/>
      <c r="AU142" s="569"/>
      <c r="AV142" s="569"/>
      <c r="AW142" s="569"/>
      <c r="AX142" s="569"/>
      <c r="AY142" s="569"/>
      <c r="AZ142" s="569"/>
      <c r="BA142" s="569"/>
      <c r="BB142" s="569"/>
      <c r="BF142" s="298">
        <v>33</v>
      </c>
      <c r="BG142" s="299">
        <f t="shared" si="6"/>
        <v>903</v>
      </c>
      <c r="BH142" s="42">
        <f t="shared" si="7"/>
        <v>903</v>
      </c>
      <c r="BI142" s="301">
        <f t="shared" si="3"/>
        <v>702.48187684693426</v>
      </c>
      <c r="BJ142" s="302">
        <f t="shared" si="4"/>
        <v>702.48187684693426</v>
      </c>
      <c r="BK142" s="302">
        <f t="shared" si="8"/>
        <v>14.481876846934199</v>
      </c>
      <c r="BL142" s="302" t="b">
        <f t="shared" si="5"/>
        <v>0</v>
      </c>
      <c r="BM142" s="304">
        <v>33</v>
      </c>
      <c r="BN142" s="214"/>
      <c r="BO142" s="214"/>
      <c r="BP142" s="214"/>
    </row>
    <row r="143" spans="2:109" ht="18.75" customHeight="1" thickBot="1" x14ac:dyDescent="0.35">
      <c r="V143" s="569"/>
      <c r="W143" s="569"/>
      <c r="X143" s="569"/>
      <c r="Y143" s="569"/>
      <c r="Z143" s="569"/>
      <c r="AA143" s="569"/>
      <c r="AB143" s="569"/>
      <c r="AC143" s="569"/>
      <c r="AD143" s="569"/>
      <c r="AE143" s="569"/>
      <c r="AF143" s="569"/>
      <c r="AG143" s="569"/>
      <c r="AH143" s="569"/>
      <c r="AI143" s="569"/>
      <c r="AJ143" s="569"/>
      <c r="AK143" s="877" t="s">
        <v>175</v>
      </c>
      <c r="AL143" s="797" t="s">
        <v>176</v>
      </c>
      <c r="AM143" s="797" t="s">
        <v>177</v>
      </c>
      <c r="AN143" s="798" t="s">
        <v>181</v>
      </c>
      <c r="AO143" s="799" t="s">
        <v>179</v>
      </c>
      <c r="AP143" s="569"/>
      <c r="AQ143" s="569"/>
      <c r="AR143" s="569"/>
      <c r="AS143" s="569"/>
      <c r="AT143" s="569"/>
      <c r="AU143" s="569"/>
      <c r="AV143" s="569"/>
      <c r="AW143" s="569"/>
      <c r="AX143" s="569"/>
      <c r="AY143" s="569"/>
      <c r="AZ143" s="569"/>
      <c r="BA143" s="569"/>
      <c r="BB143" s="569"/>
      <c r="BF143" s="298">
        <v>34</v>
      </c>
      <c r="BG143" s="299">
        <f t="shared" si="6"/>
        <v>946</v>
      </c>
      <c r="BH143" s="42">
        <f t="shared" si="7"/>
        <v>946</v>
      </c>
      <c r="BI143" s="301">
        <f t="shared" si="3"/>
        <v>745.48187684693426</v>
      </c>
      <c r="BJ143" s="302">
        <f t="shared" si="4"/>
        <v>745.48187684693426</v>
      </c>
      <c r="BK143" s="302">
        <f t="shared" si="8"/>
        <v>14.481876846934199</v>
      </c>
      <c r="BL143" s="302" t="b">
        <f t="shared" si="5"/>
        <v>0</v>
      </c>
      <c r="BM143" s="304">
        <v>34</v>
      </c>
      <c r="BN143" s="214"/>
      <c r="BO143" s="214"/>
      <c r="BP143" s="214"/>
    </row>
    <row r="144" spans="2:109" ht="88.5" customHeight="1" thickBot="1" x14ac:dyDescent="0.35">
      <c r="B144" s="615" t="s">
        <v>118</v>
      </c>
      <c r="C144" s="616"/>
      <c r="D144" s="617"/>
      <c r="E144" s="618"/>
      <c r="F144" s="618"/>
      <c r="G144" s="618"/>
      <c r="H144" s="619"/>
      <c r="I144" s="619"/>
      <c r="J144" s="619"/>
      <c r="K144" s="619"/>
      <c r="L144" s="619"/>
      <c r="M144" s="619"/>
      <c r="N144" s="619"/>
      <c r="O144" s="619"/>
      <c r="P144" s="619"/>
      <c r="Q144" s="619"/>
      <c r="R144" s="619"/>
      <c r="S144" s="619" t="s">
        <v>81</v>
      </c>
      <c r="T144" s="620">
        <f>SUM(V148:V167)/B145</f>
        <v>213.83080000000001</v>
      </c>
      <c r="U144" s="621"/>
      <c r="V144" s="569"/>
      <c r="W144" s="622" t="s">
        <v>140</v>
      </c>
      <c r="X144" s="623" t="s">
        <v>94</v>
      </c>
      <c r="Y144" s="622" t="s">
        <v>156</v>
      </c>
      <c r="Z144" s="624" t="s">
        <v>95</v>
      </c>
      <c r="AA144" s="624" t="s">
        <v>96</v>
      </c>
      <c r="AB144" s="569"/>
      <c r="AC144" s="569"/>
      <c r="AD144" s="569"/>
      <c r="AE144" s="569"/>
      <c r="AF144" s="569"/>
      <c r="AG144" s="569"/>
      <c r="AH144" s="569"/>
      <c r="AI144" s="569"/>
      <c r="AJ144" s="569"/>
      <c r="AK144" s="877">
        <v>6.8623010000000004</v>
      </c>
      <c r="AL144" s="797">
        <f>+$B$137-AK144</f>
        <v>-6.8623010000000004</v>
      </c>
      <c r="AM144" s="800">
        <f>COS(AL144*3.14159265358979/180)</f>
        <v>0.99283617366519983</v>
      </c>
      <c r="AN144" s="793">
        <f>+AM144*378.71303</f>
        <v>375.99999562235405</v>
      </c>
      <c r="AO144" s="801">
        <f>+((AO148*(AQ148-31))+(AN144*31)+(AO174*31))/(AQ148+31)</f>
        <v>248.01813685566876</v>
      </c>
      <c r="AP144" s="1100" t="s">
        <v>266</v>
      </c>
      <c r="AQ144" s="569"/>
      <c r="AR144" s="569"/>
      <c r="AS144" s="569"/>
      <c r="AT144" s="569"/>
      <c r="AU144" s="569"/>
      <c r="AV144" s="569"/>
      <c r="AW144" s="569"/>
      <c r="AX144" s="569"/>
      <c r="AY144" s="569"/>
      <c r="AZ144" s="569"/>
      <c r="BA144" s="569"/>
      <c r="BB144" s="569"/>
      <c r="BF144" s="298">
        <v>35</v>
      </c>
      <c r="BG144" s="299">
        <f t="shared" si="6"/>
        <v>989</v>
      </c>
      <c r="BH144" s="42">
        <f t="shared" si="7"/>
        <v>989</v>
      </c>
      <c r="BI144" s="301">
        <f t="shared" si="3"/>
        <v>788.48187684693426</v>
      </c>
      <c r="BJ144" s="302">
        <f t="shared" si="4"/>
        <v>788.48187684693426</v>
      </c>
      <c r="BK144" s="302">
        <f t="shared" si="8"/>
        <v>14.481876846934199</v>
      </c>
      <c r="BL144" s="302" t="b">
        <f t="shared" si="5"/>
        <v>0</v>
      </c>
      <c r="BM144" s="304">
        <v>35</v>
      </c>
      <c r="BN144" s="214"/>
      <c r="BO144" s="214"/>
      <c r="BP144" s="214"/>
    </row>
    <row r="145" spans="1:88" ht="27" thickBot="1" x14ac:dyDescent="0.35">
      <c r="B145" s="33">
        <v>1</v>
      </c>
      <c r="C145" s="625"/>
      <c r="D145" s="626" t="s">
        <v>117</v>
      </c>
      <c r="E145" s="685"/>
      <c r="F145" s="931"/>
      <c r="G145" s="932"/>
      <c r="H145" s="932"/>
      <c r="I145" s="932"/>
      <c r="J145" s="932"/>
      <c r="K145" s="932"/>
      <c r="L145" s="932"/>
      <c r="M145" s="932"/>
      <c r="N145" s="932"/>
      <c r="O145" s="932"/>
      <c r="P145" s="932"/>
      <c r="Q145" s="932"/>
      <c r="R145" s="932"/>
      <c r="S145" s="932"/>
      <c r="T145" s="932"/>
      <c r="U145" s="588"/>
      <c r="V145" s="627"/>
      <c r="AB145" s="627"/>
      <c r="AC145" s="627"/>
      <c r="AD145" s="627"/>
      <c r="AE145" s="627"/>
      <c r="AF145" s="627"/>
      <c r="AG145" s="627"/>
      <c r="AH145" s="627"/>
      <c r="AI145" s="627"/>
      <c r="AJ145" s="627"/>
      <c r="AK145" s="627"/>
      <c r="AL145" s="627"/>
      <c r="AM145" s="627"/>
      <c r="AN145" s="627"/>
      <c r="AO145" s="627"/>
      <c r="AP145" s="627"/>
      <c r="AQ145" s="627"/>
      <c r="AR145" s="627"/>
      <c r="AS145" s="627"/>
      <c r="AT145" s="627"/>
      <c r="AU145" s="627"/>
      <c r="AV145" s="627"/>
      <c r="AW145" s="627"/>
      <c r="AX145" s="627"/>
      <c r="AY145" s="627"/>
      <c r="AZ145" s="1860" t="s">
        <v>52</v>
      </c>
      <c r="BA145" s="1861"/>
      <c r="BB145" s="627"/>
      <c r="BF145" s="298">
        <v>36</v>
      </c>
      <c r="BG145" s="299">
        <f t="shared" si="6"/>
        <v>1032</v>
      </c>
      <c r="BH145" s="42">
        <f t="shared" si="7"/>
        <v>1032</v>
      </c>
      <c r="BI145" s="301">
        <f t="shared" si="3"/>
        <v>831.48187684693426</v>
      </c>
      <c r="BJ145" s="302">
        <f t="shared" si="4"/>
        <v>831.48187684693426</v>
      </c>
      <c r="BK145" s="302">
        <f t="shared" si="8"/>
        <v>14.481876846934199</v>
      </c>
      <c r="BL145" s="302" t="b">
        <f t="shared" si="5"/>
        <v>0</v>
      </c>
      <c r="BM145" s="304">
        <v>36</v>
      </c>
      <c r="BN145" s="214"/>
      <c r="BO145" s="214"/>
      <c r="BP145" s="214"/>
    </row>
    <row r="146" spans="1:88" ht="33" hidden="1" customHeight="1" thickBot="1" x14ac:dyDescent="0.35">
      <c r="C146" s="606"/>
      <c r="D146" s="619" t="s">
        <v>13</v>
      </c>
      <c r="E146" s="619"/>
      <c r="F146" s="619"/>
      <c r="G146" s="619"/>
      <c r="H146" s="500" t="s">
        <v>4</v>
      </c>
      <c r="I146" s="500" t="s">
        <v>1</v>
      </c>
      <c r="J146" s="619" t="s">
        <v>0</v>
      </c>
      <c r="K146" s="619" t="s">
        <v>2</v>
      </c>
      <c r="L146" s="619" t="s">
        <v>3</v>
      </c>
      <c r="M146" s="619" t="s">
        <v>8</v>
      </c>
      <c r="N146" s="619" t="s">
        <v>5</v>
      </c>
      <c r="O146" s="619" t="s">
        <v>6</v>
      </c>
      <c r="P146" s="619" t="s">
        <v>7</v>
      </c>
      <c r="Q146" s="619" t="s">
        <v>9</v>
      </c>
      <c r="R146" s="619" t="s">
        <v>10</v>
      </c>
      <c r="S146" s="619" t="s">
        <v>11</v>
      </c>
      <c r="T146" s="628" t="s">
        <v>12</v>
      </c>
      <c r="U146" s="629"/>
      <c r="V146" s="630"/>
      <c r="W146" s="631"/>
      <c r="X146" s="631"/>
      <c r="Y146" s="631"/>
      <c r="Z146" s="631"/>
      <c r="AA146" s="631"/>
      <c r="AB146" s="630"/>
      <c r="AC146" s="623" t="s">
        <v>99</v>
      </c>
      <c r="AD146" s="623"/>
      <c r="AE146" s="623"/>
      <c r="AF146" s="630"/>
      <c r="AG146" s="630"/>
      <c r="AH146" s="630"/>
      <c r="AI146" s="630"/>
      <c r="AJ146" s="630"/>
      <c r="AK146" s="630"/>
      <c r="AL146" s="630"/>
      <c r="AM146" s="630"/>
      <c r="AN146" s="630"/>
      <c r="AO146" s="630" t="s">
        <v>82</v>
      </c>
      <c r="AP146" s="630"/>
      <c r="AQ146" s="630" t="s">
        <v>82</v>
      </c>
      <c r="AR146" s="630"/>
      <c r="AS146" s="630"/>
      <c r="AT146" s="630" t="s">
        <v>82</v>
      </c>
      <c r="AU146" s="630"/>
      <c r="AV146" s="630"/>
      <c r="AW146" s="630"/>
      <c r="AX146" s="613"/>
      <c r="AY146" s="630"/>
      <c r="AZ146" s="632"/>
      <c r="BA146" s="632"/>
      <c r="BB146" s="630"/>
      <c r="BF146" s="308">
        <v>37</v>
      </c>
      <c r="BG146" s="309">
        <f t="shared" si="6"/>
        <v>1075</v>
      </c>
      <c r="BH146" s="42">
        <f t="shared" si="7"/>
        <v>1075</v>
      </c>
      <c r="BI146" s="301">
        <f t="shared" si="3"/>
        <v>874.48187684693426</v>
      </c>
      <c r="BJ146" s="302">
        <f t="shared" si="4"/>
        <v>874.48187684693426</v>
      </c>
      <c r="BK146" s="302">
        <f t="shared" si="8"/>
        <v>14.481876846934199</v>
      </c>
      <c r="BL146" s="302" t="b">
        <f t="shared" si="5"/>
        <v>0</v>
      </c>
      <c r="BM146" s="310">
        <v>37</v>
      </c>
      <c r="BN146" s="214"/>
      <c r="BO146" s="214"/>
      <c r="BP146" s="214"/>
    </row>
    <row r="147" spans="1:88" ht="38" customHeight="1" thickBot="1" x14ac:dyDescent="0.25">
      <c r="B147" s="633"/>
      <c r="C147" s="634"/>
      <c r="D147" s="635" t="s">
        <v>22</v>
      </c>
      <c r="E147" s="636"/>
      <c r="F147" s="635"/>
      <c r="G147" s="637"/>
      <c r="H147" s="469"/>
      <c r="I147" s="470"/>
      <c r="J147" s="638"/>
      <c r="K147" s="638"/>
      <c r="L147" s="638"/>
      <c r="M147" s="638"/>
      <c r="N147" s="638"/>
      <c r="O147" s="638"/>
      <c r="P147" s="638"/>
      <c r="Q147" s="638"/>
      <c r="R147" s="638"/>
      <c r="S147" s="638"/>
      <c r="T147" s="639"/>
      <c r="U147" s="640"/>
      <c r="V147" s="641"/>
      <c r="W147" s="642"/>
      <c r="X147" s="642"/>
      <c r="Y147" s="642"/>
      <c r="Z147" s="642"/>
      <c r="AA147" s="642"/>
      <c r="AB147" s="641"/>
      <c r="AC147" s="643">
        <f>SUM(AC148:AC167)</f>
        <v>213.83080000000001</v>
      </c>
      <c r="AD147" s="644"/>
      <c r="AE147" s="644"/>
      <c r="AF147" s="645" t="s">
        <v>38</v>
      </c>
      <c r="AG147" s="645" t="s">
        <v>31</v>
      </c>
      <c r="AH147" s="645"/>
      <c r="AI147" s="368" t="s">
        <v>120</v>
      </c>
      <c r="AJ147" s="646" t="s">
        <v>32</v>
      </c>
      <c r="AK147" s="472" t="s">
        <v>142</v>
      </c>
      <c r="AL147" s="368" t="s">
        <v>121</v>
      </c>
      <c r="AM147" s="645" t="s">
        <v>34</v>
      </c>
      <c r="AN147" s="472" t="s">
        <v>143</v>
      </c>
      <c r="AO147" s="645" t="s">
        <v>48</v>
      </c>
      <c r="AP147" s="647" t="s">
        <v>36</v>
      </c>
      <c r="AQ147" s="645" t="s">
        <v>83</v>
      </c>
      <c r="AR147" s="645" t="s">
        <v>37</v>
      </c>
      <c r="AS147" s="645" t="s">
        <v>39</v>
      </c>
      <c r="AT147" s="645" t="s">
        <v>84</v>
      </c>
      <c r="AU147" s="645" t="s">
        <v>40</v>
      </c>
      <c r="AV147" s="648" t="s">
        <v>41</v>
      </c>
      <c r="AW147" s="648" t="s">
        <v>42</v>
      </c>
      <c r="AX147" s="649" t="s">
        <v>23</v>
      </c>
      <c r="AY147" s="649" t="s">
        <v>24</v>
      </c>
      <c r="AZ147" s="650" t="s">
        <v>23</v>
      </c>
      <c r="BA147" s="650" t="s">
        <v>24</v>
      </c>
      <c r="BG147" s="388"/>
    </row>
    <row r="148" spans="1:88" ht="18" customHeight="1" thickBot="1" x14ac:dyDescent="0.25">
      <c r="B148" s="651">
        <v>1</v>
      </c>
      <c r="C148" s="652">
        <f>+(B137*-1)+D148</f>
        <v>0</v>
      </c>
      <c r="D148" s="31">
        <v>0</v>
      </c>
      <c r="E148" s="653" t="s">
        <v>119</v>
      </c>
      <c r="F148" s="654"/>
      <c r="G148" s="654">
        <f>+D148</f>
        <v>0</v>
      </c>
      <c r="H148" s="506">
        <v>279.06049999999999</v>
      </c>
      <c r="I148" s="507">
        <v>79.962900599999998</v>
      </c>
      <c r="J148" s="655">
        <f>+I148-C148</f>
        <v>79.962900599999998</v>
      </c>
      <c r="K148" s="655">
        <f t="shared" ref="K148:K167" si="11">+J148/2</f>
        <v>39.981450299999999</v>
      </c>
      <c r="L148" s="655">
        <f t="shared" ref="L148:L167" si="12">SIN(K148*3.14159265358979/180)</f>
        <v>0.64253956655634092</v>
      </c>
      <c r="M148" s="655">
        <f t="shared" ref="M148:M167" si="13">+L148*H148</f>
        <v>179.30741271299578</v>
      </c>
      <c r="N148" s="655">
        <f t="shared" ref="N148:N167" si="14">+M148*2</f>
        <v>358.61482542599157</v>
      </c>
      <c r="O148" s="655">
        <f>+C148/2</f>
        <v>0</v>
      </c>
      <c r="P148" s="655">
        <f t="shared" ref="P148:P167" si="15">SIN(O148*3.14159265358979/180)</f>
        <v>0</v>
      </c>
      <c r="Q148" s="655">
        <f t="shared" ref="Q148:Q167" si="16">+P148*N148</f>
        <v>0</v>
      </c>
      <c r="R148" s="509">
        <v>213.83080000000001</v>
      </c>
      <c r="S148" s="655">
        <f>+R148+Q148</f>
        <v>213.83080000000001</v>
      </c>
      <c r="T148" s="656">
        <f t="shared" ref="T148:T167" si="17">+S148</f>
        <v>213.83080000000001</v>
      </c>
      <c r="V148" s="657">
        <f t="shared" ref="V148:V167" si="18">IF(B148&lt;($B$145+1),T148,0)</f>
        <v>213.83080000000001</v>
      </c>
      <c r="W148" s="512">
        <v>39.981450000000002</v>
      </c>
      <c r="X148" s="658">
        <f>+W148+AH169</f>
        <v>39.981450000000002</v>
      </c>
      <c r="Y148" s="512">
        <v>279.06049999999999</v>
      </c>
      <c r="Z148" s="658">
        <f>+COS(X148*3.14159265358979/180)*Y148</f>
        <v>213.83080883710866</v>
      </c>
      <c r="AA148" s="659">
        <f>+AC147-Z148</f>
        <v>-8.8371086519600794E-6</v>
      </c>
      <c r="AB148" s="654" t="str">
        <f>IF(AY148&lt;0,"use the locking pin"," ")</f>
        <v xml:space="preserve"> </v>
      </c>
      <c r="AC148" s="660">
        <f>IF(AD148=1,AF148)</f>
        <v>213.83080000000001</v>
      </c>
      <c r="AD148" s="660">
        <f t="shared" ref="AD148:AD167" si="19">MAX(AE$148:AE$167)</f>
        <v>1</v>
      </c>
      <c r="AE148" s="644">
        <f>IF(V148=0,0,1)</f>
        <v>1</v>
      </c>
      <c r="AF148" s="657">
        <f>SUM(V148:V167)/($B$145)</f>
        <v>213.83080000000001</v>
      </c>
      <c r="AG148" s="612">
        <f>C148</f>
        <v>0</v>
      </c>
      <c r="AH148" s="661">
        <f t="shared" ref="AH148:AH167" si="20">IF(B148&lt;($B$145+1),AG148)</f>
        <v>0</v>
      </c>
      <c r="AI148" s="287">
        <f>66.2555484-AG148</f>
        <v>66.255548399999995</v>
      </c>
      <c r="AJ148" s="662">
        <f t="shared" ref="AJ148:AJ167" si="21">SIN(AI148*3.14159265358979/180)</f>
        <v>0.91535047595051022</v>
      </c>
      <c r="AK148" s="289">
        <f>+AJ148*304.3209</f>
        <v>278.56028065668761</v>
      </c>
      <c r="AL148" s="287">
        <f>50.0185497+AG148</f>
        <v>50.018549700000001</v>
      </c>
      <c r="AM148" s="663">
        <f>SIN(AL148*3.14159265358979/180)</f>
        <v>0.76625250760411079</v>
      </c>
      <c r="AN148" s="291">
        <f>+AM148*279.0605</f>
        <v>213.83080789825695</v>
      </c>
      <c r="AO148" s="664">
        <f t="shared" ref="AO148:AO167" si="22">+((AF148*AP148)+($AP$179*($AF$179+$AA$148)))/AQ148</f>
        <v>127.79275437787349</v>
      </c>
      <c r="AP148" s="665">
        <f>40.5*B145</f>
        <v>40.5</v>
      </c>
      <c r="AQ148" s="664">
        <f t="shared" ref="AQ148:AQ156" si="23">+AP148+$AP$179+31</f>
        <v>97</v>
      </c>
      <c r="AR148" s="666">
        <f>+AN148+AK148</f>
        <v>492.39108855494453</v>
      </c>
      <c r="AS148" s="667">
        <f t="shared" ref="AS148:AS167" si="24">+V148-AN148</f>
        <v>-7.8982569391428115E-6</v>
      </c>
      <c r="AT148" s="668">
        <f>+AO148-AS148</f>
        <v>127.79276227613043</v>
      </c>
      <c r="AU148" s="667"/>
      <c r="AV148" s="669">
        <f>+((AR148-AT148)/AR148)*AQ148</f>
        <v>71.825096901806688</v>
      </c>
      <c r="AW148" s="669">
        <f>+(AT148/AR148)*AQ148</f>
        <v>25.174903098193315</v>
      </c>
      <c r="AX148" s="654">
        <f t="shared" ref="AX148:AX167" si="25">2*$D$11/AV148</f>
        <v>161.50343682596846</v>
      </c>
      <c r="AY148" s="654">
        <f t="shared" ref="AY148:AY167" si="26">$F$11/AW148</f>
        <v>397.22099270831563</v>
      </c>
      <c r="AZ148" s="670">
        <f>ABS(AX148)</f>
        <v>161.50343682596846</v>
      </c>
      <c r="BA148" s="670">
        <f>ABS(AY148)</f>
        <v>397.22099270831563</v>
      </c>
      <c r="BB148" s="655"/>
      <c r="BG148" s="388"/>
    </row>
    <row r="149" spans="1:88" ht="18" customHeight="1" thickBot="1" x14ac:dyDescent="0.25">
      <c r="B149" s="671">
        <v>2</v>
      </c>
      <c r="C149" s="652"/>
      <c r="D149" s="32">
        <v>0</v>
      </c>
      <c r="E149" s="672" t="s">
        <v>130</v>
      </c>
      <c r="F149" s="673"/>
      <c r="G149" s="673" t="e">
        <f t="shared" ref="G149:G167" si="27">+D149+BB149</f>
        <v>#DIV/0!</v>
      </c>
      <c r="H149" s="506">
        <v>279.06049999999999</v>
      </c>
      <c r="I149" s="507">
        <v>79.962900599999998</v>
      </c>
      <c r="J149" s="655">
        <f t="shared" ref="J149:J167" si="28">+I149-D149</f>
        <v>79.962900599999998</v>
      </c>
      <c r="K149" s="655">
        <f t="shared" si="11"/>
        <v>39.981450299999999</v>
      </c>
      <c r="L149" s="655">
        <f t="shared" si="12"/>
        <v>0.64253956655634092</v>
      </c>
      <c r="M149" s="655">
        <f t="shared" si="13"/>
        <v>179.30741271299578</v>
      </c>
      <c r="N149" s="655">
        <f t="shared" si="14"/>
        <v>358.61482542599157</v>
      </c>
      <c r="O149" s="655">
        <f>+C148+(D149/2)</f>
        <v>0</v>
      </c>
      <c r="P149" s="655">
        <f t="shared" si="15"/>
        <v>0</v>
      </c>
      <c r="Q149" s="655">
        <f t="shared" si="16"/>
        <v>0</v>
      </c>
      <c r="R149" s="655">
        <f t="shared" ref="R149:R167" si="29">+T148</f>
        <v>213.83080000000001</v>
      </c>
      <c r="S149" s="655">
        <f>+R149+Q149</f>
        <v>213.83080000000001</v>
      </c>
      <c r="T149" s="656">
        <f t="shared" si="17"/>
        <v>213.83080000000001</v>
      </c>
      <c r="V149" s="657">
        <f t="shared" si="18"/>
        <v>0</v>
      </c>
      <c r="W149" s="657"/>
      <c r="X149" s="657"/>
      <c r="Y149" s="657"/>
      <c r="Z149" s="657"/>
      <c r="AA149" s="657"/>
      <c r="AB149" s="673" t="e">
        <f>IF(AY149&lt;0,"use the locking pin"," ")</f>
        <v>#DIV/0!</v>
      </c>
      <c r="AC149" s="660" t="b">
        <f>IF(AD149=2,AF149)</f>
        <v>0</v>
      </c>
      <c r="AD149" s="660">
        <f t="shared" si="19"/>
        <v>1</v>
      </c>
      <c r="AE149" s="644">
        <f>IF(V149=0,0,2)</f>
        <v>0</v>
      </c>
      <c r="AF149" s="657" t="e">
        <f>SUM(V149:V168)/($B$145-B148)</f>
        <v>#DIV/0!</v>
      </c>
      <c r="AG149" s="612">
        <f>SUM(D149)+$C$148</f>
        <v>0</v>
      </c>
      <c r="AH149" s="661" t="b">
        <f t="shared" si="20"/>
        <v>0</v>
      </c>
      <c r="AI149" s="287">
        <f t="shared" ref="AI149:AI167" si="30">66.2555484-AG149</f>
        <v>66.255548399999995</v>
      </c>
      <c r="AJ149" s="674">
        <f t="shared" si="21"/>
        <v>0.91535047595051022</v>
      </c>
      <c r="AK149" s="289">
        <f t="shared" ref="AK149:AK167" si="31">+AJ149*304.3209</f>
        <v>278.56028065668761</v>
      </c>
      <c r="AL149" s="287">
        <f t="shared" ref="AL149:AL167" si="32">50.0185497+AG149</f>
        <v>50.018549700000001</v>
      </c>
      <c r="AM149" s="675">
        <f t="shared" ref="AM149:AM167" si="33">SIN(AL149*3.14159265358979/180)</f>
        <v>0.76625250760411079</v>
      </c>
      <c r="AN149" s="291">
        <f t="shared" ref="AN149:AN167" si="34">+AM149*279.0605</f>
        <v>213.83080789825695</v>
      </c>
      <c r="AO149" s="664" t="e">
        <f t="shared" si="22"/>
        <v>#DIV/0!</v>
      </c>
      <c r="AP149" s="676">
        <f t="shared" ref="AP149:AP167" si="35">40.5*($B$145-B148)</f>
        <v>0</v>
      </c>
      <c r="AQ149" s="677">
        <f t="shared" si="23"/>
        <v>56.5</v>
      </c>
      <c r="AR149" s="678">
        <f t="shared" ref="AR149:AR167" si="36">+AN149+AK149</f>
        <v>492.39108855494453</v>
      </c>
      <c r="AS149" s="667">
        <f t="shared" si="24"/>
        <v>-213.83080789825695</v>
      </c>
      <c r="AT149" s="668" t="e">
        <f t="shared" ref="AT149:AT167" si="37">+AO149-AS149</f>
        <v>#DIV/0!</v>
      </c>
      <c r="AU149" s="667"/>
      <c r="AV149" s="669" t="e">
        <f t="shared" ref="AV149:AV167" si="38">+((AR149-AT149)/AR149)*AQ149</f>
        <v>#DIV/0!</v>
      </c>
      <c r="AW149" s="669" t="e">
        <f t="shared" ref="AW149:AW167" si="39">+(AT149/AR149)*AQ149</f>
        <v>#DIV/0!</v>
      </c>
      <c r="AX149" s="673" t="e">
        <f t="shared" si="25"/>
        <v>#DIV/0!</v>
      </c>
      <c r="AY149" s="673" t="e">
        <f t="shared" si="26"/>
        <v>#DIV/0!</v>
      </c>
      <c r="AZ149" s="679" t="e">
        <f t="shared" ref="AZ149:BA167" si="40">ABS(AX149)</f>
        <v>#DIV/0!</v>
      </c>
      <c r="BA149" s="679" t="e">
        <f t="shared" si="40"/>
        <v>#DIV/0!</v>
      </c>
      <c r="BB149" s="560" t="e">
        <f t="shared" ref="BB149:BB167" si="41">IF(AY149&lt;0,0.3,0)</f>
        <v>#DIV/0!</v>
      </c>
      <c r="BG149" s="388"/>
    </row>
    <row r="150" spans="1:88" ht="18" customHeight="1" thickBot="1" x14ac:dyDescent="0.25">
      <c r="B150" s="671">
        <v>3</v>
      </c>
      <c r="C150" s="652"/>
      <c r="D150" s="32">
        <v>0</v>
      </c>
      <c r="E150" s="672" t="s">
        <v>130</v>
      </c>
      <c r="F150" s="673"/>
      <c r="G150" s="673">
        <f t="shared" si="27"/>
        <v>0</v>
      </c>
      <c r="H150" s="506">
        <v>279.06049999999999</v>
      </c>
      <c r="I150" s="507">
        <v>79.962900599999998</v>
      </c>
      <c r="J150" s="655">
        <f t="shared" si="28"/>
        <v>79.962900599999998</v>
      </c>
      <c r="K150" s="655">
        <f t="shared" si="11"/>
        <v>39.981450299999999</v>
      </c>
      <c r="L150" s="655">
        <f t="shared" si="12"/>
        <v>0.64253956655634092</v>
      </c>
      <c r="M150" s="655">
        <f t="shared" si="13"/>
        <v>179.30741271299578</v>
      </c>
      <c r="N150" s="655">
        <f t="shared" si="14"/>
        <v>358.61482542599157</v>
      </c>
      <c r="O150" s="655">
        <f>+C148+D149+(D150/2)</f>
        <v>0</v>
      </c>
      <c r="P150" s="655">
        <f t="shared" si="15"/>
        <v>0</v>
      </c>
      <c r="Q150" s="655">
        <f t="shared" si="16"/>
        <v>0</v>
      </c>
      <c r="R150" s="655">
        <f t="shared" si="29"/>
        <v>213.83080000000001</v>
      </c>
      <c r="S150" s="655">
        <f t="shared" ref="S150:S167" si="42">+S149+Q150</f>
        <v>213.83080000000001</v>
      </c>
      <c r="T150" s="656">
        <f t="shared" si="17"/>
        <v>213.83080000000001</v>
      </c>
      <c r="V150" s="657">
        <f t="shared" si="18"/>
        <v>0</v>
      </c>
      <c r="W150" s="657"/>
      <c r="X150" s="657"/>
      <c r="Y150" s="657"/>
      <c r="Z150" s="657"/>
      <c r="AA150" s="657"/>
      <c r="AB150" s="673" t="str">
        <f t="shared" ref="AB150:AB167" si="43">IF(AY150&lt;0,"use the locking pin"," ")</f>
        <v xml:space="preserve"> </v>
      </c>
      <c r="AC150" s="660" t="b">
        <f>IF(AD150=3,AF150)</f>
        <v>0</v>
      </c>
      <c r="AD150" s="660">
        <f t="shared" si="19"/>
        <v>1</v>
      </c>
      <c r="AE150" s="644">
        <f>IF(V150=0,0,3)</f>
        <v>0</v>
      </c>
      <c r="AF150" s="657">
        <f>SUM(V150:V169)/($B$145-B149)</f>
        <v>0</v>
      </c>
      <c r="AG150" s="612">
        <f>SUM(D149:D150)+$C$148</f>
        <v>0</v>
      </c>
      <c r="AH150" s="661" t="b">
        <f t="shared" si="20"/>
        <v>0</v>
      </c>
      <c r="AI150" s="287">
        <f t="shared" si="30"/>
        <v>66.255548399999995</v>
      </c>
      <c r="AJ150" s="674">
        <f t="shared" si="21"/>
        <v>0.91535047595051022</v>
      </c>
      <c r="AK150" s="289">
        <f t="shared" si="31"/>
        <v>278.56028065668761</v>
      </c>
      <c r="AL150" s="287">
        <f t="shared" si="32"/>
        <v>50.018549700000001</v>
      </c>
      <c r="AM150" s="675">
        <f t="shared" si="33"/>
        <v>0.76625250760411079</v>
      </c>
      <c r="AN150" s="291">
        <f t="shared" si="34"/>
        <v>213.83080789825695</v>
      </c>
      <c r="AO150" s="664">
        <f t="shared" si="22"/>
        <v>233.48436091585808</v>
      </c>
      <c r="AP150" s="676">
        <f t="shared" si="35"/>
        <v>-40.5</v>
      </c>
      <c r="AQ150" s="677">
        <f t="shared" si="23"/>
        <v>16</v>
      </c>
      <c r="AR150" s="678">
        <f t="shared" si="36"/>
        <v>492.39108855494453</v>
      </c>
      <c r="AS150" s="667">
        <f t="shared" si="24"/>
        <v>-213.83080789825695</v>
      </c>
      <c r="AT150" s="668">
        <f t="shared" si="37"/>
        <v>447.31516881411505</v>
      </c>
      <c r="AU150" s="667"/>
      <c r="AV150" s="669">
        <f t="shared" si="38"/>
        <v>1.4647192701433167</v>
      </c>
      <c r="AW150" s="669">
        <f t="shared" si="39"/>
        <v>14.535280729856684</v>
      </c>
      <c r="AX150" s="673">
        <f t="shared" si="25"/>
        <v>7919.6063276104696</v>
      </c>
      <c r="AY150" s="673">
        <f t="shared" si="26"/>
        <v>687.98120833395137</v>
      </c>
      <c r="AZ150" s="679">
        <f t="shared" si="40"/>
        <v>7919.6063276104696</v>
      </c>
      <c r="BA150" s="679">
        <f t="shared" si="40"/>
        <v>687.98120833395137</v>
      </c>
      <c r="BB150" s="560">
        <f t="shared" si="41"/>
        <v>0</v>
      </c>
      <c r="BG150" s="388"/>
    </row>
    <row r="151" spans="1:88" ht="18" customHeight="1" thickBot="1" x14ac:dyDescent="0.25">
      <c r="B151" s="671">
        <v>4</v>
      </c>
      <c r="C151" s="652"/>
      <c r="D151" s="32">
        <v>0</v>
      </c>
      <c r="E151" s="672" t="s">
        <v>130</v>
      </c>
      <c r="F151" s="673"/>
      <c r="G151" s="673">
        <f t="shared" si="27"/>
        <v>0.3</v>
      </c>
      <c r="H151" s="506">
        <v>279.06049999999999</v>
      </c>
      <c r="I151" s="507">
        <v>79.962900599999998</v>
      </c>
      <c r="J151" s="655">
        <f t="shared" si="28"/>
        <v>79.962900599999998</v>
      </c>
      <c r="K151" s="655">
        <f t="shared" si="11"/>
        <v>39.981450299999999</v>
      </c>
      <c r="L151" s="655">
        <f t="shared" si="12"/>
        <v>0.64253956655634092</v>
      </c>
      <c r="M151" s="655">
        <f t="shared" si="13"/>
        <v>179.30741271299578</v>
      </c>
      <c r="N151" s="655">
        <f t="shared" si="14"/>
        <v>358.61482542599157</v>
      </c>
      <c r="O151" s="655">
        <f>+C148+D149+D150+(D151/2)</f>
        <v>0</v>
      </c>
      <c r="P151" s="655">
        <f t="shared" si="15"/>
        <v>0</v>
      </c>
      <c r="Q151" s="655">
        <f t="shared" si="16"/>
        <v>0</v>
      </c>
      <c r="R151" s="655">
        <f t="shared" si="29"/>
        <v>213.83080000000001</v>
      </c>
      <c r="S151" s="655">
        <f t="shared" si="42"/>
        <v>213.83080000000001</v>
      </c>
      <c r="T151" s="656">
        <f t="shared" si="17"/>
        <v>213.83080000000001</v>
      </c>
      <c r="V151" s="657">
        <f t="shared" si="18"/>
        <v>0</v>
      </c>
      <c r="W151" s="657"/>
      <c r="X151" s="657"/>
      <c r="Y151" s="657"/>
      <c r="Z151" s="657"/>
      <c r="AA151" s="657"/>
      <c r="AB151" s="673" t="str">
        <f t="shared" si="43"/>
        <v>use the locking pin</v>
      </c>
      <c r="AC151" s="660" t="b">
        <f>IF(AD151=4,AF151)</f>
        <v>0</v>
      </c>
      <c r="AD151" s="660">
        <f t="shared" si="19"/>
        <v>1</v>
      </c>
      <c r="AE151" s="644">
        <f>IF(V151=0,0,4)</f>
        <v>0</v>
      </c>
      <c r="AF151" s="657">
        <f>SUM(V151:V167)/($B$145-B150)</f>
        <v>0</v>
      </c>
      <c r="AG151" s="612">
        <f>SUM(D149:D151)+$C$148</f>
        <v>0</v>
      </c>
      <c r="AH151" s="661" t="b">
        <f t="shared" si="20"/>
        <v>0</v>
      </c>
      <c r="AI151" s="287">
        <f t="shared" si="30"/>
        <v>66.255548399999995</v>
      </c>
      <c r="AJ151" s="674">
        <f t="shared" si="21"/>
        <v>0.91535047595051022</v>
      </c>
      <c r="AK151" s="289">
        <f t="shared" si="31"/>
        <v>278.56028065668761</v>
      </c>
      <c r="AL151" s="287">
        <f t="shared" si="32"/>
        <v>50.018549700000001</v>
      </c>
      <c r="AM151" s="675">
        <f t="shared" si="33"/>
        <v>0.76625250760411079</v>
      </c>
      <c r="AN151" s="291">
        <f t="shared" si="34"/>
        <v>213.83080789825695</v>
      </c>
      <c r="AO151" s="664">
        <f t="shared" si="22"/>
        <v>-152.47958263892772</v>
      </c>
      <c r="AP151" s="676">
        <f t="shared" si="35"/>
        <v>-81</v>
      </c>
      <c r="AQ151" s="677">
        <f t="shared" si="23"/>
        <v>-24.5</v>
      </c>
      <c r="AR151" s="678">
        <f t="shared" si="36"/>
        <v>492.39108855494453</v>
      </c>
      <c r="AS151" s="667">
        <f t="shared" si="24"/>
        <v>-213.83080789825695</v>
      </c>
      <c r="AT151" s="668">
        <f t="shared" si="37"/>
        <v>61.351225259329226</v>
      </c>
      <c r="AU151" s="667"/>
      <c r="AV151" s="669">
        <f t="shared" si="38"/>
        <v>-21.447335047706009</v>
      </c>
      <c r="AW151" s="669">
        <f t="shared" si="39"/>
        <v>-3.0526649522939908</v>
      </c>
      <c r="AX151" s="673">
        <f t="shared" si="25"/>
        <v>-540.85973731457739</v>
      </c>
      <c r="AY151" s="673">
        <f t="shared" si="26"/>
        <v>-3275.8262555100537</v>
      </c>
      <c r="AZ151" s="679">
        <f t="shared" si="40"/>
        <v>540.85973731457739</v>
      </c>
      <c r="BA151" s="679">
        <f t="shared" si="40"/>
        <v>3275.8262555100537</v>
      </c>
      <c r="BB151" s="560">
        <f t="shared" si="41"/>
        <v>0.3</v>
      </c>
      <c r="BG151" s="388"/>
    </row>
    <row r="152" spans="1:88" ht="18" customHeight="1" thickBot="1" x14ac:dyDescent="0.25">
      <c r="B152" s="671">
        <v>5</v>
      </c>
      <c r="C152" s="652"/>
      <c r="D152" s="32">
        <v>0</v>
      </c>
      <c r="E152" s="672" t="s">
        <v>130</v>
      </c>
      <c r="F152" s="673"/>
      <c r="G152" s="673">
        <f t="shared" si="27"/>
        <v>0.3</v>
      </c>
      <c r="H152" s="506">
        <v>279.06049999999999</v>
      </c>
      <c r="I152" s="507">
        <v>79.962900599999998</v>
      </c>
      <c r="J152" s="655">
        <f t="shared" si="28"/>
        <v>79.962900599999998</v>
      </c>
      <c r="K152" s="655">
        <f t="shared" si="11"/>
        <v>39.981450299999999</v>
      </c>
      <c r="L152" s="655">
        <f t="shared" si="12"/>
        <v>0.64253956655634092</v>
      </c>
      <c r="M152" s="655">
        <f t="shared" si="13"/>
        <v>179.30741271299578</v>
      </c>
      <c r="N152" s="655">
        <f t="shared" si="14"/>
        <v>358.61482542599157</v>
      </c>
      <c r="O152" s="655">
        <f>+C148+D149+D150+D151+(D152/2)</f>
        <v>0</v>
      </c>
      <c r="P152" s="655">
        <f t="shared" si="15"/>
        <v>0</v>
      </c>
      <c r="Q152" s="655">
        <f t="shared" si="16"/>
        <v>0</v>
      </c>
      <c r="R152" s="655">
        <f t="shared" si="29"/>
        <v>213.83080000000001</v>
      </c>
      <c r="S152" s="655">
        <f t="shared" si="42"/>
        <v>213.83080000000001</v>
      </c>
      <c r="T152" s="656">
        <f t="shared" si="17"/>
        <v>213.83080000000001</v>
      </c>
      <c r="V152" s="657">
        <f t="shared" si="18"/>
        <v>0</v>
      </c>
      <c r="W152" s="657"/>
      <c r="X152" s="657"/>
      <c r="Y152" s="657"/>
      <c r="Z152" s="657"/>
      <c r="AA152" s="657"/>
      <c r="AB152" s="673" t="str">
        <f t="shared" si="43"/>
        <v>use the locking pin</v>
      </c>
      <c r="AC152" s="660" t="b">
        <f>IF(AD152=5,AF152)</f>
        <v>0</v>
      </c>
      <c r="AD152" s="660">
        <f t="shared" si="19"/>
        <v>1</v>
      </c>
      <c r="AE152" s="644">
        <f>IF(V152=0,0,5)</f>
        <v>0</v>
      </c>
      <c r="AF152" s="657">
        <f>SUM(V152:V167)/($B$145-B151)</f>
        <v>0</v>
      </c>
      <c r="AG152" s="612">
        <f>SUM(D149:D152)+$C$148</f>
        <v>0</v>
      </c>
      <c r="AH152" s="661" t="b">
        <f t="shared" si="20"/>
        <v>0</v>
      </c>
      <c r="AI152" s="287">
        <f t="shared" si="30"/>
        <v>66.255548399999995</v>
      </c>
      <c r="AJ152" s="674">
        <f t="shared" si="21"/>
        <v>0.91535047595051022</v>
      </c>
      <c r="AK152" s="289">
        <f t="shared" si="31"/>
        <v>278.56028065668761</v>
      </c>
      <c r="AL152" s="287">
        <f t="shared" si="32"/>
        <v>50.018549700000001</v>
      </c>
      <c r="AM152" s="675">
        <f t="shared" si="33"/>
        <v>0.76625250760411079</v>
      </c>
      <c r="AN152" s="291">
        <f t="shared" si="34"/>
        <v>213.83080789825695</v>
      </c>
      <c r="AO152" s="664">
        <f t="shared" si="22"/>
        <v>-57.473073456211218</v>
      </c>
      <c r="AP152" s="676">
        <f t="shared" si="35"/>
        <v>-121.5</v>
      </c>
      <c r="AQ152" s="677">
        <f t="shared" si="23"/>
        <v>-65</v>
      </c>
      <c r="AR152" s="678">
        <f t="shared" si="36"/>
        <v>492.39108855494453</v>
      </c>
      <c r="AS152" s="667">
        <f t="shared" si="24"/>
        <v>-213.83080789825695</v>
      </c>
      <c r="AT152" s="668">
        <f t="shared" si="37"/>
        <v>156.35773444204574</v>
      </c>
      <c r="AU152" s="667"/>
      <c r="AV152" s="669">
        <f t="shared" si="38"/>
        <v>-44.359389365555337</v>
      </c>
      <c r="AW152" s="669">
        <f t="shared" si="39"/>
        <v>-20.640610634444666</v>
      </c>
      <c r="AX152" s="673">
        <f t="shared" si="25"/>
        <v>-261.50044366948151</v>
      </c>
      <c r="AY152" s="673">
        <f t="shared" si="26"/>
        <v>-484.48179063618335</v>
      </c>
      <c r="AZ152" s="679">
        <f t="shared" si="40"/>
        <v>261.50044366948151</v>
      </c>
      <c r="BA152" s="679">
        <f t="shared" si="40"/>
        <v>484.48179063618335</v>
      </c>
      <c r="BB152" s="560">
        <f t="shared" si="41"/>
        <v>0.3</v>
      </c>
      <c r="BG152" s="388"/>
    </row>
    <row r="153" spans="1:88" ht="18" customHeight="1" thickBot="1" x14ac:dyDescent="0.25">
      <c r="B153" s="671">
        <v>6</v>
      </c>
      <c r="C153" s="652"/>
      <c r="D153" s="32">
        <v>0</v>
      </c>
      <c r="E153" s="672" t="s">
        <v>130</v>
      </c>
      <c r="F153" s="673"/>
      <c r="G153" s="673">
        <f t="shared" si="27"/>
        <v>0.3</v>
      </c>
      <c r="H153" s="506">
        <v>279.06049999999999</v>
      </c>
      <c r="I153" s="507">
        <v>79.962900599999998</v>
      </c>
      <c r="J153" s="655">
        <f t="shared" si="28"/>
        <v>79.962900599999998</v>
      </c>
      <c r="K153" s="655">
        <f t="shared" si="11"/>
        <v>39.981450299999999</v>
      </c>
      <c r="L153" s="655">
        <f t="shared" si="12"/>
        <v>0.64253956655634092</v>
      </c>
      <c r="M153" s="655">
        <f t="shared" si="13"/>
        <v>179.30741271299578</v>
      </c>
      <c r="N153" s="655">
        <f t="shared" si="14"/>
        <v>358.61482542599157</v>
      </c>
      <c r="O153" s="655">
        <f>+C148+D149+D150+D151+D152+(D153/2)</f>
        <v>0</v>
      </c>
      <c r="P153" s="655">
        <f t="shared" si="15"/>
        <v>0</v>
      </c>
      <c r="Q153" s="655">
        <f t="shared" si="16"/>
        <v>0</v>
      </c>
      <c r="R153" s="655">
        <f t="shared" si="29"/>
        <v>213.83080000000001</v>
      </c>
      <c r="S153" s="655">
        <f t="shared" si="42"/>
        <v>213.83080000000001</v>
      </c>
      <c r="T153" s="656">
        <f t="shared" si="17"/>
        <v>213.83080000000001</v>
      </c>
      <c r="V153" s="657">
        <f t="shared" si="18"/>
        <v>0</v>
      </c>
      <c r="W153" s="657"/>
      <c r="X153" s="657"/>
      <c r="Y153" s="657"/>
      <c r="Z153" s="657"/>
      <c r="AA153" s="657"/>
      <c r="AB153" s="673" t="str">
        <f t="shared" si="43"/>
        <v>use the locking pin</v>
      </c>
      <c r="AC153" s="660" t="b">
        <f>IF(AD153=6,AF153)</f>
        <v>0</v>
      </c>
      <c r="AD153" s="660">
        <f t="shared" si="19"/>
        <v>1</v>
      </c>
      <c r="AE153" s="644">
        <f>IF(V153=0,0,6)</f>
        <v>0</v>
      </c>
      <c r="AF153" s="657">
        <f>SUM(V153:V167)/($B$145-B152)</f>
        <v>0</v>
      </c>
      <c r="AG153" s="612">
        <f>SUM(D149:D153)+$C$148</f>
        <v>0</v>
      </c>
      <c r="AH153" s="661" t="b">
        <f t="shared" si="20"/>
        <v>0</v>
      </c>
      <c r="AI153" s="287">
        <f t="shared" si="30"/>
        <v>66.255548399999995</v>
      </c>
      <c r="AJ153" s="674">
        <f t="shared" si="21"/>
        <v>0.91535047595051022</v>
      </c>
      <c r="AK153" s="289">
        <f t="shared" si="31"/>
        <v>278.56028065668761</v>
      </c>
      <c r="AL153" s="287">
        <f t="shared" si="32"/>
        <v>50.018549700000001</v>
      </c>
      <c r="AM153" s="675">
        <f t="shared" si="33"/>
        <v>0.76625250760411079</v>
      </c>
      <c r="AN153" s="291">
        <f t="shared" si="34"/>
        <v>213.83080789825695</v>
      </c>
      <c r="AO153" s="664">
        <f t="shared" si="22"/>
        <v>-35.409950470651459</v>
      </c>
      <c r="AP153" s="676">
        <f t="shared" si="35"/>
        <v>-162</v>
      </c>
      <c r="AQ153" s="677">
        <f t="shared" si="23"/>
        <v>-105.5</v>
      </c>
      <c r="AR153" s="678">
        <f t="shared" si="36"/>
        <v>492.39108855494453</v>
      </c>
      <c r="AS153" s="667">
        <f t="shared" si="24"/>
        <v>-213.83080789825695</v>
      </c>
      <c r="AT153" s="668">
        <f t="shared" si="37"/>
        <v>178.42085742760548</v>
      </c>
      <c r="AU153" s="667"/>
      <c r="AV153" s="669">
        <f t="shared" si="38"/>
        <v>-67.271443683404655</v>
      </c>
      <c r="AW153" s="669">
        <f t="shared" si="39"/>
        <v>-38.228556316595338</v>
      </c>
      <c r="AX153" s="673">
        <f t="shared" si="25"/>
        <v>-172.43572257185897</v>
      </c>
      <c r="AY153" s="673">
        <f t="shared" si="26"/>
        <v>-261.58455781545996</v>
      </c>
      <c r="AZ153" s="679">
        <f t="shared" si="40"/>
        <v>172.43572257185897</v>
      </c>
      <c r="BA153" s="679">
        <f t="shared" si="40"/>
        <v>261.58455781545996</v>
      </c>
      <c r="BB153" s="560">
        <f t="shared" si="41"/>
        <v>0.3</v>
      </c>
    </row>
    <row r="154" spans="1:88" ht="18" customHeight="1" thickBot="1" x14ac:dyDescent="0.25">
      <c r="B154" s="671">
        <v>7</v>
      </c>
      <c r="C154" s="652"/>
      <c r="D154" s="32">
        <v>0</v>
      </c>
      <c r="E154" s="672" t="s">
        <v>130</v>
      </c>
      <c r="F154" s="673"/>
      <c r="G154" s="673">
        <f t="shared" si="27"/>
        <v>0.3</v>
      </c>
      <c r="H154" s="506">
        <v>279.06049999999999</v>
      </c>
      <c r="I154" s="507">
        <v>79.962900599999998</v>
      </c>
      <c r="J154" s="655">
        <f t="shared" si="28"/>
        <v>79.962900599999998</v>
      </c>
      <c r="K154" s="655">
        <f t="shared" si="11"/>
        <v>39.981450299999999</v>
      </c>
      <c r="L154" s="655">
        <f t="shared" si="12"/>
        <v>0.64253956655634092</v>
      </c>
      <c r="M154" s="655">
        <f t="shared" si="13"/>
        <v>179.30741271299578</v>
      </c>
      <c r="N154" s="655">
        <f t="shared" si="14"/>
        <v>358.61482542599157</v>
      </c>
      <c r="O154" s="655">
        <f>+C148+D149+D150+D151+D152+D153+(D154/2)</f>
        <v>0</v>
      </c>
      <c r="P154" s="655">
        <f t="shared" si="15"/>
        <v>0</v>
      </c>
      <c r="Q154" s="655">
        <f t="shared" si="16"/>
        <v>0</v>
      </c>
      <c r="R154" s="655">
        <f t="shared" si="29"/>
        <v>213.83080000000001</v>
      </c>
      <c r="S154" s="655">
        <f t="shared" si="42"/>
        <v>213.83080000000001</v>
      </c>
      <c r="T154" s="656">
        <f t="shared" si="17"/>
        <v>213.83080000000001</v>
      </c>
      <c r="V154" s="657">
        <f t="shared" si="18"/>
        <v>0</v>
      </c>
      <c r="W154" s="657"/>
      <c r="X154" s="657"/>
      <c r="Y154" s="657"/>
      <c r="Z154" s="657"/>
      <c r="AA154" s="657"/>
      <c r="AB154" s="673" t="str">
        <f t="shared" si="43"/>
        <v>use the locking pin</v>
      </c>
      <c r="AC154" s="660" t="b">
        <f>IF(AD154=7,AF154)</f>
        <v>0</v>
      </c>
      <c r="AD154" s="660">
        <f t="shared" si="19"/>
        <v>1</v>
      </c>
      <c r="AE154" s="644">
        <f>IF(V154=0,0,7)</f>
        <v>0</v>
      </c>
      <c r="AF154" s="657">
        <f>SUM(V154:V167)/($B$145-B153)</f>
        <v>0</v>
      </c>
      <c r="AG154" s="612">
        <f>SUM(D149:D154)+$C$148</f>
        <v>0</v>
      </c>
      <c r="AH154" s="661" t="b">
        <f t="shared" si="20"/>
        <v>0</v>
      </c>
      <c r="AI154" s="287">
        <f t="shared" si="30"/>
        <v>66.255548399999995</v>
      </c>
      <c r="AJ154" s="674">
        <f t="shared" si="21"/>
        <v>0.91535047595051022</v>
      </c>
      <c r="AK154" s="289">
        <f t="shared" si="31"/>
        <v>278.56028065668761</v>
      </c>
      <c r="AL154" s="287">
        <f t="shared" si="32"/>
        <v>50.018549700000001</v>
      </c>
      <c r="AM154" s="675">
        <f t="shared" si="33"/>
        <v>0.76625250760411079</v>
      </c>
      <c r="AN154" s="291">
        <f t="shared" si="34"/>
        <v>213.83080789825695</v>
      </c>
      <c r="AO154" s="664">
        <f t="shared" si="22"/>
        <v>-25.587327223655681</v>
      </c>
      <c r="AP154" s="676">
        <f t="shared" si="35"/>
        <v>-202.5</v>
      </c>
      <c r="AQ154" s="677">
        <f t="shared" si="23"/>
        <v>-146</v>
      </c>
      <c r="AR154" s="678">
        <f t="shared" si="36"/>
        <v>492.39108855494453</v>
      </c>
      <c r="AS154" s="667">
        <f t="shared" si="24"/>
        <v>-213.83080789825695</v>
      </c>
      <c r="AT154" s="668">
        <f t="shared" si="37"/>
        <v>188.24348067460127</v>
      </c>
      <c r="AU154" s="667"/>
      <c r="AV154" s="669">
        <f t="shared" si="38"/>
        <v>-90.18349800125398</v>
      </c>
      <c r="AW154" s="669">
        <f t="shared" si="39"/>
        <v>-55.816501998746006</v>
      </c>
      <c r="AX154" s="673">
        <f t="shared" si="25"/>
        <v>-128.6266363258465</v>
      </c>
      <c r="AY154" s="673">
        <f t="shared" si="26"/>
        <v>-179.15848614491577</v>
      </c>
      <c r="AZ154" s="679">
        <f t="shared" si="40"/>
        <v>128.6266363258465</v>
      </c>
      <c r="BA154" s="679">
        <f t="shared" si="40"/>
        <v>179.15848614491577</v>
      </c>
      <c r="BB154" s="560">
        <f t="shared" si="41"/>
        <v>0.3</v>
      </c>
    </row>
    <row r="155" spans="1:88" ht="18" customHeight="1" thickBot="1" x14ac:dyDescent="0.25">
      <c r="B155" s="671">
        <v>8</v>
      </c>
      <c r="C155" s="652"/>
      <c r="D155" s="32">
        <v>0</v>
      </c>
      <c r="E155" s="672" t="s">
        <v>130</v>
      </c>
      <c r="F155" s="673"/>
      <c r="G155" s="673">
        <f t="shared" si="27"/>
        <v>0.3</v>
      </c>
      <c r="H155" s="506">
        <v>279.06049999999999</v>
      </c>
      <c r="I155" s="507">
        <v>79.962900599999998</v>
      </c>
      <c r="J155" s="655">
        <f t="shared" si="28"/>
        <v>79.962900599999998</v>
      </c>
      <c r="K155" s="655">
        <f t="shared" si="11"/>
        <v>39.981450299999999</v>
      </c>
      <c r="L155" s="655">
        <f t="shared" si="12"/>
        <v>0.64253956655634092</v>
      </c>
      <c r="M155" s="655">
        <f t="shared" si="13"/>
        <v>179.30741271299578</v>
      </c>
      <c r="N155" s="655">
        <f t="shared" si="14"/>
        <v>358.61482542599157</v>
      </c>
      <c r="O155" s="655">
        <f>+C148+D149+D150+D151+D152+D153+D154+(D155/2)</f>
        <v>0</v>
      </c>
      <c r="P155" s="655">
        <f t="shared" si="15"/>
        <v>0</v>
      </c>
      <c r="Q155" s="655">
        <f t="shared" si="16"/>
        <v>0</v>
      </c>
      <c r="R155" s="655">
        <f t="shared" si="29"/>
        <v>213.83080000000001</v>
      </c>
      <c r="S155" s="655">
        <f t="shared" si="42"/>
        <v>213.83080000000001</v>
      </c>
      <c r="T155" s="656">
        <f t="shared" si="17"/>
        <v>213.83080000000001</v>
      </c>
      <c r="V155" s="657">
        <f t="shared" si="18"/>
        <v>0</v>
      </c>
      <c r="W155" s="657"/>
      <c r="X155" s="657"/>
      <c r="Y155" s="657"/>
      <c r="Z155" s="657"/>
      <c r="AA155" s="657"/>
      <c r="AB155" s="673" t="str">
        <f t="shared" si="43"/>
        <v>use the locking pin</v>
      </c>
      <c r="AC155" s="660" t="b">
        <f>IF(AD155=8,AF155)</f>
        <v>0</v>
      </c>
      <c r="AD155" s="660">
        <f t="shared" si="19"/>
        <v>1</v>
      </c>
      <c r="AE155" s="644">
        <f>IF(V155=0,0,8)</f>
        <v>0</v>
      </c>
      <c r="AF155" s="657">
        <f>SUM(V155:V167)/($B$145-B154)</f>
        <v>0</v>
      </c>
      <c r="AG155" s="612">
        <f>SUM(D149:D155)+$C$148</f>
        <v>0</v>
      </c>
      <c r="AH155" s="661" t="b">
        <f t="shared" si="20"/>
        <v>0</v>
      </c>
      <c r="AI155" s="287">
        <f t="shared" si="30"/>
        <v>66.255548399999995</v>
      </c>
      <c r="AJ155" s="674">
        <f t="shared" si="21"/>
        <v>0.91535047595051022</v>
      </c>
      <c r="AK155" s="289">
        <f t="shared" si="31"/>
        <v>278.56028065668761</v>
      </c>
      <c r="AL155" s="287">
        <f t="shared" si="32"/>
        <v>50.018549700000001</v>
      </c>
      <c r="AM155" s="675">
        <f t="shared" si="33"/>
        <v>0.76625250760411079</v>
      </c>
      <c r="AN155" s="291">
        <f t="shared" si="34"/>
        <v>213.83080789825695</v>
      </c>
      <c r="AO155" s="664">
        <f t="shared" si="22"/>
        <v>-20.030829890904716</v>
      </c>
      <c r="AP155" s="676">
        <f t="shared" si="35"/>
        <v>-243</v>
      </c>
      <c r="AQ155" s="677">
        <f t="shared" si="23"/>
        <v>-186.5</v>
      </c>
      <c r="AR155" s="678">
        <f t="shared" si="36"/>
        <v>492.39108855494453</v>
      </c>
      <c r="AS155" s="667">
        <f t="shared" si="24"/>
        <v>-213.83080789825695</v>
      </c>
      <c r="AT155" s="668">
        <f t="shared" si="37"/>
        <v>193.79997800735222</v>
      </c>
      <c r="AU155" s="667"/>
      <c r="AV155" s="669">
        <f t="shared" si="38"/>
        <v>-113.09555231910332</v>
      </c>
      <c r="AW155" s="669">
        <f t="shared" si="39"/>
        <v>-73.404447680896681</v>
      </c>
      <c r="AX155" s="673">
        <f t="shared" si="25"/>
        <v>-102.56813607727179</v>
      </c>
      <c r="AY155" s="673">
        <f t="shared" si="26"/>
        <v>-136.23152705231067</v>
      </c>
      <c r="AZ155" s="679">
        <f t="shared" si="40"/>
        <v>102.56813607727179</v>
      </c>
      <c r="BA155" s="679">
        <f t="shared" si="40"/>
        <v>136.23152705231067</v>
      </c>
      <c r="BB155" s="560">
        <f t="shared" si="41"/>
        <v>0.3</v>
      </c>
    </row>
    <row r="156" spans="1:88" ht="18" customHeight="1" thickBot="1" x14ac:dyDescent="0.25">
      <c r="B156" s="671">
        <v>9</v>
      </c>
      <c r="C156" s="652"/>
      <c r="D156" s="32">
        <v>0</v>
      </c>
      <c r="E156" s="672" t="s">
        <v>130</v>
      </c>
      <c r="F156" s="673"/>
      <c r="G156" s="673">
        <f t="shared" si="27"/>
        <v>0.3</v>
      </c>
      <c r="H156" s="506">
        <v>279.06049999999999</v>
      </c>
      <c r="I156" s="507">
        <v>79.962900599999998</v>
      </c>
      <c r="J156" s="655">
        <f t="shared" si="28"/>
        <v>79.962900599999998</v>
      </c>
      <c r="K156" s="655">
        <f t="shared" si="11"/>
        <v>39.981450299999999</v>
      </c>
      <c r="L156" s="655">
        <f t="shared" si="12"/>
        <v>0.64253956655634092</v>
      </c>
      <c r="M156" s="655">
        <f t="shared" si="13"/>
        <v>179.30741271299578</v>
      </c>
      <c r="N156" s="655">
        <f t="shared" si="14"/>
        <v>358.61482542599157</v>
      </c>
      <c r="O156" s="655">
        <f>+C148+D149+D150+D151+D152+D153+D154+D155+(D156/2)</f>
        <v>0</v>
      </c>
      <c r="P156" s="655">
        <f t="shared" si="15"/>
        <v>0</v>
      </c>
      <c r="Q156" s="655">
        <f t="shared" si="16"/>
        <v>0</v>
      </c>
      <c r="R156" s="655">
        <f t="shared" si="29"/>
        <v>213.83080000000001</v>
      </c>
      <c r="S156" s="655">
        <f t="shared" si="42"/>
        <v>213.83080000000001</v>
      </c>
      <c r="T156" s="656">
        <f t="shared" si="17"/>
        <v>213.83080000000001</v>
      </c>
      <c r="V156" s="657">
        <f t="shared" si="18"/>
        <v>0</v>
      </c>
      <c r="W156" s="657"/>
      <c r="X156" s="657"/>
      <c r="Y156" s="657"/>
      <c r="Z156" s="657"/>
      <c r="AA156" s="657"/>
      <c r="AB156" s="673" t="str">
        <f t="shared" si="43"/>
        <v>use the locking pin</v>
      </c>
      <c r="AC156" s="660" t="b">
        <f>IF(AD156=9,AF156)</f>
        <v>0</v>
      </c>
      <c r="AD156" s="660">
        <f t="shared" si="19"/>
        <v>1</v>
      </c>
      <c r="AE156" s="644">
        <f>IF(V156=0,0,9)</f>
        <v>0</v>
      </c>
      <c r="AF156" s="657">
        <f>SUM(V156:V167)/($B$145-B155)</f>
        <v>0</v>
      </c>
      <c r="AG156" s="612">
        <f>SUM(D149:D156)+$C$148</f>
        <v>0</v>
      </c>
      <c r="AH156" s="661" t="b">
        <f t="shared" si="20"/>
        <v>0</v>
      </c>
      <c r="AI156" s="287">
        <f t="shared" si="30"/>
        <v>66.255548399999995</v>
      </c>
      <c r="AJ156" s="674">
        <f t="shared" si="21"/>
        <v>0.91535047595051022</v>
      </c>
      <c r="AK156" s="289">
        <f t="shared" si="31"/>
        <v>278.56028065668761</v>
      </c>
      <c r="AL156" s="287">
        <f t="shared" si="32"/>
        <v>50.018549700000001</v>
      </c>
      <c r="AM156" s="675">
        <f t="shared" si="33"/>
        <v>0.76625250760411079</v>
      </c>
      <c r="AN156" s="291">
        <f t="shared" si="34"/>
        <v>213.83080789825695</v>
      </c>
      <c r="AO156" s="664">
        <f t="shared" si="22"/>
        <v>-16.457047465434929</v>
      </c>
      <c r="AP156" s="676">
        <f t="shared" si="35"/>
        <v>-283.5</v>
      </c>
      <c r="AQ156" s="677">
        <f t="shared" si="23"/>
        <v>-227</v>
      </c>
      <c r="AR156" s="678">
        <f t="shared" si="36"/>
        <v>492.39108855494453</v>
      </c>
      <c r="AS156" s="667">
        <f t="shared" si="24"/>
        <v>-213.83080789825695</v>
      </c>
      <c r="AT156" s="668">
        <f t="shared" si="37"/>
        <v>197.37376043282202</v>
      </c>
      <c r="AU156" s="667"/>
      <c r="AV156" s="669">
        <f t="shared" si="38"/>
        <v>-136.00760663695266</v>
      </c>
      <c r="AW156" s="669">
        <f t="shared" si="39"/>
        <v>-90.992393363047356</v>
      </c>
      <c r="AX156" s="673">
        <f t="shared" si="25"/>
        <v>-85.289347315434128</v>
      </c>
      <c r="AY156" s="673">
        <f t="shared" si="26"/>
        <v>-109.89929630822382</v>
      </c>
      <c r="AZ156" s="679">
        <f t="shared" si="40"/>
        <v>85.289347315434128</v>
      </c>
      <c r="BA156" s="679">
        <f t="shared" si="40"/>
        <v>109.89929630822382</v>
      </c>
      <c r="BB156" s="560">
        <f t="shared" si="41"/>
        <v>0.3</v>
      </c>
    </row>
    <row r="157" spans="1:88" ht="18" customHeight="1" thickBot="1" x14ac:dyDescent="0.25">
      <c r="B157" s="671">
        <v>10</v>
      </c>
      <c r="C157" s="652"/>
      <c r="D157" s="32">
        <v>0</v>
      </c>
      <c r="E157" s="672" t="s">
        <v>130</v>
      </c>
      <c r="F157" s="673"/>
      <c r="G157" s="673">
        <f t="shared" si="27"/>
        <v>0.3</v>
      </c>
      <c r="H157" s="506">
        <v>279.06049999999999</v>
      </c>
      <c r="I157" s="507">
        <v>79.962900599999998</v>
      </c>
      <c r="J157" s="655">
        <f t="shared" si="28"/>
        <v>79.962900599999998</v>
      </c>
      <c r="K157" s="655">
        <f t="shared" si="11"/>
        <v>39.981450299999999</v>
      </c>
      <c r="L157" s="655">
        <f t="shared" si="12"/>
        <v>0.64253956655634092</v>
      </c>
      <c r="M157" s="655">
        <f t="shared" si="13"/>
        <v>179.30741271299578</v>
      </c>
      <c r="N157" s="655">
        <f t="shared" si="14"/>
        <v>358.61482542599157</v>
      </c>
      <c r="O157" s="655">
        <f>+C148+D149+D150+D151+D152+D153+D154+D155+D156+(D157/2)</f>
        <v>0</v>
      </c>
      <c r="P157" s="655">
        <f t="shared" si="15"/>
        <v>0</v>
      </c>
      <c r="Q157" s="655">
        <f t="shared" si="16"/>
        <v>0</v>
      </c>
      <c r="R157" s="655">
        <f t="shared" si="29"/>
        <v>213.83080000000001</v>
      </c>
      <c r="S157" s="655">
        <f t="shared" si="42"/>
        <v>213.83080000000001</v>
      </c>
      <c r="T157" s="656">
        <f t="shared" si="17"/>
        <v>213.83080000000001</v>
      </c>
      <c r="V157" s="657">
        <f t="shared" si="18"/>
        <v>0</v>
      </c>
      <c r="W157" s="657"/>
      <c r="X157" s="657"/>
      <c r="Y157" s="657"/>
      <c r="Z157" s="657"/>
      <c r="AA157" s="657"/>
      <c r="AB157" s="673" t="str">
        <f t="shared" si="43"/>
        <v>use the locking pin</v>
      </c>
      <c r="AC157" s="660" t="b">
        <f>IF(AD157=10,AF157)</f>
        <v>0</v>
      </c>
      <c r="AD157" s="660">
        <f t="shared" si="19"/>
        <v>1</v>
      </c>
      <c r="AE157" s="644">
        <f>IF(V157=0,0,10)</f>
        <v>0</v>
      </c>
      <c r="AF157" s="657">
        <f>SUM(V157:V168)/($B$145-B156)</f>
        <v>0</v>
      </c>
      <c r="AG157" s="612">
        <f>SUM(D149:D157)+$C$148</f>
        <v>0</v>
      </c>
      <c r="AH157" s="661" t="b">
        <f t="shared" si="20"/>
        <v>0</v>
      </c>
      <c r="AI157" s="287">
        <f t="shared" si="30"/>
        <v>66.255548399999995</v>
      </c>
      <c r="AJ157" s="674">
        <f t="shared" si="21"/>
        <v>0.91535047595051022</v>
      </c>
      <c r="AK157" s="289">
        <f t="shared" si="31"/>
        <v>278.56028065668761</v>
      </c>
      <c r="AL157" s="287">
        <f t="shared" si="32"/>
        <v>50.018549700000001</v>
      </c>
      <c r="AM157" s="675">
        <f t="shared" si="33"/>
        <v>0.76625250760411079</v>
      </c>
      <c r="AN157" s="291">
        <f t="shared" si="34"/>
        <v>213.83080789825695</v>
      </c>
      <c r="AO157" s="664">
        <f t="shared" si="22"/>
        <v>-12.948872702439269</v>
      </c>
      <c r="AP157" s="676">
        <f t="shared" si="35"/>
        <v>-324</v>
      </c>
      <c r="AQ157" s="677">
        <f>+AP157+$AP$179+10</f>
        <v>-288.5</v>
      </c>
      <c r="AR157" s="678">
        <f t="shared" si="36"/>
        <v>492.39108855494453</v>
      </c>
      <c r="AS157" s="667">
        <f t="shared" si="24"/>
        <v>-213.83080789825695</v>
      </c>
      <c r="AT157" s="668">
        <f t="shared" si="37"/>
        <v>200.88193519581768</v>
      </c>
      <c r="AU157" s="667"/>
      <c r="AV157" s="669">
        <f t="shared" si="38"/>
        <v>-170.79998541590905</v>
      </c>
      <c r="AW157" s="669">
        <f t="shared" si="39"/>
        <v>-117.70001458409097</v>
      </c>
      <c r="AX157" s="673">
        <f t="shared" si="25"/>
        <v>-67.915696665624694</v>
      </c>
      <c r="AY157" s="673">
        <f t="shared" si="26"/>
        <v>-84.961756677230355</v>
      </c>
      <c r="AZ157" s="679">
        <f t="shared" si="40"/>
        <v>67.915696665624694</v>
      </c>
      <c r="BA157" s="679">
        <f t="shared" si="40"/>
        <v>84.961756677230355</v>
      </c>
      <c r="BB157" s="560">
        <f t="shared" si="41"/>
        <v>0.3</v>
      </c>
    </row>
    <row r="158" spans="1:88" ht="18" customHeight="1" thickBot="1" x14ac:dyDescent="0.25">
      <c r="A158" s="680"/>
      <c r="B158" s="671">
        <v>11</v>
      </c>
      <c r="C158" s="652"/>
      <c r="D158" s="32">
        <v>0</v>
      </c>
      <c r="E158" s="672" t="s">
        <v>130</v>
      </c>
      <c r="F158" s="673"/>
      <c r="G158" s="673">
        <f t="shared" si="27"/>
        <v>0.3</v>
      </c>
      <c r="H158" s="506">
        <v>279.06049999999999</v>
      </c>
      <c r="I158" s="507">
        <v>79.962900599999998</v>
      </c>
      <c r="J158" s="655">
        <f t="shared" si="28"/>
        <v>79.962900599999998</v>
      </c>
      <c r="K158" s="655">
        <f t="shared" si="11"/>
        <v>39.981450299999999</v>
      </c>
      <c r="L158" s="655">
        <f t="shared" si="12"/>
        <v>0.64253956655634092</v>
      </c>
      <c r="M158" s="655">
        <f t="shared" si="13"/>
        <v>179.30741271299578</v>
      </c>
      <c r="N158" s="655">
        <f t="shared" si="14"/>
        <v>358.61482542599157</v>
      </c>
      <c r="O158" s="655">
        <f>+C148+D149+D150+D151+D152+D153+D154+D155+D156+D157+(D158/2)</f>
        <v>0</v>
      </c>
      <c r="P158" s="655">
        <f t="shared" si="15"/>
        <v>0</v>
      </c>
      <c r="Q158" s="655">
        <f t="shared" si="16"/>
        <v>0</v>
      </c>
      <c r="R158" s="655">
        <f t="shared" si="29"/>
        <v>213.83080000000001</v>
      </c>
      <c r="S158" s="655">
        <f t="shared" si="42"/>
        <v>213.83080000000001</v>
      </c>
      <c r="T158" s="656">
        <f t="shared" si="17"/>
        <v>213.83080000000001</v>
      </c>
      <c r="V158" s="657">
        <f t="shared" si="18"/>
        <v>0</v>
      </c>
      <c r="W158" s="657"/>
      <c r="X158" s="657"/>
      <c r="Y158" s="657"/>
      <c r="Z158" s="657"/>
      <c r="AA158" s="657"/>
      <c r="AB158" s="673" t="str">
        <f t="shared" si="43"/>
        <v>use the locking pin</v>
      </c>
      <c r="AC158" s="660" t="b">
        <f>IF(AD158=11,AF158)</f>
        <v>0</v>
      </c>
      <c r="AD158" s="660">
        <f t="shared" si="19"/>
        <v>1</v>
      </c>
      <c r="AE158" s="644">
        <f>IF(V158=0,0,11)</f>
        <v>0</v>
      </c>
      <c r="AF158" s="657">
        <f>SUM(V158:V168)/($B$145-B157)</f>
        <v>0</v>
      </c>
      <c r="AG158" s="612">
        <f>SUM(D149:D158)+$C$148</f>
        <v>0</v>
      </c>
      <c r="AH158" s="661" t="b">
        <f t="shared" si="20"/>
        <v>0</v>
      </c>
      <c r="AI158" s="287">
        <f t="shared" si="30"/>
        <v>66.255548399999995</v>
      </c>
      <c r="AJ158" s="674">
        <f t="shared" si="21"/>
        <v>0.91535047595051022</v>
      </c>
      <c r="AK158" s="289">
        <f t="shared" si="31"/>
        <v>278.56028065668761</v>
      </c>
      <c r="AL158" s="287">
        <f t="shared" si="32"/>
        <v>50.018549700000001</v>
      </c>
      <c r="AM158" s="675">
        <f t="shared" si="33"/>
        <v>0.76625250760411079</v>
      </c>
      <c r="AN158" s="291">
        <f t="shared" si="34"/>
        <v>213.83080789825695</v>
      </c>
      <c r="AO158" s="664">
        <f t="shared" si="22"/>
        <v>-12.129057709914706</v>
      </c>
      <c r="AP158" s="676">
        <f t="shared" si="35"/>
        <v>-364.5</v>
      </c>
      <c r="AQ158" s="677">
        <f t="shared" ref="AQ158:AQ167" si="44">+AP158+$AP$179+31</f>
        <v>-308</v>
      </c>
      <c r="AR158" s="678">
        <f t="shared" si="36"/>
        <v>492.39108855494453</v>
      </c>
      <c r="AS158" s="667">
        <f t="shared" si="24"/>
        <v>-213.83080789825695</v>
      </c>
      <c r="AT158" s="668">
        <f t="shared" si="37"/>
        <v>201.70175018834223</v>
      </c>
      <c r="AU158" s="667"/>
      <c r="AV158" s="669">
        <f t="shared" si="38"/>
        <v>-181.83171527265134</v>
      </c>
      <c r="AW158" s="669">
        <f t="shared" si="39"/>
        <v>-126.16828472734869</v>
      </c>
      <c r="AX158" s="673">
        <f t="shared" si="25"/>
        <v>-63.795251464279154</v>
      </c>
      <c r="AY158" s="673">
        <f t="shared" si="26"/>
        <v>-79.259221298047521</v>
      </c>
      <c r="AZ158" s="679">
        <f t="shared" si="40"/>
        <v>63.795251464279154</v>
      </c>
      <c r="BA158" s="679">
        <f t="shared" si="40"/>
        <v>79.259221298047521</v>
      </c>
      <c r="BB158" s="560">
        <f t="shared" si="41"/>
        <v>0.3</v>
      </c>
    </row>
    <row r="159" spans="1:88" ht="18" customHeight="1" thickBot="1" x14ac:dyDescent="0.25">
      <c r="A159" s="680"/>
      <c r="B159" s="671">
        <v>12</v>
      </c>
      <c r="C159" s="652"/>
      <c r="D159" s="32">
        <v>0</v>
      </c>
      <c r="E159" s="672" t="s">
        <v>130</v>
      </c>
      <c r="F159" s="673"/>
      <c r="G159" s="673">
        <f t="shared" si="27"/>
        <v>0.3</v>
      </c>
      <c r="H159" s="506">
        <v>279.06049999999999</v>
      </c>
      <c r="I159" s="507">
        <v>79.962900599999998</v>
      </c>
      <c r="J159" s="655">
        <f t="shared" si="28"/>
        <v>79.962900599999998</v>
      </c>
      <c r="K159" s="655">
        <f t="shared" si="11"/>
        <v>39.981450299999999</v>
      </c>
      <c r="L159" s="655">
        <f t="shared" si="12"/>
        <v>0.64253956655634092</v>
      </c>
      <c r="M159" s="655">
        <f t="shared" si="13"/>
        <v>179.30741271299578</v>
      </c>
      <c r="N159" s="655">
        <f t="shared" si="14"/>
        <v>358.61482542599157</v>
      </c>
      <c r="O159" s="655">
        <f>+C148+D149+D150+D151+D152+D153+D154+D155+D156+D157+D158+(D159/2)</f>
        <v>0</v>
      </c>
      <c r="P159" s="655">
        <f t="shared" si="15"/>
        <v>0</v>
      </c>
      <c r="Q159" s="655">
        <f t="shared" si="16"/>
        <v>0</v>
      </c>
      <c r="R159" s="655">
        <f t="shared" si="29"/>
        <v>213.83080000000001</v>
      </c>
      <c r="S159" s="655">
        <f t="shared" si="42"/>
        <v>213.83080000000001</v>
      </c>
      <c r="T159" s="656">
        <f t="shared" si="17"/>
        <v>213.83080000000001</v>
      </c>
      <c r="V159" s="657">
        <f t="shared" si="18"/>
        <v>0</v>
      </c>
      <c r="W159" s="657"/>
      <c r="X159" s="657"/>
      <c r="Y159" s="657"/>
      <c r="Z159" s="657"/>
      <c r="AA159" s="657"/>
      <c r="AB159" s="673" t="str">
        <f t="shared" si="43"/>
        <v>use the locking pin</v>
      </c>
      <c r="AC159" s="660" t="b">
        <f>IF(AD159=12,AF159)</f>
        <v>0</v>
      </c>
      <c r="AD159" s="660">
        <f t="shared" si="19"/>
        <v>1</v>
      </c>
      <c r="AE159" s="644">
        <f>IF(V159=0,0,12)</f>
        <v>0</v>
      </c>
      <c r="AF159" s="657">
        <f>SUM(V159:V167)/($B$145-B158)</f>
        <v>0</v>
      </c>
      <c r="AG159" s="612">
        <f>SUM(D149:D159)+$C$148</f>
        <v>0</v>
      </c>
      <c r="AH159" s="661" t="b">
        <f t="shared" si="20"/>
        <v>0</v>
      </c>
      <c r="AI159" s="287">
        <f t="shared" si="30"/>
        <v>66.255548399999995</v>
      </c>
      <c r="AJ159" s="674">
        <f t="shared" si="21"/>
        <v>0.91535047595051022</v>
      </c>
      <c r="AK159" s="289">
        <f t="shared" si="31"/>
        <v>278.56028065668761</v>
      </c>
      <c r="AL159" s="287">
        <f t="shared" si="32"/>
        <v>50.018549700000001</v>
      </c>
      <c r="AM159" s="675">
        <f t="shared" si="33"/>
        <v>0.76625250760411079</v>
      </c>
      <c r="AN159" s="291">
        <f t="shared" si="34"/>
        <v>213.83080789825695</v>
      </c>
      <c r="AO159" s="664">
        <f t="shared" si="22"/>
        <v>-10.719511548504245</v>
      </c>
      <c r="AP159" s="676">
        <f t="shared" si="35"/>
        <v>-405</v>
      </c>
      <c r="AQ159" s="677">
        <f t="shared" si="44"/>
        <v>-348.5</v>
      </c>
      <c r="AR159" s="678">
        <f t="shared" si="36"/>
        <v>492.39108855494453</v>
      </c>
      <c r="AS159" s="667">
        <f t="shared" si="24"/>
        <v>-213.83080789825695</v>
      </c>
      <c r="AT159" s="668">
        <f t="shared" si="37"/>
        <v>203.11129634975271</v>
      </c>
      <c r="AU159" s="667"/>
      <c r="AV159" s="669">
        <f t="shared" si="38"/>
        <v>-204.74376959050062</v>
      </c>
      <c r="AW159" s="669">
        <f t="shared" si="39"/>
        <v>-143.75623040949938</v>
      </c>
      <c r="AX159" s="673">
        <f t="shared" si="25"/>
        <v>-56.656180665231823</v>
      </c>
      <c r="AY159" s="673">
        <f t="shared" si="26"/>
        <v>-69.562202427778757</v>
      </c>
      <c r="AZ159" s="679">
        <f t="shared" si="40"/>
        <v>56.656180665231823</v>
      </c>
      <c r="BA159" s="679">
        <f t="shared" si="40"/>
        <v>69.562202427778757</v>
      </c>
      <c r="BB159" s="560">
        <f t="shared" si="41"/>
        <v>0.3</v>
      </c>
      <c r="BQ159" s="305"/>
      <c r="BR159" s="305"/>
      <c r="BS159" s="305"/>
      <c r="BT159" s="305"/>
      <c r="BU159" s="305"/>
      <c r="BV159" s="305"/>
      <c r="BW159" s="1818"/>
      <c r="BX159" s="1818"/>
      <c r="BY159" s="1818"/>
      <c r="BZ159" s="126"/>
    </row>
    <row r="160" spans="1:88" ht="18" customHeight="1" thickBot="1" x14ac:dyDescent="0.25">
      <c r="B160" s="671">
        <v>13</v>
      </c>
      <c r="C160" s="652"/>
      <c r="D160" s="32">
        <v>0</v>
      </c>
      <c r="E160" s="672" t="s">
        <v>130</v>
      </c>
      <c r="F160" s="673"/>
      <c r="G160" s="673">
        <f t="shared" si="27"/>
        <v>0.3</v>
      </c>
      <c r="H160" s="506">
        <v>279.06049999999999</v>
      </c>
      <c r="I160" s="507">
        <v>79.962900599999998</v>
      </c>
      <c r="J160" s="655">
        <f t="shared" si="28"/>
        <v>79.962900599999998</v>
      </c>
      <c r="K160" s="655">
        <f t="shared" si="11"/>
        <v>39.981450299999999</v>
      </c>
      <c r="L160" s="655">
        <f t="shared" si="12"/>
        <v>0.64253956655634092</v>
      </c>
      <c r="M160" s="655">
        <f t="shared" si="13"/>
        <v>179.30741271299578</v>
      </c>
      <c r="N160" s="655">
        <f t="shared" si="14"/>
        <v>358.61482542599157</v>
      </c>
      <c r="O160" s="655">
        <f>+C148+D149+D150+D151+D152+D153+D154+D155+D156+D157+D158+D159+(D160/2)</f>
        <v>0</v>
      </c>
      <c r="P160" s="655">
        <f t="shared" si="15"/>
        <v>0</v>
      </c>
      <c r="Q160" s="655">
        <f t="shared" si="16"/>
        <v>0</v>
      </c>
      <c r="R160" s="655">
        <f t="shared" si="29"/>
        <v>213.83080000000001</v>
      </c>
      <c r="S160" s="655">
        <f t="shared" si="42"/>
        <v>213.83080000000001</v>
      </c>
      <c r="T160" s="656">
        <f t="shared" si="17"/>
        <v>213.83080000000001</v>
      </c>
      <c r="V160" s="657">
        <f t="shared" si="18"/>
        <v>0</v>
      </c>
      <c r="W160" s="657"/>
      <c r="X160" s="657"/>
      <c r="Y160" s="657"/>
      <c r="Z160" s="657"/>
      <c r="AA160" s="657"/>
      <c r="AB160" s="673" t="str">
        <f t="shared" si="43"/>
        <v>use the locking pin</v>
      </c>
      <c r="AC160" s="660" t="b">
        <f>IF(AD160=13,AF160)</f>
        <v>0</v>
      </c>
      <c r="AD160" s="660">
        <f t="shared" si="19"/>
        <v>1</v>
      </c>
      <c r="AE160" s="644">
        <f>IF(V160=0,0,13)</f>
        <v>0</v>
      </c>
      <c r="AF160" s="657">
        <f>SUM(V160:V167)/($B$145-B159)</f>
        <v>0</v>
      </c>
      <c r="AG160" s="612">
        <f>SUM(D149:D160)+$C$148</f>
        <v>0</v>
      </c>
      <c r="AH160" s="661" t="b">
        <f t="shared" si="20"/>
        <v>0</v>
      </c>
      <c r="AI160" s="287">
        <f t="shared" si="30"/>
        <v>66.255548399999995</v>
      </c>
      <c r="AJ160" s="674">
        <f t="shared" si="21"/>
        <v>0.91535047595051022</v>
      </c>
      <c r="AK160" s="289">
        <f t="shared" si="31"/>
        <v>278.56028065668761</v>
      </c>
      <c r="AL160" s="287">
        <f t="shared" si="32"/>
        <v>50.018549700000001</v>
      </c>
      <c r="AM160" s="675">
        <f t="shared" si="33"/>
        <v>0.76625250760411079</v>
      </c>
      <c r="AN160" s="291">
        <f t="shared" si="34"/>
        <v>213.83080789825695</v>
      </c>
      <c r="AO160" s="664">
        <f t="shared" si="22"/>
        <v>-9.6034698577216684</v>
      </c>
      <c r="AP160" s="676">
        <f t="shared" si="35"/>
        <v>-445.5</v>
      </c>
      <c r="AQ160" s="677">
        <f t="shared" si="44"/>
        <v>-389</v>
      </c>
      <c r="AR160" s="678">
        <f t="shared" si="36"/>
        <v>492.39108855494453</v>
      </c>
      <c r="AS160" s="667">
        <f t="shared" si="24"/>
        <v>-213.83080789825695</v>
      </c>
      <c r="AT160" s="668">
        <f t="shared" si="37"/>
        <v>204.22733804053527</v>
      </c>
      <c r="AU160" s="667"/>
      <c r="AV160" s="669">
        <f t="shared" si="38"/>
        <v>-227.65582390834996</v>
      </c>
      <c r="AW160" s="669">
        <f t="shared" si="39"/>
        <v>-161.34417609165004</v>
      </c>
      <c r="AX160" s="673">
        <f t="shared" si="25"/>
        <v>-50.95411046751849</v>
      </c>
      <c r="AY160" s="673">
        <f t="shared" si="26"/>
        <v>-61.979305620052834</v>
      </c>
      <c r="AZ160" s="679">
        <f t="shared" si="40"/>
        <v>50.95411046751849</v>
      </c>
      <c r="BA160" s="679">
        <f t="shared" si="40"/>
        <v>61.979305620052834</v>
      </c>
      <c r="BB160" s="560">
        <f t="shared" si="41"/>
        <v>0.3</v>
      </c>
      <c r="BW160" s="306"/>
      <c r="CJ160" s="306"/>
    </row>
    <row r="161" spans="2:88" ht="18" customHeight="1" thickBot="1" x14ac:dyDescent="0.25">
      <c r="B161" s="671">
        <v>14</v>
      </c>
      <c r="C161" s="652"/>
      <c r="D161" s="32">
        <v>0</v>
      </c>
      <c r="E161" s="672" t="s">
        <v>130</v>
      </c>
      <c r="F161" s="673"/>
      <c r="G161" s="673">
        <f t="shared" si="27"/>
        <v>0.3</v>
      </c>
      <c r="H161" s="506">
        <v>279.06049999999999</v>
      </c>
      <c r="I161" s="507">
        <v>79.962900599999998</v>
      </c>
      <c r="J161" s="655">
        <f t="shared" si="28"/>
        <v>79.962900599999998</v>
      </c>
      <c r="K161" s="655">
        <f t="shared" si="11"/>
        <v>39.981450299999999</v>
      </c>
      <c r="L161" s="655">
        <f t="shared" si="12"/>
        <v>0.64253956655634092</v>
      </c>
      <c r="M161" s="655">
        <f t="shared" si="13"/>
        <v>179.30741271299578</v>
      </c>
      <c r="N161" s="655">
        <f t="shared" si="14"/>
        <v>358.61482542599157</v>
      </c>
      <c r="O161" s="655">
        <f>+C148+D149+D150+D151+D152+D153+D154+D155+D156+D157+D158+D159+D160+(D161/2)</f>
        <v>0</v>
      </c>
      <c r="P161" s="655">
        <f t="shared" si="15"/>
        <v>0</v>
      </c>
      <c r="Q161" s="655">
        <f t="shared" si="16"/>
        <v>0</v>
      </c>
      <c r="R161" s="655">
        <f t="shared" si="29"/>
        <v>213.83080000000001</v>
      </c>
      <c r="S161" s="655">
        <f t="shared" si="42"/>
        <v>213.83080000000001</v>
      </c>
      <c r="T161" s="656">
        <f t="shared" si="17"/>
        <v>213.83080000000001</v>
      </c>
      <c r="V161" s="657">
        <f t="shared" si="18"/>
        <v>0</v>
      </c>
      <c r="W161" s="657"/>
      <c r="X161" s="657"/>
      <c r="Y161" s="657"/>
      <c r="Z161" s="657"/>
      <c r="AA161" s="657"/>
      <c r="AB161" s="673" t="str">
        <f t="shared" si="43"/>
        <v>use the locking pin</v>
      </c>
      <c r="AC161" s="660" t="b">
        <f>IF(AD161=14,AF161)</f>
        <v>0</v>
      </c>
      <c r="AD161" s="660">
        <f t="shared" si="19"/>
        <v>1</v>
      </c>
      <c r="AE161" s="644">
        <f>IF(V161=0,0,14)</f>
        <v>0</v>
      </c>
      <c r="AF161" s="657">
        <f>SUM(V161:V167)/($B$145-B160)</f>
        <v>0</v>
      </c>
      <c r="AG161" s="612">
        <f>SUM(D149:D161)+$C$148</f>
        <v>0</v>
      </c>
      <c r="AH161" s="661" t="b">
        <f t="shared" si="20"/>
        <v>0</v>
      </c>
      <c r="AI161" s="287">
        <f t="shared" si="30"/>
        <v>66.255548399999995</v>
      </c>
      <c r="AJ161" s="674">
        <f t="shared" si="21"/>
        <v>0.91535047595051022</v>
      </c>
      <c r="AK161" s="289">
        <f t="shared" si="31"/>
        <v>278.56028065668761</v>
      </c>
      <c r="AL161" s="287">
        <f t="shared" si="32"/>
        <v>50.018549700000001</v>
      </c>
      <c r="AM161" s="675">
        <f t="shared" si="33"/>
        <v>0.76625250760411079</v>
      </c>
      <c r="AN161" s="291">
        <f t="shared" si="34"/>
        <v>213.83080789825695</v>
      </c>
      <c r="AO161" s="664">
        <f t="shared" si="22"/>
        <v>-8.6979040154918028</v>
      </c>
      <c r="AP161" s="676">
        <f t="shared" si="35"/>
        <v>-486</v>
      </c>
      <c r="AQ161" s="677">
        <f t="shared" si="44"/>
        <v>-429.5</v>
      </c>
      <c r="AR161" s="678">
        <f t="shared" si="36"/>
        <v>492.39108855494453</v>
      </c>
      <c r="AS161" s="667">
        <f t="shared" si="24"/>
        <v>-213.83080789825695</v>
      </c>
      <c r="AT161" s="668">
        <f t="shared" si="37"/>
        <v>205.13290388276513</v>
      </c>
      <c r="AU161" s="667"/>
      <c r="AV161" s="669">
        <f t="shared" si="38"/>
        <v>-250.56787822619927</v>
      </c>
      <c r="AW161" s="669">
        <f t="shared" si="39"/>
        <v>-178.93212177380073</v>
      </c>
      <c r="AX161" s="673">
        <f t="shared" si="25"/>
        <v>-46.294840671988055</v>
      </c>
      <c r="AY161" s="673">
        <f t="shared" si="26"/>
        <v>-55.887114626861823</v>
      </c>
      <c r="AZ161" s="679">
        <f t="shared" si="40"/>
        <v>46.294840671988055</v>
      </c>
      <c r="BA161" s="679">
        <f t="shared" si="40"/>
        <v>55.887114626861823</v>
      </c>
      <c r="BB161" s="560">
        <f t="shared" si="41"/>
        <v>0.3</v>
      </c>
      <c r="BQ161" s="307"/>
      <c r="BR161" s="307"/>
      <c r="BS161" s="307"/>
      <c r="BT161" s="307"/>
      <c r="BU161" s="307"/>
      <c r="BV161" s="307"/>
      <c r="BW161" s="1819"/>
      <c r="BX161" s="1819"/>
      <c r="CI161" s="1813"/>
      <c r="CJ161" s="1813"/>
    </row>
    <row r="162" spans="2:88" ht="18" customHeight="1" thickBot="1" x14ac:dyDescent="0.25">
      <c r="B162" s="671">
        <v>15</v>
      </c>
      <c r="C162" s="652"/>
      <c r="D162" s="32">
        <v>0</v>
      </c>
      <c r="E162" s="672" t="s">
        <v>130</v>
      </c>
      <c r="F162" s="673"/>
      <c r="G162" s="673">
        <f t="shared" si="27"/>
        <v>0.3</v>
      </c>
      <c r="H162" s="506">
        <v>279.06049999999999</v>
      </c>
      <c r="I162" s="507">
        <v>79.962900599999998</v>
      </c>
      <c r="J162" s="655">
        <f t="shared" si="28"/>
        <v>79.962900599999998</v>
      </c>
      <c r="K162" s="655">
        <f t="shared" si="11"/>
        <v>39.981450299999999</v>
      </c>
      <c r="L162" s="655">
        <f t="shared" si="12"/>
        <v>0.64253956655634092</v>
      </c>
      <c r="M162" s="655">
        <f t="shared" si="13"/>
        <v>179.30741271299578</v>
      </c>
      <c r="N162" s="655">
        <f t="shared" si="14"/>
        <v>358.61482542599157</v>
      </c>
      <c r="O162" s="655">
        <f>+C148+D149+D150+D151+D152+D153+D154+D155+D156+D157+D158+D159+D160+D161+(D162/2)</f>
        <v>0</v>
      </c>
      <c r="P162" s="655">
        <f t="shared" si="15"/>
        <v>0</v>
      </c>
      <c r="Q162" s="655">
        <f t="shared" si="16"/>
        <v>0</v>
      </c>
      <c r="R162" s="655">
        <f t="shared" si="29"/>
        <v>213.83080000000001</v>
      </c>
      <c r="S162" s="655">
        <f t="shared" si="42"/>
        <v>213.83080000000001</v>
      </c>
      <c r="T162" s="656">
        <f t="shared" si="17"/>
        <v>213.83080000000001</v>
      </c>
      <c r="V162" s="657">
        <f t="shared" si="18"/>
        <v>0</v>
      </c>
      <c r="W162" s="657"/>
      <c r="X162" s="657"/>
      <c r="Y162" s="657"/>
      <c r="Z162" s="657"/>
      <c r="AA162" s="657"/>
      <c r="AB162" s="673" t="str">
        <f t="shared" si="43"/>
        <v>use the locking pin</v>
      </c>
      <c r="AC162" s="660" t="b">
        <f>IF(AD162=15,AF162)</f>
        <v>0</v>
      </c>
      <c r="AD162" s="660">
        <f t="shared" si="19"/>
        <v>1</v>
      </c>
      <c r="AE162" s="644">
        <f>IF(V162=0,0,15)</f>
        <v>0</v>
      </c>
      <c r="AF162" s="657">
        <f>SUM(V162:V167)/($B$145-B161)</f>
        <v>0</v>
      </c>
      <c r="AG162" s="612">
        <f>SUM(D149:D162)+$C$148</f>
        <v>0</v>
      </c>
      <c r="AH162" s="661" t="b">
        <f t="shared" si="20"/>
        <v>0</v>
      </c>
      <c r="AI162" s="287">
        <f t="shared" si="30"/>
        <v>66.255548399999995</v>
      </c>
      <c r="AJ162" s="674">
        <f t="shared" si="21"/>
        <v>0.91535047595051022</v>
      </c>
      <c r="AK162" s="289">
        <f t="shared" si="31"/>
        <v>278.56028065668761</v>
      </c>
      <c r="AL162" s="287">
        <f t="shared" si="32"/>
        <v>50.018549700000001</v>
      </c>
      <c r="AM162" s="675">
        <f t="shared" si="33"/>
        <v>0.76625250760411079</v>
      </c>
      <c r="AN162" s="291">
        <f t="shared" si="34"/>
        <v>213.83080789825695</v>
      </c>
      <c r="AO162" s="664">
        <f t="shared" si="22"/>
        <v>-7.9484037758589983</v>
      </c>
      <c r="AP162" s="676">
        <f t="shared" si="35"/>
        <v>-526.5</v>
      </c>
      <c r="AQ162" s="677">
        <f t="shared" si="44"/>
        <v>-470</v>
      </c>
      <c r="AR162" s="678">
        <f t="shared" si="36"/>
        <v>492.39108855494453</v>
      </c>
      <c r="AS162" s="667">
        <f t="shared" si="24"/>
        <v>-213.83080789825695</v>
      </c>
      <c r="AT162" s="668">
        <f t="shared" si="37"/>
        <v>205.88240412239796</v>
      </c>
      <c r="AU162" s="667"/>
      <c r="AV162" s="669">
        <f t="shared" si="38"/>
        <v>-273.47993254404861</v>
      </c>
      <c r="AW162" s="669">
        <f t="shared" si="39"/>
        <v>-196.52006745595139</v>
      </c>
      <c r="AX162" s="673">
        <f t="shared" si="25"/>
        <v>-42.416274905770727</v>
      </c>
      <c r="AY162" s="673">
        <f t="shared" si="26"/>
        <v>-50.8853885990113</v>
      </c>
      <c r="AZ162" s="679">
        <f t="shared" si="40"/>
        <v>42.416274905770727</v>
      </c>
      <c r="BA162" s="679">
        <f t="shared" si="40"/>
        <v>50.8853885990113</v>
      </c>
      <c r="BB162" s="560">
        <f t="shared" si="41"/>
        <v>0.3</v>
      </c>
    </row>
    <row r="163" spans="2:88" ht="18" customHeight="1" thickBot="1" x14ac:dyDescent="0.25">
      <c r="B163" s="671">
        <v>16</v>
      </c>
      <c r="C163" s="652"/>
      <c r="D163" s="32">
        <v>0</v>
      </c>
      <c r="E163" s="672" t="s">
        <v>130</v>
      </c>
      <c r="F163" s="673"/>
      <c r="G163" s="673">
        <f t="shared" si="27"/>
        <v>0.3</v>
      </c>
      <c r="H163" s="506">
        <v>279.06049999999999</v>
      </c>
      <c r="I163" s="507">
        <v>79.962900599999998</v>
      </c>
      <c r="J163" s="655">
        <f t="shared" si="28"/>
        <v>79.962900599999998</v>
      </c>
      <c r="K163" s="655">
        <f t="shared" si="11"/>
        <v>39.981450299999999</v>
      </c>
      <c r="L163" s="655">
        <f t="shared" si="12"/>
        <v>0.64253956655634092</v>
      </c>
      <c r="M163" s="655">
        <f t="shared" si="13"/>
        <v>179.30741271299578</v>
      </c>
      <c r="N163" s="655">
        <f t="shared" si="14"/>
        <v>358.61482542599157</v>
      </c>
      <c r="O163" s="655">
        <f>+C148+D149+D150+D151+D152+D153+D154+D155+D156+D157+D158+D159+D160+D161+D162+(D163/2)</f>
        <v>0</v>
      </c>
      <c r="P163" s="655">
        <f t="shared" si="15"/>
        <v>0</v>
      </c>
      <c r="Q163" s="655">
        <f t="shared" si="16"/>
        <v>0</v>
      </c>
      <c r="R163" s="655">
        <f t="shared" si="29"/>
        <v>213.83080000000001</v>
      </c>
      <c r="S163" s="655">
        <f t="shared" si="42"/>
        <v>213.83080000000001</v>
      </c>
      <c r="T163" s="656">
        <f t="shared" si="17"/>
        <v>213.83080000000001</v>
      </c>
      <c r="V163" s="657">
        <f t="shared" si="18"/>
        <v>0</v>
      </c>
      <c r="W163" s="657"/>
      <c r="X163" s="657"/>
      <c r="Y163" s="657"/>
      <c r="Z163" s="657"/>
      <c r="AA163" s="657"/>
      <c r="AB163" s="673" t="str">
        <f t="shared" si="43"/>
        <v>use the locking pin</v>
      </c>
      <c r="AC163" s="660" t="b">
        <f>IF(AD163=16,AF163)</f>
        <v>0</v>
      </c>
      <c r="AD163" s="660">
        <f t="shared" si="19"/>
        <v>1</v>
      </c>
      <c r="AE163" s="644">
        <f>IF(V163=0,0,16)</f>
        <v>0</v>
      </c>
      <c r="AF163" s="657">
        <f>SUM(V163:V167)/($B$145-B162)</f>
        <v>0</v>
      </c>
      <c r="AG163" s="612">
        <f>SUM(D149:D163)+$C$148</f>
        <v>0</v>
      </c>
      <c r="AH163" s="661" t="b">
        <f t="shared" si="20"/>
        <v>0</v>
      </c>
      <c r="AI163" s="287">
        <f t="shared" si="30"/>
        <v>66.255548399999995</v>
      </c>
      <c r="AJ163" s="674">
        <f t="shared" si="21"/>
        <v>0.91535047595051022</v>
      </c>
      <c r="AK163" s="289">
        <f t="shared" si="31"/>
        <v>278.56028065668761</v>
      </c>
      <c r="AL163" s="287">
        <f t="shared" si="32"/>
        <v>50.018549700000001</v>
      </c>
      <c r="AM163" s="675">
        <f t="shared" si="33"/>
        <v>0.76625250760411079</v>
      </c>
      <c r="AN163" s="291">
        <f t="shared" si="34"/>
        <v>213.83080789825695</v>
      </c>
      <c r="AO163" s="664">
        <f t="shared" si="22"/>
        <v>-7.3178252196938871</v>
      </c>
      <c r="AP163" s="676">
        <f t="shared" si="35"/>
        <v>-567</v>
      </c>
      <c r="AQ163" s="677">
        <f t="shared" si="44"/>
        <v>-510.5</v>
      </c>
      <c r="AR163" s="678">
        <f t="shared" si="36"/>
        <v>492.39108855494453</v>
      </c>
      <c r="AS163" s="667">
        <f t="shared" si="24"/>
        <v>-213.83080789825695</v>
      </c>
      <c r="AT163" s="668">
        <f t="shared" si="37"/>
        <v>206.51298267856305</v>
      </c>
      <c r="AU163" s="667"/>
      <c r="AV163" s="669">
        <f t="shared" si="38"/>
        <v>-296.39198686189798</v>
      </c>
      <c r="AW163" s="669">
        <f t="shared" si="39"/>
        <v>-214.10801313810205</v>
      </c>
      <c r="AX163" s="673">
        <f t="shared" si="25"/>
        <v>-39.137360367994525</v>
      </c>
      <c r="AY163" s="673">
        <f t="shared" si="26"/>
        <v>-46.705398146634934</v>
      </c>
      <c r="AZ163" s="679">
        <f t="shared" si="40"/>
        <v>39.137360367994525</v>
      </c>
      <c r="BA163" s="679">
        <f t="shared" si="40"/>
        <v>46.705398146634934</v>
      </c>
      <c r="BB163" s="560">
        <f t="shared" si="41"/>
        <v>0.3</v>
      </c>
    </row>
    <row r="164" spans="2:88" ht="18" customHeight="1" thickBot="1" x14ac:dyDescent="0.25">
      <c r="B164" s="671">
        <v>17</v>
      </c>
      <c r="C164" s="652"/>
      <c r="D164" s="32">
        <v>0</v>
      </c>
      <c r="E164" s="672" t="s">
        <v>130</v>
      </c>
      <c r="F164" s="673"/>
      <c r="G164" s="673">
        <f t="shared" si="27"/>
        <v>0.3</v>
      </c>
      <c r="H164" s="506">
        <v>279.06049999999999</v>
      </c>
      <c r="I164" s="507">
        <v>79.962900599999998</v>
      </c>
      <c r="J164" s="655">
        <f t="shared" si="28"/>
        <v>79.962900599999998</v>
      </c>
      <c r="K164" s="655">
        <f t="shared" si="11"/>
        <v>39.981450299999999</v>
      </c>
      <c r="L164" s="655">
        <f t="shared" si="12"/>
        <v>0.64253956655634092</v>
      </c>
      <c r="M164" s="655">
        <f t="shared" si="13"/>
        <v>179.30741271299578</v>
      </c>
      <c r="N164" s="655">
        <f t="shared" si="14"/>
        <v>358.61482542599157</v>
      </c>
      <c r="O164" s="655">
        <f>+C148+D149+D150+D151+D152+D153+D154+D155+D156+D157+D158+D159+D160+D161+D162+D163+(D164/2)</f>
        <v>0</v>
      </c>
      <c r="P164" s="655">
        <f t="shared" si="15"/>
        <v>0</v>
      </c>
      <c r="Q164" s="655">
        <f t="shared" si="16"/>
        <v>0</v>
      </c>
      <c r="R164" s="655">
        <f t="shared" si="29"/>
        <v>213.83080000000001</v>
      </c>
      <c r="S164" s="655">
        <f t="shared" si="42"/>
        <v>213.83080000000001</v>
      </c>
      <c r="T164" s="656">
        <f t="shared" si="17"/>
        <v>213.83080000000001</v>
      </c>
      <c r="V164" s="657">
        <f t="shared" si="18"/>
        <v>0</v>
      </c>
      <c r="W164" s="657"/>
      <c r="X164" s="657"/>
      <c r="Y164" s="657"/>
      <c r="Z164" s="657"/>
      <c r="AA164" s="657"/>
      <c r="AB164" s="673" t="str">
        <f t="shared" si="43"/>
        <v>use the locking pin</v>
      </c>
      <c r="AC164" s="660" t="b">
        <f>IF(AD164=17,AF164)</f>
        <v>0</v>
      </c>
      <c r="AD164" s="660">
        <f t="shared" si="19"/>
        <v>1</v>
      </c>
      <c r="AE164" s="644">
        <f>IF(V164=0,0,17)</f>
        <v>0</v>
      </c>
      <c r="AF164" s="657">
        <f>SUM(V164:V167)/($B$145-B163)</f>
        <v>0</v>
      </c>
      <c r="AG164" s="612">
        <f>SUM(D149:D164)+$C$148</f>
        <v>0</v>
      </c>
      <c r="AH164" s="661" t="b">
        <f t="shared" si="20"/>
        <v>0</v>
      </c>
      <c r="AI164" s="287">
        <f t="shared" si="30"/>
        <v>66.255548399999995</v>
      </c>
      <c r="AJ164" s="674">
        <f t="shared" si="21"/>
        <v>0.91535047595051022</v>
      </c>
      <c r="AK164" s="289">
        <f t="shared" si="31"/>
        <v>278.56028065668761</v>
      </c>
      <c r="AL164" s="287">
        <f t="shared" si="32"/>
        <v>50.018549700000001</v>
      </c>
      <c r="AM164" s="675">
        <f t="shared" si="33"/>
        <v>0.76625250760411079</v>
      </c>
      <c r="AN164" s="291">
        <f t="shared" si="34"/>
        <v>213.83080789825695</v>
      </c>
      <c r="AO164" s="664">
        <f t="shared" si="22"/>
        <v>-6.7799451445621219</v>
      </c>
      <c r="AP164" s="676">
        <f t="shared" si="35"/>
        <v>-607.5</v>
      </c>
      <c r="AQ164" s="677">
        <f t="shared" si="44"/>
        <v>-551</v>
      </c>
      <c r="AR164" s="678">
        <f t="shared" si="36"/>
        <v>492.39108855494453</v>
      </c>
      <c r="AS164" s="667">
        <f t="shared" si="24"/>
        <v>-213.83080789825695</v>
      </c>
      <c r="AT164" s="668">
        <f t="shared" si="37"/>
        <v>207.05086275369482</v>
      </c>
      <c r="AU164" s="667"/>
      <c r="AV164" s="669">
        <f t="shared" si="38"/>
        <v>-319.30404117974729</v>
      </c>
      <c r="AW164" s="669">
        <f t="shared" si="39"/>
        <v>-231.69595882025271</v>
      </c>
      <c r="AX164" s="673">
        <f t="shared" si="25"/>
        <v>-36.329010923698142</v>
      </c>
      <c r="AY164" s="673">
        <f t="shared" si="26"/>
        <v>-43.160010433146546</v>
      </c>
      <c r="AZ164" s="679">
        <f t="shared" si="40"/>
        <v>36.329010923698142</v>
      </c>
      <c r="BA164" s="679">
        <f t="shared" si="40"/>
        <v>43.160010433146546</v>
      </c>
      <c r="BB164" s="560">
        <f t="shared" si="41"/>
        <v>0.3</v>
      </c>
    </row>
    <row r="165" spans="2:88" ht="18" customHeight="1" thickBot="1" x14ac:dyDescent="0.25">
      <c r="B165" s="671">
        <v>18</v>
      </c>
      <c r="C165" s="652"/>
      <c r="D165" s="32">
        <v>0</v>
      </c>
      <c r="E165" s="672" t="s">
        <v>130</v>
      </c>
      <c r="F165" s="673"/>
      <c r="G165" s="673">
        <f t="shared" si="27"/>
        <v>0.3</v>
      </c>
      <c r="H165" s="506">
        <v>279.06049999999999</v>
      </c>
      <c r="I165" s="507">
        <v>79.962900599999998</v>
      </c>
      <c r="J165" s="655">
        <f t="shared" si="28"/>
        <v>79.962900599999998</v>
      </c>
      <c r="K165" s="655">
        <f t="shared" si="11"/>
        <v>39.981450299999999</v>
      </c>
      <c r="L165" s="655">
        <f t="shared" si="12"/>
        <v>0.64253956655634092</v>
      </c>
      <c r="M165" s="655">
        <f t="shared" si="13"/>
        <v>179.30741271299578</v>
      </c>
      <c r="N165" s="655">
        <f t="shared" si="14"/>
        <v>358.61482542599157</v>
      </c>
      <c r="O165" s="655">
        <f>+C148+D149+D150+D151+D152+D153+D154+D155+D156+D157+D158+D159+D160+D161+D162+D163+D164+(D165/2)</f>
        <v>0</v>
      </c>
      <c r="P165" s="655">
        <f t="shared" si="15"/>
        <v>0</v>
      </c>
      <c r="Q165" s="655">
        <f t="shared" si="16"/>
        <v>0</v>
      </c>
      <c r="R165" s="655">
        <f t="shared" si="29"/>
        <v>213.83080000000001</v>
      </c>
      <c r="S165" s="655">
        <f t="shared" si="42"/>
        <v>213.83080000000001</v>
      </c>
      <c r="T165" s="656">
        <f t="shared" si="17"/>
        <v>213.83080000000001</v>
      </c>
      <c r="V165" s="657">
        <f t="shared" si="18"/>
        <v>0</v>
      </c>
      <c r="W165" s="657"/>
      <c r="X165" s="657"/>
      <c r="Y165" s="657"/>
      <c r="Z165" s="657"/>
      <c r="AA165" s="657"/>
      <c r="AB165" s="673" t="str">
        <f t="shared" si="43"/>
        <v>use the locking pin</v>
      </c>
      <c r="AC165" s="660" t="b">
        <f>IF(AD165=18,AF165)</f>
        <v>0</v>
      </c>
      <c r="AD165" s="660">
        <f t="shared" si="19"/>
        <v>1</v>
      </c>
      <c r="AE165" s="644">
        <f>IF(V165=0,0,18)</f>
        <v>0</v>
      </c>
      <c r="AF165" s="657">
        <f>SUM(V165:V167)/($B$145-B164)</f>
        <v>0</v>
      </c>
      <c r="AG165" s="612">
        <f>SUM(D149:D165)+$C$148</f>
        <v>0</v>
      </c>
      <c r="AH165" s="661" t="b">
        <f t="shared" si="20"/>
        <v>0</v>
      </c>
      <c r="AI165" s="287">
        <f t="shared" si="30"/>
        <v>66.255548399999995</v>
      </c>
      <c r="AJ165" s="674">
        <f t="shared" si="21"/>
        <v>0.91535047595051022</v>
      </c>
      <c r="AK165" s="289">
        <f t="shared" si="31"/>
        <v>278.56028065668761</v>
      </c>
      <c r="AL165" s="287">
        <f t="shared" si="32"/>
        <v>50.018549700000001</v>
      </c>
      <c r="AM165" s="675">
        <f t="shared" si="33"/>
        <v>0.76625250760411079</v>
      </c>
      <c r="AN165" s="291">
        <f t="shared" si="34"/>
        <v>213.83080789825695</v>
      </c>
      <c r="AO165" s="664">
        <f t="shared" si="22"/>
        <v>-6.3157223578254085</v>
      </c>
      <c r="AP165" s="676">
        <f t="shared" si="35"/>
        <v>-648</v>
      </c>
      <c r="AQ165" s="677">
        <f t="shared" si="44"/>
        <v>-591.5</v>
      </c>
      <c r="AR165" s="678">
        <f t="shared" si="36"/>
        <v>492.39108855494453</v>
      </c>
      <c r="AS165" s="667">
        <f t="shared" si="24"/>
        <v>-213.83080789825695</v>
      </c>
      <c r="AT165" s="668">
        <f t="shared" si="37"/>
        <v>207.51508554043153</v>
      </c>
      <c r="AU165" s="667"/>
      <c r="AV165" s="669">
        <f t="shared" si="38"/>
        <v>-342.21609549759665</v>
      </c>
      <c r="AW165" s="669">
        <f t="shared" si="39"/>
        <v>-249.2839045024034</v>
      </c>
      <c r="AX165" s="673">
        <f t="shared" si="25"/>
        <v>-33.896710741010324</v>
      </c>
      <c r="AY165" s="673">
        <f t="shared" si="26"/>
        <v>-40.114904409737321</v>
      </c>
      <c r="AZ165" s="679">
        <f t="shared" si="40"/>
        <v>33.896710741010324</v>
      </c>
      <c r="BA165" s="679">
        <f t="shared" si="40"/>
        <v>40.114904409737321</v>
      </c>
      <c r="BB165" s="560">
        <f t="shared" si="41"/>
        <v>0.3</v>
      </c>
    </row>
    <row r="166" spans="2:88" ht="18" customHeight="1" thickBot="1" x14ac:dyDescent="0.25">
      <c r="B166" s="671">
        <v>19</v>
      </c>
      <c r="C166" s="652"/>
      <c r="D166" s="32">
        <v>0</v>
      </c>
      <c r="E166" s="672" t="s">
        <v>130</v>
      </c>
      <c r="F166" s="673"/>
      <c r="G166" s="673">
        <f t="shared" si="27"/>
        <v>0.3</v>
      </c>
      <c r="H166" s="506">
        <v>279.06049999999999</v>
      </c>
      <c r="I166" s="507">
        <v>79.962900599999998</v>
      </c>
      <c r="J166" s="655">
        <f t="shared" si="28"/>
        <v>79.962900599999998</v>
      </c>
      <c r="K166" s="655">
        <f t="shared" si="11"/>
        <v>39.981450299999999</v>
      </c>
      <c r="L166" s="655">
        <f t="shared" si="12"/>
        <v>0.64253956655634092</v>
      </c>
      <c r="M166" s="655">
        <f t="shared" si="13"/>
        <v>179.30741271299578</v>
      </c>
      <c r="N166" s="655">
        <f t="shared" si="14"/>
        <v>358.61482542599157</v>
      </c>
      <c r="O166" s="655">
        <f>+C148+D149+D150+D151+D152+D153+D154+D155+D156+D157+D158+D159+D160+D161+D162+D163+D164+D165+(D166/2)</f>
        <v>0</v>
      </c>
      <c r="P166" s="655">
        <f t="shared" si="15"/>
        <v>0</v>
      </c>
      <c r="Q166" s="655">
        <f t="shared" si="16"/>
        <v>0</v>
      </c>
      <c r="R166" s="655">
        <f t="shared" si="29"/>
        <v>213.83080000000001</v>
      </c>
      <c r="S166" s="655">
        <f t="shared" si="42"/>
        <v>213.83080000000001</v>
      </c>
      <c r="T166" s="656">
        <f t="shared" si="17"/>
        <v>213.83080000000001</v>
      </c>
      <c r="V166" s="657">
        <f t="shared" si="18"/>
        <v>0</v>
      </c>
      <c r="W166" s="657"/>
      <c r="X166" s="657"/>
      <c r="Y166" s="657"/>
      <c r="Z166" s="657"/>
      <c r="AA166" s="657"/>
      <c r="AB166" s="673" t="str">
        <f t="shared" si="43"/>
        <v>use the locking pin</v>
      </c>
      <c r="AC166" s="660" t="b">
        <f>IF(AD166=19,AF166)</f>
        <v>0</v>
      </c>
      <c r="AD166" s="660">
        <f t="shared" si="19"/>
        <v>1</v>
      </c>
      <c r="AE166" s="644">
        <f>IF(V166=0,0,19)</f>
        <v>0</v>
      </c>
      <c r="AF166" s="657">
        <f>SUM(V166:V167)/($B$145-B165)</f>
        <v>0</v>
      </c>
      <c r="AG166" s="612">
        <f>SUM(D148:D166)+$C$148</f>
        <v>0</v>
      </c>
      <c r="AH166" s="661" t="b">
        <f t="shared" si="20"/>
        <v>0</v>
      </c>
      <c r="AI166" s="287">
        <f t="shared" si="30"/>
        <v>66.255548399999995</v>
      </c>
      <c r="AJ166" s="674">
        <f t="shared" si="21"/>
        <v>0.91535047595051022</v>
      </c>
      <c r="AK166" s="289">
        <f t="shared" si="31"/>
        <v>278.56028065668761</v>
      </c>
      <c r="AL166" s="287">
        <f t="shared" si="32"/>
        <v>50.018549700000001</v>
      </c>
      <c r="AM166" s="675">
        <f t="shared" si="33"/>
        <v>0.76625250760411079</v>
      </c>
      <c r="AN166" s="291">
        <f t="shared" si="34"/>
        <v>213.83080789825695</v>
      </c>
      <c r="AO166" s="664">
        <f t="shared" si="22"/>
        <v>-5.9109964788824829</v>
      </c>
      <c r="AP166" s="676">
        <f t="shared" si="35"/>
        <v>-688.5</v>
      </c>
      <c r="AQ166" s="677">
        <f t="shared" si="44"/>
        <v>-632</v>
      </c>
      <c r="AR166" s="678">
        <f t="shared" si="36"/>
        <v>492.39108855494453</v>
      </c>
      <c r="AS166" s="667">
        <f t="shared" si="24"/>
        <v>-213.83080789825695</v>
      </c>
      <c r="AT166" s="668">
        <f t="shared" si="37"/>
        <v>207.91981141937447</v>
      </c>
      <c r="AU166" s="667"/>
      <c r="AV166" s="669">
        <f t="shared" si="38"/>
        <v>-365.12814981544591</v>
      </c>
      <c r="AW166" s="669">
        <f t="shared" si="39"/>
        <v>-266.87185018455409</v>
      </c>
      <c r="AX166" s="673">
        <f t="shared" si="25"/>
        <v>-31.769667734090682</v>
      </c>
      <c r="AY166" s="673">
        <f t="shared" si="26"/>
        <v>-37.471168252045103</v>
      </c>
      <c r="AZ166" s="679">
        <f t="shared" si="40"/>
        <v>31.769667734090682</v>
      </c>
      <c r="BA166" s="679">
        <f t="shared" si="40"/>
        <v>37.471168252045103</v>
      </c>
      <c r="BB166" s="560">
        <f t="shared" si="41"/>
        <v>0.3</v>
      </c>
    </row>
    <row r="167" spans="2:88" ht="18" customHeight="1" thickBot="1" x14ac:dyDescent="0.25">
      <c r="B167" s="671">
        <v>20</v>
      </c>
      <c r="C167" s="652"/>
      <c r="D167" s="32">
        <v>0</v>
      </c>
      <c r="E167" s="672" t="s">
        <v>130</v>
      </c>
      <c r="F167" s="673"/>
      <c r="G167" s="673">
        <f t="shared" si="27"/>
        <v>0.3</v>
      </c>
      <c r="H167" s="506">
        <v>279.06049999999999</v>
      </c>
      <c r="I167" s="507">
        <v>79.962900599999998</v>
      </c>
      <c r="J167" s="655">
        <f t="shared" si="28"/>
        <v>79.962900599999998</v>
      </c>
      <c r="K167" s="655">
        <f t="shared" si="11"/>
        <v>39.981450299999999</v>
      </c>
      <c r="L167" s="655">
        <f t="shared" si="12"/>
        <v>0.64253956655634092</v>
      </c>
      <c r="M167" s="655">
        <f t="shared" si="13"/>
        <v>179.30741271299578</v>
      </c>
      <c r="N167" s="655">
        <f t="shared" si="14"/>
        <v>358.61482542599157</v>
      </c>
      <c r="O167" s="655">
        <f>+C148+D149+D150+D151+D152+D153+D154+D155+D156+D157+D158+D159+D160+D161+D162+D163+D164+D165+D166+(D167/2)</f>
        <v>0</v>
      </c>
      <c r="P167" s="655">
        <f t="shared" si="15"/>
        <v>0</v>
      </c>
      <c r="Q167" s="655">
        <f t="shared" si="16"/>
        <v>0</v>
      </c>
      <c r="R167" s="655">
        <f t="shared" si="29"/>
        <v>213.83080000000001</v>
      </c>
      <c r="S167" s="655">
        <f t="shared" si="42"/>
        <v>213.83080000000001</v>
      </c>
      <c r="T167" s="656">
        <f t="shared" si="17"/>
        <v>213.83080000000001</v>
      </c>
      <c r="V167" s="657">
        <f t="shared" si="18"/>
        <v>0</v>
      </c>
      <c r="W167" s="657"/>
      <c r="X167" s="657"/>
      <c r="Y167" s="657"/>
      <c r="Z167" s="657"/>
      <c r="AA167" s="657"/>
      <c r="AB167" s="673" t="str">
        <f t="shared" si="43"/>
        <v>use the locking pin</v>
      </c>
      <c r="AC167" s="660" t="b">
        <f>IF(AD167=20,AF167)</f>
        <v>0</v>
      </c>
      <c r="AD167" s="660">
        <f t="shared" si="19"/>
        <v>1</v>
      </c>
      <c r="AE167" s="644">
        <f>IF(V167=0,0,20)</f>
        <v>0</v>
      </c>
      <c r="AF167" s="657">
        <f>SUM(V167:V167)/($B$145-B166)</f>
        <v>0</v>
      </c>
      <c r="AG167" s="612">
        <f>SUM(D149:D167)+$C$148</f>
        <v>0</v>
      </c>
      <c r="AH167" s="661" t="b">
        <f t="shared" si="20"/>
        <v>0</v>
      </c>
      <c r="AI167" s="287">
        <f t="shared" si="30"/>
        <v>66.255548399999995</v>
      </c>
      <c r="AJ167" s="674">
        <f t="shared" si="21"/>
        <v>0.91535047595051022</v>
      </c>
      <c r="AK167" s="289">
        <f t="shared" si="31"/>
        <v>278.56028065668761</v>
      </c>
      <c r="AL167" s="287">
        <f t="shared" si="32"/>
        <v>50.018549700000001</v>
      </c>
      <c r="AM167" s="675">
        <f t="shared" si="33"/>
        <v>0.76625250760411079</v>
      </c>
      <c r="AN167" s="291">
        <f t="shared" si="34"/>
        <v>213.83080789825695</v>
      </c>
      <c r="AO167" s="664">
        <f t="shared" si="22"/>
        <v>-5.5550182522732037</v>
      </c>
      <c r="AP167" s="676">
        <f t="shared" si="35"/>
        <v>-729</v>
      </c>
      <c r="AQ167" s="677">
        <f t="shared" si="44"/>
        <v>-672.5</v>
      </c>
      <c r="AR167" s="678">
        <f t="shared" si="36"/>
        <v>492.39108855494453</v>
      </c>
      <c r="AS167" s="667">
        <f t="shared" si="24"/>
        <v>-213.83080789825695</v>
      </c>
      <c r="AT167" s="668">
        <f t="shared" si="37"/>
        <v>208.27578964598374</v>
      </c>
      <c r="AU167" s="667"/>
      <c r="AV167" s="669">
        <f t="shared" si="38"/>
        <v>-388.04020413329516</v>
      </c>
      <c r="AW167" s="669">
        <f t="shared" si="39"/>
        <v>-284.45979586670472</v>
      </c>
      <c r="AX167" s="673">
        <f t="shared" si="25"/>
        <v>-29.893809652814479</v>
      </c>
      <c r="AY167" s="673">
        <f t="shared" si="26"/>
        <v>-35.15435272507159</v>
      </c>
      <c r="AZ167" s="679">
        <f t="shared" si="40"/>
        <v>29.893809652814479</v>
      </c>
      <c r="BA167" s="679">
        <f t="shared" si="40"/>
        <v>35.15435272507159</v>
      </c>
      <c r="BB167" s="560">
        <f t="shared" si="41"/>
        <v>0.3</v>
      </c>
    </row>
    <row r="168" spans="2:88" ht="17" thickBot="1" x14ac:dyDescent="0.25"/>
    <row r="169" spans="2:88" ht="31.5" hidden="1" customHeight="1" thickBot="1" x14ac:dyDescent="0.25">
      <c r="AF169" s="681"/>
      <c r="AG169" s="681" t="s">
        <v>79</v>
      </c>
      <c r="AH169" s="682">
        <f>MAX(AH148:AH167)</f>
        <v>0</v>
      </c>
      <c r="AK169" s="855" t="s">
        <v>190</v>
      </c>
      <c r="AL169" s="856"/>
      <c r="AM169" s="856"/>
      <c r="AN169" s="856"/>
      <c r="AO169" s="857"/>
    </row>
    <row r="170" spans="2:88" ht="69" hidden="1" customHeight="1" thickBot="1" x14ac:dyDescent="0.25">
      <c r="AK170" s="858" t="s">
        <v>175</v>
      </c>
      <c r="AL170" s="859" t="s">
        <v>176</v>
      </c>
      <c r="AM170" s="859" t="s">
        <v>177</v>
      </c>
      <c r="AN170" s="860" t="s">
        <v>181</v>
      </c>
      <c r="AO170" s="861"/>
    </row>
    <row r="171" spans="2:88" ht="37.5" customHeight="1" thickBot="1" x14ac:dyDescent="0.25">
      <c r="B171" s="1854" t="s">
        <v>268</v>
      </c>
      <c r="AK171" s="862">
        <v>6.8623010000000004</v>
      </c>
      <c r="AL171" s="863">
        <f>+(AH169*-1)-AK171</f>
        <v>-6.8623010000000004</v>
      </c>
      <c r="AM171" s="864">
        <f>COS(AL171*3.14159265358979/180)</f>
        <v>0.99283617366519983</v>
      </c>
      <c r="AN171" s="865">
        <f>+AM171*378.71303</f>
        <v>375.99999562235405</v>
      </c>
      <c r="AO171" s="866"/>
    </row>
    <row r="172" spans="2:88" ht="37.5" customHeight="1" thickBot="1" x14ac:dyDescent="0.25">
      <c r="B172" s="1856"/>
      <c r="AK172" s="867" t="s">
        <v>189</v>
      </c>
      <c r="AL172" s="849"/>
      <c r="AM172" s="849"/>
      <c r="AN172" s="849"/>
      <c r="AO172" s="868"/>
    </row>
    <row r="173" spans="2:88" ht="28.5" customHeight="1" thickBot="1" x14ac:dyDescent="0.25">
      <c r="B173" s="34">
        <v>0</v>
      </c>
      <c r="C173" s="558"/>
      <c r="D173" s="548" t="s">
        <v>269</v>
      </c>
      <c r="E173" s="558"/>
      <c r="AK173" s="869"/>
      <c r="AL173" s="859" t="s">
        <v>194</v>
      </c>
      <c r="AM173" s="859" t="s">
        <v>193</v>
      </c>
      <c r="AN173" s="860" t="s">
        <v>204</v>
      </c>
      <c r="AO173" s="870" t="s">
        <v>191</v>
      </c>
    </row>
    <row r="174" spans="2:88" ht="21" thickBot="1" x14ac:dyDescent="0.25">
      <c r="AK174" s="871"/>
      <c r="AL174" s="872">
        <f>+AH169</f>
        <v>0</v>
      </c>
      <c r="AM174" s="873">
        <f>SIN(AL174*3.14159265358979/180)</f>
        <v>0</v>
      </c>
      <c r="AN174" s="874">
        <f>+AM174*((+B145*358.6)+119)</f>
        <v>0</v>
      </c>
      <c r="AO174" s="875">
        <f>+AN171+AN174</f>
        <v>375.99999562235405</v>
      </c>
    </row>
    <row r="175" spans="2:88" ht="85.5" customHeight="1" thickBot="1" x14ac:dyDescent="0.25">
      <c r="B175" s="615" t="s">
        <v>172</v>
      </c>
      <c r="C175" s="684"/>
      <c r="D175" s="685"/>
      <c r="E175" s="618"/>
      <c r="F175" s="618"/>
      <c r="G175" s="618"/>
      <c r="H175" s="619"/>
      <c r="I175" s="619"/>
      <c r="J175" s="619"/>
      <c r="K175" s="619"/>
      <c r="L175" s="619"/>
      <c r="M175" s="619"/>
      <c r="N175" s="619"/>
      <c r="O175" s="619"/>
      <c r="P175" s="619"/>
      <c r="Q175" s="619"/>
      <c r="R175" s="619"/>
      <c r="S175" s="619" t="s">
        <v>85</v>
      </c>
      <c r="T175" s="620">
        <f>SUM(V179:V186)/B176</f>
        <v>146.5</v>
      </c>
      <c r="U175" s="621"/>
      <c r="V175" s="569"/>
      <c r="W175" s="569"/>
      <c r="X175" s="569"/>
      <c r="Y175" s="569"/>
      <c r="Z175" s="569"/>
      <c r="AA175" s="569"/>
    </row>
    <row r="176" spans="2:88" ht="26" thickBot="1" x14ac:dyDescent="0.3">
      <c r="B176" s="33">
        <v>1</v>
      </c>
      <c r="C176" s="625"/>
      <c r="D176" s="626" t="s">
        <v>53</v>
      </c>
      <c r="E176" s="627"/>
      <c r="F176" s="686"/>
      <c r="G176" s="686"/>
      <c r="H176" s="686"/>
      <c r="I176" s="686"/>
      <c r="J176" s="686"/>
      <c r="K176" s="686"/>
      <c r="L176" s="686"/>
      <c r="M176" s="686"/>
      <c r="N176" s="686"/>
      <c r="O176" s="686"/>
      <c r="P176" s="686"/>
      <c r="Q176" s="686"/>
      <c r="R176" s="686"/>
      <c r="S176" s="686"/>
      <c r="T176" s="686"/>
      <c r="U176" s="588"/>
      <c r="V176" s="627"/>
      <c r="W176" s="627"/>
      <c r="X176" s="627"/>
      <c r="Y176" s="627"/>
      <c r="Z176" s="627"/>
      <c r="AA176" s="627"/>
      <c r="AX176" s="613"/>
      <c r="AZ176" s="1862" t="s">
        <v>52</v>
      </c>
      <c r="BA176" s="1863"/>
    </row>
    <row r="177" spans="1:131" ht="17" hidden="1" thickBot="1" x14ac:dyDescent="0.25">
      <c r="B177" s="687"/>
      <c r="C177" s="606"/>
      <c r="D177" s="688" t="s">
        <v>13</v>
      </c>
      <c r="H177" s="689" t="s">
        <v>4</v>
      </c>
      <c r="I177" s="689" t="s">
        <v>1</v>
      </c>
      <c r="J177" s="560" t="s">
        <v>0</v>
      </c>
      <c r="K177" s="560" t="s">
        <v>2</v>
      </c>
      <c r="L177" s="560" t="s">
        <v>3</v>
      </c>
      <c r="M177" s="560" t="s">
        <v>8</v>
      </c>
      <c r="N177" s="560" t="s">
        <v>5</v>
      </c>
      <c r="O177" s="560" t="s">
        <v>6</v>
      </c>
      <c r="P177" s="560" t="s">
        <v>7</v>
      </c>
      <c r="Q177" s="560" t="s">
        <v>9</v>
      </c>
      <c r="R177" s="690" t="s">
        <v>10</v>
      </c>
      <c r="S177" s="560" t="s">
        <v>11</v>
      </c>
      <c r="T177" s="691" t="s">
        <v>12</v>
      </c>
      <c r="U177" s="629"/>
      <c r="V177" s="630"/>
      <c r="W177" s="630"/>
      <c r="X177" s="630"/>
      <c r="Y177" s="630"/>
      <c r="Z177" s="630"/>
      <c r="AA177" s="630"/>
      <c r="AZ177" s="692"/>
      <c r="BA177" s="693"/>
    </row>
    <row r="178" spans="1:131" ht="38" customHeight="1" thickBot="1" x14ac:dyDescent="0.25">
      <c r="B178" s="633"/>
      <c r="C178" s="634"/>
      <c r="D178" s="635" t="s">
        <v>22</v>
      </c>
      <c r="E178" s="637"/>
      <c r="F178" s="635" t="s">
        <v>45</v>
      </c>
      <c r="G178" s="637"/>
      <c r="H178" s="694"/>
      <c r="I178" s="695"/>
      <c r="J178" s="638"/>
      <c r="K178" s="638"/>
      <c r="L178" s="638"/>
      <c r="M178" s="638"/>
      <c r="N178" s="638"/>
      <c r="O178" s="638"/>
      <c r="P178" s="638"/>
      <c r="Q178" s="638"/>
      <c r="R178" s="696"/>
      <c r="S178" s="638"/>
      <c r="T178" s="639"/>
      <c r="U178" s="640"/>
      <c r="V178" s="641"/>
      <c r="W178" s="641"/>
      <c r="X178" s="641"/>
      <c r="Y178" s="641"/>
      <c r="Z178" s="641"/>
      <c r="AA178" s="641"/>
      <c r="AB178" s="638"/>
      <c r="AC178" s="646"/>
      <c r="AD178" s="646"/>
      <c r="AE178" s="646"/>
      <c r="AF178" s="645" t="s">
        <v>38</v>
      </c>
      <c r="AG178" s="645" t="s">
        <v>31</v>
      </c>
      <c r="AH178" s="645"/>
      <c r="AI178" s="697" t="s">
        <v>60</v>
      </c>
      <c r="AJ178" s="646" t="s">
        <v>32</v>
      </c>
      <c r="AK178" s="698" t="s">
        <v>33</v>
      </c>
      <c r="AL178" s="697" t="s">
        <v>61</v>
      </c>
      <c r="AM178" s="645" t="s">
        <v>34</v>
      </c>
      <c r="AN178" s="698" t="s">
        <v>35</v>
      </c>
      <c r="AO178" s="287"/>
      <c r="AP178" s="287" t="s">
        <v>36</v>
      </c>
      <c r="AQ178" s="645"/>
      <c r="AR178" s="645" t="s">
        <v>37</v>
      </c>
      <c r="AS178" s="645" t="s">
        <v>39</v>
      </c>
      <c r="AT178" s="645"/>
      <c r="AU178" s="645" t="s">
        <v>40</v>
      </c>
      <c r="AV178" s="648" t="s">
        <v>41</v>
      </c>
      <c r="AW178" s="648" t="s">
        <v>42</v>
      </c>
      <c r="AX178" s="649" t="s">
        <v>23</v>
      </c>
      <c r="AY178" s="649" t="s">
        <v>24</v>
      </c>
      <c r="AZ178" s="650" t="s">
        <v>23</v>
      </c>
      <c r="BA178" s="650" t="s">
        <v>24</v>
      </c>
      <c r="BQ178" s="126"/>
      <c r="BS178" s="126"/>
      <c r="BU178" s="126"/>
    </row>
    <row r="179" spans="1:131" ht="18" customHeight="1" thickBot="1" x14ac:dyDescent="0.25">
      <c r="B179" s="651">
        <v>1</v>
      </c>
      <c r="C179" s="652">
        <f>+D179+AH169+B173</f>
        <v>0</v>
      </c>
      <c r="D179" s="31">
        <v>0</v>
      </c>
      <c r="E179" s="672" t="s">
        <v>171</v>
      </c>
      <c r="F179" s="699">
        <f>+G179</f>
        <v>0</v>
      </c>
      <c r="G179" s="654">
        <f>+D179</f>
        <v>0</v>
      </c>
      <c r="H179" s="700">
        <v>190.76</v>
      </c>
      <c r="I179" s="701">
        <v>79.651040199999997</v>
      </c>
      <c r="J179" s="655">
        <f>+I179-C179</f>
        <v>79.651040199999997</v>
      </c>
      <c r="K179" s="655">
        <f t="shared" ref="K179:K186" si="45">+J179/2</f>
        <v>39.825520099999999</v>
      </c>
      <c r="L179" s="655">
        <f t="shared" ref="L179:L186" si="46">SIN(K179*3.14159265358979/180)</f>
        <v>0.64045183696587837</v>
      </c>
      <c r="M179" s="655">
        <f t="shared" ref="M179:M186" si="47">+L179*H179</f>
        <v>122.17259241961095</v>
      </c>
      <c r="N179" s="655">
        <f t="shared" ref="N179:N186" si="48">+M179*2</f>
        <v>244.3451848392219</v>
      </c>
      <c r="O179" s="655">
        <f>+C179/2</f>
        <v>0</v>
      </c>
      <c r="P179" s="655">
        <f t="shared" ref="P179:P186" si="49">SIN(O179*3.14159265358979/180)</f>
        <v>0</v>
      </c>
      <c r="Q179" s="655">
        <f t="shared" ref="Q179:Q186" si="50">+P179*N179</f>
        <v>0</v>
      </c>
      <c r="R179" s="702">
        <v>146.5</v>
      </c>
      <c r="S179" s="655">
        <f>+R179+Q179</f>
        <v>146.5</v>
      </c>
      <c r="T179" s="656">
        <f t="shared" ref="T179:T186" si="51">+S179</f>
        <v>146.5</v>
      </c>
      <c r="V179" s="657">
        <f t="shared" ref="V179:V186" si="52">IF(B179&lt;($B$176+1),T179,0)</f>
        <v>146.5</v>
      </c>
      <c r="W179" s="657"/>
      <c r="X179" s="657"/>
      <c r="Y179" s="657"/>
      <c r="Z179" s="657"/>
      <c r="AA179" s="657"/>
      <c r="AB179" s="654" t="str">
        <f>IF(AY179&lt;0,"pin in groundstacking hole"," ")</f>
        <v xml:space="preserve"> </v>
      </c>
      <c r="AC179" s="703"/>
      <c r="AD179" s="703"/>
      <c r="AE179" s="703"/>
      <c r="AF179" s="657">
        <f>SUM(V179:V202)/($B$176)</f>
        <v>146.5</v>
      </c>
      <c r="AG179" s="612">
        <f>C179</f>
        <v>0</v>
      </c>
      <c r="AH179" s="612"/>
      <c r="AI179" s="704">
        <f>69.3447148-AG179</f>
        <v>69.344714800000006</v>
      </c>
      <c r="AJ179" s="662">
        <f t="shared" ref="AJ179:AJ186" si="53">SIN(AI179*3.14159265358979/180)</f>
        <v>0.93571960494171247</v>
      </c>
      <c r="AK179" s="705">
        <f>+AJ179*192.42</f>
        <v>180.0511663828843</v>
      </c>
      <c r="AL179" s="704">
        <f>50.1744799+AG179</f>
        <v>50.174479900000001</v>
      </c>
      <c r="AM179" s="663">
        <f>SIN(AL179*3.14159265358979/180)</f>
        <v>0.76799833627881664</v>
      </c>
      <c r="AN179" s="705">
        <f>+AM179*190.76</f>
        <v>146.50336262854705</v>
      </c>
      <c r="AO179" s="706"/>
      <c r="AP179" s="705">
        <f>25.5*B176</f>
        <v>25.5</v>
      </c>
      <c r="AQ179" s="666"/>
      <c r="AR179" s="666">
        <f>+AN179+AK179</f>
        <v>326.55452901143133</v>
      </c>
      <c r="AS179" s="667">
        <f t="shared" ref="AS179:AS186" si="54">+V179-AN179</f>
        <v>-3.3626285470518269E-3</v>
      </c>
      <c r="AT179" s="667"/>
      <c r="AU179" s="667">
        <f t="shared" ref="AU179:AU186" si="55">+AF179-AS179</f>
        <v>146.50336262854705</v>
      </c>
      <c r="AV179" s="669">
        <f>+((AR179-AU179)/AR179)*AP179</f>
        <v>14.059840960291279</v>
      </c>
      <c r="AW179" s="669">
        <f>+(AU179/AR179)*AP179</f>
        <v>11.440159039708721</v>
      </c>
      <c r="AX179" s="707">
        <f t="shared" ref="AX179:AX186" si="56">2*$D$11/AV179</f>
        <v>825.04489437408847</v>
      </c>
      <c r="AY179" s="707">
        <f t="shared" ref="AY179:AY186" si="57">$F$11/AW179</f>
        <v>874.11372213358766</v>
      </c>
      <c r="AZ179" s="670">
        <f>ABS(AX179)</f>
        <v>825.04489437408847</v>
      </c>
      <c r="BA179" s="670">
        <f>ABS(AY179)</f>
        <v>874.11372213358766</v>
      </c>
      <c r="BB179" s="655"/>
      <c r="BQ179" s="126"/>
      <c r="BU179" s="126"/>
    </row>
    <row r="180" spans="1:131" ht="18" customHeight="1" thickBot="1" x14ac:dyDescent="0.25">
      <c r="B180" s="708">
        <v>2</v>
      </c>
      <c r="C180" s="652"/>
      <c r="D180" s="32">
        <v>0</v>
      </c>
      <c r="E180" s="672" t="s">
        <v>54</v>
      </c>
      <c r="F180" s="699" t="e">
        <f t="shared" ref="F180:F186" si="58">+G180</f>
        <v>#DIV/0!</v>
      </c>
      <c r="G180" s="673" t="e">
        <f t="shared" ref="G180:G186" si="59">+D180+BB180</f>
        <v>#DIV/0!</v>
      </c>
      <c r="H180" s="709">
        <v>190.76</v>
      </c>
      <c r="I180" s="710">
        <v>79.651040199999997</v>
      </c>
      <c r="J180" s="655">
        <f t="shared" ref="J180:J186" si="60">+I180-D180</f>
        <v>79.651040199999997</v>
      </c>
      <c r="K180" s="655">
        <f t="shared" si="45"/>
        <v>39.825520099999999</v>
      </c>
      <c r="L180" s="655">
        <f t="shared" si="46"/>
        <v>0.64045183696587837</v>
      </c>
      <c r="M180" s="655">
        <f t="shared" si="47"/>
        <v>122.17259241961095</v>
      </c>
      <c r="N180" s="655">
        <f t="shared" si="48"/>
        <v>244.3451848392219</v>
      </c>
      <c r="O180" s="655">
        <f>+C179+(D180/2)</f>
        <v>0</v>
      </c>
      <c r="P180" s="655">
        <f t="shared" si="49"/>
        <v>0</v>
      </c>
      <c r="Q180" s="655">
        <f t="shared" si="50"/>
        <v>0</v>
      </c>
      <c r="R180" s="702">
        <f t="shared" ref="R180:R186" si="61">+T179</f>
        <v>146.5</v>
      </c>
      <c r="S180" s="655">
        <f>+R180+Q180</f>
        <v>146.5</v>
      </c>
      <c r="T180" s="656">
        <f t="shared" si="51"/>
        <v>146.5</v>
      </c>
      <c r="V180" s="657">
        <f t="shared" si="52"/>
        <v>0</v>
      </c>
      <c r="W180" s="657"/>
      <c r="X180" s="657"/>
      <c r="Y180" s="657"/>
      <c r="Z180" s="657"/>
      <c r="AA180" s="657"/>
      <c r="AB180" s="673" t="e">
        <f t="shared" ref="AB180:AB186" si="62">IF(AY180&lt;0,"pin in groundstacking hole"," ")</f>
        <v>#DIV/0!</v>
      </c>
      <c r="AC180" s="703"/>
      <c r="AD180" s="703"/>
      <c r="AE180" s="703"/>
      <c r="AF180" s="657" t="e">
        <f>SUM(V180:V202)/($B$176-B179)</f>
        <v>#DIV/0!</v>
      </c>
      <c r="AG180" s="612">
        <f>SUM(D180)+$C$179</f>
        <v>0</v>
      </c>
      <c r="AH180" s="612"/>
      <c r="AI180" s="704">
        <f t="shared" ref="AI180:AI186" si="63">69.3447148-AG180</f>
        <v>69.344714800000006</v>
      </c>
      <c r="AJ180" s="674">
        <f t="shared" si="53"/>
        <v>0.93571960494171247</v>
      </c>
      <c r="AK180" s="705">
        <f t="shared" ref="AK180:AK186" si="64">+AJ180*192.42</f>
        <v>180.0511663828843</v>
      </c>
      <c r="AL180" s="704">
        <f t="shared" ref="AL180:AL186" si="65">50.1744799+AG180</f>
        <v>50.174479900000001</v>
      </c>
      <c r="AM180" s="675">
        <f t="shared" ref="AM180:AM186" si="66">SIN(AL180*3.14159265358979/180)</f>
        <v>0.76799833627881664</v>
      </c>
      <c r="AN180" s="705">
        <f t="shared" ref="AN180:AN186" si="67">+AM180*190.76</f>
        <v>146.50336262854705</v>
      </c>
      <c r="AO180" s="711"/>
      <c r="AP180" s="705">
        <f t="shared" ref="AP180:AP186" si="68">25.5*($B$176-B179)</f>
        <v>0</v>
      </c>
      <c r="AQ180" s="678"/>
      <c r="AR180" s="678">
        <f t="shared" ref="AR180:AR186" si="69">+AN180+AK180</f>
        <v>326.55452901143133</v>
      </c>
      <c r="AS180" s="667">
        <f t="shared" si="54"/>
        <v>-146.50336262854705</v>
      </c>
      <c r="AT180" s="667"/>
      <c r="AU180" s="667" t="e">
        <f t="shared" si="55"/>
        <v>#DIV/0!</v>
      </c>
      <c r="AV180" s="669" t="e">
        <f t="shared" ref="AV180:AV186" si="70">+((AR180-AU180)/AR180)*AP180</f>
        <v>#DIV/0!</v>
      </c>
      <c r="AW180" s="669" t="e">
        <f t="shared" ref="AW180:AW186" si="71">+(AU180/AR180)*AP180</f>
        <v>#DIV/0!</v>
      </c>
      <c r="AX180" s="712" t="e">
        <f t="shared" si="56"/>
        <v>#DIV/0!</v>
      </c>
      <c r="AY180" s="712" t="e">
        <f t="shared" si="57"/>
        <v>#DIV/0!</v>
      </c>
      <c r="AZ180" s="679" t="e">
        <f t="shared" ref="AZ180:BA186" si="72">ABS(AX180)</f>
        <v>#DIV/0!</v>
      </c>
      <c r="BA180" s="679" t="e">
        <f t="shared" si="72"/>
        <v>#DIV/0!</v>
      </c>
      <c r="BB180" s="560" t="e">
        <f t="shared" ref="BB180:BB186" si="73">IF(AY180&lt;0,0.3,0)</f>
        <v>#DIV/0!</v>
      </c>
      <c r="BQ180" s="126"/>
      <c r="BR180" s="311"/>
      <c r="BS180" s="311"/>
      <c r="BT180" s="311"/>
      <c r="BU180" s="311"/>
      <c r="BV180" s="311"/>
      <c r="BW180" s="311"/>
      <c r="BX180" s="311"/>
      <c r="BY180" s="311"/>
      <c r="BZ180" s="311"/>
      <c r="CA180" s="311"/>
      <c r="CB180" s="311"/>
      <c r="CC180" s="311"/>
      <c r="CD180" s="311"/>
      <c r="CE180" s="311"/>
      <c r="CF180" s="311"/>
      <c r="CG180" s="311"/>
      <c r="CH180" s="311"/>
      <c r="CI180" s="311"/>
      <c r="CJ180" s="311"/>
      <c r="CK180" s="311"/>
      <c r="CL180" s="311"/>
      <c r="CM180" s="311"/>
      <c r="CN180" s="311"/>
      <c r="CO180" s="311"/>
    </row>
    <row r="181" spans="1:131" ht="18" customHeight="1" thickBot="1" x14ac:dyDescent="0.25">
      <c r="B181" s="708">
        <v>3</v>
      </c>
      <c r="C181" s="652"/>
      <c r="D181" s="32">
        <v>0</v>
      </c>
      <c r="E181" s="672" t="s">
        <v>54</v>
      </c>
      <c r="F181" s="699">
        <f t="shared" si="58"/>
        <v>0.3</v>
      </c>
      <c r="G181" s="673">
        <f t="shared" si="59"/>
        <v>0.3</v>
      </c>
      <c r="H181" s="709">
        <v>190.76</v>
      </c>
      <c r="I181" s="710">
        <v>79.651040199999997</v>
      </c>
      <c r="J181" s="655">
        <f t="shared" si="60"/>
        <v>79.651040199999997</v>
      </c>
      <c r="K181" s="655">
        <f t="shared" si="45"/>
        <v>39.825520099999999</v>
      </c>
      <c r="L181" s="655">
        <f t="shared" si="46"/>
        <v>0.64045183696587837</v>
      </c>
      <c r="M181" s="655">
        <f t="shared" si="47"/>
        <v>122.17259241961095</v>
      </c>
      <c r="N181" s="655">
        <f t="shared" si="48"/>
        <v>244.3451848392219</v>
      </c>
      <c r="O181" s="655">
        <f>+C179+D180+(D181/2)</f>
        <v>0</v>
      </c>
      <c r="P181" s="655">
        <f t="shared" si="49"/>
        <v>0</v>
      </c>
      <c r="Q181" s="655">
        <f t="shared" si="50"/>
        <v>0</v>
      </c>
      <c r="R181" s="702">
        <f t="shared" si="61"/>
        <v>146.5</v>
      </c>
      <c r="S181" s="655">
        <f t="shared" ref="S181:S186" si="74">+S180+Q181</f>
        <v>146.5</v>
      </c>
      <c r="T181" s="656">
        <f t="shared" si="51"/>
        <v>146.5</v>
      </c>
      <c r="V181" s="657">
        <f t="shared" si="52"/>
        <v>0</v>
      </c>
      <c r="W181" s="657"/>
      <c r="X181" s="657"/>
      <c r="Y181" s="657"/>
      <c r="Z181" s="657"/>
      <c r="AA181" s="657"/>
      <c r="AB181" s="673" t="str">
        <f t="shared" si="62"/>
        <v>pin in groundstacking hole</v>
      </c>
      <c r="AC181" s="703"/>
      <c r="AD181" s="703"/>
      <c r="AE181" s="703"/>
      <c r="AF181" s="657">
        <f t="shared" ref="AF181:AF200" si="75">SUM(V181:V203)/($B$176-B180)</f>
        <v>0</v>
      </c>
      <c r="AG181" s="612">
        <f>SUM(D180:D181)+$C$179</f>
        <v>0</v>
      </c>
      <c r="AH181" s="612"/>
      <c r="AI181" s="704">
        <f t="shared" si="63"/>
        <v>69.344714800000006</v>
      </c>
      <c r="AJ181" s="674">
        <f t="shared" si="53"/>
        <v>0.93571960494171247</v>
      </c>
      <c r="AK181" s="705">
        <f t="shared" si="64"/>
        <v>180.0511663828843</v>
      </c>
      <c r="AL181" s="704">
        <f t="shared" si="65"/>
        <v>50.174479900000001</v>
      </c>
      <c r="AM181" s="675">
        <f t="shared" si="66"/>
        <v>0.76799833627881664</v>
      </c>
      <c r="AN181" s="705">
        <f t="shared" si="67"/>
        <v>146.50336262854705</v>
      </c>
      <c r="AO181" s="711"/>
      <c r="AP181" s="705">
        <f t="shared" si="68"/>
        <v>-25.5</v>
      </c>
      <c r="AQ181" s="678"/>
      <c r="AR181" s="678">
        <f t="shared" si="69"/>
        <v>326.55452901143133</v>
      </c>
      <c r="AS181" s="667">
        <f t="shared" si="54"/>
        <v>-146.50336262854705</v>
      </c>
      <c r="AT181" s="667"/>
      <c r="AU181" s="667">
        <f t="shared" si="55"/>
        <v>146.50336262854705</v>
      </c>
      <c r="AV181" s="669">
        <f t="shared" si="70"/>
        <v>-14.059840960291279</v>
      </c>
      <c r="AW181" s="669">
        <f t="shared" si="71"/>
        <v>-11.440159039708721</v>
      </c>
      <c r="AX181" s="712">
        <f t="shared" si="56"/>
        <v>-825.04489437408847</v>
      </c>
      <c r="AY181" s="712">
        <f t="shared" si="57"/>
        <v>-874.11372213358766</v>
      </c>
      <c r="AZ181" s="679">
        <f t="shared" si="72"/>
        <v>825.04489437408847</v>
      </c>
      <c r="BA181" s="679">
        <f t="shared" si="72"/>
        <v>874.11372213358766</v>
      </c>
      <c r="BB181" s="560">
        <f t="shared" si="73"/>
        <v>0.3</v>
      </c>
      <c r="BQ181" s="126"/>
    </row>
    <row r="182" spans="1:131" ht="18" customHeight="1" thickBot="1" x14ac:dyDescent="0.25">
      <c r="B182" s="708">
        <v>4</v>
      </c>
      <c r="C182" s="652"/>
      <c r="D182" s="32">
        <v>0</v>
      </c>
      <c r="E182" s="672" t="s">
        <v>54</v>
      </c>
      <c r="F182" s="699">
        <f t="shared" si="58"/>
        <v>0.3</v>
      </c>
      <c r="G182" s="673">
        <f t="shared" si="59"/>
        <v>0.3</v>
      </c>
      <c r="H182" s="709">
        <v>190.76</v>
      </c>
      <c r="I182" s="710">
        <v>79.651040199999997</v>
      </c>
      <c r="J182" s="655">
        <f t="shared" si="60"/>
        <v>79.651040199999997</v>
      </c>
      <c r="K182" s="655">
        <f t="shared" si="45"/>
        <v>39.825520099999999</v>
      </c>
      <c r="L182" s="655">
        <f t="shared" si="46"/>
        <v>0.64045183696587837</v>
      </c>
      <c r="M182" s="655">
        <f t="shared" si="47"/>
        <v>122.17259241961095</v>
      </c>
      <c r="N182" s="655">
        <f t="shared" si="48"/>
        <v>244.3451848392219</v>
      </c>
      <c r="O182" s="655">
        <f>+C179+D180+D181+(D182/2)</f>
        <v>0</v>
      </c>
      <c r="P182" s="655">
        <f t="shared" si="49"/>
        <v>0</v>
      </c>
      <c r="Q182" s="655">
        <f t="shared" si="50"/>
        <v>0</v>
      </c>
      <c r="R182" s="702">
        <f t="shared" si="61"/>
        <v>146.5</v>
      </c>
      <c r="S182" s="655">
        <f t="shared" si="74"/>
        <v>146.5</v>
      </c>
      <c r="T182" s="656">
        <f t="shared" si="51"/>
        <v>146.5</v>
      </c>
      <c r="V182" s="657">
        <f t="shared" si="52"/>
        <v>0</v>
      </c>
      <c r="W182" s="657"/>
      <c r="X182" s="657"/>
      <c r="Y182" s="657"/>
      <c r="Z182" s="657"/>
      <c r="AA182" s="657"/>
      <c r="AB182" s="673" t="str">
        <f t="shared" si="62"/>
        <v>pin in groundstacking hole</v>
      </c>
      <c r="AC182" s="703"/>
      <c r="AD182" s="703"/>
      <c r="AE182" s="703"/>
      <c r="AF182" s="657">
        <f t="shared" si="75"/>
        <v>0</v>
      </c>
      <c r="AG182" s="612">
        <f>SUM(D180:D182)+$C$179</f>
        <v>0</v>
      </c>
      <c r="AH182" s="612"/>
      <c r="AI182" s="704">
        <f t="shared" si="63"/>
        <v>69.344714800000006</v>
      </c>
      <c r="AJ182" s="674">
        <f t="shared" si="53"/>
        <v>0.93571960494171247</v>
      </c>
      <c r="AK182" s="705">
        <f t="shared" si="64"/>
        <v>180.0511663828843</v>
      </c>
      <c r="AL182" s="704">
        <f t="shared" si="65"/>
        <v>50.174479900000001</v>
      </c>
      <c r="AM182" s="675">
        <f t="shared" si="66"/>
        <v>0.76799833627881664</v>
      </c>
      <c r="AN182" s="705">
        <f t="shared" si="67"/>
        <v>146.50336262854705</v>
      </c>
      <c r="AO182" s="711"/>
      <c r="AP182" s="705">
        <f t="shared" si="68"/>
        <v>-51</v>
      </c>
      <c r="AQ182" s="678"/>
      <c r="AR182" s="678">
        <f t="shared" si="69"/>
        <v>326.55452901143133</v>
      </c>
      <c r="AS182" s="667">
        <f t="shared" si="54"/>
        <v>-146.50336262854705</v>
      </c>
      <c r="AT182" s="667"/>
      <c r="AU182" s="667">
        <f t="shared" si="55"/>
        <v>146.50336262854705</v>
      </c>
      <c r="AV182" s="669">
        <f t="shared" si="70"/>
        <v>-28.119681920582558</v>
      </c>
      <c r="AW182" s="669">
        <f t="shared" si="71"/>
        <v>-22.880318079417442</v>
      </c>
      <c r="AX182" s="712">
        <f t="shared" si="56"/>
        <v>-412.52244718704424</v>
      </c>
      <c r="AY182" s="712">
        <f t="shared" si="57"/>
        <v>-437.05686106679383</v>
      </c>
      <c r="AZ182" s="679">
        <f t="shared" si="72"/>
        <v>412.52244718704424</v>
      </c>
      <c r="BA182" s="679">
        <f t="shared" si="72"/>
        <v>437.05686106679383</v>
      </c>
      <c r="BB182" s="560">
        <f t="shared" si="73"/>
        <v>0.3</v>
      </c>
      <c r="BQ182" s="235"/>
      <c r="BR182" s="312"/>
      <c r="BS182" s="312"/>
      <c r="BT182" s="312"/>
      <c r="BU182" s="312"/>
      <c r="BV182" s="312"/>
      <c r="BW182" s="312"/>
      <c r="BX182" s="312"/>
      <c r="BY182" s="312"/>
      <c r="BZ182" s="312"/>
      <c r="CA182" s="312"/>
      <c r="CB182" s="312"/>
      <c r="CC182" s="312"/>
      <c r="CD182" s="312"/>
      <c r="CE182" s="312"/>
      <c r="CF182" s="312"/>
      <c r="CG182" s="312"/>
      <c r="CH182" s="312"/>
      <c r="CI182" s="312"/>
      <c r="CJ182" s="312"/>
      <c r="CK182" s="312"/>
      <c r="CL182" s="312"/>
      <c r="CM182" s="312"/>
      <c r="CN182" s="312"/>
      <c r="CO182" s="312"/>
    </row>
    <row r="183" spans="1:131" ht="18" customHeight="1" thickBot="1" x14ac:dyDescent="0.25">
      <c r="B183" s="708">
        <v>5</v>
      </c>
      <c r="C183" s="652"/>
      <c r="D183" s="32">
        <v>0</v>
      </c>
      <c r="E183" s="672" t="s">
        <v>54</v>
      </c>
      <c r="F183" s="699">
        <f t="shared" si="58"/>
        <v>0.3</v>
      </c>
      <c r="G183" s="673">
        <f t="shared" si="59"/>
        <v>0.3</v>
      </c>
      <c r="H183" s="709">
        <v>190.76</v>
      </c>
      <c r="I183" s="710">
        <v>79.651040199999997</v>
      </c>
      <c r="J183" s="655">
        <f t="shared" si="60"/>
        <v>79.651040199999997</v>
      </c>
      <c r="K183" s="655">
        <f t="shared" si="45"/>
        <v>39.825520099999999</v>
      </c>
      <c r="L183" s="655">
        <f t="shared" si="46"/>
        <v>0.64045183696587837</v>
      </c>
      <c r="M183" s="655">
        <f t="shared" si="47"/>
        <v>122.17259241961095</v>
      </c>
      <c r="N183" s="655">
        <f t="shared" si="48"/>
        <v>244.3451848392219</v>
      </c>
      <c r="O183" s="655">
        <f>+C179+D180+D181+D182+(D183/2)</f>
        <v>0</v>
      </c>
      <c r="P183" s="655">
        <f t="shared" si="49"/>
        <v>0</v>
      </c>
      <c r="Q183" s="655">
        <f t="shared" si="50"/>
        <v>0</v>
      </c>
      <c r="R183" s="702">
        <f t="shared" si="61"/>
        <v>146.5</v>
      </c>
      <c r="S183" s="655">
        <f t="shared" si="74"/>
        <v>146.5</v>
      </c>
      <c r="T183" s="656">
        <f t="shared" si="51"/>
        <v>146.5</v>
      </c>
      <c r="V183" s="657">
        <f t="shared" si="52"/>
        <v>0</v>
      </c>
      <c r="W183" s="657"/>
      <c r="X183" s="657"/>
      <c r="Y183" s="657"/>
      <c r="Z183" s="657"/>
      <c r="AA183" s="657"/>
      <c r="AB183" s="673" t="str">
        <f t="shared" si="62"/>
        <v>pin in groundstacking hole</v>
      </c>
      <c r="AC183" s="703"/>
      <c r="AD183" s="703"/>
      <c r="AE183" s="703"/>
      <c r="AF183" s="657">
        <f t="shared" si="75"/>
        <v>0</v>
      </c>
      <c r="AG183" s="612">
        <f>SUM(D180:D183)+$C$179</f>
        <v>0</v>
      </c>
      <c r="AH183" s="612"/>
      <c r="AI183" s="704">
        <f t="shared" si="63"/>
        <v>69.344714800000006</v>
      </c>
      <c r="AJ183" s="674">
        <f t="shared" si="53"/>
        <v>0.93571960494171247</v>
      </c>
      <c r="AK183" s="705">
        <f t="shared" si="64"/>
        <v>180.0511663828843</v>
      </c>
      <c r="AL183" s="704">
        <f t="shared" si="65"/>
        <v>50.174479900000001</v>
      </c>
      <c r="AM183" s="675">
        <f t="shared" si="66"/>
        <v>0.76799833627881664</v>
      </c>
      <c r="AN183" s="705">
        <f t="shared" si="67"/>
        <v>146.50336262854705</v>
      </c>
      <c r="AO183" s="711"/>
      <c r="AP183" s="705">
        <f t="shared" si="68"/>
        <v>-76.5</v>
      </c>
      <c r="AQ183" s="678"/>
      <c r="AR183" s="678">
        <f t="shared" si="69"/>
        <v>326.55452901143133</v>
      </c>
      <c r="AS183" s="667">
        <f t="shared" si="54"/>
        <v>-146.50336262854705</v>
      </c>
      <c r="AT183" s="667"/>
      <c r="AU183" s="667">
        <f t="shared" si="55"/>
        <v>146.50336262854705</v>
      </c>
      <c r="AV183" s="669">
        <f t="shared" si="70"/>
        <v>-42.17952288087384</v>
      </c>
      <c r="AW183" s="669">
        <f t="shared" si="71"/>
        <v>-34.32047711912616</v>
      </c>
      <c r="AX183" s="712">
        <f t="shared" si="56"/>
        <v>-275.01496479136279</v>
      </c>
      <c r="AY183" s="712">
        <f t="shared" si="57"/>
        <v>-291.37124071119592</v>
      </c>
      <c r="AZ183" s="679">
        <f t="shared" si="72"/>
        <v>275.01496479136279</v>
      </c>
      <c r="BA183" s="679">
        <f t="shared" si="72"/>
        <v>291.37124071119592</v>
      </c>
      <c r="BB183" s="560">
        <f t="shared" si="73"/>
        <v>0.3</v>
      </c>
      <c r="BQ183" s="126"/>
      <c r="BR183" s="203"/>
      <c r="BS183" s="203"/>
      <c r="BT183" s="203"/>
      <c r="BU183" s="203"/>
      <c r="BV183" s="203"/>
      <c r="BW183" s="203"/>
      <c r="BX183" s="203"/>
      <c r="BY183" s="203"/>
      <c r="BZ183" s="203"/>
      <c r="CA183" s="203"/>
      <c r="CB183" s="203"/>
      <c r="CC183" s="203"/>
      <c r="CD183" s="203"/>
      <c r="CE183" s="203"/>
      <c r="CF183" s="203"/>
      <c r="CG183" s="203"/>
      <c r="CH183" s="203"/>
      <c r="CI183" s="203"/>
      <c r="CJ183" s="203"/>
      <c r="CK183" s="203"/>
      <c r="CL183" s="203"/>
      <c r="CM183" s="203"/>
      <c r="CN183" s="203"/>
      <c r="CO183" s="203"/>
    </row>
    <row r="184" spans="1:131" ht="18" customHeight="1" thickBot="1" x14ac:dyDescent="0.25">
      <c r="B184" s="708">
        <v>6</v>
      </c>
      <c r="C184" s="652"/>
      <c r="D184" s="32">
        <v>0</v>
      </c>
      <c r="E184" s="672" t="s">
        <v>54</v>
      </c>
      <c r="F184" s="699">
        <f t="shared" si="58"/>
        <v>0.3</v>
      </c>
      <c r="G184" s="673">
        <f t="shared" si="59"/>
        <v>0.3</v>
      </c>
      <c r="H184" s="709">
        <v>190.76</v>
      </c>
      <c r="I184" s="710">
        <v>79.651040199999997</v>
      </c>
      <c r="J184" s="655">
        <f t="shared" si="60"/>
        <v>79.651040199999997</v>
      </c>
      <c r="K184" s="655">
        <f t="shared" si="45"/>
        <v>39.825520099999999</v>
      </c>
      <c r="L184" s="655">
        <f t="shared" si="46"/>
        <v>0.64045183696587837</v>
      </c>
      <c r="M184" s="655">
        <f t="shared" si="47"/>
        <v>122.17259241961095</v>
      </c>
      <c r="N184" s="655">
        <f t="shared" si="48"/>
        <v>244.3451848392219</v>
      </c>
      <c r="O184" s="655">
        <f>+C179+D180+D181+D182+D183+(D184/2)</f>
        <v>0</v>
      </c>
      <c r="P184" s="655">
        <f t="shared" si="49"/>
        <v>0</v>
      </c>
      <c r="Q184" s="655">
        <f t="shared" si="50"/>
        <v>0</v>
      </c>
      <c r="R184" s="702">
        <f t="shared" si="61"/>
        <v>146.5</v>
      </c>
      <c r="S184" s="655">
        <f t="shared" si="74"/>
        <v>146.5</v>
      </c>
      <c r="T184" s="656">
        <f t="shared" si="51"/>
        <v>146.5</v>
      </c>
      <c r="V184" s="657">
        <f t="shared" si="52"/>
        <v>0</v>
      </c>
      <c r="W184" s="657"/>
      <c r="X184" s="657"/>
      <c r="Y184" s="657"/>
      <c r="Z184" s="657"/>
      <c r="AA184" s="657"/>
      <c r="AB184" s="673" t="str">
        <f t="shared" si="62"/>
        <v>pin in groundstacking hole</v>
      </c>
      <c r="AC184" s="703"/>
      <c r="AD184" s="703"/>
      <c r="AE184" s="703"/>
      <c r="AF184" s="657">
        <f t="shared" si="75"/>
        <v>0</v>
      </c>
      <c r="AG184" s="612">
        <f>SUM(D180:D184)+$C$179</f>
        <v>0</v>
      </c>
      <c r="AH184" s="612"/>
      <c r="AI184" s="704">
        <f t="shared" si="63"/>
        <v>69.344714800000006</v>
      </c>
      <c r="AJ184" s="674">
        <f t="shared" si="53"/>
        <v>0.93571960494171247</v>
      </c>
      <c r="AK184" s="705">
        <f t="shared" si="64"/>
        <v>180.0511663828843</v>
      </c>
      <c r="AL184" s="704">
        <f t="shared" si="65"/>
        <v>50.174479900000001</v>
      </c>
      <c r="AM184" s="675">
        <f t="shared" si="66"/>
        <v>0.76799833627881664</v>
      </c>
      <c r="AN184" s="705">
        <f t="shared" si="67"/>
        <v>146.50336262854705</v>
      </c>
      <c r="AO184" s="711"/>
      <c r="AP184" s="705">
        <f t="shared" si="68"/>
        <v>-102</v>
      </c>
      <c r="AQ184" s="678"/>
      <c r="AR184" s="678">
        <f t="shared" si="69"/>
        <v>326.55452901143133</v>
      </c>
      <c r="AS184" s="667">
        <f t="shared" si="54"/>
        <v>-146.50336262854705</v>
      </c>
      <c r="AT184" s="667"/>
      <c r="AU184" s="667">
        <f t="shared" si="55"/>
        <v>146.50336262854705</v>
      </c>
      <c r="AV184" s="669">
        <f t="shared" si="70"/>
        <v>-56.239363841165115</v>
      </c>
      <c r="AW184" s="669">
        <f t="shared" si="71"/>
        <v>-45.760636158834885</v>
      </c>
      <c r="AX184" s="712">
        <f t="shared" si="56"/>
        <v>-206.26122359352212</v>
      </c>
      <c r="AY184" s="712">
        <f t="shared" si="57"/>
        <v>-218.52843053339691</v>
      </c>
      <c r="AZ184" s="679">
        <f t="shared" si="72"/>
        <v>206.26122359352212</v>
      </c>
      <c r="BA184" s="679">
        <f t="shared" si="72"/>
        <v>218.52843053339691</v>
      </c>
      <c r="BB184" s="560">
        <f t="shared" si="73"/>
        <v>0.3</v>
      </c>
    </row>
    <row r="185" spans="1:131" ht="18" customHeight="1" thickBot="1" x14ac:dyDescent="0.25">
      <c r="B185" s="708">
        <v>7</v>
      </c>
      <c r="C185" s="652"/>
      <c r="D185" s="32">
        <v>0</v>
      </c>
      <c r="E185" s="672" t="s">
        <v>54</v>
      </c>
      <c r="F185" s="699">
        <f t="shared" si="58"/>
        <v>0.3</v>
      </c>
      <c r="G185" s="673">
        <f t="shared" si="59"/>
        <v>0.3</v>
      </c>
      <c r="H185" s="709">
        <v>190.76</v>
      </c>
      <c r="I185" s="710">
        <v>79.651040199999997</v>
      </c>
      <c r="J185" s="655">
        <f t="shared" si="60"/>
        <v>79.651040199999997</v>
      </c>
      <c r="K185" s="655">
        <f t="shared" si="45"/>
        <v>39.825520099999999</v>
      </c>
      <c r="L185" s="655">
        <f t="shared" si="46"/>
        <v>0.64045183696587837</v>
      </c>
      <c r="M185" s="655">
        <f t="shared" si="47"/>
        <v>122.17259241961095</v>
      </c>
      <c r="N185" s="655">
        <f t="shared" si="48"/>
        <v>244.3451848392219</v>
      </c>
      <c r="O185" s="655">
        <f>+C179+D180+D181+D182+D183+D184+(D185/2)</f>
        <v>0</v>
      </c>
      <c r="P185" s="655">
        <f t="shared" si="49"/>
        <v>0</v>
      </c>
      <c r="Q185" s="655">
        <f t="shared" si="50"/>
        <v>0</v>
      </c>
      <c r="R185" s="702">
        <f t="shared" si="61"/>
        <v>146.5</v>
      </c>
      <c r="S185" s="655">
        <f t="shared" si="74"/>
        <v>146.5</v>
      </c>
      <c r="T185" s="656">
        <f t="shared" si="51"/>
        <v>146.5</v>
      </c>
      <c r="V185" s="657">
        <f t="shared" si="52"/>
        <v>0</v>
      </c>
      <c r="W185" s="657"/>
      <c r="X185" s="657"/>
      <c r="Y185" s="657"/>
      <c r="Z185" s="657"/>
      <c r="AA185" s="657"/>
      <c r="AB185" s="673" t="str">
        <f t="shared" si="62"/>
        <v>pin in groundstacking hole</v>
      </c>
      <c r="AC185" s="703"/>
      <c r="AD185" s="703"/>
      <c r="AE185" s="703"/>
      <c r="AF185" s="657">
        <f t="shared" si="75"/>
        <v>0</v>
      </c>
      <c r="AG185" s="612">
        <f>SUM(D180:D185)+$C$179</f>
        <v>0</v>
      </c>
      <c r="AH185" s="612"/>
      <c r="AI185" s="704">
        <f t="shared" si="63"/>
        <v>69.344714800000006</v>
      </c>
      <c r="AJ185" s="674">
        <f t="shared" si="53"/>
        <v>0.93571960494171247</v>
      </c>
      <c r="AK185" s="705">
        <f t="shared" si="64"/>
        <v>180.0511663828843</v>
      </c>
      <c r="AL185" s="704">
        <f t="shared" si="65"/>
        <v>50.174479900000001</v>
      </c>
      <c r="AM185" s="675">
        <f t="shared" si="66"/>
        <v>0.76799833627881664</v>
      </c>
      <c r="AN185" s="705">
        <f t="shared" si="67"/>
        <v>146.50336262854705</v>
      </c>
      <c r="AO185" s="711"/>
      <c r="AP185" s="705">
        <f t="shared" si="68"/>
        <v>-127.5</v>
      </c>
      <c r="AQ185" s="678"/>
      <c r="AR185" s="678">
        <f t="shared" si="69"/>
        <v>326.55452901143133</v>
      </c>
      <c r="AS185" s="667">
        <f t="shared" si="54"/>
        <v>-146.50336262854705</v>
      </c>
      <c r="AT185" s="667"/>
      <c r="AU185" s="667">
        <f t="shared" si="55"/>
        <v>146.50336262854705</v>
      </c>
      <c r="AV185" s="669">
        <f t="shared" si="70"/>
        <v>-70.299204801456398</v>
      </c>
      <c r="AW185" s="669">
        <f t="shared" si="71"/>
        <v>-57.200795198543602</v>
      </c>
      <c r="AX185" s="712">
        <f t="shared" si="56"/>
        <v>-165.00897887481767</v>
      </c>
      <c r="AY185" s="712">
        <f t="shared" si="57"/>
        <v>-174.82274442671755</v>
      </c>
      <c r="AZ185" s="679">
        <f t="shared" si="72"/>
        <v>165.00897887481767</v>
      </c>
      <c r="BA185" s="679">
        <f t="shared" si="72"/>
        <v>174.82274442671755</v>
      </c>
      <c r="BB185" s="560">
        <f t="shared" si="73"/>
        <v>0.3</v>
      </c>
      <c r="BR185" s="236"/>
      <c r="BS185" s="236"/>
      <c r="BT185" s="236"/>
      <c r="BU185" s="236"/>
      <c r="BV185" s="236"/>
      <c r="BW185" s="236"/>
      <c r="BX185" s="126"/>
      <c r="BY185" s="126"/>
      <c r="BZ185" s="126"/>
      <c r="CA185" s="126"/>
      <c r="CB185" s="126"/>
      <c r="CC185" s="236"/>
      <c r="CD185" s="236"/>
      <c r="CE185" s="236"/>
      <c r="CF185" s="126"/>
      <c r="CG185" s="126"/>
      <c r="CH185" s="126"/>
      <c r="CI185" s="126"/>
      <c r="CJ185" s="126"/>
      <c r="CK185" s="126"/>
      <c r="CL185" s="126"/>
      <c r="CM185" s="126"/>
      <c r="CN185" s="126"/>
      <c r="CO185" s="126"/>
    </row>
    <row r="186" spans="1:131" customFormat="1" ht="18" customHeight="1" thickBot="1" x14ac:dyDescent="0.25">
      <c r="A186" s="560"/>
      <c r="B186" s="708">
        <v>8</v>
      </c>
      <c r="C186" s="652"/>
      <c r="D186" s="32">
        <v>0</v>
      </c>
      <c r="E186" s="672" t="s">
        <v>54</v>
      </c>
      <c r="F186" s="699">
        <f t="shared" si="58"/>
        <v>0.3</v>
      </c>
      <c r="G186" s="673">
        <f t="shared" si="59"/>
        <v>0.3</v>
      </c>
      <c r="H186" s="709">
        <v>190.76</v>
      </c>
      <c r="I186" s="710">
        <v>79.651040199999997</v>
      </c>
      <c r="J186" s="655">
        <f t="shared" si="60"/>
        <v>79.651040199999997</v>
      </c>
      <c r="K186" s="655">
        <f t="shared" si="45"/>
        <v>39.825520099999999</v>
      </c>
      <c r="L186" s="655">
        <f t="shared" si="46"/>
        <v>0.64045183696587837</v>
      </c>
      <c r="M186" s="655">
        <f t="shared" si="47"/>
        <v>122.17259241961095</v>
      </c>
      <c r="N186" s="655">
        <f t="shared" si="48"/>
        <v>244.3451848392219</v>
      </c>
      <c r="O186" s="655">
        <f>+C179+D180+D181+D182+D183+D184+D185+(D186/2)</f>
        <v>0</v>
      </c>
      <c r="P186" s="655">
        <f t="shared" si="49"/>
        <v>0</v>
      </c>
      <c r="Q186" s="655">
        <f t="shared" si="50"/>
        <v>0</v>
      </c>
      <c r="R186" s="702">
        <f t="shared" si="61"/>
        <v>146.5</v>
      </c>
      <c r="S186" s="655">
        <f t="shared" si="74"/>
        <v>146.5</v>
      </c>
      <c r="T186" s="656">
        <f t="shared" si="51"/>
        <v>146.5</v>
      </c>
      <c r="U186" s="560"/>
      <c r="V186" s="657">
        <f t="shared" si="52"/>
        <v>0</v>
      </c>
      <c r="W186" s="657"/>
      <c r="X186" s="657"/>
      <c r="Y186" s="657"/>
      <c r="Z186" s="657"/>
      <c r="AA186" s="657"/>
      <c r="AB186" s="673" t="str">
        <f t="shared" si="62"/>
        <v>pin in groundstacking hole</v>
      </c>
      <c r="AC186" s="703"/>
      <c r="AD186" s="703"/>
      <c r="AE186" s="703"/>
      <c r="AF186" s="657">
        <f t="shared" si="75"/>
        <v>0</v>
      </c>
      <c r="AG186" s="612">
        <f>SUM(D180:D186)+$C$179</f>
        <v>0</v>
      </c>
      <c r="AH186" s="612"/>
      <c r="AI186" s="704">
        <f t="shared" si="63"/>
        <v>69.344714800000006</v>
      </c>
      <c r="AJ186" s="674">
        <f t="shared" si="53"/>
        <v>0.93571960494171247</v>
      </c>
      <c r="AK186" s="705">
        <f t="shared" si="64"/>
        <v>180.0511663828843</v>
      </c>
      <c r="AL186" s="704">
        <f t="shared" si="65"/>
        <v>50.174479900000001</v>
      </c>
      <c r="AM186" s="675">
        <f t="shared" si="66"/>
        <v>0.76799833627881664</v>
      </c>
      <c r="AN186" s="705">
        <f t="shared" si="67"/>
        <v>146.50336262854705</v>
      </c>
      <c r="AO186" s="711"/>
      <c r="AP186" s="705">
        <f t="shared" si="68"/>
        <v>-153</v>
      </c>
      <c r="AQ186" s="678"/>
      <c r="AR186" s="678">
        <f t="shared" si="69"/>
        <v>326.55452901143133</v>
      </c>
      <c r="AS186" s="667">
        <f t="shared" si="54"/>
        <v>-146.50336262854705</v>
      </c>
      <c r="AT186" s="667"/>
      <c r="AU186" s="667">
        <f t="shared" si="55"/>
        <v>146.50336262854705</v>
      </c>
      <c r="AV186" s="669">
        <f t="shared" si="70"/>
        <v>-84.35904576174768</v>
      </c>
      <c r="AW186" s="669">
        <f t="shared" si="71"/>
        <v>-68.64095423825232</v>
      </c>
      <c r="AX186" s="712">
        <f t="shared" si="56"/>
        <v>-137.50748239568139</v>
      </c>
      <c r="AY186" s="712">
        <f t="shared" si="57"/>
        <v>-145.68562035559796</v>
      </c>
      <c r="AZ186" s="679">
        <f t="shared" si="72"/>
        <v>137.50748239568139</v>
      </c>
      <c r="BA186" s="679">
        <f t="shared" si="72"/>
        <v>145.68562035559796</v>
      </c>
      <c r="BB186" s="560">
        <f t="shared" si="73"/>
        <v>0.3</v>
      </c>
      <c r="BC186" s="560"/>
      <c r="BD186" s="560"/>
      <c r="BE186" s="560"/>
      <c r="BN186" s="81"/>
      <c r="BP186" s="59"/>
      <c r="BR186" s="236"/>
      <c r="BS186" s="236"/>
      <c r="BT186" s="236"/>
      <c r="BU186" s="236"/>
      <c r="BV186" s="236"/>
      <c r="BW186" s="236"/>
      <c r="CB186" s="236"/>
      <c r="CC186" s="236"/>
      <c r="CD186" s="236"/>
      <c r="CE186" s="236"/>
      <c r="CJ186" s="236"/>
      <c r="CK186" s="236"/>
      <c r="CL186" s="236"/>
      <c r="CM186" s="236"/>
      <c r="CN186" s="236"/>
      <c r="CO186" s="236"/>
      <c r="DF186" s="560"/>
      <c r="DG186" s="560"/>
      <c r="DH186" s="560"/>
      <c r="DI186" s="560"/>
      <c r="DJ186" s="560"/>
      <c r="DK186" s="560"/>
      <c r="DL186" s="560"/>
      <c r="DM186" s="560"/>
      <c r="DN186" s="560"/>
      <c r="DO186" s="560"/>
      <c r="DP186" s="560"/>
      <c r="DQ186" s="560"/>
      <c r="DR186" s="560"/>
      <c r="DS186" s="560"/>
      <c r="DT186" s="560"/>
      <c r="DU186" s="560"/>
      <c r="DV186" s="560"/>
      <c r="DW186" s="560"/>
      <c r="DX186" s="560"/>
      <c r="DY186" s="560"/>
      <c r="DZ186" s="560"/>
      <c r="EA186" s="560"/>
    </row>
    <row r="187" spans="1:131" customFormat="1" ht="18" customHeight="1" thickBot="1" x14ac:dyDescent="0.25">
      <c r="A187" s="560"/>
      <c r="B187" s="708">
        <v>9</v>
      </c>
      <c r="C187" s="652"/>
      <c r="D187" s="32">
        <v>0</v>
      </c>
      <c r="E187" s="672" t="s">
        <v>54</v>
      </c>
      <c r="F187" s="699">
        <f t="shared" ref="F187:F190" si="76">+G187</f>
        <v>0.3</v>
      </c>
      <c r="G187" s="673">
        <f t="shared" ref="G187:G190" si="77">+D187+BB187</f>
        <v>0.3</v>
      </c>
      <c r="H187" s="709">
        <v>190.76</v>
      </c>
      <c r="I187" s="710">
        <v>79.651040199999997</v>
      </c>
      <c r="J187" s="655">
        <f t="shared" ref="J187:J190" si="78">+I187-D187</f>
        <v>79.651040199999997</v>
      </c>
      <c r="K187" s="655">
        <f t="shared" ref="K187:K190" si="79">+J187/2</f>
        <v>39.825520099999999</v>
      </c>
      <c r="L187" s="655">
        <f t="shared" ref="L187:L190" si="80">SIN(K187*3.14159265358979/180)</f>
        <v>0.64045183696587837</v>
      </c>
      <c r="M187" s="655">
        <f t="shared" ref="M187:M190" si="81">+L187*H187</f>
        <v>122.17259241961095</v>
      </c>
      <c r="N187" s="655">
        <f t="shared" ref="N187:N190" si="82">+M187*2</f>
        <v>244.3451848392219</v>
      </c>
      <c r="O187" s="655">
        <f>+C179+D180+D181+D182+D183+D184+D185+D186+(D187/2)</f>
        <v>0</v>
      </c>
      <c r="P187" s="655">
        <f t="shared" ref="P187:P190" si="83">SIN(O187*3.14159265358979/180)</f>
        <v>0</v>
      </c>
      <c r="Q187" s="655">
        <f t="shared" ref="Q187:Q190" si="84">+P187*N187</f>
        <v>0</v>
      </c>
      <c r="R187" s="702">
        <f t="shared" ref="R187:R190" si="85">+T186</f>
        <v>146.5</v>
      </c>
      <c r="S187" s="655">
        <f t="shared" ref="S187:S190" si="86">+S186+Q187</f>
        <v>146.5</v>
      </c>
      <c r="T187" s="656">
        <f t="shared" ref="T187:T190" si="87">+S187</f>
        <v>146.5</v>
      </c>
      <c r="U187" s="560"/>
      <c r="V187" s="657">
        <f t="shared" ref="V187:V190" si="88">IF(B187&lt;($B$176+1),T187,0)</f>
        <v>0</v>
      </c>
      <c r="W187" s="657"/>
      <c r="X187" s="657"/>
      <c r="Y187" s="657"/>
      <c r="Z187" s="657"/>
      <c r="AA187" s="657"/>
      <c r="AB187" s="673" t="str">
        <f t="shared" ref="AB187:AB190" si="89">IF(AY187&lt;0,"pin in groundstacking hole"," ")</f>
        <v>pin in groundstacking hole</v>
      </c>
      <c r="AC187" s="703"/>
      <c r="AD187" s="703"/>
      <c r="AE187" s="703"/>
      <c r="AF187" s="657">
        <f t="shared" si="75"/>
        <v>0</v>
      </c>
      <c r="AG187" s="612">
        <f>SUM(D180:D187)+$C$179</f>
        <v>0</v>
      </c>
      <c r="AH187" s="612"/>
      <c r="AI187" s="704">
        <f t="shared" ref="AI187:AI190" si="90">69.3447148-AG187</f>
        <v>69.344714800000006</v>
      </c>
      <c r="AJ187" s="674">
        <f t="shared" ref="AJ187:AJ190" si="91">SIN(AI187*3.14159265358979/180)</f>
        <v>0.93571960494171247</v>
      </c>
      <c r="AK187" s="705">
        <f t="shared" ref="AK187:AK190" si="92">+AJ187*192.42</f>
        <v>180.0511663828843</v>
      </c>
      <c r="AL187" s="704">
        <f t="shared" ref="AL187:AL190" si="93">50.1744799+AG187</f>
        <v>50.174479900000001</v>
      </c>
      <c r="AM187" s="675">
        <f t="shared" ref="AM187:AM190" si="94">SIN(AL187*3.14159265358979/180)</f>
        <v>0.76799833627881664</v>
      </c>
      <c r="AN187" s="705">
        <f t="shared" ref="AN187:AN190" si="95">+AM187*190.76</f>
        <v>146.50336262854705</v>
      </c>
      <c r="AO187" s="711"/>
      <c r="AP187" s="705">
        <f t="shared" ref="AP187:AP190" si="96">25.5*($B$176-B186)</f>
        <v>-178.5</v>
      </c>
      <c r="AQ187" s="678"/>
      <c r="AR187" s="678">
        <f t="shared" ref="AR187:AR190" si="97">+AN187+AK187</f>
        <v>326.55452901143133</v>
      </c>
      <c r="AS187" s="667">
        <f t="shared" ref="AS187:AS190" si="98">+V187-AN187</f>
        <v>-146.50336262854705</v>
      </c>
      <c r="AT187" s="667"/>
      <c r="AU187" s="667">
        <f t="shared" ref="AU187:AU190" si="99">+AF187-AS187</f>
        <v>146.50336262854705</v>
      </c>
      <c r="AV187" s="669">
        <f t="shared" ref="AV187:AV190" si="100">+((AR187-AU187)/AR187)*AP187</f>
        <v>-98.418886722038962</v>
      </c>
      <c r="AW187" s="669">
        <f t="shared" ref="AW187:AW190" si="101">+(AU187/AR187)*AP187</f>
        <v>-80.081113277961038</v>
      </c>
      <c r="AX187" s="712">
        <f t="shared" ref="AX187:AX190" si="102">2*$D$11/AV187</f>
        <v>-117.86355633915548</v>
      </c>
      <c r="AY187" s="712">
        <f t="shared" ref="AY187:AY190" si="103">$F$11/AW187</f>
        <v>-124.87338887622683</v>
      </c>
      <c r="AZ187" s="679">
        <f t="shared" ref="AZ187:AZ190" si="104">ABS(AX187)</f>
        <v>117.86355633915548</v>
      </c>
      <c r="BA187" s="679">
        <f t="shared" ref="BA187:BA190" si="105">ABS(AY187)</f>
        <v>124.87338887622683</v>
      </c>
      <c r="BB187" s="560">
        <f t="shared" ref="BB187:BB190" si="106">IF(AY187&lt;0,0.3,0)</f>
        <v>0.3</v>
      </c>
      <c r="BC187" s="560"/>
      <c r="BD187" s="560"/>
      <c r="BE187" s="560"/>
      <c r="BN187" s="81"/>
      <c r="BP187" s="59"/>
      <c r="BR187" s="236"/>
      <c r="BS187" s="236"/>
      <c r="BT187" s="236"/>
      <c r="BU187" s="236"/>
      <c r="BV187" s="236"/>
      <c r="BW187" s="236"/>
      <c r="CB187" s="236"/>
      <c r="CC187" s="236"/>
      <c r="CD187" s="236"/>
      <c r="CE187" s="236"/>
      <c r="CJ187" s="236"/>
      <c r="CK187" s="236"/>
      <c r="CL187" s="236"/>
      <c r="CM187" s="236"/>
      <c r="CN187" s="236"/>
      <c r="CO187" s="236"/>
      <c r="DF187" s="560"/>
      <c r="DG187" s="560"/>
      <c r="DH187" s="560"/>
      <c r="DI187" s="560"/>
      <c r="DJ187" s="560"/>
      <c r="DK187" s="560"/>
      <c r="DL187" s="560"/>
      <c r="DM187" s="560"/>
      <c r="DN187" s="560"/>
      <c r="DO187" s="560"/>
      <c r="DP187" s="560"/>
      <c r="DQ187" s="560"/>
      <c r="DR187" s="560"/>
      <c r="DS187" s="560"/>
      <c r="DT187" s="560"/>
      <c r="DU187" s="560"/>
      <c r="DV187" s="560"/>
      <c r="DW187" s="560"/>
      <c r="DX187" s="560"/>
      <c r="DY187" s="560"/>
      <c r="DZ187" s="560"/>
      <c r="EA187" s="560"/>
    </row>
    <row r="188" spans="1:131" customFormat="1" ht="18" customHeight="1" thickBot="1" x14ac:dyDescent="0.25">
      <c r="A188" s="560"/>
      <c r="B188" s="708">
        <v>10</v>
      </c>
      <c r="C188" s="652"/>
      <c r="D188" s="32">
        <v>0</v>
      </c>
      <c r="E188" s="672" t="s">
        <v>54</v>
      </c>
      <c r="F188" s="699">
        <f t="shared" si="76"/>
        <v>0.3</v>
      </c>
      <c r="G188" s="673">
        <f t="shared" si="77"/>
        <v>0.3</v>
      </c>
      <c r="H188" s="709">
        <v>190.76</v>
      </c>
      <c r="I188" s="710">
        <v>79.651040199999997</v>
      </c>
      <c r="J188" s="655">
        <f t="shared" si="78"/>
        <v>79.651040199999997</v>
      </c>
      <c r="K188" s="655">
        <f t="shared" si="79"/>
        <v>39.825520099999999</v>
      </c>
      <c r="L188" s="655">
        <f t="shared" si="80"/>
        <v>0.64045183696587837</v>
      </c>
      <c r="M188" s="655">
        <f t="shared" si="81"/>
        <v>122.17259241961095</v>
      </c>
      <c r="N188" s="655">
        <f t="shared" si="82"/>
        <v>244.3451848392219</v>
      </c>
      <c r="O188" s="655">
        <f>+C179+D180+D181+D182+D183+D184+D185+D186+D187+(D188/2)</f>
        <v>0</v>
      </c>
      <c r="P188" s="655">
        <f t="shared" si="83"/>
        <v>0</v>
      </c>
      <c r="Q188" s="655">
        <f t="shared" si="84"/>
        <v>0</v>
      </c>
      <c r="R188" s="702">
        <f t="shared" si="85"/>
        <v>146.5</v>
      </c>
      <c r="S188" s="655">
        <f t="shared" si="86"/>
        <v>146.5</v>
      </c>
      <c r="T188" s="656">
        <f t="shared" si="87"/>
        <v>146.5</v>
      </c>
      <c r="U188" s="560"/>
      <c r="V188" s="657">
        <f t="shared" si="88"/>
        <v>0</v>
      </c>
      <c r="W188" s="657"/>
      <c r="X188" s="657"/>
      <c r="Y188" s="657"/>
      <c r="Z188" s="657"/>
      <c r="AA188" s="657"/>
      <c r="AB188" s="673" t="str">
        <f t="shared" si="89"/>
        <v>pin in groundstacking hole</v>
      </c>
      <c r="AC188" s="703"/>
      <c r="AD188" s="703"/>
      <c r="AE188" s="703"/>
      <c r="AF188" s="657">
        <f t="shared" si="75"/>
        <v>0</v>
      </c>
      <c r="AG188" s="612">
        <f>SUM(D180:D188)+$C$179</f>
        <v>0</v>
      </c>
      <c r="AH188" s="612"/>
      <c r="AI188" s="704">
        <f t="shared" si="90"/>
        <v>69.344714800000006</v>
      </c>
      <c r="AJ188" s="674">
        <f t="shared" si="91"/>
        <v>0.93571960494171247</v>
      </c>
      <c r="AK188" s="705">
        <f t="shared" si="92"/>
        <v>180.0511663828843</v>
      </c>
      <c r="AL188" s="704">
        <f t="shared" si="93"/>
        <v>50.174479900000001</v>
      </c>
      <c r="AM188" s="675">
        <f t="shared" si="94"/>
        <v>0.76799833627881664</v>
      </c>
      <c r="AN188" s="705">
        <f t="shared" si="95"/>
        <v>146.50336262854705</v>
      </c>
      <c r="AO188" s="711"/>
      <c r="AP188" s="705">
        <f t="shared" si="96"/>
        <v>-204</v>
      </c>
      <c r="AQ188" s="678"/>
      <c r="AR188" s="678">
        <f t="shared" si="97"/>
        <v>326.55452901143133</v>
      </c>
      <c r="AS188" s="667">
        <f t="shared" si="98"/>
        <v>-146.50336262854705</v>
      </c>
      <c r="AT188" s="667"/>
      <c r="AU188" s="667">
        <f t="shared" si="99"/>
        <v>146.50336262854705</v>
      </c>
      <c r="AV188" s="669">
        <f t="shared" si="100"/>
        <v>-112.47872768233023</v>
      </c>
      <c r="AW188" s="669">
        <f t="shared" si="101"/>
        <v>-91.521272317669769</v>
      </c>
      <c r="AX188" s="712">
        <f t="shared" si="102"/>
        <v>-103.13061179676106</v>
      </c>
      <c r="AY188" s="712">
        <f t="shared" si="103"/>
        <v>-109.26421526669846</v>
      </c>
      <c r="AZ188" s="679">
        <f t="shared" si="104"/>
        <v>103.13061179676106</v>
      </c>
      <c r="BA188" s="679">
        <f t="shared" si="105"/>
        <v>109.26421526669846</v>
      </c>
      <c r="BB188" s="560">
        <f t="shared" si="106"/>
        <v>0.3</v>
      </c>
      <c r="BC188" s="560"/>
      <c r="BD188" s="560"/>
      <c r="BE188" s="560"/>
      <c r="BN188" s="81"/>
      <c r="BP188" s="59"/>
      <c r="BR188" s="236"/>
      <c r="BS188" s="236"/>
      <c r="BT188" s="236"/>
      <c r="BU188" s="236"/>
      <c r="BV188" s="236"/>
      <c r="BW188" s="236"/>
      <c r="CB188" s="236"/>
      <c r="CC188" s="236"/>
      <c r="CD188" s="236"/>
      <c r="CE188" s="236"/>
      <c r="CJ188" s="236"/>
      <c r="CK188" s="236"/>
      <c r="CL188" s="236"/>
      <c r="CM188" s="236"/>
      <c r="CN188" s="236"/>
      <c r="CO188" s="236"/>
      <c r="DF188" s="560"/>
      <c r="DG188" s="560"/>
      <c r="DH188" s="560"/>
      <c r="DI188" s="560"/>
      <c r="DJ188" s="560"/>
      <c r="DK188" s="560"/>
      <c r="DL188" s="560"/>
      <c r="DM188" s="560"/>
      <c r="DN188" s="560"/>
      <c r="DO188" s="560"/>
      <c r="DP188" s="560"/>
      <c r="DQ188" s="560"/>
      <c r="DR188" s="560"/>
      <c r="DS188" s="560"/>
      <c r="DT188" s="560"/>
      <c r="DU188" s="560"/>
      <c r="DV188" s="560"/>
      <c r="DW188" s="560"/>
      <c r="DX188" s="560"/>
      <c r="DY188" s="560"/>
      <c r="DZ188" s="560"/>
      <c r="EA188" s="560"/>
    </row>
    <row r="189" spans="1:131" customFormat="1" ht="18" customHeight="1" thickBot="1" x14ac:dyDescent="0.25">
      <c r="A189" s="560"/>
      <c r="B189" s="708">
        <v>11</v>
      </c>
      <c r="C189" s="652"/>
      <c r="D189" s="32">
        <v>0</v>
      </c>
      <c r="E189" s="672" t="s">
        <v>54</v>
      </c>
      <c r="F189" s="699">
        <f t="shared" si="76"/>
        <v>0.3</v>
      </c>
      <c r="G189" s="673">
        <f t="shared" si="77"/>
        <v>0.3</v>
      </c>
      <c r="H189" s="709">
        <v>190.76</v>
      </c>
      <c r="I189" s="710">
        <v>79.651040199999997</v>
      </c>
      <c r="J189" s="655">
        <f t="shared" si="78"/>
        <v>79.651040199999997</v>
      </c>
      <c r="K189" s="655">
        <f t="shared" si="79"/>
        <v>39.825520099999999</v>
      </c>
      <c r="L189" s="655">
        <f t="shared" si="80"/>
        <v>0.64045183696587837</v>
      </c>
      <c r="M189" s="655">
        <f t="shared" si="81"/>
        <v>122.17259241961095</v>
      </c>
      <c r="N189" s="655">
        <f t="shared" si="82"/>
        <v>244.3451848392219</v>
      </c>
      <c r="O189" s="655">
        <f>+C179+D180+D181+D182+D183+D184+D185+D186+D187+D188+(D189/2)</f>
        <v>0</v>
      </c>
      <c r="P189" s="655">
        <f t="shared" si="83"/>
        <v>0</v>
      </c>
      <c r="Q189" s="655">
        <f t="shared" si="84"/>
        <v>0</v>
      </c>
      <c r="R189" s="702">
        <f t="shared" si="85"/>
        <v>146.5</v>
      </c>
      <c r="S189" s="655">
        <f t="shared" si="86"/>
        <v>146.5</v>
      </c>
      <c r="T189" s="656">
        <f t="shared" si="87"/>
        <v>146.5</v>
      </c>
      <c r="U189" s="560"/>
      <c r="V189" s="657">
        <f t="shared" si="88"/>
        <v>0</v>
      </c>
      <c r="W189" s="657"/>
      <c r="X189" s="657"/>
      <c r="Y189" s="657"/>
      <c r="Z189" s="657"/>
      <c r="AA189" s="657"/>
      <c r="AB189" s="673" t="str">
        <f t="shared" si="89"/>
        <v>pin in groundstacking hole</v>
      </c>
      <c r="AC189" s="703"/>
      <c r="AD189" s="703"/>
      <c r="AE189" s="703"/>
      <c r="AF189" s="657">
        <f t="shared" si="75"/>
        <v>0</v>
      </c>
      <c r="AG189" s="612">
        <f>SUM(D180:D189)+$C$179</f>
        <v>0</v>
      </c>
      <c r="AH189" s="612"/>
      <c r="AI189" s="704">
        <f t="shared" si="90"/>
        <v>69.344714800000006</v>
      </c>
      <c r="AJ189" s="674">
        <f t="shared" si="91"/>
        <v>0.93571960494171247</v>
      </c>
      <c r="AK189" s="705">
        <f t="shared" si="92"/>
        <v>180.0511663828843</v>
      </c>
      <c r="AL189" s="704">
        <f t="shared" si="93"/>
        <v>50.174479900000001</v>
      </c>
      <c r="AM189" s="675">
        <f t="shared" si="94"/>
        <v>0.76799833627881664</v>
      </c>
      <c r="AN189" s="705">
        <f t="shared" si="95"/>
        <v>146.50336262854705</v>
      </c>
      <c r="AO189" s="711"/>
      <c r="AP189" s="705">
        <f t="shared" si="96"/>
        <v>-229.5</v>
      </c>
      <c r="AQ189" s="678"/>
      <c r="AR189" s="678">
        <f t="shared" si="97"/>
        <v>326.55452901143133</v>
      </c>
      <c r="AS189" s="667">
        <f t="shared" si="98"/>
        <v>-146.50336262854705</v>
      </c>
      <c r="AT189" s="667"/>
      <c r="AU189" s="667">
        <f t="shared" si="99"/>
        <v>146.50336262854705</v>
      </c>
      <c r="AV189" s="669">
        <f t="shared" si="100"/>
        <v>-126.53856864262151</v>
      </c>
      <c r="AW189" s="669">
        <f t="shared" si="101"/>
        <v>-102.96143135737849</v>
      </c>
      <c r="AX189" s="712">
        <f t="shared" si="102"/>
        <v>-91.671654930454267</v>
      </c>
      <c r="AY189" s="712">
        <f t="shared" si="103"/>
        <v>-97.12374690373197</v>
      </c>
      <c r="AZ189" s="679">
        <f t="shared" si="104"/>
        <v>91.671654930454267</v>
      </c>
      <c r="BA189" s="679">
        <f t="shared" si="105"/>
        <v>97.12374690373197</v>
      </c>
      <c r="BB189" s="560">
        <f t="shared" si="106"/>
        <v>0.3</v>
      </c>
      <c r="BC189" s="560"/>
      <c r="BD189" s="560"/>
      <c r="BE189" s="560"/>
      <c r="BN189" s="81"/>
      <c r="BP189" s="59"/>
      <c r="BR189" s="236"/>
      <c r="BS189" s="236"/>
      <c r="BT189" s="236"/>
      <c r="BU189" s="236"/>
      <c r="BV189" s="236"/>
      <c r="BW189" s="236"/>
      <c r="CB189" s="236"/>
      <c r="CC189" s="236"/>
      <c r="CD189" s="236"/>
      <c r="CE189" s="236"/>
      <c r="CJ189" s="236"/>
      <c r="CK189" s="236"/>
      <c r="CL189" s="236"/>
      <c r="CM189" s="236"/>
      <c r="CN189" s="236"/>
      <c r="CO189" s="236"/>
      <c r="DF189" s="560"/>
      <c r="DG189" s="560"/>
      <c r="DH189" s="560"/>
      <c r="DI189" s="560"/>
      <c r="DJ189" s="560"/>
      <c r="DK189" s="560"/>
      <c r="DL189" s="560"/>
      <c r="DM189" s="560"/>
      <c r="DN189" s="560"/>
      <c r="DO189" s="560"/>
      <c r="DP189" s="560"/>
      <c r="DQ189" s="560"/>
      <c r="DR189" s="560"/>
      <c r="DS189" s="560"/>
      <c r="DT189" s="560"/>
      <c r="DU189" s="560"/>
      <c r="DV189" s="560"/>
      <c r="DW189" s="560"/>
      <c r="DX189" s="560"/>
      <c r="DY189" s="560"/>
      <c r="DZ189" s="560"/>
      <c r="EA189" s="560"/>
    </row>
    <row r="190" spans="1:131" customFormat="1" ht="18" customHeight="1" thickBot="1" x14ac:dyDescent="0.25">
      <c r="A190" s="560"/>
      <c r="B190" s="708">
        <v>12</v>
      </c>
      <c r="C190" s="652"/>
      <c r="D190" s="32">
        <v>0</v>
      </c>
      <c r="E190" s="672" t="s">
        <v>54</v>
      </c>
      <c r="F190" s="699">
        <f t="shared" si="76"/>
        <v>0.3</v>
      </c>
      <c r="G190" s="673">
        <f t="shared" si="77"/>
        <v>0.3</v>
      </c>
      <c r="H190" s="709">
        <v>190.76</v>
      </c>
      <c r="I190" s="710">
        <v>79.651040199999997</v>
      </c>
      <c r="J190" s="655">
        <f t="shared" si="78"/>
        <v>79.651040199999997</v>
      </c>
      <c r="K190" s="655">
        <f t="shared" si="79"/>
        <v>39.825520099999999</v>
      </c>
      <c r="L190" s="655">
        <f t="shared" si="80"/>
        <v>0.64045183696587837</v>
      </c>
      <c r="M190" s="655">
        <f t="shared" si="81"/>
        <v>122.17259241961095</v>
      </c>
      <c r="N190" s="655">
        <f t="shared" si="82"/>
        <v>244.3451848392219</v>
      </c>
      <c r="O190" s="655">
        <f>+C179+D180+D181+D182+D183+D184+D185+D186+D187+D188+D189+(D190/2)</f>
        <v>0</v>
      </c>
      <c r="P190" s="655">
        <f t="shared" si="83"/>
        <v>0</v>
      </c>
      <c r="Q190" s="655">
        <f t="shared" si="84"/>
        <v>0</v>
      </c>
      <c r="R190" s="702">
        <f t="shared" si="85"/>
        <v>146.5</v>
      </c>
      <c r="S190" s="655">
        <f t="shared" si="86"/>
        <v>146.5</v>
      </c>
      <c r="T190" s="656">
        <f t="shared" si="87"/>
        <v>146.5</v>
      </c>
      <c r="U190" s="560"/>
      <c r="V190" s="657">
        <f t="shared" si="88"/>
        <v>0</v>
      </c>
      <c r="W190" s="657"/>
      <c r="X190" s="657"/>
      <c r="Y190" s="657"/>
      <c r="Z190" s="657"/>
      <c r="AA190" s="657"/>
      <c r="AB190" s="673" t="str">
        <f t="shared" si="89"/>
        <v>pin in groundstacking hole</v>
      </c>
      <c r="AC190" s="703"/>
      <c r="AD190" s="703"/>
      <c r="AE190" s="703"/>
      <c r="AF190" s="657">
        <f t="shared" si="75"/>
        <v>0</v>
      </c>
      <c r="AG190" s="612">
        <f>SUM(D180:D190)+$C$179</f>
        <v>0</v>
      </c>
      <c r="AH190" s="612"/>
      <c r="AI190" s="704">
        <f t="shared" si="90"/>
        <v>69.344714800000006</v>
      </c>
      <c r="AJ190" s="674">
        <f t="shared" si="91"/>
        <v>0.93571960494171247</v>
      </c>
      <c r="AK190" s="705">
        <f t="shared" si="92"/>
        <v>180.0511663828843</v>
      </c>
      <c r="AL190" s="704">
        <f t="shared" si="93"/>
        <v>50.174479900000001</v>
      </c>
      <c r="AM190" s="675">
        <f t="shared" si="94"/>
        <v>0.76799833627881664</v>
      </c>
      <c r="AN190" s="705">
        <f t="shared" si="95"/>
        <v>146.50336262854705</v>
      </c>
      <c r="AO190" s="711"/>
      <c r="AP190" s="705">
        <f t="shared" si="96"/>
        <v>-255</v>
      </c>
      <c r="AQ190" s="678"/>
      <c r="AR190" s="678">
        <f t="shared" si="97"/>
        <v>326.55452901143133</v>
      </c>
      <c r="AS190" s="667">
        <f t="shared" si="98"/>
        <v>-146.50336262854705</v>
      </c>
      <c r="AT190" s="667"/>
      <c r="AU190" s="667">
        <f t="shared" si="99"/>
        <v>146.50336262854705</v>
      </c>
      <c r="AV190" s="669">
        <f t="shared" si="100"/>
        <v>-140.5984096029128</v>
      </c>
      <c r="AW190" s="669">
        <f t="shared" si="101"/>
        <v>-114.4015903970872</v>
      </c>
      <c r="AX190" s="712">
        <f t="shared" si="102"/>
        <v>-82.504489437408836</v>
      </c>
      <c r="AY190" s="712">
        <f t="shared" si="103"/>
        <v>-87.411372213358774</v>
      </c>
      <c r="AZ190" s="679">
        <f t="shared" si="104"/>
        <v>82.504489437408836</v>
      </c>
      <c r="BA190" s="679">
        <f t="shared" si="105"/>
        <v>87.411372213358774</v>
      </c>
      <c r="BB190" s="560">
        <f t="shared" si="106"/>
        <v>0.3</v>
      </c>
      <c r="BC190" s="560"/>
      <c r="BD190" s="560"/>
      <c r="BE190" s="560"/>
      <c r="BN190" s="81"/>
      <c r="BP190" s="59"/>
      <c r="BR190" s="236"/>
      <c r="BS190" s="236"/>
      <c r="BT190" s="236"/>
      <c r="BU190" s="236"/>
      <c r="BV190" s="236"/>
      <c r="BW190" s="236"/>
      <c r="CB190" s="236"/>
      <c r="CC190" s="236"/>
      <c r="CD190" s="236"/>
      <c r="CE190" s="236"/>
      <c r="CJ190" s="236"/>
      <c r="CK190" s="236"/>
      <c r="CL190" s="236"/>
      <c r="CM190" s="236"/>
      <c r="CN190" s="236"/>
      <c r="CO190" s="236"/>
      <c r="DF190" s="560"/>
      <c r="DG190" s="560"/>
      <c r="DH190" s="560"/>
      <c r="DI190" s="560"/>
      <c r="DJ190" s="560"/>
      <c r="DK190" s="560"/>
      <c r="DL190" s="560"/>
      <c r="DM190" s="560"/>
      <c r="DN190" s="560"/>
      <c r="DO190" s="560"/>
      <c r="DP190" s="560"/>
      <c r="DQ190" s="560"/>
      <c r="DR190" s="560"/>
      <c r="DS190" s="560"/>
      <c r="DT190" s="560"/>
      <c r="DU190" s="560"/>
      <c r="DV190" s="560"/>
      <c r="DW190" s="560"/>
      <c r="DX190" s="560"/>
      <c r="DY190" s="560"/>
      <c r="DZ190" s="560"/>
      <c r="EA190" s="560"/>
    </row>
    <row r="191" spans="1:131" customFormat="1" ht="18" customHeight="1" thickBot="1" x14ac:dyDescent="0.25">
      <c r="A191" s="560"/>
      <c r="B191" s="708">
        <v>13</v>
      </c>
      <c r="C191" s="652"/>
      <c r="D191" s="32">
        <v>0</v>
      </c>
      <c r="E191" s="672" t="s">
        <v>54</v>
      </c>
      <c r="F191" s="699">
        <f t="shared" ref="F191:F201" si="107">+G191</f>
        <v>0.3</v>
      </c>
      <c r="G191" s="673">
        <f t="shared" ref="G191:G201" si="108">+D191+BB191</f>
        <v>0.3</v>
      </c>
      <c r="H191" s="709">
        <v>190.76</v>
      </c>
      <c r="I191" s="710">
        <v>79.651040199999997</v>
      </c>
      <c r="J191" s="655">
        <f t="shared" ref="J191:J201" si="109">+I191-D191</f>
        <v>79.651040199999997</v>
      </c>
      <c r="K191" s="655">
        <f t="shared" ref="K191:K201" si="110">+J191/2</f>
        <v>39.825520099999999</v>
      </c>
      <c r="L191" s="655">
        <f t="shared" ref="L191:L201" si="111">SIN(K191*3.14159265358979/180)</f>
        <v>0.64045183696587837</v>
      </c>
      <c r="M191" s="655">
        <f t="shared" ref="M191:M201" si="112">+L191*H191</f>
        <v>122.17259241961095</v>
      </c>
      <c r="N191" s="655">
        <f t="shared" ref="N191:N201" si="113">+M191*2</f>
        <v>244.3451848392219</v>
      </c>
      <c r="O191" s="655">
        <f>+C179+D180+D181+D182+D183+D184+D185+D186+D187+D188+D189+D190+(D191/2)</f>
        <v>0</v>
      </c>
      <c r="P191" s="655">
        <f t="shared" ref="P191:P201" si="114">SIN(O191*3.14159265358979/180)</f>
        <v>0</v>
      </c>
      <c r="Q191" s="655">
        <f t="shared" ref="Q191:Q201" si="115">+P191*N191</f>
        <v>0</v>
      </c>
      <c r="R191" s="702">
        <f t="shared" ref="R191:R201" si="116">+T190</f>
        <v>146.5</v>
      </c>
      <c r="S191" s="655">
        <f t="shared" ref="S191:S201" si="117">+S190+Q191</f>
        <v>146.5</v>
      </c>
      <c r="T191" s="656">
        <f t="shared" ref="T191:T201" si="118">+S191</f>
        <v>146.5</v>
      </c>
      <c r="U191" s="560"/>
      <c r="V191" s="657">
        <f t="shared" ref="V191:V201" si="119">IF(B191&lt;($B$176+1),T191,0)</f>
        <v>0</v>
      </c>
      <c r="W191" s="657"/>
      <c r="X191" s="657"/>
      <c r="Y191" s="657"/>
      <c r="Z191" s="657"/>
      <c r="AA191" s="657"/>
      <c r="AB191" s="673" t="str">
        <f t="shared" ref="AB191:AB201" si="120">IF(AY191&lt;0,"pin in groundstacking hole"," ")</f>
        <v>pin in groundstacking hole</v>
      </c>
      <c r="AC191" s="703"/>
      <c r="AD191" s="703"/>
      <c r="AE191" s="703"/>
      <c r="AF191" s="657">
        <f t="shared" si="75"/>
        <v>0</v>
      </c>
      <c r="AG191" s="612">
        <f>SUM(D180:D191)+$C$179</f>
        <v>0</v>
      </c>
      <c r="AH191" s="612"/>
      <c r="AI191" s="704">
        <f t="shared" ref="AI191:AI201" si="121">69.3447148-AG191</f>
        <v>69.344714800000006</v>
      </c>
      <c r="AJ191" s="674">
        <f t="shared" ref="AJ191:AJ201" si="122">SIN(AI191*3.14159265358979/180)</f>
        <v>0.93571960494171247</v>
      </c>
      <c r="AK191" s="705">
        <f t="shared" ref="AK191:AK201" si="123">+AJ191*192.42</f>
        <v>180.0511663828843</v>
      </c>
      <c r="AL191" s="704">
        <f t="shared" ref="AL191:AL201" si="124">50.1744799+AG191</f>
        <v>50.174479900000001</v>
      </c>
      <c r="AM191" s="675">
        <f t="shared" ref="AM191:AM201" si="125">SIN(AL191*3.14159265358979/180)</f>
        <v>0.76799833627881664</v>
      </c>
      <c r="AN191" s="705">
        <f t="shared" ref="AN191:AN201" si="126">+AM191*190.76</f>
        <v>146.50336262854705</v>
      </c>
      <c r="AO191" s="711"/>
      <c r="AP191" s="705">
        <f t="shared" ref="AP191:AP201" si="127">25.5*($B$176-B190)</f>
        <v>-280.5</v>
      </c>
      <c r="AQ191" s="678"/>
      <c r="AR191" s="678">
        <f t="shared" ref="AR191:AR201" si="128">+AN191+AK191</f>
        <v>326.55452901143133</v>
      </c>
      <c r="AS191" s="667">
        <f t="shared" ref="AS191:AS201" si="129">+V191-AN191</f>
        <v>-146.50336262854705</v>
      </c>
      <c r="AT191" s="667"/>
      <c r="AU191" s="667">
        <f t="shared" ref="AU191:AU201" si="130">+AF191-AS191</f>
        <v>146.50336262854705</v>
      </c>
      <c r="AV191" s="669">
        <f t="shared" ref="AV191:AV201" si="131">+((AR191-AU191)/AR191)*AP191</f>
        <v>-154.65825056320406</v>
      </c>
      <c r="AW191" s="669">
        <f t="shared" ref="AW191:AW201" si="132">+(AU191/AR191)*AP191</f>
        <v>-125.84174943679592</v>
      </c>
      <c r="AX191" s="712">
        <f t="shared" ref="AX191:AX201" si="133">2*$D$11/AV191</f>
        <v>-75.004081306735316</v>
      </c>
      <c r="AY191" s="712">
        <f t="shared" ref="AY191:AY201" si="134">$F$11/AW191</f>
        <v>-79.464883830326158</v>
      </c>
      <c r="AZ191" s="679">
        <f t="shared" ref="AZ191:AZ201" si="135">ABS(AX191)</f>
        <v>75.004081306735316</v>
      </c>
      <c r="BA191" s="679">
        <f t="shared" ref="BA191:BA201" si="136">ABS(AY191)</f>
        <v>79.464883830326158</v>
      </c>
      <c r="BB191" s="560">
        <f t="shared" ref="BB191:BB201" si="137">IF(AY191&lt;0,0.3,0)</f>
        <v>0.3</v>
      </c>
      <c r="BC191" s="560"/>
      <c r="BD191" s="560"/>
      <c r="BE191" s="560"/>
      <c r="BN191" s="81"/>
      <c r="BP191" s="59"/>
      <c r="BR191" s="236"/>
      <c r="BS191" s="236"/>
      <c r="BT191" s="236"/>
      <c r="BU191" s="236"/>
      <c r="BV191" s="236"/>
      <c r="BW191" s="236"/>
      <c r="CB191" s="236"/>
      <c r="CC191" s="236"/>
      <c r="CD191" s="236"/>
      <c r="CE191" s="236"/>
      <c r="CJ191" s="236"/>
      <c r="CK191" s="236"/>
      <c r="CL191" s="236"/>
      <c r="CM191" s="236"/>
      <c r="CN191" s="236"/>
      <c r="CO191" s="236"/>
      <c r="DF191" s="560"/>
      <c r="DG191" s="560"/>
      <c r="DH191" s="560"/>
      <c r="DI191" s="560"/>
      <c r="DJ191" s="560"/>
      <c r="DK191" s="560"/>
      <c r="DL191" s="560"/>
      <c r="DM191" s="560"/>
      <c r="DN191" s="560"/>
      <c r="DO191" s="560"/>
      <c r="DP191" s="560"/>
      <c r="DQ191" s="560"/>
      <c r="DR191" s="560"/>
      <c r="DS191" s="560"/>
      <c r="DT191" s="560"/>
      <c r="DU191" s="560"/>
      <c r="DV191" s="560"/>
      <c r="DW191" s="560"/>
      <c r="DX191" s="560"/>
      <c r="DY191" s="560"/>
      <c r="DZ191" s="560"/>
      <c r="EA191" s="560"/>
    </row>
    <row r="192" spans="1:131" customFormat="1" ht="18" customHeight="1" thickBot="1" x14ac:dyDescent="0.25">
      <c r="A192" s="560"/>
      <c r="B192" s="708">
        <v>14</v>
      </c>
      <c r="C192" s="652"/>
      <c r="D192" s="32">
        <v>0</v>
      </c>
      <c r="E192" s="672" t="s">
        <v>54</v>
      </c>
      <c r="F192" s="699">
        <f t="shared" si="107"/>
        <v>0.3</v>
      </c>
      <c r="G192" s="673">
        <f t="shared" si="108"/>
        <v>0.3</v>
      </c>
      <c r="H192" s="709">
        <v>190.76</v>
      </c>
      <c r="I192" s="710">
        <v>79.651040199999997</v>
      </c>
      <c r="J192" s="655">
        <f t="shared" si="109"/>
        <v>79.651040199999997</v>
      </c>
      <c r="K192" s="655">
        <f t="shared" si="110"/>
        <v>39.825520099999999</v>
      </c>
      <c r="L192" s="655">
        <f t="shared" si="111"/>
        <v>0.64045183696587837</v>
      </c>
      <c r="M192" s="655">
        <f t="shared" si="112"/>
        <v>122.17259241961095</v>
      </c>
      <c r="N192" s="655">
        <f t="shared" si="113"/>
        <v>244.3451848392219</v>
      </c>
      <c r="O192" s="655">
        <f>+C179+D180+D181+D182+D183+D184+D185+D186+D187+D188+D189+D190+D191+(D192/2)</f>
        <v>0</v>
      </c>
      <c r="P192" s="655">
        <f t="shared" si="114"/>
        <v>0</v>
      </c>
      <c r="Q192" s="655">
        <f t="shared" si="115"/>
        <v>0</v>
      </c>
      <c r="R192" s="702">
        <f t="shared" si="116"/>
        <v>146.5</v>
      </c>
      <c r="S192" s="655">
        <f t="shared" si="117"/>
        <v>146.5</v>
      </c>
      <c r="T192" s="656">
        <f t="shared" si="118"/>
        <v>146.5</v>
      </c>
      <c r="U192" s="560"/>
      <c r="V192" s="657">
        <f t="shared" si="119"/>
        <v>0</v>
      </c>
      <c r="W192" s="657"/>
      <c r="X192" s="657"/>
      <c r="Y192" s="657"/>
      <c r="Z192" s="657"/>
      <c r="AA192" s="657"/>
      <c r="AB192" s="673" t="str">
        <f t="shared" si="120"/>
        <v>pin in groundstacking hole</v>
      </c>
      <c r="AC192" s="703"/>
      <c r="AD192" s="703"/>
      <c r="AE192" s="703"/>
      <c r="AF192" s="657">
        <f t="shared" si="75"/>
        <v>0</v>
      </c>
      <c r="AG192" s="612">
        <f>SUM(D180:D192)+$C$179</f>
        <v>0</v>
      </c>
      <c r="AH192" s="612"/>
      <c r="AI192" s="704">
        <f t="shared" si="121"/>
        <v>69.344714800000006</v>
      </c>
      <c r="AJ192" s="674">
        <f t="shared" si="122"/>
        <v>0.93571960494171247</v>
      </c>
      <c r="AK192" s="705">
        <f t="shared" si="123"/>
        <v>180.0511663828843</v>
      </c>
      <c r="AL192" s="704">
        <f t="shared" si="124"/>
        <v>50.174479900000001</v>
      </c>
      <c r="AM192" s="675">
        <f t="shared" si="125"/>
        <v>0.76799833627881664</v>
      </c>
      <c r="AN192" s="705">
        <f t="shared" si="126"/>
        <v>146.50336262854705</v>
      </c>
      <c r="AO192" s="711"/>
      <c r="AP192" s="705">
        <f t="shared" si="127"/>
        <v>-306</v>
      </c>
      <c r="AQ192" s="678"/>
      <c r="AR192" s="678">
        <f t="shared" si="128"/>
        <v>326.55452901143133</v>
      </c>
      <c r="AS192" s="667">
        <f t="shared" si="129"/>
        <v>-146.50336262854705</v>
      </c>
      <c r="AT192" s="667"/>
      <c r="AU192" s="667">
        <f t="shared" si="130"/>
        <v>146.50336262854705</v>
      </c>
      <c r="AV192" s="669">
        <f t="shared" si="131"/>
        <v>-168.71809152349536</v>
      </c>
      <c r="AW192" s="669">
        <f t="shared" si="132"/>
        <v>-137.28190847650464</v>
      </c>
      <c r="AX192" s="712">
        <f t="shared" si="133"/>
        <v>-68.753741197840696</v>
      </c>
      <c r="AY192" s="712">
        <f t="shared" si="134"/>
        <v>-72.842810177798981</v>
      </c>
      <c r="AZ192" s="679">
        <f t="shared" si="135"/>
        <v>68.753741197840696</v>
      </c>
      <c r="BA192" s="679">
        <f t="shared" si="136"/>
        <v>72.842810177798981</v>
      </c>
      <c r="BB192" s="560">
        <f t="shared" si="137"/>
        <v>0.3</v>
      </c>
      <c r="BC192" s="560"/>
      <c r="BD192" s="560"/>
      <c r="BE192" s="560"/>
      <c r="BN192" s="81"/>
      <c r="BP192" s="59"/>
      <c r="BR192" s="236"/>
      <c r="BS192" s="236"/>
      <c r="BT192" s="236"/>
      <c r="BU192" s="236"/>
      <c r="BV192" s="236"/>
      <c r="BW192" s="236"/>
      <c r="CB192" s="236"/>
      <c r="CC192" s="236"/>
      <c r="CD192" s="236"/>
      <c r="CE192" s="236"/>
      <c r="CJ192" s="236"/>
      <c r="CK192" s="236"/>
      <c r="CL192" s="236"/>
      <c r="CM192" s="236"/>
      <c r="CN192" s="236"/>
      <c r="CO192" s="236"/>
      <c r="DF192" s="560"/>
      <c r="DG192" s="560"/>
      <c r="DH192" s="560"/>
      <c r="DI192" s="560"/>
      <c r="DJ192" s="560"/>
      <c r="DK192" s="560"/>
      <c r="DL192" s="560"/>
      <c r="DM192" s="560"/>
      <c r="DN192" s="560"/>
      <c r="DO192" s="560"/>
      <c r="DP192" s="560"/>
      <c r="DQ192" s="560"/>
      <c r="DR192" s="560"/>
      <c r="DS192" s="560"/>
      <c r="DT192" s="560"/>
      <c r="DU192" s="560"/>
      <c r="DV192" s="560"/>
      <c r="DW192" s="560"/>
      <c r="DX192" s="560"/>
      <c r="DY192" s="560"/>
      <c r="DZ192" s="560"/>
      <c r="EA192" s="560"/>
    </row>
    <row r="193" spans="1:131" customFormat="1" ht="18" customHeight="1" thickBot="1" x14ac:dyDescent="0.25">
      <c r="A193" s="560"/>
      <c r="B193" s="708">
        <v>15</v>
      </c>
      <c r="C193" s="652"/>
      <c r="D193" s="32">
        <v>0</v>
      </c>
      <c r="E193" s="672" t="s">
        <v>54</v>
      </c>
      <c r="F193" s="699">
        <f t="shared" si="107"/>
        <v>0.3</v>
      </c>
      <c r="G193" s="673">
        <f t="shared" si="108"/>
        <v>0.3</v>
      </c>
      <c r="H193" s="709">
        <v>190.76</v>
      </c>
      <c r="I193" s="710">
        <v>79.651040199999997</v>
      </c>
      <c r="J193" s="655">
        <f t="shared" si="109"/>
        <v>79.651040199999997</v>
      </c>
      <c r="K193" s="655">
        <f t="shared" si="110"/>
        <v>39.825520099999999</v>
      </c>
      <c r="L193" s="655">
        <f t="shared" si="111"/>
        <v>0.64045183696587837</v>
      </c>
      <c r="M193" s="655">
        <f t="shared" si="112"/>
        <v>122.17259241961095</v>
      </c>
      <c r="N193" s="655">
        <f t="shared" si="113"/>
        <v>244.3451848392219</v>
      </c>
      <c r="O193" s="655">
        <f>+C179+D180+D181+D182+D183+D184+D185+D186+D187+D188+D189+D190+D191+D192+(D193/2)</f>
        <v>0</v>
      </c>
      <c r="P193" s="655">
        <f t="shared" si="114"/>
        <v>0</v>
      </c>
      <c r="Q193" s="655">
        <f t="shared" si="115"/>
        <v>0</v>
      </c>
      <c r="R193" s="702">
        <f t="shared" si="116"/>
        <v>146.5</v>
      </c>
      <c r="S193" s="655">
        <f t="shared" si="117"/>
        <v>146.5</v>
      </c>
      <c r="T193" s="656">
        <f t="shared" si="118"/>
        <v>146.5</v>
      </c>
      <c r="U193" s="560"/>
      <c r="V193" s="657">
        <f t="shared" si="119"/>
        <v>0</v>
      </c>
      <c r="W193" s="657"/>
      <c r="X193" s="657"/>
      <c r="Y193" s="657"/>
      <c r="Z193" s="657"/>
      <c r="AA193" s="657"/>
      <c r="AB193" s="673" t="str">
        <f t="shared" si="120"/>
        <v>pin in groundstacking hole</v>
      </c>
      <c r="AC193" s="703"/>
      <c r="AD193" s="703"/>
      <c r="AE193" s="703"/>
      <c r="AF193" s="657">
        <f t="shared" si="75"/>
        <v>0</v>
      </c>
      <c r="AG193" s="612">
        <f>SUM(D180:D193)+$C$179</f>
        <v>0</v>
      </c>
      <c r="AH193" s="612"/>
      <c r="AI193" s="704">
        <f t="shared" si="121"/>
        <v>69.344714800000006</v>
      </c>
      <c r="AJ193" s="674">
        <f t="shared" si="122"/>
        <v>0.93571960494171247</v>
      </c>
      <c r="AK193" s="705">
        <f t="shared" si="123"/>
        <v>180.0511663828843</v>
      </c>
      <c r="AL193" s="704">
        <f t="shared" si="124"/>
        <v>50.174479900000001</v>
      </c>
      <c r="AM193" s="675">
        <f t="shared" si="125"/>
        <v>0.76799833627881664</v>
      </c>
      <c r="AN193" s="705">
        <f t="shared" si="126"/>
        <v>146.50336262854705</v>
      </c>
      <c r="AO193" s="711"/>
      <c r="AP193" s="705">
        <f t="shared" si="127"/>
        <v>-331.5</v>
      </c>
      <c r="AQ193" s="678"/>
      <c r="AR193" s="678">
        <f t="shared" si="128"/>
        <v>326.55452901143133</v>
      </c>
      <c r="AS193" s="667">
        <f t="shared" si="129"/>
        <v>-146.50336262854705</v>
      </c>
      <c r="AT193" s="667"/>
      <c r="AU193" s="667">
        <f t="shared" si="130"/>
        <v>146.50336262854705</v>
      </c>
      <c r="AV193" s="669">
        <f t="shared" si="131"/>
        <v>-182.77793248378663</v>
      </c>
      <c r="AW193" s="669">
        <f t="shared" si="132"/>
        <v>-148.72206751621337</v>
      </c>
      <c r="AX193" s="712">
        <f t="shared" si="133"/>
        <v>-63.464991874929879</v>
      </c>
      <c r="AY193" s="712">
        <f t="shared" si="134"/>
        <v>-67.239517087199047</v>
      </c>
      <c r="AZ193" s="679">
        <f t="shared" si="135"/>
        <v>63.464991874929879</v>
      </c>
      <c r="BA193" s="679">
        <f t="shared" si="136"/>
        <v>67.239517087199047</v>
      </c>
      <c r="BB193" s="560">
        <f t="shared" si="137"/>
        <v>0.3</v>
      </c>
      <c r="BC193" s="560"/>
      <c r="BD193" s="560"/>
      <c r="BE193" s="560"/>
      <c r="BN193" s="81"/>
      <c r="BP193" s="59"/>
      <c r="BR193" s="236"/>
      <c r="BS193" s="236"/>
      <c r="BT193" s="236"/>
      <c r="BU193" s="236"/>
      <c r="BV193" s="236"/>
      <c r="BW193" s="236"/>
      <c r="CB193" s="236"/>
      <c r="CC193" s="236"/>
      <c r="CD193" s="236"/>
      <c r="CE193" s="236"/>
      <c r="CJ193" s="236"/>
      <c r="CK193" s="236"/>
      <c r="CL193" s="236"/>
      <c r="CM193" s="236"/>
      <c r="CN193" s="236"/>
      <c r="CO193" s="236"/>
      <c r="DF193" s="560"/>
      <c r="DG193" s="560"/>
      <c r="DH193" s="560"/>
      <c r="DI193" s="560"/>
      <c r="DJ193" s="560"/>
      <c r="DK193" s="560"/>
      <c r="DL193" s="560"/>
      <c r="DM193" s="560"/>
      <c r="DN193" s="560"/>
      <c r="DO193" s="560"/>
      <c r="DP193" s="560"/>
      <c r="DQ193" s="560"/>
      <c r="DR193" s="560"/>
      <c r="DS193" s="560"/>
      <c r="DT193" s="560"/>
      <c r="DU193" s="560"/>
      <c r="DV193" s="560"/>
      <c r="DW193" s="560"/>
      <c r="DX193" s="560"/>
      <c r="DY193" s="560"/>
      <c r="DZ193" s="560"/>
      <c r="EA193" s="560"/>
    </row>
    <row r="194" spans="1:131" customFormat="1" ht="18" customHeight="1" thickBot="1" x14ac:dyDescent="0.25">
      <c r="A194" s="560"/>
      <c r="B194" s="708">
        <v>16</v>
      </c>
      <c r="C194" s="652"/>
      <c r="D194" s="32">
        <v>0</v>
      </c>
      <c r="E194" s="672" t="s">
        <v>54</v>
      </c>
      <c r="F194" s="699">
        <f t="shared" si="107"/>
        <v>0.3</v>
      </c>
      <c r="G194" s="673">
        <f t="shared" si="108"/>
        <v>0.3</v>
      </c>
      <c r="H194" s="709">
        <v>190.76</v>
      </c>
      <c r="I194" s="710">
        <v>79.651040199999997</v>
      </c>
      <c r="J194" s="655">
        <f t="shared" si="109"/>
        <v>79.651040199999997</v>
      </c>
      <c r="K194" s="655">
        <f t="shared" si="110"/>
        <v>39.825520099999999</v>
      </c>
      <c r="L194" s="655">
        <f t="shared" si="111"/>
        <v>0.64045183696587837</v>
      </c>
      <c r="M194" s="655">
        <f t="shared" si="112"/>
        <v>122.17259241961095</v>
      </c>
      <c r="N194" s="655">
        <f t="shared" si="113"/>
        <v>244.3451848392219</v>
      </c>
      <c r="O194" s="655">
        <f>+C179+D180+D181+D182+D183+D184+D185+D186+D187+D188+D189+D190+D191+D192+D193+(D194/2)</f>
        <v>0</v>
      </c>
      <c r="P194" s="655">
        <f t="shared" si="114"/>
        <v>0</v>
      </c>
      <c r="Q194" s="655">
        <f t="shared" si="115"/>
        <v>0</v>
      </c>
      <c r="R194" s="702">
        <f t="shared" si="116"/>
        <v>146.5</v>
      </c>
      <c r="S194" s="655">
        <f t="shared" si="117"/>
        <v>146.5</v>
      </c>
      <c r="T194" s="656">
        <f t="shared" si="118"/>
        <v>146.5</v>
      </c>
      <c r="U194" s="560"/>
      <c r="V194" s="657">
        <f t="shared" si="119"/>
        <v>0</v>
      </c>
      <c r="W194" s="657"/>
      <c r="X194" s="657"/>
      <c r="Y194" s="657"/>
      <c r="Z194" s="657"/>
      <c r="AA194" s="657"/>
      <c r="AB194" s="673" t="str">
        <f t="shared" si="120"/>
        <v>pin in groundstacking hole</v>
      </c>
      <c r="AC194" s="703"/>
      <c r="AD194" s="703"/>
      <c r="AE194" s="703"/>
      <c r="AF194" s="657">
        <f t="shared" si="75"/>
        <v>0</v>
      </c>
      <c r="AG194" s="612">
        <f>SUM(D180:D194)+$C$179</f>
        <v>0</v>
      </c>
      <c r="AH194" s="612"/>
      <c r="AI194" s="704">
        <f t="shared" si="121"/>
        <v>69.344714800000006</v>
      </c>
      <c r="AJ194" s="674">
        <f t="shared" si="122"/>
        <v>0.93571960494171247</v>
      </c>
      <c r="AK194" s="705">
        <f t="shared" si="123"/>
        <v>180.0511663828843</v>
      </c>
      <c r="AL194" s="704">
        <f t="shared" si="124"/>
        <v>50.174479900000001</v>
      </c>
      <c r="AM194" s="675">
        <f t="shared" si="125"/>
        <v>0.76799833627881664</v>
      </c>
      <c r="AN194" s="705">
        <f t="shared" si="126"/>
        <v>146.50336262854705</v>
      </c>
      <c r="AO194" s="711"/>
      <c r="AP194" s="705">
        <f t="shared" si="127"/>
        <v>-357</v>
      </c>
      <c r="AQ194" s="678"/>
      <c r="AR194" s="678">
        <f t="shared" si="128"/>
        <v>326.55452901143133</v>
      </c>
      <c r="AS194" s="667">
        <f t="shared" si="129"/>
        <v>-146.50336262854705</v>
      </c>
      <c r="AT194" s="667"/>
      <c r="AU194" s="667">
        <f t="shared" si="130"/>
        <v>146.50336262854705</v>
      </c>
      <c r="AV194" s="669">
        <f t="shared" si="131"/>
        <v>-196.83777344407792</v>
      </c>
      <c r="AW194" s="669">
        <f t="shared" si="132"/>
        <v>-160.16222655592208</v>
      </c>
      <c r="AX194" s="712">
        <f t="shared" si="133"/>
        <v>-58.93177816957774</v>
      </c>
      <c r="AY194" s="712">
        <f t="shared" si="134"/>
        <v>-62.436694438113413</v>
      </c>
      <c r="AZ194" s="679">
        <f t="shared" si="135"/>
        <v>58.93177816957774</v>
      </c>
      <c r="BA194" s="679">
        <f t="shared" si="136"/>
        <v>62.436694438113413</v>
      </c>
      <c r="BB194" s="560">
        <f t="shared" si="137"/>
        <v>0.3</v>
      </c>
      <c r="BC194" s="560"/>
      <c r="BD194" s="560"/>
      <c r="BE194" s="560"/>
      <c r="BN194" s="81"/>
      <c r="BP194" s="59"/>
      <c r="BR194" s="236"/>
      <c r="BS194" s="236"/>
      <c r="BT194" s="236"/>
      <c r="BU194" s="236"/>
      <c r="BV194" s="236"/>
      <c r="BW194" s="236"/>
      <c r="CB194" s="236"/>
      <c r="CC194" s="236"/>
      <c r="CD194" s="236"/>
      <c r="CE194" s="236"/>
      <c r="CJ194" s="236"/>
      <c r="CK194" s="236"/>
      <c r="CL194" s="236"/>
      <c r="CM194" s="236"/>
      <c r="CN194" s="236"/>
      <c r="CO194" s="236"/>
      <c r="DF194" s="560"/>
      <c r="DG194" s="560"/>
      <c r="DH194" s="560"/>
      <c r="DI194" s="560"/>
      <c r="DJ194" s="560"/>
      <c r="DK194" s="560"/>
      <c r="DL194" s="560"/>
      <c r="DM194" s="560"/>
      <c r="DN194" s="560"/>
      <c r="DO194" s="560"/>
      <c r="DP194" s="560"/>
      <c r="DQ194" s="560"/>
      <c r="DR194" s="560"/>
      <c r="DS194" s="560"/>
      <c r="DT194" s="560"/>
      <c r="DU194" s="560"/>
      <c r="DV194" s="560"/>
      <c r="DW194" s="560"/>
      <c r="DX194" s="560"/>
      <c r="DY194" s="560"/>
      <c r="DZ194" s="560"/>
      <c r="EA194" s="560"/>
    </row>
    <row r="195" spans="1:131" customFormat="1" ht="18" customHeight="1" thickBot="1" x14ac:dyDescent="0.25">
      <c r="A195" s="560"/>
      <c r="B195" s="708">
        <v>17</v>
      </c>
      <c r="C195" s="652"/>
      <c r="D195" s="32">
        <v>0</v>
      </c>
      <c r="E195" s="672" t="s">
        <v>54</v>
      </c>
      <c r="F195" s="699">
        <f t="shared" si="107"/>
        <v>0.3</v>
      </c>
      <c r="G195" s="673">
        <f t="shared" si="108"/>
        <v>0.3</v>
      </c>
      <c r="H195" s="709">
        <v>190.76</v>
      </c>
      <c r="I195" s="710">
        <v>79.651040199999997</v>
      </c>
      <c r="J195" s="655">
        <f t="shared" si="109"/>
        <v>79.651040199999997</v>
      </c>
      <c r="K195" s="655">
        <f t="shared" si="110"/>
        <v>39.825520099999999</v>
      </c>
      <c r="L195" s="655">
        <f t="shared" si="111"/>
        <v>0.64045183696587837</v>
      </c>
      <c r="M195" s="655">
        <f t="shared" si="112"/>
        <v>122.17259241961095</v>
      </c>
      <c r="N195" s="655">
        <f t="shared" si="113"/>
        <v>244.3451848392219</v>
      </c>
      <c r="O195" s="655">
        <f>+C179+D180+D181+D182+D183+D184+D185+D186+D187+D188+D189+D190+D191+D192+D193+D194+(D195/2)</f>
        <v>0</v>
      </c>
      <c r="P195" s="655">
        <f t="shared" si="114"/>
        <v>0</v>
      </c>
      <c r="Q195" s="655">
        <f t="shared" si="115"/>
        <v>0</v>
      </c>
      <c r="R195" s="702">
        <f t="shared" si="116"/>
        <v>146.5</v>
      </c>
      <c r="S195" s="655">
        <f t="shared" si="117"/>
        <v>146.5</v>
      </c>
      <c r="T195" s="656">
        <f t="shared" si="118"/>
        <v>146.5</v>
      </c>
      <c r="U195" s="560"/>
      <c r="V195" s="657">
        <f t="shared" si="119"/>
        <v>0</v>
      </c>
      <c r="W195" s="657"/>
      <c r="X195" s="657"/>
      <c r="Y195" s="657"/>
      <c r="Z195" s="657"/>
      <c r="AA195" s="657"/>
      <c r="AB195" s="673" t="str">
        <f t="shared" si="120"/>
        <v>pin in groundstacking hole</v>
      </c>
      <c r="AC195" s="703"/>
      <c r="AD195" s="703"/>
      <c r="AE195" s="703"/>
      <c r="AF195" s="657">
        <f t="shared" si="75"/>
        <v>0</v>
      </c>
      <c r="AG195" s="612">
        <f>SUM(D180:D195)+$C$179</f>
        <v>0</v>
      </c>
      <c r="AH195" s="612"/>
      <c r="AI195" s="704">
        <f t="shared" si="121"/>
        <v>69.344714800000006</v>
      </c>
      <c r="AJ195" s="674">
        <f t="shared" si="122"/>
        <v>0.93571960494171247</v>
      </c>
      <c r="AK195" s="705">
        <f t="shared" si="123"/>
        <v>180.0511663828843</v>
      </c>
      <c r="AL195" s="704">
        <f t="shared" si="124"/>
        <v>50.174479900000001</v>
      </c>
      <c r="AM195" s="675">
        <f t="shared" si="125"/>
        <v>0.76799833627881664</v>
      </c>
      <c r="AN195" s="705">
        <f t="shared" si="126"/>
        <v>146.50336262854705</v>
      </c>
      <c r="AO195" s="711"/>
      <c r="AP195" s="705">
        <f t="shared" si="127"/>
        <v>-382.5</v>
      </c>
      <c r="AQ195" s="678"/>
      <c r="AR195" s="678">
        <f t="shared" si="128"/>
        <v>326.55452901143133</v>
      </c>
      <c r="AS195" s="667">
        <f t="shared" si="129"/>
        <v>-146.50336262854705</v>
      </c>
      <c r="AT195" s="667"/>
      <c r="AU195" s="667">
        <f t="shared" si="130"/>
        <v>146.50336262854705</v>
      </c>
      <c r="AV195" s="669">
        <f t="shared" si="131"/>
        <v>-210.89761440436919</v>
      </c>
      <c r="AW195" s="669">
        <f t="shared" si="132"/>
        <v>-171.60238559563081</v>
      </c>
      <c r="AX195" s="712">
        <f t="shared" si="133"/>
        <v>-55.002992958272557</v>
      </c>
      <c r="AY195" s="712">
        <f t="shared" si="134"/>
        <v>-58.27424814223918</v>
      </c>
      <c r="AZ195" s="679">
        <f t="shared" si="135"/>
        <v>55.002992958272557</v>
      </c>
      <c r="BA195" s="679">
        <f t="shared" si="136"/>
        <v>58.27424814223918</v>
      </c>
      <c r="BB195" s="560">
        <f t="shared" si="137"/>
        <v>0.3</v>
      </c>
      <c r="BC195" s="560"/>
      <c r="BD195" s="560"/>
      <c r="BE195" s="560"/>
      <c r="BN195" s="81"/>
      <c r="BP195" s="59"/>
      <c r="BR195" s="236"/>
      <c r="BS195" s="236"/>
      <c r="BT195" s="236"/>
      <c r="BU195" s="236"/>
      <c r="BV195" s="236"/>
      <c r="BW195" s="236"/>
      <c r="CB195" s="236"/>
      <c r="CC195" s="236"/>
      <c r="CD195" s="236"/>
      <c r="CE195" s="236"/>
      <c r="CJ195" s="236"/>
      <c r="CK195" s="236"/>
      <c r="CL195" s="236"/>
      <c r="CM195" s="236"/>
      <c r="CN195" s="236"/>
      <c r="CO195" s="236"/>
      <c r="DF195" s="560"/>
      <c r="DG195" s="560"/>
      <c r="DH195" s="560"/>
      <c r="DI195" s="560"/>
      <c r="DJ195" s="560"/>
      <c r="DK195" s="560"/>
      <c r="DL195" s="560"/>
      <c r="DM195" s="560"/>
      <c r="DN195" s="560"/>
      <c r="DO195" s="560"/>
      <c r="DP195" s="560"/>
      <c r="DQ195" s="560"/>
      <c r="DR195" s="560"/>
      <c r="DS195" s="560"/>
      <c r="DT195" s="560"/>
      <c r="DU195" s="560"/>
      <c r="DV195" s="560"/>
      <c r="DW195" s="560"/>
      <c r="DX195" s="560"/>
      <c r="DY195" s="560"/>
      <c r="DZ195" s="560"/>
      <c r="EA195" s="560"/>
    </row>
    <row r="196" spans="1:131" customFormat="1" ht="18" customHeight="1" thickBot="1" x14ac:dyDescent="0.25">
      <c r="A196" s="560"/>
      <c r="B196" s="708">
        <v>18</v>
      </c>
      <c r="C196" s="652"/>
      <c r="D196" s="32">
        <v>0</v>
      </c>
      <c r="E196" s="672" t="s">
        <v>54</v>
      </c>
      <c r="F196" s="699">
        <f t="shared" si="107"/>
        <v>0.3</v>
      </c>
      <c r="G196" s="673">
        <f t="shared" si="108"/>
        <v>0.3</v>
      </c>
      <c r="H196" s="709">
        <v>190.76</v>
      </c>
      <c r="I196" s="710">
        <v>79.651040199999997</v>
      </c>
      <c r="J196" s="655">
        <f t="shared" si="109"/>
        <v>79.651040199999997</v>
      </c>
      <c r="K196" s="655">
        <f t="shared" si="110"/>
        <v>39.825520099999999</v>
      </c>
      <c r="L196" s="655">
        <f t="shared" si="111"/>
        <v>0.64045183696587837</v>
      </c>
      <c r="M196" s="655">
        <f t="shared" si="112"/>
        <v>122.17259241961095</v>
      </c>
      <c r="N196" s="655">
        <f t="shared" si="113"/>
        <v>244.3451848392219</v>
      </c>
      <c r="O196" s="655">
        <f>+C179+D180+D181+D182+D183+D184+D185+D186+D187+D188+D189+D190+D191+D192+D193+D194+D195+(D196/2)</f>
        <v>0</v>
      </c>
      <c r="P196" s="655">
        <f t="shared" si="114"/>
        <v>0</v>
      </c>
      <c r="Q196" s="655">
        <f t="shared" si="115"/>
        <v>0</v>
      </c>
      <c r="R196" s="702">
        <f t="shared" si="116"/>
        <v>146.5</v>
      </c>
      <c r="S196" s="655">
        <f t="shared" si="117"/>
        <v>146.5</v>
      </c>
      <c r="T196" s="656">
        <f t="shared" si="118"/>
        <v>146.5</v>
      </c>
      <c r="U196" s="560"/>
      <c r="V196" s="657">
        <f t="shared" si="119"/>
        <v>0</v>
      </c>
      <c r="W196" s="657"/>
      <c r="X196" s="657"/>
      <c r="Y196" s="657"/>
      <c r="Z196" s="657"/>
      <c r="AA196" s="657"/>
      <c r="AB196" s="673" t="str">
        <f t="shared" si="120"/>
        <v>pin in groundstacking hole</v>
      </c>
      <c r="AC196" s="703"/>
      <c r="AD196" s="703"/>
      <c r="AE196" s="703"/>
      <c r="AF196" s="657">
        <f t="shared" si="75"/>
        <v>0</v>
      </c>
      <c r="AG196" s="612">
        <f>SUM(D180:D196)+$C$179</f>
        <v>0</v>
      </c>
      <c r="AH196" s="612"/>
      <c r="AI196" s="704">
        <f t="shared" si="121"/>
        <v>69.344714800000006</v>
      </c>
      <c r="AJ196" s="674">
        <f t="shared" si="122"/>
        <v>0.93571960494171247</v>
      </c>
      <c r="AK196" s="705">
        <f t="shared" si="123"/>
        <v>180.0511663828843</v>
      </c>
      <c r="AL196" s="704">
        <f t="shared" si="124"/>
        <v>50.174479900000001</v>
      </c>
      <c r="AM196" s="675">
        <f t="shared" si="125"/>
        <v>0.76799833627881664</v>
      </c>
      <c r="AN196" s="705">
        <f t="shared" si="126"/>
        <v>146.50336262854705</v>
      </c>
      <c r="AO196" s="711"/>
      <c r="AP196" s="705">
        <f t="shared" si="127"/>
        <v>-408</v>
      </c>
      <c r="AQ196" s="678"/>
      <c r="AR196" s="678">
        <f t="shared" si="128"/>
        <v>326.55452901143133</v>
      </c>
      <c r="AS196" s="667">
        <f t="shared" si="129"/>
        <v>-146.50336262854705</v>
      </c>
      <c r="AT196" s="667"/>
      <c r="AU196" s="667">
        <f t="shared" si="130"/>
        <v>146.50336262854705</v>
      </c>
      <c r="AV196" s="669">
        <f t="shared" si="131"/>
        <v>-224.95745536466046</v>
      </c>
      <c r="AW196" s="669">
        <f t="shared" si="132"/>
        <v>-183.04254463533954</v>
      </c>
      <c r="AX196" s="712">
        <f t="shared" si="133"/>
        <v>-51.565305898380529</v>
      </c>
      <c r="AY196" s="712">
        <f t="shared" si="134"/>
        <v>-54.632107633349229</v>
      </c>
      <c r="AZ196" s="679">
        <f t="shared" si="135"/>
        <v>51.565305898380529</v>
      </c>
      <c r="BA196" s="679">
        <f t="shared" si="136"/>
        <v>54.632107633349229</v>
      </c>
      <c r="BB196" s="560">
        <f t="shared" si="137"/>
        <v>0.3</v>
      </c>
      <c r="BC196" s="560"/>
      <c r="BD196" s="560"/>
      <c r="BE196" s="560"/>
      <c r="BN196" s="81"/>
      <c r="BP196" s="59"/>
      <c r="BR196" s="236"/>
      <c r="BS196" s="236"/>
      <c r="BT196" s="236"/>
      <c r="BU196" s="236"/>
      <c r="BV196" s="236"/>
      <c r="BW196" s="236"/>
      <c r="CB196" s="236"/>
      <c r="CC196" s="236"/>
      <c r="CD196" s="236"/>
      <c r="CE196" s="236"/>
      <c r="CJ196" s="236"/>
      <c r="CK196" s="236"/>
      <c r="CL196" s="236"/>
      <c r="CM196" s="236"/>
      <c r="CN196" s="236"/>
      <c r="CO196" s="236"/>
      <c r="DF196" s="560"/>
      <c r="DG196" s="560"/>
      <c r="DH196" s="560"/>
      <c r="DI196" s="560"/>
      <c r="DJ196" s="560"/>
      <c r="DK196" s="560"/>
      <c r="DL196" s="560"/>
      <c r="DM196" s="560"/>
      <c r="DN196" s="560"/>
      <c r="DO196" s="560"/>
      <c r="DP196" s="560"/>
      <c r="DQ196" s="560"/>
      <c r="DR196" s="560"/>
      <c r="DS196" s="560"/>
      <c r="DT196" s="560"/>
      <c r="DU196" s="560"/>
      <c r="DV196" s="560"/>
      <c r="DW196" s="560"/>
      <c r="DX196" s="560"/>
      <c r="DY196" s="560"/>
      <c r="DZ196" s="560"/>
      <c r="EA196" s="560"/>
    </row>
    <row r="197" spans="1:131" customFormat="1" ht="18" customHeight="1" thickBot="1" x14ac:dyDescent="0.25">
      <c r="A197" s="560"/>
      <c r="B197" s="708">
        <v>19</v>
      </c>
      <c r="C197" s="652"/>
      <c r="D197" s="32">
        <v>0</v>
      </c>
      <c r="E197" s="672" t="s">
        <v>54</v>
      </c>
      <c r="F197" s="699">
        <f t="shared" si="107"/>
        <v>0.3</v>
      </c>
      <c r="G197" s="673">
        <f t="shared" si="108"/>
        <v>0.3</v>
      </c>
      <c r="H197" s="709">
        <v>190.76</v>
      </c>
      <c r="I197" s="710">
        <v>79.651040199999997</v>
      </c>
      <c r="J197" s="655">
        <f t="shared" si="109"/>
        <v>79.651040199999997</v>
      </c>
      <c r="K197" s="655">
        <f t="shared" si="110"/>
        <v>39.825520099999999</v>
      </c>
      <c r="L197" s="655">
        <f t="shared" si="111"/>
        <v>0.64045183696587837</v>
      </c>
      <c r="M197" s="655">
        <f t="shared" si="112"/>
        <v>122.17259241961095</v>
      </c>
      <c r="N197" s="655">
        <f t="shared" si="113"/>
        <v>244.3451848392219</v>
      </c>
      <c r="O197" s="655">
        <f>+C179+D180+D181+D182+D183+D184+D185+D186+D187+D188+D189+D190+D191+D192+D193+D194+D195+D196+(D197/2)</f>
        <v>0</v>
      </c>
      <c r="P197" s="655">
        <f t="shared" si="114"/>
        <v>0</v>
      </c>
      <c r="Q197" s="655">
        <f t="shared" si="115"/>
        <v>0</v>
      </c>
      <c r="R197" s="702">
        <f t="shared" si="116"/>
        <v>146.5</v>
      </c>
      <c r="S197" s="655">
        <f t="shared" si="117"/>
        <v>146.5</v>
      </c>
      <c r="T197" s="656">
        <f t="shared" si="118"/>
        <v>146.5</v>
      </c>
      <c r="U197" s="560"/>
      <c r="V197" s="657">
        <f t="shared" si="119"/>
        <v>0</v>
      </c>
      <c r="W197" s="657"/>
      <c r="X197" s="657"/>
      <c r="Y197" s="657"/>
      <c r="Z197" s="657"/>
      <c r="AA197" s="657"/>
      <c r="AB197" s="673" t="str">
        <f t="shared" si="120"/>
        <v>pin in groundstacking hole</v>
      </c>
      <c r="AC197" s="703"/>
      <c r="AD197" s="703"/>
      <c r="AE197" s="703"/>
      <c r="AF197" s="657">
        <f t="shared" si="75"/>
        <v>0</v>
      </c>
      <c r="AG197" s="612">
        <f>SUM(D180:D197)+$C$179</f>
        <v>0</v>
      </c>
      <c r="AH197" s="612"/>
      <c r="AI197" s="704">
        <f t="shared" si="121"/>
        <v>69.344714800000006</v>
      </c>
      <c r="AJ197" s="674">
        <f t="shared" si="122"/>
        <v>0.93571960494171247</v>
      </c>
      <c r="AK197" s="705">
        <f t="shared" si="123"/>
        <v>180.0511663828843</v>
      </c>
      <c r="AL197" s="704">
        <f t="shared" si="124"/>
        <v>50.174479900000001</v>
      </c>
      <c r="AM197" s="675">
        <f t="shared" si="125"/>
        <v>0.76799833627881664</v>
      </c>
      <c r="AN197" s="705">
        <f t="shared" si="126"/>
        <v>146.50336262854705</v>
      </c>
      <c r="AO197" s="711"/>
      <c r="AP197" s="705">
        <f t="shared" si="127"/>
        <v>-433.5</v>
      </c>
      <c r="AQ197" s="678"/>
      <c r="AR197" s="678">
        <f t="shared" si="128"/>
        <v>326.55452901143133</v>
      </c>
      <c r="AS197" s="667">
        <f t="shared" si="129"/>
        <v>-146.50336262854705</v>
      </c>
      <c r="AT197" s="667"/>
      <c r="AU197" s="667">
        <f t="shared" si="130"/>
        <v>146.50336262854705</v>
      </c>
      <c r="AV197" s="669">
        <f t="shared" si="131"/>
        <v>-239.01729632495176</v>
      </c>
      <c r="AW197" s="669">
        <f t="shared" si="132"/>
        <v>-194.48270367504824</v>
      </c>
      <c r="AX197" s="712">
        <f t="shared" si="133"/>
        <v>-48.532052610240491</v>
      </c>
      <c r="AY197" s="712">
        <f t="shared" si="134"/>
        <v>-51.418454243152219</v>
      </c>
      <c r="AZ197" s="679">
        <f t="shared" si="135"/>
        <v>48.532052610240491</v>
      </c>
      <c r="BA197" s="679">
        <f t="shared" si="136"/>
        <v>51.418454243152219</v>
      </c>
      <c r="BB197" s="560">
        <f t="shared" si="137"/>
        <v>0.3</v>
      </c>
      <c r="BC197" s="560"/>
      <c r="BD197" s="560"/>
      <c r="BE197" s="560"/>
      <c r="BN197" s="81"/>
      <c r="BP197" s="59"/>
      <c r="BR197" s="236"/>
      <c r="BS197" s="236"/>
      <c r="BT197" s="236"/>
      <c r="BU197" s="236"/>
      <c r="BV197" s="236"/>
      <c r="BW197" s="236"/>
      <c r="CB197" s="236"/>
      <c r="CC197" s="236"/>
      <c r="CD197" s="236"/>
      <c r="CE197" s="236"/>
      <c r="CJ197" s="236"/>
      <c r="CK197" s="236"/>
      <c r="CL197" s="236"/>
      <c r="CM197" s="236"/>
      <c r="CN197" s="236"/>
      <c r="CO197" s="236"/>
      <c r="DF197" s="560"/>
      <c r="DG197" s="560"/>
      <c r="DH197" s="560"/>
      <c r="DI197" s="560"/>
      <c r="DJ197" s="560"/>
      <c r="DK197" s="560"/>
      <c r="DL197" s="560"/>
      <c r="DM197" s="560"/>
      <c r="DN197" s="560"/>
      <c r="DO197" s="560"/>
      <c r="DP197" s="560"/>
      <c r="DQ197" s="560"/>
      <c r="DR197" s="560"/>
      <c r="DS197" s="560"/>
      <c r="DT197" s="560"/>
      <c r="DU197" s="560"/>
      <c r="DV197" s="560"/>
      <c r="DW197" s="560"/>
      <c r="DX197" s="560"/>
      <c r="DY197" s="560"/>
      <c r="DZ197" s="560"/>
      <c r="EA197" s="560"/>
    </row>
    <row r="198" spans="1:131" customFormat="1" ht="18" customHeight="1" thickBot="1" x14ac:dyDescent="0.25">
      <c r="A198" s="560"/>
      <c r="B198" s="708">
        <v>20</v>
      </c>
      <c r="C198" s="652"/>
      <c r="D198" s="32">
        <v>0</v>
      </c>
      <c r="E198" s="672" t="s">
        <v>54</v>
      </c>
      <c r="F198" s="699">
        <f t="shared" si="107"/>
        <v>0.3</v>
      </c>
      <c r="G198" s="673">
        <f t="shared" si="108"/>
        <v>0.3</v>
      </c>
      <c r="H198" s="709">
        <v>190.76</v>
      </c>
      <c r="I198" s="710">
        <v>79.651040199999997</v>
      </c>
      <c r="J198" s="655">
        <f t="shared" si="109"/>
        <v>79.651040199999997</v>
      </c>
      <c r="K198" s="655">
        <f t="shared" si="110"/>
        <v>39.825520099999999</v>
      </c>
      <c r="L198" s="655">
        <f t="shared" si="111"/>
        <v>0.64045183696587837</v>
      </c>
      <c r="M198" s="655">
        <f t="shared" si="112"/>
        <v>122.17259241961095</v>
      </c>
      <c r="N198" s="655">
        <f t="shared" si="113"/>
        <v>244.3451848392219</v>
      </c>
      <c r="O198" s="655">
        <f>+C179+D180+D181+D182+D183+D184+D185+D186+D187+D188+D189+D190+D191+D192+D193+D194+D195+D196+D197+(D198/2)</f>
        <v>0</v>
      </c>
      <c r="P198" s="655">
        <f t="shared" si="114"/>
        <v>0</v>
      </c>
      <c r="Q198" s="655">
        <f t="shared" si="115"/>
        <v>0</v>
      </c>
      <c r="R198" s="702">
        <f t="shared" si="116"/>
        <v>146.5</v>
      </c>
      <c r="S198" s="655">
        <f t="shared" si="117"/>
        <v>146.5</v>
      </c>
      <c r="T198" s="656">
        <f t="shared" si="118"/>
        <v>146.5</v>
      </c>
      <c r="U198" s="560"/>
      <c r="V198" s="657">
        <f t="shared" si="119"/>
        <v>0</v>
      </c>
      <c r="W198" s="657"/>
      <c r="X198" s="657"/>
      <c r="Y198" s="657"/>
      <c r="Z198" s="657"/>
      <c r="AA198" s="657"/>
      <c r="AB198" s="673" t="str">
        <f t="shared" si="120"/>
        <v>pin in groundstacking hole</v>
      </c>
      <c r="AC198" s="703"/>
      <c r="AD198" s="703"/>
      <c r="AE198" s="703"/>
      <c r="AF198" s="657">
        <f t="shared" si="75"/>
        <v>0</v>
      </c>
      <c r="AG198" s="612">
        <f>SUM(D180:D198)+$C$179</f>
        <v>0</v>
      </c>
      <c r="AH198" s="612"/>
      <c r="AI198" s="704">
        <f t="shared" si="121"/>
        <v>69.344714800000006</v>
      </c>
      <c r="AJ198" s="674">
        <f t="shared" si="122"/>
        <v>0.93571960494171247</v>
      </c>
      <c r="AK198" s="705">
        <f t="shared" si="123"/>
        <v>180.0511663828843</v>
      </c>
      <c r="AL198" s="704">
        <f t="shared" si="124"/>
        <v>50.174479900000001</v>
      </c>
      <c r="AM198" s="675">
        <f t="shared" si="125"/>
        <v>0.76799833627881664</v>
      </c>
      <c r="AN198" s="705">
        <f t="shared" si="126"/>
        <v>146.50336262854705</v>
      </c>
      <c r="AO198" s="711"/>
      <c r="AP198" s="705">
        <f t="shared" si="127"/>
        <v>-459</v>
      </c>
      <c r="AQ198" s="678"/>
      <c r="AR198" s="678">
        <f t="shared" si="128"/>
        <v>326.55452901143133</v>
      </c>
      <c r="AS198" s="667">
        <f t="shared" si="129"/>
        <v>-146.50336262854705</v>
      </c>
      <c r="AT198" s="667"/>
      <c r="AU198" s="667">
        <f t="shared" si="130"/>
        <v>146.50336262854705</v>
      </c>
      <c r="AV198" s="669">
        <f t="shared" si="131"/>
        <v>-253.07713728524303</v>
      </c>
      <c r="AW198" s="669">
        <f t="shared" si="132"/>
        <v>-205.92286271475697</v>
      </c>
      <c r="AX198" s="712">
        <f t="shared" si="133"/>
        <v>-45.835827465227133</v>
      </c>
      <c r="AY198" s="712">
        <f t="shared" si="134"/>
        <v>-48.561873451865985</v>
      </c>
      <c r="AZ198" s="679">
        <f t="shared" si="135"/>
        <v>45.835827465227133</v>
      </c>
      <c r="BA198" s="679">
        <f t="shared" si="136"/>
        <v>48.561873451865985</v>
      </c>
      <c r="BB198" s="560">
        <f t="shared" si="137"/>
        <v>0.3</v>
      </c>
      <c r="BC198" s="560"/>
      <c r="BD198" s="560"/>
      <c r="BE198" s="560"/>
      <c r="BN198" s="81"/>
      <c r="BP198" s="59"/>
      <c r="BR198" s="236"/>
      <c r="BS198" s="236"/>
      <c r="BT198" s="236"/>
      <c r="BU198" s="236"/>
      <c r="BV198" s="236"/>
      <c r="BW198" s="236"/>
      <c r="CB198" s="236"/>
      <c r="CC198" s="236"/>
      <c r="CD198" s="236"/>
      <c r="CE198" s="236"/>
      <c r="CJ198" s="236"/>
      <c r="CK198" s="236"/>
      <c r="CL198" s="236"/>
      <c r="CM198" s="236"/>
      <c r="CN198" s="236"/>
      <c r="CO198" s="236"/>
      <c r="DF198" s="560"/>
      <c r="DG198" s="560"/>
      <c r="DH198" s="560"/>
      <c r="DI198" s="560"/>
      <c r="DJ198" s="560"/>
      <c r="DK198" s="560"/>
      <c r="DL198" s="560"/>
      <c r="DM198" s="560"/>
      <c r="DN198" s="560"/>
      <c r="DO198" s="560"/>
      <c r="DP198" s="560"/>
      <c r="DQ198" s="560"/>
      <c r="DR198" s="560"/>
      <c r="DS198" s="560"/>
      <c r="DT198" s="560"/>
      <c r="DU198" s="560"/>
      <c r="DV198" s="560"/>
      <c r="DW198" s="560"/>
      <c r="DX198" s="560"/>
      <c r="DY198" s="560"/>
      <c r="DZ198" s="560"/>
      <c r="EA198" s="560"/>
    </row>
    <row r="199" spans="1:131" customFormat="1" ht="18" customHeight="1" thickBot="1" x14ac:dyDescent="0.25">
      <c r="A199" s="560"/>
      <c r="B199" s="708">
        <v>21</v>
      </c>
      <c r="C199" s="652"/>
      <c r="D199" s="32">
        <v>0</v>
      </c>
      <c r="E199" s="672" t="s">
        <v>54</v>
      </c>
      <c r="F199" s="699">
        <f t="shared" si="107"/>
        <v>0.3</v>
      </c>
      <c r="G199" s="673">
        <f t="shared" si="108"/>
        <v>0.3</v>
      </c>
      <c r="H199" s="709">
        <v>190.76</v>
      </c>
      <c r="I199" s="710">
        <v>79.651040199999997</v>
      </c>
      <c r="J199" s="655">
        <f t="shared" si="109"/>
        <v>79.651040199999997</v>
      </c>
      <c r="K199" s="655">
        <f t="shared" si="110"/>
        <v>39.825520099999999</v>
      </c>
      <c r="L199" s="655">
        <f t="shared" si="111"/>
        <v>0.64045183696587837</v>
      </c>
      <c r="M199" s="655">
        <f t="shared" si="112"/>
        <v>122.17259241961095</v>
      </c>
      <c r="N199" s="655">
        <f t="shared" si="113"/>
        <v>244.3451848392219</v>
      </c>
      <c r="O199" s="655">
        <f>+C179+D180+D181+D182+D183+D184+D185+D186+D187+D188+D189+D190+D191+D192+D193+D194+D195+D196+D197+D198+(D199/2)</f>
        <v>0</v>
      </c>
      <c r="P199" s="655">
        <f t="shared" si="114"/>
        <v>0</v>
      </c>
      <c r="Q199" s="655">
        <f t="shared" si="115"/>
        <v>0</v>
      </c>
      <c r="R199" s="702">
        <f t="shared" si="116"/>
        <v>146.5</v>
      </c>
      <c r="S199" s="655">
        <f t="shared" si="117"/>
        <v>146.5</v>
      </c>
      <c r="T199" s="656">
        <f t="shared" si="118"/>
        <v>146.5</v>
      </c>
      <c r="U199" s="560"/>
      <c r="V199" s="657">
        <f t="shared" si="119"/>
        <v>0</v>
      </c>
      <c r="W199" s="657"/>
      <c r="X199" s="657"/>
      <c r="Y199" s="657"/>
      <c r="Z199" s="657"/>
      <c r="AA199" s="657"/>
      <c r="AB199" s="673" t="str">
        <f t="shared" si="120"/>
        <v>pin in groundstacking hole</v>
      </c>
      <c r="AC199" s="703"/>
      <c r="AD199" s="703"/>
      <c r="AE199" s="703"/>
      <c r="AF199" s="657">
        <f t="shared" si="75"/>
        <v>0</v>
      </c>
      <c r="AG199" s="612">
        <f>SUM(D180:D199)+$C$179</f>
        <v>0</v>
      </c>
      <c r="AH199" s="612"/>
      <c r="AI199" s="704">
        <f t="shared" si="121"/>
        <v>69.344714800000006</v>
      </c>
      <c r="AJ199" s="674">
        <f t="shared" si="122"/>
        <v>0.93571960494171247</v>
      </c>
      <c r="AK199" s="705">
        <f t="shared" si="123"/>
        <v>180.0511663828843</v>
      </c>
      <c r="AL199" s="704">
        <f t="shared" si="124"/>
        <v>50.174479900000001</v>
      </c>
      <c r="AM199" s="675">
        <f t="shared" si="125"/>
        <v>0.76799833627881664</v>
      </c>
      <c r="AN199" s="705">
        <f t="shared" si="126"/>
        <v>146.50336262854705</v>
      </c>
      <c r="AO199" s="711"/>
      <c r="AP199" s="705">
        <f t="shared" si="127"/>
        <v>-484.5</v>
      </c>
      <c r="AQ199" s="678"/>
      <c r="AR199" s="678">
        <f t="shared" si="128"/>
        <v>326.55452901143133</v>
      </c>
      <c r="AS199" s="667">
        <f t="shared" si="129"/>
        <v>-146.50336262854705</v>
      </c>
      <c r="AT199" s="667"/>
      <c r="AU199" s="667">
        <f t="shared" si="130"/>
        <v>146.50336262854705</v>
      </c>
      <c r="AV199" s="669">
        <f t="shared" si="131"/>
        <v>-267.13697824553429</v>
      </c>
      <c r="AW199" s="669">
        <f t="shared" si="132"/>
        <v>-217.36302175446571</v>
      </c>
      <c r="AX199" s="712">
        <f t="shared" si="133"/>
        <v>-43.423415493373078</v>
      </c>
      <c r="AY199" s="712">
        <f t="shared" si="134"/>
        <v>-46.005985375451978</v>
      </c>
      <c r="AZ199" s="679">
        <f t="shared" si="135"/>
        <v>43.423415493373078</v>
      </c>
      <c r="BA199" s="679">
        <f t="shared" si="136"/>
        <v>46.005985375451978</v>
      </c>
      <c r="BB199" s="560">
        <f t="shared" si="137"/>
        <v>0.3</v>
      </c>
      <c r="BC199" s="560"/>
      <c r="BD199" s="560"/>
      <c r="BE199" s="560"/>
      <c r="BN199" s="81"/>
      <c r="BP199" s="59"/>
      <c r="BR199" s="236"/>
      <c r="BS199" s="236"/>
      <c r="BT199" s="236"/>
      <c r="BU199" s="236"/>
      <c r="BV199" s="236"/>
      <c r="BW199" s="236"/>
      <c r="CB199" s="236"/>
      <c r="CC199" s="236"/>
      <c r="CD199" s="236"/>
      <c r="CE199" s="236"/>
      <c r="CJ199" s="236"/>
      <c r="CK199" s="236"/>
      <c r="CL199" s="236"/>
      <c r="CM199" s="236"/>
      <c r="CN199" s="236"/>
      <c r="CO199" s="236"/>
      <c r="DF199" s="560"/>
      <c r="DG199" s="560"/>
      <c r="DH199" s="560"/>
      <c r="DI199" s="560"/>
      <c r="DJ199" s="560"/>
      <c r="DK199" s="560"/>
      <c r="DL199" s="560"/>
      <c r="DM199" s="560"/>
      <c r="DN199" s="560"/>
      <c r="DO199" s="560"/>
      <c r="DP199" s="560"/>
      <c r="DQ199" s="560"/>
      <c r="DR199" s="560"/>
      <c r="DS199" s="560"/>
      <c r="DT199" s="560"/>
      <c r="DU199" s="560"/>
      <c r="DV199" s="560"/>
      <c r="DW199" s="560"/>
      <c r="DX199" s="560"/>
      <c r="DY199" s="560"/>
      <c r="DZ199" s="560"/>
      <c r="EA199" s="560"/>
    </row>
    <row r="200" spans="1:131" customFormat="1" ht="18" customHeight="1" thickBot="1" x14ac:dyDescent="0.25">
      <c r="A200" s="560"/>
      <c r="B200" s="708">
        <v>22</v>
      </c>
      <c r="C200" s="652"/>
      <c r="D200" s="32">
        <v>0</v>
      </c>
      <c r="E200" s="672" t="s">
        <v>54</v>
      </c>
      <c r="F200" s="699">
        <f t="shared" si="107"/>
        <v>0.3</v>
      </c>
      <c r="G200" s="673">
        <f t="shared" si="108"/>
        <v>0.3</v>
      </c>
      <c r="H200" s="709">
        <v>190.76</v>
      </c>
      <c r="I200" s="710">
        <v>79.651040199999997</v>
      </c>
      <c r="J200" s="655">
        <f t="shared" si="109"/>
        <v>79.651040199999997</v>
      </c>
      <c r="K200" s="655">
        <f t="shared" si="110"/>
        <v>39.825520099999999</v>
      </c>
      <c r="L200" s="655">
        <f t="shared" si="111"/>
        <v>0.64045183696587837</v>
      </c>
      <c r="M200" s="655">
        <f t="shared" si="112"/>
        <v>122.17259241961095</v>
      </c>
      <c r="N200" s="655">
        <f t="shared" si="113"/>
        <v>244.3451848392219</v>
      </c>
      <c r="O200" s="655">
        <f>+C179+D180+D181+D182+D183+D184+D185+D186+D187+D188+D189+D190+D191+D192+D193+D194+D195+D196+D197+D198+D199+(D200/2)</f>
        <v>0</v>
      </c>
      <c r="P200" s="655">
        <f t="shared" si="114"/>
        <v>0</v>
      </c>
      <c r="Q200" s="655">
        <f t="shared" si="115"/>
        <v>0</v>
      </c>
      <c r="R200" s="702">
        <f t="shared" si="116"/>
        <v>146.5</v>
      </c>
      <c r="S200" s="655">
        <f t="shared" si="117"/>
        <v>146.5</v>
      </c>
      <c r="T200" s="656">
        <f t="shared" si="118"/>
        <v>146.5</v>
      </c>
      <c r="U200" s="560"/>
      <c r="V200" s="657">
        <f t="shared" si="119"/>
        <v>0</v>
      </c>
      <c r="W200" s="657"/>
      <c r="X200" s="657"/>
      <c r="Y200" s="657"/>
      <c r="Z200" s="657"/>
      <c r="AA200" s="657"/>
      <c r="AB200" s="673" t="str">
        <f t="shared" si="120"/>
        <v>pin in groundstacking hole</v>
      </c>
      <c r="AC200" s="703"/>
      <c r="AD200" s="703"/>
      <c r="AE200" s="703"/>
      <c r="AF200" s="657">
        <f t="shared" si="75"/>
        <v>0</v>
      </c>
      <c r="AG200" s="612">
        <f>SUM(D180:D200)+$C$179</f>
        <v>0</v>
      </c>
      <c r="AH200" s="612"/>
      <c r="AI200" s="704">
        <f t="shared" si="121"/>
        <v>69.344714800000006</v>
      </c>
      <c r="AJ200" s="674">
        <f t="shared" si="122"/>
        <v>0.93571960494171247</v>
      </c>
      <c r="AK200" s="705">
        <f t="shared" si="123"/>
        <v>180.0511663828843</v>
      </c>
      <c r="AL200" s="704">
        <f t="shared" si="124"/>
        <v>50.174479900000001</v>
      </c>
      <c r="AM200" s="675">
        <f t="shared" si="125"/>
        <v>0.76799833627881664</v>
      </c>
      <c r="AN200" s="705">
        <f t="shared" si="126"/>
        <v>146.50336262854705</v>
      </c>
      <c r="AO200" s="711"/>
      <c r="AP200" s="705">
        <f t="shared" si="127"/>
        <v>-510</v>
      </c>
      <c r="AQ200" s="678"/>
      <c r="AR200" s="678">
        <f t="shared" si="128"/>
        <v>326.55452901143133</v>
      </c>
      <c r="AS200" s="667">
        <f t="shared" si="129"/>
        <v>-146.50336262854705</v>
      </c>
      <c r="AT200" s="667"/>
      <c r="AU200" s="667">
        <f t="shared" si="130"/>
        <v>146.50336262854705</v>
      </c>
      <c r="AV200" s="669">
        <f t="shared" si="131"/>
        <v>-281.19681920582559</v>
      </c>
      <c r="AW200" s="669">
        <f t="shared" si="132"/>
        <v>-228.80318079417441</v>
      </c>
      <c r="AX200" s="712">
        <f t="shared" si="133"/>
        <v>-41.252244718704418</v>
      </c>
      <c r="AY200" s="712">
        <f t="shared" si="134"/>
        <v>-43.705686106679387</v>
      </c>
      <c r="AZ200" s="679">
        <f t="shared" si="135"/>
        <v>41.252244718704418</v>
      </c>
      <c r="BA200" s="679">
        <f t="shared" si="136"/>
        <v>43.705686106679387</v>
      </c>
      <c r="BB200" s="560">
        <f t="shared" si="137"/>
        <v>0.3</v>
      </c>
      <c r="BC200" s="560"/>
      <c r="BD200" s="560"/>
      <c r="BE200" s="560"/>
      <c r="BN200" s="81"/>
      <c r="BP200" s="59"/>
      <c r="BR200" s="236"/>
      <c r="BS200" s="236"/>
      <c r="BT200" s="236"/>
      <c r="BU200" s="236"/>
      <c r="BV200" s="236"/>
      <c r="BW200" s="236"/>
      <c r="CB200" s="236"/>
      <c r="CC200" s="236"/>
      <c r="CD200" s="236"/>
      <c r="CE200" s="236"/>
      <c r="CJ200" s="236"/>
      <c r="CK200" s="236"/>
      <c r="CL200" s="236"/>
      <c r="CM200" s="236"/>
      <c r="CN200" s="236"/>
      <c r="CO200" s="236"/>
      <c r="DF200" s="560"/>
      <c r="DG200" s="560"/>
      <c r="DH200" s="560"/>
      <c r="DI200" s="560"/>
      <c r="DJ200" s="560"/>
      <c r="DK200" s="560"/>
      <c r="DL200" s="560"/>
      <c r="DM200" s="560"/>
      <c r="DN200" s="560"/>
      <c r="DO200" s="560"/>
      <c r="DP200" s="560"/>
      <c r="DQ200" s="560"/>
      <c r="DR200" s="560"/>
      <c r="DS200" s="560"/>
      <c r="DT200" s="560"/>
      <c r="DU200" s="560"/>
      <c r="DV200" s="560"/>
      <c r="DW200" s="560"/>
      <c r="DX200" s="560"/>
      <c r="DY200" s="560"/>
      <c r="DZ200" s="560"/>
      <c r="EA200" s="560"/>
    </row>
    <row r="201" spans="1:131" customFormat="1" ht="18" customHeight="1" thickBot="1" x14ac:dyDescent="0.25">
      <c r="A201" s="560"/>
      <c r="B201" s="708">
        <v>23</v>
      </c>
      <c r="C201" s="652"/>
      <c r="D201" s="32">
        <v>0</v>
      </c>
      <c r="E201" s="672" t="s">
        <v>54</v>
      </c>
      <c r="F201" s="699">
        <f t="shared" si="107"/>
        <v>0.3</v>
      </c>
      <c r="G201" s="673">
        <f t="shared" si="108"/>
        <v>0.3</v>
      </c>
      <c r="H201" s="709">
        <v>190.76</v>
      </c>
      <c r="I201" s="710">
        <v>79.651040199999997</v>
      </c>
      <c r="J201" s="655">
        <f t="shared" si="109"/>
        <v>79.651040199999997</v>
      </c>
      <c r="K201" s="655">
        <f t="shared" si="110"/>
        <v>39.825520099999999</v>
      </c>
      <c r="L201" s="655">
        <f t="shared" si="111"/>
        <v>0.64045183696587837</v>
      </c>
      <c r="M201" s="655">
        <f t="shared" si="112"/>
        <v>122.17259241961095</v>
      </c>
      <c r="N201" s="655">
        <f t="shared" si="113"/>
        <v>244.3451848392219</v>
      </c>
      <c r="O201" s="655">
        <f>+C179+D180+D181+D182+D183+D184+D185+D186+D187+D188+D189+D190+D191+D192+D193+D194+D195+D196+D197+D198+D199+D200+(D201/2)</f>
        <v>0</v>
      </c>
      <c r="P201" s="655">
        <f t="shared" si="114"/>
        <v>0</v>
      </c>
      <c r="Q201" s="655">
        <f t="shared" si="115"/>
        <v>0</v>
      </c>
      <c r="R201" s="702">
        <f t="shared" si="116"/>
        <v>146.5</v>
      </c>
      <c r="S201" s="655">
        <f t="shared" si="117"/>
        <v>146.5</v>
      </c>
      <c r="T201" s="656">
        <f t="shared" si="118"/>
        <v>146.5</v>
      </c>
      <c r="U201" s="560"/>
      <c r="V201" s="657">
        <f t="shared" si="119"/>
        <v>0</v>
      </c>
      <c r="W201" s="657"/>
      <c r="X201" s="657"/>
      <c r="Y201" s="657"/>
      <c r="Z201" s="657"/>
      <c r="AA201" s="657"/>
      <c r="AB201" s="673" t="str">
        <f t="shared" si="120"/>
        <v>pin in groundstacking hole</v>
      </c>
      <c r="AC201" s="703"/>
      <c r="AD201" s="703"/>
      <c r="AE201" s="703"/>
      <c r="AF201" s="657">
        <f>SUM(V201:V202)/($B$176-B200)</f>
        <v>0</v>
      </c>
      <c r="AG201" s="612">
        <f>SUM(D180:D201)+$C$179</f>
        <v>0</v>
      </c>
      <c r="AH201" s="612"/>
      <c r="AI201" s="704">
        <f t="shared" si="121"/>
        <v>69.344714800000006</v>
      </c>
      <c r="AJ201" s="674">
        <f t="shared" si="122"/>
        <v>0.93571960494171247</v>
      </c>
      <c r="AK201" s="705">
        <f t="shared" si="123"/>
        <v>180.0511663828843</v>
      </c>
      <c r="AL201" s="704">
        <f t="shared" si="124"/>
        <v>50.174479900000001</v>
      </c>
      <c r="AM201" s="675">
        <f t="shared" si="125"/>
        <v>0.76799833627881664</v>
      </c>
      <c r="AN201" s="705">
        <f t="shared" si="126"/>
        <v>146.50336262854705</v>
      </c>
      <c r="AO201" s="711"/>
      <c r="AP201" s="705">
        <f t="shared" si="127"/>
        <v>-535.5</v>
      </c>
      <c r="AQ201" s="678"/>
      <c r="AR201" s="678">
        <f t="shared" si="128"/>
        <v>326.55452901143133</v>
      </c>
      <c r="AS201" s="667">
        <f t="shared" si="129"/>
        <v>-146.50336262854705</v>
      </c>
      <c r="AT201" s="667"/>
      <c r="AU201" s="667">
        <f t="shared" si="130"/>
        <v>146.50336262854705</v>
      </c>
      <c r="AV201" s="669">
        <f t="shared" si="131"/>
        <v>-295.25666016611689</v>
      </c>
      <c r="AW201" s="669">
        <f t="shared" si="132"/>
        <v>-240.24333983388314</v>
      </c>
      <c r="AX201" s="712">
        <f t="shared" si="133"/>
        <v>-39.287852113051827</v>
      </c>
      <c r="AY201" s="712">
        <f t="shared" si="134"/>
        <v>-41.624462958742271</v>
      </c>
      <c r="AZ201" s="679">
        <f t="shared" si="135"/>
        <v>39.287852113051827</v>
      </c>
      <c r="BA201" s="679">
        <f t="shared" si="136"/>
        <v>41.624462958742271</v>
      </c>
      <c r="BB201" s="560">
        <f t="shared" si="137"/>
        <v>0.3</v>
      </c>
      <c r="BC201" s="560"/>
      <c r="BD201" s="560"/>
      <c r="BE201" s="560"/>
      <c r="BN201" s="81"/>
      <c r="BP201" s="59"/>
      <c r="BR201" s="236"/>
      <c r="BS201" s="236"/>
      <c r="BT201" s="236"/>
      <c r="BU201" s="236"/>
      <c r="BV201" s="236"/>
      <c r="BW201" s="236"/>
      <c r="CB201" s="236"/>
      <c r="CC201" s="236"/>
      <c r="CD201" s="236"/>
      <c r="CE201" s="236"/>
      <c r="CJ201" s="236"/>
      <c r="CK201" s="236"/>
      <c r="CL201" s="236"/>
      <c r="CM201" s="236"/>
      <c r="CN201" s="236"/>
      <c r="CO201" s="236"/>
      <c r="DF201" s="560"/>
      <c r="DG201" s="560"/>
      <c r="DH201" s="560"/>
      <c r="DI201" s="560"/>
      <c r="DJ201" s="560"/>
      <c r="DK201" s="560"/>
      <c r="DL201" s="560"/>
      <c r="DM201" s="560"/>
      <c r="DN201" s="560"/>
      <c r="DO201" s="560"/>
      <c r="DP201" s="560"/>
      <c r="DQ201" s="560"/>
      <c r="DR201" s="560"/>
      <c r="DS201" s="560"/>
      <c r="DT201" s="560"/>
      <c r="DU201" s="560"/>
      <c r="DV201" s="560"/>
      <c r="DW201" s="560"/>
      <c r="DX201" s="560"/>
      <c r="DY201" s="560"/>
      <c r="DZ201" s="560"/>
      <c r="EA201" s="560"/>
    </row>
    <row r="202" spans="1:131" customFormat="1" ht="18" customHeight="1" thickBot="1" x14ac:dyDescent="0.25">
      <c r="A202" s="560"/>
      <c r="B202" s="708">
        <v>24</v>
      </c>
      <c r="C202" s="652"/>
      <c r="D202" s="32">
        <v>0</v>
      </c>
      <c r="E202" s="672" t="s">
        <v>54</v>
      </c>
      <c r="F202" s="699">
        <f t="shared" ref="F202" si="138">+G202</f>
        <v>0.3</v>
      </c>
      <c r="G202" s="673">
        <f t="shared" ref="G202" si="139">+D202+BB202</f>
        <v>0.3</v>
      </c>
      <c r="H202" s="709">
        <v>190.76</v>
      </c>
      <c r="I202" s="710">
        <v>79.651040199999997</v>
      </c>
      <c r="J202" s="655">
        <f t="shared" ref="J202" si="140">+I202-D202</f>
        <v>79.651040199999997</v>
      </c>
      <c r="K202" s="655">
        <f t="shared" ref="K202" si="141">+J202/2</f>
        <v>39.825520099999999</v>
      </c>
      <c r="L202" s="655">
        <f t="shared" ref="L202" si="142">SIN(K202*3.14159265358979/180)</f>
        <v>0.64045183696587837</v>
      </c>
      <c r="M202" s="655">
        <f t="shared" ref="M202" si="143">+L202*H202</f>
        <v>122.17259241961095</v>
      </c>
      <c r="N202" s="655">
        <f t="shared" ref="N202" si="144">+M202*2</f>
        <v>244.3451848392219</v>
      </c>
      <c r="O202" s="655">
        <f>+C179+D180+D181+D182+D183+D184+D185+D186+D187+D188+D189+D190+D191+D192+D193+D194+D195+D196+D197+D198+D199+D200+D201+(D202/2)</f>
        <v>0</v>
      </c>
      <c r="P202" s="655">
        <f t="shared" ref="P202" si="145">SIN(O202*3.14159265358979/180)</f>
        <v>0</v>
      </c>
      <c r="Q202" s="655">
        <f t="shared" ref="Q202" si="146">+P202*N202</f>
        <v>0</v>
      </c>
      <c r="R202" s="702">
        <f t="shared" ref="R202" si="147">+T201</f>
        <v>146.5</v>
      </c>
      <c r="S202" s="655">
        <f t="shared" ref="S202" si="148">+S201+Q202</f>
        <v>146.5</v>
      </c>
      <c r="T202" s="656">
        <f t="shared" ref="T202" si="149">+S202</f>
        <v>146.5</v>
      </c>
      <c r="U202" s="560"/>
      <c r="V202" s="657">
        <f t="shared" ref="V202" si="150">IF(B202&lt;($B$176+1),T202,0)</f>
        <v>0</v>
      </c>
      <c r="W202" s="657"/>
      <c r="X202" s="657"/>
      <c r="Y202" s="657"/>
      <c r="Z202" s="657"/>
      <c r="AA202" s="657"/>
      <c r="AB202" s="673" t="str">
        <f t="shared" ref="AB202" si="151">IF(AY202&lt;0,"pin in groundstacking hole"," ")</f>
        <v>pin in groundstacking hole</v>
      </c>
      <c r="AC202" s="703"/>
      <c r="AD202" s="703"/>
      <c r="AE202" s="703"/>
      <c r="AF202" s="657">
        <f>SUM(V202)/($B$176-B201)</f>
        <v>0</v>
      </c>
      <c r="AG202" s="612">
        <f>SUM(D180:D202)+$C$179</f>
        <v>0</v>
      </c>
      <c r="AH202" s="612"/>
      <c r="AI202" s="704">
        <f t="shared" ref="AI202" si="152">69.3447148-AG202</f>
        <v>69.344714800000006</v>
      </c>
      <c r="AJ202" s="674">
        <f t="shared" ref="AJ202" si="153">SIN(AI202*3.14159265358979/180)</f>
        <v>0.93571960494171247</v>
      </c>
      <c r="AK202" s="705">
        <f t="shared" ref="AK202" si="154">+AJ202*192.42</f>
        <v>180.0511663828843</v>
      </c>
      <c r="AL202" s="704">
        <f t="shared" ref="AL202" si="155">50.1744799+AG202</f>
        <v>50.174479900000001</v>
      </c>
      <c r="AM202" s="675">
        <f t="shared" ref="AM202" si="156">SIN(AL202*3.14159265358979/180)</f>
        <v>0.76799833627881664</v>
      </c>
      <c r="AN202" s="705">
        <f t="shared" ref="AN202" si="157">+AM202*190.76</f>
        <v>146.50336262854705</v>
      </c>
      <c r="AO202" s="711"/>
      <c r="AP202" s="705">
        <f t="shared" ref="AP202" si="158">25.5*($B$176-B201)</f>
        <v>-561</v>
      </c>
      <c r="AQ202" s="678"/>
      <c r="AR202" s="678">
        <f t="shared" ref="AR202" si="159">+AN202+AK202</f>
        <v>326.55452901143133</v>
      </c>
      <c r="AS202" s="667">
        <f t="shared" ref="AS202" si="160">+V202-AN202</f>
        <v>-146.50336262854705</v>
      </c>
      <c r="AT202" s="667"/>
      <c r="AU202" s="667">
        <f t="shared" ref="AU202" si="161">+AF202-AS202</f>
        <v>146.50336262854705</v>
      </c>
      <c r="AV202" s="669">
        <f t="shared" ref="AV202" si="162">+((AR202-AU202)/AR202)*AP202</f>
        <v>-309.31650112640813</v>
      </c>
      <c r="AW202" s="669">
        <f t="shared" ref="AW202" si="163">+(AU202/AR202)*AP202</f>
        <v>-251.68349887359184</v>
      </c>
      <c r="AX202" s="712">
        <f t="shared" ref="AX202" si="164">2*$D$11/AV202</f>
        <v>-37.502040653367658</v>
      </c>
      <c r="AY202" s="712">
        <f t="shared" ref="AY202" si="165">$F$11/AW202</f>
        <v>-39.732441915163079</v>
      </c>
      <c r="AZ202" s="679">
        <f t="shared" ref="AZ202" si="166">ABS(AX202)</f>
        <v>37.502040653367658</v>
      </c>
      <c r="BA202" s="679">
        <f t="shared" ref="BA202" si="167">ABS(AY202)</f>
        <v>39.732441915163079</v>
      </c>
      <c r="BB202" s="560">
        <f t="shared" ref="BB202" si="168">IF(AY202&lt;0,0.3,0)</f>
        <v>0.3</v>
      </c>
      <c r="BC202" s="560"/>
      <c r="BD202" s="560"/>
      <c r="BE202" s="560"/>
      <c r="BN202" s="81"/>
      <c r="BP202" s="59"/>
      <c r="BR202" s="236"/>
      <c r="BS202" s="236"/>
      <c r="BT202" s="236"/>
      <c r="BU202" s="236"/>
      <c r="BV202" s="236"/>
      <c r="BW202" s="236"/>
      <c r="CB202" s="236"/>
      <c r="CC202" s="236"/>
      <c r="CD202" s="236"/>
      <c r="CE202" s="236"/>
      <c r="CJ202" s="236"/>
      <c r="CK202" s="236"/>
      <c r="CL202" s="236"/>
      <c r="CM202" s="236"/>
      <c r="CN202" s="236"/>
      <c r="CO202" s="236"/>
      <c r="DF202" s="560"/>
      <c r="DG202" s="560"/>
      <c r="DH202" s="560"/>
      <c r="DI202" s="560"/>
      <c r="DJ202" s="560"/>
      <c r="DK202" s="560"/>
      <c r="DL202" s="560"/>
      <c r="DM202" s="560"/>
      <c r="DN202" s="560"/>
      <c r="DO202" s="560"/>
      <c r="DP202" s="560"/>
      <c r="DQ202" s="560"/>
      <c r="DR202" s="560"/>
      <c r="DS202" s="560"/>
      <c r="DT202" s="560"/>
      <c r="DU202" s="560"/>
      <c r="DV202" s="560"/>
      <c r="DW202" s="560"/>
      <c r="DX202" s="560"/>
      <c r="DY202" s="560"/>
      <c r="DZ202" s="560"/>
      <c r="EA202" s="560"/>
    </row>
  </sheetData>
  <sheetProtection algorithmName="SHA-512" hashValue="SbGVm+F5NMLhFVvH/VTmGYD+cMqUpYAcEqdld+1FiYteAcajYx6dsXulkq0rhMDMSmm9wBZFRmYRdRByXUqV5g==" saltValue="PyKwLJYuaJrPlRgF7dpaVw==" spinCount="100000" sheet="1" objects="1" scenarios="1" selectLockedCells="1"/>
  <protectedRanges>
    <protectedRange sqref="B137 B145 B176 D148:D167 D179:D202" name="Range1"/>
    <protectedRange sqref="B173" name="Range1_3_1"/>
  </protectedRanges>
  <mergeCells count="18">
    <mergeCell ref="BR32:CB33"/>
    <mergeCell ref="CT32:DB33"/>
    <mergeCell ref="CC33:CD33"/>
    <mergeCell ref="CR33:CS33"/>
    <mergeCell ref="BR25:BS25"/>
    <mergeCell ref="CR26:DB27"/>
    <mergeCell ref="BR27:BS27"/>
    <mergeCell ref="CP27:CQ27"/>
    <mergeCell ref="BR29:CB30"/>
    <mergeCell ref="CC30:CD30"/>
    <mergeCell ref="DA30:DB30"/>
    <mergeCell ref="B134:B136"/>
    <mergeCell ref="BW159:BY159"/>
    <mergeCell ref="BW161:BX161"/>
    <mergeCell ref="CI161:CJ161"/>
    <mergeCell ref="AZ176:BA176"/>
    <mergeCell ref="B171:B172"/>
    <mergeCell ref="AZ145:BA145"/>
  </mergeCells>
  <conditionalFormatting sqref="B148:B167">
    <cfRule type="cellIs" dxfId="779" priority="52" stopIfTrue="1" operator="greaterThan">
      <formula>$B$145</formula>
    </cfRule>
  </conditionalFormatting>
  <conditionalFormatting sqref="B149:G149 J149:AH149 AJ149 AM149 AO149:BA149">
    <cfRule type="expression" dxfId="778" priority="5">
      <formula>$B$145&lt;2</formula>
    </cfRule>
  </conditionalFormatting>
  <conditionalFormatting sqref="B181:AE181 AG181:BA181">
    <cfRule type="expression" dxfId="777" priority="57" stopIfTrue="1">
      <formula>$B$176&lt;3</formula>
    </cfRule>
  </conditionalFormatting>
  <conditionalFormatting sqref="B182:AE182 AG182:BA182">
    <cfRule type="expression" dxfId="776" priority="56" stopIfTrue="1">
      <formula>$B$176&lt;4</formula>
    </cfRule>
  </conditionalFormatting>
  <conditionalFormatting sqref="B183:AE183 AG183:BA183">
    <cfRule type="expression" dxfId="775" priority="55" stopIfTrue="1">
      <formula>$B$176&lt;5</formula>
    </cfRule>
  </conditionalFormatting>
  <conditionalFormatting sqref="B184:AE184 AG184:BA184">
    <cfRule type="expression" dxfId="774" priority="54" stopIfTrue="1">
      <formula>$B$176&lt;6</formula>
    </cfRule>
  </conditionalFormatting>
  <conditionalFormatting sqref="B185:AE185 AG185:BA185">
    <cfRule type="expression" dxfId="773" priority="53" stopIfTrue="1">
      <formula>$B$176&lt;7</formula>
    </cfRule>
  </conditionalFormatting>
  <conditionalFormatting sqref="B186:AE186 AG186:BA186">
    <cfRule type="expression" dxfId="772" priority="29" stopIfTrue="1">
      <formula>$B$176&lt;8</formula>
    </cfRule>
  </conditionalFormatting>
  <conditionalFormatting sqref="B180:BA180">
    <cfRule type="expression" dxfId="771" priority="58" stopIfTrue="1">
      <formula>$B$176&lt;2</formula>
    </cfRule>
  </conditionalFormatting>
  <conditionalFormatting sqref="B187:BA187">
    <cfRule type="expression" dxfId="770" priority="20" stopIfTrue="1">
      <formula>$B$176&lt;9</formula>
    </cfRule>
  </conditionalFormatting>
  <conditionalFormatting sqref="B188:BA188">
    <cfRule type="expression" dxfId="769" priority="19" stopIfTrue="1">
      <formula>$B$176&lt;10</formula>
    </cfRule>
  </conditionalFormatting>
  <conditionalFormatting sqref="B189:BA189">
    <cfRule type="expression" dxfId="768" priority="18" stopIfTrue="1">
      <formula>$B$176&lt;11</formula>
    </cfRule>
  </conditionalFormatting>
  <conditionalFormatting sqref="B190:BA190">
    <cfRule type="expression" dxfId="767" priority="17" stopIfTrue="1">
      <formula>$B$176&lt;12</formula>
    </cfRule>
  </conditionalFormatting>
  <conditionalFormatting sqref="B191:BA191">
    <cfRule type="expression" dxfId="766" priority="16" stopIfTrue="1">
      <formula>$B$176&lt;13</formula>
    </cfRule>
  </conditionalFormatting>
  <conditionalFormatting sqref="B192:BA192">
    <cfRule type="expression" dxfId="765" priority="15" stopIfTrue="1">
      <formula>$B$176&lt;14</formula>
    </cfRule>
  </conditionalFormatting>
  <conditionalFormatting sqref="B193:BA193">
    <cfRule type="expression" dxfId="764" priority="14" stopIfTrue="1">
      <formula>$B$176&lt;15</formula>
    </cfRule>
  </conditionalFormatting>
  <conditionalFormatting sqref="B194:BA194">
    <cfRule type="expression" dxfId="763" priority="13" stopIfTrue="1">
      <formula>$B$176&lt;16</formula>
    </cfRule>
  </conditionalFormatting>
  <conditionalFormatting sqref="B195:BA195">
    <cfRule type="expression" dxfId="762" priority="12" stopIfTrue="1">
      <formula>$B$176&lt;17</formula>
    </cfRule>
  </conditionalFormatting>
  <conditionalFormatting sqref="B196:BA196">
    <cfRule type="expression" dxfId="761" priority="11" stopIfTrue="1">
      <formula>$B$176&lt;18</formula>
    </cfRule>
  </conditionalFormatting>
  <conditionalFormatting sqref="B197:BA197">
    <cfRule type="expression" dxfId="760" priority="10" stopIfTrue="1">
      <formula>$B$176&lt;19</formula>
    </cfRule>
  </conditionalFormatting>
  <conditionalFormatting sqref="B198:BA198">
    <cfRule type="expression" dxfId="759" priority="9" stopIfTrue="1">
      <formula>$B$176&lt;20</formula>
    </cfRule>
  </conditionalFormatting>
  <conditionalFormatting sqref="B199:BA199">
    <cfRule type="expression" dxfId="758" priority="8" stopIfTrue="1">
      <formula>$B$176&lt;21</formula>
    </cfRule>
  </conditionalFormatting>
  <conditionalFormatting sqref="B200:BA200">
    <cfRule type="expression" dxfId="757" priority="7" stopIfTrue="1">
      <formula>$B$176&lt;22</formula>
    </cfRule>
  </conditionalFormatting>
  <conditionalFormatting sqref="B201:BA201">
    <cfRule type="expression" dxfId="756" priority="6" stopIfTrue="1">
      <formula>$B$176&lt;23</formula>
    </cfRule>
  </conditionalFormatting>
  <conditionalFormatting sqref="B202:BA202">
    <cfRule type="expression" dxfId="755" priority="4" stopIfTrue="1">
      <formula>$B$176&lt;24</formula>
    </cfRule>
  </conditionalFormatting>
  <conditionalFormatting sqref="D136">
    <cfRule type="cellIs" dxfId="754" priority="41" stopIfTrue="1" operator="equal">
      <formula>"USE EXBAR AR AT THE FRONT"</formula>
    </cfRule>
  </conditionalFormatting>
  <conditionalFormatting sqref="D137">
    <cfRule type="cellIs" dxfId="753" priority="40" stopIfTrue="1" operator="equal">
      <formula>"USE EXBAR AR AT THE BACK"</formula>
    </cfRule>
  </conditionalFormatting>
  <conditionalFormatting sqref="D179:D202">
    <cfRule type="cellIs" dxfId="752" priority="79" stopIfTrue="1" operator="notEqual">
      <formula>0</formula>
    </cfRule>
  </conditionalFormatting>
  <conditionalFormatting sqref="D134:G135">
    <cfRule type="cellIs" dxfId="751" priority="42" stopIfTrue="1" operator="equal">
      <formula>"change the angle of frame or of cabinets"</formula>
    </cfRule>
  </conditionalFormatting>
  <conditionalFormatting sqref="D150:G150 AB150 AX150:BA150">
    <cfRule type="expression" dxfId="750" priority="76" stopIfTrue="1">
      <formula>$B$145&lt;3</formula>
    </cfRule>
  </conditionalFormatting>
  <conditionalFormatting sqref="D151:G151 AB151 AX151:BA151">
    <cfRule type="expression" dxfId="749" priority="75" stopIfTrue="1">
      <formula>$B$145&lt;4</formula>
    </cfRule>
  </conditionalFormatting>
  <conditionalFormatting sqref="D152:G152 AB152 AX152:BA152">
    <cfRule type="expression" dxfId="748" priority="74" stopIfTrue="1">
      <formula>$B$145&lt;5</formula>
    </cfRule>
  </conditionalFormatting>
  <conditionalFormatting sqref="D153:G153 AB153 AX153:BA153">
    <cfRule type="expression" dxfId="747" priority="73">
      <formula>$B$145&lt;6</formula>
    </cfRule>
  </conditionalFormatting>
  <conditionalFormatting sqref="D154:G154 AB154 AX154:BA154">
    <cfRule type="expression" dxfId="746" priority="72">
      <formula>$B$145&lt;7</formula>
    </cfRule>
  </conditionalFormatting>
  <conditionalFormatting sqref="D155:G155 AB155 AX155:BA155">
    <cfRule type="expression" dxfId="745" priority="71">
      <formula>$B$145&lt;8</formula>
    </cfRule>
  </conditionalFormatting>
  <conditionalFormatting sqref="D156:G156 AB156 AX156:BA156">
    <cfRule type="expression" dxfId="744" priority="70">
      <formula>$B$145&lt;9</formula>
    </cfRule>
  </conditionalFormatting>
  <conditionalFormatting sqref="D157:G157 AB157 AX157:BA157">
    <cfRule type="expression" dxfId="743" priority="69">
      <formula>$B$145&lt;10</formula>
    </cfRule>
  </conditionalFormatting>
  <conditionalFormatting sqref="D158:G158 AB158 AX158:BA158">
    <cfRule type="expression" dxfId="742" priority="68">
      <formula>$B$145&lt;11</formula>
    </cfRule>
  </conditionalFormatting>
  <conditionalFormatting sqref="D159:G159 AB159 AX159:BA159">
    <cfRule type="expression" dxfId="741" priority="67">
      <formula>$B$145&lt;12</formula>
    </cfRule>
  </conditionalFormatting>
  <conditionalFormatting sqref="D160:G160 AB160 AX160:BA160">
    <cfRule type="expression" dxfId="740" priority="66">
      <formula>$B$145&lt;13</formula>
    </cfRule>
  </conditionalFormatting>
  <conditionalFormatting sqref="D161:G161 AB161 AX161:BA161">
    <cfRule type="expression" dxfId="739" priority="65">
      <formula>$B$145&lt;14</formula>
    </cfRule>
  </conditionalFormatting>
  <conditionalFormatting sqref="D162:G162 AB162 AX162:BA162">
    <cfRule type="expression" dxfId="738" priority="64">
      <formula>$B$145&lt;15</formula>
    </cfRule>
  </conditionalFormatting>
  <conditionalFormatting sqref="D163:G163 AB163 AX163:BA163">
    <cfRule type="expression" dxfId="737" priority="63">
      <formula>$B$145&lt;16</formula>
    </cfRule>
  </conditionalFormatting>
  <conditionalFormatting sqref="D164:G164 AB164 AX164:BA164">
    <cfRule type="expression" dxfId="736" priority="62">
      <formula>$B$145&lt;17</formula>
    </cfRule>
  </conditionalFormatting>
  <conditionalFormatting sqref="D165:G165 AB165 AX165:BA165">
    <cfRule type="expression" dxfId="735" priority="61">
      <formula>$B$145&lt;18</formula>
    </cfRule>
  </conditionalFormatting>
  <conditionalFormatting sqref="D166:G166 AB166 AX166:BA166">
    <cfRule type="expression" dxfId="734" priority="60">
      <formula>$B$145&lt;19</formula>
    </cfRule>
  </conditionalFormatting>
  <conditionalFormatting sqref="D167:G167 AB167 AX167:BA167">
    <cfRule type="expression" dxfId="733" priority="51">
      <formula>$B$145&lt;20</formula>
    </cfRule>
  </conditionalFormatting>
  <conditionalFormatting sqref="E136:G136">
    <cfRule type="cellIs" dxfId="732" priority="80" stopIfTrue="1" operator="equal">
      <formula>"USE EXBAR 12 AT THE FRONT"</formula>
    </cfRule>
  </conditionalFormatting>
  <conditionalFormatting sqref="E137:G137">
    <cfRule type="cellIs" dxfId="731" priority="81" stopIfTrue="1" operator="equal">
      <formula>"USE EXBAR 12 AT THE BACK"</formula>
    </cfRule>
  </conditionalFormatting>
  <conditionalFormatting sqref="U2 U5:U10 BC6:BD7 AF22:AF26 D26:F26 V95:AA97 U98:U120 AB98:AE120">
    <cfRule type="cellIs" dxfId="730" priority="83" stopIfTrue="1" operator="between">
      <formula>"OVERLOAD"</formula>
      <formula>"OVERLOAD"</formula>
    </cfRule>
  </conditionalFormatting>
  <conditionalFormatting sqref="AP150:AP167">
    <cfRule type="expression" dxfId="729" priority="50">
      <formula>$B$145&lt;2</formula>
    </cfRule>
  </conditionalFormatting>
  <conditionalFormatting sqref="AZ148:BA167">
    <cfRule type="cellIs" dxfId="728" priority="77" operator="lessThan">
      <formula>10</formula>
    </cfRule>
  </conditionalFormatting>
  <conditionalFormatting sqref="AZ179:BA202">
    <cfRule type="cellIs" dxfId="727" priority="59" operator="lessThan">
      <formula>10</formula>
    </cfRule>
  </conditionalFormatting>
  <conditionalFormatting sqref="BL69:BL93 BL134:BL146">
    <cfRule type="cellIs" dxfId="726" priority="47" stopIfTrue="1" operator="equal">
      <formula>FALSE</formula>
    </cfRule>
  </conditionalFormatting>
  <conditionalFormatting sqref="BO26">
    <cfRule type="cellIs" dxfId="725" priority="39" stopIfTrue="1" operator="equal">
      <formula>"negative force at the motor"</formula>
    </cfRule>
  </conditionalFormatting>
  <conditionalFormatting sqref="BO26:BO27">
    <cfRule type="cellIs" dxfId="724" priority="38" operator="equal">
      <formula>"""OK"""</formula>
    </cfRule>
  </conditionalFormatting>
  <conditionalFormatting sqref="BO27">
    <cfRule type="cellIs" dxfId="723" priority="46" stopIfTrue="1" operator="equal">
      <formula>"overload"</formula>
    </cfRule>
  </conditionalFormatting>
  <conditionalFormatting sqref="BO29">
    <cfRule type="cellIs" dxfId="722" priority="37" stopIfTrue="1" operator="equal">
      <formula>"negative force at the motor"</formula>
    </cfRule>
  </conditionalFormatting>
  <conditionalFormatting sqref="BO29:BO30">
    <cfRule type="cellIs" dxfId="721" priority="36" operator="equal">
      <formula>"""OK"""</formula>
    </cfRule>
  </conditionalFormatting>
  <conditionalFormatting sqref="BO32">
    <cfRule type="cellIs" dxfId="720" priority="35" stopIfTrue="1" operator="equal">
      <formula>"negative force at the motor"</formula>
    </cfRule>
  </conditionalFormatting>
  <conditionalFormatting sqref="BO32:BO33">
    <cfRule type="cellIs" dxfId="719" priority="34" operator="equal">
      <formula>"""OK"""</formula>
    </cfRule>
  </conditionalFormatting>
  <conditionalFormatting sqref="BO56 BO61 BO133 BO30 BO33">
    <cfRule type="cellIs" dxfId="718" priority="44" stopIfTrue="1" operator="equal">
      <formula>"overload"</formula>
    </cfRule>
  </conditionalFormatting>
  <conditionalFormatting sqref="BO56 BO133 BO61">
    <cfRule type="cellIs" dxfId="717" priority="43" operator="equal">
      <formula>"""OK"""</formula>
    </cfRule>
  </conditionalFormatting>
  <conditionalFormatting sqref="BP55:BP56 BO56 BP132 BO133:BP133">
    <cfRule type="expression" dxfId="716" priority="31">
      <formula>$B$137&lt;&gt;0</formula>
    </cfRule>
  </conditionalFormatting>
  <conditionalFormatting sqref="BR132:CH132">
    <cfRule type="expression" dxfId="715" priority="3">
      <formula>$B$137=0</formula>
    </cfRule>
  </conditionalFormatting>
  <conditionalFormatting sqref="BR57:DC59 BW64:CJ71 BR182:CO183">
    <cfRule type="cellIs" dxfId="714" priority="48" stopIfTrue="1" operator="equal">
      <formula>FALSE</formula>
    </cfRule>
  </conditionalFormatting>
  <conditionalFormatting sqref="CC55:CS55">
    <cfRule type="expression" dxfId="713" priority="33">
      <formula>$B$137=0</formula>
    </cfRule>
    <cfRule type="cellIs" dxfId="712" priority="32" operator="equal">
      <formula>0</formula>
    </cfRule>
  </conditionalFormatting>
  <conditionalFormatting sqref="CL132:DB132">
    <cfRule type="expression" dxfId="711" priority="2">
      <formula>$B$137=0</formula>
    </cfRule>
  </conditionalFormatting>
  <dataValidations count="9">
    <dataValidation type="whole" allowBlank="1" showInputMessage="1" showErrorMessage="1" sqref="D180:D202" xr:uid="{00000000-0002-0000-0D00-000000000000}">
      <formula1>0</formula1>
      <formula2>10</formula2>
    </dataValidation>
    <dataValidation type="whole" allowBlank="1" showInputMessage="1" showErrorMessage="1" sqref="D179" xr:uid="{00000000-0002-0000-0D00-000001000000}">
      <formula1>-5</formula1>
      <formula2>5</formula2>
    </dataValidation>
    <dataValidation type="custom" allowBlank="1" showInputMessage="1" showErrorMessage="1" sqref="D149:D167" xr:uid="{00000000-0002-0000-0D00-000002000000}">
      <formula1>OR(D149=0,D149=0.5,D149=1,D149=2,D149=2.5,D149=3,D149=4,D149=5,D149=6,D149=7,D149=8)</formula1>
    </dataValidation>
    <dataValidation type="whole" allowBlank="1" showInputMessage="1" showErrorMessage="1" errorTitle="Coda Audio" error="YOU HAVE ENTERED A WRONG NUMBER OF CABINETS" promptTitle="Coda Audio" prompt="ENTER THE NUMBER OF CABINETS FROM 1 UP TO 20" sqref="B145" xr:uid="{00000000-0002-0000-0D00-000003000000}">
      <formula1>1</formula1>
      <formula2>20</formula2>
    </dataValidation>
    <dataValidation type="decimal" allowBlank="1" showInputMessage="1" showErrorMessage="1" sqref="D148 F180:F202 F148:G148 F179:G179" xr:uid="{00000000-0002-0000-0D00-000004000000}">
      <formula1>0</formula1>
      <formula2>4</formula2>
    </dataValidation>
    <dataValidation type="decimal" allowBlank="1" showInputMessage="1" showErrorMessage="1" sqref="F150:F167 G180:G202 G149:G167" xr:uid="{00000000-0002-0000-0D00-000005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24" sqref="B176" xr:uid="{00000000-0002-0000-0D00-000006000000}">
      <formula1>1</formula1>
      <formula2>24</formula2>
    </dataValidation>
    <dataValidation type="decimal" allowBlank="1" showInputMessage="1" showErrorMessage="1" sqref="B137" xr:uid="{00000000-0002-0000-0D00-000007000000}">
      <formula1>-89.9</formula1>
      <formula2>89.9</formula2>
    </dataValidation>
    <dataValidation type="custom" allowBlank="1" showInputMessage="1" showErrorMessage="1" sqref="B173" xr:uid="{00000000-0002-0000-0D00-000008000000}">
      <formula1>OR(B173=-6,B173=-5,B173=-4,B173=-3,B173=-2,B173=-1,B173=0,B173=0.5,B173=1,B173=2,B173=2.5,B173=3,B173=4)</formula1>
    </dataValidation>
  </dataValidations>
  <pageMargins left="0.7" right="0.7" top="0.75" bottom="0.75" header="0.3" footer="0.3"/>
  <pageSetup paperSize="9" orientation="portrait" verticalDpi="0" r:id="rId1"/>
  <drawing r:id="rId2"/>
  <legacy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FFC000"/>
  </sheetPr>
  <dimension ref="A1:EN273"/>
  <sheetViews>
    <sheetView topLeftCell="A27" zoomScale="50" zoomScaleNormal="50" workbookViewId="0">
      <selection activeCell="B139" sqref="B139"/>
    </sheetView>
  </sheetViews>
  <sheetFormatPr baseColWidth="10" defaultColWidth="9.1640625" defaultRowHeight="18" x14ac:dyDescent="0.2"/>
  <cols>
    <col min="1" max="1" width="1.5" customWidth="1"/>
    <col min="2" max="2" width="32.1640625" style="35" customWidth="1"/>
    <col min="3" max="3" width="27" style="35" hidden="1" customWidth="1"/>
    <col min="4" max="4" width="30.83203125" customWidth="1"/>
    <col min="5" max="5" width="48.83203125" customWidth="1"/>
    <col min="6" max="6" width="27" hidden="1" customWidth="1"/>
    <col min="7" max="7" width="42" hidden="1" customWidth="1"/>
    <col min="8" max="8" width="16.33203125" style="64" hidden="1" customWidth="1"/>
    <col min="9" max="11" width="17.5" style="64" hidden="1" customWidth="1"/>
    <col min="12" max="14" width="19.5" style="64" hidden="1" customWidth="1"/>
    <col min="15" max="15" width="8.6640625" style="64" hidden="1" customWidth="1"/>
    <col min="16" max="16" width="19.5" style="64" hidden="1" customWidth="1"/>
    <col min="17" max="17" width="19.6640625" style="64" hidden="1" customWidth="1"/>
    <col min="18" max="18" width="28" style="64" hidden="1" customWidth="1"/>
    <col min="19" max="19" width="19.5" style="64" hidden="1" customWidth="1"/>
    <col min="20" max="20" width="22.33203125" style="64" hidden="1" customWidth="1"/>
    <col min="21" max="21" width="9.33203125" style="64" hidden="1" customWidth="1"/>
    <col min="22" max="22" width="19.5" style="64" hidden="1" customWidth="1"/>
    <col min="23" max="24" width="17.5" style="64" hidden="1" customWidth="1"/>
    <col min="25" max="25" width="14.5" style="64" hidden="1" customWidth="1"/>
    <col min="26" max="27" width="19.5" style="64" hidden="1" customWidth="1"/>
    <col min="28" max="28" width="38.83203125" style="64" customWidth="1"/>
    <col min="29" max="29" width="28.6640625" style="64" hidden="1" customWidth="1"/>
    <col min="30" max="31" width="4.83203125" style="64" hidden="1" customWidth="1"/>
    <col min="32" max="33" width="15" style="64" hidden="1" customWidth="1"/>
    <col min="34" max="34" width="19.5" style="64" hidden="1" customWidth="1"/>
    <col min="35" max="35" width="9.33203125" style="64" hidden="1" customWidth="1"/>
    <col min="36" max="36" width="28.1640625" style="64" hidden="1" customWidth="1"/>
    <col min="37" max="49" width="15.6640625" style="64" hidden="1" customWidth="1"/>
    <col min="50" max="51" width="20.5" style="64" hidden="1" customWidth="1"/>
    <col min="52" max="52" width="15.6640625" style="64" hidden="1" customWidth="1"/>
    <col min="53" max="54" width="12.83203125" style="64" customWidth="1"/>
    <col min="55" max="55" width="15.1640625" hidden="1" customWidth="1"/>
    <col min="56" max="56" width="9.1640625" hidden="1" customWidth="1"/>
    <col min="57" max="57" width="4.83203125" hidden="1" customWidth="1"/>
    <col min="58" max="58" width="6.83203125" hidden="1" customWidth="1"/>
    <col min="59" max="59" width="34.1640625" hidden="1" customWidth="1"/>
    <col min="60" max="60" width="17" hidden="1" customWidth="1"/>
    <col min="61" max="62" width="16.33203125" hidden="1" customWidth="1"/>
    <col min="63" max="63" width="9.33203125" hidden="1" customWidth="1"/>
    <col min="64" max="64" width="15.5" hidden="1" customWidth="1"/>
    <col min="65" max="65" width="27.1640625" style="81" hidden="1" customWidth="1"/>
    <col min="66" max="66" width="24.83203125" bestFit="1" customWidth="1"/>
    <col min="67" max="67" width="37.5" style="59" customWidth="1"/>
    <col min="68" max="68" width="44.5" customWidth="1"/>
    <col min="69" max="79" width="6.5" customWidth="1"/>
    <col min="80" max="80" width="8.5" customWidth="1"/>
    <col min="81" max="93" width="6.5" customWidth="1"/>
    <col min="94" max="94" width="8.5" customWidth="1"/>
    <col min="95" max="105" width="6.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36" width="6.5" hidden="1" customWidth="1"/>
    <col min="137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482" t="s">
        <v>104</v>
      </c>
      <c r="E1" s="482" t="s">
        <v>105</v>
      </c>
      <c r="F1" s="482" t="s">
        <v>106</v>
      </c>
      <c r="G1" s="990" t="s">
        <v>220</v>
      </c>
      <c r="H1" s="1073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+COS(($B$132*-1)*3.14159265358979/180)*C2</f>
        <v>688</v>
      </c>
      <c r="E2" s="41">
        <f>+COS(($B$132*-1)*3.14159265358979/180)*43</f>
        <v>43</v>
      </c>
      <c r="F2" s="42">
        <f>+COS((($B$132*-1)+72.969997)*3.14159265358979/180)*162.1867</f>
        <v>47.500013702602963</v>
      </c>
      <c r="G2" s="994" t="s">
        <v>212</v>
      </c>
      <c r="H2" s="1074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215.00491772966836</v>
      </c>
      <c r="D3" s="40">
        <f>+C9-F2</f>
        <v>215.00490402706541</v>
      </c>
      <c r="G3" s="994" t="s">
        <v>213</v>
      </c>
      <c r="H3" s="1075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+COS(($B$132*-1)*3.14159265358979/180)*C4</f>
        <v>1075</v>
      </c>
      <c r="G4" s="996" t="s">
        <v>233</v>
      </c>
      <c r="H4" s="1076">
        <v>860</v>
      </c>
      <c r="I4" s="984">
        <v>1</v>
      </c>
      <c r="J4" s="1721" t="s">
        <v>228</v>
      </c>
      <c r="K4" s="1727"/>
      <c r="L4" s="1727"/>
      <c r="M4" s="1727"/>
      <c r="N4"/>
      <c r="O4" s="995"/>
    </row>
    <row r="5" spans="2:15" ht="38" hidden="1" x14ac:dyDescent="0.2">
      <c r="B5" s="44" t="s">
        <v>115</v>
      </c>
      <c r="C5" s="45">
        <f>+C9+425.5</f>
        <v>688.00491772966836</v>
      </c>
      <c r="D5" s="40">
        <f>+(COS(($B$132*-1)*3.14159265358979/180)*473)+$D$3</f>
        <v>688.00490402706544</v>
      </c>
      <c r="G5" s="996" t="s">
        <v>214</v>
      </c>
      <c r="H5" s="1076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0" hidden="1" x14ac:dyDescent="0.2">
      <c r="B6" s="187"/>
      <c r="C6" s="187"/>
      <c r="G6" s="996" t="s">
        <v>259</v>
      </c>
      <c r="H6" s="1076">
        <v>602</v>
      </c>
      <c r="I6"/>
      <c r="J6" s="963">
        <f>+H9/H8*BQ29</f>
        <v>254.9343694550636</v>
      </c>
      <c r="K6" s="963">
        <f>((H8-H9)/H8)*BQ29</f>
        <v>-175.26737900035624</v>
      </c>
      <c r="L6" s="963">
        <f>+CO29</f>
        <v>141.63300954529265</v>
      </c>
      <c r="M6" s="961" t="s">
        <v>223</v>
      </c>
      <c r="N6"/>
      <c r="O6" s="995"/>
    </row>
    <row r="7" spans="2:15" ht="20" hidden="1" x14ac:dyDescent="0.2">
      <c r="B7" s="393" t="s">
        <v>18</v>
      </c>
      <c r="C7" s="394">
        <f>+C11+C14+C17+30+4.5+0.5</f>
        <v>221.3</v>
      </c>
      <c r="G7" s="997" t="s">
        <v>230</v>
      </c>
      <c r="H7" s="1077">
        <f>(+SIN(($B$132*-1)*3.14159265358979/180)*H2)</f>
        <v>0</v>
      </c>
      <c r="I7"/>
      <c r="J7" s="965">
        <f>ABS($H$1/J6)</f>
        <v>70.606407596104049</v>
      </c>
      <c r="K7" s="965">
        <f>ABS($H$1/K6)</f>
        <v>102.70022923069679</v>
      </c>
      <c r="L7" s="965">
        <f>ABS($H$1/L6)</f>
        <v>127.08901729750932</v>
      </c>
      <c r="M7" s="967" t="s">
        <v>222</v>
      </c>
      <c r="N7"/>
      <c r="O7" s="995"/>
    </row>
    <row r="8" spans="2:15" ht="20" hidden="1" x14ac:dyDescent="0.2">
      <c r="B8" s="393" t="s">
        <v>19</v>
      </c>
      <c r="C8" s="393">
        <f>+AS142</f>
        <v>747.0023123282715</v>
      </c>
      <c r="G8" s="997" t="s">
        <v>229</v>
      </c>
      <c r="H8" s="1077">
        <f>(+COS(($B$132*-1)*3.14159265358979/180)*H3)</f>
        <v>215</v>
      </c>
      <c r="I8"/>
      <c r="J8" s="1733">
        <f>ABS($E$22/BQ29)</f>
        <v>100.4180019144591</v>
      </c>
      <c r="K8" s="1733"/>
      <c r="L8" s="1733">
        <f>ABS($E$22/CO29)</f>
        <v>56.484007687781919</v>
      </c>
      <c r="M8" s="1734" t="s">
        <v>350</v>
      </c>
      <c r="N8"/>
      <c r="O8" s="995"/>
    </row>
    <row r="9" spans="2:15" ht="21" hidden="1" thickBot="1" x14ac:dyDescent="0.25">
      <c r="B9" s="393" t="s">
        <v>14</v>
      </c>
      <c r="C9" s="393">
        <f>+AP138</f>
        <v>262.50491772966836</v>
      </c>
      <c r="G9" s="994" t="s">
        <v>227</v>
      </c>
      <c r="H9" s="1077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483" t="s">
        <v>168</v>
      </c>
      <c r="C11" s="394">
        <f>+B139*57+31</f>
        <v>88</v>
      </c>
      <c r="G11" s="994" t="s">
        <v>226</v>
      </c>
      <c r="H11" s="1077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0" hidden="1" x14ac:dyDescent="0.2">
      <c r="B12" s="483" t="s">
        <v>169</v>
      </c>
      <c r="C12" s="394">
        <v>747</v>
      </c>
      <c r="D12" s="397"/>
      <c r="G12" s="998"/>
      <c r="H12" s="37"/>
      <c r="I12"/>
      <c r="J12" s="963">
        <f>(CB32)</f>
        <v>177.03899045470737</v>
      </c>
      <c r="K12" s="963">
        <f>((+H8-H11)/H8*CZ32)</f>
        <v>-97.374220999643796</v>
      </c>
      <c r="L12" s="963">
        <f>(H11/H8*CZ32)</f>
        <v>141.63523054493643</v>
      </c>
      <c r="M12" s="961" t="s">
        <v>223</v>
      </c>
      <c r="N12"/>
      <c r="O12" s="995"/>
    </row>
    <row r="13" spans="2:15" ht="20" hidden="1" x14ac:dyDescent="0.2">
      <c r="D13" s="397"/>
      <c r="G13" s="998"/>
      <c r="H13"/>
      <c r="I13"/>
      <c r="J13" s="965">
        <f>ABS($H$1/J12)</f>
        <v>101.67251831796349</v>
      </c>
      <c r="K13" s="965">
        <f>ABS($H$1/K12)</f>
        <v>184.85385367104345</v>
      </c>
      <c r="L13" s="965">
        <f>ABS($H$1/L12)</f>
        <v>127.08702439884236</v>
      </c>
      <c r="M13" s="967" t="s">
        <v>222</v>
      </c>
      <c r="N13"/>
      <c r="O13" s="995"/>
    </row>
    <row r="14" spans="2:15" ht="20" hidden="1" x14ac:dyDescent="0.2">
      <c r="B14" s="483" t="s">
        <v>132</v>
      </c>
      <c r="C14" s="394">
        <f>+(B161*40.5)+31</f>
        <v>71.5</v>
      </c>
      <c r="D14" s="397"/>
      <c r="G14" s="998"/>
      <c r="H14"/>
      <c r="I14"/>
      <c r="J14" s="1733">
        <f>ABS($E$22/CB32)</f>
        <v>45.187785919094885</v>
      </c>
      <c r="K14" s="1733"/>
      <c r="L14" s="1733">
        <f>ABS($E$22/CZ32)</f>
        <v>180.74599025613139</v>
      </c>
      <c r="M14" s="1734" t="s">
        <v>350</v>
      </c>
      <c r="N14"/>
      <c r="O14" s="995"/>
    </row>
    <row r="15" spans="2:15" ht="19" hidden="1" thickBot="1" x14ac:dyDescent="0.25">
      <c r="B15" s="483" t="s">
        <v>133</v>
      </c>
      <c r="C15" s="394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1" hidden="1" thickBot="1" x14ac:dyDescent="0.25">
      <c r="B16" s="399"/>
      <c r="C16" s="399"/>
      <c r="D16" s="397"/>
      <c r="G16" s="994" t="s">
        <v>231</v>
      </c>
      <c r="H16" s="1077">
        <f>+D2+H7-BL106</f>
        <v>-4.9040270654359119E-3</v>
      </c>
      <c r="I16" s="984" t="s">
        <v>251</v>
      </c>
      <c r="J16" s="1721" t="s">
        <v>232</v>
      </c>
      <c r="K16" s="1727"/>
      <c r="L16" s="1727"/>
      <c r="M16" s="1727"/>
      <c r="N16"/>
      <c r="O16" s="995"/>
    </row>
    <row r="17" spans="2:144" ht="20" hidden="1" x14ac:dyDescent="0.2">
      <c r="B17" s="483" t="s">
        <v>166</v>
      </c>
      <c r="C17" s="394">
        <f>+(B193*25.5)+1.3</f>
        <v>26.8</v>
      </c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44" ht="20" hidden="1" x14ac:dyDescent="0.2">
      <c r="B18" s="483" t="s">
        <v>133</v>
      </c>
      <c r="C18" s="394"/>
      <c r="D18" s="397"/>
      <c r="G18" s="998"/>
      <c r="H18"/>
      <c r="I18"/>
      <c r="J18" s="963">
        <f>+H16/H8*BQ27</f>
        <v>-5.0477264631672899E-3</v>
      </c>
      <c r="K18" s="963">
        <f>((H8-H16)/H8)*BQ27</f>
        <v>221.30504772646319</v>
      </c>
      <c r="L18" s="963"/>
      <c r="M18" s="961" t="s">
        <v>223</v>
      </c>
      <c r="N18"/>
      <c r="O18" s="995"/>
    </row>
    <row r="19" spans="2:144" ht="20" hidden="1" x14ac:dyDescent="0.2">
      <c r="B19" s="399"/>
      <c r="C19" s="399"/>
      <c r="D19" s="397"/>
      <c r="G19" s="998"/>
      <c r="H19"/>
      <c r="I19"/>
      <c r="J19" s="965">
        <f>ABS($H$1/J18)</f>
        <v>3565961.8506161217</v>
      </c>
      <c r="K19" s="965">
        <f>ABS($H$1/K18)</f>
        <v>81.335695615259112</v>
      </c>
      <c r="L19" s="965"/>
      <c r="M19" s="967" t="s">
        <v>222</v>
      </c>
      <c r="N19"/>
      <c r="O19" s="995"/>
    </row>
    <row r="20" spans="2:144" ht="38" hidden="1" x14ac:dyDescent="0.2">
      <c r="B20" s="485" t="s">
        <v>76</v>
      </c>
      <c r="C20" s="204">
        <v>5800</v>
      </c>
      <c r="D20" s="204">
        <v>10000</v>
      </c>
      <c r="G20" s="998"/>
      <c r="H20"/>
      <c r="I20"/>
      <c r="J20" s="1733">
        <f>ABS($E$22/BQ27)</f>
        <v>36.15002259376412</v>
      </c>
      <c r="K20" s="1733"/>
      <c r="L20" s="1733"/>
      <c r="M20" s="1734" t="s">
        <v>350</v>
      </c>
      <c r="N20"/>
      <c r="O20" s="995"/>
    </row>
    <row r="21" spans="2:144" ht="39" hidden="1" thickBot="1" x14ac:dyDescent="0.25">
      <c r="B21" s="485" t="s">
        <v>77</v>
      </c>
      <c r="C21" s="204">
        <v>5800</v>
      </c>
      <c r="D21" s="204">
        <v>5800</v>
      </c>
      <c r="G21" s="998"/>
      <c r="H21"/>
      <c r="I21"/>
      <c r="J21" s="59"/>
      <c r="K21" s="59"/>
      <c r="L21" s="59"/>
      <c r="M21" s="59"/>
      <c r="N21"/>
      <c r="O21" s="995"/>
    </row>
    <row r="22" spans="2:144" ht="39" hidden="1" thickBot="1" x14ac:dyDescent="0.25">
      <c r="B22" s="485" t="s">
        <v>78</v>
      </c>
      <c r="C22" s="204">
        <v>8000</v>
      </c>
      <c r="D22" s="204">
        <v>8000</v>
      </c>
      <c r="E22" s="49">
        <v>8000</v>
      </c>
      <c r="G22" s="994" t="s">
        <v>219</v>
      </c>
      <c r="H22" s="1077">
        <f>(+COS(($B$132*-1)*3.14159265358979/180)*(H4))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</row>
    <row r="23" spans="2:144" ht="20" hidden="1" x14ac:dyDescent="0.2">
      <c r="B23" s="204"/>
      <c r="C23" s="204" t="s">
        <v>20</v>
      </c>
      <c r="D23" s="204" t="s">
        <v>21</v>
      </c>
      <c r="G23" s="994" t="s">
        <v>234</v>
      </c>
      <c r="H23" s="1092">
        <f>+BL106-H22+H7</f>
        <v>-171.99509597293456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44" ht="20" hidden="1" x14ac:dyDescent="0.2">
      <c r="B24" s="400" t="s">
        <v>64</v>
      </c>
      <c r="C24" s="204">
        <f>+((C8-C9)/C8)*C7</f>
        <v>143.53271958488017</v>
      </c>
      <c r="D24" s="204">
        <f>+(C9/C8)*C7</f>
        <v>77.767280415119828</v>
      </c>
      <c r="G24" s="998"/>
      <c r="H24"/>
      <c r="I24"/>
      <c r="J24" s="963"/>
      <c r="K24" s="963">
        <f>((+H8-H23)/H8*BQ27)</f>
        <v>398.33495227353689</v>
      </c>
      <c r="L24" s="963">
        <f>(H23/H8*BQ27)</f>
        <v>-177.03495227353682</v>
      </c>
      <c r="M24" s="961" t="s">
        <v>223</v>
      </c>
      <c r="N24"/>
      <c r="O24" s="995"/>
    </row>
    <row r="25" spans="2:144" ht="20" hidden="1" x14ac:dyDescent="0.2">
      <c r="G25" s="998"/>
      <c r="H25"/>
      <c r="I25"/>
      <c r="J25" s="965"/>
      <c r="K25" s="965">
        <f>ABS($H$1/K24)</f>
        <v>45.188100861506591</v>
      </c>
      <c r="L25" s="965">
        <f>ABS($H$1/L24)</f>
        <v>101.67483747609448</v>
      </c>
      <c r="M25" s="967" t="s">
        <v>222</v>
      </c>
      <c r="N25"/>
      <c r="O25" s="995"/>
    </row>
    <row r="26" spans="2:144" ht="21.75" hidden="1" customHeight="1" x14ac:dyDescent="0.2">
      <c r="G26" s="998"/>
      <c r="H26"/>
      <c r="I26"/>
      <c r="J26" s="1733"/>
      <c r="K26" s="1733"/>
      <c r="L26" s="1733">
        <f>ABS($E$22/BQ27)</f>
        <v>36.15002259376412</v>
      </c>
      <c r="M26" s="1734" t="s">
        <v>350</v>
      </c>
      <c r="N26"/>
      <c r="O26" s="995"/>
    </row>
    <row r="27" spans="2:144" ht="31.5" customHeight="1" thickBot="1" x14ac:dyDescent="0.25">
      <c r="G27" s="998"/>
      <c r="H27"/>
      <c r="I27"/>
      <c r="J27" s="59"/>
      <c r="K27" s="59"/>
      <c r="L27" s="59"/>
      <c r="M27" s="59"/>
      <c r="N27"/>
      <c r="O27" s="995"/>
      <c r="BE27" s="74"/>
      <c r="BF27" s="74"/>
      <c r="BG27" s="74"/>
      <c r="BH27" s="74"/>
      <c r="BO27" s="64"/>
      <c r="BP27" s="75" t="s">
        <v>25</v>
      </c>
      <c r="BQ27" s="1814">
        <f>+C7</f>
        <v>221.3</v>
      </c>
      <c r="BR27" s="1814"/>
      <c r="BS27" s="76" t="s">
        <v>17</v>
      </c>
      <c r="BT27" s="76"/>
      <c r="BU27" s="77" t="s">
        <v>170</v>
      </c>
      <c r="BV27" s="78"/>
      <c r="BW27" s="78"/>
      <c r="BX27" s="78"/>
      <c r="BY27" s="78"/>
      <c r="BZ27" s="78"/>
      <c r="CA27" s="78"/>
      <c r="CB27" s="78"/>
      <c r="CC27" s="78"/>
      <c r="CD27" s="78"/>
      <c r="CE27" s="78"/>
      <c r="CF27" s="78"/>
      <c r="CG27" s="78"/>
      <c r="CH27" s="78"/>
      <c r="CI27" s="78"/>
      <c r="CJ27" s="78"/>
      <c r="CK27" s="78"/>
      <c r="CL27" s="78"/>
      <c r="CM27" s="78"/>
      <c r="CN27" s="78"/>
      <c r="CO27" s="78"/>
      <c r="CP27" s="78"/>
      <c r="CQ27" s="78"/>
      <c r="CR27" s="78"/>
      <c r="CS27" s="78"/>
      <c r="CT27" s="78"/>
      <c r="CU27" s="78"/>
      <c r="CV27" s="78"/>
      <c r="CW27" s="78"/>
      <c r="CX27" s="78"/>
      <c r="CY27" s="78"/>
      <c r="CZ27" s="78"/>
      <c r="DA27" s="78"/>
      <c r="DB27" s="78"/>
      <c r="DC27" s="78"/>
      <c r="DD27" s="78"/>
    </row>
    <row r="28" spans="2:144" s="74" customFormat="1" ht="47.25" customHeight="1" thickBot="1" x14ac:dyDescent="0.3">
      <c r="B28" s="187"/>
      <c r="C28" s="187"/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  <c r="P28" s="64"/>
      <c r="Q28" s="64"/>
      <c r="R28" s="64"/>
      <c r="S28" s="64"/>
      <c r="T28" s="64"/>
      <c r="U28" s="64"/>
      <c r="V28" s="64"/>
      <c r="W28" s="64"/>
      <c r="X28" s="64"/>
      <c r="Y28" s="64"/>
      <c r="Z28" s="64"/>
      <c r="AA28" s="64"/>
      <c r="AB28" s="64"/>
      <c r="AC28" s="64"/>
      <c r="AD28" s="64"/>
      <c r="AE28" s="64"/>
      <c r="AF28" s="64"/>
      <c r="AG28" s="64"/>
      <c r="AH28" s="64"/>
      <c r="AI28" s="64"/>
      <c r="AJ28" s="64"/>
      <c r="AK28" s="64"/>
      <c r="AL28" s="64"/>
      <c r="AM28" s="64"/>
      <c r="AN28" s="64"/>
      <c r="AO28" s="64"/>
      <c r="AP28" s="64"/>
      <c r="AQ28" s="64"/>
      <c r="AR28" s="64"/>
      <c r="AS28" s="64"/>
      <c r="AT28" s="64"/>
      <c r="AU28" s="64"/>
      <c r="AV28" s="64"/>
      <c r="AW28" s="64"/>
      <c r="AX28" s="64"/>
      <c r="AY28" s="64"/>
      <c r="AZ28" s="64"/>
      <c r="BA28" s="64"/>
      <c r="BB28" s="64"/>
      <c r="BD28"/>
      <c r="BE28" s="85"/>
      <c r="BF28" s="85"/>
      <c r="BG28" s="85"/>
      <c r="BH28" s="85"/>
      <c r="BI28"/>
      <c r="BJ28"/>
      <c r="BK28"/>
      <c r="BL28"/>
      <c r="BM28" s="81" t="b">
        <f>AND(BQ29&gt;0,CO29&gt;0)</f>
        <v>1</v>
      </c>
      <c r="BN28" s="952" t="str">
        <f>IF(BM28=TRUE,"","negative force at the motor")</f>
        <v/>
      </c>
      <c r="BO28" s="1095" t="s">
        <v>128</v>
      </c>
      <c r="BP28" s="740" t="s">
        <v>27</v>
      </c>
      <c r="BQ28" s="776" t="s">
        <v>28</v>
      </c>
      <c r="BR28" s="777"/>
      <c r="BS28" s="777"/>
      <c r="BT28" s="777"/>
      <c r="BU28" s="777"/>
      <c r="BV28" s="777"/>
      <c r="BW28" s="777"/>
      <c r="BX28" s="777"/>
      <c r="BY28" s="777"/>
      <c r="BZ28" s="777"/>
      <c r="CA28" s="777"/>
      <c r="CB28" s="777"/>
      <c r="CC28" s="777"/>
      <c r="CD28" s="777"/>
      <c r="CE28" s="777"/>
      <c r="CF28" s="777"/>
      <c r="CG28" s="777"/>
      <c r="CH28" s="777"/>
      <c r="CI28" s="884"/>
      <c r="CJ28" s="777"/>
      <c r="CK28" s="885"/>
      <c r="CL28" s="885"/>
      <c r="CM28" s="885"/>
      <c r="CN28" s="885"/>
      <c r="CO28" s="777"/>
      <c r="CP28" s="782" t="s">
        <v>29</v>
      </c>
      <c r="CQ28" s="1801"/>
      <c r="CR28" s="1801"/>
      <c r="CS28" s="1801"/>
      <c r="CT28" s="1801"/>
      <c r="CU28" s="1801"/>
      <c r="CV28" s="1801"/>
      <c r="CW28" s="1801"/>
      <c r="CX28" s="1801"/>
      <c r="CY28" s="1801"/>
      <c r="CZ28" s="1801"/>
      <c r="DA28" s="1802"/>
      <c r="DB28" s="78"/>
      <c r="DC28" s="78"/>
      <c r="DD28" s="78"/>
      <c r="DE28"/>
      <c r="DF28"/>
      <c r="DG28"/>
      <c r="DH28"/>
      <c r="DI28"/>
      <c r="DJ28"/>
      <c r="DK28"/>
      <c r="DL28"/>
      <c r="DM28"/>
      <c r="DN28"/>
      <c r="DO28"/>
      <c r="DP28"/>
      <c r="DQ28"/>
      <c r="DR28"/>
      <c r="DS28"/>
      <c r="DT28"/>
      <c r="DU28"/>
      <c r="DV28"/>
      <c r="DW28"/>
      <c r="DX28"/>
      <c r="DY28"/>
      <c r="DZ28"/>
      <c r="EA28"/>
      <c r="EB28"/>
      <c r="EC28"/>
      <c r="ED28"/>
      <c r="EE28"/>
      <c r="EF28"/>
      <c r="EG28"/>
      <c r="EH28"/>
      <c r="EI28"/>
      <c r="EJ28"/>
      <c r="EK28"/>
      <c r="EL28"/>
      <c r="EM28"/>
      <c r="EN28"/>
    </row>
    <row r="29" spans="2:144" ht="45" customHeight="1" thickBot="1" x14ac:dyDescent="0.3"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  <c r="U29" s="114"/>
      <c r="BE29" s="85"/>
      <c r="BF29" s="85"/>
      <c r="BG29" s="85"/>
      <c r="BH29" s="85"/>
      <c r="BL29" s="968">
        <v>1</v>
      </c>
      <c r="BM29" s="1762" t="b">
        <f>AND(BO29&gt;=10,$BB$142&gt;=10,$BA$142&gt;=10,$BA$164&gt;=10,$BB$164&gt;=10,$BA$196&gt;=10,$BB$196&gt;=10)</f>
        <v>1</v>
      </c>
      <c r="BN29" s="84" t="str">
        <f>IF(BM29=TRUE,"O K","OVERLOAD")</f>
        <v>O K</v>
      </c>
      <c r="BO29" s="982">
        <f>+MIN(J7:L8)</f>
        <v>56.484007687781919</v>
      </c>
      <c r="BP29" s="741" t="s">
        <v>180</v>
      </c>
      <c r="BQ29" s="1809">
        <f>+((D4-D5)/D4)*C7</f>
        <v>79.666990454707374</v>
      </c>
      <c r="BR29" s="1810"/>
      <c r="BS29" s="783"/>
      <c r="BT29" s="783"/>
      <c r="BU29" s="783"/>
      <c r="BV29" s="784"/>
      <c r="BW29" s="784"/>
      <c r="BX29" s="784"/>
      <c r="BY29" s="886"/>
      <c r="BZ29" s="886"/>
      <c r="CA29" s="886"/>
      <c r="CB29" s="886"/>
      <c r="CC29" s="886"/>
      <c r="CD29" s="886"/>
      <c r="CE29" s="886"/>
      <c r="CF29" s="886"/>
      <c r="CG29" s="886"/>
      <c r="CH29" s="886"/>
      <c r="CI29" s="887"/>
      <c r="CJ29" s="783"/>
      <c r="CK29" s="783"/>
      <c r="CL29" s="783"/>
      <c r="CM29" s="784"/>
      <c r="CN29" s="784"/>
      <c r="CO29" s="1799">
        <f>+(D5/D4)*C7</f>
        <v>141.63300954529265</v>
      </c>
      <c r="CP29" s="1800"/>
      <c r="CQ29" s="1803"/>
      <c r="CR29" s="1803"/>
      <c r="CS29" s="1803"/>
      <c r="CT29" s="1803"/>
      <c r="CU29" s="1803"/>
      <c r="CV29" s="1803"/>
      <c r="CW29" s="1803"/>
      <c r="CX29" s="1803"/>
      <c r="CY29" s="1803"/>
      <c r="CZ29" s="1803"/>
      <c r="DA29" s="1804"/>
      <c r="DB29" s="78"/>
      <c r="DC29" s="78"/>
      <c r="DD29" s="78"/>
    </row>
    <row r="30" spans="2:144" ht="15.75" customHeight="1" thickBot="1" x14ac:dyDescent="0.3">
      <c r="G30" s="1000"/>
      <c r="H30" s="63"/>
      <c r="I30"/>
      <c r="J30" s="963"/>
      <c r="K30" s="963">
        <f>((+H8-H23)/H8*BQ27)</f>
        <v>398.33495227353689</v>
      </c>
      <c r="L30" s="963">
        <f>(H23/H8*BQ27)</f>
        <v>-177.03495227353682</v>
      </c>
      <c r="M30" s="961" t="s">
        <v>223</v>
      </c>
      <c r="N30"/>
      <c r="O30" s="995"/>
      <c r="BE30" s="85"/>
      <c r="BF30" s="85"/>
      <c r="BG30" s="85"/>
      <c r="BH30" s="85"/>
      <c r="BN30" s="86"/>
      <c r="BO30" s="85"/>
      <c r="BP30" s="87"/>
      <c r="BQ30" s="88"/>
      <c r="BR30" s="88"/>
      <c r="BS30" s="87"/>
      <c r="BT30" s="87"/>
      <c r="BU30" s="87"/>
      <c r="BV30" s="87"/>
      <c r="BW30" s="87"/>
      <c r="BX30" s="87"/>
      <c r="BY30" s="87"/>
      <c r="BZ30" s="87"/>
      <c r="CA30" s="87"/>
      <c r="CB30" s="87"/>
      <c r="CC30" s="87"/>
      <c r="CD30" s="87"/>
      <c r="CE30" s="87"/>
      <c r="CF30" s="87"/>
      <c r="CG30" s="87"/>
      <c r="CH30" s="87"/>
      <c r="CJ30" s="76"/>
      <c r="CK30" s="76"/>
      <c r="CL30" s="88"/>
      <c r="CM30" s="89"/>
      <c r="CN30" s="89"/>
      <c r="CO30" s="89"/>
      <c r="CP30" s="89"/>
      <c r="CQ30" s="89"/>
      <c r="CR30" s="89"/>
      <c r="CS30" s="89"/>
      <c r="CT30" s="89"/>
      <c r="CU30" s="89"/>
      <c r="CV30" s="89"/>
      <c r="CW30" s="89"/>
      <c r="CX30" s="89"/>
      <c r="CY30" s="89"/>
      <c r="CZ30" s="89"/>
      <c r="DA30" s="89"/>
      <c r="DB30" s="89"/>
      <c r="DC30" s="78"/>
      <c r="DD30" s="78"/>
    </row>
    <row r="31" spans="2:144" ht="47.25" customHeight="1" thickBot="1" x14ac:dyDescent="0.3">
      <c r="F31" s="486"/>
      <c r="G31" s="1000"/>
      <c r="H31" s="63"/>
      <c r="I31"/>
      <c r="J31" s="965"/>
      <c r="K31" s="965">
        <f>ABS($H$1/K30)</f>
        <v>45.188100861506591</v>
      </c>
      <c r="L31" s="965">
        <f>ABS($H$1/L30)</f>
        <v>101.67483747609448</v>
      </c>
      <c r="M31" s="967" t="s">
        <v>222</v>
      </c>
      <c r="N31"/>
      <c r="O31" s="995"/>
      <c r="BE31" s="85"/>
      <c r="BF31" s="85"/>
      <c r="BG31" s="85"/>
      <c r="BH31" s="85"/>
      <c r="BM31" s="81" t="b">
        <f>AND(CB32&gt;0,CZ32&gt;0)</f>
        <v>1</v>
      </c>
      <c r="BN31" s="952" t="str">
        <f>IF(BM31=TRUE,"","negative force at the motor")</f>
        <v/>
      </c>
      <c r="BO31" s="1095" t="s">
        <v>128</v>
      </c>
      <c r="BP31" s="742" t="s">
        <v>27</v>
      </c>
      <c r="BQ31" s="1833"/>
      <c r="BR31" s="1834"/>
      <c r="BS31" s="1834"/>
      <c r="BT31" s="1834"/>
      <c r="BU31" s="1834"/>
      <c r="BV31" s="1834"/>
      <c r="BW31" s="1834"/>
      <c r="BX31" s="1834"/>
      <c r="BY31" s="1834"/>
      <c r="BZ31" s="1834"/>
      <c r="CA31" s="1834"/>
      <c r="CB31" s="772" t="s">
        <v>28</v>
      </c>
      <c r="CC31" s="774"/>
      <c r="CD31" s="774"/>
      <c r="CE31" s="774"/>
      <c r="CF31" s="774"/>
      <c r="CG31" s="774"/>
      <c r="CH31" s="774"/>
      <c r="CI31" s="774"/>
      <c r="CJ31" s="774"/>
      <c r="CK31" s="774"/>
      <c r="CL31" s="774"/>
      <c r="CM31" s="774"/>
      <c r="CN31" s="888"/>
      <c r="CO31" s="765"/>
      <c r="CP31" s="765"/>
      <c r="CQ31" s="765"/>
      <c r="CR31" s="765"/>
      <c r="CS31" s="889"/>
      <c r="CT31" s="889"/>
      <c r="CU31" s="888"/>
      <c r="CV31" s="888"/>
      <c r="CW31" s="888"/>
      <c r="CX31" s="888"/>
      <c r="CY31" s="888"/>
      <c r="CZ31" s="765"/>
      <c r="DA31" s="766" t="s">
        <v>29</v>
      </c>
      <c r="DB31" s="90"/>
      <c r="DC31" s="78"/>
      <c r="DD31" s="78"/>
    </row>
    <row r="32" spans="2:144" ht="45" customHeight="1" thickBot="1" x14ac:dyDescent="0.3">
      <c r="G32" s="1000"/>
      <c r="H32" s="63"/>
      <c r="I32"/>
      <c r="J32" s="1733"/>
      <c r="K32" s="1733"/>
      <c r="L32" s="1733">
        <f>ABS($E$22/BQ27)*2</f>
        <v>72.300045187528241</v>
      </c>
      <c r="M32" s="1734" t="s">
        <v>350</v>
      </c>
      <c r="N32" s="1730" t="s">
        <v>352</v>
      </c>
      <c r="O32" s="995"/>
      <c r="BL32" s="968">
        <v>2</v>
      </c>
      <c r="BM32" s="1762" t="b">
        <f>AND(BO32&gt;=10,$BB$142&gt;=10,$BA$142&gt;=10,$BA$164&gt;=10,$BB$164&gt;=10,$BA$196&gt;=10,$BB$196&gt;=10)</f>
        <v>1</v>
      </c>
      <c r="BN32" s="84" t="str">
        <f>IF(BM32=TRUE,"O K","OVERLOAD")</f>
        <v>O K</v>
      </c>
      <c r="BO32" s="982">
        <f>+MIN(J13:L14)</f>
        <v>45.187785919094885</v>
      </c>
      <c r="BP32" s="743" t="s">
        <v>126</v>
      </c>
      <c r="BQ32" s="1835"/>
      <c r="BR32" s="1836"/>
      <c r="BS32" s="1836"/>
      <c r="BT32" s="1836"/>
      <c r="BU32" s="1836"/>
      <c r="BV32" s="1836"/>
      <c r="BW32" s="1836"/>
      <c r="BX32" s="1836"/>
      <c r="BY32" s="1836"/>
      <c r="BZ32" s="1836"/>
      <c r="CA32" s="1836"/>
      <c r="CB32" s="1840">
        <f>+((D4-D3)/D4)*C7</f>
        <v>177.03899045470737</v>
      </c>
      <c r="CC32" s="1841"/>
      <c r="CD32" s="890"/>
      <c r="CE32" s="890"/>
      <c r="CF32" s="890"/>
      <c r="CG32" s="890"/>
      <c r="CH32" s="890"/>
      <c r="CI32" s="890"/>
      <c r="CJ32" s="890"/>
      <c r="CK32" s="890"/>
      <c r="CL32" s="890"/>
      <c r="CM32" s="890"/>
      <c r="CN32" s="891"/>
      <c r="CO32" s="892"/>
      <c r="CP32" s="892"/>
      <c r="CQ32" s="892"/>
      <c r="CR32" s="892"/>
      <c r="CS32" s="893"/>
      <c r="CT32" s="893"/>
      <c r="CU32" s="883"/>
      <c r="CV32" s="883"/>
      <c r="CW32" s="883"/>
      <c r="CX32" s="883"/>
      <c r="CY32" s="883"/>
      <c r="CZ32" s="1797">
        <f>+(D3/D4)*C7</f>
        <v>44.26100954529263</v>
      </c>
      <c r="DA32" s="1798"/>
      <c r="DB32" s="92"/>
      <c r="DC32" s="78"/>
      <c r="DD32" s="78"/>
    </row>
    <row r="33" spans="2:144" ht="16" customHeight="1" thickBot="1" x14ac:dyDescent="0.3">
      <c r="G33" s="1000"/>
      <c r="H33" s="63"/>
      <c r="I33"/>
      <c r="J33" s="59"/>
      <c r="K33" s="59"/>
      <c r="L33" s="59"/>
      <c r="M33" s="59"/>
      <c r="N33"/>
      <c r="O33" s="995"/>
      <c r="BN33" s="86"/>
      <c r="BO33" s="18"/>
      <c r="BP33" s="93"/>
      <c r="BQ33" s="93"/>
      <c r="BR33" s="93"/>
      <c r="BS33" s="93"/>
      <c r="BT33" s="93"/>
      <c r="BU33" s="93"/>
      <c r="BV33" s="93"/>
      <c r="BW33" s="93"/>
      <c r="BX33" s="93"/>
      <c r="BY33" s="94"/>
      <c r="BZ33" s="94"/>
      <c r="CA33" s="89"/>
      <c r="CB33" s="89"/>
      <c r="CC33" s="89"/>
      <c r="CD33" s="89"/>
      <c r="CE33" s="89"/>
      <c r="CF33" s="89"/>
      <c r="CG33" s="89"/>
      <c r="CH33" s="89"/>
      <c r="CI33" s="89"/>
      <c r="CJ33" s="89"/>
      <c r="CK33" s="89"/>
      <c r="CL33" s="89"/>
      <c r="CM33" s="89"/>
      <c r="CN33" s="37"/>
      <c r="CO33" s="95"/>
      <c r="CP33" s="95"/>
      <c r="CQ33" s="95"/>
      <c r="CR33" s="95"/>
      <c r="CS33" s="92"/>
      <c r="CT33" s="92"/>
      <c r="CU33" s="92"/>
      <c r="CV33" s="92"/>
      <c r="CW33" s="92"/>
      <c r="CX33" s="92"/>
      <c r="CY33" s="92"/>
      <c r="CZ33" s="92"/>
      <c r="DA33" s="92"/>
      <c r="DB33" s="92"/>
      <c r="DC33" s="78"/>
      <c r="DD33" s="78"/>
    </row>
    <row r="34" spans="2:144" ht="47.25" customHeight="1" thickBot="1" x14ac:dyDescent="0.25">
      <c r="E34" s="397"/>
      <c r="F34" s="397"/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  <c r="BM34" s="81" t="b">
        <f>AND(CB35&gt;0,CQ35&gt;0)</f>
        <v>1</v>
      </c>
      <c r="BN34" s="952" t="str">
        <f>IF(BM34=TRUE,"","negative force at the motor")</f>
        <v/>
      </c>
      <c r="BO34" s="1095" t="s">
        <v>128</v>
      </c>
      <c r="BP34" s="744" t="s">
        <v>27</v>
      </c>
      <c r="BQ34" s="1822"/>
      <c r="BR34" s="1823"/>
      <c r="BS34" s="1823"/>
      <c r="BT34" s="1823"/>
      <c r="BU34" s="1823"/>
      <c r="BV34" s="1823"/>
      <c r="BW34" s="1823"/>
      <c r="BX34" s="1823"/>
      <c r="BY34" s="1823"/>
      <c r="BZ34" s="1823"/>
      <c r="CA34" s="1823"/>
      <c r="CB34" s="894" t="s">
        <v>28</v>
      </c>
      <c r="CC34" s="895"/>
      <c r="CD34" s="895"/>
      <c r="CE34" s="895"/>
      <c r="CF34" s="895"/>
      <c r="CG34" s="895"/>
      <c r="CH34" s="895"/>
      <c r="CI34" s="896"/>
      <c r="CJ34" s="895"/>
      <c r="CK34" s="897"/>
      <c r="CL34" s="897"/>
      <c r="CM34" s="895"/>
      <c r="CN34" s="895"/>
      <c r="CO34" s="895"/>
      <c r="CP34" s="895"/>
      <c r="CQ34" s="895"/>
      <c r="CR34" s="898" t="s">
        <v>29</v>
      </c>
      <c r="CS34" s="1801"/>
      <c r="CT34" s="1801"/>
      <c r="CU34" s="1801"/>
      <c r="CV34" s="1801"/>
      <c r="CW34" s="1801"/>
      <c r="CX34" s="1801"/>
      <c r="CY34" s="1801"/>
      <c r="CZ34" s="1801"/>
      <c r="DA34" s="1802"/>
      <c r="DB34" s="89"/>
      <c r="DC34" s="78"/>
      <c r="DD34" s="78"/>
    </row>
    <row r="35" spans="2:144" ht="45" customHeight="1" thickBot="1" x14ac:dyDescent="0.3">
      <c r="E35" s="397"/>
      <c r="F35" s="397"/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  <c r="BL35" s="968">
        <v>3</v>
      </c>
      <c r="BM35" s="1762" t="b">
        <f>AND(BO35&gt;=10,$BB$142&gt;=10,$BA$142&gt;=10,$BA$164&gt;=10,$BB$164&gt;=10,$BA$196&gt;=10,$BB$196&gt;=10)</f>
        <v>1</v>
      </c>
      <c r="BN35" s="84" t="str">
        <f>IF(BM35=TRUE,"O K","OVERLOAD")</f>
        <v>O K</v>
      </c>
      <c r="BO35" s="983">
        <f>+$E$22/(MAX(CB35,CQ35))</f>
        <v>52.582396215653112</v>
      </c>
      <c r="BP35" s="745" t="s">
        <v>123</v>
      </c>
      <c r="BQ35" s="1824"/>
      <c r="BR35" s="1825"/>
      <c r="BS35" s="1825"/>
      <c r="BT35" s="1825"/>
      <c r="BU35" s="1825"/>
      <c r="BV35" s="1825"/>
      <c r="BW35" s="1825"/>
      <c r="BX35" s="1825"/>
      <c r="BY35" s="1825"/>
      <c r="BZ35" s="1825"/>
      <c r="CA35" s="1825"/>
      <c r="CB35" s="1807">
        <f>+((D2-D3)/D2)*C7</f>
        <v>152.14217258548027</v>
      </c>
      <c r="CC35" s="1808"/>
      <c r="CD35" s="899"/>
      <c r="CE35" s="899"/>
      <c r="CF35" s="899"/>
      <c r="CG35" s="899"/>
      <c r="CH35" s="899"/>
      <c r="CI35" s="900"/>
      <c r="CJ35" s="899"/>
      <c r="CK35" s="901"/>
      <c r="CL35" s="901"/>
      <c r="CM35" s="902"/>
      <c r="CN35" s="902"/>
      <c r="CO35" s="902"/>
      <c r="CP35" s="902"/>
      <c r="CQ35" s="1795">
        <f>+(D3/D2)*C7</f>
        <v>69.157827414519744</v>
      </c>
      <c r="CR35" s="1796"/>
      <c r="CS35" s="1803"/>
      <c r="CT35" s="1803"/>
      <c r="CU35" s="1803"/>
      <c r="CV35" s="1803"/>
      <c r="CW35" s="1803"/>
      <c r="CX35" s="1803"/>
      <c r="CY35" s="1803"/>
      <c r="CZ35" s="1803"/>
      <c r="DA35" s="1804"/>
      <c r="DB35" s="89"/>
      <c r="DC35" s="78"/>
      <c r="DD35" s="78"/>
    </row>
    <row r="36" spans="2:144" ht="21" hidden="1" customHeight="1" x14ac:dyDescent="0.25">
      <c r="E36" s="397"/>
      <c r="F36" s="397"/>
      <c r="G36" s="1000"/>
      <c r="H36" s="63"/>
      <c r="I36"/>
      <c r="J36" s="963">
        <f>+H16/H8*BQ27</f>
        <v>-5.0477264631672899E-3</v>
      </c>
      <c r="K36" s="963">
        <f>((H8-H16)/H8)*BQ27</f>
        <v>221.30504772646319</v>
      </c>
      <c r="L36" s="963"/>
      <c r="M36" s="961" t="s">
        <v>223</v>
      </c>
      <c r="N36"/>
      <c r="O36" s="995"/>
      <c r="BN36" s="86"/>
      <c r="BO36" s="18"/>
      <c r="BP36" s="93"/>
      <c r="BQ36" s="93"/>
      <c r="BR36" s="93"/>
      <c r="BS36" s="93"/>
      <c r="BT36" s="93"/>
      <c r="BU36" s="93"/>
      <c r="BV36" s="93"/>
      <c r="BW36" s="93"/>
      <c r="BX36" s="93"/>
      <c r="BY36" s="94"/>
      <c r="BZ36" s="94"/>
      <c r="CA36" s="89"/>
      <c r="CB36" s="89"/>
      <c r="CC36" s="89"/>
      <c r="CD36" s="89"/>
      <c r="CE36" s="89"/>
      <c r="CF36" s="89"/>
      <c r="CG36" s="89"/>
      <c r="CH36" s="89"/>
      <c r="CI36" s="89"/>
      <c r="CJ36" s="89"/>
      <c r="CK36" s="93"/>
      <c r="CL36" s="89"/>
      <c r="CM36" s="89"/>
      <c r="CN36" s="37"/>
      <c r="CO36" s="95"/>
      <c r="CP36" s="95"/>
      <c r="CQ36" s="95"/>
      <c r="CR36" s="95"/>
      <c r="CS36" s="92"/>
      <c r="CT36" s="92"/>
      <c r="CU36" s="92"/>
      <c r="CV36" s="92"/>
      <c r="CW36" s="92"/>
      <c r="CX36" s="92"/>
      <c r="CY36" s="92"/>
      <c r="CZ36" s="92"/>
      <c r="DA36" s="92"/>
      <c r="DB36" s="92"/>
      <c r="DC36" s="78"/>
      <c r="DD36" s="78"/>
    </row>
    <row r="37" spans="2:144" ht="21" hidden="1" customHeight="1" x14ac:dyDescent="0.2">
      <c r="B37" s="399"/>
      <c r="C37" s="399"/>
      <c r="D37" s="397"/>
      <c r="E37" s="397"/>
      <c r="F37" s="397"/>
      <c r="G37" s="1000"/>
      <c r="H37" s="63"/>
      <c r="I37"/>
      <c r="J37" s="965">
        <f>ABS($H$1/J36)</f>
        <v>3565961.8506161217</v>
      </c>
      <c r="K37" s="965">
        <f>ABS($H$1/K36)</f>
        <v>81.335695615259112</v>
      </c>
      <c r="L37" s="965"/>
      <c r="M37" s="967" t="s">
        <v>222</v>
      </c>
      <c r="N37"/>
      <c r="O37" s="995"/>
      <c r="U37" s="114"/>
      <c r="AB37" s="114"/>
      <c r="AC37" s="114"/>
      <c r="AD37" s="114"/>
      <c r="AE37" s="114"/>
      <c r="BE37" s="136"/>
      <c r="BF37" s="136"/>
      <c r="BG37" s="136"/>
      <c r="BH37" s="136"/>
      <c r="BN37" s="86"/>
    </row>
    <row r="38" spans="2:144" ht="21" hidden="1" customHeight="1" x14ac:dyDescent="0.2">
      <c r="B38" s="399"/>
      <c r="C38" s="399"/>
      <c r="D38" s="397"/>
      <c r="E38" s="397"/>
      <c r="F38" s="397"/>
      <c r="G38" s="1000"/>
      <c r="H38" s="63"/>
      <c r="I38"/>
      <c r="J38" s="1733">
        <f>ABS($E$22/BQ27)*2</f>
        <v>72.300045187528241</v>
      </c>
      <c r="K38" s="1733"/>
      <c r="L38" s="1733"/>
      <c r="M38" s="1734" t="s">
        <v>350</v>
      </c>
      <c r="N38" s="1730" t="s">
        <v>352</v>
      </c>
      <c r="O38" s="995"/>
      <c r="U38" s="114"/>
      <c r="AB38" s="114"/>
      <c r="AC38" s="114"/>
      <c r="AD38" s="114"/>
      <c r="AE38" s="114"/>
      <c r="BE38" s="136"/>
      <c r="BF38" s="136"/>
      <c r="BG38" s="136"/>
      <c r="BH38" s="136"/>
      <c r="BN38" s="86"/>
    </row>
    <row r="39" spans="2:144" ht="24" hidden="1" thickBot="1" x14ac:dyDescent="0.3">
      <c r="B39" s="399"/>
      <c r="C39" s="399"/>
      <c r="D39" s="397"/>
      <c r="E39" s="397"/>
      <c r="F39" s="397"/>
      <c r="G39" s="998"/>
      <c r="H39"/>
      <c r="I39"/>
      <c r="J39" s="59"/>
      <c r="K39" s="59"/>
      <c r="L39" s="59"/>
      <c r="M39" s="59"/>
      <c r="N39"/>
      <c r="O39" s="995"/>
      <c r="U39" s="114"/>
      <c r="AB39" s="114"/>
      <c r="AC39" s="114"/>
      <c r="AD39" s="114"/>
      <c r="AE39" s="114"/>
      <c r="BE39" s="136"/>
      <c r="BF39" s="136"/>
      <c r="BG39" s="136"/>
      <c r="BH39" s="136"/>
      <c r="BN39" s="86"/>
      <c r="BO39" s="17"/>
      <c r="BP39" s="177"/>
      <c r="BQ39" s="178"/>
      <c r="BR39" s="178"/>
      <c r="BS39" s="178"/>
      <c r="BT39" s="178"/>
      <c r="BU39" s="178"/>
      <c r="BV39" s="178"/>
      <c r="BW39" s="178"/>
      <c r="BX39" s="178"/>
      <c r="BY39" s="179"/>
      <c r="BZ39" s="179"/>
      <c r="CA39" s="180"/>
      <c r="CB39" s="180"/>
      <c r="CC39" s="180"/>
      <c r="CD39" s="180"/>
      <c r="CE39" s="180"/>
      <c r="CF39" s="180"/>
      <c r="CG39" s="180"/>
      <c r="CH39" s="180"/>
      <c r="CI39" s="37"/>
      <c r="CJ39" s="89"/>
      <c r="CK39" s="181"/>
      <c r="CL39" s="181"/>
      <c r="CM39" s="89"/>
      <c r="CN39" s="89"/>
      <c r="CO39" s="89"/>
      <c r="CP39" s="89"/>
      <c r="CQ39" s="89"/>
      <c r="CR39" s="89"/>
      <c r="CS39" s="89"/>
      <c r="CT39" s="89"/>
      <c r="CU39" s="89"/>
      <c r="CV39" s="89"/>
      <c r="CW39" s="178"/>
      <c r="CX39" s="178"/>
      <c r="CY39" s="178"/>
      <c r="CZ39" s="178"/>
      <c r="DA39" s="178"/>
      <c r="DB39" s="178"/>
      <c r="DC39" s="178"/>
      <c r="DD39" s="178"/>
    </row>
    <row r="40" spans="2:144" ht="24" hidden="1" thickBot="1" x14ac:dyDescent="0.3">
      <c r="B40" s="399"/>
      <c r="C40" s="399"/>
      <c r="D40" s="397"/>
      <c r="E40" s="397"/>
      <c r="F40" s="397"/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/>
      <c r="O40" s="995"/>
      <c r="U40" s="114"/>
      <c r="AB40" s="114"/>
      <c r="AC40" s="114"/>
      <c r="AD40" s="114"/>
      <c r="AE40" s="114"/>
      <c r="BE40" s="136"/>
      <c r="BF40" s="136"/>
      <c r="BG40" s="136"/>
      <c r="BH40" s="136"/>
      <c r="BN40" s="86"/>
      <c r="BO40" s="17"/>
      <c r="BP40" s="177"/>
      <c r="BQ40" s="178"/>
      <c r="BR40" s="178"/>
      <c r="BS40" s="178"/>
      <c r="BT40" s="178"/>
      <c r="BU40" s="178"/>
      <c r="BV40" s="178"/>
      <c r="BW40" s="178"/>
      <c r="BX40" s="178"/>
      <c r="BY40" s="179"/>
      <c r="BZ40" s="179"/>
      <c r="CA40" s="180"/>
      <c r="CB40" s="180"/>
      <c r="CC40" s="180"/>
      <c r="CD40" s="180"/>
      <c r="CE40" s="180"/>
      <c r="CF40" s="180"/>
      <c r="CG40" s="180"/>
      <c r="CH40" s="180"/>
      <c r="CI40" s="37"/>
      <c r="CJ40" s="89"/>
      <c r="CK40" s="181"/>
      <c r="CL40" s="181"/>
      <c r="CM40" s="89"/>
      <c r="CN40" s="89"/>
      <c r="CO40" s="89"/>
      <c r="CP40" s="89"/>
      <c r="CQ40" s="89"/>
      <c r="CR40" s="89"/>
      <c r="CS40" s="89"/>
      <c r="CT40" s="89"/>
      <c r="CU40" s="89"/>
      <c r="CV40" s="89"/>
      <c r="CW40" s="178"/>
      <c r="CX40" s="178"/>
      <c r="CY40" s="178"/>
      <c r="CZ40" s="178"/>
      <c r="DA40" s="178"/>
      <c r="DB40" s="178"/>
      <c r="DC40" s="178"/>
      <c r="DD40" s="178"/>
    </row>
    <row r="41" spans="2:144" ht="24" hidden="1" thickBot="1" x14ac:dyDescent="0.3">
      <c r="B41" s="399"/>
      <c r="C41" s="399"/>
      <c r="D41" s="397"/>
      <c r="E41" s="397"/>
      <c r="F41" s="397"/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  <c r="U41" s="114"/>
      <c r="AB41" s="114"/>
      <c r="AC41" s="114"/>
      <c r="AD41" s="114"/>
      <c r="AE41" s="114"/>
      <c r="BE41" s="136"/>
      <c r="BF41" s="136"/>
      <c r="BG41" s="136"/>
      <c r="BH41" s="136"/>
      <c r="BN41" s="86"/>
      <c r="BO41" s="17"/>
      <c r="BP41" s="177"/>
      <c r="BQ41" s="178"/>
      <c r="BR41" s="178"/>
      <c r="BS41" s="178"/>
      <c r="BT41" s="178"/>
      <c r="BU41" s="178"/>
      <c r="BV41" s="178"/>
      <c r="BW41" s="178"/>
      <c r="BX41" s="178"/>
      <c r="BY41" s="179"/>
      <c r="BZ41" s="179"/>
      <c r="CA41" s="182">
        <v>16</v>
      </c>
      <c r="CB41" s="180"/>
      <c r="CC41" s="180"/>
      <c r="CD41" s="180"/>
      <c r="CE41" s="180"/>
      <c r="CF41" s="180"/>
      <c r="CG41" s="180"/>
      <c r="CH41" s="180"/>
      <c r="CI41" s="37"/>
      <c r="CJ41" s="89"/>
      <c r="CK41" s="181"/>
      <c r="CL41" s="181"/>
      <c r="CM41" s="89"/>
      <c r="CN41" s="89"/>
      <c r="CO41" s="89"/>
      <c r="CP41" s="117" t="b">
        <f>IF(CQ59=27,15)</f>
        <v>0</v>
      </c>
      <c r="CQ41" s="183"/>
      <c r="CR41" s="103" t="b">
        <f>IF(CQ59=27,17)</f>
        <v>0</v>
      </c>
      <c r="CS41" s="89"/>
      <c r="CT41" s="89"/>
      <c r="CU41" s="89"/>
      <c r="CV41" s="89"/>
      <c r="CW41" s="178"/>
      <c r="CX41" s="178"/>
      <c r="CY41" s="178"/>
      <c r="CZ41" s="178"/>
      <c r="DA41" s="178"/>
      <c r="DB41" s="178"/>
      <c r="DC41" s="178"/>
      <c r="DD41" s="178"/>
      <c r="DG41" s="1814"/>
      <c r="DH41" s="1814"/>
      <c r="DI41" s="76"/>
      <c r="DJ41" s="76"/>
      <c r="DK41" s="77"/>
      <c r="DL41" s="78"/>
      <c r="DM41" s="78"/>
      <c r="DN41" s="78"/>
      <c r="DO41" s="78"/>
      <c r="DP41" s="78"/>
      <c r="DQ41" s="78"/>
      <c r="DR41" s="78"/>
      <c r="DS41" s="78"/>
      <c r="DT41" s="78"/>
      <c r="DU41" s="78"/>
      <c r="DV41" s="78"/>
      <c r="DW41" s="78"/>
      <c r="DX41" s="78"/>
      <c r="DY41" s="78"/>
      <c r="DZ41" s="78"/>
      <c r="EA41" s="78"/>
      <c r="EB41" s="78"/>
      <c r="EC41" s="78"/>
      <c r="ED41" s="78"/>
      <c r="EE41" s="78"/>
      <c r="EF41" s="78"/>
      <c r="EG41" s="78"/>
      <c r="EH41" s="78"/>
      <c r="EI41" s="78"/>
      <c r="EJ41" s="78"/>
      <c r="EK41" s="78"/>
      <c r="EL41" s="78"/>
      <c r="EM41" s="74"/>
      <c r="EN41" s="74"/>
    </row>
    <row r="42" spans="2:144" ht="24" hidden="1" thickBot="1" x14ac:dyDescent="0.3">
      <c r="B42" s="64"/>
      <c r="C42" s="399"/>
      <c r="E42" s="64"/>
      <c r="G42" s="1002" t="s">
        <v>245</v>
      </c>
      <c r="H42" s="1078">
        <f>SUM(BQ100:CA100)</f>
        <v>8</v>
      </c>
      <c r="I42"/>
      <c r="J42" s="963">
        <f>+H43/H8*BQ27/2</f>
        <v>199.17000000000002</v>
      </c>
      <c r="K42" s="963">
        <f>((H8-H43)/H8)*BQ27/2</f>
        <v>-88.52000000000001</v>
      </c>
      <c r="L42" s="963">
        <f>+BQ27/2</f>
        <v>110.65</v>
      </c>
      <c r="M42" s="961" t="s">
        <v>223</v>
      </c>
      <c r="N42"/>
      <c r="O42" s="995"/>
      <c r="U42" s="114"/>
      <c r="AB42" s="114"/>
      <c r="AC42" s="114"/>
      <c r="AD42" s="114"/>
      <c r="AE42" s="114"/>
      <c r="BE42" s="136"/>
      <c r="BF42" s="136"/>
      <c r="BG42" s="136"/>
      <c r="BH42" s="136"/>
      <c r="BN42" s="86"/>
      <c r="BO42" s="17"/>
      <c r="BP42" s="177"/>
      <c r="BQ42" s="178"/>
      <c r="BR42" s="178"/>
      <c r="BS42" s="178"/>
      <c r="BT42" s="178"/>
      <c r="BU42" s="178"/>
      <c r="BV42" s="178"/>
      <c r="BW42" s="178"/>
      <c r="BX42" s="178"/>
      <c r="BY42" s="179"/>
      <c r="BZ42" s="179"/>
      <c r="CA42" s="182">
        <v>15</v>
      </c>
      <c r="CB42" s="180"/>
      <c r="CC42" s="180"/>
      <c r="CD42" s="180"/>
      <c r="CE42" s="180"/>
      <c r="CF42" s="180"/>
      <c r="CG42" s="180"/>
      <c r="CH42" s="180"/>
      <c r="CI42" s="37"/>
      <c r="CJ42" s="89"/>
      <c r="CK42" s="181"/>
      <c r="CL42" s="181"/>
      <c r="CM42" s="89"/>
      <c r="CN42" s="117" t="b">
        <f>IF(CP59=26,13)</f>
        <v>0</v>
      </c>
      <c r="CO42" s="183"/>
      <c r="CP42" s="183"/>
      <c r="CQ42" s="183"/>
      <c r="CR42" s="103" t="b">
        <f>IF(CP59=26,17)</f>
        <v>0</v>
      </c>
      <c r="CS42" s="89"/>
      <c r="CT42" s="89"/>
      <c r="CU42" s="89"/>
      <c r="CV42" s="89"/>
      <c r="CW42" s="178"/>
      <c r="CX42" s="178"/>
      <c r="CY42" s="178"/>
      <c r="CZ42" s="178"/>
      <c r="DA42" s="178"/>
      <c r="DB42" s="178"/>
      <c r="DC42" s="178"/>
      <c r="DD42" s="178"/>
      <c r="EK42" s="78"/>
      <c r="EL42" s="78"/>
    </row>
    <row r="43" spans="2:144" ht="31" hidden="1" thickBot="1" x14ac:dyDescent="0.35">
      <c r="B43" s="67"/>
      <c r="C43" s="399"/>
      <c r="E43" s="68"/>
      <c r="G43" s="994" t="s">
        <v>243</v>
      </c>
      <c r="H43" s="1077">
        <f>$H$5-((H42-1)*$E$2)</f>
        <v>387</v>
      </c>
      <c r="I43"/>
      <c r="J43" s="965">
        <f>ABS($H$1/J42)</f>
        <v>90.375056484410294</v>
      </c>
      <c r="K43" s="965">
        <f>ABS($H$1/K42)</f>
        <v>203.34387708992315</v>
      </c>
      <c r="L43" s="965">
        <f>ABS($H$1/L42)</f>
        <v>162.67510167193853</v>
      </c>
      <c r="M43" s="967" t="s">
        <v>222</v>
      </c>
      <c r="N43"/>
      <c r="O43" s="995"/>
      <c r="U43" s="114"/>
      <c r="AB43" s="114"/>
      <c r="AC43" s="114"/>
      <c r="AD43" s="114"/>
      <c r="AE43" s="114"/>
      <c r="BE43" s="136"/>
      <c r="BF43" s="136"/>
      <c r="BG43" s="136"/>
      <c r="BH43" s="136"/>
      <c r="BN43" s="86"/>
      <c r="BO43" s="17"/>
      <c r="BP43" s="177"/>
      <c r="BQ43" s="178"/>
      <c r="BR43" s="178"/>
      <c r="BS43" s="178"/>
      <c r="BT43" s="178"/>
      <c r="BU43" s="178"/>
      <c r="BV43" s="178"/>
      <c r="BW43" s="178"/>
      <c r="BX43" s="178"/>
      <c r="BY43" s="179"/>
      <c r="BZ43" s="179"/>
      <c r="CA43" s="182">
        <v>14</v>
      </c>
      <c r="CB43" s="180"/>
      <c r="CC43" s="180"/>
      <c r="CD43" s="180"/>
      <c r="CE43" s="180"/>
      <c r="CF43" s="180"/>
      <c r="CG43" s="180"/>
      <c r="CH43" s="180"/>
      <c r="CI43" s="37"/>
      <c r="CJ43" s="89"/>
      <c r="CK43" s="181"/>
      <c r="CL43" s="117" t="b">
        <f>IF(CO59=25,11)</f>
        <v>0</v>
      </c>
      <c r="CM43" s="183"/>
      <c r="CN43" s="184"/>
      <c r="CO43" s="184"/>
      <c r="CP43" s="184"/>
      <c r="CQ43" s="184"/>
      <c r="CR43" s="124" t="b">
        <f>IF(CO59=25,17)</f>
        <v>0</v>
      </c>
      <c r="CS43" s="89"/>
      <c r="CT43" s="89"/>
      <c r="CU43" s="89"/>
      <c r="CV43" s="89"/>
      <c r="CW43" s="178"/>
      <c r="CX43" s="178"/>
      <c r="CY43" s="178"/>
      <c r="CZ43" s="178"/>
      <c r="DA43" s="178"/>
      <c r="DB43" s="178"/>
      <c r="DC43" s="178"/>
      <c r="DD43" s="178"/>
      <c r="EK43" s="78"/>
      <c r="EL43" s="78"/>
    </row>
    <row r="44" spans="2:144" ht="21" hidden="1" thickBot="1" x14ac:dyDescent="0.25">
      <c r="B44" s="487"/>
      <c r="C44" s="487"/>
      <c r="D44" s="487"/>
      <c r="E44" s="487"/>
      <c r="G44" s="1000"/>
      <c r="H44" s="63"/>
      <c r="I44"/>
      <c r="J44" s="1733"/>
      <c r="K44" s="1733"/>
      <c r="L44" s="1733">
        <f>ABS($E$22/BQ27)*2</f>
        <v>72.300045187528241</v>
      </c>
      <c r="M44" s="1734" t="s">
        <v>350</v>
      </c>
      <c r="N44" s="1730" t="s">
        <v>352</v>
      </c>
      <c r="O44" s="995"/>
      <c r="U44" s="114"/>
      <c r="AB44" s="114"/>
      <c r="AC44" s="114"/>
      <c r="AD44" s="114"/>
      <c r="AE44" s="114"/>
      <c r="BE44" s="136"/>
      <c r="BF44" s="136"/>
      <c r="BG44" s="136"/>
      <c r="BH44" s="136"/>
      <c r="BN44" s="86"/>
      <c r="BO44" s="1091"/>
      <c r="BP44" s="177"/>
      <c r="BQ44" s="178"/>
      <c r="BR44" s="178"/>
      <c r="BS44" s="178"/>
      <c r="BT44" s="178"/>
      <c r="BU44" s="178"/>
      <c r="BV44" s="178"/>
      <c r="BW44" s="178"/>
      <c r="BX44" s="178"/>
      <c r="CA44" s="182">
        <v>13</v>
      </c>
      <c r="CB44" s="178"/>
      <c r="CC44" s="177"/>
      <c r="CD44" s="177"/>
      <c r="CE44" s="177"/>
      <c r="CF44" s="177"/>
      <c r="CG44" s="177"/>
      <c r="CH44" s="177"/>
      <c r="CI44" s="177"/>
      <c r="CJ44" s="117" t="b">
        <f>IF(CN59=24,9)</f>
        <v>0</v>
      </c>
      <c r="CK44" s="185"/>
      <c r="CL44" s="186"/>
      <c r="CM44" s="122"/>
      <c r="CN44" s="186"/>
      <c r="CO44" s="122"/>
      <c r="CP44" s="122"/>
      <c r="CQ44" s="121"/>
      <c r="CR44" s="124" t="b">
        <f>IF(CN59=24,17)</f>
        <v>0</v>
      </c>
      <c r="CS44" s="78"/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EK44" s="78"/>
      <c r="EL44" s="78"/>
    </row>
    <row r="45" spans="2:144" ht="21" hidden="1" thickBot="1" x14ac:dyDescent="0.25">
      <c r="B45" s="488"/>
      <c r="C45" s="489"/>
      <c r="D45" s="488"/>
      <c r="E45" s="488"/>
      <c r="G45" s="998"/>
      <c r="H45" s="1069" t="s">
        <v>263</v>
      </c>
      <c r="I45"/>
      <c r="J45" s="59"/>
      <c r="K45" s="59"/>
      <c r="L45" s="59"/>
      <c r="M45" s="59"/>
      <c r="N45"/>
      <c r="O45" s="995"/>
      <c r="U45" s="114"/>
      <c r="AB45" s="114"/>
      <c r="AC45" s="114"/>
      <c r="AD45" s="114"/>
      <c r="AE45" s="114"/>
      <c r="BE45" s="136"/>
      <c r="BF45" s="136"/>
      <c r="BG45" s="136"/>
      <c r="BH45" s="136"/>
      <c r="BN45" s="86"/>
      <c r="BO45" s="1091"/>
      <c r="BP45" s="177"/>
      <c r="BQ45" s="177"/>
      <c r="BR45" s="178"/>
      <c r="BS45" s="177"/>
      <c r="BT45" s="177"/>
      <c r="BU45" s="177"/>
      <c r="CA45" s="182">
        <v>12</v>
      </c>
      <c r="CB45" s="178"/>
      <c r="CC45" s="177"/>
      <c r="CD45" s="177"/>
      <c r="CE45" s="177"/>
      <c r="CF45" s="177"/>
      <c r="CG45" s="177"/>
      <c r="CH45" s="117" t="b">
        <f>IF(CM59=23,7)</f>
        <v>0</v>
      </c>
      <c r="CI45" s="185"/>
      <c r="CJ45" s="185"/>
      <c r="CK45" s="118"/>
      <c r="CL45" s="185"/>
      <c r="CM45" s="185"/>
      <c r="CN45" s="185"/>
      <c r="CO45" s="118"/>
      <c r="CP45" s="118"/>
      <c r="CQ45" s="111"/>
      <c r="CR45" s="103" t="b">
        <f>IF(CM59=23,17)</f>
        <v>0</v>
      </c>
      <c r="CS45" s="78"/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EK45" s="78"/>
      <c r="EL45" s="78"/>
    </row>
    <row r="46" spans="2:144" ht="21" hidden="1" thickBot="1" x14ac:dyDescent="0.25">
      <c r="B46" s="399"/>
      <c r="C46" s="399"/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  <c r="U46" s="114"/>
      <c r="AB46" s="114"/>
      <c r="AC46" s="114"/>
      <c r="AD46" s="114"/>
      <c r="AE46" s="114"/>
      <c r="BE46" s="136"/>
      <c r="BF46" s="136"/>
      <c r="BG46" s="136"/>
      <c r="BH46" s="136"/>
      <c r="BN46" s="86"/>
      <c r="BO46" s="1091"/>
      <c r="BP46" s="177"/>
      <c r="BQ46" s="177"/>
      <c r="BR46" s="178"/>
      <c r="BS46" s="177"/>
      <c r="BT46" s="177"/>
      <c r="BU46" s="177"/>
      <c r="CA46" s="182">
        <v>11</v>
      </c>
      <c r="CB46" s="178"/>
      <c r="CC46" s="177"/>
      <c r="CD46" s="177"/>
      <c r="CE46" s="177"/>
      <c r="CF46" s="117" t="b">
        <f>IF(CL59=22,5)</f>
        <v>0</v>
      </c>
      <c r="CG46" s="185"/>
      <c r="CH46" s="185"/>
      <c r="CI46" s="118"/>
      <c r="CJ46" s="185"/>
      <c r="CK46" s="118"/>
      <c r="CL46" s="185"/>
      <c r="CM46" s="118"/>
      <c r="CN46" s="185"/>
      <c r="CO46" s="118"/>
      <c r="CP46" s="118"/>
      <c r="CQ46" s="111"/>
      <c r="CR46" s="103" t="b">
        <f>IF(CL59=22,17)</f>
        <v>0</v>
      </c>
      <c r="CS46" s="78"/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DG46" s="107"/>
      <c r="DH46" s="107"/>
      <c r="DI46" s="107"/>
      <c r="DJ46" s="107"/>
      <c r="DK46" s="107"/>
      <c r="DL46" s="108"/>
      <c r="DM46" s="107"/>
      <c r="DN46" s="107"/>
      <c r="DO46" s="107"/>
      <c r="DP46" s="107"/>
      <c r="DQ46" s="107"/>
      <c r="DR46" s="107"/>
      <c r="DS46" s="107"/>
      <c r="DT46" s="107"/>
      <c r="DU46" s="107"/>
      <c r="DV46" s="107"/>
      <c r="DW46" s="107"/>
      <c r="DX46" s="107"/>
      <c r="DY46" s="107"/>
      <c r="DZ46" s="107"/>
      <c r="EA46" s="107"/>
      <c r="EB46" s="107"/>
      <c r="EC46" s="107"/>
      <c r="ED46" s="108"/>
      <c r="EE46" s="78"/>
      <c r="EF46" s="78"/>
      <c r="EG46" s="78"/>
      <c r="EH46" s="78"/>
      <c r="EI46" s="78"/>
      <c r="EJ46" s="78"/>
      <c r="EK46" s="78"/>
      <c r="EL46" s="78"/>
    </row>
    <row r="47" spans="2:144" ht="24" hidden="1" thickBot="1" x14ac:dyDescent="0.3">
      <c r="B47" s="490"/>
      <c r="C47" s="399"/>
      <c r="D47" s="491"/>
      <c r="E47" s="492"/>
      <c r="F47" s="397"/>
      <c r="G47" s="1002" t="s">
        <v>245</v>
      </c>
      <c r="H47" s="1079">
        <f>SUM(CQ100:DA100)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  <c r="U47" s="114"/>
      <c r="AB47" s="114"/>
      <c r="AC47" s="114"/>
      <c r="AD47" s="114"/>
      <c r="AE47" s="114"/>
      <c r="BE47" s="136"/>
      <c r="BF47" s="136"/>
      <c r="BG47" s="136"/>
      <c r="BH47" s="136"/>
      <c r="BN47" s="86"/>
      <c r="BO47" s="1091"/>
      <c r="BP47" s="177"/>
      <c r="BQ47" s="177"/>
      <c r="BR47" s="178"/>
      <c r="BS47" s="177"/>
      <c r="BT47" s="177"/>
      <c r="BU47" s="177"/>
      <c r="CA47" s="182">
        <v>10</v>
      </c>
      <c r="CB47" s="178"/>
      <c r="CC47" s="177"/>
      <c r="CD47" s="117" t="b">
        <f>IF(CK59=21,3)</f>
        <v>0</v>
      </c>
      <c r="CE47" s="185"/>
      <c r="CF47" s="185"/>
      <c r="CG47" s="118"/>
      <c r="CH47" s="118"/>
      <c r="CI47" s="118"/>
      <c r="CJ47" s="185"/>
      <c r="CK47" s="185"/>
      <c r="CL47" s="185"/>
      <c r="CM47" s="118"/>
      <c r="CN47" s="185"/>
      <c r="CO47" s="118"/>
      <c r="CP47" s="118"/>
      <c r="CQ47" s="111"/>
      <c r="CR47" s="103" t="b">
        <f>IF(CK59=21,17)</f>
        <v>0</v>
      </c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DG47" s="107"/>
      <c r="DH47" s="107"/>
      <c r="DI47" s="107"/>
      <c r="DJ47" s="107"/>
      <c r="DK47" s="107"/>
      <c r="DL47" s="108"/>
      <c r="DM47" s="107"/>
      <c r="DN47" s="107"/>
      <c r="DO47" s="107"/>
      <c r="DP47" s="107"/>
      <c r="DQ47" s="107"/>
      <c r="DR47" s="107"/>
      <c r="DS47" s="107"/>
      <c r="DT47" s="107"/>
      <c r="DU47" s="107"/>
      <c r="DV47" s="107"/>
      <c r="DW47" s="107"/>
      <c r="DX47" s="107"/>
      <c r="DY47" s="107"/>
      <c r="DZ47" s="107"/>
      <c r="EA47" s="107"/>
      <c r="EB47" s="107"/>
      <c r="EC47" s="107"/>
      <c r="ED47" s="108"/>
      <c r="EE47" s="78"/>
      <c r="EF47" s="78"/>
      <c r="EG47" s="78"/>
      <c r="EH47" s="78"/>
      <c r="EI47" s="78"/>
      <c r="EJ47" s="78"/>
      <c r="EK47" s="78"/>
      <c r="EL47" s="78"/>
    </row>
    <row r="48" spans="2:144" ht="21" hidden="1" thickBot="1" x14ac:dyDescent="0.25">
      <c r="B48" s="488"/>
      <c r="C48" s="399"/>
      <c r="D48" s="488"/>
      <c r="E48" s="20"/>
      <c r="F48" s="397"/>
      <c r="G48" s="994" t="s">
        <v>243</v>
      </c>
      <c r="H48" s="1077">
        <f>($E$2*(H47-1))-$H$4</f>
        <v>-903</v>
      </c>
      <c r="I48"/>
      <c r="J48" s="963">
        <f>+BQ27/2</f>
        <v>110.65</v>
      </c>
      <c r="K48" s="963">
        <f>((H8-H48)/H8)*BQ27/2</f>
        <v>575.38</v>
      </c>
      <c r="L48" s="963">
        <f>+H48/H8*BQ27/2</f>
        <v>-464.73</v>
      </c>
      <c r="M48" s="961" t="s">
        <v>223</v>
      </c>
      <c r="N48"/>
      <c r="O48" s="995"/>
      <c r="U48" s="114"/>
      <c r="AB48" s="114"/>
      <c r="AC48" s="114"/>
      <c r="AD48" s="114"/>
      <c r="AE48" s="114"/>
      <c r="BE48" s="136"/>
      <c r="BF48" s="136"/>
      <c r="BG48" s="136"/>
      <c r="BH48" s="136"/>
      <c r="BN48" s="86"/>
      <c r="BO48" s="1091"/>
      <c r="BP48" s="177"/>
      <c r="BQ48" s="177"/>
      <c r="BR48" s="178"/>
      <c r="BS48" s="177"/>
      <c r="BT48" s="177"/>
      <c r="BU48" s="177"/>
      <c r="CA48" s="182">
        <v>9</v>
      </c>
      <c r="CB48" s="117" t="b">
        <f>IF(CJ59=20,1)</f>
        <v>0</v>
      </c>
      <c r="CC48" s="185"/>
      <c r="CD48" s="185"/>
      <c r="CE48" s="118"/>
      <c r="CF48" s="185"/>
      <c r="CG48" s="185"/>
      <c r="CH48" s="185"/>
      <c r="CI48" s="185"/>
      <c r="CJ48" s="185"/>
      <c r="CK48" s="185"/>
      <c r="CL48" s="185"/>
      <c r="CM48" s="185"/>
      <c r="CN48" s="185"/>
      <c r="CO48" s="118"/>
      <c r="CP48" s="118"/>
      <c r="CQ48" s="111"/>
      <c r="CR48" s="103" t="b">
        <f>IF(CJ59=20,17)</f>
        <v>0</v>
      </c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EK48" s="78"/>
      <c r="EL48" s="78"/>
    </row>
    <row r="49" spans="2:142" ht="21" hidden="1" thickBot="1" x14ac:dyDescent="0.25">
      <c r="B49" s="399"/>
      <c r="C49" s="399"/>
      <c r="F49" s="397"/>
      <c r="G49" s="998"/>
      <c r="H49"/>
      <c r="I49"/>
      <c r="J49" s="965">
        <f>ABS($H$1/J48)</f>
        <v>162.67510167193853</v>
      </c>
      <c r="K49" s="965">
        <f>ABS($H$1/K48)</f>
        <v>31.283673398449722</v>
      </c>
      <c r="L49" s="965">
        <f>ABS($H$1/L48)</f>
        <v>38.732167064747273</v>
      </c>
      <c r="M49" s="967" t="s">
        <v>222</v>
      </c>
      <c r="N49" s="74"/>
      <c r="O49" s="1010"/>
      <c r="U49" s="114"/>
      <c r="AB49" s="114"/>
      <c r="AC49" s="114"/>
      <c r="AD49" s="114"/>
      <c r="AE49" s="114"/>
      <c r="BE49" s="136"/>
      <c r="BF49" s="136"/>
      <c r="BG49" s="136"/>
      <c r="BH49" s="136"/>
      <c r="BN49" s="86"/>
      <c r="BO49" s="1091"/>
      <c r="BP49" s="177"/>
      <c r="BQ49" s="177"/>
      <c r="BR49" s="178"/>
      <c r="BS49" s="177"/>
      <c r="BT49" s="177"/>
      <c r="BU49" s="177"/>
      <c r="CA49" s="182">
        <v>8</v>
      </c>
      <c r="CB49" s="120" t="b">
        <f>IF(CI59=19,1)</f>
        <v>0</v>
      </c>
      <c r="CC49" s="122"/>
      <c r="CD49" s="186"/>
      <c r="CE49" s="186"/>
      <c r="CF49" s="186"/>
      <c r="CG49" s="186"/>
      <c r="CH49" s="186"/>
      <c r="CI49" s="186"/>
      <c r="CJ49" s="186"/>
      <c r="CK49" s="186"/>
      <c r="CL49" s="186"/>
      <c r="CM49" s="186"/>
      <c r="CN49" s="186"/>
      <c r="CO49" s="122"/>
      <c r="CP49" s="124" t="b">
        <f>IF(CI59=19,15)</f>
        <v>0</v>
      </c>
      <c r="CQ49" s="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EK49" s="78"/>
      <c r="EL49" s="78"/>
    </row>
    <row r="50" spans="2:142" ht="24.75" hidden="1" customHeight="1" thickBot="1" x14ac:dyDescent="0.25">
      <c r="B50" s="399"/>
      <c r="C50" s="399"/>
      <c r="G50" s="998"/>
      <c r="H50"/>
      <c r="I50"/>
      <c r="J50" s="1733">
        <f>ABS($E$22/BQ27)*2</f>
        <v>72.300045187528241</v>
      </c>
      <c r="K50" s="1733"/>
      <c r="L50" s="1733"/>
      <c r="M50" s="1734" t="s">
        <v>350</v>
      </c>
      <c r="N50" s="1730" t="s">
        <v>352</v>
      </c>
      <c r="O50" s="995"/>
      <c r="U50" s="114"/>
      <c r="AB50" s="114"/>
      <c r="AC50" s="114"/>
      <c r="AD50" s="114"/>
      <c r="AE50" s="114"/>
      <c r="BE50" s="136"/>
      <c r="BF50" s="136"/>
      <c r="BG50" s="136"/>
      <c r="BH50" s="136"/>
      <c r="BN50" s="86"/>
      <c r="BO50" s="1091"/>
      <c r="BP50" s="177"/>
      <c r="BQ50" s="177"/>
      <c r="BR50" s="178"/>
      <c r="BS50" s="177"/>
      <c r="BT50" s="177"/>
      <c r="BU50" s="177"/>
      <c r="CA50" s="182">
        <v>7</v>
      </c>
      <c r="CB50" s="120" t="b">
        <f>IF(CH59=18,1)</f>
        <v>0</v>
      </c>
      <c r="CC50" s="186"/>
      <c r="CD50" s="186"/>
      <c r="CE50" s="186"/>
      <c r="CF50" s="186"/>
      <c r="CG50" s="186"/>
      <c r="CH50" s="186"/>
      <c r="CI50" s="186"/>
      <c r="CJ50" s="186"/>
      <c r="CK50" s="186"/>
      <c r="CL50" s="186"/>
      <c r="CM50" s="186"/>
      <c r="CN50" s="124" t="b">
        <f>IF(CH59=18,13)</f>
        <v>0</v>
      </c>
      <c r="CO50" s="178"/>
      <c r="CQ50" s="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EK50" s="78"/>
      <c r="EL50" s="78"/>
    </row>
    <row r="51" spans="2:142" ht="21" hidden="1" thickBot="1" x14ac:dyDescent="0.25">
      <c r="G51" s="998"/>
      <c r="H51"/>
      <c r="I51"/>
      <c r="J51" s="59"/>
      <c r="K51" s="59"/>
      <c r="L51" s="59"/>
      <c r="M51" s="59"/>
      <c r="N51"/>
      <c r="O51" s="995"/>
      <c r="U51" s="114"/>
      <c r="AB51" s="114"/>
      <c r="AC51" s="114"/>
      <c r="AD51" s="114"/>
      <c r="AE51" s="114"/>
      <c r="BE51" s="136"/>
      <c r="BF51" s="136"/>
      <c r="BG51" s="136"/>
      <c r="BH51" s="136"/>
      <c r="BN51" s="86"/>
      <c r="BO51" s="1091"/>
      <c r="BP51" s="177"/>
      <c r="BQ51" s="177"/>
      <c r="BR51" s="178"/>
      <c r="BS51" s="177"/>
      <c r="BT51" s="177"/>
      <c r="BU51" s="177"/>
      <c r="CA51" s="182">
        <v>6</v>
      </c>
      <c r="CB51" s="120">
        <f>IF(CG59=17,1)</f>
        <v>1</v>
      </c>
      <c r="CC51" s="186"/>
      <c r="CD51" s="186"/>
      <c r="CE51" s="186"/>
      <c r="CF51" s="186"/>
      <c r="CG51" s="186"/>
      <c r="CH51" s="186"/>
      <c r="CI51" s="186"/>
      <c r="CJ51" s="186"/>
      <c r="CK51" s="186"/>
      <c r="CL51" s="124">
        <f>IF(CG59=17,11)</f>
        <v>11</v>
      </c>
      <c r="CM51" s="177"/>
      <c r="CN51" s="177"/>
      <c r="CO51" s="178"/>
      <c r="CQ51" s="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EK51" s="78"/>
      <c r="EL51" s="78"/>
    </row>
    <row r="52" spans="2:142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 s="1720"/>
      <c r="O52" s="995"/>
      <c r="U52" s="114"/>
      <c r="AB52" s="114"/>
      <c r="AC52" s="114"/>
      <c r="AD52" s="114"/>
      <c r="AE52" s="114"/>
      <c r="BE52" s="136"/>
      <c r="BF52" s="136"/>
      <c r="BG52" s="136"/>
      <c r="BH52" s="136"/>
      <c r="BN52" s="86"/>
      <c r="BO52" s="1091"/>
      <c r="BP52" s="177"/>
      <c r="BQ52" s="177"/>
      <c r="BR52" s="178"/>
      <c r="BS52" s="177"/>
      <c r="BT52" s="177"/>
      <c r="BU52" s="177"/>
      <c r="CA52" s="182">
        <v>5</v>
      </c>
      <c r="CB52" s="117" t="b">
        <f>IF(CF59=16,1)</f>
        <v>0</v>
      </c>
      <c r="CC52" s="185"/>
      <c r="CD52" s="185"/>
      <c r="CE52" s="118"/>
      <c r="CF52" s="185"/>
      <c r="CG52" s="118"/>
      <c r="CH52" s="185"/>
      <c r="CI52" s="185"/>
      <c r="CJ52" s="103" t="b">
        <f>IF(CF59=16,9)</f>
        <v>0</v>
      </c>
      <c r="CK52" s="177"/>
      <c r="CL52" s="177"/>
      <c r="CM52" s="177"/>
      <c r="CN52" s="177"/>
      <c r="CO52" s="178"/>
      <c r="CQ52" s="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EK52" s="78"/>
      <c r="EL52" s="78"/>
    </row>
    <row r="53" spans="2:142" ht="24" hidden="1" thickBot="1" x14ac:dyDescent="0.3">
      <c r="B53" s="406"/>
      <c r="C53" s="406"/>
      <c r="D53" s="407"/>
      <c r="E53" s="407"/>
      <c r="F53" s="407"/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D53" s="126"/>
      <c r="BE53" s="136"/>
      <c r="BF53" s="136"/>
      <c r="BG53" s="136"/>
      <c r="BH53" s="136"/>
      <c r="BN53" s="86"/>
      <c r="BO53" s="1091"/>
      <c r="BP53" s="177"/>
      <c r="BQ53" s="177"/>
      <c r="BR53" s="178"/>
      <c r="BS53" s="177"/>
      <c r="BT53" s="177"/>
      <c r="BU53" s="177"/>
      <c r="CA53" s="182">
        <v>4</v>
      </c>
      <c r="CB53" s="117" t="b">
        <f>IF(CE59=15,1)</f>
        <v>0</v>
      </c>
      <c r="CC53" s="118"/>
      <c r="CD53" s="118"/>
      <c r="CE53" s="185"/>
      <c r="CF53" s="118"/>
      <c r="CG53" s="118"/>
      <c r="CH53" s="103" t="b">
        <f>IF(CE59=15,7)</f>
        <v>0</v>
      </c>
      <c r="CI53" s="177"/>
      <c r="CJ53" s="177"/>
      <c r="CK53" s="177"/>
      <c r="CL53" s="177"/>
      <c r="CM53" s="177"/>
      <c r="CN53" s="177"/>
      <c r="CO53" s="1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EK53" s="78"/>
      <c r="EL53" s="78"/>
    </row>
    <row r="54" spans="2:142" ht="21" hidden="1" thickBot="1" x14ac:dyDescent="0.25">
      <c r="G54" s="994" t="s">
        <v>243</v>
      </c>
      <c r="H54" s="956"/>
      <c r="I54"/>
      <c r="J54" s="963">
        <f>+((H6-D3)/H6)*BQ27</f>
        <v>142.26248295483461</v>
      </c>
      <c r="K54" s="963"/>
      <c r="L54" s="963">
        <f>+(D3/H6)*BQ27</f>
        <v>79.037517045165416</v>
      </c>
      <c r="M54" s="961" t="s">
        <v>223</v>
      </c>
      <c r="N54"/>
      <c r="O54" s="995"/>
      <c r="BD54" s="126"/>
      <c r="BE54" s="136"/>
      <c r="BF54" s="136"/>
      <c r="BG54" s="136"/>
      <c r="BH54" s="136"/>
      <c r="BN54" s="86"/>
      <c r="BO54" s="1091"/>
      <c r="BP54" s="177"/>
      <c r="BQ54" s="177"/>
      <c r="BR54" s="178"/>
      <c r="BS54" s="177"/>
      <c r="BT54" s="177"/>
      <c r="BU54" s="177"/>
      <c r="CA54" s="182">
        <v>3</v>
      </c>
      <c r="CB54" s="120" t="b">
        <f>IF(CD59=14,1)</f>
        <v>0</v>
      </c>
      <c r="CC54" s="186"/>
      <c r="CD54" s="186"/>
      <c r="CE54" s="186"/>
      <c r="CF54" s="124" t="b">
        <f>IF(CD59=14,5)</f>
        <v>0</v>
      </c>
      <c r="CG54" s="177"/>
      <c r="CH54" s="177"/>
      <c r="CI54" s="177"/>
      <c r="CJ54" s="177"/>
      <c r="CK54" s="177"/>
      <c r="CL54" s="177"/>
      <c r="CM54" s="177"/>
      <c r="CN54" s="177"/>
      <c r="CO54" s="178"/>
      <c r="CQ54" s="78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EK54" s="78"/>
      <c r="EL54" s="78"/>
    </row>
    <row r="55" spans="2:142" ht="21" hidden="1" thickBot="1" x14ac:dyDescent="0.25">
      <c r="B55"/>
      <c r="G55" s="1000"/>
      <c r="H55" s="63"/>
      <c r="I55"/>
      <c r="J55" s="965">
        <f>ABS($H$1/J54)</f>
        <v>126.52668241221845</v>
      </c>
      <c r="K55" s="965"/>
      <c r="L55" s="965">
        <f>ABS($H$1/L54)</f>
        <v>227.73994772272553</v>
      </c>
      <c r="M55" s="967" t="s">
        <v>222</v>
      </c>
      <c r="N55"/>
      <c r="O55" s="995"/>
      <c r="BD55" s="126"/>
      <c r="BE55" s="136"/>
      <c r="BF55" s="136"/>
      <c r="BG55" s="136"/>
      <c r="BH55" s="136"/>
      <c r="BN55" s="86"/>
      <c r="BO55" s="1091"/>
      <c r="BP55" s="177"/>
      <c r="BQ55" s="177"/>
      <c r="BR55" s="178"/>
      <c r="BS55" s="177"/>
      <c r="BT55" s="177"/>
      <c r="BU55" s="177"/>
      <c r="CA55" s="182">
        <v>2</v>
      </c>
      <c r="CB55" s="120" t="b">
        <f>IF(CC59=13,1)</f>
        <v>0</v>
      </c>
      <c r="CC55" s="186"/>
      <c r="CD55" s="124" t="b">
        <f>IF(CC59=13,3)</f>
        <v>0</v>
      </c>
      <c r="CE55" s="177"/>
      <c r="CF55" s="177"/>
      <c r="CG55" s="177"/>
      <c r="CH55" s="177"/>
      <c r="CI55" s="177"/>
      <c r="CJ55" s="177"/>
      <c r="CK55" s="177"/>
      <c r="CL55" s="177"/>
      <c r="CM55" s="177"/>
      <c r="CN55" s="177"/>
      <c r="CO55" s="178"/>
      <c r="CQ55" s="78"/>
      <c r="CR55" s="78"/>
      <c r="CS55" s="78"/>
      <c r="CT55" s="78"/>
      <c r="CU55" s="78"/>
      <c r="CV55" s="78"/>
      <c r="CW55" s="78"/>
      <c r="CX55" s="78"/>
      <c r="CY55" s="78"/>
      <c r="CZ55" s="78"/>
      <c r="DA55" s="78"/>
      <c r="DB55" s="78"/>
      <c r="DC55" s="78"/>
      <c r="DD55" s="78"/>
      <c r="EK55" s="78"/>
      <c r="EL55" s="78"/>
    </row>
    <row r="56" spans="2:142" ht="18.75" customHeight="1" thickBot="1" x14ac:dyDescent="0.25">
      <c r="B56" s="406"/>
      <c r="C56" s="406"/>
      <c r="D56" s="407"/>
      <c r="E56" s="407"/>
      <c r="F56" s="407"/>
      <c r="G56" s="1000"/>
      <c r="H56" s="63"/>
      <c r="I56" s="74"/>
      <c r="J56" s="1733">
        <f>ABS($E$22/BQ27)*2</f>
        <v>72.300045187528241</v>
      </c>
      <c r="K56" s="1733"/>
      <c r="L56" s="1733"/>
      <c r="M56" s="1734" t="s">
        <v>350</v>
      </c>
      <c r="N56" s="1730" t="s">
        <v>352</v>
      </c>
      <c r="O56" s="995"/>
      <c r="BD56" s="126"/>
      <c r="BE56" s="136"/>
      <c r="BF56" s="136"/>
      <c r="BG56" s="136"/>
      <c r="BH56" s="136"/>
      <c r="BN56" s="86"/>
      <c r="BO56" s="1091"/>
      <c r="BP56" s="177"/>
      <c r="BQ56" s="177"/>
      <c r="BR56" s="178"/>
      <c r="BS56" s="177"/>
      <c r="BT56" s="177"/>
      <c r="BU56" s="177"/>
      <c r="BV56" s="76"/>
      <c r="BW56" s="177"/>
      <c r="CA56" s="177"/>
      <c r="CB56" s="177"/>
      <c r="CC56" s="177"/>
      <c r="CD56" s="177"/>
      <c r="CE56" s="177"/>
      <c r="CF56" s="177"/>
      <c r="CG56" s="177"/>
      <c r="CH56" s="177"/>
      <c r="CI56" s="177"/>
      <c r="CJ56" s="177"/>
      <c r="CK56" s="177"/>
      <c r="CL56" s="178"/>
      <c r="CM56" s="107"/>
      <c r="CN56" s="107"/>
      <c r="CO56" s="107"/>
      <c r="CQ56" s="78"/>
      <c r="CR56" s="78"/>
      <c r="CS56" s="78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  <c r="EK56" s="78"/>
      <c r="EL56" s="78"/>
    </row>
    <row r="57" spans="2:142" ht="56" customHeight="1" thickBot="1" x14ac:dyDescent="0.3">
      <c r="B57" s="406"/>
      <c r="C57" s="406"/>
      <c r="D57" s="407"/>
      <c r="E57" s="407"/>
      <c r="F57" s="407"/>
      <c r="G57" s="998"/>
      <c r="H57"/>
      <c r="I57"/>
      <c r="J57"/>
      <c r="K57"/>
      <c r="L57"/>
      <c r="M57"/>
      <c r="N57"/>
      <c r="O57" s="995"/>
      <c r="BD57" s="126"/>
      <c r="BE57" s="136"/>
      <c r="BF57" s="136"/>
      <c r="BG57" s="136"/>
      <c r="BH57" s="136"/>
      <c r="BI57" s="136"/>
      <c r="BK57" s="136"/>
      <c r="BL57" s="136"/>
      <c r="BM57" s="402"/>
      <c r="BN57" s="188"/>
      <c r="BO57" s="1095" t="s">
        <v>128</v>
      </c>
      <c r="BP57" s="746" t="s">
        <v>125</v>
      </c>
      <c r="BQ57" s="190"/>
      <c r="BR57" s="191"/>
      <c r="BS57" s="191"/>
      <c r="BT57" s="191"/>
      <c r="BU57" s="191"/>
      <c r="BV57" s="191"/>
      <c r="BW57" s="191"/>
      <c r="BX57" s="191"/>
      <c r="BY57" s="191"/>
      <c r="BZ57" s="191"/>
      <c r="CA57" s="191"/>
      <c r="CB57" s="758">
        <f>SUM(CB41:CB56)</f>
        <v>1</v>
      </c>
      <c r="CC57" s="759">
        <f t="shared" ref="CC57:CR57" si="0">SUM(CC41:CC56)</f>
        <v>0</v>
      </c>
      <c r="CD57" s="759">
        <f t="shared" si="0"/>
        <v>0</v>
      </c>
      <c r="CE57" s="759">
        <f t="shared" si="0"/>
        <v>0</v>
      </c>
      <c r="CF57" s="759">
        <f t="shared" si="0"/>
        <v>0</v>
      </c>
      <c r="CG57" s="759">
        <f t="shared" si="0"/>
        <v>0</v>
      </c>
      <c r="CH57" s="759">
        <f t="shared" si="0"/>
        <v>0</v>
      </c>
      <c r="CI57" s="759">
        <f t="shared" si="0"/>
        <v>0</v>
      </c>
      <c r="CJ57" s="759">
        <f t="shared" si="0"/>
        <v>0</v>
      </c>
      <c r="CK57" s="759">
        <f t="shared" si="0"/>
        <v>0</v>
      </c>
      <c r="CL57" s="759">
        <f t="shared" si="0"/>
        <v>11</v>
      </c>
      <c r="CM57" s="759">
        <f t="shared" si="0"/>
        <v>0</v>
      </c>
      <c r="CN57" s="759">
        <f t="shared" si="0"/>
        <v>0</v>
      </c>
      <c r="CO57" s="759">
        <f t="shared" si="0"/>
        <v>0</v>
      </c>
      <c r="CP57" s="759">
        <f t="shared" si="0"/>
        <v>0</v>
      </c>
      <c r="CQ57" s="759">
        <f t="shared" si="0"/>
        <v>0</v>
      </c>
      <c r="CR57" s="760">
        <f t="shared" si="0"/>
        <v>0</v>
      </c>
      <c r="CS57" s="191"/>
      <c r="CT57" s="191"/>
      <c r="CU57" s="192"/>
      <c r="CV57" s="192"/>
      <c r="CW57" s="192"/>
      <c r="CX57" s="192"/>
      <c r="CY57" s="192"/>
      <c r="CZ57" s="192"/>
      <c r="DA57" s="193"/>
      <c r="DB57" s="89"/>
      <c r="DC57" s="78"/>
      <c r="DD57" s="78"/>
      <c r="EK57" s="78"/>
      <c r="EL57" s="78"/>
    </row>
    <row r="58" spans="2:142" ht="45" customHeight="1" thickBot="1" x14ac:dyDescent="0.3">
      <c r="G58" s="998"/>
      <c r="H58"/>
      <c r="I58"/>
      <c r="J58"/>
      <c r="K58"/>
      <c r="L58"/>
      <c r="M58"/>
      <c r="N58"/>
      <c r="O58" s="995"/>
      <c r="BD58" s="136"/>
      <c r="BE58" s="136"/>
      <c r="BF58" s="136"/>
      <c r="BG58" s="136"/>
      <c r="BH58" s="136"/>
      <c r="BI58" s="136"/>
      <c r="BJ58" s="136"/>
      <c r="BK58" s="136"/>
      <c r="BL58" s="968">
        <v>4</v>
      </c>
      <c r="BM58" s="1762" t="b">
        <f>AND(BO58&gt;=10,$BB$142&gt;=10,$BA$142&gt;=10,$BA$164&gt;=10,$BB$164&gt;=10,$BA$196&gt;=10,$BB$196&gt;=10)</f>
        <v>1</v>
      </c>
      <c r="BN58" s="84" t="str">
        <f>IF(BM58=TRUE,"O K","OVERLOAD")</f>
        <v>O K</v>
      </c>
      <c r="BO58" s="982">
        <f>+$E$22/(BQ27/2)</f>
        <v>72.300045187528241</v>
      </c>
      <c r="BP58" s="194"/>
      <c r="BQ58" s="107"/>
      <c r="BR58" s="108"/>
      <c r="BS58" s="107"/>
      <c r="BT58" s="107"/>
      <c r="BU58" s="107"/>
      <c r="BV58" s="108"/>
      <c r="BW58" s="107"/>
      <c r="BX58" s="107"/>
      <c r="BY58" s="107"/>
      <c r="BZ58" s="107"/>
      <c r="CA58" s="107"/>
      <c r="CB58" s="107"/>
      <c r="CC58" s="107"/>
      <c r="CD58" s="107"/>
      <c r="CE58" s="107"/>
      <c r="CF58" s="107"/>
      <c r="CG58" s="107"/>
      <c r="CH58" s="107"/>
      <c r="CI58" s="107"/>
      <c r="CJ58" s="107"/>
      <c r="CK58" s="107"/>
      <c r="CL58" s="107"/>
      <c r="CM58" s="107"/>
      <c r="CN58" s="107"/>
      <c r="CO58" s="107"/>
      <c r="CP58" s="107"/>
      <c r="CQ58" s="107"/>
      <c r="CR58" s="107"/>
      <c r="CS58" s="78"/>
      <c r="CT58" s="78"/>
      <c r="CU58" s="78"/>
      <c r="CV58" s="78"/>
      <c r="CW58" s="78"/>
      <c r="CX58" s="78"/>
      <c r="CY58" s="78"/>
      <c r="CZ58" s="78"/>
      <c r="DA58" s="78"/>
      <c r="DB58" s="78"/>
      <c r="DC58" s="78"/>
      <c r="DD58" s="78"/>
      <c r="EK58" s="78"/>
      <c r="EL58" s="78"/>
    </row>
    <row r="59" spans="2:142" ht="20" hidden="1" x14ac:dyDescent="0.2">
      <c r="B59" s="408"/>
      <c r="C59" s="408"/>
      <c r="G59" s="998"/>
      <c r="H59"/>
      <c r="I59"/>
      <c r="J59"/>
      <c r="K59"/>
      <c r="L59"/>
      <c r="M59"/>
      <c r="N59"/>
      <c r="O59" s="995"/>
      <c r="U59" s="187"/>
      <c r="V59" s="187"/>
      <c r="W59" s="187"/>
      <c r="X59" s="187"/>
      <c r="Y59" s="187"/>
      <c r="Z59" s="187"/>
      <c r="AA59" s="187"/>
      <c r="AF59" s="187"/>
      <c r="AG59" s="187"/>
      <c r="AH59" s="187"/>
      <c r="AI59" s="187"/>
      <c r="AJ59" s="187"/>
      <c r="AK59" s="187"/>
      <c r="AL59" s="187"/>
      <c r="AM59" s="187"/>
      <c r="AN59" s="187"/>
      <c r="AO59" s="187"/>
      <c r="AP59" s="187"/>
      <c r="AQ59" s="187"/>
      <c r="AR59" s="187"/>
      <c r="AS59" s="187"/>
      <c r="AT59" s="187"/>
      <c r="AU59" s="187"/>
      <c r="AV59" s="187"/>
      <c r="AW59" s="187"/>
      <c r="AX59" s="187"/>
      <c r="AY59" s="187"/>
      <c r="AZ59" s="187"/>
      <c r="BA59" s="187"/>
      <c r="BB59" s="187"/>
      <c r="BC59" s="126"/>
      <c r="BD59" s="136"/>
      <c r="BE59" s="136"/>
      <c r="BF59" s="136"/>
      <c r="BG59" s="136"/>
      <c r="BH59" s="136"/>
      <c r="BI59" s="136"/>
      <c r="BJ59" s="136"/>
      <c r="BK59" s="136"/>
      <c r="BL59" s="136"/>
      <c r="BM59" s="402"/>
      <c r="BN59" s="188"/>
      <c r="BO59" s="1091"/>
      <c r="BP59" s="76"/>
      <c r="BQ59" s="195" t="b">
        <f>+BL212</f>
        <v>0</v>
      </c>
      <c r="BR59" s="195" t="b">
        <f>+BL213</f>
        <v>0</v>
      </c>
      <c r="BS59" s="195" t="b">
        <f>+BL214</f>
        <v>0</v>
      </c>
      <c r="BT59" s="195" t="b">
        <f>+BL215</f>
        <v>0</v>
      </c>
      <c r="BU59" s="195" t="b">
        <f>+BL216</f>
        <v>0</v>
      </c>
      <c r="BV59" s="195" t="b">
        <f>+BL217</f>
        <v>0</v>
      </c>
      <c r="BW59" s="195" t="b">
        <f>+BL218</f>
        <v>0</v>
      </c>
      <c r="BX59" s="195" t="b">
        <f>+BL219</f>
        <v>0</v>
      </c>
      <c r="BY59" s="195" t="b">
        <f>+BL220</f>
        <v>0</v>
      </c>
      <c r="BZ59" s="195" t="b">
        <f>+BL221</f>
        <v>0</v>
      </c>
      <c r="CA59" s="195" t="b">
        <f>+BL222</f>
        <v>0</v>
      </c>
      <c r="CB59" s="195" t="b">
        <f>+BL223</f>
        <v>0</v>
      </c>
      <c r="CC59" s="195" t="b">
        <f>+BL224</f>
        <v>0</v>
      </c>
      <c r="CD59" s="195" t="b">
        <f>+BL225</f>
        <v>0</v>
      </c>
      <c r="CE59" s="195" t="b">
        <f>+BL226</f>
        <v>0</v>
      </c>
      <c r="CF59" s="195" t="b">
        <f>+BL227</f>
        <v>0</v>
      </c>
      <c r="CG59" s="195">
        <f>+BL228</f>
        <v>17</v>
      </c>
      <c r="CH59" s="195" t="b">
        <f>+BL229</f>
        <v>0</v>
      </c>
      <c r="CI59" s="195" t="b">
        <f>+BL230</f>
        <v>0</v>
      </c>
      <c r="CJ59" s="195" t="b">
        <f>+BL231</f>
        <v>0</v>
      </c>
      <c r="CK59" s="195" t="b">
        <f>+BL232</f>
        <v>0</v>
      </c>
      <c r="CL59" s="195" t="b">
        <f>+BL233</f>
        <v>0</v>
      </c>
      <c r="CM59" s="195" t="b">
        <f>+BL234</f>
        <v>0</v>
      </c>
      <c r="CN59" s="195" t="b">
        <f>+BL235</f>
        <v>0</v>
      </c>
      <c r="CO59" s="195" t="b">
        <f>+BL236</f>
        <v>0</v>
      </c>
      <c r="CP59" s="195" t="b">
        <f>+BL237</f>
        <v>0</v>
      </c>
      <c r="CQ59" s="195" t="b">
        <f>+BL238</f>
        <v>0</v>
      </c>
      <c r="CR59" s="195" t="b">
        <f>+BL239</f>
        <v>0</v>
      </c>
      <c r="CS59" s="195" t="b">
        <f>+BL240</f>
        <v>0</v>
      </c>
      <c r="CT59" s="195" t="b">
        <f>+BL241</f>
        <v>0</v>
      </c>
      <c r="CU59" s="195" t="b">
        <f>+BL242</f>
        <v>0</v>
      </c>
      <c r="CV59" s="195" t="b">
        <f>+BL243</f>
        <v>0</v>
      </c>
      <c r="CW59" s="195" t="b">
        <f>+BL244</f>
        <v>0</v>
      </c>
      <c r="CX59" s="195" t="b">
        <f>+BL245</f>
        <v>0</v>
      </c>
      <c r="CY59" s="195" t="b">
        <f>+BL246</f>
        <v>0</v>
      </c>
      <c r="CZ59" s="195" t="b">
        <f>+BL247</f>
        <v>0</v>
      </c>
      <c r="DA59" s="195" t="b">
        <f>+BL248</f>
        <v>0</v>
      </c>
      <c r="DB59" s="196"/>
      <c r="DC59" s="78"/>
      <c r="DD59" s="78"/>
      <c r="EK59" s="78"/>
      <c r="EL59" s="78"/>
    </row>
    <row r="60" spans="2:142" ht="45.75" hidden="1" customHeight="1" x14ac:dyDescent="0.2">
      <c r="E60" s="208"/>
      <c r="F60" s="208"/>
      <c r="G60" s="998"/>
      <c r="H60"/>
      <c r="I60"/>
      <c r="J60"/>
      <c r="K60"/>
      <c r="L60"/>
      <c r="M60"/>
      <c r="N60"/>
      <c r="O60" s="995"/>
      <c r="BD60" s="136"/>
      <c r="BE60" s="136"/>
      <c r="BF60" s="136"/>
      <c r="BG60" s="136"/>
      <c r="BH60" s="136"/>
      <c r="BI60" s="136"/>
      <c r="BJ60" s="136"/>
      <c r="BK60" s="136"/>
      <c r="BL60" s="136"/>
      <c r="BM60" s="402"/>
      <c r="BN60" s="188"/>
      <c r="BO60" s="1091"/>
      <c r="BP60" s="78"/>
      <c r="BQ60" s="196" t="b">
        <f t="shared" ref="BQ60:DA60" si="1">+BQ59</f>
        <v>0</v>
      </c>
      <c r="BR60" s="196" t="b">
        <f t="shared" si="1"/>
        <v>0</v>
      </c>
      <c r="BS60" s="196" t="b">
        <f t="shared" si="1"/>
        <v>0</v>
      </c>
      <c r="BT60" s="196" t="b">
        <f t="shared" si="1"/>
        <v>0</v>
      </c>
      <c r="BU60" s="196" t="b">
        <f t="shared" si="1"/>
        <v>0</v>
      </c>
      <c r="BV60" s="196" t="b">
        <f t="shared" si="1"/>
        <v>0</v>
      </c>
      <c r="BW60" s="196" t="b">
        <f t="shared" si="1"/>
        <v>0</v>
      </c>
      <c r="BX60" s="196" t="b">
        <f t="shared" si="1"/>
        <v>0</v>
      </c>
      <c r="BY60" s="196" t="b">
        <f t="shared" si="1"/>
        <v>0</v>
      </c>
      <c r="BZ60" s="196" t="b">
        <f t="shared" si="1"/>
        <v>0</v>
      </c>
      <c r="CA60" s="196" t="b">
        <f t="shared" si="1"/>
        <v>0</v>
      </c>
      <c r="CB60" s="196" t="b">
        <f t="shared" si="1"/>
        <v>0</v>
      </c>
      <c r="CC60" s="196" t="b">
        <f t="shared" si="1"/>
        <v>0</v>
      </c>
      <c r="CD60" s="196" t="b">
        <f t="shared" si="1"/>
        <v>0</v>
      </c>
      <c r="CE60" s="196" t="b">
        <f t="shared" si="1"/>
        <v>0</v>
      </c>
      <c r="CF60" s="196" t="b">
        <f t="shared" si="1"/>
        <v>0</v>
      </c>
      <c r="CG60" s="196">
        <f t="shared" si="1"/>
        <v>17</v>
      </c>
      <c r="CH60" s="196" t="b">
        <f t="shared" si="1"/>
        <v>0</v>
      </c>
      <c r="CI60" s="196" t="b">
        <f t="shared" si="1"/>
        <v>0</v>
      </c>
      <c r="CJ60" s="196" t="b">
        <f t="shared" si="1"/>
        <v>0</v>
      </c>
      <c r="CK60" s="196" t="b">
        <f t="shared" si="1"/>
        <v>0</v>
      </c>
      <c r="CL60" s="196" t="b">
        <f t="shared" si="1"/>
        <v>0</v>
      </c>
      <c r="CM60" s="196" t="b">
        <f t="shared" si="1"/>
        <v>0</v>
      </c>
      <c r="CN60" s="196" t="b">
        <f t="shared" si="1"/>
        <v>0</v>
      </c>
      <c r="CO60" s="196" t="b">
        <f t="shared" si="1"/>
        <v>0</v>
      </c>
      <c r="CP60" s="196" t="b">
        <f t="shared" si="1"/>
        <v>0</v>
      </c>
      <c r="CQ60" s="196" t="b">
        <f t="shared" si="1"/>
        <v>0</v>
      </c>
      <c r="CR60" s="196" t="b">
        <f t="shared" si="1"/>
        <v>0</v>
      </c>
      <c r="CS60" s="196" t="b">
        <f t="shared" si="1"/>
        <v>0</v>
      </c>
      <c r="CT60" s="196" t="b">
        <f t="shared" si="1"/>
        <v>0</v>
      </c>
      <c r="CU60" s="196" t="b">
        <f t="shared" si="1"/>
        <v>0</v>
      </c>
      <c r="CV60" s="196" t="b">
        <f t="shared" si="1"/>
        <v>0</v>
      </c>
      <c r="CW60" s="196" t="b">
        <f t="shared" si="1"/>
        <v>0</v>
      </c>
      <c r="CX60" s="196" t="b">
        <f t="shared" si="1"/>
        <v>0</v>
      </c>
      <c r="CY60" s="196" t="b">
        <f t="shared" si="1"/>
        <v>0</v>
      </c>
      <c r="CZ60" s="196" t="b">
        <f t="shared" si="1"/>
        <v>0</v>
      </c>
      <c r="DA60" s="196" t="b">
        <f t="shared" si="1"/>
        <v>0</v>
      </c>
      <c r="DB60" s="196"/>
      <c r="DC60" s="78"/>
      <c r="DD60" s="78"/>
      <c r="EK60" s="78"/>
      <c r="EL60" s="78"/>
    </row>
    <row r="61" spans="2:142" ht="16" customHeight="1" thickBot="1" x14ac:dyDescent="0.25">
      <c r="E61" s="208"/>
      <c r="F61" s="208"/>
      <c r="G61" s="998"/>
      <c r="H61"/>
      <c r="I61"/>
      <c r="J61"/>
      <c r="K61"/>
      <c r="L61"/>
      <c r="M61"/>
      <c r="N61"/>
      <c r="O61" s="995"/>
      <c r="V61" s="410"/>
      <c r="W61" s="410"/>
      <c r="X61" s="410"/>
      <c r="Y61" s="410"/>
      <c r="Z61" s="410"/>
      <c r="AA61" s="410"/>
      <c r="AF61" s="401"/>
      <c r="AG61" s="401"/>
      <c r="AH61" s="401"/>
      <c r="AI61" s="401"/>
      <c r="AJ61" s="401"/>
      <c r="AK61" s="401"/>
      <c r="AL61" s="401"/>
      <c r="AM61" s="401"/>
      <c r="AN61" s="401"/>
      <c r="AO61" s="401"/>
      <c r="AP61" s="401"/>
      <c r="AQ61" s="401"/>
      <c r="AR61" s="401"/>
      <c r="AS61" s="401"/>
      <c r="AT61" s="401"/>
      <c r="AU61" s="401"/>
      <c r="AV61" s="401"/>
      <c r="AW61" s="401"/>
      <c r="AX61" s="401"/>
      <c r="AY61" s="401"/>
      <c r="AZ61" s="401"/>
      <c r="BA61" s="401"/>
      <c r="BB61" s="401"/>
      <c r="BC61" s="143"/>
      <c r="BD61" s="136"/>
      <c r="BE61" s="136"/>
      <c r="BF61" s="136"/>
      <c r="BG61" s="136"/>
      <c r="BH61" s="136"/>
      <c r="BI61" s="136"/>
      <c r="BJ61" s="136"/>
      <c r="BK61" s="136"/>
      <c r="BL61" s="136"/>
      <c r="BM61" s="402"/>
      <c r="BN61" s="188"/>
      <c r="BO61" s="1091"/>
      <c r="BP61" s="78"/>
      <c r="BQ61" s="196"/>
      <c r="BR61" s="196"/>
      <c r="BS61" s="196"/>
      <c r="BT61" s="196"/>
      <c r="BU61" s="196"/>
      <c r="BV61" s="196"/>
      <c r="BW61" s="196"/>
      <c r="BX61" s="196"/>
      <c r="BY61" s="196"/>
      <c r="BZ61" s="196"/>
      <c r="CA61" s="196"/>
      <c r="CB61" s="196"/>
      <c r="CC61" s="196"/>
      <c r="CD61" s="196"/>
      <c r="CE61" s="196"/>
      <c r="CF61" s="196"/>
      <c r="CG61" s="196"/>
      <c r="CH61" s="196"/>
      <c r="CI61" s="196"/>
      <c r="CJ61" s="196"/>
      <c r="CK61" s="196"/>
      <c r="CL61" s="196"/>
      <c r="CM61" s="196"/>
      <c r="CN61" s="196"/>
      <c r="CO61" s="196"/>
      <c r="CP61" s="196"/>
      <c r="CQ61" s="196"/>
      <c r="CR61" s="196"/>
      <c r="CS61" s="196"/>
      <c r="CT61" s="196"/>
      <c r="CU61" s="196"/>
      <c r="CV61" s="196"/>
      <c r="CW61" s="196"/>
      <c r="CX61" s="196"/>
      <c r="CY61" s="196"/>
      <c r="CZ61" s="196"/>
      <c r="DA61" s="196"/>
      <c r="DB61" s="196"/>
      <c r="DC61" s="78"/>
      <c r="DD61" s="78"/>
      <c r="EK61" s="78"/>
      <c r="EL61" s="78"/>
    </row>
    <row r="62" spans="2:142" ht="56" customHeight="1" thickBot="1" x14ac:dyDescent="0.3">
      <c r="E62" s="208"/>
      <c r="F62" s="208"/>
      <c r="G62" s="998"/>
      <c r="H62"/>
      <c r="I62"/>
      <c r="J62"/>
      <c r="K62"/>
      <c r="L62"/>
      <c r="M62"/>
      <c r="N62"/>
      <c r="O62" s="995"/>
      <c r="BD62" s="136"/>
      <c r="BE62" s="136"/>
      <c r="BF62" s="136"/>
      <c r="BG62" s="136"/>
      <c r="BH62" s="136"/>
      <c r="BI62" s="136"/>
      <c r="BJ62" s="136"/>
      <c r="BK62" s="136"/>
      <c r="BL62" s="136"/>
      <c r="BM62" s="402"/>
      <c r="BN62" s="188"/>
      <c r="BO62" s="1095" t="s">
        <v>128</v>
      </c>
      <c r="BP62" s="197" t="s">
        <v>129</v>
      </c>
      <c r="BQ62" s="748" t="str">
        <f>IF(BQ60=1,17,"")</f>
        <v/>
      </c>
      <c r="BR62" s="749" t="str">
        <f>IF(BR60=2,16,"")</f>
        <v/>
      </c>
      <c r="BS62" s="749" t="str">
        <f>IF(BS60=3,15,"")</f>
        <v/>
      </c>
      <c r="BT62" s="749" t="str">
        <f>IF(BT60=4,14,"")</f>
        <v/>
      </c>
      <c r="BU62" s="749" t="str">
        <f>IF(BU60=5,13,"")</f>
        <v/>
      </c>
      <c r="BV62" s="749" t="str">
        <f>IF(BV60=6,12,"")</f>
        <v/>
      </c>
      <c r="BW62" s="749" t="str">
        <f>IF(BW60=7,11,"")</f>
        <v/>
      </c>
      <c r="BX62" s="749" t="str">
        <f>IF(BX60=8,10,"")</f>
        <v/>
      </c>
      <c r="BY62" s="749" t="str">
        <f>IF(BY60=9,9,"")</f>
        <v/>
      </c>
      <c r="BZ62" s="749" t="str">
        <f>IF(BZ60=10,8,"")</f>
        <v/>
      </c>
      <c r="CA62" s="749" t="str">
        <f>IF(CA60=11,7,"")</f>
        <v/>
      </c>
      <c r="CB62" s="928" t="str">
        <f>IF(CB60=12,1,"")</f>
        <v/>
      </c>
      <c r="CC62" s="747" t="str">
        <f>IF(CC60=13,2,"")</f>
        <v/>
      </c>
      <c r="CD62" s="747" t="str">
        <f>IF(CD60=14,3,"")</f>
        <v/>
      </c>
      <c r="CE62" s="747" t="str">
        <f>IF(CE60=15,4,"")</f>
        <v/>
      </c>
      <c r="CF62" s="747" t="str">
        <f>IF(CF60=16,5,"")</f>
        <v/>
      </c>
      <c r="CG62" s="747">
        <f>IF(CG60=17,6,"")</f>
        <v>6</v>
      </c>
      <c r="CH62" s="747" t="str">
        <f>IF(CH60=18,7,"")</f>
        <v/>
      </c>
      <c r="CI62" s="747" t="str">
        <f>IF(CI60=19,8,"")</f>
        <v/>
      </c>
      <c r="CJ62" s="747" t="str">
        <f>IF(CJ60=20,9,"")</f>
        <v/>
      </c>
      <c r="CK62" s="747" t="str">
        <f>IF(CK60=21,10,"")</f>
        <v/>
      </c>
      <c r="CL62" s="747" t="str">
        <f>IF(CL60=22,11,"")</f>
        <v/>
      </c>
      <c r="CM62" s="747" t="str">
        <f>IF(CM60=23,12,"")</f>
        <v/>
      </c>
      <c r="CN62" s="747" t="str">
        <f>IF(CN60=24,13,"")</f>
        <v/>
      </c>
      <c r="CO62" s="747" t="str">
        <f>IF(CO60=25,14,"")</f>
        <v/>
      </c>
      <c r="CP62" s="747" t="str">
        <f>IF(CP60=26,15,"")</f>
        <v/>
      </c>
      <c r="CQ62" s="747" t="str">
        <f>IF(CQ60=27,16,"")</f>
        <v/>
      </c>
      <c r="CR62" s="929" t="str">
        <f>IF(CR60=28,17,"")</f>
        <v/>
      </c>
      <c r="CS62" s="756" t="str">
        <f>IF(CS60=29,9,"")</f>
        <v/>
      </c>
      <c r="CT62" s="756" t="str">
        <f>IF(CT60=30,10,"")</f>
        <v/>
      </c>
      <c r="CU62" s="756" t="str">
        <f>IF(CU60=31,11,"")</f>
        <v/>
      </c>
      <c r="CV62" s="756" t="str">
        <f>IF(CV60=32,12,"")</f>
        <v/>
      </c>
      <c r="CW62" s="756" t="str">
        <f>IF(CW60=33,13,"")</f>
        <v/>
      </c>
      <c r="CX62" s="756" t="str">
        <f>IF(CX60=34,14,"")</f>
        <v/>
      </c>
      <c r="CY62" s="756" t="str">
        <f>IF(CY60=35,15,"")</f>
        <v/>
      </c>
      <c r="CZ62" s="756" t="str">
        <f>IF(CZ60=36,16,"")</f>
        <v/>
      </c>
      <c r="DA62" s="757" t="str">
        <f>IF(DA60=37,17,"")</f>
        <v/>
      </c>
      <c r="DB62" s="198"/>
      <c r="DC62" s="78"/>
      <c r="DD62" s="78"/>
      <c r="EK62" s="78"/>
      <c r="EL62" s="78"/>
    </row>
    <row r="63" spans="2:142" ht="45" customHeight="1" thickBot="1" x14ac:dyDescent="0.3">
      <c r="E63" s="208"/>
      <c r="F63" s="208"/>
      <c r="G63" s="998"/>
      <c r="H63"/>
      <c r="I63"/>
      <c r="J63"/>
      <c r="K63"/>
      <c r="L63"/>
      <c r="M63"/>
      <c r="N63"/>
      <c r="O63" s="995"/>
      <c r="BD63" s="136"/>
      <c r="BE63" s="136"/>
      <c r="BF63" s="136"/>
      <c r="BG63" s="136"/>
      <c r="BH63" s="136"/>
      <c r="BI63" s="136"/>
      <c r="BJ63" s="136"/>
      <c r="BK63" s="136"/>
      <c r="BL63" s="968">
        <v>5</v>
      </c>
      <c r="BM63" s="1762" t="b">
        <f>AND(BO63&gt;=10,$BB$142&gt;=10,$BA$142&gt;=10,$BA$164&gt;=10,$BB$164&gt;=10,$BA$196&gt;=10,$BB$196&gt;=10)</f>
        <v>1</v>
      </c>
      <c r="BN63" s="84" t="str">
        <f>IF(BM63=TRUE,"O K","OVERLOAD")</f>
        <v>O K</v>
      </c>
      <c r="BO63" s="982">
        <f>IF(SUM(BQ62:CA62)&gt;0,K85,0)+IF(SUM(CB62:CR62)&gt;0,L85,0)+IF(SUM(CS62:DA62)&gt;0,M85,0)</f>
        <v>36.15002259376412</v>
      </c>
      <c r="BP63" s="788" t="s">
        <v>185</v>
      </c>
      <c r="BQ63" s="789">
        <v>-10</v>
      </c>
      <c r="BR63" s="789">
        <v>-9</v>
      </c>
      <c r="BS63" s="789">
        <v>-8</v>
      </c>
      <c r="BT63" s="789">
        <v>-7</v>
      </c>
      <c r="BU63" s="789">
        <v>-6</v>
      </c>
      <c r="BV63" s="789">
        <v>-5</v>
      </c>
      <c r="BW63" s="789">
        <v>-4</v>
      </c>
      <c r="BX63" s="789">
        <v>-3</v>
      </c>
      <c r="BY63" s="789">
        <v>-2</v>
      </c>
      <c r="BZ63" s="789">
        <v>-1</v>
      </c>
      <c r="CA63" s="789">
        <v>0</v>
      </c>
      <c r="CB63" s="789">
        <v>1</v>
      </c>
      <c r="CC63" s="789">
        <v>2</v>
      </c>
      <c r="CD63" s="789">
        <v>3</v>
      </c>
      <c r="CE63" s="789">
        <v>4</v>
      </c>
      <c r="CF63" s="789">
        <v>5</v>
      </c>
      <c r="CG63" s="789">
        <v>6</v>
      </c>
      <c r="CH63" s="789">
        <v>7</v>
      </c>
      <c r="CI63" s="789">
        <v>8</v>
      </c>
      <c r="CJ63" s="789">
        <v>9</v>
      </c>
      <c r="CK63" s="789">
        <v>10</v>
      </c>
      <c r="CL63" s="789">
        <v>11</v>
      </c>
      <c r="CM63" s="789">
        <v>12</v>
      </c>
      <c r="CN63" s="789">
        <v>13</v>
      </c>
      <c r="CO63" s="789">
        <v>14</v>
      </c>
      <c r="CP63" s="789">
        <v>15</v>
      </c>
      <c r="CQ63" s="789">
        <v>16</v>
      </c>
      <c r="CR63" s="789">
        <v>17</v>
      </c>
      <c r="CS63" s="789">
        <v>18</v>
      </c>
      <c r="CT63" s="789">
        <v>19</v>
      </c>
      <c r="CU63" s="789">
        <v>20</v>
      </c>
      <c r="CV63" s="789">
        <v>21</v>
      </c>
      <c r="CW63" s="789">
        <v>22</v>
      </c>
      <c r="CX63" s="789">
        <v>23</v>
      </c>
      <c r="CY63" s="789">
        <v>24</v>
      </c>
      <c r="CZ63" s="789">
        <v>25</v>
      </c>
      <c r="DA63" s="791">
        <v>26</v>
      </c>
      <c r="DB63" s="198"/>
      <c r="DC63" s="78"/>
      <c r="DD63" s="78"/>
      <c r="EK63" s="78"/>
      <c r="EL63" s="78"/>
    </row>
    <row r="64" spans="2:142" ht="24" hidden="1" thickBot="1" x14ac:dyDescent="0.3">
      <c r="E64" s="397"/>
      <c r="F64" s="397"/>
      <c r="G64" s="998"/>
      <c r="H64"/>
      <c r="I64"/>
      <c r="J64"/>
      <c r="K64"/>
      <c r="L64"/>
      <c r="M64"/>
      <c r="N64"/>
      <c r="O64" s="995"/>
      <c r="BN64" s="86"/>
      <c r="BO64" s="18"/>
      <c r="BP64" s="96"/>
      <c r="BQ64" s="97"/>
      <c r="BR64" s="97"/>
      <c r="BS64" s="97"/>
      <c r="BT64" s="97"/>
      <c r="BU64" s="97"/>
      <c r="BV64" s="97"/>
      <c r="BW64" s="97"/>
      <c r="BX64" s="97"/>
      <c r="BY64" s="94"/>
      <c r="BZ64" s="94"/>
      <c r="CA64" s="89"/>
      <c r="CB64" s="89"/>
      <c r="CC64" s="89"/>
      <c r="CD64" s="89"/>
      <c r="CE64" s="89"/>
      <c r="CF64" s="89"/>
      <c r="CG64" s="89"/>
      <c r="CH64" s="89"/>
      <c r="CI64" s="89"/>
      <c r="CJ64" s="89"/>
      <c r="CK64" s="89"/>
      <c r="CL64" s="89"/>
      <c r="CM64" s="89"/>
      <c r="CN64" s="37"/>
      <c r="CO64" s="95"/>
      <c r="CP64" s="95"/>
      <c r="CQ64" s="95"/>
      <c r="CR64" s="95"/>
      <c r="CS64" s="92"/>
      <c r="CT64" s="92"/>
      <c r="CU64" s="92"/>
      <c r="CV64" s="92"/>
      <c r="CW64" s="92"/>
      <c r="CX64" s="92"/>
      <c r="CY64" s="92"/>
      <c r="CZ64" s="92"/>
      <c r="DA64" s="92"/>
      <c r="DB64" s="92"/>
      <c r="DC64" s="17"/>
      <c r="DD64" s="78"/>
    </row>
    <row r="65" spans="5:108" ht="24" hidden="1" thickBot="1" x14ac:dyDescent="0.3">
      <c r="E65" s="397"/>
      <c r="F65" s="397"/>
      <c r="G65" s="998"/>
      <c r="H65"/>
      <c r="I65"/>
      <c r="J65"/>
      <c r="K65"/>
      <c r="L65"/>
      <c r="M65"/>
      <c r="N65"/>
      <c r="O65" s="995"/>
      <c r="BN65" s="86"/>
      <c r="BO65" s="18"/>
      <c r="BP65" s="96">
        <v>36</v>
      </c>
      <c r="BQ65" s="97"/>
      <c r="BR65" s="97"/>
      <c r="BS65" s="97"/>
      <c r="BT65" s="97"/>
      <c r="BU65" s="97"/>
      <c r="BV65" s="97"/>
      <c r="BW65" s="97"/>
      <c r="BX65" s="97"/>
      <c r="BY65" s="94"/>
      <c r="BZ65" s="94"/>
      <c r="CA65" s="89"/>
      <c r="CB65" s="89"/>
      <c r="CC65" s="89"/>
      <c r="CD65" s="89"/>
      <c r="CE65" s="89"/>
      <c r="CF65" s="89"/>
      <c r="CG65" s="89"/>
      <c r="CH65" s="98"/>
      <c r="CI65" s="99"/>
      <c r="CJ65" s="100"/>
      <c r="CK65" s="89"/>
      <c r="CL65" s="89"/>
      <c r="CM65" s="89"/>
      <c r="CN65" s="37"/>
      <c r="CO65" s="95"/>
      <c r="CP65" s="95"/>
      <c r="CQ65" s="95"/>
      <c r="CR65" s="95"/>
      <c r="CS65" s="92"/>
      <c r="CT65" s="92"/>
      <c r="CU65" s="92"/>
      <c r="CV65" s="92"/>
      <c r="CW65" s="92"/>
      <c r="CX65" s="92"/>
      <c r="CY65" s="101" t="b">
        <f>IF(CZ59=36,35)</f>
        <v>0</v>
      </c>
      <c r="CZ65" s="102"/>
      <c r="DA65" s="103" t="b">
        <f>IF(CZ59=36,37)</f>
        <v>0</v>
      </c>
      <c r="DB65" s="92"/>
      <c r="DC65" s="17"/>
      <c r="DD65" s="78"/>
    </row>
    <row r="66" spans="5:108" ht="24" hidden="1" thickBot="1" x14ac:dyDescent="0.3">
      <c r="E66" s="397"/>
      <c r="F66" s="397"/>
      <c r="G66" s="998"/>
      <c r="H66"/>
      <c r="I66"/>
      <c r="J66"/>
      <c r="K66"/>
      <c r="L66"/>
      <c r="M66"/>
      <c r="N66"/>
      <c r="O66" s="995"/>
      <c r="BN66" s="86"/>
      <c r="BO66" s="18"/>
      <c r="BP66" s="96">
        <v>35</v>
      </c>
      <c r="BQ66" s="97"/>
      <c r="BR66" s="97"/>
      <c r="BS66" s="97"/>
      <c r="BT66" s="97"/>
      <c r="BU66" s="97"/>
      <c r="BV66" s="97"/>
      <c r="BW66" s="97"/>
      <c r="BX66" s="97"/>
      <c r="BY66" s="94"/>
      <c r="BZ66" s="94"/>
      <c r="CA66" s="89"/>
      <c r="CB66" s="89"/>
      <c r="CC66" s="89"/>
      <c r="CD66" s="89"/>
      <c r="CE66" s="89"/>
      <c r="CF66" s="89"/>
      <c r="CG66" s="89"/>
      <c r="CH66" s="104"/>
      <c r="CI66" s="89"/>
      <c r="CJ66" s="105"/>
      <c r="CK66" s="89"/>
      <c r="CL66" s="89"/>
      <c r="CM66" s="89"/>
      <c r="CN66" s="37"/>
      <c r="CO66" s="95"/>
      <c r="CP66" s="95"/>
      <c r="CQ66" s="95"/>
      <c r="CR66" s="95"/>
      <c r="CS66" s="92"/>
      <c r="CT66" s="92"/>
      <c r="CU66" s="92"/>
      <c r="CV66" s="92"/>
      <c r="CW66" s="101" t="b">
        <f>IF(CY59=35,33)</f>
        <v>0</v>
      </c>
      <c r="CX66" s="102"/>
      <c r="CY66" s="102"/>
      <c r="CZ66" s="102"/>
      <c r="DA66" s="103" t="b">
        <f>IF(CY59=35,37)</f>
        <v>0</v>
      </c>
      <c r="DB66" s="92"/>
      <c r="DC66" s="17"/>
      <c r="DD66" s="78"/>
    </row>
    <row r="67" spans="5:108" ht="24" hidden="1" thickBot="1" x14ac:dyDescent="0.3">
      <c r="E67" s="397"/>
      <c r="F67" s="397"/>
      <c r="G67" s="998"/>
      <c r="H67"/>
      <c r="I67"/>
      <c r="J67"/>
      <c r="K67"/>
      <c r="L67"/>
      <c r="M67"/>
      <c r="N67"/>
      <c r="O67" s="995"/>
      <c r="BN67" s="86"/>
      <c r="BO67" s="18"/>
      <c r="BP67" s="96">
        <v>34</v>
      </c>
      <c r="BQ67" s="97"/>
      <c r="BR67" s="97"/>
      <c r="BS67" s="97"/>
      <c r="BT67" s="97"/>
      <c r="BU67" s="97"/>
      <c r="BV67" s="97"/>
      <c r="BW67" s="97"/>
      <c r="BX67" s="97"/>
      <c r="BY67" s="94"/>
      <c r="BZ67" s="94"/>
      <c r="CA67" s="89"/>
      <c r="CB67" s="89"/>
      <c r="CC67" s="89"/>
      <c r="CD67" s="89"/>
      <c r="CE67" s="89"/>
      <c r="CF67" s="89"/>
      <c r="CG67" s="89"/>
      <c r="CH67" s="104"/>
      <c r="CI67" s="89"/>
      <c r="CJ67" s="105"/>
      <c r="CK67" s="89"/>
      <c r="CL67" s="89"/>
      <c r="CM67" s="89"/>
      <c r="CN67" s="37"/>
      <c r="CO67" s="95"/>
      <c r="CP67" s="95"/>
      <c r="CQ67" s="95"/>
      <c r="CR67" s="95"/>
      <c r="CS67" s="92"/>
      <c r="CT67" s="92"/>
      <c r="CU67" s="101" t="b">
        <f>IF(CX59=34,31)</f>
        <v>0</v>
      </c>
      <c r="CV67" s="102"/>
      <c r="CW67" s="102"/>
      <c r="CX67" s="102"/>
      <c r="CY67" s="102"/>
      <c r="CZ67" s="102"/>
      <c r="DA67" s="103" t="b">
        <f>IF(CX59=34,37)</f>
        <v>0</v>
      </c>
      <c r="DB67" s="92"/>
      <c r="DC67" s="17"/>
      <c r="DD67" s="78"/>
    </row>
    <row r="68" spans="5:108" ht="24" hidden="1" thickBot="1" x14ac:dyDescent="0.3">
      <c r="E68" s="397"/>
      <c r="F68" s="397"/>
      <c r="G68" s="998"/>
      <c r="H68"/>
      <c r="I68"/>
      <c r="J68"/>
      <c r="K68"/>
      <c r="L68"/>
      <c r="M68"/>
      <c r="N68"/>
      <c r="O68" s="995"/>
      <c r="BN68" s="86"/>
      <c r="BO68" s="18"/>
      <c r="BP68" s="96">
        <v>33</v>
      </c>
      <c r="BQ68" s="97"/>
      <c r="BR68" s="97"/>
      <c r="BS68" s="97"/>
      <c r="BT68" s="97"/>
      <c r="BU68" s="97"/>
      <c r="BV68" s="97"/>
      <c r="BW68" s="97"/>
      <c r="BX68" s="97"/>
      <c r="BY68" s="94"/>
      <c r="BZ68" s="94"/>
      <c r="CA68" s="89"/>
      <c r="CB68" s="89"/>
      <c r="CC68" s="89"/>
      <c r="CD68" s="89"/>
      <c r="CE68" s="89"/>
      <c r="CF68" s="89"/>
      <c r="CG68" s="89"/>
      <c r="CH68" s="104"/>
      <c r="CI68" s="89"/>
      <c r="CJ68" s="105"/>
      <c r="CK68" s="89"/>
      <c r="CL68" s="89"/>
      <c r="CM68" s="89"/>
      <c r="CN68" s="37"/>
      <c r="CO68" s="95"/>
      <c r="CP68" s="95"/>
      <c r="CQ68" s="95"/>
      <c r="CR68" s="95"/>
      <c r="CS68" s="101" t="b">
        <f>IF(CW59=33,29)</f>
        <v>0</v>
      </c>
      <c r="CT68" s="102"/>
      <c r="CU68" s="102"/>
      <c r="CV68" s="102"/>
      <c r="CW68" s="102"/>
      <c r="CX68" s="102"/>
      <c r="CY68" s="102"/>
      <c r="CZ68" s="102"/>
      <c r="DA68" s="103" t="b">
        <f>IF(CW59=33,37)</f>
        <v>0</v>
      </c>
      <c r="DB68" s="92"/>
      <c r="DC68" s="17"/>
      <c r="DD68" s="78"/>
    </row>
    <row r="69" spans="5:108" ht="21" hidden="1" thickBot="1" x14ac:dyDescent="0.25">
      <c r="E69" s="397"/>
      <c r="F69" s="397"/>
      <c r="G69" s="998"/>
      <c r="H69"/>
      <c r="I69"/>
      <c r="J69"/>
      <c r="K69"/>
      <c r="L69"/>
      <c r="M69"/>
      <c r="N69"/>
      <c r="O69" s="995"/>
      <c r="BN69" s="86"/>
      <c r="BP69" s="96">
        <v>32</v>
      </c>
      <c r="BQ69" s="107"/>
      <c r="BR69" s="107"/>
      <c r="BS69" s="107"/>
      <c r="BT69" s="107"/>
      <c r="BU69" s="107"/>
      <c r="BV69" s="108"/>
      <c r="BW69" s="107"/>
      <c r="BX69" s="107"/>
      <c r="BY69" s="107"/>
      <c r="BZ69" s="107"/>
      <c r="CA69" s="107"/>
      <c r="CB69" s="107"/>
      <c r="CC69" s="107"/>
      <c r="CD69" s="107"/>
      <c r="CE69" s="107"/>
      <c r="CF69" s="107"/>
      <c r="CG69" s="107"/>
      <c r="CH69" s="109"/>
      <c r="CI69" s="107"/>
      <c r="CJ69" s="110"/>
      <c r="CK69" s="107"/>
      <c r="CL69" s="107"/>
      <c r="CM69" s="107"/>
      <c r="CN69" s="108"/>
      <c r="CO69" s="78"/>
      <c r="CP69" s="78"/>
      <c r="CQ69" s="101" t="b">
        <f>IF(CV59=32,27)</f>
        <v>0</v>
      </c>
      <c r="CR69" s="111"/>
      <c r="CS69" s="111"/>
      <c r="CT69" s="111"/>
      <c r="CU69" s="111"/>
      <c r="CV69" s="111"/>
      <c r="CW69" s="111"/>
      <c r="CX69" s="111"/>
      <c r="CY69" s="111"/>
      <c r="CZ69" s="111"/>
      <c r="DA69" s="103" t="b">
        <f>IF(CV59=32,37)</f>
        <v>0</v>
      </c>
      <c r="DB69" s="78"/>
      <c r="DC69" s="78"/>
      <c r="DD69" s="78"/>
    </row>
    <row r="70" spans="5:108" ht="21" hidden="1" thickBot="1" x14ac:dyDescent="0.25">
      <c r="E70" s="397"/>
      <c r="F70" s="397"/>
      <c r="G70" s="998"/>
      <c r="H70"/>
      <c r="I70"/>
      <c r="J70"/>
      <c r="K70"/>
      <c r="L70"/>
      <c r="M70"/>
      <c r="N70"/>
      <c r="O70" s="995"/>
      <c r="BN70" s="86"/>
      <c r="BP70" s="96">
        <v>31</v>
      </c>
      <c r="BQ70" s="107"/>
      <c r="BR70" s="107"/>
      <c r="BS70" s="107"/>
      <c r="BT70" s="107"/>
      <c r="BU70" s="107"/>
      <c r="BV70" s="108"/>
      <c r="BW70" s="107"/>
      <c r="BX70" s="107"/>
      <c r="BY70" s="107"/>
      <c r="BZ70" s="107"/>
      <c r="CA70" s="107"/>
      <c r="CB70" s="107"/>
      <c r="CC70" s="107"/>
      <c r="CD70" s="107"/>
      <c r="CE70" s="107"/>
      <c r="CF70" s="107"/>
      <c r="CG70" s="107"/>
      <c r="CH70" s="109"/>
      <c r="CI70" s="107"/>
      <c r="CJ70" s="110"/>
      <c r="CK70" s="107"/>
      <c r="CL70" s="107"/>
      <c r="CM70" s="107"/>
      <c r="CN70" s="108"/>
      <c r="CO70" s="101" t="b">
        <f>IF(CU59=31,25)</f>
        <v>0</v>
      </c>
      <c r="CP70" s="111"/>
      <c r="CQ70" s="111"/>
      <c r="CR70" s="111"/>
      <c r="CS70" s="111"/>
      <c r="CT70" s="111"/>
      <c r="CU70" s="111"/>
      <c r="CV70" s="111"/>
      <c r="CW70" s="111"/>
      <c r="CX70" s="111"/>
      <c r="CY70" s="111"/>
      <c r="CZ70" s="111"/>
      <c r="DA70" s="103" t="b">
        <f>IF(CU59=31,37)</f>
        <v>0</v>
      </c>
      <c r="DB70" s="78"/>
      <c r="DC70" s="78"/>
      <c r="DD70" s="78"/>
    </row>
    <row r="71" spans="5:108" ht="21" hidden="1" thickBot="1" x14ac:dyDescent="0.25">
      <c r="E71" s="397"/>
      <c r="F71" s="397"/>
      <c r="G71" s="998"/>
      <c r="H71"/>
      <c r="I71"/>
      <c r="J71"/>
      <c r="K71"/>
      <c r="L71"/>
      <c r="M71"/>
      <c r="N71"/>
      <c r="O71" s="995"/>
      <c r="BN71" s="86"/>
      <c r="BP71" s="96">
        <v>30</v>
      </c>
      <c r="BQ71" s="107"/>
      <c r="BR71" s="107"/>
      <c r="BS71" s="107"/>
      <c r="BT71" s="107"/>
      <c r="BU71" s="107"/>
      <c r="BV71" s="108"/>
      <c r="BW71" s="107"/>
      <c r="BX71" s="107"/>
      <c r="BY71" s="107"/>
      <c r="BZ71" s="107"/>
      <c r="CA71" s="107"/>
      <c r="CB71" s="107"/>
      <c r="CC71" s="107"/>
      <c r="CD71" s="107"/>
      <c r="CE71" s="107"/>
      <c r="CF71" s="107"/>
      <c r="CG71" s="107"/>
      <c r="CH71" s="109"/>
      <c r="CI71" s="107"/>
      <c r="CJ71" s="110"/>
      <c r="CK71" s="107"/>
      <c r="CL71" s="107"/>
      <c r="CM71" s="101" t="b">
        <f>IF(CT59=30,23)</f>
        <v>0</v>
      </c>
      <c r="CN71" s="112"/>
      <c r="CO71" s="111"/>
      <c r="CP71" s="111"/>
      <c r="CQ71" s="111"/>
      <c r="CR71" s="111"/>
      <c r="CS71" s="111"/>
      <c r="CT71" s="111"/>
      <c r="CU71" s="111"/>
      <c r="CV71" s="111"/>
      <c r="CW71" s="111"/>
      <c r="CX71" s="111"/>
      <c r="CY71" s="111"/>
      <c r="CZ71" s="111"/>
      <c r="DA71" s="103" t="b">
        <f>IF(CT59=30,37)</f>
        <v>0</v>
      </c>
      <c r="DB71" s="78"/>
      <c r="DC71" s="78"/>
      <c r="DD71" s="78"/>
    </row>
    <row r="72" spans="5:108" ht="21" hidden="1" thickBot="1" x14ac:dyDescent="0.25">
      <c r="E72" s="397"/>
      <c r="F72" s="397"/>
      <c r="G72" s="998"/>
      <c r="H72"/>
      <c r="I72"/>
      <c r="J72"/>
      <c r="K72"/>
      <c r="L72"/>
      <c r="M72"/>
      <c r="N72"/>
      <c r="O72" s="995"/>
      <c r="BE72" s="114"/>
      <c r="BF72" s="114"/>
      <c r="BG72" s="114"/>
      <c r="BH72" s="114"/>
      <c r="BN72" s="86"/>
      <c r="BO72" s="114"/>
      <c r="BP72" s="96">
        <v>29</v>
      </c>
      <c r="BQ72" s="78"/>
      <c r="BR72" s="78"/>
      <c r="BS72" s="78"/>
      <c r="BT72" s="78"/>
      <c r="BU72" s="78"/>
      <c r="BV72" s="78"/>
      <c r="BW72" s="78"/>
      <c r="BX72" s="78"/>
      <c r="BY72" s="78"/>
      <c r="BZ72" s="78"/>
      <c r="CA72" s="78"/>
      <c r="CB72" s="78"/>
      <c r="CC72" s="78"/>
      <c r="CD72" s="78"/>
      <c r="CE72" s="78"/>
      <c r="CF72" s="78"/>
      <c r="CG72" s="78"/>
      <c r="CH72" s="115"/>
      <c r="CI72" s="78"/>
      <c r="CJ72" s="116"/>
      <c r="CK72" s="117" t="b">
        <f>IF(CS59=29,21)</f>
        <v>0</v>
      </c>
      <c r="CL72" s="111"/>
      <c r="CM72" s="111"/>
      <c r="CN72" s="111"/>
      <c r="CO72" s="111"/>
      <c r="CP72" s="111"/>
      <c r="CQ72" s="111"/>
      <c r="CR72" s="118"/>
      <c r="CS72" s="111"/>
      <c r="CT72" s="118"/>
      <c r="CU72" s="119"/>
      <c r="CV72" s="119"/>
      <c r="CW72" s="119"/>
      <c r="CX72" s="119"/>
      <c r="CY72" s="119"/>
      <c r="CZ72" s="119"/>
      <c r="DA72" s="103" t="b">
        <f>IF(CS59=29,37)</f>
        <v>0</v>
      </c>
      <c r="DB72" s="76"/>
      <c r="DC72" s="78"/>
      <c r="DD72" s="78"/>
    </row>
    <row r="73" spans="5:108" ht="21" hidden="1" thickBot="1" x14ac:dyDescent="0.25">
      <c r="E73" s="397"/>
      <c r="F73" s="397"/>
      <c r="G73" s="998"/>
      <c r="H73"/>
      <c r="I73"/>
      <c r="J73"/>
      <c r="K73"/>
      <c r="L73"/>
      <c r="M73"/>
      <c r="N73"/>
      <c r="O73" s="995"/>
      <c r="BE73" s="114"/>
      <c r="BF73" s="114"/>
      <c r="BG73" s="114"/>
      <c r="BH73" s="114"/>
      <c r="BN73" s="86"/>
      <c r="BO73" s="114"/>
      <c r="BP73" s="96">
        <v>28</v>
      </c>
      <c r="BQ73" s="78"/>
      <c r="BR73" s="78"/>
      <c r="BS73" s="78"/>
      <c r="BT73" s="78"/>
      <c r="BU73" s="78"/>
      <c r="BV73" s="78"/>
      <c r="BW73" s="78"/>
      <c r="BX73" s="78"/>
      <c r="BY73" s="78"/>
      <c r="BZ73" s="78"/>
      <c r="CA73" s="78"/>
      <c r="CB73" s="78"/>
      <c r="CC73" s="78"/>
      <c r="CD73" s="78"/>
      <c r="CE73" s="78"/>
      <c r="CF73" s="78"/>
      <c r="CG73" s="78"/>
      <c r="CH73" s="115"/>
      <c r="CI73" s="78"/>
      <c r="CJ73" s="116"/>
      <c r="CK73" s="120" t="b">
        <f>IF(CR59=28,21)</f>
        <v>0</v>
      </c>
      <c r="CL73" s="121"/>
      <c r="CM73" s="121"/>
      <c r="CN73" s="121"/>
      <c r="CO73" s="121"/>
      <c r="CP73" s="122"/>
      <c r="CQ73" s="121"/>
      <c r="CR73" s="121"/>
      <c r="CS73" s="121"/>
      <c r="CT73" s="122"/>
      <c r="CU73" s="123"/>
      <c r="CV73" s="123"/>
      <c r="CW73" s="123"/>
      <c r="CX73" s="123"/>
      <c r="CY73" s="124" t="b">
        <f>IF(CR59=28,35)</f>
        <v>0</v>
      </c>
      <c r="CZ73" s="76"/>
      <c r="DA73" s="76"/>
      <c r="DB73" s="76"/>
      <c r="DC73" s="78"/>
      <c r="DD73" s="78"/>
    </row>
    <row r="74" spans="5:108" ht="21" hidden="1" thickBot="1" x14ac:dyDescent="0.25">
      <c r="E74" s="397"/>
      <c r="F74" s="397"/>
      <c r="G74" s="998"/>
      <c r="H74"/>
      <c r="I74"/>
      <c r="J74"/>
      <c r="K74"/>
      <c r="L74"/>
      <c r="M74"/>
      <c r="N74"/>
      <c r="O74" s="995"/>
      <c r="BE74" s="114"/>
      <c r="BF74" s="114"/>
      <c r="BG74" s="114"/>
      <c r="BH74" s="114"/>
      <c r="BN74" s="86"/>
      <c r="BO74" s="114"/>
      <c r="BP74" s="96">
        <v>27</v>
      </c>
      <c r="BQ74" s="78"/>
      <c r="BR74" s="78"/>
      <c r="BS74" s="78"/>
      <c r="BT74" s="78"/>
      <c r="BU74" s="78"/>
      <c r="BV74" s="78"/>
      <c r="BW74" s="78"/>
      <c r="BX74" s="78"/>
      <c r="BY74" s="78"/>
      <c r="BZ74" s="78"/>
      <c r="CA74" s="78"/>
      <c r="CB74" s="78"/>
      <c r="CC74" s="78"/>
      <c r="CD74" s="78"/>
      <c r="CE74" s="78"/>
      <c r="CF74" s="78"/>
      <c r="CG74" s="78"/>
      <c r="CH74" s="115"/>
      <c r="CI74" s="78"/>
      <c r="CJ74" s="116"/>
      <c r="CK74" s="120" t="b">
        <f>IF(CQ59=27,21)</f>
        <v>0</v>
      </c>
      <c r="CL74" s="121"/>
      <c r="CM74" s="121"/>
      <c r="CN74" s="122"/>
      <c r="CO74" s="121"/>
      <c r="CP74" s="121"/>
      <c r="CQ74" s="121"/>
      <c r="CR74" s="121"/>
      <c r="CS74" s="121"/>
      <c r="CT74" s="122"/>
      <c r="CU74" s="123"/>
      <c r="CV74" s="123"/>
      <c r="CW74" s="124" t="b">
        <f>IF(CQ59=27,33)</f>
        <v>0</v>
      </c>
      <c r="CX74" s="76"/>
      <c r="CY74" s="76"/>
      <c r="CZ74" s="76"/>
      <c r="DA74" s="76"/>
      <c r="DB74" s="76"/>
      <c r="DC74" s="78"/>
      <c r="DD74" s="78"/>
    </row>
    <row r="75" spans="5:108" ht="21" hidden="1" thickBot="1" x14ac:dyDescent="0.25">
      <c r="E75" s="397"/>
      <c r="F75" s="397"/>
      <c r="G75" s="998"/>
      <c r="H75"/>
      <c r="I75"/>
      <c r="J75"/>
      <c r="K75"/>
      <c r="L75"/>
      <c r="M75"/>
      <c r="N75"/>
      <c r="O75" s="995"/>
      <c r="BN75" s="86"/>
      <c r="BP75" s="96">
        <v>26</v>
      </c>
      <c r="BQ75" s="78"/>
      <c r="BR75" s="78"/>
      <c r="BS75" s="78"/>
      <c r="BT75" s="78"/>
      <c r="BU75" s="78"/>
      <c r="BV75" s="78"/>
      <c r="BW75" s="78"/>
      <c r="BX75" s="78"/>
      <c r="BY75" s="78"/>
      <c r="BZ75" s="78"/>
      <c r="CA75" s="78"/>
      <c r="CB75" s="78"/>
      <c r="CC75" s="78"/>
      <c r="CD75" s="78"/>
      <c r="CE75" s="78"/>
      <c r="CF75" s="78"/>
      <c r="CG75" s="78"/>
      <c r="CH75" s="115"/>
      <c r="CI75" s="78"/>
      <c r="CJ75" s="116"/>
      <c r="CK75" s="120" t="b">
        <f>IF(CP59=26,21)</f>
        <v>0</v>
      </c>
      <c r="CL75" s="122"/>
      <c r="CM75" s="121"/>
      <c r="CN75" s="121"/>
      <c r="CO75" s="121"/>
      <c r="CP75" s="121"/>
      <c r="CQ75" s="121"/>
      <c r="CR75" s="121"/>
      <c r="CS75" s="121"/>
      <c r="CT75" s="122"/>
      <c r="CU75" s="124" t="b">
        <f>IF(CP59=26,31)</f>
        <v>0</v>
      </c>
      <c r="CV75" s="76"/>
      <c r="CW75" s="76"/>
      <c r="CX75" s="76"/>
      <c r="CY75" s="76"/>
      <c r="CZ75" s="76"/>
      <c r="DA75" s="76"/>
      <c r="DB75" s="76"/>
      <c r="DC75" s="78"/>
      <c r="DD75" s="78"/>
    </row>
    <row r="76" spans="5:108" ht="21" hidden="1" thickBot="1" x14ac:dyDescent="0.25">
      <c r="E76" s="397"/>
      <c r="F76" s="397"/>
      <c r="G76" s="998"/>
      <c r="H76"/>
      <c r="I76"/>
      <c r="J76"/>
      <c r="K76"/>
      <c r="L76"/>
      <c r="M76"/>
      <c r="N76"/>
      <c r="O76" s="995"/>
      <c r="BE76" s="126"/>
      <c r="BF76" s="126"/>
      <c r="BG76" s="126"/>
      <c r="BH76" s="126"/>
      <c r="BN76" s="86"/>
      <c r="BO76" s="126"/>
      <c r="BP76" s="96">
        <v>25</v>
      </c>
      <c r="BQ76" s="78"/>
      <c r="BR76" s="78"/>
      <c r="BS76" s="78"/>
      <c r="BT76" s="78"/>
      <c r="BU76" s="78"/>
      <c r="BV76" s="78"/>
      <c r="BW76" s="78"/>
      <c r="BX76" s="78"/>
      <c r="BY76" s="78"/>
      <c r="BZ76" s="78"/>
      <c r="CA76" s="78"/>
      <c r="CC76" s="78"/>
      <c r="CD76" s="78"/>
      <c r="CE76" s="78"/>
      <c r="CF76" s="78"/>
      <c r="CG76" s="78"/>
      <c r="CH76" s="115"/>
      <c r="CI76" s="78"/>
      <c r="CK76" s="128" t="b">
        <f>IF(CO59=25,21)</f>
        <v>0</v>
      </c>
      <c r="CL76" s="121"/>
      <c r="CM76" s="121"/>
      <c r="CN76" s="121"/>
      <c r="CO76" s="121"/>
      <c r="CP76" s="121"/>
      <c r="CQ76" s="121"/>
      <c r="CR76" s="121"/>
      <c r="CS76" s="124" t="b">
        <f>IF(CO59=25,29)</f>
        <v>0</v>
      </c>
      <c r="CU76" s="76"/>
      <c r="CV76" s="76"/>
      <c r="CW76" s="76"/>
      <c r="CX76" s="76"/>
      <c r="CY76" s="76"/>
      <c r="CZ76" s="76"/>
      <c r="DA76" s="76"/>
      <c r="DB76" s="76"/>
      <c r="DC76" s="78"/>
      <c r="DD76" s="78"/>
    </row>
    <row r="77" spans="5:108" ht="21" hidden="1" thickBot="1" x14ac:dyDescent="0.25">
      <c r="E77" s="397"/>
      <c r="F77" s="397"/>
      <c r="G77" s="998"/>
      <c r="H77"/>
      <c r="I77"/>
      <c r="J77"/>
      <c r="K77"/>
      <c r="L77"/>
      <c r="M77"/>
      <c r="N77"/>
      <c r="O77" s="995"/>
      <c r="BE77" s="126"/>
      <c r="BF77" s="126"/>
      <c r="BG77" s="126"/>
      <c r="BH77" s="126"/>
      <c r="BN77" s="86"/>
      <c r="BO77" s="126"/>
      <c r="BP77" s="96">
        <v>24</v>
      </c>
      <c r="BQ77" s="78"/>
      <c r="BR77" s="78"/>
      <c r="BS77" s="78"/>
      <c r="BT77" s="78"/>
      <c r="BU77" s="78"/>
      <c r="BV77" s="78"/>
      <c r="BW77" s="78"/>
      <c r="BX77" s="78"/>
      <c r="BY77" s="78"/>
      <c r="BZ77" s="78"/>
      <c r="CA77" s="78"/>
      <c r="CB77" s="117" t="b">
        <f>IF(CN59=24,12)</f>
        <v>0</v>
      </c>
      <c r="CC77" s="111"/>
      <c r="CD77" s="111"/>
      <c r="CE77" s="111"/>
      <c r="CF77" s="111"/>
      <c r="CG77" s="111"/>
      <c r="CH77" s="118"/>
      <c r="CI77" s="111"/>
      <c r="CJ77" s="129"/>
      <c r="CK77" s="111"/>
      <c r="CL77" s="111"/>
      <c r="CM77" s="111"/>
      <c r="CN77" s="111"/>
      <c r="CO77" s="111"/>
      <c r="CP77" s="111"/>
      <c r="CQ77" s="111"/>
      <c r="CR77" s="111"/>
      <c r="CS77" s="111"/>
      <c r="CT77" s="118"/>
      <c r="CU77" s="119"/>
      <c r="CV77" s="119"/>
      <c r="CW77" s="119"/>
      <c r="CX77" s="119"/>
      <c r="CY77" s="119"/>
      <c r="CZ77" s="103" t="b">
        <f>IF(CN59=24,36)</f>
        <v>0</v>
      </c>
      <c r="DA77" s="76"/>
      <c r="DB77" s="76"/>
      <c r="DC77" s="78"/>
      <c r="DD77" s="78"/>
    </row>
    <row r="78" spans="5:108" ht="21" hidden="1" thickBot="1" x14ac:dyDescent="0.25">
      <c r="E78" s="397"/>
      <c r="F78" s="397"/>
      <c r="G78" s="998"/>
      <c r="H78"/>
      <c r="I78"/>
      <c r="J78"/>
      <c r="K78"/>
      <c r="L78"/>
      <c r="M78"/>
      <c r="N78"/>
      <c r="O78" s="995"/>
      <c r="BE78" s="126"/>
      <c r="BF78" s="126"/>
      <c r="BG78" s="126"/>
      <c r="BH78" s="126"/>
      <c r="BN78" s="86"/>
      <c r="BO78" s="126"/>
      <c r="BP78" s="96">
        <v>23</v>
      </c>
      <c r="BQ78" s="78"/>
      <c r="BR78" s="78"/>
      <c r="BS78" s="78"/>
      <c r="BT78" s="78"/>
      <c r="BU78" s="78"/>
      <c r="BV78" s="78"/>
      <c r="BW78" s="78"/>
      <c r="BX78" s="78"/>
      <c r="BY78" s="78"/>
      <c r="BZ78" s="78"/>
      <c r="CA78" s="78"/>
      <c r="CB78" s="120" t="b">
        <f>IF(CM59=23,12)</f>
        <v>0</v>
      </c>
      <c r="CC78" s="121"/>
      <c r="CD78" s="121"/>
      <c r="CE78" s="121"/>
      <c r="CF78" s="122"/>
      <c r="CG78" s="121"/>
      <c r="CH78" s="132"/>
      <c r="CI78" s="121"/>
      <c r="CJ78" s="133"/>
      <c r="CK78" s="121"/>
      <c r="CL78" s="121"/>
      <c r="CM78" s="121"/>
      <c r="CN78" s="121"/>
      <c r="CO78" s="121"/>
      <c r="CP78" s="121"/>
      <c r="CQ78" s="121"/>
      <c r="CR78" s="121"/>
      <c r="CS78" s="121"/>
      <c r="CT78" s="122"/>
      <c r="CU78" s="123"/>
      <c r="CV78" s="123"/>
      <c r="CW78" s="123"/>
      <c r="CX78" s="124" t="b">
        <f>IF(CM59=23,34)</f>
        <v>0</v>
      </c>
      <c r="CY78" s="76"/>
      <c r="CZ78" s="76"/>
      <c r="DA78" s="76"/>
      <c r="DB78" s="76"/>
      <c r="DC78" s="78"/>
      <c r="DD78" s="78"/>
    </row>
    <row r="79" spans="5:108" ht="21" hidden="1" thickBot="1" x14ac:dyDescent="0.25">
      <c r="E79" s="397"/>
      <c r="F79" s="397"/>
      <c r="G79" s="1008"/>
      <c r="H79"/>
      <c r="I79"/>
      <c r="J79"/>
      <c r="K79"/>
      <c r="L79"/>
      <c r="M79"/>
      <c r="N79"/>
      <c r="O79" s="995"/>
      <c r="U79" s="114"/>
      <c r="AB79" s="114"/>
      <c r="AC79" s="114"/>
      <c r="AD79" s="114"/>
      <c r="AE79" s="114"/>
      <c r="BE79" s="126"/>
      <c r="BF79" s="126"/>
      <c r="BG79" s="126"/>
      <c r="BH79" s="126"/>
      <c r="BN79" s="86"/>
      <c r="BO79" s="126"/>
      <c r="BP79" s="96">
        <v>22</v>
      </c>
      <c r="BQ79" s="76"/>
      <c r="BR79" s="76"/>
      <c r="BS79" s="76"/>
      <c r="BT79" s="76"/>
      <c r="BU79" s="76"/>
      <c r="BV79" s="76"/>
      <c r="BW79" s="76"/>
      <c r="BX79" s="76"/>
      <c r="BY79" s="76"/>
      <c r="BZ79" s="76"/>
      <c r="CA79" s="76"/>
      <c r="CB79" s="120" t="b">
        <f>IF(CL59=22,12)</f>
        <v>0</v>
      </c>
      <c r="CC79" s="123"/>
      <c r="CD79" s="123"/>
      <c r="CE79" s="123"/>
      <c r="CF79" s="122"/>
      <c r="CG79" s="123"/>
      <c r="CH79" s="134"/>
      <c r="CI79" s="123"/>
      <c r="CJ79" s="135"/>
      <c r="CK79" s="123"/>
      <c r="CL79" s="123"/>
      <c r="CM79" s="123"/>
      <c r="CN79" s="123"/>
      <c r="CO79" s="121"/>
      <c r="CP79" s="121"/>
      <c r="CQ79" s="122"/>
      <c r="CR79" s="121"/>
      <c r="CS79" s="121"/>
      <c r="CT79" s="121"/>
      <c r="CU79" s="121"/>
      <c r="CV79" s="124" t="b">
        <f>IF(CL59=22,32)</f>
        <v>0</v>
      </c>
      <c r="CW79" s="78"/>
      <c r="CX79" s="78"/>
      <c r="CY79" s="78"/>
      <c r="CZ79" s="78"/>
      <c r="DA79" s="78"/>
      <c r="DB79" s="78"/>
      <c r="DC79" s="78"/>
      <c r="DD79" s="78"/>
    </row>
    <row r="80" spans="5:108" ht="21" hidden="1" thickBot="1" x14ac:dyDescent="0.25">
      <c r="E80" s="397"/>
      <c r="F80" s="397"/>
      <c r="G80" s="998"/>
      <c r="H80"/>
      <c r="I80"/>
      <c r="J80"/>
      <c r="K80"/>
      <c r="L80"/>
      <c r="M80"/>
      <c r="N80"/>
      <c r="O80" s="995"/>
      <c r="BE80" s="126"/>
      <c r="BF80" s="126"/>
      <c r="BG80" s="126"/>
      <c r="BH80" s="126"/>
      <c r="BN80" s="86"/>
      <c r="BO80" s="126"/>
      <c r="BP80" s="96">
        <v>21</v>
      </c>
      <c r="BQ80" s="78"/>
      <c r="BR80" s="78"/>
      <c r="BS80" s="78"/>
      <c r="BT80" s="78"/>
      <c r="BU80" s="78"/>
      <c r="BV80" s="78"/>
      <c r="BW80" s="78"/>
      <c r="BX80" s="78"/>
      <c r="BY80" s="78"/>
      <c r="BZ80" s="78"/>
      <c r="CA80" s="78"/>
      <c r="CB80" s="120" t="b">
        <f>IF(CK59=21,12)</f>
        <v>0</v>
      </c>
      <c r="CC80" s="121"/>
      <c r="CD80" s="121"/>
      <c r="CE80" s="121"/>
      <c r="CF80" s="121"/>
      <c r="CG80" s="121"/>
      <c r="CH80" s="132"/>
      <c r="CI80" s="121"/>
      <c r="CJ80" s="133"/>
      <c r="CK80" s="121"/>
      <c r="CL80" s="121"/>
      <c r="CM80" s="121"/>
      <c r="CN80" s="121"/>
      <c r="CO80" s="121"/>
      <c r="CP80" s="121"/>
      <c r="CQ80" s="121"/>
      <c r="CR80" s="121"/>
      <c r="CS80" s="121"/>
      <c r="CT80" s="124" t="b">
        <f>IF(CK59=21,30)</f>
        <v>0</v>
      </c>
      <c r="CU80" s="76"/>
      <c r="CV80" s="76"/>
      <c r="CW80" s="76"/>
      <c r="CX80" s="76"/>
      <c r="CY80" s="76"/>
      <c r="CZ80" s="76"/>
      <c r="DA80" s="76"/>
      <c r="DB80" s="76"/>
      <c r="DC80" s="78"/>
      <c r="DD80" s="78"/>
    </row>
    <row r="81" spans="2:108" ht="21" hidden="1" thickBot="1" x14ac:dyDescent="0.25">
      <c r="E81" s="397"/>
      <c r="F81" s="397"/>
      <c r="G81" s="998"/>
      <c r="H81"/>
      <c r="I81"/>
      <c r="J81"/>
      <c r="K81"/>
      <c r="L81"/>
      <c r="M81"/>
      <c r="N81"/>
      <c r="O81" s="995"/>
      <c r="T81" s="401"/>
      <c r="BE81" s="136"/>
      <c r="BF81" s="136"/>
      <c r="BG81" s="136"/>
      <c r="BH81" s="136"/>
      <c r="BN81" s="86"/>
      <c r="BO81" s="1091"/>
      <c r="BP81" s="96">
        <v>20</v>
      </c>
      <c r="BQ81" s="78"/>
      <c r="BR81" s="78"/>
      <c r="BS81" s="78"/>
      <c r="BT81" s="78"/>
      <c r="BU81" s="78"/>
      <c r="BV81" s="78"/>
      <c r="BW81" s="78"/>
      <c r="BX81" s="78"/>
      <c r="CA81" s="137"/>
      <c r="CB81" s="117" t="b">
        <f>IF(CJ59=20,12)</f>
        <v>0</v>
      </c>
      <c r="CC81" s="111"/>
      <c r="CD81" s="111"/>
      <c r="CE81" s="111"/>
      <c r="CF81" s="111"/>
      <c r="CG81" s="111"/>
      <c r="CH81" s="138"/>
      <c r="CI81" s="111"/>
      <c r="CJ81" s="129"/>
      <c r="CK81" s="111"/>
      <c r="CL81" s="111"/>
      <c r="CM81" s="111"/>
      <c r="CN81" s="111"/>
      <c r="CO81" s="111"/>
      <c r="CP81" s="111"/>
      <c r="CQ81" s="111"/>
      <c r="CR81" s="103" t="b">
        <f>IF(CJ59=20,28)</f>
        <v>0</v>
      </c>
      <c r="CS81" s="137"/>
      <c r="CU81" s="76"/>
      <c r="CV81" s="76"/>
      <c r="CW81" s="76"/>
      <c r="CX81" s="76"/>
      <c r="CY81" s="76"/>
      <c r="CZ81" s="76"/>
      <c r="DA81" s="76"/>
      <c r="DB81" s="76"/>
      <c r="DC81" s="78"/>
      <c r="DD81" s="78"/>
    </row>
    <row r="82" spans="2:108" ht="21" hidden="1" thickBot="1" x14ac:dyDescent="0.25">
      <c r="E82" s="397"/>
      <c r="F82" s="397"/>
      <c r="G82" s="998"/>
      <c r="H82"/>
      <c r="I82"/>
      <c r="J82"/>
      <c r="K82"/>
      <c r="L82"/>
      <c r="M82"/>
      <c r="N82"/>
      <c r="O82" s="995"/>
      <c r="U82" s="114"/>
      <c r="AB82" s="114"/>
      <c r="AC82" s="114"/>
      <c r="AD82" s="114"/>
      <c r="AE82" s="114"/>
      <c r="BE82" s="136"/>
      <c r="BF82" s="136"/>
      <c r="BG82" s="136"/>
      <c r="BH82" s="136"/>
      <c r="BN82" s="86"/>
      <c r="BO82" s="1091"/>
      <c r="BP82" s="96">
        <v>19</v>
      </c>
      <c r="BQ82" s="78"/>
      <c r="BR82" s="78"/>
      <c r="BS82" s="78"/>
      <c r="BT82" s="78"/>
      <c r="BU82" s="78"/>
      <c r="BV82" s="78"/>
      <c r="BW82" s="78"/>
      <c r="BX82" s="78"/>
      <c r="BZ82" s="139"/>
      <c r="CA82" s="139"/>
      <c r="CB82" s="117" t="b">
        <f>IF(CI59=19,12)</f>
        <v>0</v>
      </c>
      <c r="CC82" s="119"/>
      <c r="CD82" s="119"/>
      <c r="CE82" s="118"/>
      <c r="CF82" s="119"/>
      <c r="CG82" s="119"/>
      <c r="CH82" s="140"/>
      <c r="CI82" s="119"/>
      <c r="CJ82" s="141"/>
      <c r="CK82" s="118"/>
      <c r="CL82" s="119"/>
      <c r="CM82" s="119"/>
      <c r="CN82" s="119"/>
      <c r="CO82" s="111"/>
      <c r="CP82" s="103" t="b">
        <f>IF(CI59=19,26)</f>
        <v>0</v>
      </c>
      <c r="CQ82" s="142"/>
      <c r="CR82" s="137"/>
      <c r="CT82" s="78"/>
      <c r="CU82" s="78"/>
      <c r="CV82" s="78"/>
      <c r="CW82" s="78"/>
      <c r="CX82" s="78"/>
      <c r="CY82" s="78"/>
      <c r="CZ82" s="78"/>
      <c r="DA82" s="78"/>
      <c r="DB82" s="78"/>
      <c r="DC82" s="78"/>
      <c r="DD82" s="78"/>
    </row>
    <row r="83" spans="2:108" ht="21" hidden="1" thickBot="1" x14ac:dyDescent="0.25">
      <c r="E83" s="397"/>
      <c r="F83" s="397"/>
      <c r="G83" s="998"/>
      <c r="H83"/>
      <c r="I83"/>
      <c r="J83"/>
      <c r="K83" s="988">
        <v>5</v>
      </c>
      <c r="L83"/>
      <c r="M83" s="988">
        <v>51</v>
      </c>
      <c r="N83"/>
      <c r="O83" s="995"/>
      <c r="U83" s="114"/>
      <c r="AB83" s="114"/>
      <c r="AC83" s="114"/>
      <c r="AD83" s="114"/>
      <c r="AE83" s="114"/>
      <c r="BE83" s="136"/>
      <c r="BF83" s="136"/>
      <c r="BG83" s="136"/>
      <c r="BH83" s="136"/>
      <c r="BN83" s="86"/>
      <c r="BO83" s="1091"/>
      <c r="BP83" s="96">
        <v>18</v>
      </c>
      <c r="BQ83" s="76"/>
      <c r="BR83" s="76"/>
      <c r="BS83" s="76"/>
      <c r="BT83" s="76"/>
      <c r="BV83" s="76"/>
      <c r="BW83" s="76"/>
      <c r="BX83" s="76"/>
      <c r="BZ83" s="117" t="b">
        <f>IF(CH59=18,10)</f>
        <v>0</v>
      </c>
      <c r="CA83" s="119"/>
      <c r="CB83" s="119"/>
      <c r="CC83" s="119"/>
      <c r="CD83" s="119"/>
      <c r="CE83" s="118"/>
      <c r="CF83" s="119"/>
      <c r="CG83" s="119"/>
      <c r="CH83" s="140"/>
      <c r="CI83" s="119"/>
      <c r="CJ83" s="141"/>
      <c r="CK83" s="118"/>
      <c r="CL83" s="119"/>
      <c r="CM83" s="119"/>
      <c r="CN83" s="119"/>
      <c r="CO83" s="111"/>
      <c r="CP83" s="103" t="b">
        <f>IF(CH59=18,26)</f>
        <v>0</v>
      </c>
      <c r="CR83" s="78"/>
      <c r="CS83" s="78"/>
      <c r="CT83" s="78"/>
      <c r="CU83" s="78"/>
      <c r="CV83" s="78"/>
      <c r="CW83" s="78"/>
      <c r="CX83" s="78"/>
      <c r="CY83" s="78"/>
      <c r="CZ83" s="78"/>
      <c r="DA83" s="78"/>
      <c r="DB83" s="78"/>
      <c r="DC83" s="78"/>
      <c r="DD83" s="78"/>
    </row>
    <row r="84" spans="2:108" ht="85" hidden="1" thickBot="1" x14ac:dyDescent="0.25">
      <c r="E84" s="397"/>
      <c r="F84" s="397"/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U84" s="114"/>
      <c r="AB84" s="114"/>
      <c r="AC84" s="114"/>
      <c r="AD84" s="114"/>
      <c r="AE84" s="114"/>
      <c r="BE84" s="136"/>
      <c r="BF84" s="136"/>
      <c r="BG84" s="136"/>
      <c r="BH84" s="136"/>
      <c r="BN84" s="86"/>
      <c r="BO84" s="1091"/>
      <c r="BP84" s="96">
        <v>17</v>
      </c>
      <c r="BQ84" s="76"/>
      <c r="BR84" s="76"/>
      <c r="BS84" s="76"/>
      <c r="BT84" s="76"/>
      <c r="BU84" s="76"/>
      <c r="BV84" s="76"/>
      <c r="BW84" s="76"/>
      <c r="BX84" s="117">
        <f>IF(CG59=17,8)</f>
        <v>8</v>
      </c>
      <c r="BY84" s="118"/>
      <c r="BZ84" s="118"/>
      <c r="CA84" s="119"/>
      <c r="CB84" s="119"/>
      <c r="CC84" s="119"/>
      <c r="CD84" s="119"/>
      <c r="CE84" s="119"/>
      <c r="CF84" s="119"/>
      <c r="CG84" s="119"/>
      <c r="CH84" s="140"/>
      <c r="CI84" s="119"/>
      <c r="CJ84" s="141"/>
      <c r="CK84" s="119"/>
      <c r="CL84" s="119"/>
      <c r="CM84" s="119"/>
      <c r="CN84" s="118"/>
      <c r="CO84" s="118"/>
      <c r="CP84" s="103">
        <f>IF(CG59=17,26)</f>
        <v>26</v>
      </c>
      <c r="CQ84" s="78"/>
      <c r="CR84" s="78"/>
      <c r="CS84" s="78"/>
      <c r="CT84" s="78"/>
      <c r="CU84" s="78"/>
      <c r="CV84" s="78"/>
      <c r="CW84" s="78"/>
      <c r="CX84" s="78"/>
      <c r="CY84" s="78"/>
      <c r="CZ84" s="78"/>
      <c r="DA84" s="78"/>
      <c r="DB84" s="78"/>
      <c r="DC84" s="78"/>
      <c r="DD84" s="78"/>
    </row>
    <row r="85" spans="2:108" ht="68.25" hidden="1" customHeight="1" thickBot="1" x14ac:dyDescent="0.3">
      <c r="E85" s="397"/>
      <c r="F85" s="397"/>
      <c r="G85" s="998"/>
      <c r="H85"/>
      <c r="I85"/>
      <c r="J85" s="1087" t="s">
        <v>264</v>
      </c>
      <c r="K85" s="1080">
        <f>+MIN(J19:K20)</f>
        <v>36.15002259376412</v>
      </c>
      <c r="L85" s="1081">
        <f>+$E$22/(BQ27)</f>
        <v>36.15002259376412</v>
      </c>
      <c r="M85" s="1081">
        <f>+MIN(K25:L26)</f>
        <v>36.15002259376412</v>
      </c>
      <c r="N85"/>
      <c r="O85" s="995"/>
      <c r="U85" s="114"/>
      <c r="AB85" s="114"/>
      <c r="AC85" s="114"/>
      <c r="AD85" s="114"/>
      <c r="AE85" s="114"/>
      <c r="BE85" s="136"/>
      <c r="BF85" s="136"/>
      <c r="BG85" s="136"/>
      <c r="BH85" s="136"/>
      <c r="BN85" s="86"/>
      <c r="BO85" s="1091"/>
      <c r="BP85" s="96">
        <v>16</v>
      </c>
      <c r="BQ85" s="76"/>
      <c r="BR85" s="76"/>
      <c r="BS85" s="76"/>
      <c r="BT85" s="76"/>
      <c r="BU85" s="76"/>
      <c r="BV85" s="145" t="b">
        <f>IF(CF59=16,6)</f>
        <v>0</v>
      </c>
      <c r="BW85" s="146"/>
      <c r="BX85" s="147"/>
      <c r="BY85" s="147"/>
      <c r="BZ85" s="146"/>
      <c r="CA85" s="146"/>
      <c r="CB85" s="146"/>
      <c r="CC85" s="146"/>
      <c r="CD85" s="146"/>
      <c r="CE85" s="146"/>
      <c r="CF85" s="146"/>
      <c r="CG85" s="146"/>
      <c r="CH85" s="148"/>
      <c r="CI85" s="146"/>
      <c r="CJ85" s="149"/>
      <c r="CK85" s="146"/>
      <c r="CL85" s="146"/>
      <c r="CM85" s="147"/>
      <c r="CN85" s="147"/>
      <c r="CO85" s="150"/>
      <c r="CP85" s="151" t="b">
        <f>IF(CF59=16,26)</f>
        <v>0</v>
      </c>
      <c r="CQ85" s="78"/>
      <c r="CR85" s="78"/>
      <c r="CS85" s="78"/>
      <c r="CT85" s="78"/>
      <c r="CU85" s="78"/>
      <c r="CV85" s="78"/>
      <c r="CW85" s="78"/>
      <c r="CX85" s="78"/>
      <c r="CY85" s="78"/>
      <c r="CZ85" s="78"/>
      <c r="DA85" s="78"/>
      <c r="DB85" s="78"/>
      <c r="DC85" s="78"/>
      <c r="DD85" s="78"/>
    </row>
    <row r="86" spans="2:108" ht="21" hidden="1" thickBot="1" x14ac:dyDescent="0.25">
      <c r="E86" s="397"/>
      <c r="F86" s="397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U86" s="114"/>
      <c r="AB86" s="114"/>
      <c r="AC86" s="114"/>
      <c r="AD86" s="114"/>
      <c r="AE86" s="114"/>
      <c r="BE86" s="136"/>
      <c r="BF86" s="136"/>
      <c r="BG86" s="136"/>
      <c r="BH86" s="136"/>
      <c r="BN86" s="86"/>
      <c r="BO86" s="1091"/>
      <c r="BP86" s="96">
        <v>15</v>
      </c>
      <c r="BQ86" s="76"/>
      <c r="BR86" s="76"/>
      <c r="BS86" s="76"/>
      <c r="BT86" s="117" t="b">
        <f>IF(CE59=15,4)</f>
        <v>0</v>
      </c>
      <c r="BU86" s="119"/>
      <c r="BV86" s="119"/>
      <c r="BW86" s="119"/>
      <c r="BX86" s="118"/>
      <c r="BY86" s="119"/>
      <c r="BZ86" s="119"/>
      <c r="CA86" s="118"/>
      <c r="CB86" s="119"/>
      <c r="CC86" s="119"/>
      <c r="CD86" s="119"/>
      <c r="CE86" s="119"/>
      <c r="CF86" s="119"/>
      <c r="CG86" s="119"/>
      <c r="CH86" s="140"/>
      <c r="CI86" s="118"/>
      <c r="CJ86" s="141"/>
      <c r="CK86" s="119"/>
      <c r="CL86" s="118"/>
      <c r="CM86" s="119"/>
      <c r="CN86" s="119"/>
      <c r="CO86" s="111"/>
      <c r="CP86" s="103" t="b">
        <f>IF(CE59=15,26)</f>
        <v>0</v>
      </c>
      <c r="CQ86" s="78"/>
      <c r="CR86" s="78"/>
      <c r="CS86" s="78"/>
      <c r="CT86" s="78"/>
      <c r="CU86" s="78"/>
      <c r="CV86" s="78"/>
      <c r="CW86" s="78"/>
      <c r="CX86" s="78"/>
      <c r="CY86" s="78"/>
      <c r="CZ86" s="78"/>
      <c r="DA86" s="78"/>
      <c r="DB86" s="78"/>
      <c r="DC86" s="78"/>
      <c r="DD86" s="78"/>
    </row>
    <row r="87" spans="2:108" ht="21" hidden="1" thickBot="1" x14ac:dyDescent="0.25">
      <c r="E87" s="397"/>
      <c r="F87" s="397"/>
      <c r="G87" s="998"/>
      <c r="H87"/>
      <c r="I87"/>
      <c r="J87"/>
      <c r="K87"/>
      <c r="L87"/>
      <c r="M87"/>
      <c r="N87"/>
      <c r="O87" s="995"/>
      <c r="U87" s="114"/>
      <c r="AB87" s="114"/>
      <c r="AC87" s="114"/>
      <c r="AD87" s="114"/>
      <c r="AE87" s="114"/>
      <c r="BE87" s="136"/>
      <c r="BF87" s="136"/>
      <c r="BG87" s="136"/>
      <c r="BH87" s="136"/>
      <c r="BN87" s="86"/>
      <c r="BO87" s="1091"/>
      <c r="BP87" s="96">
        <v>14</v>
      </c>
      <c r="BQ87" s="76"/>
      <c r="BR87" s="117" t="b">
        <f>IF(CD59=14,2)</f>
        <v>0</v>
      </c>
      <c r="BS87" s="119"/>
      <c r="BT87" s="119"/>
      <c r="BU87" s="119"/>
      <c r="BV87" s="118"/>
      <c r="BW87" s="119"/>
      <c r="BX87" s="119"/>
      <c r="BY87" s="118"/>
      <c r="BZ87" s="119"/>
      <c r="CA87" s="119"/>
      <c r="CB87" s="119"/>
      <c r="CC87" s="119"/>
      <c r="CD87" s="119"/>
      <c r="CE87" s="119"/>
      <c r="CF87" s="119"/>
      <c r="CG87" s="119"/>
      <c r="CH87" s="140"/>
      <c r="CI87" s="118"/>
      <c r="CJ87" s="141"/>
      <c r="CK87" s="119"/>
      <c r="CL87" s="118"/>
      <c r="CM87" s="119"/>
      <c r="CN87" s="119"/>
      <c r="CO87" s="111"/>
      <c r="CP87" s="103" t="b">
        <f>IF(CD59=14,26)</f>
        <v>0</v>
      </c>
      <c r="CQ87" s="78"/>
      <c r="CR87" s="78"/>
      <c r="CS87" s="78"/>
      <c r="CT87" s="78"/>
      <c r="CU87" s="78"/>
      <c r="CV87" s="78"/>
      <c r="CW87" s="78"/>
      <c r="CX87" s="78"/>
      <c r="CY87" s="78"/>
      <c r="CZ87" s="78"/>
      <c r="DA87" s="78"/>
      <c r="DB87" s="78"/>
      <c r="DC87" s="78"/>
      <c r="DD87" s="78"/>
    </row>
    <row r="88" spans="2:108" ht="21" hidden="1" thickBot="1" x14ac:dyDescent="0.25">
      <c r="E88" s="397"/>
      <c r="F88" s="397"/>
      <c r="G88" s="998"/>
      <c r="H88"/>
      <c r="I88"/>
      <c r="J88"/>
      <c r="K88"/>
      <c r="L88"/>
      <c r="M88"/>
      <c r="N88"/>
      <c r="O88" s="995"/>
      <c r="U88" s="114"/>
      <c r="AB88" s="114"/>
      <c r="AC88" s="114"/>
      <c r="AD88" s="114"/>
      <c r="AE88" s="114"/>
      <c r="BE88" s="136"/>
      <c r="BF88" s="136"/>
      <c r="BG88" s="136"/>
      <c r="BH88" s="136"/>
      <c r="BN88" s="86"/>
      <c r="BO88" s="1091"/>
      <c r="BP88" s="96">
        <v>13</v>
      </c>
      <c r="BQ88" s="76"/>
      <c r="BR88" s="76"/>
      <c r="BS88" s="76"/>
      <c r="BU88" s="152"/>
      <c r="BV88" s="152"/>
      <c r="BW88" s="91"/>
      <c r="BX88" s="152"/>
      <c r="BY88" s="120" t="b">
        <f>IF(CC59=13,9)</f>
        <v>0</v>
      </c>
      <c r="BZ88" s="123"/>
      <c r="CA88" s="123"/>
      <c r="CB88" s="123"/>
      <c r="CC88" s="123"/>
      <c r="CD88" s="123"/>
      <c r="CE88" s="123"/>
      <c r="CF88" s="123"/>
      <c r="CG88" s="124" t="b">
        <f>IF(CC59=13,17)</f>
        <v>0</v>
      </c>
      <c r="CH88" s="153"/>
      <c r="CI88" s="91"/>
      <c r="CJ88" s="154"/>
      <c r="CK88" s="152"/>
      <c r="CM88" s="76"/>
      <c r="CN88" s="76"/>
      <c r="CO88" s="78"/>
      <c r="CP88" s="78"/>
      <c r="CQ88" s="78"/>
      <c r="CR88" s="78"/>
      <c r="CS88" s="78"/>
      <c r="CT88" s="78"/>
      <c r="CU88" s="78"/>
      <c r="CV88" s="78"/>
      <c r="CW88" s="78"/>
      <c r="CX88" s="78"/>
      <c r="CY88" s="78"/>
      <c r="CZ88" s="78"/>
      <c r="DA88" s="78"/>
      <c r="DB88" s="78"/>
      <c r="DC88" s="78"/>
      <c r="DD88" s="78"/>
    </row>
    <row r="89" spans="2:108" ht="21" hidden="1" thickBot="1" x14ac:dyDescent="0.25">
      <c r="D89" s="397"/>
      <c r="E89" s="397"/>
      <c r="F89" s="397"/>
      <c r="G89" s="998"/>
      <c r="H89"/>
      <c r="I89"/>
      <c r="J89"/>
      <c r="K89"/>
      <c r="L89"/>
      <c r="M89"/>
      <c r="N89"/>
      <c r="O89" s="995"/>
      <c r="U89" s="114"/>
      <c r="AB89" s="114"/>
      <c r="AC89" s="114"/>
      <c r="AD89" s="114"/>
      <c r="AE89" s="114"/>
      <c r="BE89" s="136"/>
      <c r="BF89" s="136"/>
      <c r="BG89" s="136"/>
      <c r="BH89" s="136"/>
      <c r="BN89" s="86"/>
      <c r="BO89" s="1091"/>
      <c r="BP89" s="96">
        <v>12</v>
      </c>
      <c r="BQ89" s="76"/>
      <c r="BS89" s="139"/>
      <c r="BT89" s="139"/>
      <c r="BU89" s="142"/>
      <c r="BV89" s="139"/>
      <c r="BW89" s="117" t="b">
        <f>IF(CB59=12,7)</f>
        <v>0</v>
      </c>
      <c r="BX89" s="119"/>
      <c r="BY89" s="119"/>
      <c r="BZ89" s="119"/>
      <c r="CA89" s="119"/>
      <c r="CB89" s="119"/>
      <c r="CC89" s="119"/>
      <c r="CD89" s="119"/>
      <c r="CE89" s="119"/>
      <c r="CF89" s="119"/>
      <c r="CG89" s="103" t="b">
        <f>IF(CB59=12,17)</f>
        <v>0</v>
      </c>
      <c r="CH89" s="155"/>
      <c r="CI89" s="142"/>
      <c r="CJ89" s="156"/>
      <c r="CK89" s="139"/>
      <c r="CM89" s="76"/>
      <c r="CN89" s="76"/>
      <c r="CO89" s="78"/>
      <c r="CP89" s="78"/>
      <c r="CQ89" s="78"/>
      <c r="CR89" s="78"/>
      <c r="CS89" s="78"/>
      <c r="CT89" s="78"/>
      <c r="CU89" s="78"/>
      <c r="CV89" s="78"/>
      <c r="CW89" s="78"/>
      <c r="CX89" s="78"/>
      <c r="CY89" s="78"/>
      <c r="CZ89" s="78"/>
      <c r="DA89" s="78"/>
      <c r="DB89" s="78"/>
      <c r="DC89" s="78"/>
      <c r="DD89" s="78"/>
    </row>
    <row r="90" spans="2:108" ht="21" hidden="1" thickBot="1" x14ac:dyDescent="0.25">
      <c r="D90" s="397"/>
      <c r="E90" s="397"/>
      <c r="F90" s="397"/>
      <c r="G90" s="998"/>
      <c r="H90"/>
      <c r="I90"/>
      <c r="J90"/>
      <c r="K90"/>
      <c r="L90"/>
      <c r="M90"/>
      <c r="N90"/>
      <c r="O90" s="995"/>
      <c r="U90" s="114"/>
      <c r="AB90" s="114"/>
      <c r="AC90" s="114"/>
      <c r="AD90" s="114"/>
      <c r="AE90" s="114"/>
      <c r="BE90" s="136"/>
      <c r="BF90" s="136"/>
      <c r="BG90" s="136"/>
      <c r="BH90" s="136"/>
      <c r="BN90" s="86"/>
      <c r="BO90" s="1091"/>
      <c r="BP90" s="96">
        <v>11</v>
      </c>
      <c r="BR90" s="152"/>
      <c r="BS90" s="91"/>
      <c r="BT90" s="152"/>
      <c r="BU90" s="117" t="b">
        <f>IF(CA59=11,5)</f>
        <v>0</v>
      </c>
      <c r="BV90" s="119"/>
      <c r="BW90" s="119"/>
      <c r="BX90" s="119"/>
      <c r="BY90" s="119"/>
      <c r="BZ90" s="119"/>
      <c r="CA90" s="119"/>
      <c r="CB90" s="119"/>
      <c r="CC90" s="119"/>
      <c r="CD90" s="119"/>
      <c r="CE90" s="119"/>
      <c r="CF90" s="119"/>
      <c r="CG90" s="103" t="b">
        <f>IF(CA59=11,17)</f>
        <v>0</v>
      </c>
      <c r="CH90" s="153"/>
      <c r="CI90" s="91"/>
      <c r="CJ90" s="154"/>
      <c r="CL90" s="76"/>
      <c r="CM90" s="76"/>
      <c r="CN90" s="76"/>
      <c r="CO90" s="78"/>
      <c r="CP90" s="78"/>
      <c r="CQ90" s="78"/>
      <c r="CR90" s="78"/>
      <c r="CS90" s="78"/>
      <c r="CT90" s="78"/>
      <c r="CU90" s="78"/>
      <c r="CV90" s="78"/>
      <c r="CW90" s="78"/>
      <c r="CX90" s="78"/>
      <c r="CY90" s="78"/>
      <c r="CZ90" s="78"/>
      <c r="DA90" s="78"/>
      <c r="DB90" s="78"/>
      <c r="DC90" s="78"/>
      <c r="DD90" s="78"/>
    </row>
    <row r="91" spans="2:108" ht="21" hidden="1" thickBot="1" x14ac:dyDescent="0.25">
      <c r="B91" s="399"/>
      <c r="C91" s="399"/>
      <c r="D91" s="397"/>
      <c r="E91" s="397"/>
      <c r="F91" s="397"/>
      <c r="G91" s="998"/>
      <c r="H91"/>
      <c r="I91"/>
      <c r="J91"/>
      <c r="K91"/>
      <c r="L91"/>
      <c r="M91"/>
      <c r="N91"/>
      <c r="O91" s="995"/>
      <c r="U91" s="114"/>
      <c r="AB91" s="114"/>
      <c r="AC91" s="114"/>
      <c r="AD91" s="114"/>
      <c r="AE91" s="114"/>
      <c r="BE91" s="136"/>
      <c r="BF91" s="136"/>
      <c r="BG91" s="136"/>
      <c r="BH91" s="136"/>
      <c r="BN91" s="86"/>
      <c r="BO91" s="1091"/>
      <c r="BP91" s="96">
        <v>10</v>
      </c>
      <c r="BR91" s="152"/>
      <c r="BS91" s="117" t="b">
        <f>IF(BZ59=10,3)</f>
        <v>0</v>
      </c>
      <c r="BT91" s="119"/>
      <c r="BU91" s="119"/>
      <c r="BV91" s="119"/>
      <c r="BW91" s="119"/>
      <c r="BX91" s="119"/>
      <c r="BY91" s="119"/>
      <c r="BZ91" s="119"/>
      <c r="CA91" s="119"/>
      <c r="CB91" s="119"/>
      <c r="CC91" s="119"/>
      <c r="CD91" s="119"/>
      <c r="CE91" s="119"/>
      <c r="CF91" s="119"/>
      <c r="CG91" s="103" t="b">
        <f>IF(BZ59=10,17)</f>
        <v>0</v>
      </c>
      <c r="CH91" s="153"/>
      <c r="CJ91" s="157"/>
      <c r="CK91" s="76"/>
      <c r="CL91" s="76"/>
      <c r="CM91" s="76"/>
      <c r="CN91" s="76"/>
      <c r="CO91" s="78"/>
      <c r="CP91" s="78"/>
      <c r="CQ91" s="78"/>
      <c r="CR91" s="78"/>
      <c r="CS91" s="78"/>
      <c r="CT91" s="78"/>
      <c r="CU91" s="78"/>
      <c r="CV91" s="78"/>
      <c r="CW91" s="78"/>
      <c r="CX91" s="78"/>
      <c r="CY91" s="78"/>
      <c r="CZ91" s="78"/>
      <c r="DA91" s="78"/>
      <c r="DB91" s="78"/>
      <c r="DC91" s="78"/>
      <c r="DD91" s="78"/>
    </row>
    <row r="92" spans="2:108" ht="21" hidden="1" thickBot="1" x14ac:dyDescent="0.25">
      <c r="B92" s="399"/>
      <c r="C92" s="399"/>
      <c r="D92" s="397"/>
      <c r="E92" s="397"/>
      <c r="F92" s="397"/>
      <c r="G92" s="998"/>
      <c r="H92"/>
      <c r="I92"/>
      <c r="J92"/>
      <c r="K92"/>
      <c r="L92"/>
      <c r="M92"/>
      <c r="N92"/>
      <c r="O92" s="995"/>
      <c r="U92" s="114"/>
      <c r="AB92" s="114"/>
      <c r="AC92" s="114"/>
      <c r="AD92" s="114"/>
      <c r="AE92" s="114"/>
      <c r="BF92" s="136"/>
      <c r="BG92" s="136"/>
      <c r="BH92" s="136"/>
      <c r="BN92" s="86"/>
      <c r="BO92" s="1091"/>
      <c r="BP92" s="96">
        <v>9</v>
      </c>
      <c r="BQ92" s="117" t="b">
        <f>IF(BY59=9,1)</f>
        <v>0</v>
      </c>
      <c r="BR92" s="119"/>
      <c r="BS92" s="119"/>
      <c r="BT92" s="119"/>
      <c r="BU92" s="119"/>
      <c r="BV92" s="119"/>
      <c r="BW92" s="119"/>
      <c r="BX92" s="119"/>
      <c r="BY92" s="119"/>
      <c r="BZ92" s="119"/>
      <c r="CA92" s="119"/>
      <c r="CB92" s="119"/>
      <c r="CC92" s="119"/>
      <c r="CD92" s="119"/>
      <c r="CE92" s="119"/>
      <c r="CF92" s="119"/>
      <c r="CG92" s="103" t="b">
        <f>IF(BY59=9,17)</f>
        <v>0</v>
      </c>
      <c r="CH92" s="76"/>
      <c r="CI92" s="76"/>
      <c r="CJ92" s="157"/>
      <c r="CK92" s="76"/>
      <c r="CL92" s="76"/>
      <c r="CM92" s="76"/>
      <c r="CN92" s="76"/>
      <c r="CO92" s="78"/>
      <c r="CP92" s="78"/>
      <c r="CQ92" s="78"/>
      <c r="CR92" s="78"/>
      <c r="CS92" s="78"/>
      <c r="CT92" s="78"/>
      <c r="CU92" s="78"/>
      <c r="CV92" s="78"/>
      <c r="CW92" s="78"/>
      <c r="CX92" s="78"/>
      <c r="CY92" s="78"/>
      <c r="CZ92" s="78"/>
      <c r="DA92" s="78"/>
      <c r="DB92" s="78"/>
      <c r="DC92" s="78"/>
      <c r="DD92" s="78"/>
    </row>
    <row r="93" spans="2:108" ht="21" hidden="1" thickBot="1" x14ac:dyDescent="0.25">
      <c r="B93" s="401"/>
      <c r="E93" s="397"/>
      <c r="F93" s="397"/>
      <c r="G93" s="998"/>
      <c r="H93"/>
      <c r="I93"/>
      <c r="J93"/>
      <c r="K93"/>
      <c r="L93"/>
      <c r="M93"/>
      <c r="N93"/>
      <c r="O93" s="995"/>
      <c r="U93" s="114"/>
      <c r="AB93" s="114"/>
      <c r="AC93" s="114"/>
      <c r="AD93" s="114"/>
      <c r="AE93" s="114"/>
      <c r="BE93" s="136"/>
      <c r="BF93" s="136"/>
      <c r="BG93" s="136"/>
      <c r="BH93" s="136"/>
      <c r="BN93" s="86"/>
      <c r="BO93" s="1091"/>
      <c r="BP93" s="96">
        <v>8</v>
      </c>
      <c r="BQ93" s="117" t="b">
        <f>IF(BX59=8,1)</f>
        <v>0</v>
      </c>
      <c r="BR93" s="119"/>
      <c r="BS93" s="118"/>
      <c r="BT93" s="119"/>
      <c r="BU93" s="119"/>
      <c r="BV93" s="119"/>
      <c r="BW93" s="119"/>
      <c r="BX93" s="76"/>
      <c r="BY93" s="119"/>
      <c r="BZ93" s="119"/>
      <c r="CA93" s="119"/>
      <c r="CB93" s="119"/>
      <c r="CC93" s="118"/>
      <c r="CD93" s="119"/>
      <c r="CE93" s="103" t="b">
        <f>IF(BX59=8,15)</f>
        <v>0</v>
      </c>
      <c r="CF93" s="76"/>
      <c r="CG93" s="76"/>
      <c r="CH93" s="158"/>
      <c r="CI93" s="76"/>
      <c r="CJ93" s="157"/>
      <c r="CK93" s="76"/>
      <c r="CL93" s="76"/>
      <c r="CM93" s="76"/>
      <c r="CN93" s="76"/>
      <c r="CO93" s="78"/>
      <c r="CP93" s="78"/>
      <c r="CQ93" s="78"/>
      <c r="CR93" s="78"/>
      <c r="CS93" s="78"/>
      <c r="CT93" s="78"/>
      <c r="CU93" s="78"/>
      <c r="CV93" s="78"/>
      <c r="CW93" s="78"/>
      <c r="CX93" s="78"/>
      <c r="CY93" s="78"/>
      <c r="CZ93" s="78"/>
      <c r="DA93" s="78"/>
      <c r="DB93" s="78"/>
      <c r="DC93" s="78"/>
      <c r="DD93" s="78"/>
    </row>
    <row r="94" spans="2:108" ht="21" hidden="1" thickBot="1" x14ac:dyDescent="0.25">
      <c r="B94" s="399"/>
      <c r="C94" s="399"/>
      <c r="D94" s="397"/>
      <c r="E94" s="397"/>
      <c r="F94" s="397"/>
      <c r="G94" s="998"/>
      <c r="H94"/>
      <c r="I94"/>
      <c r="J94"/>
      <c r="K94"/>
      <c r="L94"/>
      <c r="M94"/>
      <c r="N94"/>
      <c r="O94" s="995"/>
      <c r="U94" s="114"/>
      <c r="AB94" s="114"/>
      <c r="AC94" s="114"/>
      <c r="AD94" s="114"/>
      <c r="AE94" s="114"/>
      <c r="BF94" s="136"/>
      <c r="BG94" s="136"/>
      <c r="BH94" s="136"/>
      <c r="BN94" s="86"/>
      <c r="BO94" s="1091"/>
      <c r="BP94" s="96">
        <v>7</v>
      </c>
      <c r="BQ94" s="117" t="b">
        <f>IF(BW59=7,1)</f>
        <v>0</v>
      </c>
      <c r="BR94" s="118"/>
      <c r="BS94" s="119"/>
      <c r="BT94" s="119"/>
      <c r="BU94" s="119"/>
      <c r="BV94" s="119"/>
      <c r="BW94" s="119"/>
      <c r="BX94" s="119"/>
      <c r="BY94" s="119"/>
      <c r="BZ94" s="119"/>
      <c r="CA94" s="118"/>
      <c r="CB94" s="118"/>
      <c r="CC94" s="103" t="b">
        <f>IF(BW59=7,13)</f>
        <v>0</v>
      </c>
      <c r="CD94" s="76"/>
      <c r="CE94" s="76"/>
      <c r="CF94" s="76"/>
      <c r="CG94" s="76"/>
      <c r="CH94" s="158"/>
      <c r="CI94" s="76"/>
      <c r="CJ94" s="157"/>
      <c r="CK94" s="76"/>
      <c r="CL94" s="76"/>
      <c r="CM94" s="76"/>
      <c r="CN94" s="76"/>
      <c r="CO94" s="78"/>
      <c r="CP94" s="78"/>
      <c r="CQ94" s="78"/>
      <c r="CR94" s="78"/>
      <c r="CS94" s="78"/>
      <c r="CT94" s="78"/>
      <c r="CU94" s="78"/>
      <c r="CV94" s="78"/>
      <c r="CW94" s="78"/>
      <c r="CX94" s="78"/>
      <c r="CY94" s="78"/>
      <c r="CZ94" s="78"/>
      <c r="DA94" s="78"/>
      <c r="DB94" s="78"/>
      <c r="DC94" s="78"/>
      <c r="DD94" s="78"/>
    </row>
    <row r="95" spans="2:108" ht="21" hidden="1" thickBot="1" x14ac:dyDescent="0.25">
      <c r="B95" s="399"/>
      <c r="C95" s="399"/>
      <c r="D95" s="397"/>
      <c r="E95" s="397"/>
      <c r="F95" s="397"/>
      <c r="G95" s="998"/>
      <c r="H95"/>
      <c r="I95"/>
      <c r="J95"/>
      <c r="K95"/>
      <c r="L95"/>
      <c r="M95"/>
      <c r="N95"/>
      <c r="O95" s="995"/>
      <c r="U95" s="114"/>
      <c r="AB95" s="114"/>
      <c r="AC95" s="114"/>
      <c r="AD95" s="114"/>
      <c r="AE95" s="114"/>
      <c r="BF95" s="136"/>
      <c r="BG95" s="136"/>
      <c r="BH95" s="136"/>
      <c r="BN95" s="86"/>
      <c r="BO95" s="1091"/>
      <c r="BP95" s="96">
        <v>6</v>
      </c>
      <c r="BQ95" s="120" t="b">
        <f>IF(BV59=6,1)</f>
        <v>0</v>
      </c>
      <c r="BR95" s="123"/>
      <c r="BS95" s="123"/>
      <c r="BT95" s="123"/>
      <c r="BU95" s="123"/>
      <c r="BV95" s="123"/>
      <c r="BW95" s="123"/>
      <c r="BX95" s="123"/>
      <c r="BY95" s="123"/>
      <c r="BZ95" s="123"/>
      <c r="CA95" s="124" t="b">
        <f>IF(BV59=6,11)</f>
        <v>0</v>
      </c>
      <c r="CB95" s="76"/>
      <c r="CC95" s="76"/>
      <c r="CD95" s="76"/>
      <c r="CE95" s="76"/>
      <c r="CF95" s="76"/>
      <c r="CG95" s="76"/>
      <c r="CH95" s="158"/>
      <c r="CI95" s="76"/>
      <c r="CJ95" s="157"/>
      <c r="CK95" s="76"/>
      <c r="CL95" s="76"/>
      <c r="CM95" s="76"/>
      <c r="CN95" s="76"/>
      <c r="CO95" s="78"/>
      <c r="CP95" s="78"/>
      <c r="CQ95" s="78"/>
      <c r="CR95" s="78"/>
      <c r="CS95" s="78"/>
      <c r="CT95" s="78"/>
      <c r="CU95" s="78"/>
      <c r="CV95" s="78"/>
      <c r="CW95" s="78"/>
      <c r="CX95" s="78"/>
      <c r="CY95" s="78"/>
      <c r="CZ95" s="78"/>
      <c r="DA95" s="78"/>
      <c r="DB95" s="78"/>
      <c r="DC95" s="78"/>
      <c r="DD95" s="78"/>
    </row>
    <row r="96" spans="2:108" ht="21" hidden="1" thickBot="1" x14ac:dyDescent="0.25">
      <c r="B96" s="19"/>
      <c r="C96" s="399"/>
      <c r="D96" s="397"/>
      <c r="E96" s="19"/>
      <c r="F96" s="397"/>
      <c r="G96" s="998"/>
      <c r="H96"/>
      <c r="I96"/>
      <c r="J96"/>
      <c r="K96"/>
      <c r="L96"/>
      <c r="M96"/>
      <c r="N96"/>
      <c r="O96" s="995"/>
      <c r="U96" s="114"/>
      <c r="AB96" s="114"/>
      <c r="AC96" s="114"/>
      <c r="AD96" s="114"/>
      <c r="AE96" s="114"/>
      <c r="BE96" s="136"/>
      <c r="BF96" s="136"/>
      <c r="BG96" s="136"/>
      <c r="BH96" s="136"/>
      <c r="BN96" s="86"/>
      <c r="BO96" s="1091"/>
      <c r="BP96" s="96">
        <v>5</v>
      </c>
      <c r="BQ96" s="120" t="b">
        <f>IF(BU59=5,1)</f>
        <v>0</v>
      </c>
      <c r="BR96" s="122"/>
      <c r="BS96" s="123"/>
      <c r="BT96" s="123"/>
      <c r="BU96" s="123"/>
      <c r="BV96" s="123"/>
      <c r="BW96" s="123"/>
      <c r="BX96" s="122"/>
      <c r="BY96" s="124" t="b">
        <f>IF(BU59=5,9)</f>
        <v>0</v>
      </c>
      <c r="BZ96" s="76"/>
      <c r="CA96" s="76"/>
      <c r="CB96" s="76"/>
      <c r="CC96" s="76"/>
      <c r="CD96" s="76"/>
      <c r="CE96" s="76"/>
      <c r="CF96" s="76"/>
      <c r="CG96" s="76"/>
      <c r="CH96" s="158"/>
      <c r="CI96" s="76"/>
      <c r="CJ96" s="157"/>
      <c r="CK96" s="76"/>
      <c r="CL96" s="76"/>
      <c r="CM96" s="76"/>
      <c r="CN96" s="76"/>
      <c r="CO96" s="78"/>
      <c r="CP96" s="78"/>
      <c r="CQ96" s="78"/>
      <c r="CR96" s="78"/>
      <c r="CS96" s="78"/>
      <c r="CT96" s="78"/>
      <c r="CU96" s="78"/>
      <c r="CV96" s="78"/>
      <c r="CW96" s="78"/>
      <c r="CX96" s="78"/>
      <c r="CY96" s="78"/>
      <c r="CZ96" s="78"/>
      <c r="DA96" s="78"/>
      <c r="DB96" s="78"/>
      <c r="DC96" s="78"/>
      <c r="DD96" s="78"/>
    </row>
    <row r="97" spans="2:142" ht="21" hidden="1" thickBot="1" x14ac:dyDescent="0.25">
      <c r="B97" s="399"/>
      <c r="C97" s="399"/>
      <c r="D97" s="397"/>
      <c r="E97" s="397"/>
      <c r="F97" s="397"/>
      <c r="G97" s="998"/>
      <c r="H97"/>
      <c r="I97"/>
      <c r="J97"/>
      <c r="K97"/>
      <c r="L97"/>
      <c r="M97"/>
      <c r="N97"/>
      <c r="O97" s="995"/>
      <c r="U97" s="114"/>
      <c r="AB97" s="114"/>
      <c r="AC97" s="114"/>
      <c r="AD97" s="114"/>
      <c r="AE97" s="114"/>
      <c r="BF97" s="136"/>
      <c r="BG97" s="136"/>
      <c r="BH97" s="136"/>
      <c r="BN97" s="86"/>
      <c r="BO97" s="1091"/>
      <c r="BP97" s="96">
        <v>4</v>
      </c>
      <c r="BQ97" s="120" t="b">
        <f>IF(BT59=4,1)</f>
        <v>0</v>
      </c>
      <c r="BR97" s="123"/>
      <c r="BS97" s="123"/>
      <c r="BT97" s="123"/>
      <c r="BU97" s="123"/>
      <c r="BV97" s="123"/>
      <c r="BW97" s="124" t="b">
        <f>IF(BT59=4,7)</f>
        <v>0</v>
      </c>
      <c r="BX97" s="76"/>
      <c r="BY97" s="159"/>
      <c r="BZ97" s="159"/>
      <c r="CA97" s="76"/>
      <c r="CB97" s="159"/>
      <c r="CC97" s="76"/>
      <c r="CD97" s="76"/>
      <c r="CE97" s="76"/>
      <c r="CF97" s="76"/>
      <c r="CG97" s="76"/>
      <c r="CH97" s="158"/>
      <c r="CI97" s="76"/>
      <c r="CJ97" s="157"/>
      <c r="CK97" s="76"/>
      <c r="CL97" s="76"/>
      <c r="CM97" s="76"/>
      <c r="CN97" s="76"/>
      <c r="CO97" s="78"/>
      <c r="CP97" s="78"/>
      <c r="CQ97" s="78"/>
      <c r="CR97" s="78"/>
      <c r="CS97" s="78"/>
      <c r="CT97" s="78"/>
      <c r="CU97" s="78"/>
      <c r="CV97" s="78"/>
      <c r="CW97" s="78"/>
      <c r="CX97" s="78"/>
      <c r="CY97" s="78"/>
      <c r="CZ97" s="78"/>
      <c r="DA97" s="78"/>
      <c r="DB97" s="78"/>
      <c r="DC97" s="78"/>
      <c r="DD97" s="78"/>
    </row>
    <row r="98" spans="2:142" ht="21" hidden="1" thickBot="1" x14ac:dyDescent="0.25">
      <c r="B98" s="399"/>
      <c r="C98" s="399"/>
      <c r="D98" s="397"/>
      <c r="E98" s="397"/>
      <c r="F98" s="397"/>
      <c r="G98" s="998"/>
      <c r="H98"/>
      <c r="I98"/>
      <c r="J98"/>
      <c r="K98"/>
      <c r="L98"/>
      <c r="M98"/>
      <c r="N98"/>
      <c r="O98" s="995"/>
      <c r="U98" s="114"/>
      <c r="AB98" s="114"/>
      <c r="AC98" s="114"/>
      <c r="AD98" s="114"/>
      <c r="AE98" s="114"/>
      <c r="BE98" s="136"/>
      <c r="BF98" s="136"/>
      <c r="BG98" s="136"/>
      <c r="BH98" s="136"/>
      <c r="BN98" s="86"/>
      <c r="BO98" s="1091"/>
      <c r="BP98" s="96">
        <v>3</v>
      </c>
      <c r="BQ98" s="120" t="b">
        <f>IF(BS59=3,1)</f>
        <v>0</v>
      </c>
      <c r="BR98" s="123"/>
      <c r="BS98" s="123"/>
      <c r="BT98" s="123"/>
      <c r="BU98" s="124" t="b">
        <f>IF(BS59=3,5)</f>
        <v>0</v>
      </c>
      <c r="BV98" s="76"/>
      <c r="BW98" s="76"/>
      <c r="BX98" s="76"/>
      <c r="BY98" s="76"/>
      <c r="BZ98" s="76"/>
      <c r="CA98" s="76"/>
      <c r="CB98" s="76"/>
      <c r="CC98" s="76"/>
      <c r="CD98" s="76"/>
      <c r="CE98" s="76"/>
      <c r="CF98" s="76"/>
      <c r="CG98" s="76"/>
      <c r="CH98" s="158"/>
      <c r="CI98" s="76"/>
      <c r="CJ98" s="157"/>
      <c r="CK98" s="76"/>
      <c r="CL98" s="76"/>
      <c r="CM98" s="76"/>
      <c r="CN98" s="76"/>
      <c r="CO98" s="78"/>
      <c r="CP98" s="78"/>
      <c r="CQ98" s="78"/>
      <c r="CR98" s="78"/>
      <c r="CS98" s="78"/>
      <c r="CT98" s="78"/>
      <c r="CU98" s="78"/>
      <c r="CV98" s="78"/>
      <c r="CW98" s="78"/>
      <c r="CX98" s="78"/>
      <c r="CY98" s="78"/>
      <c r="CZ98" s="78"/>
      <c r="DA98" s="78"/>
      <c r="DB98" s="78"/>
      <c r="DC98" s="78"/>
      <c r="DD98" s="78"/>
    </row>
    <row r="99" spans="2:142" ht="20" hidden="1" x14ac:dyDescent="0.2">
      <c r="B99" s="399"/>
      <c r="C99" s="399"/>
      <c r="D99" s="397"/>
      <c r="E99" s="397"/>
      <c r="F99" s="397"/>
      <c r="G99" s="998"/>
      <c r="H99"/>
      <c r="I99"/>
      <c r="J99"/>
      <c r="K99"/>
      <c r="L99"/>
      <c r="M99"/>
      <c r="N99"/>
      <c r="O99" s="995"/>
      <c r="U99" s="114"/>
      <c r="AB99" s="114"/>
      <c r="AC99" s="114"/>
      <c r="AD99" s="114"/>
      <c r="AE99" s="114"/>
      <c r="BE99" s="136"/>
      <c r="BF99" s="136"/>
      <c r="BG99" s="136"/>
      <c r="BH99" s="136"/>
      <c r="BN99" s="86"/>
      <c r="BO99" s="1091"/>
      <c r="BP99" s="96">
        <v>2</v>
      </c>
      <c r="BQ99" s="160" t="b">
        <f>IF(BR59=2,1)</f>
        <v>0</v>
      </c>
      <c r="BR99" s="161"/>
      <c r="BS99" s="162" t="b">
        <f>IF(BR59=2,3)</f>
        <v>0</v>
      </c>
      <c r="BT99" s="76"/>
      <c r="BU99" s="76"/>
      <c r="BV99" s="76"/>
      <c r="BW99" s="76"/>
      <c r="BX99" s="76"/>
      <c r="BY99" s="76"/>
      <c r="BZ99" s="76"/>
      <c r="CA99" s="76"/>
      <c r="CB99" s="76"/>
      <c r="CC99" s="76"/>
      <c r="CD99" s="76"/>
      <c r="CE99" s="76"/>
      <c r="CF99" s="76"/>
      <c r="CG99" s="76"/>
      <c r="CH99" s="158"/>
      <c r="CI99" s="76"/>
      <c r="CJ99" s="157"/>
      <c r="CK99" s="76"/>
      <c r="CL99" s="76"/>
      <c r="CM99" s="76"/>
      <c r="CN99" s="76"/>
      <c r="CO99" s="78"/>
      <c r="CP99" s="78"/>
      <c r="CQ99" s="78"/>
      <c r="CR99" s="78"/>
      <c r="CS99" s="78"/>
      <c r="CT99" s="78"/>
      <c r="CU99" s="78"/>
      <c r="CV99" s="78"/>
      <c r="CW99" s="78"/>
      <c r="CX99" s="78"/>
      <c r="CY99" s="78"/>
      <c r="CZ99" s="78"/>
      <c r="DA99" s="78"/>
      <c r="DB99" s="78"/>
      <c r="DC99" s="78"/>
      <c r="DD99" s="78"/>
    </row>
    <row r="100" spans="2:142" ht="21" hidden="1" thickBot="1" x14ac:dyDescent="0.25">
      <c r="B100" s="399"/>
      <c r="C100" s="399"/>
      <c r="D100" s="397"/>
      <c r="E100" s="397"/>
      <c r="F100" s="397"/>
      <c r="G100" s="998"/>
      <c r="H100"/>
      <c r="I100"/>
      <c r="J100"/>
      <c r="K100"/>
      <c r="L100"/>
      <c r="M100"/>
      <c r="N100"/>
      <c r="O100" s="995"/>
      <c r="U100" s="114"/>
      <c r="AB100" s="114"/>
      <c r="AC100" s="114"/>
      <c r="AD100" s="114"/>
      <c r="AE100" s="114"/>
      <c r="BE100" s="136"/>
      <c r="BF100" s="136"/>
      <c r="BG100" s="136"/>
      <c r="BH100" s="136"/>
      <c r="BN100" s="86"/>
      <c r="BO100" s="1091"/>
      <c r="BP100" s="163"/>
      <c r="BQ100" s="164">
        <f>SUM(BQ65:BQ99)</f>
        <v>0</v>
      </c>
      <c r="BR100" s="164">
        <f t="shared" ref="BR100:DA100" si="2">SUM(BR65:BR99)</f>
        <v>0</v>
      </c>
      <c r="BS100" s="164">
        <f t="shared" si="2"/>
        <v>0</v>
      </c>
      <c r="BT100" s="164">
        <f t="shared" si="2"/>
        <v>0</v>
      </c>
      <c r="BU100" s="164">
        <f t="shared" si="2"/>
        <v>0</v>
      </c>
      <c r="BV100" s="164">
        <f t="shared" si="2"/>
        <v>0</v>
      </c>
      <c r="BW100" s="164">
        <f t="shared" si="2"/>
        <v>0</v>
      </c>
      <c r="BX100" s="164">
        <f t="shared" si="2"/>
        <v>8</v>
      </c>
      <c r="BY100" s="164">
        <f t="shared" si="2"/>
        <v>0</v>
      </c>
      <c r="BZ100" s="164">
        <f t="shared" si="2"/>
        <v>0</v>
      </c>
      <c r="CA100" s="164">
        <f t="shared" si="2"/>
        <v>0</v>
      </c>
      <c r="CB100" s="164">
        <f t="shared" si="2"/>
        <v>0</v>
      </c>
      <c r="CC100" s="164">
        <f t="shared" si="2"/>
        <v>0</v>
      </c>
      <c r="CD100" s="164">
        <f t="shared" si="2"/>
        <v>0</v>
      </c>
      <c r="CE100" s="164">
        <f t="shared" si="2"/>
        <v>0</v>
      </c>
      <c r="CF100" s="164">
        <f t="shared" si="2"/>
        <v>0</v>
      </c>
      <c r="CG100" s="165">
        <f t="shared" si="2"/>
        <v>0</v>
      </c>
      <c r="CH100" s="166"/>
      <c r="CI100" s="167"/>
      <c r="CJ100" s="168"/>
      <c r="CK100" s="169">
        <f t="shared" si="2"/>
        <v>0</v>
      </c>
      <c r="CL100" s="164">
        <f t="shared" si="2"/>
        <v>0</v>
      </c>
      <c r="CM100" s="164">
        <f t="shared" si="2"/>
        <v>0</v>
      </c>
      <c r="CN100" s="164">
        <f t="shared" si="2"/>
        <v>0</v>
      </c>
      <c r="CO100" s="164">
        <f t="shared" si="2"/>
        <v>0</v>
      </c>
      <c r="CP100" s="164">
        <f t="shared" si="2"/>
        <v>26</v>
      </c>
      <c r="CQ100" s="164">
        <f t="shared" si="2"/>
        <v>0</v>
      </c>
      <c r="CR100" s="164">
        <f t="shared" si="2"/>
        <v>0</v>
      </c>
      <c r="CS100" s="164">
        <f t="shared" si="2"/>
        <v>0</v>
      </c>
      <c r="CT100" s="164">
        <f t="shared" si="2"/>
        <v>0</v>
      </c>
      <c r="CU100" s="164">
        <f t="shared" si="2"/>
        <v>0</v>
      </c>
      <c r="CV100" s="164">
        <f t="shared" si="2"/>
        <v>0</v>
      </c>
      <c r="CW100" s="164">
        <f t="shared" si="2"/>
        <v>0</v>
      </c>
      <c r="CX100" s="164">
        <f t="shared" si="2"/>
        <v>0</v>
      </c>
      <c r="CY100" s="164">
        <f t="shared" si="2"/>
        <v>0</v>
      </c>
      <c r="CZ100" s="164">
        <f t="shared" si="2"/>
        <v>0</v>
      </c>
      <c r="DA100" s="164">
        <f t="shared" si="2"/>
        <v>0</v>
      </c>
      <c r="DB100" s="78"/>
      <c r="DC100" s="78"/>
      <c r="DD100" s="78"/>
    </row>
    <row r="101" spans="2:142" ht="144" customHeight="1" thickBot="1" x14ac:dyDescent="0.25">
      <c r="B101" s="399"/>
      <c r="C101" s="399"/>
      <c r="D101" s="397"/>
      <c r="E101" s="397"/>
      <c r="F101" s="397"/>
      <c r="G101" s="998"/>
      <c r="H101"/>
      <c r="I101"/>
      <c r="J101"/>
      <c r="K101"/>
      <c r="L101"/>
      <c r="M101"/>
      <c r="N101"/>
      <c r="O101" s="995"/>
      <c r="U101" s="114"/>
      <c r="AB101" s="114"/>
      <c r="AC101" s="114"/>
      <c r="AD101" s="114"/>
      <c r="AE101" s="114"/>
      <c r="BE101" s="136"/>
      <c r="BF101" s="136"/>
      <c r="BG101" s="136"/>
      <c r="BH101" s="136"/>
      <c r="BN101" s="86"/>
      <c r="BO101" s="1091"/>
      <c r="BP101" s="163"/>
      <c r="BQ101" s="170"/>
      <c r="BR101" s="170"/>
      <c r="BS101" s="170"/>
      <c r="BT101" s="170"/>
      <c r="BU101" s="170"/>
      <c r="BV101" s="170"/>
      <c r="BW101" s="170"/>
      <c r="BX101" s="170"/>
      <c r="BY101" s="170"/>
      <c r="BZ101" s="170"/>
      <c r="CA101" s="170"/>
      <c r="CB101" s="170"/>
      <c r="CC101" s="170"/>
      <c r="CD101" s="170"/>
      <c r="CE101" s="170"/>
      <c r="CF101" s="170"/>
      <c r="CG101" s="170"/>
      <c r="CH101" s="170"/>
      <c r="CI101" s="170"/>
      <c r="CJ101" s="170"/>
      <c r="CK101" s="170"/>
      <c r="CL101" s="170"/>
      <c r="CM101" s="170"/>
      <c r="CN101" s="170"/>
      <c r="CO101" s="170"/>
      <c r="CP101" s="170"/>
      <c r="CQ101" s="170"/>
      <c r="CR101" s="170"/>
      <c r="CS101" s="170"/>
      <c r="CT101" s="170"/>
      <c r="CU101" s="170"/>
      <c r="CV101" s="170"/>
      <c r="CW101" s="170"/>
      <c r="CX101" s="170"/>
      <c r="CY101" s="170"/>
      <c r="CZ101" s="170"/>
      <c r="DA101" s="170"/>
      <c r="DB101" s="78"/>
      <c r="DC101" s="78"/>
      <c r="DD101" s="78"/>
    </row>
    <row r="102" spans="2:142" ht="56" customHeight="1" thickBot="1" x14ac:dyDescent="0.3">
      <c r="B102" s="399"/>
      <c r="C102" s="399"/>
      <c r="D102" s="397"/>
      <c r="E102" s="397"/>
      <c r="F102" s="397"/>
      <c r="G102" s="998"/>
      <c r="H102"/>
      <c r="I102"/>
      <c r="J102"/>
      <c r="K102"/>
      <c r="L102"/>
      <c r="M102"/>
      <c r="N102"/>
      <c r="O102" s="995"/>
      <c r="U102" s="114"/>
      <c r="AB102" s="114"/>
      <c r="AC102" s="114"/>
      <c r="AD102" s="114"/>
      <c r="AE102" s="114"/>
      <c r="BE102" s="136"/>
      <c r="BF102" s="136"/>
      <c r="BG102" s="136"/>
      <c r="BH102" s="136"/>
      <c r="BN102" s="86"/>
      <c r="BO102" s="1095" t="s">
        <v>128</v>
      </c>
      <c r="BP102" s="172" t="s">
        <v>124</v>
      </c>
      <c r="BQ102" s="750" t="str">
        <f>IF(BQ100=1,17,"")</f>
        <v/>
      </c>
      <c r="BR102" s="751" t="str">
        <f>IF(BR100=2,16,"")</f>
        <v/>
      </c>
      <c r="BS102" s="751" t="str">
        <f>IF(BS100=3,15,"")</f>
        <v/>
      </c>
      <c r="BT102" s="751" t="str">
        <f>IF(BT100=4,14,"")</f>
        <v/>
      </c>
      <c r="BU102" s="751" t="str">
        <f>IF(BU100=5,13,"")</f>
        <v/>
      </c>
      <c r="BV102" s="751" t="str">
        <f>IF(BV100=6,12,"")</f>
        <v/>
      </c>
      <c r="BW102" s="751" t="str">
        <f>IF(BW100=7,11,"")</f>
        <v/>
      </c>
      <c r="BX102" s="751">
        <f>IF(BX100=8,10,"")</f>
        <v>10</v>
      </c>
      <c r="BY102" s="751" t="str">
        <f>IF(BY100=9,9,"")</f>
        <v/>
      </c>
      <c r="BZ102" s="751" t="str">
        <f>IF(BZ100=10,8,"")</f>
        <v/>
      </c>
      <c r="CA102" s="751" t="str">
        <f>IF(CA100=11,7,"")</f>
        <v/>
      </c>
      <c r="CB102" s="752" t="str">
        <f>IF(CB100=12,"6  ADS ","")</f>
        <v/>
      </c>
      <c r="CC102" s="751" t="str">
        <f>IF(CC100=13,5,"")</f>
        <v/>
      </c>
      <c r="CD102" s="751" t="str">
        <f>IF(CD100=14,4,"")</f>
        <v/>
      </c>
      <c r="CE102" s="751" t="str">
        <f>IF(CE100=15,3,"")</f>
        <v/>
      </c>
      <c r="CF102" s="751" t="str">
        <f>IF(CF100=16,2,"")</f>
        <v/>
      </c>
      <c r="CG102" s="751" t="str">
        <f>IF(CG100=17,1,"")</f>
        <v/>
      </c>
      <c r="CH102" s="173"/>
      <c r="CI102" s="174"/>
      <c r="CJ102" s="175"/>
      <c r="CK102" s="753" t="str">
        <f>IF(CK100=21,1,"")</f>
        <v/>
      </c>
      <c r="CL102" s="753" t="str">
        <f>IF(CL100=22,2,"")</f>
        <v/>
      </c>
      <c r="CM102" s="753" t="str">
        <f>IF(CM100=23,3,"")</f>
        <v/>
      </c>
      <c r="CN102" s="753" t="str">
        <f>IF(CN100=24,4,"")</f>
        <v/>
      </c>
      <c r="CO102" s="753" t="str">
        <f>IF(CO100=25,5,"")</f>
        <v/>
      </c>
      <c r="CP102" s="754" t="str">
        <f>IF(CP100=26,"6  ADS ","")</f>
        <v xml:space="preserve">6  ADS </v>
      </c>
      <c r="CQ102" s="753" t="str">
        <f>IF(CQ100=27,7,"")</f>
        <v/>
      </c>
      <c r="CR102" s="753" t="str">
        <f>IF(CR100=28,8,"")</f>
        <v/>
      </c>
      <c r="CS102" s="753" t="str">
        <f>IF(CS100=29,9,"")</f>
        <v/>
      </c>
      <c r="CT102" s="753" t="str">
        <f>IF(CT100=30,10,"")</f>
        <v/>
      </c>
      <c r="CU102" s="753" t="str">
        <f>IF(CU100=31,11,"")</f>
        <v/>
      </c>
      <c r="CV102" s="753" t="str">
        <f>IF(CV100=32,12,"")</f>
        <v/>
      </c>
      <c r="CW102" s="753" t="str">
        <f>IF(CW100=33,13,"")</f>
        <v/>
      </c>
      <c r="CX102" s="753" t="str">
        <f>IF(CX100=34,14,"")</f>
        <v/>
      </c>
      <c r="CY102" s="753" t="str">
        <f>IF(CY100=35,15,"")</f>
        <v/>
      </c>
      <c r="CZ102" s="753" t="str">
        <f>IF(CZ100=36,16,"")</f>
        <v/>
      </c>
      <c r="DA102" s="755" t="str">
        <f>IF(DA100=37,17,"")</f>
        <v/>
      </c>
      <c r="DB102" s="340"/>
      <c r="DC102" s="78"/>
      <c r="DD102" s="78"/>
    </row>
    <row r="103" spans="2:142" ht="45" customHeight="1" thickBot="1" x14ac:dyDescent="0.3">
      <c r="B103" s="399"/>
      <c r="C103" s="399"/>
      <c r="D103" s="397"/>
      <c r="E103" s="397"/>
      <c r="F103" s="397"/>
      <c r="G103" s="998"/>
      <c r="H103"/>
      <c r="I103"/>
      <c r="J103"/>
      <c r="K103"/>
      <c r="L103"/>
      <c r="M103"/>
      <c r="N103"/>
      <c r="O103" s="995"/>
      <c r="U103" s="114"/>
      <c r="AB103" s="114"/>
      <c r="AC103" s="114"/>
      <c r="AD103" s="114"/>
      <c r="AE103" s="114"/>
      <c r="BE103" s="136"/>
      <c r="BF103" s="136"/>
      <c r="BG103" s="136"/>
      <c r="BH103" s="136"/>
      <c r="BL103" s="968">
        <v>6</v>
      </c>
      <c r="BM103" s="1762" t="b">
        <f>AND(BO103&gt;=10,$BB$142&gt;=10,$BA$142&gt;=10,$BA$164&gt;=10,$BB$164&gt;=10,$BA$196&gt;=10,$BB$196&gt;=10)</f>
        <v>1</v>
      </c>
      <c r="BN103" s="84" t="str">
        <f>IF(BM103=TRUE,"O K","OVERLOAD")</f>
        <v>O K</v>
      </c>
      <c r="BO103" s="982">
        <f>SUM(I132:M132)</f>
        <v>72.300045187528241</v>
      </c>
      <c r="BP103" s="788" t="s">
        <v>185</v>
      </c>
      <c r="BQ103" s="789">
        <v>-10</v>
      </c>
      <c r="BR103" s="789">
        <v>-9</v>
      </c>
      <c r="BS103" s="789">
        <v>-8</v>
      </c>
      <c r="BT103" s="789">
        <v>-7</v>
      </c>
      <c r="BU103" s="789">
        <v>-6</v>
      </c>
      <c r="BV103" s="789">
        <v>-5</v>
      </c>
      <c r="BW103" s="789">
        <v>-4</v>
      </c>
      <c r="BX103" s="789">
        <v>-3</v>
      </c>
      <c r="BY103" s="789">
        <v>-2</v>
      </c>
      <c r="BZ103" s="789">
        <v>-1</v>
      </c>
      <c r="CA103" s="789">
        <v>0</v>
      </c>
      <c r="CB103" s="789">
        <v>1</v>
      </c>
      <c r="CC103" s="789">
        <v>2</v>
      </c>
      <c r="CD103" s="789">
        <v>3</v>
      </c>
      <c r="CE103" s="789">
        <v>4</v>
      </c>
      <c r="CF103" s="789">
        <v>5</v>
      </c>
      <c r="CG103" s="789">
        <v>6</v>
      </c>
      <c r="CH103" s="789">
        <v>7</v>
      </c>
      <c r="CI103" s="789">
        <v>8</v>
      </c>
      <c r="CJ103" s="789">
        <v>9</v>
      </c>
      <c r="CK103" s="789">
        <v>10</v>
      </c>
      <c r="CL103" s="789">
        <v>11</v>
      </c>
      <c r="CM103" s="789">
        <v>12</v>
      </c>
      <c r="CN103" s="789">
        <v>13</v>
      </c>
      <c r="CO103" s="789">
        <v>14</v>
      </c>
      <c r="CP103" s="789">
        <v>15</v>
      </c>
      <c r="CQ103" s="789">
        <v>16</v>
      </c>
      <c r="CR103" s="789">
        <v>17</v>
      </c>
      <c r="CS103" s="789">
        <v>18</v>
      </c>
      <c r="CT103" s="789">
        <v>19</v>
      </c>
      <c r="CU103" s="789">
        <v>20</v>
      </c>
      <c r="CV103" s="789">
        <v>21</v>
      </c>
      <c r="CW103" s="789">
        <v>22</v>
      </c>
      <c r="CX103" s="789">
        <v>23</v>
      </c>
      <c r="CY103" s="789">
        <v>24</v>
      </c>
      <c r="CZ103" s="789">
        <v>25</v>
      </c>
      <c r="DA103" s="791">
        <v>26</v>
      </c>
      <c r="DB103" s="78"/>
      <c r="DC103" s="78"/>
      <c r="DD103" s="78"/>
    </row>
    <row r="104" spans="2:142" ht="20" hidden="1" x14ac:dyDescent="0.2">
      <c r="G104" s="998"/>
      <c r="H104"/>
      <c r="I104"/>
      <c r="J104"/>
      <c r="K104"/>
      <c r="L104"/>
      <c r="M104"/>
      <c r="N104"/>
      <c r="O104" s="995"/>
      <c r="BD104" s="136"/>
      <c r="BE104" s="136"/>
      <c r="BF104" s="136"/>
      <c r="BG104" s="136"/>
      <c r="BH104" s="136"/>
      <c r="BI104" s="136"/>
      <c r="BJ104" s="136"/>
      <c r="BK104" s="136"/>
      <c r="BL104" s="136"/>
      <c r="BM104" s="402"/>
      <c r="BN104" s="136"/>
      <c r="BP104" s="78"/>
      <c r="BQ104" s="199"/>
      <c r="BR104" s="199"/>
      <c r="BS104" s="199"/>
      <c r="BT104" s="199"/>
      <c r="BU104" s="199"/>
      <c r="BV104" s="199"/>
      <c r="BW104" s="199"/>
      <c r="BX104" s="199"/>
      <c r="BY104" s="199"/>
      <c r="BZ104" s="199"/>
      <c r="CA104" s="199"/>
      <c r="CB104" s="199"/>
      <c r="CC104" s="199"/>
      <c r="CD104" s="199"/>
      <c r="CE104" s="199"/>
      <c r="CF104" s="199"/>
      <c r="CG104" s="199"/>
      <c r="CH104" s="199"/>
      <c r="CI104" s="199"/>
      <c r="CJ104" s="199"/>
      <c r="CK104" s="199"/>
      <c r="CL104" s="199"/>
      <c r="CM104" s="199"/>
      <c r="CN104" s="199"/>
      <c r="CO104" s="199"/>
      <c r="CP104" s="199"/>
      <c r="CQ104" s="199"/>
      <c r="CR104" s="199"/>
      <c r="CS104" s="199"/>
      <c r="CT104" s="199"/>
      <c r="CU104" s="199"/>
      <c r="CV104" s="199"/>
      <c r="CW104" s="199"/>
      <c r="CX104" s="199"/>
      <c r="CY104" s="199"/>
      <c r="CZ104" s="199"/>
      <c r="DA104" s="199"/>
      <c r="DB104" s="199"/>
      <c r="DC104" s="78"/>
      <c r="DD104" s="78"/>
      <c r="EK104" s="78"/>
      <c r="EL104" s="78"/>
    </row>
    <row r="105" spans="2:142" ht="20" hidden="1" x14ac:dyDescent="0.2">
      <c r="G105" s="998"/>
      <c r="H105"/>
      <c r="I105"/>
      <c r="J105"/>
      <c r="K105"/>
      <c r="L105"/>
      <c r="M105"/>
      <c r="N105"/>
      <c r="O105" s="995"/>
      <c r="U105" s="212"/>
      <c r="V105" s="187"/>
      <c r="AB105" s="187"/>
      <c r="AC105" s="187"/>
      <c r="AD105" s="187"/>
      <c r="AE105" s="187"/>
      <c r="AF105" s="187"/>
      <c r="AG105" s="187"/>
      <c r="AH105" s="187"/>
      <c r="AI105" s="187"/>
      <c r="AJ105" s="187"/>
      <c r="AK105" s="187"/>
      <c r="AL105" s="187"/>
      <c r="AM105" s="187"/>
      <c r="AN105" s="187"/>
      <c r="AO105" s="187"/>
      <c r="AP105" s="187"/>
      <c r="AQ105" s="187"/>
      <c r="AR105" s="187"/>
      <c r="AS105" s="187"/>
      <c r="AT105" s="187"/>
      <c r="AU105" s="187"/>
      <c r="AV105" s="187"/>
      <c r="AW105" s="187"/>
      <c r="AX105" s="187"/>
      <c r="AY105" s="187"/>
      <c r="AZ105" s="187"/>
      <c r="BA105" s="187"/>
      <c r="BB105" s="187"/>
      <c r="BC105" s="126"/>
      <c r="BE105" s="136"/>
      <c r="BF105" s="136"/>
      <c r="BG105" s="136"/>
      <c r="BH105" s="136"/>
      <c r="BI105" s="136"/>
      <c r="BJ105" s="136"/>
      <c r="BK105" s="136"/>
      <c r="BL105" s="204" t="s">
        <v>59</v>
      </c>
      <c r="BM105" s="402"/>
      <c r="BN105" s="136"/>
      <c r="BO105" s="1091"/>
      <c r="BP105" s="78"/>
      <c r="BQ105" s="199"/>
      <c r="BR105" s="199"/>
      <c r="BS105" s="199"/>
      <c r="BT105" s="199"/>
      <c r="BU105" s="199"/>
      <c r="BV105" s="199"/>
      <c r="BW105" s="199"/>
      <c r="BX105" s="199"/>
      <c r="BY105" s="199"/>
      <c r="BZ105" s="199"/>
      <c r="CA105" s="199"/>
      <c r="CB105" s="199"/>
      <c r="CC105" s="199"/>
      <c r="CD105" s="199"/>
      <c r="CE105" s="199"/>
      <c r="CF105" s="199"/>
      <c r="CG105" s="199"/>
      <c r="CH105" s="199"/>
      <c r="CI105" s="199"/>
      <c r="CJ105" s="199"/>
      <c r="CK105" s="199"/>
      <c r="CL105" s="199"/>
      <c r="CM105" s="199"/>
      <c r="CN105" s="199"/>
      <c r="CO105" s="199"/>
      <c r="CP105" s="199"/>
      <c r="CQ105" s="199"/>
      <c r="CR105" s="199"/>
      <c r="CS105" s="199"/>
      <c r="CT105" s="199"/>
      <c r="CU105" s="199"/>
      <c r="CV105" s="199"/>
      <c r="CW105" s="199"/>
      <c r="CX105" s="199"/>
      <c r="CY105" s="199"/>
      <c r="CZ105" s="199"/>
      <c r="DA105" s="199"/>
      <c r="DB105" s="199"/>
      <c r="DD105" s="204" t="s">
        <v>58</v>
      </c>
    </row>
    <row r="106" spans="2:142" ht="20" hidden="1" x14ac:dyDescent="0.2">
      <c r="B106" s="330"/>
      <c r="C106" s="412"/>
      <c r="D106" s="37"/>
      <c r="E106" s="37"/>
      <c r="F106" s="37"/>
      <c r="G106" s="998"/>
      <c r="H106"/>
      <c r="I106"/>
      <c r="J106"/>
      <c r="K106"/>
      <c r="L106"/>
      <c r="M106"/>
      <c r="N106"/>
      <c r="O106" s="995"/>
      <c r="U106" s="212"/>
      <c r="V106" s="187"/>
      <c r="AB106" s="187"/>
      <c r="AC106" s="187"/>
      <c r="AD106" s="187"/>
      <c r="AE106" s="187"/>
      <c r="AF106" s="187"/>
      <c r="AG106" s="187"/>
      <c r="AH106" s="187"/>
      <c r="AI106" s="187"/>
      <c r="AJ106" s="187"/>
      <c r="AK106" s="187"/>
      <c r="AL106" s="187"/>
      <c r="AM106" s="187"/>
      <c r="AN106" s="187"/>
      <c r="AO106" s="187"/>
      <c r="AP106" s="187"/>
      <c r="AQ106" s="187"/>
      <c r="AR106" s="187"/>
      <c r="AS106" s="187"/>
      <c r="AT106" s="187"/>
      <c r="AU106" s="187"/>
      <c r="AV106" s="187"/>
      <c r="AW106" s="187"/>
      <c r="AX106" s="187"/>
      <c r="AY106" s="187"/>
      <c r="AZ106" s="187"/>
      <c r="BA106" s="187"/>
      <c r="BB106" s="187"/>
      <c r="BC106" s="126"/>
      <c r="BE106" s="136"/>
      <c r="BF106" s="136"/>
      <c r="BG106" s="136"/>
      <c r="BH106" s="136"/>
      <c r="BI106" s="136"/>
      <c r="BJ106" s="136"/>
      <c r="BK106" s="136"/>
      <c r="BL106" s="204">
        <f>-+BI212</f>
        <v>688.00490402706544</v>
      </c>
      <c r="BM106" s="402"/>
      <c r="BN106" s="136"/>
      <c r="BO106" s="1091"/>
      <c r="BP106" s="78"/>
      <c r="BQ106" s="199"/>
      <c r="BR106" s="199"/>
      <c r="BS106" s="199"/>
      <c r="BT106" s="199"/>
      <c r="BU106" s="199"/>
      <c r="BV106" s="199"/>
      <c r="BW106" s="199"/>
      <c r="BX106" s="199"/>
      <c r="BY106" s="199"/>
      <c r="BZ106" s="199"/>
      <c r="CA106" s="199"/>
      <c r="CB106" s="199"/>
      <c r="CC106" s="199"/>
      <c r="CD106" s="199"/>
      <c r="CE106" s="199"/>
      <c r="CF106" s="199"/>
      <c r="CG106" s="199"/>
      <c r="CH106" s="199"/>
      <c r="CI106" s="199"/>
      <c r="CJ106" s="199"/>
      <c r="CK106" s="199"/>
      <c r="CL106" s="199"/>
      <c r="CM106" s="199"/>
      <c r="CN106" s="199"/>
      <c r="CO106" s="199"/>
      <c r="CP106" s="199"/>
      <c r="CQ106" s="199"/>
      <c r="CR106" s="199"/>
      <c r="CS106" s="199"/>
      <c r="CT106" s="199"/>
      <c r="CU106" s="199"/>
      <c r="CV106" s="199"/>
      <c r="CW106" s="199"/>
      <c r="CX106" s="199"/>
      <c r="CY106" s="199"/>
      <c r="CZ106" s="199"/>
      <c r="DA106" s="199"/>
      <c r="DB106" s="199"/>
      <c r="DD106" s="204">
        <f>+-BI248</f>
        <v>-859.99509597293456</v>
      </c>
    </row>
    <row r="107" spans="2:142" ht="20" hidden="1" x14ac:dyDescent="0.2">
      <c r="B107" s="330"/>
      <c r="C107" s="412"/>
      <c r="D107" s="37"/>
      <c r="E107" s="37"/>
      <c r="F107" s="37"/>
      <c r="G107" s="998"/>
      <c r="H107"/>
      <c r="I107"/>
      <c r="J107"/>
      <c r="K107"/>
      <c r="L107"/>
      <c r="M107"/>
      <c r="N107"/>
      <c r="O107" s="995"/>
      <c r="U107" s="212"/>
      <c r="V107" s="187"/>
      <c r="AB107" s="187"/>
      <c r="AC107" s="187"/>
      <c r="AD107" s="187"/>
      <c r="AE107" s="187"/>
      <c r="AF107" s="187"/>
      <c r="AG107" s="187"/>
      <c r="AH107" s="187"/>
      <c r="AI107" s="187"/>
      <c r="AJ107" s="187"/>
      <c r="AK107" s="187"/>
      <c r="AL107" s="187"/>
      <c r="AM107" s="187"/>
      <c r="AN107" s="187"/>
      <c r="AO107" s="187"/>
      <c r="AP107" s="187"/>
      <c r="AQ107" s="187"/>
      <c r="AR107" s="187"/>
      <c r="AS107" s="187"/>
      <c r="AT107" s="187"/>
      <c r="AU107" s="187"/>
      <c r="AV107" s="187"/>
      <c r="AW107" s="187"/>
      <c r="AX107" s="187"/>
      <c r="AY107" s="187"/>
      <c r="AZ107" s="187"/>
      <c r="BA107" s="187"/>
      <c r="BB107" s="187"/>
      <c r="BC107" s="126"/>
      <c r="BE107" s="136"/>
      <c r="BF107" s="136"/>
      <c r="BG107" s="136"/>
      <c r="BH107" s="136"/>
      <c r="BI107" s="136"/>
      <c r="BJ107" s="136"/>
      <c r="BK107" s="136"/>
      <c r="BL107" s="136"/>
      <c r="BM107" s="402"/>
      <c r="BN107" s="136"/>
      <c r="BO107" s="1091"/>
      <c r="BP107" s="78"/>
      <c r="BQ107" s="199"/>
      <c r="BR107" s="199"/>
      <c r="BS107" s="199"/>
      <c r="BT107" s="199"/>
      <c r="BU107" s="199"/>
      <c r="BV107" s="199"/>
      <c r="BW107" s="199"/>
      <c r="BX107" s="199"/>
      <c r="BY107" s="199"/>
      <c r="BZ107" s="199"/>
      <c r="CA107" s="199"/>
      <c r="CB107" s="199"/>
      <c r="CC107" s="199"/>
      <c r="CD107" s="199"/>
      <c r="CE107" s="199"/>
      <c r="CF107" s="199"/>
      <c r="CG107" s="199"/>
      <c r="CH107" s="199"/>
      <c r="CI107" s="199"/>
      <c r="CJ107" s="199"/>
      <c r="CK107" s="199"/>
      <c r="CL107" s="199"/>
      <c r="CM107" s="199"/>
      <c r="CN107" s="199"/>
      <c r="CO107" s="199"/>
      <c r="CP107" s="199"/>
      <c r="CQ107" s="199"/>
      <c r="CR107" s="199"/>
      <c r="CS107" s="199"/>
      <c r="CT107" s="199"/>
      <c r="CU107" s="199"/>
      <c r="CV107" s="199"/>
      <c r="CW107" s="199"/>
      <c r="CX107" s="199"/>
      <c r="CY107" s="199"/>
      <c r="CZ107" s="199"/>
      <c r="DA107" s="199"/>
      <c r="DB107" s="199"/>
    </row>
    <row r="108" spans="2:142" ht="20" hidden="1" x14ac:dyDescent="0.2">
      <c r="B108" s="330"/>
      <c r="C108" s="412"/>
      <c r="D108" s="37"/>
      <c r="E108" s="37"/>
      <c r="F108" s="37"/>
      <c r="G108" s="998"/>
      <c r="H108"/>
      <c r="I108"/>
      <c r="J108"/>
      <c r="K108"/>
      <c r="L108"/>
      <c r="M108"/>
      <c r="N108"/>
      <c r="O108" s="995"/>
      <c r="U108" s="212"/>
      <c r="V108" s="187"/>
      <c r="AB108" s="187"/>
      <c r="AC108" s="187"/>
      <c r="AD108" s="187"/>
      <c r="AE108" s="187"/>
      <c r="AF108" s="187"/>
      <c r="AG108" s="187"/>
      <c r="AH108" s="187"/>
      <c r="AI108" s="187"/>
      <c r="AJ108" s="187"/>
      <c r="AK108" s="187"/>
      <c r="AL108" s="187"/>
      <c r="AM108" s="187"/>
      <c r="AN108" s="187"/>
      <c r="AO108" s="187"/>
      <c r="AP108" s="187"/>
      <c r="AQ108" s="187"/>
      <c r="AR108" s="187"/>
      <c r="AS108" s="187"/>
      <c r="AT108" s="187"/>
      <c r="AU108" s="187"/>
      <c r="AV108" s="187"/>
      <c r="AW108" s="187"/>
      <c r="AX108" s="187"/>
      <c r="AY108" s="187"/>
      <c r="AZ108" s="187"/>
      <c r="BA108" s="187"/>
      <c r="BB108" s="187"/>
      <c r="BC108" s="126"/>
      <c r="BE108" s="136"/>
      <c r="BF108" s="136"/>
      <c r="BG108" s="136"/>
      <c r="BH108" s="136"/>
      <c r="BI108" s="136"/>
      <c r="BJ108" s="136"/>
      <c r="BK108" s="136"/>
      <c r="BL108" s="136"/>
      <c r="BM108" s="402"/>
      <c r="BN108" s="136"/>
      <c r="BO108" s="1091"/>
      <c r="BP108" s="78"/>
      <c r="BQ108" s="199"/>
      <c r="BR108" s="199"/>
      <c r="BS108" s="199"/>
      <c r="BT108" s="199"/>
      <c r="BU108" s="199"/>
      <c r="BV108" s="199"/>
      <c r="BW108" s="199"/>
      <c r="BX108" s="199"/>
      <c r="BY108" s="199"/>
      <c r="BZ108" s="199"/>
      <c r="CA108" s="199"/>
      <c r="CB108" s="199"/>
      <c r="CC108" s="199"/>
      <c r="CD108" s="199"/>
      <c r="CE108" s="199"/>
      <c r="CF108" s="199"/>
      <c r="CG108" s="199"/>
      <c r="CH108" s="199"/>
      <c r="CI108" s="199"/>
      <c r="CJ108" s="199"/>
      <c r="CK108" s="199"/>
      <c r="CL108" s="199"/>
      <c r="CM108" s="199"/>
      <c r="CN108" s="199"/>
      <c r="CO108" s="199"/>
      <c r="CP108" s="199"/>
      <c r="CQ108" s="199"/>
      <c r="CR108" s="199"/>
      <c r="CS108" s="199"/>
      <c r="CT108" s="199"/>
      <c r="CU108" s="199"/>
      <c r="CV108" s="199"/>
      <c r="CW108" s="199"/>
      <c r="CX108" s="199"/>
      <c r="CY108" s="199"/>
      <c r="CZ108" s="199"/>
      <c r="DA108" s="199"/>
      <c r="DB108" s="199"/>
    </row>
    <row r="109" spans="2:142" ht="20" hidden="1" x14ac:dyDescent="0.2">
      <c r="B109" s="330"/>
      <c r="C109" s="412"/>
      <c r="D109" s="37"/>
      <c r="E109" s="37"/>
      <c r="F109" s="37"/>
      <c r="G109" s="998"/>
      <c r="H109"/>
      <c r="I109"/>
      <c r="J109"/>
      <c r="K109"/>
      <c r="L109"/>
      <c r="M109"/>
      <c r="N109"/>
      <c r="O109" s="995"/>
      <c r="U109" s="212"/>
      <c r="V109" s="187"/>
      <c r="AB109" s="187"/>
      <c r="AC109" s="187"/>
      <c r="AD109" s="187"/>
      <c r="AE109" s="187"/>
      <c r="AF109" s="187"/>
      <c r="AG109" s="187"/>
      <c r="AH109" s="187"/>
      <c r="AI109" s="187"/>
      <c r="AJ109" s="187"/>
      <c r="AK109" s="187"/>
      <c r="AL109" s="187"/>
      <c r="AM109" s="187"/>
      <c r="AN109" s="187"/>
      <c r="AO109" s="187"/>
      <c r="AP109" s="187"/>
      <c r="AQ109" s="187"/>
      <c r="AR109" s="187"/>
      <c r="AS109" s="187"/>
      <c r="AT109" s="187"/>
      <c r="AU109" s="187"/>
      <c r="AV109" s="187"/>
      <c r="AW109" s="187"/>
      <c r="AX109" s="187"/>
      <c r="AY109" s="187"/>
      <c r="AZ109" s="187"/>
      <c r="BA109" s="187"/>
      <c r="BB109" s="187"/>
      <c r="BC109" s="126"/>
      <c r="BE109" s="136"/>
      <c r="BF109" s="136"/>
      <c r="BG109" s="136"/>
      <c r="BH109" s="136"/>
      <c r="BI109" s="136"/>
      <c r="BJ109" s="136"/>
      <c r="BK109" s="136"/>
      <c r="BL109" s="136"/>
      <c r="BM109" s="402"/>
      <c r="BN109" s="136"/>
      <c r="BO109" s="1091"/>
      <c r="BP109" s="78"/>
      <c r="BQ109" s="199"/>
      <c r="BR109" s="199"/>
      <c r="BS109" s="199"/>
      <c r="BT109" s="199"/>
      <c r="BU109" s="199"/>
      <c r="BV109" s="199"/>
      <c r="BW109" s="199"/>
      <c r="BX109" s="199"/>
      <c r="BY109" s="199"/>
      <c r="BZ109" s="199"/>
      <c r="CA109" s="199"/>
      <c r="CB109" s="199"/>
      <c r="CC109" s="199"/>
      <c r="CD109" s="199"/>
      <c r="CE109" s="199"/>
      <c r="CF109" s="199"/>
      <c r="CG109" s="199"/>
      <c r="CH109" s="199"/>
      <c r="CI109" s="199"/>
      <c r="CJ109" s="199"/>
      <c r="CK109" s="199"/>
      <c r="CL109" s="199"/>
      <c r="CM109" s="199"/>
      <c r="CN109" s="199"/>
      <c r="CO109" s="199"/>
      <c r="CP109" s="199"/>
      <c r="CQ109" s="199"/>
      <c r="CR109" s="199"/>
      <c r="CS109" s="199"/>
      <c r="CT109" s="199"/>
      <c r="CU109" s="199"/>
      <c r="CV109" s="199"/>
      <c r="CW109" s="199"/>
      <c r="CX109" s="199"/>
      <c r="CY109" s="199"/>
      <c r="CZ109" s="199"/>
      <c r="DA109" s="199"/>
      <c r="DB109" s="199"/>
    </row>
    <row r="110" spans="2:142" ht="20" hidden="1" x14ac:dyDescent="0.2">
      <c r="B110" s="330"/>
      <c r="C110" s="412"/>
      <c r="D110" s="37"/>
      <c r="E110" s="37"/>
      <c r="F110" s="37"/>
      <c r="G110" s="998"/>
      <c r="H110"/>
      <c r="I110"/>
      <c r="J110"/>
      <c r="K110"/>
      <c r="L110"/>
      <c r="M110"/>
      <c r="N110"/>
      <c r="O110" s="995"/>
      <c r="U110" s="212"/>
      <c r="V110" s="187"/>
      <c r="AB110" s="187"/>
      <c r="AC110" s="187"/>
      <c r="AD110" s="187"/>
      <c r="AE110" s="187"/>
      <c r="AF110" s="187"/>
      <c r="AG110" s="187"/>
      <c r="AH110" s="187"/>
      <c r="AI110" s="187"/>
      <c r="AJ110" s="187"/>
      <c r="AK110" s="187"/>
      <c r="AL110" s="187"/>
      <c r="AM110" s="187"/>
      <c r="AN110" s="187"/>
      <c r="AO110" s="187"/>
      <c r="AP110" s="187"/>
      <c r="AQ110" s="187"/>
      <c r="AR110" s="187"/>
      <c r="AS110" s="187"/>
      <c r="AT110" s="187"/>
      <c r="AU110" s="187"/>
      <c r="AV110" s="187"/>
      <c r="AW110" s="187"/>
      <c r="AX110" s="187"/>
      <c r="AY110" s="187"/>
      <c r="AZ110" s="187"/>
      <c r="BA110" s="187"/>
      <c r="BB110" s="187"/>
      <c r="BC110" s="126"/>
      <c r="BE110" s="136"/>
      <c r="BF110" s="136"/>
      <c r="BG110" s="136"/>
      <c r="BH110" s="136"/>
      <c r="BI110" s="136"/>
      <c r="BJ110" s="136"/>
      <c r="BK110" s="136"/>
      <c r="BL110" s="136"/>
      <c r="BM110" s="402"/>
      <c r="BN110" s="136"/>
      <c r="BO110" s="1091"/>
      <c r="BP110" s="78"/>
      <c r="BQ110" s="199"/>
      <c r="BR110" s="199"/>
      <c r="BS110" s="199"/>
      <c r="BT110" s="199"/>
      <c r="BU110" s="199"/>
      <c r="BV110" s="199"/>
      <c r="BW110" s="199"/>
      <c r="BX110" s="199"/>
      <c r="BY110" s="199"/>
      <c r="BZ110" s="199"/>
      <c r="CA110" s="199"/>
      <c r="CB110" s="199"/>
      <c r="CC110" s="199"/>
      <c r="CD110" s="199"/>
      <c r="CE110" s="199"/>
      <c r="CF110" s="199"/>
      <c r="CG110" s="199"/>
      <c r="CH110" s="199"/>
      <c r="CI110" s="199"/>
      <c r="CJ110" s="199"/>
      <c r="CK110" s="199"/>
      <c r="CL110" s="199"/>
      <c r="CM110" s="199"/>
      <c r="CN110" s="199"/>
      <c r="CO110" s="199"/>
      <c r="CP110" s="199"/>
      <c r="CQ110" s="199"/>
      <c r="CR110" s="199"/>
      <c r="CS110" s="199"/>
      <c r="CT110" s="199"/>
      <c r="CU110" s="199"/>
      <c r="CV110" s="199"/>
      <c r="CW110" s="199"/>
      <c r="CX110" s="199"/>
      <c r="CY110" s="199"/>
      <c r="CZ110" s="199"/>
      <c r="DA110" s="199"/>
      <c r="DB110" s="199"/>
    </row>
    <row r="111" spans="2:142" ht="20" hidden="1" x14ac:dyDescent="0.2">
      <c r="B111" s="330"/>
      <c r="C111" s="412"/>
      <c r="D111" s="37"/>
      <c r="E111" s="37"/>
      <c r="F111" s="37"/>
      <c r="G111" s="998"/>
      <c r="H111"/>
      <c r="I111"/>
      <c r="J111"/>
      <c r="K111"/>
      <c r="L111"/>
      <c r="M111"/>
      <c r="N111"/>
      <c r="O111" s="995"/>
      <c r="U111" s="212"/>
      <c r="V111" s="187"/>
      <c r="AB111" s="187"/>
      <c r="AC111" s="187"/>
      <c r="AD111" s="187"/>
      <c r="AE111" s="187"/>
      <c r="AF111" s="187"/>
      <c r="AG111" s="187"/>
      <c r="AH111" s="187"/>
      <c r="AI111" s="187"/>
      <c r="AJ111" s="187"/>
      <c r="AK111" s="187"/>
      <c r="AL111" s="187"/>
      <c r="AM111" s="187"/>
      <c r="AN111" s="187"/>
      <c r="AO111" s="187"/>
      <c r="AP111" s="187"/>
      <c r="AQ111" s="187"/>
      <c r="AR111" s="187"/>
      <c r="AS111" s="187"/>
      <c r="AT111" s="187"/>
      <c r="AU111" s="187"/>
      <c r="AV111" s="187"/>
      <c r="AW111" s="187"/>
      <c r="AX111" s="187"/>
      <c r="AY111" s="187"/>
      <c r="AZ111" s="187"/>
      <c r="BA111" s="187"/>
      <c r="BB111" s="187"/>
      <c r="BC111" s="126"/>
      <c r="BE111" s="136"/>
      <c r="BF111" s="136"/>
      <c r="BG111" s="136"/>
      <c r="BH111" s="136"/>
      <c r="BI111" s="136"/>
      <c r="BJ111" s="136"/>
      <c r="BK111" s="136"/>
      <c r="BL111" s="136"/>
      <c r="BM111" s="402"/>
      <c r="BN111" s="136"/>
      <c r="BO111" s="1091"/>
      <c r="BP111" s="78"/>
      <c r="BQ111" s="199"/>
      <c r="BR111" s="199"/>
      <c r="BS111" s="199"/>
      <c r="BT111" s="199"/>
      <c r="BU111" s="199"/>
      <c r="BV111" s="199"/>
      <c r="BW111" s="199"/>
      <c r="BX111" s="199"/>
      <c r="BY111" s="199"/>
      <c r="BZ111" s="199"/>
      <c r="CA111" s="199"/>
      <c r="CB111" s="199"/>
      <c r="CC111" s="199"/>
      <c r="CD111" s="199"/>
      <c r="CE111" s="199"/>
      <c r="CF111" s="199"/>
      <c r="CG111" s="199"/>
      <c r="CH111" s="199"/>
      <c r="CI111" s="199"/>
      <c r="CJ111" s="199"/>
      <c r="CK111" s="199"/>
      <c r="CL111" s="199"/>
      <c r="CM111" s="199"/>
      <c r="CN111" s="199"/>
      <c r="CO111" s="199"/>
      <c r="CP111" s="199"/>
      <c r="CQ111" s="199"/>
      <c r="CR111" s="199"/>
      <c r="CS111" s="199"/>
      <c r="CT111" s="199"/>
      <c r="CU111" s="199"/>
      <c r="CV111" s="199"/>
      <c r="CW111" s="199"/>
      <c r="CX111" s="199"/>
      <c r="CY111" s="199"/>
      <c r="CZ111" s="199"/>
      <c r="DA111" s="199"/>
      <c r="DB111" s="199"/>
    </row>
    <row r="112" spans="2:142" ht="20" hidden="1" x14ac:dyDescent="0.2">
      <c r="B112" s="330"/>
      <c r="C112" s="412"/>
      <c r="D112" s="37"/>
      <c r="E112" s="37"/>
      <c r="F112" s="37"/>
      <c r="G112" s="998"/>
      <c r="H112"/>
      <c r="I112"/>
      <c r="J112"/>
      <c r="K112"/>
      <c r="L112"/>
      <c r="M112"/>
      <c r="N112"/>
      <c r="O112" s="995"/>
      <c r="U112" s="212"/>
      <c r="V112" s="187"/>
      <c r="AB112" s="187"/>
      <c r="AC112" s="187"/>
      <c r="AD112" s="187"/>
      <c r="AE112" s="187"/>
      <c r="AF112" s="187"/>
      <c r="AG112" s="187"/>
      <c r="AH112" s="187"/>
      <c r="AI112" s="187"/>
      <c r="AJ112" s="187"/>
      <c r="AK112" s="187"/>
      <c r="AL112" s="187"/>
      <c r="AM112" s="187"/>
      <c r="AN112" s="187"/>
      <c r="AO112" s="187"/>
      <c r="AP112" s="187"/>
      <c r="AQ112" s="187"/>
      <c r="AR112" s="187"/>
      <c r="AS112" s="187"/>
      <c r="AT112" s="187"/>
      <c r="AU112" s="187"/>
      <c r="AV112" s="187"/>
      <c r="AW112" s="187"/>
      <c r="AX112" s="187"/>
      <c r="AY112" s="187"/>
      <c r="AZ112" s="187"/>
      <c r="BA112" s="187"/>
      <c r="BB112" s="187"/>
      <c r="BC112" s="126"/>
      <c r="BE112" s="136"/>
      <c r="BF112" s="136"/>
      <c r="BG112" s="136"/>
      <c r="BH112" s="136"/>
      <c r="BI112" s="136"/>
      <c r="BJ112" s="136"/>
      <c r="BK112" s="136"/>
      <c r="BL112" s="136"/>
      <c r="BM112" s="402"/>
      <c r="BN112" s="136"/>
      <c r="BO112" s="1091"/>
      <c r="BP112" s="78"/>
      <c r="BQ112" s="199"/>
      <c r="BR112" s="199"/>
      <c r="BS112" s="199"/>
      <c r="BT112" s="199"/>
      <c r="BU112" s="199"/>
      <c r="BV112" s="199"/>
      <c r="BW112" s="199"/>
      <c r="BX112" s="199"/>
      <c r="BY112" s="199"/>
      <c r="BZ112" s="199"/>
      <c r="CA112" s="199"/>
      <c r="CB112" s="199"/>
      <c r="CC112" s="199"/>
      <c r="CD112" s="199"/>
      <c r="CE112" s="199"/>
      <c r="CF112" s="199"/>
      <c r="CG112" s="199"/>
      <c r="CH112" s="199"/>
      <c r="CI112" s="199"/>
      <c r="CJ112" s="199"/>
      <c r="CK112" s="199"/>
      <c r="CL112" s="199"/>
      <c r="CM112" s="199"/>
      <c r="CN112" s="199"/>
      <c r="CO112" s="199"/>
      <c r="CP112" s="199"/>
      <c r="CQ112" s="199"/>
      <c r="CR112" s="199"/>
      <c r="CS112" s="199"/>
      <c r="CT112" s="199"/>
      <c r="CU112" s="199"/>
      <c r="CV112" s="199"/>
      <c r="CW112" s="199"/>
      <c r="CX112" s="199"/>
      <c r="CY112" s="199"/>
      <c r="CZ112" s="199"/>
      <c r="DA112" s="199"/>
      <c r="DB112" s="199"/>
    </row>
    <row r="113" spans="2:106" ht="20" hidden="1" x14ac:dyDescent="0.2">
      <c r="B113" s="330"/>
      <c r="C113" s="412"/>
      <c r="D113" s="37"/>
      <c r="E113" s="37"/>
      <c r="F113" s="37"/>
      <c r="G113" s="998"/>
      <c r="H113"/>
      <c r="I113"/>
      <c r="J113"/>
      <c r="K113"/>
      <c r="L113"/>
      <c r="M113"/>
      <c r="N113"/>
      <c r="O113" s="995"/>
      <c r="U113" s="212"/>
      <c r="V113" s="187"/>
      <c r="AB113" s="187"/>
      <c r="AC113" s="187"/>
      <c r="AD113" s="187"/>
      <c r="AE113" s="187"/>
      <c r="AF113" s="187"/>
      <c r="AG113" s="187"/>
      <c r="AH113" s="187"/>
      <c r="AI113" s="187"/>
      <c r="AJ113" s="187"/>
      <c r="AK113" s="187"/>
      <c r="AL113" s="187"/>
      <c r="AM113" s="187"/>
      <c r="AN113" s="187"/>
      <c r="AO113" s="187"/>
      <c r="AP113" s="187"/>
      <c r="AQ113" s="187"/>
      <c r="AR113" s="187"/>
      <c r="AS113" s="187"/>
      <c r="AT113" s="187"/>
      <c r="AU113" s="187"/>
      <c r="AV113" s="187"/>
      <c r="AW113" s="187"/>
      <c r="AX113" s="187"/>
      <c r="AY113" s="187"/>
      <c r="AZ113" s="187"/>
      <c r="BA113" s="187"/>
      <c r="BB113" s="187"/>
      <c r="BC113" s="126"/>
      <c r="BE113" s="136"/>
      <c r="BF113" s="136"/>
      <c r="BG113" s="136"/>
      <c r="BH113" s="136"/>
      <c r="BI113" s="136"/>
      <c r="BJ113" s="136"/>
      <c r="BK113" s="136"/>
      <c r="BL113" s="136"/>
      <c r="BM113" s="402"/>
      <c r="BN113" s="136"/>
      <c r="BO113" s="1091"/>
      <c r="BP113" s="78"/>
      <c r="BQ113" s="199"/>
      <c r="BR113" s="199"/>
      <c r="BS113" s="199"/>
      <c r="BT113" s="199"/>
      <c r="BU113" s="199"/>
      <c r="BV113" s="199"/>
      <c r="BW113" s="199"/>
      <c r="BX113" s="199"/>
      <c r="BY113" s="199"/>
      <c r="BZ113" s="199"/>
      <c r="CA113" s="199"/>
      <c r="CB113" s="199"/>
      <c r="CC113" s="199"/>
      <c r="CD113" s="199"/>
      <c r="CE113" s="199"/>
      <c r="CF113" s="199"/>
      <c r="CG113" s="199"/>
      <c r="CH113" s="199"/>
      <c r="CI113" s="199"/>
      <c r="CJ113" s="199"/>
      <c r="CK113" s="199"/>
      <c r="CL113" s="199"/>
      <c r="CM113" s="199"/>
      <c r="CN113" s="199"/>
      <c r="CO113" s="199"/>
      <c r="CP113" s="199"/>
      <c r="CQ113" s="199"/>
      <c r="CR113" s="199"/>
      <c r="CS113" s="199"/>
      <c r="CT113" s="199"/>
      <c r="CU113" s="199"/>
      <c r="CV113" s="199"/>
      <c r="CW113" s="199"/>
      <c r="CX113" s="199"/>
      <c r="CY113" s="199"/>
      <c r="CZ113" s="199"/>
      <c r="DA113" s="199"/>
      <c r="DB113" s="199"/>
    </row>
    <row r="114" spans="2:106" ht="20" hidden="1" x14ac:dyDescent="0.2">
      <c r="B114" s="330"/>
      <c r="C114" s="412"/>
      <c r="D114" s="37"/>
      <c r="E114" s="37"/>
      <c r="F114" s="37"/>
      <c r="G114" s="998"/>
      <c r="H114"/>
      <c r="I114"/>
      <c r="J114"/>
      <c r="K114"/>
      <c r="L114"/>
      <c r="M114"/>
      <c r="N114"/>
      <c r="O114" s="995"/>
      <c r="U114" s="212"/>
      <c r="V114" s="187"/>
      <c r="AB114" s="187"/>
      <c r="AC114" s="187"/>
      <c r="AD114" s="187"/>
      <c r="AE114" s="187"/>
      <c r="AF114" s="187"/>
      <c r="AG114" s="187"/>
      <c r="AH114" s="187"/>
      <c r="AI114" s="187"/>
      <c r="AJ114" s="187"/>
      <c r="AK114" s="187"/>
      <c r="AL114" s="187"/>
      <c r="AM114" s="187"/>
      <c r="AN114" s="187"/>
      <c r="AO114" s="187"/>
      <c r="AP114" s="187"/>
      <c r="AQ114" s="187"/>
      <c r="AR114" s="187"/>
      <c r="AS114" s="187"/>
      <c r="AT114" s="187"/>
      <c r="AU114" s="187"/>
      <c r="AV114" s="187"/>
      <c r="AW114" s="187"/>
      <c r="AX114" s="187"/>
      <c r="AY114" s="187"/>
      <c r="AZ114" s="187"/>
      <c r="BA114" s="187"/>
      <c r="BB114" s="187"/>
      <c r="BC114" s="126"/>
      <c r="BE114" s="136"/>
      <c r="BF114" s="136"/>
      <c r="BG114" s="136"/>
      <c r="BH114" s="136"/>
      <c r="BI114" s="136"/>
      <c r="BJ114" s="136"/>
      <c r="BK114" s="136"/>
      <c r="BL114" s="136"/>
      <c r="BM114" s="402"/>
      <c r="BN114" s="136"/>
      <c r="BO114" s="1091"/>
      <c r="BP114" s="78"/>
      <c r="BQ114" s="199"/>
      <c r="BR114" s="199"/>
      <c r="BS114" s="199"/>
      <c r="BT114" s="199"/>
      <c r="BU114" s="199"/>
      <c r="BV114" s="199"/>
      <c r="BW114" s="199"/>
      <c r="BX114" s="199"/>
      <c r="BY114" s="199"/>
      <c r="BZ114" s="199"/>
      <c r="CA114" s="199"/>
      <c r="CB114" s="199"/>
      <c r="CC114" s="199"/>
      <c r="CD114" s="199"/>
      <c r="CE114" s="199"/>
      <c r="CF114" s="199"/>
      <c r="CG114" s="199"/>
      <c r="CH114" s="199"/>
      <c r="CI114" s="199"/>
      <c r="CJ114" s="199"/>
      <c r="CK114" s="199"/>
      <c r="CL114" s="199"/>
      <c r="CM114" s="199"/>
      <c r="CN114" s="199"/>
      <c r="CO114" s="199"/>
      <c r="CP114" s="199"/>
      <c r="CQ114" s="199"/>
      <c r="CR114" s="199"/>
      <c r="CS114" s="199"/>
      <c r="CT114" s="199"/>
      <c r="CU114" s="199"/>
      <c r="CV114" s="199"/>
      <c r="CW114" s="199"/>
      <c r="CX114" s="199"/>
      <c r="CY114" s="199"/>
      <c r="CZ114" s="199"/>
      <c r="DA114" s="199"/>
      <c r="DB114" s="199"/>
    </row>
    <row r="115" spans="2:106" ht="20" hidden="1" x14ac:dyDescent="0.2">
      <c r="B115" s="330"/>
      <c r="C115" s="412"/>
      <c r="D115" s="37"/>
      <c r="E115" s="37"/>
      <c r="F115" s="37"/>
      <c r="G115" s="998"/>
      <c r="H115"/>
      <c r="I115"/>
      <c r="J115"/>
      <c r="K115"/>
      <c r="L115"/>
      <c r="M115"/>
      <c r="N115"/>
      <c r="O115" s="995"/>
      <c r="U115" s="212"/>
      <c r="V115" s="187"/>
      <c r="AB115" s="187"/>
      <c r="AC115" s="187"/>
      <c r="AD115" s="187"/>
      <c r="AE115" s="187"/>
      <c r="AF115" s="187"/>
      <c r="AG115" s="187"/>
      <c r="AH115" s="187"/>
      <c r="AI115" s="187"/>
      <c r="AJ115" s="187"/>
      <c r="AK115" s="187"/>
      <c r="AL115" s="187"/>
      <c r="AM115" s="187"/>
      <c r="AN115" s="187"/>
      <c r="AO115" s="187"/>
      <c r="AP115" s="187"/>
      <c r="AQ115" s="187"/>
      <c r="AR115" s="187"/>
      <c r="AS115" s="187"/>
      <c r="AT115" s="187"/>
      <c r="AU115" s="187"/>
      <c r="AV115" s="187"/>
      <c r="AW115" s="187"/>
      <c r="AX115" s="187"/>
      <c r="AY115" s="187"/>
      <c r="AZ115" s="187"/>
      <c r="BA115" s="187"/>
      <c r="BB115" s="187"/>
      <c r="BC115" s="126"/>
      <c r="BE115" s="136"/>
      <c r="BF115" s="136"/>
      <c r="BG115" s="136"/>
      <c r="BH115" s="136"/>
      <c r="BI115" s="136"/>
      <c r="BJ115" s="136"/>
      <c r="BK115" s="136"/>
      <c r="BL115" s="136"/>
      <c r="BM115" s="402"/>
      <c r="BN115" s="136"/>
      <c r="BO115" s="1091"/>
      <c r="BP115" s="78"/>
      <c r="BQ115" s="199"/>
      <c r="BR115" s="199"/>
      <c r="BS115" s="199"/>
      <c r="BT115" s="199"/>
      <c r="BU115" s="199"/>
      <c r="BV115" s="199"/>
      <c r="BW115" s="199"/>
      <c r="BX115" s="199"/>
      <c r="BY115" s="199"/>
      <c r="BZ115" s="199"/>
      <c r="CA115" s="199"/>
      <c r="CB115" s="199"/>
      <c r="CC115" s="199"/>
      <c r="CD115" s="199"/>
      <c r="CE115" s="199"/>
      <c r="CF115" s="199"/>
      <c r="CG115" s="199"/>
      <c r="CH115" s="199"/>
      <c r="CI115" s="199"/>
      <c r="CJ115" s="199"/>
      <c r="CK115" s="199"/>
      <c r="CL115" s="199"/>
      <c r="CM115" s="199"/>
      <c r="CN115" s="199"/>
      <c r="CO115" s="199"/>
      <c r="CP115" s="199"/>
      <c r="CQ115" s="199"/>
      <c r="CR115" s="199"/>
      <c r="CS115" s="199"/>
      <c r="CT115" s="199"/>
      <c r="CU115" s="199"/>
      <c r="CV115" s="199"/>
      <c r="CW115" s="199"/>
      <c r="CX115" s="199"/>
      <c r="CY115" s="199"/>
      <c r="CZ115" s="199"/>
      <c r="DA115" s="199"/>
      <c r="DB115" s="199"/>
    </row>
    <row r="116" spans="2:106" ht="20" hidden="1" x14ac:dyDescent="0.2">
      <c r="B116" s="330"/>
      <c r="C116" s="412"/>
      <c r="D116" s="37"/>
      <c r="E116" s="37"/>
      <c r="F116" s="37"/>
      <c r="G116" s="998"/>
      <c r="H116"/>
      <c r="I116"/>
      <c r="J116"/>
      <c r="K116"/>
      <c r="L116"/>
      <c r="M116"/>
      <c r="N116"/>
      <c r="O116" s="995"/>
      <c r="U116" s="212"/>
      <c r="V116" s="187"/>
      <c r="AB116" s="187"/>
      <c r="AC116" s="187"/>
      <c r="AD116" s="187"/>
      <c r="AE116" s="187"/>
      <c r="AF116" s="187"/>
      <c r="AG116" s="187"/>
      <c r="AH116" s="187"/>
      <c r="AI116" s="187"/>
      <c r="AJ116" s="187"/>
      <c r="AK116" s="187"/>
      <c r="AL116" s="187"/>
      <c r="AM116" s="187"/>
      <c r="AN116" s="187"/>
      <c r="AO116" s="187"/>
      <c r="AP116" s="187"/>
      <c r="AQ116" s="187"/>
      <c r="AR116" s="187"/>
      <c r="AS116" s="187"/>
      <c r="AT116" s="187"/>
      <c r="AU116" s="187"/>
      <c r="AV116" s="187"/>
      <c r="AW116" s="187"/>
      <c r="AX116" s="187"/>
      <c r="AY116" s="187"/>
      <c r="AZ116" s="187"/>
      <c r="BA116" s="187"/>
      <c r="BB116" s="187"/>
      <c r="BC116" s="126"/>
      <c r="BE116" s="136"/>
      <c r="BF116" s="136"/>
      <c r="BG116" s="136"/>
      <c r="BH116" s="136"/>
      <c r="BI116" s="136"/>
      <c r="BJ116" s="136"/>
      <c r="BK116" s="136"/>
      <c r="BL116" s="136"/>
      <c r="BM116" s="402"/>
      <c r="BN116" s="136"/>
      <c r="BO116" s="1091"/>
      <c r="BP116" s="78"/>
      <c r="BQ116" s="199"/>
      <c r="BR116" s="199"/>
      <c r="BS116" s="199"/>
      <c r="BT116" s="199"/>
      <c r="BU116" s="199"/>
      <c r="BV116" s="199"/>
      <c r="BW116" s="199"/>
      <c r="BX116" s="199"/>
      <c r="BY116" s="199"/>
      <c r="BZ116" s="199"/>
      <c r="CA116" s="199"/>
      <c r="CB116" s="199"/>
      <c r="CC116" s="199"/>
      <c r="CD116" s="199"/>
      <c r="CE116" s="199"/>
      <c r="CF116" s="199"/>
      <c r="CG116" s="199"/>
      <c r="CH116" s="199"/>
      <c r="CI116" s="199"/>
      <c r="CJ116" s="199"/>
      <c r="CK116" s="199"/>
      <c r="CL116" s="199"/>
      <c r="CM116" s="199"/>
      <c r="CN116" s="199"/>
      <c r="CO116" s="199"/>
      <c r="CP116" s="199"/>
      <c r="CQ116" s="199"/>
      <c r="CR116" s="199"/>
      <c r="CS116" s="199"/>
      <c r="CT116" s="199"/>
      <c r="CU116" s="199"/>
      <c r="CV116" s="199"/>
      <c r="CW116" s="199"/>
      <c r="CX116" s="199"/>
      <c r="CY116" s="199"/>
      <c r="CZ116" s="199"/>
      <c r="DA116" s="199"/>
      <c r="DB116" s="199"/>
    </row>
    <row r="117" spans="2:106" ht="20" hidden="1" x14ac:dyDescent="0.2">
      <c r="B117" s="330"/>
      <c r="C117" s="412"/>
      <c r="D117" s="37"/>
      <c r="E117" s="37"/>
      <c r="F117" s="37"/>
      <c r="G117" s="998"/>
      <c r="H117"/>
      <c r="I117"/>
      <c r="J117"/>
      <c r="K117"/>
      <c r="L117"/>
      <c r="M117"/>
      <c r="N117"/>
      <c r="O117" s="995"/>
      <c r="U117" s="212"/>
      <c r="V117" s="187"/>
      <c r="AB117" s="187"/>
      <c r="AC117" s="187"/>
      <c r="AD117" s="187"/>
      <c r="AE117" s="187"/>
      <c r="AF117" s="187"/>
      <c r="AG117" s="187"/>
      <c r="AH117" s="187"/>
      <c r="AI117" s="187"/>
      <c r="AJ117" s="187"/>
      <c r="AK117" s="187"/>
      <c r="AL117" s="187"/>
      <c r="AM117" s="187"/>
      <c r="AN117" s="187"/>
      <c r="AO117" s="187"/>
      <c r="AP117" s="187"/>
      <c r="AQ117" s="187"/>
      <c r="AR117" s="187"/>
      <c r="AS117" s="187"/>
      <c r="AT117" s="187"/>
      <c r="AU117" s="187"/>
      <c r="AV117" s="187"/>
      <c r="AW117" s="187"/>
      <c r="AX117" s="187"/>
      <c r="AY117" s="187"/>
      <c r="AZ117" s="187"/>
      <c r="BA117" s="187"/>
      <c r="BB117" s="187"/>
      <c r="BC117" s="126"/>
      <c r="BE117" s="136"/>
      <c r="BF117" s="136"/>
      <c r="BG117" s="136"/>
      <c r="BH117" s="136"/>
      <c r="BI117" s="136"/>
      <c r="BJ117" s="136"/>
      <c r="BK117" s="136"/>
      <c r="BL117" s="136"/>
      <c r="BM117" s="402"/>
      <c r="BN117" s="136"/>
      <c r="BO117" s="1091"/>
      <c r="BP117" s="78"/>
      <c r="BQ117" s="199"/>
      <c r="BR117" s="199"/>
      <c r="BS117" s="199"/>
      <c r="BT117" s="199"/>
      <c r="BU117" s="199"/>
      <c r="BV117" s="199"/>
      <c r="BW117" s="199"/>
      <c r="BX117" s="199"/>
      <c r="BY117" s="199"/>
      <c r="BZ117" s="199"/>
      <c r="CA117" s="199"/>
      <c r="CB117" s="199"/>
      <c r="CC117" s="199"/>
      <c r="CD117" s="199"/>
      <c r="CE117" s="199"/>
      <c r="CF117" s="199"/>
      <c r="CG117" s="199"/>
      <c r="CH117" s="199"/>
      <c r="CI117" s="199"/>
      <c r="CJ117" s="199"/>
      <c r="CK117" s="199"/>
      <c r="CL117" s="199"/>
      <c r="CM117" s="199"/>
      <c r="CN117" s="199"/>
      <c r="CO117" s="199"/>
      <c r="CP117" s="199"/>
      <c r="CQ117" s="199"/>
      <c r="CR117" s="199"/>
      <c r="CS117" s="199"/>
      <c r="CT117" s="199"/>
      <c r="CU117" s="199"/>
      <c r="CV117" s="199"/>
      <c r="CW117" s="199"/>
      <c r="CX117" s="199"/>
      <c r="CY117" s="199"/>
      <c r="CZ117" s="199"/>
      <c r="DA117" s="199"/>
      <c r="DB117" s="199"/>
    </row>
    <row r="118" spans="2:106" ht="20" hidden="1" x14ac:dyDescent="0.2">
      <c r="B118" s="330"/>
      <c r="C118" s="412"/>
      <c r="D118" s="37"/>
      <c r="E118" s="37"/>
      <c r="F118" s="37"/>
      <c r="G118" s="998"/>
      <c r="H118"/>
      <c r="I118"/>
      <c r="J118"/>
      <c r="K118"/>
      <c r="L118"/>
      <c r="M118"/>
      <c r="N118"/>
      <c r="O118" s="995"/>
      <c r="U118" s="212"/>
      <c r="V118" s="187"/>
      <c r="AB118" s="187"/>
      <c r="AC118" s="187"/>
      <c r="AD118" s="187"/>
      <c r="AE118" s="187"/>
      <c r="AF118" s="187"/>
      <c r="AG118" s="187"/>
      <c r="AH118" s="187"/>
      <c r="AI118" s="187"/>
      <c r="AJ118" s="187"/>
      <c r="AK118" s="187"/>
      <c r="AL118" s="187"/>
      <c r="AM118" s="187"/>
      <c r="AN118" s="187"/>
      <c r="AO118" s="187"/>
      <c r="AP118" s="187"/>
      <c r="AQ118" s="187"/>
      <c r="AR118" s="187"/>
      <c r="AS118" s="187"/>
      <c r="AT118" s="187"/>
      <c r="AU118" s="187"/>
      <c r="AV118" s="187"/>
      <c r="AW118" s="187"/>
      <c r="AX118" s="187"/>
      <c r="AY118" s="187"/>
      <c r="AZ118" s="187"/>
      <c r="BA118" s="187"/>
      <c r="BB118" s="187"/>
      <c r="BC118" s="126"/>
      <c r="BE118" s="136"/>
      <c r="BF118" s="136"/>
      <c r="BG118" s="136"/>
      <c r="BH118" s="136"/>
      <c r="BI118" s="136"/>
      <c r="BJ118" s="136"/>
      <c r="BK118" s="136"/>
      <c r="BL118" s="136"/>
      <c r="BM118" s="402"/>
      <c r="BN118" s="136"/>
      <c r="BO118" s="1091"/>
      <c r="BP118" s="78"/>
      <c r="BQ118" s="199"/>
      <c r="BR118" s="199"/>
      <c r="BS118" s="199"/>
      <c r="BT118" s="199"/>
      <c r="BU118" s="199"/>
      <c r="BV118" s="199"/>
      <c r="BW118" s="199"/>
      <c r="BX118" s="199"/>
      <c r="BY118" s="199"/>
      <c r="BZ118" s="199"/>
      <c r="CA118" s="199"/>
      <c r="CB118" s="199"/>
      <c r="CC118" s="199"/>
      <c r="CD118" s="199"/>
      <c r="CE118" s="199"/>
      <c r="CF118" s="199"/>
      <c r="CG118" s="199"/>
      <c r="CH118" s="199"/>
      <c r="CI118" s="199"/>
      <c r="CJ118" s="199"/>
      <c r="CK118" s="199"/>
      <c r="CL118" s="199"/>
      <c r="CM118" s="199"/>
      <c r="CN118" s="199"/>
      <c r="CO118" s="199"/>
      <c r="CP118" s="199"/>
      <c r="CQ118" s="199"/>
      <c r="CR118" s="199"/>
      <c r="CS118" s="199"/>
      <c r="CT118" s="199"/>
      <c r="CU118" s="199"/>
      <c r="CV118" s="199"/>
      <c r="CW118" s="199"/>
      <c r="CX118" s="199"/>
      <c r="CY118" s="199"/>
      <c r="CZ118" s="199"/>
      <c r="DA118" s="199"/>
      <c r="DB118" s="199"/>
    </row>
    <row r="119" spans="2:106" ht="20" hidden="1" x14ac:dyDescent="0.2">
      <c r="B119" s="330"/>
      <c r="C119" s="412"/>
      <c r="D119" s="37"/>
      <c r="E119" s="37"/>
      <c r="F119" s="37"/>
      <c r="G119" s="998"/>
      <c r="H119"/>
      <c r="I119"/>
      <c r="J119"/>
      <c r="K119"/>
      <c r="L119"/>
      <c r="M119"/>
      <c r="N119"/>
      <c r="O119" s="995"/>
      <c r="U119" s="212"/>
      <c r="V119" s="187"/>
      <c r="AB119" s="187"/>
      <c r="AC119" s="187"/>
      <c r="AD119" s="187"/>
      <c r="AE119" s="187"/>
      <c r="AF119" s="187"/>
      <c r="AG119" s="187"/>
      <c r="AH119" s="187"/>
      <c r="AI119" s="187"/>
      <c r="AJ119" s="187"/>
      <c r="AK119" s="187"/>
      <c r="AL119" s="187"/>
      <c r="AM119" s="187"/>
      <c r="AN119" s="187"/>
      <c r="AO119" s="187"/>
      <c r="AP119" s="187"/>
      <c r="AQ119" s="187"/>
      <c r="AR119" s="187"/>
      <c r="AS119" s="187"/>
      <c r="AT119" s="187"/>
      <c r="AU119" s="187"/>
      <c r="AV119" s="187"/>
      <c r="AW119" s="187"/>
      <c r="AX119" s="187"/>
      <c r="AY119" s="187"/>
      <c r="AZ119" s="187"/>
      <c r="BA119" s="187"/>
      <c r="BB119" s="187"/>
      <c r="BC119" s="126"/>
      <c r="BE119" s="136"/>
      <c r="BF119" s="136"/>
      <c r="BG119" s="136"/>
      <c r="BH119" s="136"/>
      <c r="BI119" s="136"/>
      <c r="BJ119" s="136"/>
      <c r="BK119" s="136"/>
      <c r="BL119" s="136"/>
      <c r="BM119" s="402"/>
      <c r="BN119" s="136"/>
      <c r="BO119" s="1091"/>
      <c r="BP119" s="78"/>
      <c r="BQ119" s="199"/>
      <c r="BR119" s="199"/>
      <c r="BS119" s="199"/>
      <c r="BT119" s="199"/>
      <c r="BU119" s="199"/>
      <c r="BV119" s="199"/>
      <c r="BW119" s="199"/>
      <c r="BX119" s="199"/>
      <c r="BY119" s="199"/>
      <c r="BZ119" s="199"/>
      <c r="CA119" s="199"/>
      <c r="CB119" s="199"/>
      <c r="CC119" s="199"/>
      <c r="CD119" s="199"/>
      <c r="CE119" s="199"/>
      <c r="CF119" s="199"/>
      <c r="CG119" s="199"/>
      <c r="CH119" s="199"/>
      <c r="CI119" s="199"/>
      <c r="CJ119" s="199"/>
      <c r="CK119" s="199"/>
      <c r="CL119" s="199"/>
      <c r="CM119" s="199"/>
      <c r="CN119" s="199"/>
      <c r="CO119" s="199"/>
      <c r="CP119" s="199"/>
      <c r="CQ119" s="199"/>
      <c r="CR119" s="199"/>
      <c r="CS119" s="199"/>
      <c r="CT119" s="199"/>
      <c r="CU119" s="199"/>
      <c r="CV119" s="199"/>
      <c r="CW119" s="199"/>
      <c r="CX119" s="199"/>
      <c r="CY119" s="199"/>
      <c r="CZ119" s="199"/>
      <c r="DA119" s="199"/>
      <c r="DB119" s="199"/>
    </row>
    <row r="120" spans="2:106" ht="20" hidden="1" x14ac:dyDescent="0.2">
      <c r="B120" s="330"/>
      <c r="C120" s="412"/>
      <c r="D120" s="37"/>
      <c r="E120" s="37"/>
      <c r="F120" s="37"/>
      <c r="G120" s="998"/>
      <c r="H120"/>
      <c r="I120"/>
      <c r="J120"/>
      <c r="K120"/>
      <c r="L120"/>
      <c r="M120"/>
      <c r="N120"/>
      <c r="O120" s="995"/>
      <c r="U120" s="212"/>
      <c r="V120" s="187"/>
      <c r="AB120" s="187"/>
      <c r="AC120" s="187"/>
      <c r="AD120" s="187"/>
      <c r="AE120" s="187"/>
      <c r="AF120" s="187"/>
      <c r="AG120" s="187"/>
      <c r="AH120" s="187"/>
      <c r="AI120" s="187"/>
      <c r="AJ120" s="187"/>
      <c r="AK120" s="187"/>
      <c r="AL120" s="187"/>
      <c r="AM120" s="187"/>
      <c r="AN120" s="187"/>
      <c r="AO120" s="187"/>
      <c r="AP120" s="187"/>
      <c r="AQ120" s="187"/>
      <c r="AR120" s="187"/>
      <c r="AS120" s="187"/>
      <c r="AT120" s="187"/>
      <c r="AU120" s="187"/>
      <c r="AV120" s="187"/>
      <c r="AW120" s="187"/>
      <c r="AX120" s="187"/>
      <c r="AY120" s="187"/>
      <c r="AZ120" s="187"/>
      <c r="BA120" s="187"/>
      <c r="BB120" s="187"/>
      <c r="BC120" s="126"/>
      <c r="BE120" s="136"/>
      <c r="BF120" s="136"/>
      <c r="BG120" s="136"/>
      <c r="BH120" s="136"/>
      <c r="BI120" s="136"/>
      <c r="BJ120" s="136"/>
      <c r="BK120" s="136"/>
      <c r="BL120" s="136"/>
      <c r="BM120" s="402"/>
      <c r="BN120" s="136"/>
      <c r="BO120" s="1091"/>
      <c r="BP120" s="78"/>
      <c r="BQ120" s="199"/>
      <c r="BR120" s="199"/>
      <c r="BS120" s="199"/>
      <c r="BT120" s="199"/>
      <c r="BU120" s="199"/>
      <c r="BV120" s="199"/>
      <c r="BW120" s="199"/>
      <c r="BX120" s="199"/>
      <c r="BY120" s="199"/>
      <c r="BZ120" s="199"/>
      <c r="CA120" s="199"/>
      <c r="CB120" s="199"/>
      <c r="CC120" s="199"/>
      <c r="CD120" s="199"/>
      <c r="CE120" s="199"/>
      <c r="CF120" s="199"/>
      <c r="CG120" s="199"/>
      <c r="CH120" s="199"/>
      <c r="CI120" s="199"/>
      <c r="CJ120" s="199"/>
      <c r="CK120" s="199"/>
      <c r="CL120" s="199"/>
      <c r="CM120" s="199"/>
      <c r="CN120" s="199"/>
      <c r="CO120" s="199"/>
      <c r="CP120" s="199"/>
      <c r="CQ120" s="199"/>
      <c r="CR120" s="199"/>
      <c r="CS120" s="199"/>
      <c r="CT120" s="199"/>
      <c r="CU120" s="199"/>
      <c r="CV120" s="199"/>
      <c r="CW120" s="199"/>
      <c r="CX120" s="199"/>
      <c r="CY120" s="199"/>
      <c r="CZ120" s="199"/>
      <c r="DA120" s="199"/>
      <c r="DB120" s="199"/>
    </row>
    <row r="121" spans="2:106" ht="20" hidden="1" x14ac:dyDescent="0.2">
      <c r="B121" s="330"/>
      <c r="C121" s="412"/>
      <c r="D121" s="37"/>
      <c r="E121" s="37"/>
      <c r="F121" s="37"/>
      <c r="G121" s="998"/>
      <c r="H121"/>
      <c r="I121"/>
      <c r="J121"/>
      <c r="K121"/>
      <c r="L121"/>
      <c r="M121"/>
      <c r="N121"/>
      <c r="O121" s="995"/>
      <c r="U121" s="212"/>
      <c r="V121" s="187"/>
      <c r="AB121" s="187"/>
      <c r="AC121" s="187"/>
      <c r="AD121" s="187"/>
      <c r="AE121" s="187"/>
      <c r="AF121" s="187"/>
      <c r="AG121" s="187"/>
      <c r="AH121" s="187"/>
      <c r="AI121" s="187"/>
      <c r="AJ121" s="187"/>
      <c r="AK121" s="187"/>
      <c r="AL121" s="187"/>
      <c r="AM121" s="187"/>
      <c r="AN121" s="187"/>
      <c r="AO121" s="187"/>
      <c r="AP121" s="187"/>
      <c r="AQ121" s="187"/>
      <c r="AR121" s="187"/>
      <c r="AS121" s="187"/>
      <c r="AT121" s="187"/>
      <c r="AU121" s="187"/>
      <c r="AV121" s="187"/>
      <c r="AW121" s="187"/>
      <c r="AX121" s="187"/>
      <c r="AY121" s="187"/>
      <c r="AZ121" s="187"/>
      <c r="BA121" s="187"/>
      <c r="BB121" s="187"/>
      <c r="BC121" s="126"/>
      <c r="BE121" s="136"/>
      <c r="BF121" s="136"/>
      <c r="BG121" s="136"/>
      <c r="BH121" s="136"/>
      <c r="BI121" s="136"/>
      <c r="BJ121" s="136"/>
      <c r="BK121" s="136"/>
      <c r="BL121" s="136"/>
      <c r="BM121" s="402"/>
      <c r="BN121" s="136"/>
      <c r="BO121" s="1091"/>
      <c r="BP121" s="78"/>
      <c r="BQ121" s="199"/>
      <c r="BR121" s="199"/>
      <c r="BS121" s="199"/>
      <c r="BT121" s="199"/>
      <c r="BU121" s="199"/>
      <c r="BV121" s="199"/>
      <c r="BW121" s="199"/>
      <c r="BX121" s="199"/>
      <c r="BY121" s="199"/>
      <c r="BZ121" s="199"/>
      <c r="CA121" s="199"/>
      <c r="CB121" s="199"/>
      <c r="CC121" s="199"/>
      <c r="CD121" s="199"/>
      <c r="CE121" s="199"/>
      <c r="CF121" s="199"/>
      <c r="CG121" s="199"/>
      <c r="CH121" s="199"/>
      <c r="CI121" s="199"/>
      <c r="CJ121" s="199"/>
      <c r="CK121" s="199"/>
      <c r="CL121" s="199"/>
      <c r="CM121" s="199"/>
      <c r="CN121" s="199"/>
      <c r="CO121" s="199"/>
      <c r="CP121" s="199"/>
      <c r="CQ121" s="199"/>
      <c r="CR121" s="199"/>
      <c r="CS121" s="199"/>
      <c r="CT121" s="199"/>
      <c r="CU121" s="199"/>
      <c r="CV121" s="199"/>
      <c r="CW121" s="199"/>
      <c r="CX121" s="199"/>
      <c r="CY121" s="199"/>
      <c r="CZ121" s="199"/>
      <c r="DA121" s="199"/>
      <c r="DB121" s="199"/>
    </row>
    <row r="122" spans="2:106" ht="20" hidden="1" x14ac:dyDescent="0.2">
      <c r="B122" s="330"/>
      <c r="C122" s="412"/>
      <c r="D122" s="37"/>
      <c r="E122" s="37"/>
      <c r="F122" s="37"/>
      <c r="G122" s="998"/>
      <c r="H122"/>
      <c r="I122"/>
      <c r="J122"/>
      <c r="K122"/>
      <c r="L122"/>
      <c r="M122"/>
      <c r="N122"/>
      <c r="O122" s="995"/>
      <c r="U122" s="212"/>
      <c r="V122" s="187"/>
      <c r="AB122" s="187"/>
      <c r="AC122" s="187"/>
      <c r="AD122" s="187"/>
      <c r="AE122" s="187"/>
      <c r="AF122" s="187"/>
      <c r="AG122" s="187"/>
      <c r="AH122" s="187"/>
      <c r="AI122" s="187"/>
      <c r="AJ122" s="187"/>
      <c r="AK122" s="187"/>
      <c r="AL122" s="187"/>
      <c r="AM122" s="187"/>
      <c r="AN122" s="187"/>
      <c r="AO122" s="187"/>
      <c r="AP122" s="187"/>
      <c r="AQ122" s="187"/>
      <c r="AR122" s="187"/>
      <c r="AS122" s="187"/>
      <c r="AT122" s="187"/>
      <c r="AU122" s="187"/>
      <c r="AV122" s="187"/>
      <c r="AW122" s="187"/>
      <c r="AX122" s="187"/>
      <c r="AY122" s="187"/>
      <c r="AZ122" s="187"/>
      <c r="BA122" s="187"/>
      <c r="BB122" s="187"/>
      <c r="BC122" s="126"/>
      <c r="BE122" s="136"/>
      <c r="BF122" s="136"/>
      <c r="BG122" s="136"/>
      <c r="BH122" s="136"/>
      <c r="BI122" s="136"/>
      <c r="BJ122" s="136"/>
      <c r="BK122" s="136"/>
      <c r="BL122" s="136"/>
      <c r="BM122" s="402"/>
      <c r="BN122" s="136"/>
      <c r="BO122" s="1091"/>
      <c r="BP122" s="78"/>
      <c r="BQ122" s="199"/>
      <c r="BR122" s="199"/>
      <c r="BS122" s="199"/>
      <c r="BT122" s="199"/>
      <c r="BU122" s="199"/>
      <c r="BV122" s="199"/>
      <c r="BW122" s="199"/>
      <c r="BX122" s="199"/>
      <c r="BY122" s="199"/>
      <c r="BZ122" s="199"/>
      <c r="CA122" s="199"/>
      <c r="CB122" s="199"/>
      <c r="CC122" s="199"/>
      <c r="CD122" s="199"/>
      <c r="CE122" s="199"/>
      <c r="CF122" s="199"/>
      <c r="CG122" s="199"/>
      <c r="CH122" s="199"/>
      <c r="CI122" s="199"/>
      <c r="CJ122" s="199"/>
      <c r="CK122" s="199"/>
      <c r="CL122" s="199"/>
      <c r="CM122" s="199"/>
      <c r="CN122" s="199"/>
      <c r="CO122" s="199"/>
      <c r="CP122" s="199"/>
      <c r="CQ122" s="199"/>
      <c r="CR122" s="199"/>
      <c r="CS122" s="199"/>
      <c r="CT122" s="199"/>
      <c r="CU122" s="199"/>
      <c r="CV122" s="199"/>
      <c r="CW122" s="199"/>
      <c r="CX122" s="199"/>
      <c r="CY122" s="199"/>
      <c r="CZ122" s="199"/>
      <c r="DA122" s="199"/>
      <c r="DB122" s="199"/>
    </row>
    <row r="123" spans="2:106" ht="20" hidden="1" x14ac:dyDescent="0.2">
      <c r="B123" s="330"/>
      <c r="C123" s="412"/>
      <c r="D123" s="37"/>
      <c r="E123" s="37"/>
      <c r="F123" s="37"/>
      <c r="G123" s="998"/>
      <c r="H123"/>
      <c r="I123"/>
      <c r="J123"/>
      <c r="K123"/>
      <c r="L123"/>
      <c r="M123"/>
      <c r="N123"/>
      <c r="O123" s="995"/>
      <c r="U123" s="212"/>
      <c r="V123" s="187"/>
      <c r="AB123" s="187"/>
      <c r="AC123" s="187"/>
      <c r="AD123" s="187"/>
      <c r="AE123" s="187"/>
      <c r="AF123" s="187"/>
      <c r="AG123" s="187"/>
      <c r="AH123" s="187"/>
      <c r="AI123" s="187"/>
      <c r="AJ123" s="187"/>
      <c r="AK123" s="187"/>
      <c r="AL123" s="187"/>
      <c r="AM123" s="187"/>
      <c r="AN123" s="187"/>
      <c r="AO123" s="187"/>
      <c r="AP123" s="187"/>
      <c r="AQ123" s="187"/>
      <c r="AR123" s="187"/>
      <c r="AS123" s="187"/>
      <c r="AT123" s="187"/>
      <c r="AU123" s="187"/>
      <c r="AV123" s="187"/>
      <c r="AW123" s="187"/>
      <c r="AX123" s="187"/>
      <c r="AY123" s="187"/>
      <c r="AZ123" s="187"/>
      <c r="BA123" s="187"/>
      <c r="BB123" s="187"/>
      <c r="BC123" s="126"/>
      <c r="BE123" s="136"/>
      <c r="BF123" s="136"/>
      <c r="BG123" s="136"/>
      <c r="BH123" s="136"/>
      <c r="BI123" s="136"/>
      <c r="BJ123" s="136"/>
      <c r="BK123" s="136"/>
      <c r="BL123" s="136"/>
      <c r="BM123" s="402"/>
      <c r="BN123" s="136"/>
      <c r="BO123" s="1091"/>
      <c r="BP123" s="78"/>
      <c r="BQ123" s="199"/>
      <c r="BR123" s="199"/>
      <c r="BS123" s="199"/>
      <c r="BT123" s="199"/>
      <c r="BU123" s="199"/>
      <c r="BV123" s="199"/>
      <c r="BW123" s="199"/>
      <c r="BX123" s="199"/>
      <c r="BY123" s="199"/>
      <c r="BZ123" s="199"/>
      <c r="CA123" s="199"/>
      <c r="CB123" s="199"/>
      <c r="CC123" s="199"/>
      <c r="CD123" s="199"/>
      <c r="CE123" s="199"/>
      <c r="CF123" s="199"/>
      <c r="CG123" s="199"/>
      <c r="CH123" s="199"/>
      <c r="CI123" s="199"/>
      <c r="CJ123" s="199"/>
      <c r="CK123" s="199"/>
      <c r="CL123" s="199"/>
      <c r="CM123" s="199"/>
      <c r="CN123" s="199"/>
      <c r="CO123" s="199"/>
      <c r="CP123" s="199"/>
      <c r="CQ123" s="199"/>
      <c r="CR123" s="199"/>
      <c r="CS123" s="199"/>
      <c r="CT123" s="199"/>
      <c r="CU123" s="199"/>
      <c r="CV123" s="199"/>
      <c r="CW123" s="199"/>
      <c r="CX123" s="199"/>
      <c r="CY123" s="199"/>
      <c r="CZ123" s="199"/>
      <c r="DA123" s="199"/>
      <c r="DB123" s="199"/>
    </row>
    <row r="124" spans="2:106" ht="126" hidden="1" x14ac:dyDescent="0.2">
      <c r="B124" s="330"/>
      <c r="C124" s="412"/>
      <c r="D124" s="37"/>
      <c r="E124" s="37"/>
      <c r="F124" s="3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212"/>
      <c r="V124" s="187"/>
      <c r="AB124" s="187"/>
      <c r="AC124" s="187"/>
      <c r="AD124" s="187"/>
      <c r="AE124" s="187"/>
      <c r="AF124" s="187"/>
      <c r="AG124" s="187"/>
      <c r="AH124" s="187"/>
      <c r="AI124" s="187"/>
      <c r="AJ124" s="187"/>
      <c r="AK124" s="187"/>
      <c r="AL124" s="187"/>
      <c r="AM124" s="187"/>
      <c r="AN124" s="187"/>
      <c r="AO124" s="187"/>
      <c r="AP124" s="187"/>
      <c r="AQ124" s="187"/>
      <c r="AR124" s="187"/>
      <c r="AS124" s="187"/>
      <c r="AT124" s="187"/>
      <c r="AU124" s="187"/>
      <c r="AV124" s="187"/>
      <c r="AW124" s="187"/>
      <c r="AX124" s="187"/>
      <c r="AY124" s="187"/>
      <c r="AZ124" s="187"/>
      <c r="BA124" s="187"/>
      <c r="BB124" s="187"/>
      <c r="BC124" s="126"/>
      <c r="BE124" s="136"/>
      <c r="BF124" s="136"/>
      <c r="BG124" s="136"/>
      <c r="BH124" s="136"/>
      <c r="BI124" s="136"/>
      <c r="BJ124" s="136"/>
      <c r="BK124" s="136"/>
      <c r="BL124" s="136"/>
      <c r="BM124" s="402"/>
      <c r="BN124" s="136"/>
      <c r="BO124" s="1091"/>
      <c r="BP124" s="78"/>
      <c r="BQ124" s="199"/>
      <c r="BR124" s="199"/>
      <c r="BS124" s="199"/>
      <c r="BT124" s="199"/>
      <c r="BU124" s="199"/>
      <c r="BV124" s="199"/>
      <c r="BW124" s="199"/>
      <c r="BX124" s="199"/>
      <c r="BY124" s="199"/>
      <c r="BZ124" s="199"/>
      <c r="CA124" s="199"/>
      <c r="CB124" s="199"/>
      <c r="CC124" s="199"/>
      <c r="CD124" s="199"/>
      <c r="CE124" s="199"/>
      <c r="CF124" s="199"/>
      <c r="CG124" s="199"/>
      <c r="CH124" s="199"/>
      <c r="CI124" s="199"/>
      <c r="CJ124" s="199"/>
      <c r="CK124" s="199"/>
      <c r="CL124" s="199"/>
      <c r="CM124" s="199"/>
      <c r="CN124" s="199"/>
      <c r="CO124" s="199"/>
      <c r="CP124" s="199"/>
      <c r="CQ124" s="199"/>
      <c r="CR124" s="199"/>
      <c r="CS124" s="199"/>
      <c r="CT124" s="199"/>
      <c r="CU124" s="199"/>
      <c r="CV124" s="199"/>
      <c r="CW124" s="199"/>
      <c r="CX124" s="199"/>
      <c r="CY124" s="199"/>
      <c r="CZ124" s="199"/>
      <c r="DA124" s="199"/>
      <c r="DB124" s="199"/>
    </row>
    <row r="125" spans="2:106" ht="85" hidden="1" thickBot="1" x14ac:dyDescent="0.25">
      <c r="B125" s="330"/>
      <c r="C125" s="412"/>
      <c r="D125" s="37"/>
      <c r="E125" s="37"/>
      <c r="F125" s="3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212"/>
      <c r="V125" s="187"/>
      <c r="AB125" s="187"/>
      <c r="AC125" s="187"/>
      <c r="AD125" s="187"/>
      <c r="AE125" s="187"/>
      <c r="AF125" s="187"/>
      <c r="AG125" s="187"/>
      <c r="AH125" s="187"/>
      <c r="AI125" s="187"/>
      <c r="AJ125" s="187"/>
      <c r="AK125" s="187"/>
      <c r="AL125" s="187"/>
      <c r="AM125" s="187"/>
      <c r="AN125" s="187"/>
      <c r="AO125" s="187"/>
      <c r="AP125" s="187"/>
      <c r="AQ125" s="187"/>
      <c r="AR125" s="187"/>
      <c r="AS125" s="187"/>
      <c r="AT125" s="187"/>
      <c r="AU125" s="187"/>
      <c r="AV125" s="187"/>
      <c r="AW125" s="187"/>
      <c r="AX125" s="187"/>
      <c r="AY125" s="187"/>
      <c r="AZ125" s="187"/>
      <c r="BA125" s="187"/>
      <c r="BB125" s="187"/>
      <c r="BC125" s="126"/>
      <c r="BE125" s="136"/>
      <c r="BF125" s="136"/>
      <c r="BG125" s="136"/>
      <c r="BH125" s="136"/>
      <c r="BI125" s="136"/>
      <c r="BJ125" s="136"/>
      <c r="BK125" s="136"/>
      <c r="BL125" s="136"/>
      <c r="BM125" s="402"/>
      <c r="BN125" s="136"/>
      <c r="BO125" s="1091"/>
      <c r="BP125" s="78"/>
      <c r="BQ125" s="199"/>
      <c r="BR125" s="199"/>
      <c r="BS125" s="199"/>
      <c r="BT125" s="199"/>
      <c r="BU125" s="199"/>
      <c r="BV125" s="199"/>
      <c r="BW125" s="199"/>
      <c r="BX125" s="199"/>
      <c r="BY125" s="199"/>
      <c r="BZ125" s="199"/>
      <c r="CA125" s="199"/>
      <c r="CB125" s="199"/>
      <c r="CC125" s="199"/>
      <c r="CD125" s="199"/>
      <c r="CE125" s="199"/>
      <c r="CF125" s="199"/>
      <c r="CG125" s="199"/>
      <c r="CH125" s="199"/>
      <c r="CI125" s="199"/>
      <c r="CJ125" s="199"/>
      <c r="CK125" s="199"/>
      <c r="CL125" s="199"/>
      <c r="CM125" s="199"/>
      <c r="CN125" s="199"/>
      <c r="CO125" s="199"/>
      <c r="CP125" s="199"/>
      <c r="CQ125" s="199"/>
      <c r="CR125" s="199"/>
      <c r="CS125" s="199"/>
      <c r="CT125" s="199"/>
      <c r="CU125" s="199"/>
      <c r="CV125" s="199"/>
      <c r="CW125" s="199"/>
      <c r="CX125" s="199"/>
      <c r="CY125" s="199"/>
      <c r="CZ125" s="199"/>
      <c r="DA125" s="199"/>
      <c r="DB125" s="199"/>
    </row>
    <row r="126" spans="2:106" ht="52.5" hidden="1" customHeight="1" thickBot="1" x14ac:dyDescent="0.3">
      <c r="B126" s="330"/>
      <c r="C126" s="412"/>
      <c r="D126" s="37"/>
      <c r="E126" s="37"/>
      <c r="F126" s="37"/>
      <c r="G126" s="998"/>
      <c r="H126" s="1087" t="s">
        <v>265</v>
      </c>
      <c r="I126" s="1080">
        <f>+MIN(K31:L32)</f>
        <v>45.188100861506591</v>
      </c>
      <c r="J126" s="1080">
        <f>+MIN(J37:K38)</f>
        <v>72.300045187528241</v>
      </c>
      <c r="K126" s="1082">
        <f>+MIN(J43:L44)</f>
        <v>72.300045187528241</v>
      </c>
      <c r="L126" s="1083">
        <f>+MIN(J49:L50)</f>
        <v>31.283673398449722</v>
      </c>
      <c r="M126" s="1084">
        <f>+MIN(J55:L56)</f>
        <v>72.300045187528241</v>
      </c>
      <c r="N126"/>
      <c r="O126" s="995"/>
      <c r="U126" s="212"/>
      <c r="V126" s="187"/>
      <c r="AB126" s="187"/>
      <c r="AC126" s="187"/>
      <c r="AD126" s="187"/>
      <c r="AE126" s="187"/>
      <c r="AF126" s="187"/>
      <c r="AG126" s="187"/>
      <c r="AH126" s="187"/>
      <c r="AI126" s="187"/>
      <c r="AJ126" s="187"/>
      <c r="AK126" s="187"/>
      <c r="AL126" s="187"/>
      <c r="AM126" s="187"/>
      <c r="AN126" s="187"/>
      <c r="AO126" s="187"/>
      <c r="AP126" s="187"/>
      <c r="AQ126" s="187"/>
      <c r="AR126" s="187"/>
      <c r="AS126" s="187"/>
      <c r="AT126" s="187"/>
      <c r="AU126" s="187"/>
      <c r="AV126" s="187"/>
      <c r="AW126" s="187"/>
      <c r="AX126" s="187"/>
      <c r="AY126" s="187"/>
      <c r="AZ126" s="187"/>
      <c r="BA126" s="187"/>
      <c r="BB126" s="187"/>
      <c r="BC126" s="126"/>
      <c r="BE126" s="136"/>
      <c r="BF126" s="136"/>
      <c r="BG126" s="136"/>
      <c r="BH126" s="136"/>
      <c r="BI126" s="136"/>
      <c r="BJ126" s="136"/>
      <c r="BK126" s="136"/>
      <c r="BL126" s="136"/>
      <c r="BM126" s="402"/>
      <c r="BN126" s="136"/>
      <c r="BO126" s="1091"/>
      <c r="BP126" s="78"/>
      <c r="BQ126" s="199"/>
      <c r="BR126" s="199"/>
      <c r="BS126" s="199"/>
      <c r="BT126" s="199"/>
      <c r="BU126" s="199"/>
      <c r="BV126" s="199"/>
      <c r="BW126" s="199"/>
      <c r="BX126" s="199"/>
      <c r="BY126" s="199"/>
      <c r="BZ126" s="199"/>
      <c r="CA126" s="199"/>
      <c r="CB126" s="199"/>
      <c r="CC126" s="199"/>
      <c r="CD126" s="199"/>
      <c r="CE126" s="199"/>
      <c r="CF126" s="199"/>
      <c r="CG126" s="199"/>
      <c r="CH126" s="199"/>
      <c r="CI126" s="199"/>
      <c r="CJ126" s="199"/>
      <c r="CK126" s="199"/>
      <c r="CL126" s="199"/>
      <c r="CM126" s="199"/>
      <c r="CN126" s="199"/>
      <c r="CO126" s="199"/>
      <c r="CP126" s="199"/>
      <c r="CQ126" s="199"/>
      <c r="CR126" s="199"/>
      <c r="CS126" s="199"/>
      <c r="CT126" s="199"/>
      <c r="CU126" s="199"/>
      <c r="CV126" s="199"/>
      <c r="CW126" s="199"/>
      <c r="CX126" s="199"/>
      <c r="CY126" s="199"/>
      <c r="CZ126" s="199"/>
      <c r="DA126" s="199"/>
      <c r="DB126" s="199"/>
    </row>
    <row r="127" spans="2:106" ht="20" hidden="1" x14ac:dyDescent="0.2">
      <c r="B127" s="330"/>
      <c r="C127" s="412"/>
      <c r="D127" s="37"/>
      <c r="E127" s="37"/>
      <c r="F127" s="37"/>
      <c r="G127" s="1011"/>
      <c r="H127" s="131"/>
      <c r="I127" s="131"/>
      <c r="J127" s="131"/>
      <c r="K127" s="131"/>
      <c r="L127" s="131"/>
      <c r="M127" s="131"/>
      <c r="N127" s="131"/>
      <c r="O127" s="1012"/>
      <c r="U127" s="212"/>
      <c r="V127" s="187"/>
      <c r="AB127" s="187"/>
      <c r="AC127" s="187"/>
      <c r="AD127" s="187"/>
      <c r="AE127" s="187"/>
      <c r="AF127" s="187"/>
      <c r="AG127" s="187"/>
      <c r="AH127" s="187"/>
      <c r="AI127" s="187"/>
      <c r="AJ127" s="187"/>
      <c r="AK127" s="187"/>
      <c r="AL127" s="187"/>
      <c r="AM127" s="187"/>
      <c r="AN127" s="187"/>
      <c r="AO127" s="187"/>
      <c r="AP127" s="187"/>
      <c r="AQ127" s="187"/>
      <c r="AR127" s="187"/>
      <c r="AS127" s="187"/>
      <c r="AT127" s="187"/>
      <c r="AU127" s="187"/>
      <c r="AV127" s="187"/>
      <c r="AW127" s="187"/>
      <c r="AX127" s="187"/>
      <c r="AY127" s="187"/>
      <c r="AZ127" s="187"/>
      <c r="BA127" s="187"/>
      <c r="BB127" s="187"/>
      <c r="BC127" s="126"/>
      <c r="BE127" s="136"/>
      <c r="BF127" s="136"/>
      <c r="BG127" s="136"/>
      <c r="BH127" s="136"/>
      <c r="BI127" s="136"/>
      <c r="BJ127" s="136"/>
      <c r="BK127" s="136"/>
      <c r="BL127" s="136"/>
      <c r="BM127" s="402"/>
      <c r="BN127" s="136"/>
      <c r="BO127" s="1091"/>
      <c r="BP127" s="78"/>
      <c r="BQ127" s="199"/>
      <c r="BR127" s="199"/>
      <c r="BS127" s="199"/>
      <c r="BT127" s="199"/>
      <c r="BU127" s="199"/>
      <c r="BV127" s="199"/>
      <c r="BW127" s="199"/>
      <c r="BX127" s="199"/>
      <c r="BY127" s="199"/>
      <c r="BZ127" s="199"/>
      <c r="CA127" s="199"/>
      <c r="CB127" s="199"/>
      <c r="CC127" s="199"/>
      <c r="CD127" s="199"/>
      <c r="CE127" s="199"/>
      <c r="CF127" s="199"/>
      <c r="CG127" s="199"/>
      <c r="CH127" s="199"/>
      <c r="CI127" s="199"/>
      <c r="CJ127" s="199"/>
      <c r="CK127" s="199"/>
      <c r="CL127" s="199"/>
      <c r="CM127" s="199"/>
      <c r="CN127" s="199"/>
      <c r="CO127" s="199"/>
      <c r="CP127" s="199"/>
      <c r="CQ127" s="199"/>
      <c r="CR127" s="199"/>
      <c r="CS127" s="199"/>
      <c r="CT127" s="199"/>
      <c r="CU127" s="199"/>
      <c r="CV127" s="199"/>
      <c r="CW127" s="199"/>
      <c r="CX127" s="199"/>
      <c r="CY127" s="199"/>
      <c r="CZ127" s="199"/>
      <c r="DA127" s="199"/>
      <c r="DB127" s="199"/>
    </row>
    <row r="128" spans="2:106" ht="31" hidden="1" thickBot="1" x14ac:dyDescent="0.25">
      <c r="B128" s="330"/>
      <c r="C128" s="412"/>
      <c r="D128" s="37"/>
      <c r="E128" s="37"/>
      <c r="F128" s="37"/>
      <c r="G128" s="998"/>
      <c r="H128" s="201"/>
      <c r="I128" s="201"/>
      <c r="J128" s="201"/>
      <c r="K128" s="201"/>
      <c r="L128" s="201"/>
      <c r="M128" s="201"/>
      <c r="N128" s="201"/>
      <c r="O128" s="1013"/>
      <c r="U128" s="212"/>
      <c r="V128" s="187"/>
      <c r="AB128" s="187"/>
      <c r="AC128" s="187"/>
      <c r="AD128" s="187"/>
      <c r="AE128" s="187"/>
      <c r="AF128" s="187"/>
      <c r="AG128" s="187"/>
      <c r="AH128" s="187"/>
      <c r="AI128" s="187"/>
      <c r="AJ128" s="187"/>
      <c r="AK128" s="187"/>
      <c r="AL128" s="187"/>
      <c r="AM128" s="187"/>
      <c r="AN128" s="187"/>
      <c r="AO128" s="187"/>
      <c r="AP128" s="187"/>
      <c r="AQ128" s="187"/>
      <c r="AR128" s="187"/>
      <c r="AS128" s="187"/>
      <c r="AT128" s="187"/>
      <c r="AU128" s="187"/>
      <c r="AV128" s="187"/>
      <c r="AW128" s="187"/>
      <c r="AX128" s="187"/>
      <c r="AY128" s="187"/>
      <c r="AZ128" s="187"/>
      <c r="BA128" s="187"/>
      <c r="BB128" s="187"/>
      <c r="BC128" s="126"/>
      <c r="BE128" s="136"/>
      <c r="BF128" s="136"/>
      <c r="BG128" s="136"/>
      <c r="BH128" s="136"/>
      <c r="BI128" s="136"/>
      <c r="BJ128" s="136"/>
      <c r="BK128" s="136"/>
      <c r="BL128" s="136"/>
      <c r="BM128" s="402"/>
      <c r="BN128" s="136"/>
      <c r="BO128" s="1091"/>
      <c r="BP128" s="78"/>
      <c r="BQ128" s="199"/>
      <c r="BR128" s="199"/>
      <c r="BS128" s="199"/>
      <c r="BT128" s="199"/>
      <c r="BU128" s="199"/>
      <c r="BV128" s="199"/>
      <c r="BW128" s="199"/>
      <c r="BX128" s="199"/>
      <c r="BY128" s="199"/>
      <c r="BZ128" s="199"/>
      <c r="CA128" s="199"/>
      <c r="CB128" s="199"/>
      <c r="CC128" s="199"/>
      <c r="CD128" s="199"/>
      <c r="CE128" s="199"/>
      <c r="CF128" s="199"/>
      <c r="CG128" s="199"/>
      <c r="CH128" s="199"/>
      <c r="CI128" s="199"/>
      <c r="CJ128" s="199"/>
      <c r="CK128" s="199"/>
      <c r="CL128" s="199"/>
      <c r="CM128" s="199"/>
      <c r="CN128" s="199"/>
      <c r="CO128" s="199"/>
      <c r="CP128" s="199"/>
      <c r="CQ128" s="199"/>
      <c r="CR128" s="199"/>
      <c r="CS128" s="199"/>
      <c r="CT128" s="199"/>
      <c r="CU128" s="199"/>
      <c r="CV128" s="199"/>
      <c r="CW128" s="199"/>
      <c r="CX128" s="199"/>
      <c r="CY128" s="199"/>
      <c r="CZ128" s="199"/>
      <c r="DA128" s="199"/>
      <c r="DB128" s="199"/>
    </row>
    <row r="129" spans="2:142" ht="51.75" customHeight="1" thickBot="1" x14ac:dyDescent="0.25">
      <c r="B129" s="408"/>
      <c r="D129" s="409" t="str">
        <f>IF(BL106&gt;0," ","change the angle of frame or of cabinets")</f>
        <v xml:space="preserve"> </v>
      </c>
      <c r="E129" s="37"/>
      <c r="F129" s="37"/>
      <c r="G129" s="998"/>
      <c r="H129"/>
      <c r="I129"/>
      <c r="J129"/>
      <c r="K129"/>
      <c r="L129"/>
      <c r="M129"/>
      <c r="N129"/>
      <c r="O129" s="995"/>
      <c r="U129" s="212"/>
      <c r="V129" s="187"/>
      <c r="AB129" s="187"/>
      <c r="AC129" s="187"/>
      <c r="AD129" s="187"/>
      <c r="AE129" s="187"/>
      <c r="AF129" s="187"/>
      <c r="AG129" s="187"/>
      <c r="AH129" s="187"/>
      <c r="AI129" s="187"/>
      <c r="AJ129" s="187"/>
      <c r="AK129" s="187"/>
      <c r="AL129" s="187"/>
      <c r="AM129" s="187"/>
      <c r="AN129" s="187"/>
      <c r="AO129" s="187"/>
      <c r="AP129" s="187"/>
      <c r="AQ129" s="187"/>
      <c r="AR129" s="187"/>
      <c r="AS129" s="187"/>
      <c r="AT129" s="187"/>
      <c r="AU129" s="187"/>
      <c r="AV129" s="187"/>
      <c r="AW129" s="187"/>
      <c r="AX129" s="187"/>
      <c r="AY129" s="187"/>
      <c r="AZ129" s="187"/>
      <c r="BA129" s="187"/>
      <c r="BB129" s="187"/>
      <c r="BC129" s="126"/>
      <c r="BE129" s="136"/>
      <c r="BF129" s="136"/>
      <c r="BG129" s="136"/>
      <c r="BH129" s="136"/>
      <c r="BI129" s="136"/>
      <c r="BJ129" s="136"/>
      <c r="BK129" s="136"/>
      <c r="BL129" s="136"/>
      <c r="BM129" s="402"/>
      <c r="BN129" s="136"/>
      <c r="BO129" s="1091"/>
      <c r="BP129" s="78"/>
      <c r="BQ129" s="199"/>
      <c r="BR129" s="199"/>
      <c r="BS129" s="199"/>
      <c r="BT129" s="199"/>
      <c r="BU129" s="199"/>
      <c r="BV129" s="199"/>
      <c r="BW129" s="199"/>
      <c r="BX129" s="199"/>
      <c r="BY129" s="199"/>
      <c r="BZ129" s="199"/>
      <c r="CA129" s="199"/>
      <c r="CB129" s="199"/>
      <c r="CC129" s="199"/>
      <c r="CD129" s="199"/>
      <c r="CE129" s="199"/>
      <c r="CF129" s="199"/>
      <c r="CG129" s="199"/>
      <c r="CH129" s="199"/>
      <c r="CI129" s="199"/>
      <c r="CJ129" s="199"/>
      <c r="CK129" s="199"/>
      <c r="CL129" s="199"/>
      <c r="CM129" s="199"/>
      <c r="CN129" s="199"/>
      <c r="CO129" s="199"/>
      <c r="CP129" s="199"/>
      <c r="CQ129" s="199"/>
      <c r="CR129" s="199"/>
      <c r="CS129" s="199"/>
      <c r="CT129" s="199"/>
      <c r="CU129" s="199"/>
      <c r="CV129" s="199"/>
      <c r="CW129" s="199"/>
      <c r="CX129" s="199"/>
      <c r="CY129" s="199"/>
      <c r="CZ129" s="199"/>
      <c r="DA129" s="199"/>
      <c r="DB129" s="199"/>
    </row>
    <row r="130" spans="2:142" ht="51.75" customHeight="1" thickBot="1" x14ac:dyDescent="0.3">
      <c r="B130" s="1846" t="s">
        <v>116</v>
      </c>
      <c r="D130" s="409" t="str">
        <f>IF(DD106&lt;0," ","change the angle of frame or of cabinets")</f>
        <v xml:space="preserve"> </v>
      </c>
      <c r="E130" s="37"/>
      <c r="F130" s="37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U130" s="212"/>
      <c r="V130" s="187"/>
      <c r="AB130" s="187"/>
      <c r="AC130" s="187"/>
      <c r="AD130" s="187"/>
      <c r="AE130" s="187"/>
      <c r="AF130" s="187"/>
      <c r="AG130" s="187"/>
      <c r="AH130" s="187"/>
      <c r="AI130" s="187"/>
      <c r="AJ130" s="187"/>
      <c r="AK130" s="187"/>
      <c r="AL130" s="187"/>
      <c r="AM130" s="187"/>
      <c r="AN130" s="187"/>
      <c r="AO130" s="187"/>
      <c r="AP130" s="187"/>
      <c r="AQ130" s="187"/>
      <c r="AR130" s="187"/>
      <c r="AS130" s="187"/>
      <c r="AT130" s="187"/>
      <c r="AU130" s="187"/>
      <c r="AV130" s="187"/>
      <c r="AW130" s="187"/>
      <c r="AX130" s="187"/>
      <c r="AY130" s="187"/>
      <c r="AZ130" s="187"/>
      <c r="BA130" s="187"/>
      <c r="BB130" s="187"/>
      <c r="BC130" s="126"/>
      <c r="BE130" s="136"/>
      <c r="BF130" s="136"/>
      <c r="BG130" s="136"/>
      <c r="BH130" s="136"/>
      <c r="BI130" s="136"/>
      <c r="BJ130" s="136"/>
      <c r="BK130" s="136"/>
      <c r="BL130" s="136"/>
      <c r="BM130" s="402"/>
      <c r="BN130" s="136"/>
      <c r="BO130" s="1091"/>
      <c r="BP130" s="78"/>
      <c r="BQ130" s="199"/>
      <c r="BR130" s="199"/>
      <c r="BS130" s="199"/>
      <c r="BT130" s="199"/>
      <c r="BU130" s="199"/>
      <c r="BV130" s="199"/>
      <c r="BW130" s="199"/>
      <c r="BX130" s="199"/>
      <c r="BY130" s="199"/>
      <c r="BZ130" s="199"/>
      <c r="CA130" s="199"/>
      <c r="CB130" s="199"/>
      <c r="CC130" s="199"/>
      <c r="CD130" s="199"/>
      <c r="CE130" s="199"/>
      <c r="CF130" s="199"/>
      <c r="CG130" s="199"/>
      <c r="CH130" s="199"/>
      <c r="CI130" s="199"/>
      <c r="CJ130" s="199"/>
      <c r="CK130" s="199"/>
      <c r="CL130" s="199"/>
      <c r="CM130" s="199"/>
      <c r="CN130" s="199"/>
      <c r="CO130" s="199"/>
      <c r="CP130" s="199"/>
      <c r="CQ130" s="199"/>
      <c r="CR130" s="199"/>
      <c r="CS130" s="199"/>
      <c r="CT130" s="199"/>
      <c r="CU130" s="199"/>
      <c r="CV130" s="199"/>
      <c r="CW130" s="199"/>
      <c r="CX130" s="199"/>
      <c r="CY130" s="199"/>
      <c r="CZ130" s="199"/>
      <c r="DA130" s="199"/>
      <c r="DB130" s="199"/>
    </row>
    <row r="131" spans="2:142" ht="51.75" customHeight="1" thickBot="1" x14ac:dyDescent="0.3">
      <c r="B131" s="1847"/>
      <c r="C131" s="213"/>
      <c r="D131" s="409" t="str">
        <f>IF(BL106&gt;(+COS(($B$132*-1)*3.14159265358979/180)*451.5)," ","USE EXBAR AR AT THE FRONT")</f>
        <v xml:space="preserve"> </v>
      </c>
      <c r="E131" s="37"/>
      <c r="F131" s="37"/>
      <c r="G131" s="1014"/>
      <c r="H131" s="209"/>
      <c r="I131" s="1085">
        <f>COUNTIF(CK100:DA100,"&gt;0")</f>
        <v>1</v>
      </c>
      <c r="J131" s="1085">
        <f>COUNTIF(BQ100:CG100,"&gt;0")</f>
        <v>1</v>
      </c>
      <c r="K131" s="1085" t="b">
        <f>AND(IF(SUM(BQ102:CA102)&gt;0,1,0),IF(CP102="6  ADS ",1,0))</f>
        <v>1</v>
      </c>
      <c r="L131" s="1085" t="b">
        <f>AND(IF(SUM(CQ102:DA102)&gt;0,1,0),IF(CB102="6  ADS ",1,0))</f>
        <v>0</v>
      </c>
      <c r="M131" s="1085" t="b">
        <f>AND(IF(CP102="6  ADS ",1,0),IF(CB102="6  ADS ",1,0))</f>
        <v>0</v>
      </c>
      <c r="N131" s="209"/>
      <c r="O131" s="1015"/>
      <c r="U131" s="212"/>
      <c r="V131" s="187"/>
      <c r="AB131" s="187"/>
      <c r="AC131" s="187"/>
      <c r="AD131" s="187"/>
      <c r="AE131" s="187"/>
      <c r="AF131" s="187"/>
      <c r="AG131" s="187"/>
      <c r="AH131" s="187"/>
      <c r="AI131" s="187"/>
      <c r="AJ131" s="187"/>
      <c r="AK131" s="187"/>
      <c r="AL131" s="187"/>
      <c r="AM131" s="187"/>
      <c r="AN131" s="187"/>
      <c r="AO131" s="187"/>
      <c r="AP131" s="187"/>
      <c r="AQ131" s="187"/>
      <c r="AR131" s="187"/>
      <c r="AS131" s="187"/>
      <c r="AT131" s="187"/>
      <c r="AU131" s="187"/>
      <c r="AV131" s="187"/>
      <c r="AW131" s="187"/>
      <c r="AX131" s="187"/>
      <c r="AY131" s="187"/>
      <c r="AZ131" s="187"/>
      <c r="BA131" s="187"/>
      <c r="BB131" s="187"/>
      <c r="BC131" s="126"/>
      <c r="BE131" s="136"/>
      <c r="BF131" s="136"/>
      <c r="BG131" s="136"/>
      <c r="BH131" s="136"/>
      <c r="BI131" s="136"/>
      <c r="BJ131" s="136"/>
      <c r="BK131" s="136"/>
      <c r="BL131" s="136"/>
      <c r="BM131" s="402"/>
      <c r="BN131" s="136"/>
      <c r="BO131" s="1091"/>
      <c r="BP131" s="78"/>
      <c r="BQ131" s="199"/>
      <c r="BR131" s="199"/>
      <c r="BS131" s="199"/>
      <c r="BT131" s="199"/>
      <c r="BU131" s="199"/>
      <c r="BV131" s="199"/>
      <c r="BW131" s="199"/>
      <c r="BX131" s="199"/>
      <c r="BY131" s="199"/>
      <c r="BZ131" s="199"/>
      <c r="CA131" s="199"/>
      <c r="CB131" s="199"/>
      <c r="CC131" s="199"/>
      <c r="CD131" s="199"/>
      <c r="CE131" s="199"/>
      <c r="CF131" s="199"/>
      <c r="CG131" s="199"/>
      <c r="CH131" s="199"/>
      <c r="CI131" s="199"/>
      <c r="CJ131" s="199"/>
      <c r="CK131" s="199"/>
      <c r="CL131" s="199"/>
      <c r="CM131" s="199"/>
      <c r="CN131" s="199"/>
      <c r="CO131" s="199"/>
      <c r="CP131" s="199"/>
      <c r="CQ131" s="199"/>
      <c r="CR131" s="199"/>
      <c r="CS131" s="199"/>
      <c r="CT131" s="199"/>
      <c r="CU131" s="199"/>
      <c r="CV131" s="199"/>
      <c r="CW131" s="199"/>
      <c r="CX131" s="199"/>
      <c r="CY131" s="199"/>
      <c r="CZ131" s="199"/>
      <c r="DA131" s="199"/>
      <c r="DB131" s="199"/>
    </row>
    <row r="132" spans="2:142" ht="51.75" customHeight="1" thickBot="1" x14ac:dyDescent="0.3">
      <c r="B132" s="4">
        <v>0</v>
      </c>
      <c r="C132" s="213"/>
      <c r="D132" s="341" t="str">
        <f>IF(DD106&lt;-(+COS(($B$132*-1)*3.14159265358979/180)*365.5)," ","USE EXBAR AR AT THE BACK")</f>
        <v xml:space="preserve"> </v>
      </c>
      <c r="E132" s="37"/>
      <c r="F132" s="37"/>
      <c r="G132" s="1016"/>
      <c r="H132" s="1017"/>
      <c r="I132" s="1086">
        <f>IF(I131=2,I126,0)</f>
        <v>0</v>
      </c>
      <c r="J132" s="1086">
        <f>IF(J131=2,J126,0)</f>
        <v>0</v>
      </c>
      <c r="K132" s="1086">
        <f t="shared" ref="K132:M132" si="3">IF(K131=TRUE,K126,0)</f>
        <v>72.300045187528241</v>
      </c>
      <c r="L132" s="1086">
        <f t="shared" si="3"/>
        <v>0</v>
      </c>
      <c r="M132" s="1086">
        <f t="shared" si="3"/>
        <v>0</v>
      </c>
      <c r="N132" s="1017"/>
      <c r="O132" s="1018"/>
      <c r="U132" s="212"/>
      <c r="V132" s="187"/>
      <c r="AB132" s="187"/>
      <c r="AC132" s="187"/>
      <c r="AD132" s="187"/>
      <c r="AE132" s="187"/>
      <c r="AF132" s="187"/>
      <c r="AG132" s="187"/>
      <c r="AH132" s="187"/>
      <c r="AI132" s="187"/>
      <c r="AJ132" s="187"/>
      <c r="AK132" s="187"/>
      <c r="AL132" s="187"/>
      <c r="AM132" s="187"/>
      <c r="AN132" s="187"/>
      <c r="AO132" s="187"/>
      <c r="AP132" s="187"/>
      <c r="AQ132" s="187"/>
      <c r="AR132" s="187"/>
      <c r="AS132" s="187"/>
      <c r="AT132" s="187"/>
      <c r="AU132" s="187"/>
      <c r="AV132" s="187"/>
      <c r="AW132" s="187"/>
      <c r="AX132" s="187"/>
      <c r="AY132" s="187"/>
      <c r="AZ132" s="187"/>
      <c r="BA132" s="187"/>
      <c r="BB132" s="187"/>
      <c r="BC132" s="126"/>
      <c r="BE132" s="136"/>
      <c r="BF132" s="136"/>
      <c r="BG132" s="136"/>
      <c r="BH132" s="136"/>
      <c r="BI132" s="136"/>
      <c r="BJ132" s="136"/>
      <c r="BK132" s="136"/>
      <c r="BL132" s="136"/>
      <c r="BM132" s="402"/>
      <c r="BN132" s="136"/>
      <c r="BO132" s="1091"/>
      <c r="BP132" s="78"/>
      <c r="BQ132" s="199"/>
      <c r="BR132" s="199"/>
      <c r="BS132" s="199"/>
      <c r="BT132" s="199"/>
      <c r="BU132" s="199"/>
      <c r="BV132" s="199"/>
      <c r="BW132" s="199"/>
      <c r="BX132" s="199"/>
      <c r="BY132" s="199"/>
      <c r="BZ132" s="199"/>
      <c r="CA132" s="199"/>
      <c r="CB132" s="199"/>
      <c r="CC132" s="199"/>
      <c r="CD132" s="199"/>
      <c r="CE132" s="199"/>
      <c r="CF132" s="199"/>
      <c r="CG132" s="199"/>
      <c r="CH132" s="199"/>
      <c r="CI132" s="199"/>
      <c r="CJ132" s="199"/>
      <c r="CK132" s="199"/>
      <c r="CL132" s="199"/>
      <c r="CM132" s="199"/>
      <c r="CN132" s="199"/>
      <c r="CO132" s="199"/>
      <c r="CP132" s="199"/>
      <c r="CQ132" s="199"/>
      <c r="CR132" s="199"/>
      <c r="CS132" s="199"/>
      <c r="CT132" s="199"/>
      <c r="CU132" s="199"/>
      <c r="CV132" s="199"/>
      <c r="CW132" s="199"/>
      <c r="CX132" s="199"/>
      <c r="CY132" s="199"/>
      <c r="CZ132" s="199"/>
      <c r="DA132" s="199"/>
      <c r="DB132" s="199"/>
    </row>
    <row r="133" spans="2:142" ht="21" hidden="1" thickBot="1" x14ac:dyDescent="0.25">
      <c r="B133" s="713"/>
      <c r="C133" s="714"/>
      <c r="D133" s="37"/>
      <c r="E133" s="37"/>
      <c r="F133" s="37"/>
      <c r="G133" s="37"/>
      <c r="U133" s="212"/>
      <c r="V133" s="187"/>
      <c r="AB133" s="187"/>
      <c r="AC133" s="187"/>
      <c r="AD133" s="187"/>
      <c r="AE133" s="187"/>
      <c r="AF133" s="187"/>
      <c r="AG133" s="187"/>
      <c r="AH133" s="187"/>
      <c r="AI133" s="187"/>
      <c r="AJ133" s="187"/>
      <c r="AK133" s="187"/>
      <c r="AL133" s="187"/>
      <c r="AM133" s="187"/>
      <c r="AN133" s="187"/>
      <c r="AO133" s="187"/>
      <c r="AP133" s="187"/>
      <c r="AQ133" s="187"/>
      <c r="AR133" s="187"/>
      <c r="AS133" s="187"/>
      <c r="AT133" s="187"/>
      <c r="AU133" s="187"/>
      <c r="AV133" s="187"/>
      <c r="AW133" s="187"/>
      <c r="AX133" s="187"/>
      <c r="AY133" s="187"/>
      <c r="AZ133" s="187"/>
      <c r="BA133" s="187"/>
      <c r="BB133" s="187"/>
      <c r="BC133" s="126"/>
      <c r="BE133" s="136"/>
      <c r="BF133" s="136"/>
      <c r="BG133" s="136"/>
      <c r="BH133" s="136"/>
      <c r="BI133" s="136"/>
      <c r="BJ133" s="136"/>
      <c r="BK133" s="136"/>
      <c r="BL133" s="136"/>
      <c r="BM133" s="402"/>
      <c r="BN133" s="136"/>
      <c r="BO133" s="1091"/>
      <c r="BP133" s="78"/>
      <c r="BQ133" s="199"/>
      <c r="BR133" s="199"/>
      <c r="BS133" s="199"/>
      <c r="BT133" s="199"/>
      <c r="BU133" s="199"/>
      <c r="BV133" s="199"/>
      <c r="BW133" s="199"/>
      <c r="BX133" s="199"/>
      <c r="BY133" s="199"/>
      <c r="BZ133" s="199"/>
      <c r="CA133" s="199"/>
      <c r="CB133" s="199"/>
      <c r="CC133" s="199"/>
      <c r="CD133" s="199"/>
      <c r="CE133" s="199"/>
      <c r="CF133" s="199"/>
      <c r="CG133" s="199"/>
      <c r="CH133" s="199"/>
      <c r="CI133" s="199"/>
      <c r="CJ133" s="199"/>
      <c r="CK133" s="199"/>
      <c r="CL133" s="199"/>
      <c r="CM133" s="199"/>
      <c r="CN133" s="199"/>
      <c r="CO133" s="199"/>
      <c r="CP133" s="199"/>
      <c r="CQ133" s="199"/>
      <c r="CR133" s="199"/>
      <c r="CS133" s="199"/>
      <c r="CT133" s="199"/>
      <c r="CU133" s="199"/>
      <c r="CV133" s="199"/>
      <c r="CW133" s="199"/>
      <c r="CX133" s="199"/>
      <c r="CY133" s="199"/>
      <c r="CZ133" s="199"/>
      <c r="DA133" s="199"/>
      <c r="DB133" s="199"/>
    </row>
    <row r="134" spans="2:142" ht="41.25" hidden="1" customHeight="1" thickBot="1" x14ac:dyDescent="0.35">
      <c r="B134"/>
      <c r="D134" s="543"/>
      <c r="E134" s="543"/>
      <c r="F134" s="543"/>
      <c r="G134" s="543"/>
      <c r="V134" s="437"/>
      <c r="W134" s="437"/>
      <c r="X134" s="437"/>
      <c r="Y134" s="437"/>
      <c r="Z134" s="437"/>
      <c r="AA134" s="437"/>
      <c r="AB134" s="464"/>
      <c r="AC134" s="464"/>
      <c r="AD134" s="464"/>
      <c r="AE134" s="464"/>
      <c r="AF134" s="437"/>
      <c r="AG134" s="437"/>
      <c r="AH134" s="546"/>
      <c r="AI134" s="547"/>
      <c r="AJ134" s="543"/>
      <c r="AK134" s="415"/>
      <c r="AL134" s="292"/>
      <c r="AM134" s="543"/>
      <c r="AN134" s="415"/>
      <c r="AO134" s="292"/>
      <c r="AP134" s="445"/>
      <c r="AQ134" s="292"/>
      <c r="AR134" s="445"/>
      <c r="AS134" s="445"/>
      <c r="AT134" s="445"/>
      <c r="AU134" s="445"/>
      <c r="AV134" s="445"/>
      <c r="AW134" s="445"/>
      <c r="AX134" s="445"/>
      <c r="AY134" s="544"/>
      <c r="AZ134" s="544"/>
      <c r="BA134" s="544"/>
      <c r="BB134" s="544"/>
      <c r="BD134" s="545"/>
      <c r="BM134" s="214"/>
      <c r="BN134" s="214"/>
      <c r="BO134" s="214"/>
    </row>
    <row r="135" spans="2:142" ht="47.25" hidden="1" customHeight="1" thickBot="1" x14ac:dyDescent="0.35">
      <c r="B135"/>
      <c r="C135"/>
      <c r="D135" s="543"/>
      <c r="E135" s="543"/>
      <c r="F135" s="543"/>
      <c r="G135" s="543"/>
      <c r="V135" s="437"/>
      <c r="W135" s="437"/>
      <c r="X135" s="437"/>
      <c r="Y135" s="437"/>
      <c r="Z135" s="437"/>
      <c r="AA135" s="437"/>
      <c r="AB135" s="464"/>
      <c r="AC135" s="464"/>
      <c r="AD135" s="464"/>
      <c r="AE135" s="464"/>
      <c r="AF135" s="437"/>
      <c r="AG135" s="437"/>
      <c r="AH135" s="437"/>
      <c r="AI135" s="437"/>
      <c r="AJ135" s="543"/>
      <c r="AK135" s="415"/>
      <c r="AL135" s="292"/>
      <c r="AM135" s="543"/>
      <c r="AN135" s="415"/>
      <c r="AO135" s="292"/>
      <c r="AP135" s="445"/>
      <c r="AQ135" s="292"/>
      <c r="AR135" s="445"/>
      <c r="AS135" s="445"/>
      <c r="AT135" s="445"/>
      <c r="AU135" s="445"/>
      <c r="AV135" s="445"/>
      <c r="AW135" s="445"/>
      <c r="AX135" s="445"/>
      <c r="AY135" s="544"/>
      <c r="AZ135" s="544"/>
      <c r="BA135" s="544"/>
      <c r="BB135" s="544"/>
      <c r="BD135" s="545"/>
      <c r="BM135" s="214"/>
      <c r="BN135" s="214"/>
      <c r="BO135" s="214"/>
    </row>
    <row r="136" spans="2:142" ht="128" hidden="1" x14ac:dyDescent="0.3">
      <c r="B136"/>
      <c r="D136" s="543"/>
      <c r="E136" s="543"/>
      <c r="F136" s="543"/>
      <c r="G136" s="543"/>
      <c r="V136" s="437"/>
      <c r="W136" s="437"/>
      <c r="X136" s="437"/>
      <c r="Y136" s="437"/>
      <c r="Z136" s="437"/>
      <c r="AA136" s="437"/>
      <c r="AB136" s="464"/>
      <c r="AC136" s="464"/>
      <c r="AD136" s="464"/>
      <c r="AE136" s="464"/>
      <c r="AF136" s="437"/>
      <c r="AG136" s="437"/>
      <c r="AH136" s="437"/>
      <c r="AI136" s="437"/>
      <c r="AJ136" s="543"/>
      <c r="AK136" s="415"/>
      <c r="AL136" s="797" t="s">
        <v>174</v>
      </c>
      <c r="AM136" s="794"/>
      <c r="AN136" s="794"/>
      <c r="AO136" s="794"/>
      <c r="AP136" s="876" t="s">
        <v>178</v>
      </c>
      <c r="AQ136" s="292"/>
      <c r="AR136" s="445"/>
      <c r="AS136" s="445"/>
      <c r="AT136" s="445"/>
      <c r="AU136" s="445"/>
      <c r="AV136" s="445"/>
      <c r="AW136" s="445"/>
      <c r="AX136" s="445"/>
      <c r="AY136" s="544"/>
      <c r="AZ136" s="544"/>
      <c r="BA136" s="544"/>
      <c r="BB136" s="544"/>
      <c r="BD136" s="545"/>
      <c r="BM136" s="214"/>
      <c r="BN136" s="214"/>
      <c r="BO136" s="214"/>
    </row>
    <row r="137" spans="2:142" ht="23.25" customHeight="1" thickBot="1" x14ac:dyDescent="0.35">
      <c r="D137" s="543"/>
      <c r="E137" s="543"/>
      <c r="F137" s="543"/>
      <c r="G137" s="543"/>
      <c r="V137" s="437"/>
      <c r="W137" s="437"/>
      <c r="X137" s="437"/>
      <c r="Y137" s="437"/>
      <c r="Z137" s="437"/>
      <c r="AA137" s="437"/>
      <c r="AB137" s="464"/>
      <c r="AC137" s="464"/>
      <c r="AD137" s="464"/>
      <c r="AE137" s="464"/>
      <c r="AF137" s="437"/>
      <c r="AG137" s="437"/>
      <c r="AH137" s="437"/>
      <c r="AI137" s="437"/>
      <c r="AJ137" s="543"/>
      <c r="AK137" s="415"/>
      <c r="AL137" s="877" t="s">
        <v>175</v>
      </c>
      <c r="AM137" s="797" t="s">
        <v>176</v>
      </c>
      <c r="AN137" s="797" t="s">
        <v>177</v>
      </c>
      <c r="AO137" s="798" t="s">
        <v>181</v>
      </c>
      <c r="AP137" s="799" t="s">
        <v>179</v>
      </c>
      <c r="AQ137" s="292"/>
      <c r="AR137" s="445"/>
      <c r="AS137" s="445"/>
      <c r="AT137" s="445"/>
      <c r="AU137" s="445"/>
      <c r="AV137" s="445"/>
      <c r="AW137" s="445"/>
      <c r="AX137" s="445"/>
      <c r="AY137" s="544"/>
      <c r="AZ137" s="544"/>
      <c r="BA137" s="544"/>
      <c r="BB137" s="544"/>
      <c r="BD137" s="545"/>
      <c r="BM137" s="214"/>
      <c r="BN137" s="214"/>
      <c r="BO137" s="214"/>
    </row>
    <row r="138" spans="2:142" ht="77.25" customHeight="1" thickBot="1" x14ac:dyDescent="0.35">
      <c r="B138" s="345" t="s">
        <v>30</v>
      </c>
      <c r="C138" s="412"/>
      <c r="D138" s="37"/>
      <c r="E138" s="37"/>
      <c r="F138" s="37"/>
      <c r="G138" s="37"/>
      <c r="T138" s="187"/>
      <c r="AL138" s="877">
        <v>6.8623010000000004</v>
      </c>
      <c r="AM138" s="797">
        <f>+$B$132-AL138</f>
        <v>-6.8623010000000004</v>
      </c>
      <c r="AN138" s="800">
        <f>COS(AM138*3.14159265358979/180)</f>
        <v>0.99283617366519983</v>
      </c>
      <c r="AO138" s="793">
        <f>+AN138*378.71303</f>
        <v>375.99999562235405</v>
      </c>
      <c r="AP138" s="801">
        <f>+((AP142*(AR142-31))+(AO138*31)+(AP160*31))/(AR142+31)</f>
        <v>262.50491772966836</v>
      </c>
      <c r="AQ138" s="1100" t="s">
        <v>266</v>
      </c>
      <c r="BD138" s="136"/>
      <c r="BM138" s="214"/>
      <c r="BN138" s="214"/>
      <c r="BO138" s="214"/>
      <c r="EK138" s="78"/>
      <c r="EL138" s="78"/>
    </row>
    <row r="139" spans="2:142" ht="37.5" customHeight="1" thickBot="1" x14ac:dyDescent="0.35">
      <c r="B139" s="27">
        <v>1</v>
      </c>
      <c r="C139" s="216"/>
      <c r="D139" s="549" t="s">
        <v>65</v>
      </c>
      <c r="E139" s="330"/>
      <c r="F139" s="330"/>
      <c r="G139" s="330"/>
      <c r="H139" s="342" t="s">
        <v>87</v>
      </c>
      <c r="I139" s="342" t="s">
        <v>88</v>
      </c>
      <c r="J139" s="342" t="s">
        <v>89</v>
      </c>
      <c r="K139"/>
      <c r="L139"/>
      <c r="M139"/>
      <c r="N139"/>
      <c r="O139"/>
      <c r="P139" s="342" t="s">
        <v>90</v>
      </c>
      <c r="Q139" s="342" t="s">
        <v>91</v>
      </c>
      <c r="R139" s="330"/>
      <c r="S139" s="342" t="s">
        <v>92</v>
      </c>
      <c r="T139" s="414"/>
      <c r="W139" s="1850" t="s">
        <v>93</v>
      </c>
      <c r="X139" s="1850"/>
      <c r="Y139" s="1850"/>
      <c r="Z139" s="1850"/>
      <c r="AA139" s="1850"/>
      <c r="AZ139" s="415"/>
      <c r="BA139" s="1848" t="s">
        <v>52</v>
      </c>
      <c r="BB139" s="1849"/>
      <c r="BD139" s="136"/>
      <c r="BM139" s="214"/>
      <c r="BN139" s="214"/>
      <c r="BO139" s="214"/>
      <c r="EK139" s="78"/>
      <c r="EL139" s="78"/>
    </row>
    <row r="140" spans="2:142" ht="60" hidden="1" thickBot="1" x14ac:dyDescent="0.35">
      <c r="C140" s="416"/>
      <c r="D140" s="550" t="s">
        <v>13</v>
      </c>
      <c r="H140" s="356" t="s">
        <v>4</v>
      </c>
      <c r="I140" s="356" t="s">
        <v>1</v>
      </c>
      <c r="J140" s="377" t="s">
        <v>73</v>
      </c>
      <c r="K140" s="316" t="s">
        <v>2</v>
      </c>
      <c r="L140" s="316" t="s">
        <v>3</v>
      </c>
      <c r="M140" s="316" t="s">
        <v>8</v>
      </c>
      <c r="N140" s="316" t="s">
        <v>5</v>
      </c>
      <c r="O140" s="316" t="s">
        <v>6</v>
      </c>
      <c r="P140" s="316" t="s">
        <v>7</v>
      </c>
      <c r="Q140" s="316" t="s">
        <v>9</v>
      </c>
      <c r="R140" s="356" t="s">
        <v>10</v>
      </c>
      <c r="S140" s="316" t="s">
        <v>11</v>
      </c>
      <c r="T140" s="418" t="s">
        <v>12</v>
      </c>
      <c r="W140" s="356" t="s">
        <v>97</v>
      </c>
      <c r="X140" s="316" t="s">
        <v>94</v>
      </c>
      <c r="Y140" s="356" t="s">
        <v>98</v>
      </c>
      <c r="Z140" s="419" t="s">
        <v>95</v>
      </c>
      <c r="AA140" s="419" t="s">
        <v>96</v>
      </c>
      <c r="AC140" s="316" t="s">
        <v>99</v>
      </c>
      <c r="AD140" s="316"/>
      <c r="AE140" s="316"/>
      <c r="AF140" s="420"/>
      <c r="AG140" s="420"/>
      <c r="AH140" s="420"/>
      <c r="AI140" s="420"/>
      <c r="AJ140" s="420"/>
      <c r="AK140" s="420"/>
      <c r="AL140" s="420"/>
      <c r="AM140" s="420"/>
      <c r="AN140" s="420"/>
      <c r="AO140" s="420"/>
      <c r="AP140" s="420" t="s">
        <v>135</v>
      </c>
      <c r="AQ140" s="420"/>
      <c r="AR140" s="420" t="s">
        <v>135</v>
      </c>
      <c r="AS140" s="420"/>
      <c r="AT140" s="420"/>
      <c r="AU140" s="420" t="s">
        <v>135</v>
      </c>
      <c r="AV140" s="420"/>
      <c r="AW140" s="420"/>
      <c r="AX140" s="420"/>
      <c r="AY140" s="415"/>
      <c r="AZ140" s="415"/>
      <c r="BA140" s="420"/>
      <c r="BB140" s="420"/>
      <c r="BC140" s="231"/>
      <c r="BD140" s="136"/>
      <c r="BM140" s="214"/>
      <c r="BN140" s="214"/>
      <c r="BO140" s="214"/>
      <c r="EK140" s="78"/>
      <c r="EL140" s="78"/>
    </row>
    <row r="141" spans="2:142" ht="34.5" customHeight="1" thickBot="1" x14ac:dyDescent="0.35">
      <c r="B141" s="421"/>
      <c r="C141" s="422"/>
      <c r="D141" s="551" t="s">
        <v>22</v>
      </c>
      <c r="E141" s="37"/>
      <c r="F141" s="330"/>
      <c r="G141" s="240"/>
      <c r="H141" s="356"/>
      <c r="I141" s="356"/>
      <c r="J141" s="377"/>
      <c r="K141" s="316"/>
      <c r="L141" s="316"/>
      <c r="M141" s="316"/>
      <c r="N141" s="316"/>
      <c r="O141" s="316"/>
      <c r="P141" s="316"/>
      <c r="Q141" s="316"/>
      <c r="R141" s="356"/>
      <c r="S141" s="316"/>
      <c r="T141" s="418"/>
      <c r="V141" s="420"/>
      <c r="W141" s="420"/>
      <c r="X141" s="420"/>
      <c r="Y141" s="420"/>
      <c r="Z141" s="420"/>
      <c r="AA141" s="420"/>
      <c r="AB141" s="420"/>
      <c r="AC141" s="423">
        <f>SUM(AC142:AC153)</f>
        <v>343.49989132317432</v>
      </c>
      <c r="AD141" s="424"/>
      <c r="AE141" s="424"/>
      <c r="AF141" s="420" t="s">
        <v>38</v>
      </c>
      <c r="AH141" s="425" t="s">
        <v>31</v>
      </c>
      <c r="AI141" s="425"/>
      <c r="AJ141" s="367" t="s">
        <v>67</v>
      </c>
      <c r="AK141" s="426" t="s">
        <v>32</v>
      </c>
      <c r="AL141" s="367" t="s">
        <v>33</v>
      </c>
      <c r="AM141" s="368" t="s">
        <v>68</v>
      </c>
      <c r="AN141" s="427" t="s">
        <v>34</v>
      </c>
      <c r="AO141" s="367" t="s">
        <v>35</v>
      </c>
      <c r="AP141" s="428" t="s">
        <v>48</v>
      </c>
      <c r="AQ141" s="367" t="s">
        <v>154</v>
      </c>
      <c r="AR141" s="428" t="s">
        <v>155</v>
      </c>
      <c r="AS141" s="420" t="s">
        <v>46</v>
      </c>
      <c r="AT141" s="420" t="s">
        <v>72</v>
      </c>
      <c r="AU141" s="428" t="s">
        <v>71</v>
      </c>
      <c r="AV141" s="553"/>
      <c r="AW141" s="429" t="s">
        <v>41</v>
      </c>
      <c r="AX141" s="429" t="s">
        <v>42</v>
      </c>
      <c r="AY141" s="430" t="s">
        <v>23</v>
      </c>
      <c r="AZ141" s="430" t="s">
        <v>24</v>
      </c>
      <c r="BA141" s="431" t="s">
        <v>23</v>
      </c>
      <c r="BB141" s="431" t="s">
        <v>24</v>
      </c>
      <c r="BD141" s="136"/>
      <c r="BM141" s="214"/>
      <c r="BN141" s="214"/>
      <c r="BO141" s="214"/>
      <c r="EK141" s="78"/>
      <c r="EL141" s="78"/>
    </row>
    <row r="142" spans="2:142" ht="23" thickBot="1" x14ac:dyDescent="0.35">
      <c r="B142" s="735">
        <v>1</v>
      </c>
      <c r="C142" s="715">
        <f>+(B132*-1)+D142</f>
        <v>0</v>
      </c>
      <c r="D142" s="25">
        <v>0</v>
      </c>
      <c r="E142" s="257" t="s">
        <v>80</v>
      </c>
      <c r="F142" s="258"/>
      <c r="G142" s="258"/>
      <c r="H142" s="342">
        <v>421.92079999999999</v>
      </c>
      <c r="I142" s="342">
        <v>35.4982179</v>
      </c>
      <c r="J142" s="342">
        <f>+I142-C142</f>
        <v>35.4982179</v>
      </c>
      <c r="K142" s="280"/>
      <c r="L142" s="280"/>
      <c r="M142" s="280"/>
      <c r="N142" s="280"/>
      <c r="O142" s="280"/>
      <c r="P142" s="342">
        <f>COS(J142*3.14159265358979/180)</f>
        <v>0.81413357986421708</v>
      </c>
      <c r="Q142" s="342">
        <f>+P142*H142</f>
        <v>343.49989132317432</v>
      </c>
      <c r="R142" s="433">
        <v>343.5</v>
      </c>
      <c r="S142" s="342">
        <f>+Q142</f>
        <v>343.49989132317432</v>
      </c>
      <c r="T142" s="258">
        <f t="shared" ref="T142:T153" si="4">+S142</f>
        <v>343.49989132317432</v>
      </c>
      <c r="U142" s="258"/>
      <c r="V142" s="258">
        <f t="shared" ref="V142:V153" si="5">IF(B142&lt;($B$139+1),T142,0)</f>
        <v>343.49989132317432</v>
      </c>
      <c r="W142" s="433">
        <v>35.4982179</v>
      </c>
      <c r="X142" s="419">
        <f>+W142+AI155</f>
        <v>35.4982179</v>
      </c>
      <c r="Y142" s="356">
        <v>421.92079999999999</v>
      </c>
      <c r="Z142" s="419">
        <f>+COS(X142*3.14159265358979/180)*Y142</f>
        <v>343.49989132317432</v>
      </c>
      <c r="AA142" s="716">
        <f>+AC141-Z142</f>
        <v>0</v>
      </c>
      <c r="AB142" s="258"/>
      <c r="AC142" s="514">
        <f>IF(AD142=1,AF142)</f>
        <v>343.49989132317432</v>
      </c>
      <c r="AD142" s="514">
        <f t="shared" ref="AD142:AD153" si="6">MAX(AE$142:AE$153)</f>
        <v>1</v>
      </c>
      <c r="AE142" s="514">
        <f>IF(V142=0,0,1)</f>
        <v>1</v>
      </c>
      <c r="AF142" s="437">
        <f>SUM(V142:V153)/($B$139)</f>
        <v>343.49989132317432</v>
      </c>
      <c r="AH142" s="450">
        <f>+D142+C142</f>
        <v>0</v>
      </c>
      <c r="AI142" s="717">
        <f t="shared" ref="AI142:AI153" si="7">IF(B142&lt;($B$139+1),AH142)</f>
        <v>0</v>
      </c>
      <c r="AJ142" s="380">
        <f>54.5017821+AH142</f>
        <v>54.5017821</v>
      </c>
      <c r="AK142" s="718">
        <f>SIN(AJ142*3.14159265358979/180)</f>
        <v>0.81413357986421619</v>
      </c>
      <c r="AL142" s="380">
        <f>+AK142*421.92</f>
        <v>343.49924001631013</v>
      </c>
      <c r="AM142" s="380">
        <f>58.7344156-AH142</f>
        <v>58.734415599999998</v>
      </c>
      <c r="AN142" s="442">
        <f>SIN(AM142*3.14159265358979/180)</f>
        <v>0.85477073319485097</v>
      </c>
      <c r="AO142" s="382">
        <f>+AN142*472.06</f>
        <v>403.50307231196138</v>
      </c>
      <c r="AP142" s="519">
        <f t="shared" ref="AP142:AP153" si="8">+((AF142*AQ142)+($AG$164*$AQ$164)+($AQ$196*$AG$196))/AR142</f>
        <v>205.89433985881948</v>
      </c>
      <c r="AQ142" s="382">
        <f>57*B139</f>
        <v>57</v>
      </c>
      <c r="AR142" s="519">
        <f>+AQ142+$AQ$196+$AQ$164+31+1.3</f>
        <v>155.30000000000001</v>
      </c>
      <c r="AS142" s="444">
        <f>+AO142+AL142</f>
        <v>747.0023123282715</v>
      </c>
      <c r="AT142" s="445">
        <f>+V142-AL142</f>
        <v>6.5130686419934136E-4</v>
      </c>
      <c r="AU142" s="446">
        <f>+AP142-AT142</f>
        <v>205.89368855195528</v>
      </c>
      <c r="AV142" s="719"/>
      <c r="AW142" s="447">
        <f>+((AS142-AU142)/AS142)*AR142</f>
        <v>112.49519296739868</v>
      </c>
      <c r="AX142" s="447">
        <f>+(AU142/AS142)*AR142</f>
        <v>42.804807032601339</v>
      </c>
      <c r="AY142" s="448">
        <f>2*$C$21/AW142</f>
        <v>103.11551715246803</v>
      </c>
      <c r="AZ142" s="448">
        <f>2*$D$21/AX142</f>
        <v>270.99760060044463</v>
      </c>
      <c r="BA142" s="451">
        <f>ABS(AY142)</f>
        <v>103.11551715246803</v>
      </c>
      <c r="BB142" s="451">
        <f>ABS(AZ142)</f>
        <v>270.99760060044463</v>
      </c>
      <c r="BC142" s="91"/>
      <c r="BD142" s="136"/>
      <c r="BM142" s="214"/>
      <c r="BN142" s="214"/>
      <c r="BO142" s="214"/>
      <c r="EK142" s="78"/>
      <c r="EL142" s="78"/>
    </row>
    <row r="143" spans="2:142" ht="23" thickBot="1" x14ac:dyDescent="0.35">
      <c r="B143" s="735">
        <v>2</v>
      </c>
      <c r="C143" s="278"/>
      <c r="D143" s="25">
        <v>0</v>
      </c>
      <c r="E143" s="257" t="s">
        <v>80</v>
      </c>
      <c r="F143" s="258"/>
      <c r="G143" s="258"/>
      <c r="H143" s="5">
        <v>479.77208100000001</v>
      </c>
      <c r="I143" s="5">
        <v>61.416098300000002</v>
      </c>
      <c r="J143" s="258">
        <f>+I143+D143</f>
        <v>61.416098300000002</v>
      </c>
      <c r="K143" s="258">
        <f t="shared" ref="K143:K153" si="9">+J143/2</f>
        <v>30.708049150000001</v>
      </c>
      <c r="L143" s="258">
        <f t="shared" ref="L143:L153" si="10">SIN(K143*3.14159265358979/180)</f>
        <v>0.51066370850547771</v>
      </c>
      <c r="M143" s="258">
        <f t="shared" ref="M143:M153" si="11">+L143*H143</f>
        <v>245.00219012085046</v>
      </c>
      <c r="N143" s="258">
        <f t="shared" ref="N143:N153" si="12">+M143*2</f>
        <v>490.00438024170091</v>
      </c>
      <c r="O143" s="258">
        <f>+C142+(D143/2)</f>
        <v>0</v>
      </c>
      <c r="P143" s="258">
        <f t="shared" ref="P143:P153" si="13">SIN(O143*3.14159265358979/180)</f>
        <v>0</v>
      </c>
      <c r="Q143" s="258">
        <f t="shared" ref="Q143:Q153" si="14">+P143*N143</f>
        <v>0</v>
      </c>
      <c r="R143" s="258">
        <f t="shared" ref="R143:R153" si="15">+T142</f>
        <v>343.49989132317432</v>
      </c>
      <c r="S143" s="258">
        <f>+R143+Q143</f>
        <v>343.49989132317432</v>
      </c>
      <c r="T143" s="258">
        <f t="shared" si="4"/>
        <v>343.49989132317432</v>
      </c>
      <c r="U143" s="258"/>
      <c r="V143" s="258">
        <f t="shared" si="5"/>
        <v>0</v>
      </c>
      <c r="W143" s="258"/>
      <c r="X143" s="258"/>
      <c r="Y143" s="258"/>
      <c r="Z143" s="258"/>
      <c r="AA143" s="258"/>
      <c r="AB143" s="258"/>
      <c r="AC143" s="514" t="b">
        <f>IF(AD143=2,AF143)</f>
        <v>0</v>
      </c>
      <c r="AD143" s="514">
        <f t="shared" si="6"/>
        <v>1</v>
      </c>
      <c r="AE143" s="514">
        <f>IF(V143=0,0,2)</f>
        <v>0</v>
      </c>
      <c r="AF143" s="437" t="e">
        <f>SUM(V143:V153)/($B$139-B142)</f>
        <v>#DIV/0!</v>
      </c>
      <c r="AG143" s="437"/>
      <c r="AH143" s="450">
        <f>SUM(D143)+$C$142</f>
        <v>0</v>
      </c>
      <c r="AI143" s="717" t="b">
        <f t="shared" si="7"/>
        <v>0</v>
      </c>
      <c r="AJ143" s="380">
        <f t="shared" ref="AJ143:AJ153" si="16">54.5017821+AH143</f>
        <v>54.5017821</v>
      </c>
      <c r="AK143" s="718">
        <f>SIN(AJ143*3.14159265358979/180)</f>
        <v>0.81413357986421619</v>
      </c>
      <c r="AL143" s="380">
        <f t="shared" ref="AL143:AL153" si="17">+AK143*421.92</f>
        <v>343.49924001631013</v>
      </c>
      <c r="AM143" s="380">
        <f t="shared" ref="AM143:AM153" si="18">58.7344156-AH143</f>
        <v>58.734415599999998</v>
      </c>
      <c r="AN143" s="442">
        <f t="shared" ref="AN143:AN153" si="19">SIN(AM143*3.14159265358979/180)</f>
        <v>0.85477073319485097</v>
      </c>
      <c r="AO143" s="382">
        <f t="shared" ref="AO143:AO153" si="20">+AN143*472.06</f>
        <v>403.50307231196138</v>
      </c>
      <c r="AP143" s="519" t="e">
        <f t="shared" si="8"/>
        <v>#DIV/0!</v>
      </c>
      <c r="AQ143" s="382">
        <f>57*($B$139-B142)</f>
        <v>0</v>
      </c>
      <c r="AR143" s="519">
        <f>+AQ143+$AQ$196+$AQ$164+31+1.3</f>
        <v>98.3</v>
      </c>
      <c r="AS143" s="444">
        <f t="shared" ref="AS143:AS153" si="21">+AO143+AL143</f>
        <v>747.0023123282715</v>
      </c>
      <c r="AT143" s="445">
        <f t="shared" ref="AT143:AT153" si="22">+V143-AL143</f>
        <v>-343.49924001631013</v>
      </c>
      <c r="AU143" s="446" t="e">
        <f t="shared" ref="AU143:AU153" si="23">+AP143-AT143</f>
        <v>#DIV/0!</v>
      </c>
      <c r="AV143" s="719"/>
      <c r="AW143" s="447" t="e">
        <f t="shared" ref="AW143:AW153" si="24">+((AS143-AU143)/AS143)*AR143</f>
        <v>#DIV/0!</v>
      </c>
      <c r="AX143" s="447" t="e">
        <f t="shared" ref="AX143:AX153" si="25">+(AU143/AS143)*AR143</f>
        <v>#DIV/0!</v>
      </c>
      <c r="AY143" s="448" t="e">
        <f t="shared" ref="AY143:AY153" si="26">2*$C$21/AW143</f>
        <v>#DIV/0!</v>
      </c>
      <c r="AZ143" s="448" t="e">
        <f t="shared" ref="AZ143:AZ153" si="27">2*$D$21/AX143</f>
        <v>#DIV/0!</v>
      </c>
      <c r="BA143" s="451" t="e">
        <f>ABS(AY143)</f>
        <v>#DIV/0!</v>
      </c>
      <c r="BB143" s="451" t="e">
        <f>ABS(AZ143)</f>
        <v>#DIV/0!</v>
      </c>
      <c r="BD143" s="136"/>
      <c r="BM143" s="214"/>
      <c r="BN143" s="214"/>
      <c r="BO143" s="214"/>
      <c r="EK143" s="78"/>
      <c r="EL143" s="78"/>
    </row>
    <row r="144" spans="2:142" ht="23" thickBot="1" x14ac:dyDescent="0.35">
      <c r="B144" s="735">
        <v>3</v>
      </c>
      <c r="C144" s="278"/>
      <c r="D144" s="25">
        <v>0</v>
      </c>
      <c r="E144" s="257" t="s">
        <v>80</v>
      </c>
      <c r="F144" s="258"/>
      <c r="G144" s="258"/>
      <c r="H144" s="5">
        <v>479.77208100000001</v>
      </c>
      <c r="I144" s="5">
        <v>61.416098300000002</v>
      </c>
      <c r="J144" s="258">
        <f t="shared" ref="J144:J153" si="28">+I144+D144</f>
        <v>61.416098300000002</v>
      </c>
      <c r="K144" s="258">
        <f t="shared" si="9"/>
        <v>30.708049150000001</v>
      </c>
      <c r="L144" s="258">
        <f t="shared" si="10"/>
        <v>0.51066370850547771</v>
      </c>
      <c r="M144" s="258">
        <f t="shared" si="11"/>
        <v>245.00219012085046</v>
      </c>
      <c r="N144" s="258">
        <f t="shared" si="12"/>
        <v>490.00438024170091</v>
      </c>
      <c r="O144" s="258">
        <f>+C142+D143+(D144/2)</f>
        <v>0</v>
      </c>
      <c r="P144" s="258">
        <f t="shared" si="13"/>
        <v>0</v>
      </c>
      <c r="Q144" s="258">
        <f t="shared" si="14"/>
        <v>0</v>
      </c>
      <c r="R144" s="258">
        <f t="shared" si="15"/>
        <v>343.49989132317432</v>
      </c>
      <c r="S144" s="258">
        <f t="shared" ref="S144:S153" si="29">+S143+Q144</f>
        <v>343.49989132317432</v>
      </c>
      <c r="T144" s="258">
        <f t="shared" si="4"/>
        <v>343.49989132317432</v>
      </c>
      <c r="U144" s="258"/>
      <c r="V144" s="258">
        <f t="shared" si="5"/>
        <v>0</v>
      </c>
      <c r="W144" s="258"/>
      <c r="X144" s="258"/>
      <c r="Y144" s="258"/>
      <c r="Z144" s="258"/>
      <c r="AA144" s="258"/>
      <c r="AB144" s="258"/>
      <c r="AC144" s="514" t="b">
        <f>IF(AD144=3,AF144)</f>
        <v>0</v>
      </c>
      <c r="AD144" s="514">
        <f t="shared" si="6"/>
        <v>1</v>
      </c>
      <c r="AE144" s="514">
        <f>IF(V144=0,0,3)</f>
        <v>0</v>
      </c>
      <c r="AF144" s="437">
        <f>SUM(V144:V153)/($B$139-B143)</f>
        <v>0</v>
      </c>
      <c r="AG144" s="437"/>
      <c r="AH144" s="450">
        <f>SUM(D143:D144)+$C$142</f>
        <v>0</v>
      </c>
      <c r="AI144" s="717" t="b">
        <f t="shared" si="7"/>
        <v>0</v>
      </c>
      <c r="AJ144" s="380">
        <f t="shared" si="16"/>
        <v>54.5017821</v>
      </c>
      <c r="AK144" s="718">
        <f t="shared" ref="AK144:AK153" si="30">SIN(AJ144*3.14159265358979/180)</f>
        <v>0.81413357986421619</v>
      </c>
      <c r="AL144" s="380">
        <f t="shared" si="17"/>
        <v>343.49924001631013</v>
      </c>
      <c r="AM144" s="380">
        <f t="shared" si="18"/>
        <v>58.734415599999998</v>
      </c>
      <c r="AN144" s="442">
        <f t="shared" si="19"/>
        <v>0.85477073319485097</v>
      </c>
      <c r="AO144" s="382">
        <f t="shared" si="20"/>
        <v>403.50307231196138</v>
      </c>
      <c r="AP144" s="519">
        <f t="shared" si="8"/>
        <v>309.8974293663432</v>
      </c>
      <c r="AQ144" s="382">
        <f t="shared" ref="AQ144:AQ153" si="31">57*($B$139-B143)</f>
        <v>-57</v>
      </c>
      <c r="AR144" s="519">
        <f t="shared" ref="AR144:AR153" si="32">+AQ144+$AQ$196+$AQ$164+31</f>
        <v>40</v>
      </c>
      <c r="AS144" s="444">
        <f t="shared" si="21"/>
        <v>747.0023123282715</v>
      </c>
      <c r="AT144" s="445">
        <f t="shared" si="22"/>
        <v>-343.49924001631013</v>
      </c>
      <c r="AU144" s="446">
        <f t="shared" si="23"/>
        <v>653.39666938265327</v>
      </c>
      <c r="AV144" s="719"/>
      <c r="AW144" s="447">
        <f t="shared" si="24"/>
        <v>5.0123348429199002</v>
      </c>
      <c r="AX144" s="447">
        <f t="shared" si="25"/>
        <v>34.987665157080102</v>
      </c>
      <c r="AY144" s="448">
        <f t="shared" si="26"/>
        <v>2314.2907175057167</v>
      </c>
      <c r="AZ144" s="448">
        <f t="shared" si="27"/>
        <v>331.5454160179255</v>
      </c>
      <c r="BA144" s="451">
        <f t="shared" ref="BA144:BB153" si="33">ABS(AY144)</f>
        <v>2314.2907175057167</v>
      </c>
      <c r="BB144" s="451">
        <f t="shared" si="33"/>
        <v>331.5454160179255</v>
      </c>
      <c r="BD144" s="136"/>
      <c r="BM144" s="214"/>
      <c r="BN144" s="214"/>
      <c r="BO144" s="214"/>
      <c r="EK144" s="78"/>
      <c r="EL144" s="78"/>
    </row>
    <row r="145" spans="2:142" ht="23" thickBot="1" x14ac:dyDescent="0.35">
      <c r="B145" s="735">
        <v>4</v>
      </c>
      <c r="C145" s="278"/>
      <c r="D145" s="25">
        <v>0</v>
      </c>
      <c r="E145" s="257" t="s">
        <v>80</v>
      </c>
      <c r="F145" s="258"/>
      <c r="G145" s="258"/>
      <c r="H145" s="5">
        <v>479.77208100000001</v>
      </c>
      <c r="I145" s="5">
        <v>61.416098300000002</v>
      </c>
      <c r="J145" s="258">
        <f t="shared" si="28"/>
        <v>61.416098300000002</v>
      </c>
      <c r="K145" s="258">
        <f t="shared" si="9"/>
        <v>30.708049150000001</v>
      </c>
      <c r="L145" s="258">
        <f t="shared" si="10"/>
        <v>0.51066370850547771</v>
      </c>
      <c r="M145" s="258">
        <f t="shared" si="11"/>
        <v>245.00219012085046</v>
      </c>
      <c r="N145" s="258">
        <f t="shared" si="12"/>
        <v>490.00438024170091</v>
      </c>
      <c r="O145" s="258">
        <f>+C142+D143+D144+(D145/2)</f>
        <v>0</v>
      </c>
      <c r="P145" s="258">
        <f t="shared" si="13"/>
        <v>0</v>
      </c>
      <c r="Q145" s="258">
        <f t="shared" si="14"/>
        <v>0</v>
      </c>
      <c r="R145" s="258">
        <f t="shared" si="15"/>
        <v>343.49989132317432</v>
      </c>
      <c r="S145" s="258">
        <f t="shared" si="29"/>
        <v>343.49989132317432</v>
      </c>
      <c r="T145" s="258">
        <f t="shared" si="4"/>
        <v>343.49989132317432</v>
      </c>
      <c r="U145" s="258"/>
      <c r="V145" s="258">
        <f t="shared" si="5"/>
        <v>0</v>
      </c>
      <c r="W145" s="258"/>
      <c r="X145" s="258"/>
      <c r="Y145" s="258"/>
      <c r="Z145" s="258"/>
      <c r="AA145" s="258"/>
      <c r="AB145" s="258"/>
      <c r="AC145" s="514" t="b">
        <f>IF(AD145=4,AF145)</f>
        <v>0</v>
      </c>
      <c r="AD145" s="514">
        <f t="shared" si="6"/>
        <v>1</v>
      </c>
      <c r="AE145" s="514">
        <f>IF(V145=0,0,4)</f>
        <v>0</v>
      </c>
      <c r="AF145" s="437">
        <f>SUM(V145:V153)/($B$139-B144)</f>
        <v>0</v>
      </c>
      <c r="AG145" s="437"/>
      <c r="AH145" s="450">
        <f>SUM(D143:D145)+$C$142</f>
        <v>0</v>
      </c>
      <c r="AI145" s="717" t="b">
        <f t="shared" si="7"/>
        <v>0</v>
      </c>
      <c r="AJ145" s="380">
        <f t="shared" si="16"/>
        <v>54.5017821</v>
      </c>
      <c r="AK145" s="718">
        <f t="shared" si="30"/>
        <v>0.81413357986421619</v>
      </c>
      <c r="AL145" s="380">
        <f t="shared" si="17"/>
        <v>343.49924001631013</v>
      </c>
      <c r="AM145" s="380">
        <f t="shared" si="18"/>
        <v>58.734415599999998</v>
      </c>
      <c r="AN145" s="442">
        <f t="shared" si="19"/>
        <v>0.85477073319485097</v>
      </c>
      <c r="AO145" s="382">
        <f t="shared" si="20"/>
        <v>403.50307231196138</v>
      </c>
      <c r="AP145" s="519">
        <f t="shared" si="8"/>
        <v>-729.1704220384546</v>
      </c>
      <c r="AQ145" s="382">
        <f t="shared" si="31"/>
        <v>-114</v>
      </c>
      <c r="AR145" s="519">
        <f t="shared" si="32"/>
        <v>-17</v>
      </c>
      <c r="AS145" s="444">
        <f t="shared" si="21"/>
        <v>747.0023123282715</v>
      </c>
      <c r="AT145" s="445">
        <f t="shared" si="22"/>
        <v>-343.49924001631013</v>
      </c>
      <c r="AU145" s="446">
        <f t="shared" si="23"/>
        <v>-385.67118202214448</v>
      </c>
      <c r="AV145" s="719"/>
      <c r="AW145" s="447">
        <f t="shared" si="24"/>
        <v>-25.776960909185554</v>
      </c>
      <c r="AX145" s="447">
        <f t="shared" si="25"/>
        <v>8.7769609091855525</v>
      </c>
      <c r="AY145" s="448">
        <f t="shared" si="26"/>
        <v>-450.01426044240804</v>
      </c>
      <c r="AZ145" s="448">
        <f t="shared" si="27"/>
        <v>1321.6419806381944</v>
      </c>
      <c r="BA145" s="451">
        <f t="shared" si="33"/>
        <v>450.01426044240804</v>
      </c>
      <c r="BB145" s="451">
        <f t="shared" si="33"/>
        <v>1321.6419806381944</v>
      </c>
      <c r="BD145" s="136"/>
      <c r="BM145" s="214"/>
      <c r="BN145" s="214"/>
      <c r="BO145" s="214"/>
      <c r="EK145" s="78"/>
      <c r="EL145" s="78"/>
    </row>
    <row r="146" spans="2:142" ht="23" thickBot="1" x14ac:dyDescent="0.35">
      <c r="B146" s="735">
        <v>5</v>
      </c>
      <c r="C146" s="278"/>
      <c r="D146" s="25">
        <v>0</v>
      </c>
      <c r="E146" s="257" t="s">
        <v>80</v>
      </c>
      <c r="F146" s="258"/>
      <c r="G146" s="258"/>
      <c r="H146" s="5">
        <v>479.77208100000001</v>
      </c>
      <c r="I146" s="5">
        <v>61.416098300000002</v>
      </c>
      <c r="J146" s="258">
        <f t="shared" si="28"/>
        <v>61.416098300000002</v>
      </c>
      <c r="K146" s="258">
        <f t="shared" si="9"/>
        <v>30.708049150000001</v>
      </c>
      <c r="L146" s="258">
        <f t="shared" si="10"/>
        <v>0.51066370850547771</v>
      </c>
      <c r="M146" s="258">
        <f t="shared" si="11"/>
        <v>245.00219012085046</v>
      </c>
      <c r="N146" s="258">
        <f t="shared" si="12"/>
        <v>490.00438024170091</v>
      </c>
      <c r="O146" s="258">
        <f>+C142+D143+D144+D145+(D146/2)</f>
        <v>0</v>
      </c>
      <c r="P146" s="258">
        <f t="shared" si="13"/>
        <v>0</v>
      </c>
      <c r="Q146" s="258">
        <f t="shared" si="14"/>
        <v>0</v>
      </c>
      <c r="R146" s="258">
        <f t="shared" si="15"/>
        <v>343.49989132317432</v>
      </c>
      <c r="S146" s="258">
        <f t="shared" si="29"/>
        <v>343.49989132317432</v>
      </c>
      <c r="T146" s="258">
        <f t="shared" si="4"/>
        <v>343.49989132317432</v>
      </c>
      <c r="U146" s="258"/>
      <c r="V146" s="258">
        <f t="shared" si="5"/>
        <v>0</v>
      </c>
      <c r="W146" s="258"/>
      <c r="X146" s="258"/>
      <c r="Y146" s="258"/>
      <c r="Z146" s="258"/>
      <c r="AA146" s="258"/>
      <c r="AB146" s="258"/>
      <c r="AC146" s="514" t="b">
        <f>IF(AD146=5,AF146)</f>
        <v>0</v>
      </c>
      <c r="AD146" s="514">
        <f t="shared" si="6"/>
        <v>1</v>
      </c>
      <c r="AE146" s="514">
        <f>IF(V146=0,0,5)</f>
        <v>0</v>
      </c>
      <c r="AF146" s="437">
        <f>SUM(V146:V153)/($B$139-B145)</f>
        <v>0</v>
      </c>
      <c r="AG146" s="437"/>
      <c r="AH146" s="450">
        <f>SUM(D143:D146)+$C$142</f>
        <v>0</v>
      </c>
      <c r="AI146" s="717" t="b">
        <f t="shared" si="7"/>
        <v>0</v>
      </c>
      <c r="AJ146" s="380">
        <f t="shared" si="16"/>
        <v>54.5017821</v>
      </c>
      <c r="AK146" s="718">
        <f t="shared" si="30"/>
        <v>0.81413357986421619</v>
      </c>
      <c r="AL146" s="380">
        <f t="shared" si="17"/>
        <v>343.49924001631013</v>
      </c>
      <c r="AM146" s="380">
        <f t="shared" si="18"/>
        <v>58.734415599999998</v>
      </c>
      <c r="AN146" s="442">
        <f t="shared" si="19"/>
        <v>0.85477073319485097</v>
      </c>
      <c r="AO146" s="382">
        <f t="shared" si="20"/>
        <v>403.50307231196138</v>
      </c>
      <c r="AP146" s="519">
        <f t="shared" si="8"/>
        <v>-167.51212398180715</v>
      </c>
      <c r="AQ146" s="382">
        <f t="shared" si="31"/>
        <v>-171</v>
      </c>
      <c r="AR146" s="519">
        <f t="shared" si="32"/>
        <v>-74</v>
      </c>
      <c r="AS146" s="444">
        <f t="shared" si="21"/>
        <v>747.0023123282715</v>
      </c>
      <c r="AT146" s="445">
        <f t="shared" si="22"/>
        <v>-343.49924001631013</v>
      </c>
      <c r="AU146" s="446">
        <f t="shared" si="23"/>
        <v>175.98711603450298</v>
      </c>
      <c r="AV146" s="719"/>
      <c r="AW146" s="447">
        <f t="shared" si="24"/>
        <v>-56.566256661291007</v>
      </c>
      <c r="AX146" s="447">
        <f t="shared" si="25"/>
        <v>-17.433743338708997</v>
      </c>
      <c r="AY146" s="448">
        <f t="shared" si="26"/>
        <v>-205.06925302585958</v>
      </c>
      <c r="AZ146" s="448">
        <f t="shared" si="27"/>
        <v>-665.3763207723697</v>
      </c>
      <c r="BA146" s="451">
        <f t="shared" si="33"/>
        <v>205.06925302585958</v>
      </c>
      <c r="BB146" s="451">
        <f t="shared" si="33"/>
        <v>665.3763207723697</v>
      </c>
      <c r="BD146" s="136"/>
      <c r="BM146" s="214"/>
      <c r="BN146" s="214"/>
      <c r="BO146" s="214"/>
      <c r="EK146" s="78"/>
      <c r="EL146" s="78"/>
    </row>
    <row r="147" spans="2:142" ht="23" thickBot="1" x14ac:dyDescent="0.35">
      <c r="B147" s="735">
        <v>6</v>
      </c>
      <c r="C147" s="278"/>
      <c r="D147" s="25">
        <v>0</v>
      </c>
      <c r="E147" s="257" t="s">
        <v>80</v>
      </c>
      <c r="F147" s="258"/>
      <c r="G147" s="258"/>
      <c r="H147" s="5">
        <v>479.77208100000001</v>
      </c>
      <c r="I147" s="5">
        <v>61.416098300000002</v>
      </c>
      <c r="J147" s="258">
        <f t="shared" si="28"/>
        <v>61.416098300000002</v>
      </c>
      <c r="K147" s="258">
        <f t="shared" si="9"/>
        <v>30.708049150000001</v>
      </c>
      <c r="L147" s="258">
        <f t="shared" si="10"/>
        <v>0.51066370850547771</v>
      </c>
      <c r="M147" s="258">
        <f t="shared" si="11"/>
        <v>245.00219012085046</v>
      </c>
      <c r="N147" s="258">
        <f t="shared" si="12"/>
        <v>490.00438024170091</v>
      </c>
      <c r="O147" s="258">
        <f>+C142+D143+D144+D145+D146+(D147/2)</f>
        <v>0</v>
      </c>
      <c r="P147" s="258">
        <f t="shared" si="13"/>
        <v>0</v>
      </c>
      <c r="Q147" s="258">
        <f t="shared" si="14"/>
        <v>0</v>
      </c>
      <c r="R147" s="258">
        <f t="shared" si="15"/>
        <v>343.49989132317432</v>
      </c>
      <c r="S147" s="258">
        <f t="shared" si="29"/>
        <v>343.49989132317432</v>
      </c>
      <c r="T147" s="258">
        <f t="shared" si="4"/>
        <v>343.49989132317432</v>
      </c>
      <c r="U147" s="258"/>
      <c r="V147" s="258">
        <f t="shared" si="5"/>
        <v>0</v>
      </c>
      <c r="W147" s="258"/>
      <c r="X147" s="258"/>
      <c r="Y147" s="258"/>
      <c r="Z147" s="258"/>
      <c r="AA147" s="258"/>
      <c r="AB147" s="258"/>
      <c r="AC147" s="514" t="b">
        <f>IF(AD147=6,AF147)</f>
        <v>0</v>
      </c>
      <c r="AD147" s="514">
        <f t="shared" si="6"/>
        <v>1</v>
      </c>
      <c r="AE147" s="514">
        <f>IF(V147=0,0,6)</f>
        <v>0</v>
      </c>
      <c r="AF147" s="437">
        <f>SUM(V147:V153)/($B$139-B146)</f>
        <v>0</v>
      </c>
      <c r="AG147" s="437"/>
      <c r="AH147" s="450">
        <f>SUM(D143:D147)+$C$142</f>
        <v>0</v>
      </c>
      <c r="AI147" s="717" t="b">
        <f t="shared" si="7"/>
        <v>0</v>
      </c>
      <c r="AJ147" s="380">
        <f t="shared" si="16"/>
        <v>54.5017821</v>
      </c>
      <c r="AK147" s="718">
        <f t="shared" si="30"/>
        <v>0.81413357986421619</v>
      </c>
      <c r="AL147" s="380">
        <f t="shared" si="17"/>
        <v>343.49924001631013</v>
      </c>
      <c r="AM147" s="380">
        <f t="shared" si="18"/>
        <v>58.734415599999998</v>
      </c>
      <c r="AN147" s="442">
        <f t="shared" si="19"/>
        <v>0.85477073319485097</v>
      </c>
      <c r="AO147" s="382">
        <f t="shared" si="20"/>
        <v>403.50307231196138</v>
      </c>
      <c r="AP147" s="519">
        <f t="shared" si="8"/>
        <v>-94.625169272165863</v>
      </c>
      <c r="AQ147" s="382">
        <f t="shared" si="31"/>
        <v>-228</v>
      </c>
      <c r="AR147" s="519">
        <f t="shared" si="32"/>
        <v>-131</v>
      </c>
      <c r="AS147" s="444">
        <f t="shared" si="21"/>
        <v>747.0023123282715</v>
      </c>
      <c r="AT147" s="445">
        <f t="shared" si="22"/>
        <v>-343.49924001631013</v>
      </c>
      <c r="AU147" s="446">
        <f t="shared" si="23"/>
        <v>248.87407074414426</v>
      </c>
      <c r="AV147" s="719"/>
      <c r="AW147" s="447">
        <f t="shared" si="24"/>
        <v>-87.355552413396452</v>
      </c>
      <c r="AX147" s="447">
        <f t="shared" si="25"/>
        <v>-43.644447586603548</v>
      </c>
      <c r="AY147" s="448">
        <f t="shared" si="26"/>
        <v>-132.79064329082161</v>
      </c>
      <c r="AZ147" s="448">
        <f t="shared" si="27"/>
        <v>-265.78409491796532</v>
      </c>
      <c r="BA147" s="451">
        <f t="shared" si="33"/>
        <v>132.79064329082161</v>
      </c>
      <c r="BB147" s="451">
        <f t="shared" si="33"/>
        <v>265.78409491796532</v>
      </c>
      <c r="BD147" s="136"/>
      <c r="BM147" s="214"/>
      <c r="BN147" s="214"/>
      <c r="BO147" s="214"/>
      <c r="EK147" s="78"/>
      <c r="EL147" s="78"/>
    </row>
    <row r="148" spans="2:142" ht="21" thickBot="1" x14ac:dyDescent="0.25">
      <c r="B148" s="735">
        <v>7</v>
      </c>
      <c r="C148" s="278"/>
      <c r="D148" s="25">
        <v>0</v>
      </c>
      <c r="E148" s="257" t="s">
        <v>80</v>
      </c>
      <c r="F148" s="258"/>
      <c r="G148" s="258"/>
      <c r="H148" s="5">
        <v>479.77208100000001</v>
      </c>
      <c r="I148" s="5">
        <v>61.416098300000002</v>
      </c>
      <c r="J148" s="258">
        <f t="shared" si="28"/>
        <v>61.416098300000002</v>
      </c>
      <c r="K148" s="258">
        <f t="shared" si="9"/>
        <v>30.708049150000001</v>
      </c>
      <c r="L148" s="258">
        <f t="shared" si="10"/>
        <v>0.51066370850547771</v>
      </c>
      <c r="M148" s="258">
        <f t="shared" si="11"/>
        <v>245.00219012085046</v>
      </c>
      <c r="N148" s="258">
        <f t="shared" si="12"/>
        <v>490.00438024170091</v>
      </c>
      <c r="O148" s="258">
        <f>+C142+D143+D144+D145+D146+D147+(D148/2)</f>
        <v>0</v>
      </c>
      <c r="P148" s="258">
        <f t="shared" si="13"/>
        <v>0</v>
      </c>
      <c r="Q148" s="258">
        <f t="shared" si="14"/>
        <v>0</v>
      </c>
      <c r="R148" s="258">
        <f t="shared" si="15"/>
        <v>343.49989132317432</v>
      </c>
      <c r="S148" s="258">
        <f t="shared" si="29"/>
        <v>343.49989132317432</v>
      </c>
      <c r="T148" s="258">
        <f t="shared" si="4"/>
        <v>343.49989132317432</v>
      </c>
      <c r="U148" s="258"/>
      <c r="V148" s="258">
        <f t="shared" si="5"/>
        <v>0</v>
      </c>
      <c r="W148" s="258"/>
      <c r="X148" s="258"/>
      <c r="Y148" s="258"/>
      <c r="Z148" s="258"/>
      <c r="AA148" s="258"/>
      <c r="AB148" s="258"/>
      <c r="AC148" s="514" t="b">
        <f>IF(AD148=7,AF148)</f>
        <v>0</v>
      </c>
      <c r="AD148" s="514">
        <f t="shared" si="6"/>
        <v>1</v>
      </c>
      <c r="AE148" s="514">
        <f>IF(V148=0,0,7)</f>
        <v>0</v>
      </c>
      <c r="AF148" s="437">
        <f>SUM(V148:V153)/($B$139-B147)</f>
        <v>0</v>
      </c>
      <c r="AG148" s="437"/>
      <c r="AH148" s="450">
        <f>SUM(D143:D148)+$C$142</f>
        <v>0</v>
      </c>
      <c r="AI148" s="717" t="b">
        <f t="shared" si="7"/>
        <v>0</v>
      </c>
      <c r="AJ148" s="380">
        <f t="shared" si="16"/>
        <v>54.5017821</v>
      </c>
      <c r="AK148" s="718">
        <f t="shared" si="30"/>
        <v>0.81413357986421619</v>
      </c>
      <c r="AL148" s="380">
        <f t="shared" si="17"/>
        <v>343.49924001631013</v>
      </c>
      <c r="AM148" s="380">
        <f t="shared" si="18"/>
        <v>58.734415599999998</v>
      </c>
      <c r="AN148" s="442">
        <f t="shared" si="19"/>
        <v>0.85477073319485097</v>
      </c>
      <c r="AO148" s="382">
        <f t="shared" si="20"/>
        <v>403.50307231196138</v>
      </c>
      <c r="AP148" s="519">
        <f t="shared" si="8"/>
        <v>-65.935623269434728</v>
      </c>
      <c r="AQ148" s="382">
        <f t="shared" si="31"/>
        <v>-285</v>
      </c>
      <c r="AR148" s="519">
        <f t="shared" si="32"/>
        <v>-188</v>
      </c>
      <c r="AS148" s="444">
        <f t="shared" si="21"/>
        <v>747.0023123282715</v>
      </c>
      <c r="AT148" s="445">
        <f t="shared" si="22"/>
        <v>-343.49924001631013</v>
      </c>
      <c r="AU148" s="446">
        <f t="shared" si="23"/>
        <v>277.56361674687537</v>
      </c>
      <c r="AV148" s="719"/>
      <c r="AW148" s="447">
        <f t="shared" si="24"/>
        <v>-118.14484816550191</v>
      </c>
      <c r="AX148" s="447">
        <f t="shared" si="25"/>
        <v>-69.855151834498088</v>
      </c>
      <c r="AY148" s="448">
        <f t="shared" si="26"/>
        <v>-98.184560563743474</v>
      </c>
      <c r="AZ148" s="448">
        <f t="shared" si="27"/>
        <v>-166.05790260799805</v>
      </c>
      <c r="BA148" s="451">
        <f t="shared" si="33"/>
        <v>98.184560563743474</v>
      </c>
      <c r="BB148" s="451">
        <f t="shared" si="33"/>
        <v>166.05790260799805</v>
      </c>
      <c r="BD148" s="136"/>
      <c r="BF148" s="388"/>
      <c r="EK148" s="78"/>
      <c r="EL148" s="78"/>
    </row>
    <row r="149" spans="2:142" ht="21" thickBot="1" x14ac:dyDescent="0.25">
      <c r="B149" s="735">
        <v>8</v>
      </c>
      <c r="C149" s="278"/>
      <c r="D149" s="25">
        <v>0</v>
      </c>
      <c r="E149" s="257" t="s">
        <v>80</v>
      </c>
      <c r="F149" s="258"/>
      <c r="G149" s="258"/>
      <c r="H149" s="5">
        <v>479.77208100000001</v>
      </c>
      <c r="I149" s="5">
        <v>61.416098300000002</v>
      </c>
      <c r="J149" s="258">
        <f t="shared" si="28"/>
        <v>61.416098300000002</v>
      </c>
      <c r="K149" s="258">
        <f t="shared" si="9"/>
        <v>30.708049150000001</v>
      </c>
      <c r="L149" s="258">
        <f t="shared" si="10"/>
        <v>0.51066370850547771</v>
      </c>
      <c r="M149" s="258">
        <f t="shared" si="11"/>
        <v>245.00219012085046</v>
      </c>
      <c r="N149" s="258">
        <f t="shared" si="12"/>
        <v>490.00438024170091</v>
      </c>
      <c r="O149" s="258">
        <f>+C142+D143+D144+D145+D146+D147+D148+(D149/2)</f>
        <v>0</v>
      </c>
      <c r="P149" s="258">
        <f t="shared" si="13"/>
        <v>0</v>
      </c>
      <c r="Q149" s="258">
        <f t="shared" si="14"/>
        <v>0</v>
      </c>
      <c r="R149" s="258">
        <f t="shared" si="15"/>
        <v>343.49989132317432</v>
      </c>
      <c r="S149" s="258">
        <f t="shared" si="29"/>
        <v>343.49989132317432</v>
      </c>
      <c r="T149" s="258">
        <f t="shared" si="4"/>
        <v>343.49989132317432</v>
      </c>
      <c r="U149" s="258"/>
      <c r="V149" s="258">
        <f t="shared" si="5"/>
        <v>0</v>
      </c>
      <c r="W149" s="258"/>
      <c r="X149" s="258"/>
      <c r="Y149" s="258"/>
      <c r="Z149" s="258"/>
      <c r="AA149" s="258"/>
      <c r="AB149" s="258"/>
      <c r="AC149" s="514" t="b">
        <f>IF(AD149=8,AF149)</f>
        <v>0</v>
      </c>
      <c r="AD149" s="514">
        <f t="shared" si="6"/>
        <v>1</v>
      </c>
      <c r="AE149" s="514">
        <f>IF(V149=0,0,8)</f>
        <v>0</v>
      </c>
      <c r="AF149" s="437">
        <f>SUM(V149:V153)/($B$139-B148)</f>
        <v>0</v>
      </c>
      <c r="AG149" s="437"/>
      <c r="AH149" s="450">
        <f>SUM(D143:D149)+$C$142</f>
        <v>0</v>
      </c>
      <c r="AI149" s="717" t="b">
        <f t="shared" si="7"/>
        <v>0</v>
      </c>
      <c r="AJ149" s="380">
        <f t="shared" si="16"/>
        <v>54.5017821</v>
      </c>
      <c r="AK149" s="718">
        <f t="shared" si="30"/>
        <v>0.81413357986421619</v>
      </c>
      <c r="AL149" s="380">
        <f t="shared" si="17"/>
        <v>343.49924001631013</v>
      </c>
      <c r="AM149" s="380">
        <f t="shared" si="18"/>
        <v>58.734415599999998</v>
      </c>
      <c r="AN149" s="442">
        <f t="shared" si="19"/>
        <v>0.85477073319485097</v>
      </c>
      <c r="AO149" s="382">
        <f t="shared" si="20"/>
        <v>403.50307231196138</v>
      </c>
      <c r="AP149" s="519">
        <f t="shared" si="8"/>
        <v>-50.595498672056031</v>
      </c>
      <c r="AQ149" s="382">
        <f t="shared" si="31"/>
        <v>-342</v>
      </c>
      <c r="AR149" s="519">
        <f t="shared" si="32"/>
        <v>-245</v>
      </c>
      <c r="AS149" s="444">
        <f t="shared" si="21"/>
        <v>747.0023123282715</v>
      </c>
      <c r="AT149" s="445">
        <f t="shared" si="22"/>
        <v>-343.49924001631013</v>
      </c>
      <c r="AU149" s="446">
        <f t="shared" si="23"/>
        <v>292.90374134425412</v>
      </c>
      <c r="AV149" s="719"/>
      <c r="AW149" s="447">
        <f t="shared" si="24"/>
        <v>-148.93414391760734</v>
      </c>
      <c r="AX149" s="447">
        <f t="shared" si="25"/>
        <v>-96.065856082392656</v>
      </c>
      <c r="AY149" s="448">
        <f t="shared" si="26"/>
        <v>-77.886773944981329</v>
      </c>
      <c r="AZ149" s="448">
        <f t="shared" si="27"/>
        <v>-120.75049838780436</v>
      </c>
      <c r="BA149" s="451">
        <f t="shared" si="33"/>
        <v>77.886773944981329</v>
      </c>
      <c r="BB149" s="451">
        <f t="shared" si="33"/>
        <v>120.75049838780436</v>
      </c>
      <c r="BD149" s="136"/>
      <c r="BF149" s="388"/>
      <c r="EK149" s="78"/>
      <c r="EL149" s="78"/>
    </row>
    <row r="150" spans="2:142" ht="21" thickBot="1" x14ac:dyDescent="0.25">
      <c r="B150" s="735">
        <v>9</v>
      </c>
      <c r="C150" s="278"/>
      <c r="D150" s="25">
        <v>0</v>
      </c>
      <c r="E150" s="257" t="s">
        <v>80</v>
      </c>
      <c r="F150" s="258"/>
      <c r="G150" s="258"/>
      <c r="H150" s="5">
        <v>479.77208100000001</v>
      </c>
      <c r="I150" s="5">
        <v>61.416098300000002</v>
      </c>
      <c r="J150" s="258">
        <f t="shared" si="28"/>
        <v>61.416098300000002</v>
      </c>
      <c r="K150" s="258">
        <f t="shared" si="9"/>
        <v>30.708049150000001</v>
      </c>
      <c r="L150" s="258">
        <f t="shared" si="10"/>
        <v>0.51066370850547771</v>
      </c>
      <c r="M150" s="258">
        <f t="shared" si="11"/>
        <v>245.00219012085046</v>
      </c>
      <c r="N150" s="258">
        <f t="shared" si="12"/>
        <v>490.00438024170091</v>
      </c>
      <c r="O150" s="258">
        <f>+C142+D143+D144+D145+D146+D147+D148+D149+(D150/2)</f>
        <v>0</v>
      </c>
      <c r="P150" s="258">
        <f t="shared" si="13"/>
        <v>0</v>
      </c>
      <c r="Q150" s="258">
        <f t="shared" si="14"/>
        <v>0</v>
      </c>
      <c r="R150" s="258">
        <f t="shared" si="15"/>
        <v>343.49989132317432</v>
      </c>
      <c r="S150" s="258">
        <f t="shared" si="29"/>
        <v>343.49989132317432</v>
      </c>
      <c r="T150" s="258">
        <f t="shared" si="4"/>
        <v>343.49989132317432</v>
      </c>
      <c r="U150" s="258"/>
      <c r="V150" s="258">
        <f t="shared" si="5"/>
        <v>0</v>
      </c>
      <c r="W150" s="258"/>
      <c r="X150" s="258"/>
      <c r="Y150" s="258"/>
      <c r="Z150" s="258"/>
      <c r="AA150" s="258"/>
      <c r="AB150" s="258"/>
      <c r="AC150" s="514" t="b">
        <f>IF(AD150=9,AF150)</f>
        <v>0</v>
      </c>
      <c r="AD150" s="514">
        <f t="shared" si="6"/>
        <v>1</v>
      </c>
      <c r="AE150" s="514">
        <f>IF(V150=0,0,9)</f>
        <v>0</v>
      </c>
      <c r="AF150" s="437">
        <f>SUM(V150:V153)/($B$139-B149)</f>
        <v>0</v>
      </c>
      <c r="AG150" s="437"/>
      <c r="AH150" s="450">
        <f>SUM(D143:D150)+$C$142</f>
        <v>0</v>
      </c>
      <c r="AI150" s="717" t="b">
        <f t="shared" si="7"/>
        <v>0</v>
      </c>
      <c r="AJ150" s="380">
        <f t="shared" si="16"/>
        <v>54.5017821</v>
      </c>
      <c r="AK150" s="718">
        <f t="shared" si="30"/>
        <v>0.81413357986421619</v>
      </c>
      <c r="AL150" s="380">
        <f t="shared" si="17"/>
        <v>343.49924001631013</v>
      </c>
      <c r="AM150" s="380">
        <f t="shared" si="18"/>
        <v>58.734415599999998</v>
      </c>
      <c r="AN150" s="442">
        <f t="shared" si="19"/>
        <v>0.85477073319485097</v>
      </c>
      <c r="AO150" s="382">
        <f t="shared" si="20"/>
        <v>403.50307231196138</v>
      </c>
      <c r="AP150" s="519">
        <f t="shared" si="8"/>
        <v>-41.046017134614992</v>
      </c>
      <c r="AQ150" s="382">
        <f t="shared" si="31"/>
        <v>-399</v>
      </c>
      <c r="AR150" s="519">
        <f t="shared" si="32"/>
        <v>-302</v>
      </c>
      <c r="AS150" s="444">
        <f t="shared" si="21"/>
        <v>747.0023123282715</v>
      </c>
      <c r="AT150" s="445">
        <f t="shared" si="22"/>
        <v>-343.49924001631013</v>
      </c>
      <c r="AU150" s="446">
        <f t="shared" si="23"/>
        <v>302.45322288169513</v>
      </c>
      <c r="AV150" s="719"/>
      <c r="AW150" s="447">
        <f t="shared" si="24"/>
        <v>-179.7234396697128</v>
      </c>
      <c r="AX150" s="447">
        <f t="shared" si="25"/>
        <v>-122.2765603302872</v>
      </c>
      <c r="AY150" s="448">
        <f t="shared" si="26"/>
        <v>-64.543612237323799</v>
      </c>
      <c r="AZ150" s="448">
        <f t="shared" si="27"/>
        <v>-94.866914547372559</v>
      </c>
      <c r="BA150" s="451">
        <f t="shared" si="33"/>
        <v>64.543612237323799</v>
      </c>
      <c r="BB150" s="451">
        <f t="shared" si="33"/>
        <v>94.866914547372559</v>
      </c>
      <c r="BD150" s="136"/>
      <c r="BF150" s="388"/>
      <c r="EK150" s="78"/>
      <c r="EL150" s="78"/>
    </row>
    <row r="151" spans="2:142" ht="21" thickBot="1" x14ac:dyDescent="0.25">
      <c r="B151" s="735">
        <v>10</v>
      </c>
      <c r="C151" s="278"/>
      <c r="D151" s="25">
        <v>0</v>
      </c>
      <c r="E151" s="257" t="s">
        <v>80</v>
      </c>
      <c r="F151" s="258"/>
      <c r="G151" s="258"/>
      <c r="H151" s="5">
        <v>479.77208100000001</v>
      </c>
      <c r="I151" s="5">
        <v>61.416098300000002</v>
      </c>
      <c r="J151" s="258">
        <f t="shared" si="28"/>
        <v>61.416098300000002</v>
      </c>
      <c r="K151" s="258">
        <f t="shared" si="9"/>
        <v>30.708049150000001</v>
      </c>
      <c r="L151" s="258">
        <f t="shared" si="10"/>
        <v>0.51066370850547771</v>
      </c>
      <c r="M151" s="258">
        <f>+L151*H151</f>
        <v>245.00219012085046</v>
      </c>
      <c r="N151" s="258">
        <f t="shared" si="12"/>
        <v>490.00438024170091</v>
      </c>
      <c r="O151" s="258">
        <f>+C142+D143+D144+D145+D146+D147+D148+D149+D150+(D151/2)</f>
        <v>0</v>
      </c>
      <c r="P151" s="258">
        <f t="shared" si="13"/>
        <v>0</v>
      </c>
      <c r="Q151" s="258">
        <f t="shared" si="14"/>
        <v>0</v>
      </c>
      <c r="R151" s="258">
        <f t="shared" si="15"/>
        <v>343.49989132317432</v>
      </c>
      <c r="S151" s="258">
        <f t="shared" si="29"/>
        <v>343.49989132317432</v>
      </c>
      <c r="T151" s="258">
        <f t="shared" si="4"/>
        <v>343.49989132317432</v>
      </c>
      <c r="U151" s="258"/>
      <c r="V151" s="258">
        <f t="shared" si="5"/>
        <v>0</v>
      </c>
      <c r="W151" s="258"/>
      <c r="X151" s="258"/>
      <c r="Y151" s="258"/>
      <c r="Z151" s="258"/>
      <c r="AA151" s="258"/>
      <c r="AB151" s="258"/>
      <c r="AC151" s="514" t="b">
        <f>IF(AD151=10,AF151)</f>
        <v>0</v>
      </c>
      <c r="AD151" s="514">
        <f t="shared" si="6"/>
        <v>1</v>
      </c>
      <c r="AE151" s="514">
        <f>IF(V151=0,0,10)</f>
        <v>0</v>
      </c>
      <c r="AF151" s="437">
        <f>SUM(V151:V153)/($B$139-B150)</f>
        <v>0</v>
      </c>
      <c r="AG151" s="437"/>
      <c r="AH151" s="450">
        <f>SUM(D143:D151)+$C$142</f>
        <v>0</v>
      </c>
      <c r="AI151" s="717" t="b">
        <f t="shared" si="7"/>
        <v>0</v>
      </c>
      <c r="AJ151" s="380">
        <f t="shared" si="16"/>
        <v>54.5017821</v>
      </c>
      <c r="AK151" s="718">
        <f t="shared" si="30"/>
        <v>0.81413357986421619</v>
      </c>
      <c r="AL151" s="380">
        <f t="shared" si="17"/>
        <v>343.49924001631013</v>
      </c>
      <c r="AM151" s="380">
        <f t="shared" si="18"/>
        <v>58.734415599999998</v>
      </c>
      <c r="AN151" s="442">
        <f t="shared" si="19"/>
        <v>0.85477073319485097</v>
      </c>
      <c r="AO151" s="382">
        <f t="shared" si="20"/>
        <v>403.50307231196138</v>
      </c>
      <c r="AP151" s="519">
        <f t="shared" si="8"/>
        <v>-34.528961489286154</v>
      </c>
      <c r="AQ151" s="382">
        <f t="shared" si="31"/>
        <v>-456</v>
      </c>
      <c r="AR151" s="519">
        <f t="shared" si="32"/>
        <v>-359</v>
      </c>
      <c r="AS151" s="444">
        <f t="shared" si="21"/>
        <v>747.0023123282715</v>
      </c>
      <c r="AT151" s="445">
        <f t="shared" si="22"/>
        <v>-343.49924001631013</v>
      </c>
      <c r="AU151" s="446">
        <f t="shared" si="23"/>
        <v>308.97027852702399</v>
      </c>
      <c r="AV151" s="719"/>
      <c r="AW151" s="447">
        <f t="shared" si="24"/>
        <v>-210.51273542181823</v>
      </c>
      <c r="AX151" s="447">
        <f t="shared" si="25"/>
        <v>-148.48726457818174</v>
      </c>
      <c r="AY151" s="448">
        <f t="shared" si="26"/>
        <v>-55.10355455101714</v>
      </c>
      <c r="AZ151" s="448">
        <f t="shared" si="27"/>
        <v>-78.121177819208526</v>
      </c>
      <c r="BA151" s="451">
        <f t="shared" si="33"/>
        <v>55.10355455101714</v>
      </c>
      <c r="BB151" s="451">
        <f t="shared" si="33"/>
        <v>78.121177819208526</v>
      </c>
      <c r="BD151" s="136"/>
      <c r="BF151" s="388"/>
      <c r="EK151" s="78"/>
      <c r="EL151" s="78"/>
    </row>
    <row r="152" spans="2:142" ht="21" thickBot="1" x14ac:dyDescent="0.25">
      <c r="B152" s="735">
        <v>11</v>
      </c>
      <c r="C152" s="278"/>
      <c r="D152" s="25">
        <v>0</v>
      </c>
      <c r="E152" s="257" t="s">
        <v>80</v>
      </c>
      <c r="F152" s="258"/>
      <c r="G152" s="258"/>
      <c r="H152" s="5">
        <v>479.77208100000001</v>
      </c>
      <c r="I152" s="5">
        <v>61.416098300000002</v>
      </c>
      <c r="J152" s="258">
        <f t="shared" si="28"/>
        <v>61.416098300000002</v>
      </c>
      <c r="K152" s="258">
        <f t="shared" si="9"/>
        <v>30.708049150000001</v>
      </c>
      <c r="L152" s="258">
        <f t="shared" si="10"/>
        <v>0.51066370850547771</v>
      </c>
      <c r="M152" s="258">
        <f t="shared" si="11"/>
        <v>245.00219012085046</v>
      </c>
      <c r="N152" s="258">
        <f t="shared" si="12"/>
        <v>490.00438024170091</v>
      </c>
      <c r="O152" s="258">
        <f>+C142+D143+D144+D145+D146+D147+D148+D149+D150+D151+(D152/2)</f>
        <v>0</v>
      </c>
      <c r="P152" s="258">
        <f t="shared" si="13"/>
        <v>0</v>
      </c>
      <c r="Q152" s="258">
        <f t="shared" si="14"/>
        <v>0</v>
      </c>
      <c r="R152" s="258">
        <f t="shared" si="15"/>
        <v>343.49989132317432</v>
      </c>
      <c r="S152" s="258">
        <f t="shared" si="29"/>
        <v>343.49989132317432</v>
      </c>
      <c r="T152" s="258">
        <f t="shared" si="4"/>
        <v>343.49989132317432</v>
      </c>
      <c r="U152" s="258"/>
      <c r="V152" s="258">
        <f t="shared" si="5"/>
        <v>0</v>
      </c>
      <c r="W152" s="258"/>
      <c r="X152" s="258"/>
      <c r="Y152" s="258"/>
      <c r="Z152" s="258"/>
      <c r="AA152" s="258"/>
      <c r="AB152" s="258"/>
      <c r="AC152" s="514" t="b">
        <f>IF(AD152=11,AF152)</f>
        <v>0</v>
      </c>
      <c r="AD152" s="514">
        <f t="shared" si="6"/>
        <v>1</v>
      </c>
      <c r="AE152" s="514">
        <f>IF(V152=0,0,11)</f>
        <v>0</v>
      </c>
      <c r="AF152" s="437">
        <f>SUM(V152:V153)/($B$139-B151)</f>
        <v>0</v>
      </c>
      <c r="AG152" s="437"/>
      <c r="AH152" s="450">
        <f>SUM(D143:D152)+$C$142</f>
        <v>0</v>
      </c>
      <c r="AI152" s="717" t="b">
        <f t="shared" si="7"/>
        <v>0</v>
      </c>
      <c r="AJ152" s="380">
        <f t="shared" si="16"/>
        <v>54.5017821</v>
      </c>
      <c r="AK152" s="718">
        <f t="shared" si="30"/>
        <v>0.81413357986421619</v>
      </c>
      <c r="AL152" s="380">
        <f t="shared" si="17"/>
        <v>343.49924001631013</v>
      </c>
      <c r="AM152" s="380">
        <f t="shared" si="18"/>
        <v>58.734415599999998</v>
      </c>
      <c r="AN152" s="442">
        <f t="shared" si="19"/>
        <v>0.85477073319485097</v>
      </c>
      <c r="AO152" s="382">
        <f t="shared" si="20"/>
        <v>403.50307231196138</v>
      </c>
      <c r="AP152" s="519">
        <f t="shared" si="8"/>
        <v>-29.797829746763771</v>
      </c>
      <c r="AQ152" s="382">
        <f t="shared" si="31"/>
        <v>-513</v>
      </c>
      <c r="AR152" s="519">
        <f t="shared" si="32"/>
        <v>-416</v>
      </c>
      <c r="AS152" s="444">
        <f t="shared" si="21"/>
        <v>747.0023123282715</v>
      </c>
      <c r="AT152" s="445">
        <f t="shared" si="22"/>
        <v>-343.49924001631013</v>
      </c>
      <c r="AU152" s="446">
        <f t="shared" si="23"/>
        <v>313.70141026954633</v>
      </c>
      <c r="AV152" s="719"/>
      <c r="AW152" s="447">
        <f t="shared" si="24"/>
        <v>-241.30203117392369</v>
      </c>
      <c r="AX152" s="447">
        <f t="shared" si="25"/>
        <v>-174.69796882607628</v>
      </c>
      <c r="AY152" s="448">
        <f t="shared" si="26"/>
        <v>-48.07253359437761</v>
      </c>
      <c r="AZ152" s="448">
        <f t="shared" si="27"/>
        <v>-66.400314084639362</v>
      </c>
      <c r="BA152" s="451">
        <f t="shared" si="33"/>
        <v>48.07253359437761</v>
      </c>
      <c r="BB152" s="451">
        <f t="shared" si="33"/>
        <v>66.400314084639362</v>
      </c>
      <c r="BD152" s="136"/>
      <c r="BF152" s="388"/>
      <c r="EK152" s="78"/>
      <c r="EL152" s="78"/>
    </row>
    <row r="153" spans="2:142" ht="21" thickBot="1" x14ac:dyDescent="0.25">
      <c r="B153" s="735">
        <v>12</v>
      </c>
      <c r="C153" s="278"/>
      <c r="D153" s="25">
        <v>0</v>
      </c>
      <c r="E153" s="257" t="s">
        <v>80</v>
      </c>
      <c r="F153" s="258"/>
      <c r="G153" s="258"/>
      <c r="H153" s="5">
        <v>479.77208100000001</v>
      </c>
      <c r="I153" s="5">
        <v>61.416098300000002</v>
      </c>
      <c r="J153" s="258">
        <f t="shared" si="28"/>
        <v>61.416098300000002</v>
      </c>
      <c r="K153" s="258">
        <f t="shared" si="9"/>
        <v>30.708049150000001</v>
      </c>
      <c r="L153" s="258">
        <f t="shared" si="10"/>
        <v>0.51066370850547771</v>
      </c>
      <c r="M153" s="258">
        <f t="shared" si="11"/>
        <v>245.00219012085046</v>
      </c>
      <c r="N153" s="258">
        <f t="shared" si="12"/>
        <v>490.00438024170091</v>
      </c>
      <c r="O153" s="258">
        <f>+C142+D143+D144+D145+D146+D147+D148+D149+D150+D151+D152+(D153/2)</f>
        <v>0</v>
      </c>
      <c r="P153" s="258">
        <f t="shared" si="13"/>
        <v>0</v>
      </c>
      <c r="Q153" s="258">
        <f t="shared" si="14"/>
        <v>0</v>
      </c>
      <c r="R153" s="258">
        <f t="shared" si="15"/>
        <v>343.49989132317432</v>
      </c>
      <c r="S153" s="258">
        <f t="shared" si="29"/>
        <v>343.49989132317432</v>
      </c>
      <c r="T153" s="258">
        <f t="shared" si="4"/>
        <v>343.49989132317432</v>
      </c>
      <c r="U153" s="258"/>
      <c r="V153" s="258">
        <f t="shared" si="5"/>
        <v>0</v>
      </c>
      <c r="W153" s="258"/>
      <c r="X153" s="258"/>
      <c r="Y153" s="258"/>
      <c r="Z153" s="258"/>
      <c r="AA153" s="258"/>
      <c r="AB153" s="258"/>
      <c r="AC153" s="514" t="b">
        <f>IF(AD153=12,AF153)</f>
        <v>0</v>
      </c>
      <c r="AD153" s="514">
        <f t="shared" si="6"/>
        <v>1</v>
      </c>
      <c r="AE153" s="514">
        <f>IF(V153=0,0,12)</f>
        <v>0</v>
      </c>
      <c r="AF153" s="437">
        <f>SUM(V153)/($B$139-B152)</f>
        <v>0</v>
      </c>
      <c r="AG153" s="437"/>
      <c r="AH153" s="450">
        <f>SUM(D143:D153)+$C$142</f>
        <v>0</v>
      </c>
      <c r="AI153" s="717" t="b">
        <f t="shared" si="7"/>
        <v>0</v>
      </c>
      <c r="AJ153" s="380">
        <f t="shared" si="16"/>
        <v>54.5017821</v>
      </c>
      <c r="AK153" s="718">
        <f t="shared" si="30"/>
        <v>0.81413357986421619</v>
      </c>
      <c r="AL153" s="380">
        <f t="shared" si="17"/>
        <v>343.49924001631013</v>
      </c>
      <c r="AM153" s="380">
        <f t="shared" si="18"/>
        <v>58.734415599999998</v>
      </c>
      <c r="AN153" s="442">
        <f t="shared" si="19"/>
        <v>0.85477073319485097</v>
      </c>
      <c r="AO153" s="382">
        <f t="shared" si="20"/>
        <v>403.50307231196138</v>
      </c>
      <c r="AP153" s="519">
        <f t="shared" si="8"/>
        <v>-26.206970770938113</v>
      </c>
      <c r="AQ153" s="382">
        <f t="shared" si="31"/>
        <v>-570</v>
      </c>
      <c r="AR153" s="519">
        <f t="shared" si="32"/>
        <v>-473</v>
      </c>
      <c r="AS153" s="444">
        <f t="shared" si="21"/>
        <v>747.0023123282715</v>
      </c>
      <c r="AT153" s="445">
        <f t="shared" si="22"/>
        <v>-343.49924001631013</v>
      </c>
      <c r="AU153" s="446">
        <f t="shared" si="23"/>
        <v>317.29226924537204</v>
      </c>
      <c r="AV153" s="719"/>
      <c r="AW153" s="447">
        <f t="shared" si="24"/>
        <v>-272.09132692602913</v>
      </c>
      <c r="AX153" s="447">
        <f t="shared" si="25"/>
        <v>-200.90867307397087</v>
      </c>
      <c r="AY153" s="448">
        <f t="shared" si="26"/>
        <v>-42.632744420970027</v>
      </c>
      <c r="AZ153" s="448">
        <f t="shared" si="27"/>
        <v>-57.737676639420606</v>
      </c>
      <c r="BA153" s="451">
        <f t="shared" si="33"/>
        <v>42.632744420970027</v>
      </c>
      <c r="BB153" s="451">
        <f t="shared" si="33"/>
        <v>57.737676639420606</v>
      </c>
      <c r="BD153" s="136"/>
      <c r="BF153" s="388"/>
      <c r="EK153" s="78"/>
      <c r="EL153" s="78"/>
    </row>
    <row r="154" spans="2:142" ht="37.5" hidden="1" customHeight="1" thickBot="1" x14ac:dyDescent="0.25">
      <c r="B154" s="720"/>
      <c r="D154" s="721"/>
      <c r="E154" s="722"/>
      <c r="F154" s="722"/>
      <c r="G154" s="722"/>
      <c r="H154" s="23"/>
      <c r="I154" s="23"/>
      <c r="J154" s="722"/>
      <c r="K154" s="722"/>
      <c r="L154" s="722"/>
      <c r="M154" s="722"/>
      <c r="N154" s="722"/>
      <c r="O154" s="722"/>
      <c r="P154" s="722"/>
      <c r="Q154" s="722"/>
      <c r="R154" s="722"/>
      <c r="S154" s="722"/>
      <c r="T154" s="722"/>
      <c r="U154" s="722"/>
      <c r="V154" s="722"/>
      <c r="W154" s="722"/>
      <c r="X154" s="722"/>
      <c r="Y154" s="722"/>
      <c r="Z154" s="722"/>
      <c r="AA154" s="722"/>
      <c r="AB154" s="722"/>
      <c r="AC154" s="514"/>
      <c r="AD154" s="514"/>
      <c r="AE154" s="514"/>
      <c r="AF154" s="437"/>
      <c r="AG154" s="437"/>
      <c r="AH154" s="450"/>
      <c r="AI154" s="717"/>
      <c r="AJ154" s="24"/>
      <c r="AK154" s="426"/>
      <c r="AL154" s="24"/>
      <c r="AM154" s="24"/>
      <c r="AN154" s="723"/>
      <c r="AO154" s="24"/>
      <c r="AP154" s="446"/>
      <c r="AQ154" s="724"/>
      <c r="AR154" s="446"/>
      <c r="AS154" s="445"/>
      <c r="AT154" s="445"/>
      <c r="AU154" s="446"/>
      <c r="AV154" s="719"/>
      <c r="AW154" s="447"/>
      <c r="AX154" s="447"/>
      <c r="AY154" s="725"/>
      <c r="AZ154" s="725"/>
      <c r="BA154" s="726"/>
      <c r="BB154" s="726"/>
      <c r="BD154" s="136"/>
      <c r="BF154" s="388"/>
      <c r="EK154" s="78"/>
      <c r="EL154" s="78"/>
    </row>
    <row r="155" spans="2:142" ht="22" hidden="1" thickBot="1" x14ac:dyDescent="0.25">
      <c r="B155" s="1923"/>
      <c r="D155" s="721"/>
      <c r="E155" s="722"/>
      <c r="F155" s="722"/>
      <c r="G155" s="722"/>
      <c r="H155" s="23"/>
      <c r="I155" s="23"/>
      <c r="J155" s="722"/>
      <c r="K155" s="722"/>
      <c r="L155" s="722"/>
      <c r="M155" s="722"/>
      <c r="N155" s="722"/>
      <c r="O155" s="722"/>
      <c r="P155" s="722"/>
      <c r="Q155" s="722"/>
      <c r="R155" s="722"/>
      <c r="S155" s="722"/>
      <c r="T155" s="722"/>
      <c r="U155" s="722"/>
      <c r="V155" s="722"/>
      <c r="W155" s="722"/>
      <c r="X155" s="722"/>
      <c r="Y155" s="722"/>
      <c r="Z155" s="722"/>
      <c r="AA155" s="722"/>
      <c r="AB155" s="722"/>
      <c r="AC155" s="514"/>
      <c r="AD155" s="514"/>
      <c r="AE155" s="514"/>
      <c r="AF155" s="437"/>
      <c r="AG155" s="437"/>
      <c r="AH155" s="554" t="s">
        <v>79</v>
      </c>
      <c r="AI155" s="555">
        <f>MAX(AI142:AI153)</f>
        <v>0</v>
      </c>
      <c r="AJ155" s="24"/>
      <c r="AK155" s="426"/>
      <c r="AL155" s="855" t="s">
        <v>190</v>
      </c>
      <c r="AM155" s="856"/>
      <c r="AN155" s="856"/>
      <c r="AO155" s="856"/>
      <c r="AP155" s="857"/>
      <c r="AQ155" s="724"/>
      <c r="AR155" s="446"/>
      <c r="AS155" s="445"/>
      <c r="AT155" s="445"/>
      <c r="AU155" s="446"/>
      <c r="AV155" s="719"/>
      <c r="AW155" s="447"/>
      <c r="AX155" s="447"/>
      <c r="AY155" s="725"/>
      <c r="AZ155" s="725"/>
      <c r="BA155" s="726"/>
      <c r="BB155" s="726"/>
      <c r="BD155" s="136"/>
      <c r="BF155" s="388"/>
      <c r="EK155" s="78"/>
      <c r="EL155" s="78"/>
    </row>
    <row r="156" spans="2:142" ht="59.25" hidden="1" customHeight="1" thickBot="1" x14ac:dyDescent="0.25">
      <c r="B156" s="1923"/>
      <c r="D156" s="721"/>
      <c r="E156" s="722"/>
      <c r="F156" s="722"/>
      <c r="G156" s="722"/>
      <c r="H156" s="23"/>
      <c r="I156" s="23"/>
      <c r="J156" s="722"/>
      <c r="K156" s="722"/>
      <c r="L156" s="722"/>
      <c r="M156" s="722"/>
      <c r="N156" s="722"/>
      <c r="O156" s="722"/>
      <c r="P156" s="722"/>
      <c r="Q156" s="722"/>
      <c r="R156" s="722"/>
      <c r="S156" s="722"/>
      <c r="T156" s="722"/>
      <c r="U156" s="722"/>
      <c r="V156" s="722"/>
      <c r="W156" s="722"/>
      <c r="X156" s="722"/>
      <c r="Y156" s="722"/>
      <c r="Z156" s="722"/>
      <c r="AA156" s="722"/>
      <c r="AB156" s="722"/>
      <c r="AC156" s="514"/>
      <c r="AD156" s="514"/>
      <c r="AE156" s="514"/>
      <c r="AF156" s="437"/>
      <c r="AG156" s="437"/>
      <c r="AH156" s="450"/>
      <c r="AI156" s="717"/>
      <c r="AJ156" s="24"/>
      <c r="AK156" s="426"/>
      <c r="AL156" s="858" t="s">
        <v>175</v>
      </c>
      <c r="AM156" s="859" t="s">
        <v>176</v>
      </c>
      <c r="AN156" s="859" t="s">
        <v>177</v>
      </c>
      <c r="AO156" s="860" t="s">
        <v>181</v>
      </c>
      <c r="AP156" s="861"/>
      <c r="AQ156" s="724"/>
      <c r="AR156" s="446"/>
      <c r="AS156" s="445"/>
      <c r="AT156" s="445"/>
      <c r="AU156" s="446"/>
      <c r="AV156" s="719"/>
      <c r="AW156" s="447"/>
      <c r="AX156" s="447"/>
      <c r="AY156" s="725"/>
      <c r="AZ156" s="725"/>
      <c r="BA156" s="726"/>
      <c r="BB156" s="726"/>
      <c r="BD156" s="136"/>
      <c r="BF156" s="388"/>
      <c r="EK156" s="78"/>
      <c r="EL156" s="78"/>
    </row>
    <row r="157" spans="2:142" ht="33.75" hidden="1" customHeight="1" thickBot="1" x14ac:dyDescent="0.25">
      <c r="B157" s="727"/>
      <c r="D157" s="721"/>
      <c r="E157" s="722"/>
      <c r="F157" s="722"/>
      <c r="G157" s="722"/>
      <c r="H157" s="23"/>
      <c r="I157" s="23"/>
      <c r="J157" s="722"/>
      <c r="K157" s="722"/>
      <c r="L157" s="722"/>
      <c r="M157" s="722"/>
      <c r="N157" s="722"/>
      <c r="O157" s="722"/>
      <c r="P157" s="722"/>
      <c r="Q157" s="722"/>
      <c r="R157" s="722"/>
      <c r="S157" s="722"/>
      <c r="T157" s="722"/>
      <c r="U157" s="722"/>
      <c r="V157" s="722"/>
      <c r="W157" s="722"/>
      <c r="X157" s="722"/>
      <c r="Y157" s="722"/>
      <c r="Z157" s="722"/>
      <c r="AA157" s="722"/>
      <c r="AB157" s="722"/>
      <c r="AC157" s="514"/>
      <c r="AD157" s="514"/>
      <c r="AE157" s="514"/>
      <c r="AF157" s="437"/>
      <c r="AG157" s="437"/>
      <c r="AH157" s="450"/>
      <c r="AI157" s="717"/>
      <c r="AJ157" s="24"/>
      <c r="AK157" s="426"/>
      <c r="AL157" s="862">
        <v>6.8623010000000004</v>
      </c>
      <c r="AM157" s="863">
        <f>+(AI154*-1)-AL157</f>
        <v>-6.8623010000000004</v>
      </c>
      <c r="AN157" s="864">
        <f>COS(AM157*3.14159265358979/180)</f>
        <v>0.99283617366519983</v>
      </c>
      <c r="AO157" s="865">
        <f>+AN157*378.71303</f>
        <v>375.99999562235405</v>
      </c>
      <c r="AP157" s="866"/>
      <c r="AQ157" s="724"/>
      <c r="AR157" s="446"/>
      <c r="AS157" s="445"/>
      <c r="AT157" s="445"/>
      <c r="AU157" s="446"/>
      <c r="AV157" s="719"/>
      <c r="AW157" s="447"/>
      <c r="AX157" s="447"/>
      <c r="AY157" s="725"/>
      <c r="AZ157" s="725"/>
      <c r="BA157" s="726"/>
      <c r="BB157" s="726"/>
      <c r="BD157" s="136"/>
      <c r="BF157" s="388"/>
      <c r="EK157" s="78"/>
      <c r="EL157" s="78"/>
    </row>
    <row r="158" spans="2:142" ht="21" hidden="1" thickBot="1" x14ac:dyDescent="0.25">
      <c r="B158" s="720"/>
      <c r="D158" s="721"/>
      <c r="E158" s="722"/>
      <c r="F158" s="722"/>
      <c r="G158" s="722"/>
      <c r="H158" s="23"/>
      <c r="I158" s="23"/>
      <c r="J158" s="722"/>
      <c r="K158" s="722"/>
      <c r="L158" s="722"/>
      <c r="M158" s="722"/>
      <c r="N158" s="722"/>
      <c r="O158" s="722"/>
      <c r="P158" s="722"/>
      <c r="Q158" s="722"/>
      <c r="R158" s="722"/>
      <c r="S158" s="722"/>
      <c r="T158" s="722"/>
      <c r="U158" s="722"/>
      <c r="V158" s="722"/>
      <c r="W158" s="722"/>
      <c r="X158" s="722"/>
      <c r="Y158" s="722"/>
      <c r="Z158" s="722"/>
      <c r="AA158" s="722"/>
      <c r="AB158" s="722"/>
      <c r="AC158" s="514"/>
      <c r="AD158" s="514"/>
      <c r="AE158" s="514"/>
      <c r="AF158" s="437"/>
      <c r="AG158" s="437"/>
      <c r="AH158" s="450"/>
      <c r="AI158" s="717"/>
      <c r="AJ158" s="24"/>
      <c r="AK158" s="426"/>
      <c r="AL158" s="867" t="s">
        <v>189</v>
      </c>
      <c r="AM158" s="849"/>
      <c r="AN158" s="849"/>
      <c r="AO158" s="849"/>
      <c r="AP158" s="868"/>
      <c r="AQ158" s="724"/>
      <c r="AR158" s="446"/>
      <c r="AS158" s="445"/>
      <c r="AT158" s="445"/>
      <c r="AU158" s="446"/>
      <c r="AV158" s="719"/>
      <c r="AW158" s="447"/>
      <c r="AX158" s="447"/>
      <c r="AY158" s="725"/>
      <c r="AZ158" s="725"/>
      <c r="BA158" s="726"/>
      <c r="BB158" s="726"/>
      <c r="BD158" s="136"/>
      <c r="BF158" s="388"/>
      <c r="EK158" s="78"/>
      <c r="EL158" s="78"/>
    </row>
    <row r="159" spans="2:142" ht="24" customHeight="1" thickBot="1" x14ac:dyDescent="0.25">
      <c r="U159" s="276"/>
      <c r="AL159" s="869"/>
      <c r="AM159" s="859" t="s">
        <v>194</v>
      </c>
      <c r="AN159" s="859" t="s">
        <v>193</v>
      </c>
      <c r="AO159" s="860" t="s">
        <v>206</v>
      </c>
      <c r="AP159" s="870" t="s">
        <v>191</v>
      </c>
      <c r="BD159" s="136"/>
      <c r="EK159" s="78"/>
      <c r="EL159" s="78"/>
    </row>
    <row r="160" spans="2:142" ht="64" thickBot="1" x14ac:dyDescent="0.25">
      <c r="B160" s="345" t="s">
        <v>118</v>
      </c>
      <c r="C160" s="454"/>
      <c r="D160" s="455"/>
      <c r="E160" s="37"/>
      <c r="F160" s="37"/>
      <c r="G160" s="37"/>
      <c r="S160" s="728" t="s">
        <v>66</v>
      </c>
      <c r="T160" s="728">
        <f>SUM(V164:V183)/B161</f>
        <v>213.83080000000001</v>
      </c>
      <c r="U160" s="212"/>
      <c r="V160" s="187"/>
      <c r="AB160" s="187"/>
      <c r="AC160" s="187"/>
      <c r="AD160" s="187"/>
      <c r="AE160" s="187"/>
      <c r="AF160" s="187"/>
      <c r="AG160" s="187"/>
      <c r="AH160" s="187"/>
      <c r="AI160" s="187"/>
      <c r="AJ160" s="187"/>
      <c r="AK160" s="187"/>
      <c r="AL160" s="871"/>
      <c r="AM160" s="872">
        <f>+AI155</f>
        <v>0</v>
      </c>
      <c r="AN160" s="873">
        <f>SIN(AM160*3.14159265358979/180)</f>
        <v>0</v>
      </c>
      <c r="AO160" s="874">
        <f>+AN160*((+B139*491.5)+119)</f>
        <v>0</v>
      </c>
      <c r="AP160" s="875">
        <f>+AO157+AO160</f>
        <v>375.99999562235405</v>
      </c>
      <c r="AQ160" s="187"/>
      <c r="AR160" s="187"/>
      <c r="AS160" s="187"/>
      <c r="AT160" s="187"/>
      <c r="AU160" s="187"/>
      <c r="AV160" s="187"/>
      <c r="AW160" s="187"/>
      <c r="AX160" s="187"/>
      <c r="AY160" s="187"/>
      <c r="AZ160" s="187"/>
      <c r="BA160" s="187"/>
      <c r="BB160" s="187"/>
      <c r="BC160" s="126"/>
      <c r="BE160" s="136"/>
      <c r="BF160" s="136"/>
      <c r="BG160" s="136"/>
      <c r="BH160" s="136"/>
      <c r="BI160" s="136"/>
      <c r="BJ160" s="136"/>
      <c r="BK160" s="136"/>
      <c r="BL160" s="136"/>
      <c r="BM160" s="402"/>
      <c r="BN160" s="136"/>
      <c r="BO160" s="1091"/>
      <c r="BP160" s="78"/>
      <c r="BQ160" s="199"/>
      <c r="BR160" s="199"/>
      <c r="BS160" s="199"/>
      <c r="BT160" s="199"/>
      <c r="BU160" s="199"/>
      <c r="BV160" s="199"/>
      <c r="BW160" s="199"/>
      <c r="BX160" s="199"/>
      <c r="BY160" s="199"/>
      <c r="BZ160" s="199"/>
      <c r="CA160" s="199"/>
      <c r="CB160" s="199"/>
      <c r="CC160" s="199"/>
      <c r="CD160" s="199"/>
      <c r="CE160" s="199"/>
      <c r="CF160" s="199"/>
      <c r="CG160" s="199"/>
      <c r="CH160" s="199"/>
      <c r="CI160" s="199"/>
      <c r="CJ160" s="199"/>
      <c r="CK160" s="199"/>
      <c r="CL160" s="199"/>
      <c r="CM160" s="199"/>
      <c r="CN160" s="199"/>
      <c r="CO160" s="199"/>
      <c r="CP160" s="199"/>
      <c r="CQ160" s="199"/>
      <c r="CR160" s="199"/>
      <c r="CS160" s="199"/>
      <c r="CT160" s="199"/>
      <c r="CU160" s="199"/>
      <c r="CV160" s="199"/>
      <c r="CW160" s="199"/>
      <c r="CX160" s="199"/>
      <c r="CY160" s="199"/>
      <c r="CZ160" s="199"/>
      <c r="DA160" s="199"/>
      <c r="DB160" s="199"/>
    </row>
    <row r="161" spans="1:109" ht="42.75" customHeight="1" thickBot="1" x14ac:dyDescent="0.3">
      <c r="B161" s="27">
        <v>1</v>
      </c>
      <c r="C161" s="216"/>
      <c r="D161" s="549" t="s">
        <v>139</v>
      </c>
      <c r="E161" s="330"/>
      <c r="F161" s="330"/>
      <c r="G161" s="330"/>
      <c r="H161" s="460"/>
      <c r="I161" s="461"/>
      <c r="J161" s="461"/>
      <c r="K161" s="461"/>
      <c r="L161" s="461"/>
      <c r="M161" s="461"/>
      <c r="N161" s="461"/>
      <c r="O161" s="461"/>
      <c r="P161" s="461"/>
      <c r="Q161" s="461"/>
      <c r="R161" s="461"/>
      <c r="S161" s="462"/>
      <c r="T161" s="463"/>
      <c r="U161" s="401"/>
      <c r="V161" s="464"/>
      <c r="W161" s="1850" t="s">
        <v>93</v>
      </c>
      <c r="X161" s="1850"/>
      <c r="Y161" s="1850"/>
      <c r="Z161" s="1850"/>
      <c r="AA161" s="1850"/>
      <c r="AB161" s="464"/>
      <c r="AC161" s="464"/>
      <c r="AD161" s="464"/>
      <c r="AE161" s="464"/>
      <c r="AF161" s="464"/>
      <c r="AG161" s="464"/>
      <c r="AH161" s="464"/>
      <c r="AI161" s="464"/>
      <c r="AJ161" s="464"/>
      <c r="AK161" s="464"/>
      <c r="AL161" s="464"/>
      <c r="AM161" s="464"/>
      <c r="AN161" s="464"/>
      <c r="AO161" s="464"/>
      <c r="AP161" s="464"/>
      <c r="AQ161" s="464"/>
      <c r="AR161" s="464"/>
      <c r="AS161" s="464"/>
      <c r="AT161" s="464"/>
      <c r="AU161" s="464"/>
      <c r="AV161" s="464"/>
      <c r="AW161" s="464"/>
      <c r="AX161" s="464"/>
      <c r="AY161" s="464"/>
      <c r="AZ161" s="464"/>
      <c r="BA161" s="1848" t="s">
        <v>52</v>
      </c>
      <c r="BB161" s="1849"/>
      <c r="BC161" s="218"/>
      <c r="BE161" s="136"/>
      <c r="BF161" s="136"/>
      <c r="BG161" s="136"/>
      <c r="BH161" s="136"/>
      <c r="BI161" s="136"/>
      <c r="BJ161" s="136"/>
      <c r="BK161" s="136"/>
      <c r="BL161" s="136"/>
      <c r="BM161" s="402"/>
      <c r="BN161" s="136"/>
      <c r="BO161" s="1091"/>
      <c r="BP161" s="76"/>
      <c r="BQ161" s="76"/>
      <c r="BR161" s="76"/>
      <c r="BS161" s="76"/>
      <c r="BT161" s="76"/>
      <c r="BU161" s="76"/>
      <c r="BV161" s="202"/>
      <c r="BW161" s="202"/>
      <c r="BX161" s="202"/>
      <c r="BY161" s="202"/>
      <c r="BZ161" s="202"/>
      <c r="CA161" s="202"/>
      <c r="CB161" s="202"/>
      <c r="CC161" s="202"/>
      <c r="CD161" s="202"/>
      <c r="CE161" s="202"/>
      <c r="CF161" s="202"/>
      <c r="CG161" s="202"/>
      <c r="CH161" s="202"/>
      <c r="CI161" s="202"/>
      <c r="CJ161" s="78"/>
      <c r="CK161" s="78"/>
      <c r="CL161" s="78"/>
      <c r="CM161" s="78"/>
      <c r="CN161" s="78"/>
      <c r="CO161" s="78"/>
      <c r="CP161" s="78"/>
      <c r="CQ161" s="78"/>
      <c r="CR161" s="78"/>
      <c r="CS161" s="78"/>
      <c r="CT161" s="78"/>
      <c r="CU161" s="78"/>
      <c r="CV161" s="78"/>
      <c r="CW161" s="78"/>
      <c r="CX161" s="78"/>
      <c r="CY161" s="78"/>
      <c r="CZ161" s="78"/>
      <c r="DA161" s="78"/>
      <c r="DB161" s="78"/>
      <c r="DC161" s="78"/>
      <c r="DD161" s="78"/>
    </row>
    <row r="162" spans="1:109" ht="58" hidden="1" thickBot="1" x14ac:dyDescent="0.25">
      <c r="C162" s="416"/>
      <c r="D162" s="354"/>
      <c r="H162" s="500" t="s">
        <v>4</v>
      </c>
      <c r="I162" s="500" t="s">
        <v>1</v>
      </c>
      <c r="J162" s="456" t="s">
        <v>0</v>
      </c>
      <c r="K162" s="456" t="s">
        <v>2</v>
      </c>
      <c r="L162" s="456" t="s">
        <v>3</v>
      </c>
      <c r="M162" s="456" t="s">
        <v>8</v>
      </c>
      <c r="N162" s="456" t="s">
        <v>5</v>
      </c>
      <c r="O162" s="456" t="s">
        <v>6</v>
      </c>
      <c r="P162" s="456" t="s">
        <v>7</v>
      </c>
      <c r="Q162" s="456" t="s">
        <v>9</v>
      </c>
      <c r="R162" s="466" t="s">
        <v>10</v>
      </c>
      <c r="S162" s="456" t="s">
        <v>11</v>
      </c>
      <c r="T162" s="467" t="s">
        <v>12</v>
      </c>
      <c r="V162" s="420"/>
      <c r="W162" s="356" t="s">
        <v>140</v>
      </c>
      <c r="X162" s="316" t="s">
        <v>94</v>
      </c>
      <c r="Y162" s="356" t="s">
        <v>141</v>
      </c>
      <c r="Z162" s="419" t="s">
        <v>100</v>
      </c>
      <c r="AA162" s="419" t="s">
        <v>96</v>
      </c>
      <c r="AB162" s="420"/>
      <c r="AC162" s="457" t="s">
        <v>99</v>
      </c>
      <c r="AD162" s="457"/>
      <c r="AE162" s="457"/>
      <c r="AF162" s="420"/>
      <c r="AG162" s="420"/>
      <c r="AH162" s="420"/>
      <c r="AI162" s="420"/>
      <c r="AJ162" s="420"/>
      <c r="AK162" s="420"/>
      <c r="AL162" s="420"/>
      <c r="AM162" s="420"/>
      <c r="AN162" s="420"/>
      <c r="AO162" s="420"/>
      <c r="AP162" s="420"/>
      <c r="AQ162" s="420"/>
      <c r="AR162" s="420"/>
      <c r="AS162" s="420"/>
      <c r="AT162" s="420"/>
      <c r="AU162" s="420" t="s">
        <v>135</v>
      </c>
      <c r="AV162" s="420"/>
      <c r="AW162" s="420"/>
      <c r="AX162" s="420"/>
      <c r="AY162" s="415"/>
      <c r="AZ162" s="420"/>
      <c r="BA162" s="420"/>
      <c r="BB162" s="420"/>
      <c r="BC162" s="231"/>
      <c r="BE162" s="136"/>
      <c r="BF162" s="136"/>
      <c r="BG162" s="136"/>
      <c r="BH162" s="136"/>
      <c r="BI162" s="136"/>
      <c r="BJ162" s="136"/>
      <c r="BK162" s="136"/>
      <c r="BL162" s="136"/>
      <c r="BM162" s="402"/>
      <c r="BN162" s="136"/>
      <c r="BO162" s="1091"/>
      <c r="BP162" s="126"/>
      <c r="BQ162" s="126"/>
      <c r="BR162" s="126"/>
      <c r="BS162" s="126"/>
      <c r="BT162" s="126"/>
      <c r="BU162" s="126"/>
      <c r="BV162" s="203"/>
      <c r="BW162" s="203"/>
      <c r="BX162" s="203"/>
      <c r="BY162" s="203"/>
      <c r="BZ162" s="203"/>
      <c r="CA162" s="203"/>
      <c r="CB162" s="203"/>
      <c r="CC162" s="203"/>
      <c r="CD162" s="203"/>
      <c r="CE162" s="203"/>
      <c r="CF162" s="203"/>
      <c r="CG162" s="203"/>
      <c r="CH162" s="203"/>
      <c r="CI162" s="203"/>
    </row>
    <row r="163" spans="1:109" ht="46.5" customHeight="1" thickBot="1" x14ac:dyDescent="0.25">
      <c r="B163" s="501"/>
      <c r="C163" s="237"/>
      <c r="D163" s="502" t="s">
        <v>22</v>
      </c>
      <c r="E163" s="330"/>
      <c r="F163" s="503"/>
      <c r="G163" s="240"/>
      <c r="H163" s="469"/>
      <c r="I163" s="470"/>
      <c r="R163" s="466"/>
      <c r="T163" s="471"/>
      <c r="V163" s="420"/>
      <c r="W163" s="420"/>
      <c r="X163" s="420"/>
      <c r="Y163" s="420"/>
      <c r="Z163" s="420"/>
      <c r="AA163" s="420"/>
      <c r="AB163" s="420"/>
      <c r="AC163" s="484">
        <f>SUM(AC164:AC183)</f>
        <v>213.83080000000001</v>
      </c>
      <c r="AD163" s="48"/>
      <c r="AE163" s="48"/>
      <c r="AF163" s="420" t="s">
        <v>38</v>
      </c>
      <c r="AG163" s="552" t="s">
        <v>101</v>
      </c>
      <c r="AH163" s="425" t="s">
        <v>31</v>
      </c>
      <c r="AI163" s="504"/>
      <c r="AJ163" s="368" t="s">
        <v>120</v>
      </c>
      <c r="AK163" s="426" t="s">
        <v>32</v>
      </c>
      <c r="AL163" s="472" t="s">
        <v>142</v>
      </c>
      <c r="AM163" s="368" t="s">
        <v>121</v>
      </c>
      <c r="AN163" s="427" t="s">
        <v>34</v>
      </c>
      <c r="AO163" s="472" t="s">
        <v>143</v>
      </c>
      <c r="AP163" s="428" t="s">
        <v>48</v>
      </c>
      <c r="AQ163" s="250" t="s">
        <v>36</v>
      </c>
      <c r="AR163" s="428" t="s">
        <v>144</v>
      </c>
      <c r="AS163" s="420" t="s">
        <v>37</v>
      </c>
      <c r="AT163" s="420" t="s">
        <v>39</v>
      </c>
      <c r="AU163" s="428" t="s">
        <v>145</v>
      </c>
      <c r="AV163" s="420"/>
      <c r="AW163" s="429" t="s">
        <v>41</v>
      </c>
      <c r="AX163" s="429" t="s">
        <v>42</v>
      </c>
      <c r="AY163" s="430" t="s">
        <v>23</v>
      </c>
      <c r="AZ163" s="430" t="s">
        <v>24</v>
      </c>
      <c r="BA163" s="557" t="s">
        <v>23</v>
      </c>
      <c r="BB163" s="557" t="s">
        <v>24</v>
      </c>
      <c r="BE163" s="136"/>
      <c r="BF163" s="136"/>
      <c r="BG163" s="136"/>
      <c r="BH163" s="136"/>
      <c r="BI163" s="136"/>
      <c r="BJ163" s="136"/>
      <c r="BM163" s="402"/>
      <c r="BN163" s="187"/>
      <c r="BO163" s="1091"/>
      <c r="BP163" s="64"/>
      <c r="BS163" s="126"/>
      <c r="BT163" s="126"/>
      <c r="BU163" s="126"/>
      <c r="BV163" s="203"/>
      <c r="BW163" s="203"/>
      <c r="BX163" s="203"/>
      <c r="BY163" s="203"/>
      <c r="BZ163" s="203"/>
      <c r="CA163" s="203"/>
      <c r="CB163" s="203"/>
      <c r="CC163" s="203"/>
      <c r="CD163" s="203"/>
      <c r="CE163" s="203"/>
      <c r="CF163" s="203"/>
      <c r="CG163" s="203"/>
      <c r="CH163" s="203"/>
      <c r="CI163" s="203"/>
      <c r="CR163" s="64"/>
    </row>
    <row r="164" spans="1:109" ht="21" customHeight="1" thickBot="1" x14ac:dyDescent="0.25">
      <c r="B164" s="255">
        <v>1</v>
      </c>
      <c r="C164" s="715">
        <f>+D164+AI155</f>
        <v>0</v>
      </c>
      <c r="D164" s="25">
        <v>0</v>
      </c>
      <c r="E164" s="257" t="s">
        <v>119</v>
      </c>
      <c r="F164" s="258"/>
      <c r="G164" s="258">
        <f>+D164</f>
        <v>0</v>
      </c>
      <c r="H164" s="506">
        <v>279.06049999999999</v>
      </c>
      <c r="I164" s="507">
        <v>79.962900599999998</v>
      </c>
      <c r="J164" s="508">
        <f>+I164-C164</f>
        <v>79.962900599999998</v>
      </c>
      <c r="K164" s="508">
        <f>+J164/2</f>
        <v>39.981450299999999</v>
      </c>
      <c r="L164" s="508">
        <f t="shared" ref="L164:L183" si="34">SIN(K164*3.14159265358979/180)</f>
        <v>0.64253956655634092</v>
      </c>
      <c r="M164" s="508">
        <f t="shared" ref="M164:M183" si="35">+L164*H164</f>
        <v>179.30741271299578</v>
      </c>
      <c r="N164" s="508">
        <f t="shared" ref="N164:N183" si="36">+M164*2</f>
        <v>358.61482542599157</v>
      </c>
      <c r="O164" s="508">
        <f>+C164/2</f>
        <v>0</v>
      </c>
      <c r="P164" s="508">
        <f t="shared" ref="P164:P183" si="37">SIN(O164*3.14159265358979/180)</f>
        <v>0</v>
      </c>
      <c r="Q164" s="508">
        <f t="shared" ref="Q164:Q183" si="38">+P164*N164</f>
        <v>0</v>
      </c>
      <c r="R164" s="509">
        <v>213.83080000000001</v>
      </c>
      <c r="S164" s="508">
        <f>+R164+Q164</f>
        <v>213.83080000000001</v>
      </c>
      <c r="T164" s="510">
        <f t="shared" ref="T164:T183" si="39">+S164</f>
        <v>213.83080000000001</v>
      </c>
      <c r="U164" s="456"/>
      <c r="V164" s="511">
        <f t="shared" ref="V164:V183" si="40">IF(B164&lt;($B$161+1),T164,0)</f>
        <v>213.83080000000001</v>
      </c>
      <c r="W164" s="512">
        <v>39.981450000000002</v>
      </c>
      <c r="X164" s="511">
        <f>+W164+AI186</f>
        <v>39.981450000000002</v>
      </c>
      <c r="Y164" s="512">
        <v>279.06049999999999</v>
      </c>
      <c r="Z164" s="419">
        <f>+COS(X164*3.14159265358979/180)*Y164</f>
        <v>213.83080883710866</v>
      </c>
      <c r="AA164" s="513">
        <f>+AC163-Z164</f>
        <v>-8.8371086519600794E-6</v>
      </c>
      <c r="AB164" s="477" t="str">
        <f>IF(AZ164&lt;0,"use the locking pin"," ")</f>
        <v xml:space="preserve"> </v>
      </c>
      <c r="AC164" s="514">
        <f>IF(AD164=1,AF164)</f>
        <v>213.83080000000001</v>
      </c>
      <c r="AD164" s="514">
        <f t="shared" ref="AD164:AD183" si="41">MAX(AE$164:AE$183)</f>
        <v>1</v>
      </c>
      <c r="AE164" s="514">
        <f>IF(V164=0,0,1)</f>
        <v>1</v>
      </c>
      <c r="AF164" s="511">
        <f>SUM(V164:V183)/($B$161)</f>
        <v>213.83080000000001</v>
      </c>
      <c r="AG164" s="437">
        <f>+AA142+$AF$164</f>
        <v>213.83080000000001</v>
      </c>
      <c r="AH164" s="515">
        <f>C164</f>
        <v>0</v>
      </c>
      <c r="AI164" s="516">
        <f>IF(B164&lt;($B$161+1),AH164)</f>
        <v>0</v>
      </c>
      <c r="AJ164" s="287">
        <f>66.2555484-AH164</f>
        <v>66.255548399999995</v>
      </c>
      <c r="AK164" s="517">
        <f t="shared" ref="AK164:AK183" si="42">SIN(AJ164*3.14159265358979/180)</f>
        <v>0.91535047595051022</v>
      </c>
      <c r="AL164" s="289">
        <f>+AK164*304.3209</f>
        <v>278.56028065668761</v>
      </c>
      <c r="AM164" s="287">
        <f>50.0185497+AH164</f>
        <v>50.018549700000001</v>
      </c>
      <c r="AN164" s="518">
        <f>SIN(AM164*3.14159265358979/180)</f>
        <v>0.76625250760411079</v>
      </c>
      <c r="AO164" s="291">
        <f>+AN164*279.0605</f>
        <v>213.83080789825695</v>
      </c>
      <c r="AP164" s="519">
        <f t="shared" ref="AP164:AP183" si="43">+((AF164*AQ164)+($AQ$196*($AF$196+$AA$164)))/AR164</f>
        <v>184.18866529946104</v>
      </c>
      <c r="AQ164" s="269">
        <f>40.5*B161</f>
        <v>40.5</v>
      </c>
      <c r="AR164" s="519">
        <f t="shared" ref="AR164:AR183" si="44">+AQ164+$AQ$196+1.3</f>
        <v>67.3</v>
      </c>
      <c r="AS164" s="520">
        <f>+AO164+AL164</f>
        <v>492.39108855494453</v>
      </c>
      <c r="AT164" s="521">
        <f>+V164-AO164</f>
        <v>-7.8982569391428115E-6</v>
      </c>
      <c r="AU164" s="522">
        <f>+AP164-AT164</f>
        <v>184.18867319771797</v>
      </c>
      <c r="AV164" s="521"/>
      <c r="AW164" s="523">
        <f>+((AS164-AU164)/AS164)*AR164</f>
        <v>42.125097378213013</v>
      </c>
      <c r="AX164" s="523">
        <f>+(AU164/AS164)*AR164</f>
        <v>25.174902621786984</v>
      </c>
      <c r="AY164" s="448">
        <f t="shared" ref="AY164:AY183" si="45">2*$C$20/AW164</f>
        <v>275.37028332187282</v>
      </c>
      <c r="AZ164" s="448">
        <f t="shared" ref="AZ164:AZ183" si="46">$D$20/AX164</f>
        <v>397.22100022527007</v>
      </c>
      <c r="BA164" s="451">
        <f>ABS(AY164)</f>
        <v>275.37028332187282</v>
      </c>
      <c r="BB164" s="451">
        <f>ABS(AZ164)</f>
        <v>397.22100022527007</v>
      </c>
      <c r="BC164" s="91"/>
      <c r="BM164" s="402"/>
      <c r="BN164" s="187"/>
      <c r="BO164" s="1091"/>
      <c r="BP164" s="64"/>
      <c r="BS164" s="126"/>
      <c r="BT164" s="126"/>
      <c r="BU164" s="126"/>
      <c r="BV164" s="203"/>
      <c r="BW164" s="203"/>
      <c r="BX164" s="203"/>
      <c r="BY164" s="203"/>
      <c r="BZ164" s="203"/>
      <c r="CA164" s="203"/>
      <c r="CB164" s="203"/>
      <c r="CC164" s="203"/>
      <c r="CD164" s="203"/>
      <c r="CE164" s="203"/>
      <c r="CF164" s="203"/>
      <c r="CG164" s="203"/>
      <c r="CH164" s="203"/>
      <c r="CI164" s="203"/>
      <c r="CP164" s="212"/>
      <c r="CR164" s="64"/>
    </row>
    <row r="165" spans="1:109" ht="21" customHeight="1" thickBot="1" x14ac:dyDescent="0.25">
      <c r="B165" s="277">
        <v>2</v>
      </c>
      <c r="C165" s="278"/>
      <c r="D165" s="25">
        <v>0</v>
      </c>
      <c r="E165" s="279" t="s">
        <v>130</v>
      </c>
      <c r="F165" s="258"/>
      <c r="G165" s="258">
        <f>+D165+BC165</f>
        <v>0</v>
      </c>
      <c r="H165" s="506">
        <v>279.06049999999999</v>
      </c>
      <c r="I165" s="507">
        <v>79.962900599999998</v>
      </c>
      <c r="J165" s="474">
        <f t="shared" ref="J165:J183" si="47">+I165-D165</f>
        <v>79.962900599999998</v>
      </c>
      <c r="K165" s="474">
        <f t="shared" ref="K165:K183" si="48">+J165/2</f>
        <v>39.981450299999999</v>
      </c>
      <c r="L165" s="474">
        <f t="shared" si="34"/>
        <v>0.64253956655634092</v>
      </c>
      <c r="M165" s="474">
        <f t="shared" si="35"/>
        <v>179.30741271299578</v>
      </c>
      <c r="N165" s="474">
        <f t="shared" si="36"/>
        <v>358.61482542599157</v>
      </c>
      <c r="O165" s="474">
        <f>+C164+(D165/2)</f>
        <v>0</v>
      </c>
      <c r="P165" s="474">
        <f t="shared" si="37"/>
        <v>0</v>
      </c>
      <c r="Q165" s="474">
        <f t="shared" si="38"/>
        <v>0</v>
      </c>
      <c r="R165" s="474">
        <f t="shared" ref="R165:R183" si="49">+T164</f>
        <v>213.83080000000001</v>
      </c>
      <c r="S165" s="474">
        <f>+R165+Q165</f>
        <v>213.83080000000001</v>
      </c>
      <c r="T165" s="476">
        <f t="shared" si="39"/>
        <v>213.83080000000001</v>
      </c>
      <c r="V165" s="437">
        <f t="shared" si="40"/>
        <v>0</v>
      </c>
      <c r="W165" s="437"/>
      <c r="X165" s="437"/>
      <c r="Y165" s="437"/>
      <c r="Z165" s="437"/>
      <c r="AA165" s="437"/>
      <c r="AB165" s="477" t="e">
        <f t="shared" ref="AB165:AB183" si="50">IF(AZ165&lt;0,"use the locking pin"," ")</f>
        <v>#DIV/0!</v>
      </c>
      <c r="AC165" s="514" t="b">
        <f>IF(AD165=2,AF165)</f>
        <v>0</v>
      </c>
      <c r="AD165" s="514">
        <f t="shared" si="41"/>
        <v>1</v>
      </c>
      <c r="AE165" s="514">
        <f>IF(V165=0,0,2)</f>
        <v>0</v>
      </c>
      <c r="AF165" s="437" t="e">
        <f>SUM(V165:V183)/($B$161-B164)</f>
        <v>#DIV/0!</v>
      </c>
      <c r="AG165" s="437"/>
      <c r="AH165" s="450">
        <f>SUM(D165)+$C$164</f>
        <v>0</v>
      </c>
      <c r="AI165" s="516" t="b">
        <f t="shared" ref="AI165:AI183" si="51">IF(B165&lt;($B$161+1),AH165)</f>
        <v>0</v>
      </c>
      <c r="AJ165" s="287">
        <f t="shared" ref="AJ165:AJ183" si="52">66.2555484-AH165</f>
        <v>66.255548399999995</v>
      </c>
      <c r="AK165" s="441">
        <f t="shared" si="42"/>
        <v>0.91535047595051022</v>
      </c>
      <c r="AL165" s="289">
        <f t="shared" ref="AL165:AL183" si="53">+AK165*304.3209</f>
        <v>278.56028065668761</v>
      </c>
      <c r="AM165" s="287">
        <f t="shared" ref="AM165:AM183" si="54">50.0185497+AH165</f>
        <v>50.018549700000001</v>
      </c>
      <c r="AN165" s="442">
        <f t="shared" ref="AN165:AN183" si="55">SIN(AM165*3.14159265358979/180)</f>
        <v>0.76625250760411079</v>
      </c>
      <c r="AO165" s="291">
        <f t="shared" ref="AO165:AO183" si="56">+AN165*279.0605</f>
        <v>213.83080789825695</v>
      </c>
      <c r="AP165" s="519" t="e">
        <f t="shared" si="43"/>
        <v>#DIV/0!</v>
      </c>
      <c r="AQ165" s="291">
        <f>40.5*($B$161-B164)</f>
        <v>0</v>
      </c>
      <c r="AR165" s="519">
        <f t="shared" si="44"/>
        <v>26.8</v>
      </c>
      <c r="AS165" s="444">
        <f t="shared" ref="AS165:AS183" si="57">+AO165+AL165</f>
        <v>492.39108855494453</v>
      </c>
      <c r="AT165" s="445">
        <f>+V165-AO165</f>
        <v>-213.83080789825695</v>
      </c>
      <c r="AU165" s="446" t="e">
        <f t="shared" ref="AU165:AU183" si="58">+AP165-AT165</f>
        <v>#DIV/0!</v>
      </c>
      <c r="AV165" s="445"/>
      <c r="AW165" s="447" t="e">
        <f t="shared" ref="AW165:AW183" si="59">+((AS165-AU165)/AS165)*AR165</f>
        <v>#DIV/0!</v>
      </c>
      <c r="AX165" s="447" t="e">
        <f t="shared" ref="AX165:AX183" si="60">+(AU165/AS165)*AR165</f>
        <v>#DIV/0!</v>
      </c>
      <c r="AY165" s="448" t="e">
        <f t="shared" si="45"/>
        <v>#DIV/0!</v>
      </c>
      <c r="AZ165" s="448" t="e">
        <f t="shared" si="46"/>
        <v>#DIV/0!</v>
      </c>
      <c r="BA165" s="451" t="e">
        <f t="shared" ref="BA165:BB183" si="61">ABS(AY165)</f>
        <v>#DIV/0!</v>
      </c>
      <c r="BB165" s="451" t="e">
        <f t="shared" si="61"/>
        <v>#DIV/0!</v>
      </c>
      <c r="BM165" s="402"/>
      <c r="BN165" s="136"/>
      <c r="BO165" s="1091"/>
      <c r="BP165" s="126"/>
      <c r="BQ165" s="126"/>
      <c r="BR165" s="126"/>
      <c r="BS165" s="126"/>
      <c r="BT165" s="126"/>
      <c r="BU165" s="126"/>
      <c r="BV165" s="203"/>
      <c r="BW165" s="203"/>
      <c r="BX165" s="203"/>
      <c r="BY165" s="203"/>
      <c r="BZ165" s="203"/>
      <c r="CA165" s="203"/>
      <c r="CB165" s="203"/>
      <c r="CC165" s="203"/>
      <c r="CD165" s="203"/>
      <c r="CE165" s="203"/>
      <c r="CF165" s="203"/>
      <c r="CG165" s="203"/>
      <c r="CH165" s="203"/>
      <c r="CI165" s="203"/>
    </row>
    <row r="166" spans="1:109" ht="21" customHeight="1" thickBot="1" x14ac:dyDescent="0.35">
      <c r="B166" s="277">
        <v>3</v>
      </c>
      <c r="C166" s="278"/>
      <c r="D166" s="25">
        <v>0</v>
      </c>
      <c r="E166" s="279" t="s">
        <v>130</v>
      </c>
      <c r="F166" s="258"/>
      <c r="G166" s="258">
        <f>+D166+BC166</f>
        <v>0</v>
      </c>
      <c r="H166" s="506">
        <v>279.06049999999999</v>
      </c>
      <c r="I166" s="507">
        <v>79.962900599999998</v>
      </c>
      <c r="J166" s="474">
        <f t="shared" si="47"/>
        <v>79.962900599999998</v>
      </c>
      <c r="K166" s="474">
        <f t="shared" si="48"/>
        <v>39.981450299999999</v>
      </c>
      <c r="L166" s="474">
        <f t="shared" si="34"/>
        <v>0.64253956655634092</v>
      </c>
      <c r="M166" s="474">
        <f t="shared" si="35"/>
        <v>179.30741271299578</v>
      </c>
      <c r="N166" s="474">
        <f t="shared" si="36"/>
        <v>358.61482542599157</v>
      </c>
      <c r="O166" s="474">
        <f>+C164+D165+(D166/2)</f>
        <v>0</v>
      </c>
      <c r="P166" s="474">
        <f t="shared" si="37"/>
        <v>0</v>
      </c>
      <c r="Q166" s="474">
        <f t="shared" si="38"/>
        <v>0</v>
      </c>
      <c r="R166" s="474">
        <f t="shared" si="49"/>
        <v>213.83080000000001</v>
      </c>
      <c r="S166" s="474">
        <f t="shared" ref="S166:S183" si="62">+S165+Q166</f>
        <v>213.83080000000001</v>
      </c>
      <c r="T166" s="476">
        <f t="shared" si="39"/>
        <v>213.83080000000001</v>
      </c>
      <c r="V166" s="437">
        <f t="shared" si="40"/>
        <v>0</v>
      </c>
      <c r="W166" s="437"/>
      <c r="X166" s="437"/>
      <c r="Y166" s="437"/>
      <c r="Z166" s="437"/>
      <c r="AA166" s="437"/>
      <c r="AB166" s="477" t="str">
        <f t="shared" si="50"/>
        <v xml:space="preserve"> </v>
      </c>
      <c r="AC166" s="514" t="b">
        <f>IF(AD166=3,AF166)</f>
        <v>0</v>
      </c>
      <c r="AD166" s="514">
        <f t="shared" si="41"/>
        <v>1</v>
      </c>
      <c r="AE166" s="514">
        <f>IF(V166=0,0,3)</f>
        <v>0</v>
      </c>
      <c r="AF166" s="437">
        <f>SUM(V166:V183)/($B$161-B165)</f>
        <v>0</v>
      </c>
      <c r="AG166" s="437"/>
      <c r="AH166" s="450">
        <f>SUM(D165:D166)+$C$164</f>
        <v>0</v>
      </c>
      <c r="AI166" s="516" t="b">
        <f t="shared" si="51"/>
        <v>0</v>
      </c>
      <c r="AJ166" s="287">
        <f t="shared" si="52"/>
        <v>66.255548399999995</v>
      </c>
      <c r="AK166" s="441">
        <f t="shared" si="42"/>
        <v>0.91535047595051022</v>
      </c>
      <c r="AL166" s="289">
        <f t="shared" si="53"/>
        <v>278.56028065668761</v>
      </c>
      <c r="AM166" s="287">
        <f t="shared" si="54"/>
        <v>50.018549700000001</v>
      </c>
      <c r="AN166" s="442">
        <f t="shared" si="55"/>
        <v>0.76625250760411079</v>
      </c>
      <c r="AO166" s="291">
        <f t="shared" si="56"/>
        <v>213.83080789825695</v>
      </c>
      <c r="AP166" s="519">
        <f t="shared" si="43"/>
        <v>-272.68246530319192</v>
      </c>
      <c r="AQ166" s="291">
        <f t="shared" ref="AQ166:AQ183" si="63">40.5*($B$161-B165)</f>
        <v>-40.5</v>
      </c>
      <c r="AR166" s="519">
        <f t="shared" si="44"/>
        <v>-13.7</v>
      </c>
      <c r="AS166" s="444">
        <f t="shared" si="57"/>
        <v>492.39108855494453</v>
      </c>
      <c r="AT166" s="445">
        <f>+V166-AO166</f>
        <v>-213.83080789825695</v>
      </c>
      <c r="AU166" s="446">
        <f t="shared" si="58"/>
        <v>-58.851657404934969</v>
      </c>
      <c r="AV166" s="445"/>
      <c r="AW166" s="447">
        <f t="shared" si="59"/>
        <v>-15.33745389627952</v>
      </c>
      <c r="AX166" s="447">
        <f t="shared" si="60"/>
        <v>1.6374538962795218</v>
      </c>
      <c r="AY166" s="448">
        <f t="shared" si="45"/>
        <v>-756.31849187262219</v>
      </c>
      <c r="AZ166" s="448">
        <f t="shared" si="46"/>
        <v>6107.0421724368043</v>
      </c>
      <c r="BA166" s="451">
        <f t="shared" si="61"/>
        <v>756.31849187262219</v>
      </c>
      <c r="BB166" s="451">
        <f t="shared" si="61"/>
        <v>6107.0421724368043</v>
      </c>
      <c r="BM166" s="214"/>
      <c r="BN166" s="214"/>
      <c r="BO166" s="214"/>
      <c r="BP166" s="126"/>
      <c r="BQ166" s="126"/>
      <c r="BR166" s="126"/>
      <c r="BS166" s="126"/>
      <c r="BT166" s="126"/>
      <c r="BU166" s="126"/>
      <c r="BV166" s="203"/>
      <c r="BW166" s="203"/>
      <c r="BX166" s="203"/>
      <c r="BY166" s="203"/>
      <c r="BZ166" s="203"/>
      <c r="CA166" s="203"/>
      <c r="CB166" s="203"/>
      <c r="CC166" s="203"/>
      <c r="CD166" s="203"/>
      <c r="CE166" s="203"/>
      <c r="CF166" s="203"/>
      <c r="CG166" s="203"/>
      <c r="CH166" s="203"/>
      <c r="CI166" s="203"/>
    </row>
    <row r="167" spans="1:109" ht="21" customHeight="1" thickBot="1" x14ac:dyDescent="0.35">
      <c r="B167" s="277">
        <v>4</v>
      </c>
      <c r="C167" s="278"/>
      <c r="D167" s="25">
        <v>0</v>
      </c>
      <c r="E167" s="279" t="s">
        <v>130</v>
      </c>
      <c r="F167" s="258"/>
      <c r="G167" s="258">
        <f>+D167+BC167</f>
        <v>0</v>
      </c>
      <c r="H167" s="506">
        <v>279.06049999999999</v>
      </c>
      <c r="I167" s="507">
        <v>79.962900599999998</v>
      </c>
      <c r="J167" s="474">
        <f t="shared" si="47"/>
        <v>79.962900599999998</v>
      </c>
      <c r="K167" s="474">
        <f t="shared" si="48"/>
        <v>39.981450299999999</v>
      </c>
      <c r="L167" s="474">
        <f t="shared" si="34"/>
        <v>0.64253956655634092</v>
      </c>
      <c r="M167" s="474">
        <f t="shared" si="35"/>
        <v>179.30741271299578</v>
      </c>
      <c r="N167" s="474">
        <f t="shared" si="36"/>
        <v>358.61482542599157</v>
      </c>
      <c r="O167" s="474">
        <f>+C164+D165+D166+(D167/2)</f>
        <v>0</v>
      </c>
      <c r="P167" s="474">
        <f t="shared" si="37"/>
        <v>0</v>
      </c>
      <c r="Q167" s="474">
        <f t="shared" si="38"/>
        <v>0</v>
      </c>
      <c r="R167" s="474">
        <f t="shared" si="49"/>
        <v>213.83080000000001</v>
      </c>
      <c r="S167" s="474">
        <f t="shared" si="62"/>
        <v>213.83080000000001</v>
      </c>
      <c r="T167" s="476">
        <f t="shared" si="39"/>
        <v>213.83080000000001</v>
      </c>
      <c r="V167" s="437">
        <f t="shared" si="40"/>
        <v>0</v>
      </c>
      <c r="W167" s="437"/>
      <c r="X167" s="437"/>
      <c r="Y167" s="437"/>
      <c r="Z167" s="437"/>
      <c r="AA167" s="437"/>
      <c r="AB167" s="477" t="str">
        <f t="shared" si="50"/>
        <v>use the locking pin</v>
      </c>
      <c r="AC167" s="514" t="b">
        <f>IF(AD167=4,AF167)</f>
        <v>0</v>
      </c>
      <c r="AD167" s="514">
        <f t="shared" si="41"/>
        <v>1</v>
      </c>
      <c r="AE167" s="514">
        <f>IF(V167=0,0,4)</f>
        <v>0</v>
      </c>
      <c r="AF167" s="437">
        <f>SUM(V167:V183)/($B$161-B166)</f>
        <v>0</v>
      </c>
      <c r="AG167" s="437"/>
      <c r="AH167" s="450">
        <f>SUM(D165:D167)+$C$164</f>
        <v>0</v>
      </c>
      <c r="AI167" s="516" t="b">
        <f t="shared" si="51"/>
        <v>0</v>
      </c>
      <c r="AJ167" s="287">
        <f t="shared" si="52"/>
        <v>66.255548399999995</v>
      </c>
      <c r="AK167" s="441">
        <f t="shared" si="42"/>
        <v>0.91535047595051022</v>
      </c>
      <c r="AL167" s="289">
        <f t="shared" si="53"/>
        <v>278.56028065668761</v>
      </c>
      <c r="AM167" s="287">
        <f t="shared" si="54"/>
        <v>50.018549700000001</v>
      </c>
      <c r="AN167" s="442">
        <f t="shared" si="55"/>
        <v>0.76625250760411079</v>
      </c>
      <c r="AO167" s="291">
        <f t="shared" si="56"/>
        <v>213.83080789825695</v>
      </c>
      <c r="AP167" s="519">
        <f t="shared" si="43"/>
        <v>-68.92527259508725</v>
      </c>
      <c r="AQ167" s="291">
        <f t="shared" si="63"/>
        <v>-81</v>
      </c>
      <c r="AR167" s="519">
        <f t="shared" si="44"/>
        <v>-54.2</v>
      </c>
      <c r="AS167" s="444">
        <f t="shared" si="57"/>
        <v>492.39108855494453</v>
      </c>
      <c r="AT167" s="445">
        <f>+V167-AO167</f>
        <v>-213.83080789825695</v>
      </c>
      <c r="AU167" s="446">
        <f t="shared" si="58"/>
        <v>144.9055353031697</v>
      </c>
      <c r="AV167" s="445"/>
      <c r="AW167" s="447">
        <f t="shared" si="59"/>
        <v>-38.249508214128852</v>
      </c>
      <c r="AX167" s="447">
        <f t="shared" si="60"/>
        <v>-15.950491785871153</v>
      </c>
      <c r="AY167" s="448">
        <f t="shared" si="45"/>
        <v>-303.27187306724943</v>
      </c>
      <c r="AZ167" s="448">
        <f t="shared" si="46"/>
        <v>-626.93991722925671</v>
      </c>
      <c r="BA167" s="451">
        <f t="shared" si="61"/>
        <v>303.27187306724943</v>
      </c>
      <c r="BB167" s="451">
        <f t="shared" si="61"/>
        <v>626.93991722925671</v>
      </c>
      <c r="BM167" s="214"/>
      <c r="BN167" s="214"/>
      <c r="BO167" s="214"/>
      <c r="BP167" s="126"/>
      <c r="BQ167" s="126"/>
      <c r="BR167" s="126"/>
      <c r="BS167" s="126"/>
      <c r="BT167" s="126"/>
      <c r="BU167" s="126"/>
      <c r="BV167" s="203"/>
      <c r="BW167" s="203"/>
      <c r="BX167" s="203"/>
      <c r="BY167" s="203"/>
      <c r="BZ167" s="203"/>
      <c r="CA167" s="203"/>
      <c r="CB167" s="203"/>
      <c r="CC167" s="203"/>
      <c r="CD167" s="203"/>
      <c r="CE167" s="203"/>
      <c r="CF167" s="203"/>
      <c r="CG167" s="203"/>
      <c r="CH167" s="203"/>
      <c r="CI167" s="203"/>
    </row>
    <row r="168" spans="1:109" ht="21" customHeight="1" thickBot="1" x14ac:dyDescent="0.35">
      <c r="B168" s="277">
        <v>5</v>
      </c>
      <c r="C168" s="278"/>
      <c r="D168" s="25">
        <v>0</v>
      </c>
      <c r="E168" s="279" t="s">
        <v>130</v>
      </c>
      <c r="F168" s="258"/>
      <c r="G168" s="258">
        <f>+D168+BC168</f>
        <v>0</v>
      </c>
      <c r="H168" s="506">
        <v>279.06049999999999</v>
      </c>
      <c r="I168" s="507">
        <v>79.962900599999998</v>
      </c>
      <c r="J168" s="474">
        <f t="shared" si="47"/>
        <v>79.962900599999998</v>
      </c>
      <c r="K168" s="474">
        <f t="shared" si="48"/>
        <v>39.981450299999999</v>
      </c>
      <c r="L168" s="474">
        <f t="shared" si="34"/>
        <v>0.64253956655634092</v>
      </c>
      <c r="M168" s="474">
        <f t="shared" si="35"/>
        <v>179.30741271299578</v>
      </c>
      <c r="N168" s="474">
        <f t="shared" si="36"/>
        <v>358.61482542599157</v>
      </c>
      <c r="O168" s="474">
        <f>+C164+D165+D166+D167+(D168/2)</f>
        <v>0</v>
      </c>
      <c r="P168" s="474">
        <f t="shared" si="37"/>
        <v>0</v>
      </c>
      <c r="Q168" s="474">
        <f t="shared" si="38"/>
        <v>0</v>
      </c>
      <c r="R168" s="474">
        <f t="shared" si="49"/>
        <v>213.83080000000001</v>
      </c>
      <c r="S168" s="474">
        <f t="shared" si="62"/>
        <v>213.83080000000001</v>
      </c>
      <c r="T168" s="476">
        <f t="shared" si="39"/>
        <v>213.83080000000001</v>
      </c>
      <c r="V168" s="437">
        <f t="shared" si="40"/>
        <v>0</v>
      </c>
      <c r="W168" s="437"/>
      <c r="X168" s="437"/>
      <c r="Y168" s="437"/>
      <c r="Z168" s="437"/>
      <c r="AA168" s="437"/>
      <c r="AB168" s="477" t="str">
        <f t="shared" si="50"/>
        <v>use the locking pin</v>
      </c>
      <c r="AC168" s="514" t="b">
        <f>IF(AD168=5,AF168)</f>
        <v>0</v>
      </c>
      <c r="AD168" s="514">
        <f t="shared" si="41"/>
        <v>1</v>
      </c>
      <c r="AE168" s="514">
        <f>IF(V168=0,0,5)</f>
        <v>0</v>
      </c>
      <c r="AF168" s="437">
        <f>SUM(V168:V183)/($B$161-B167)</f>
        <v>0</v>
      </c>
      <c r="AG168" s="437"/>
      <c r="AH168" s="450">
        <f>SUM(D165:D168)+$C$164</f>
        <v>0</v>
      </c>
      <c r="AI168" s="516" t="b">
        <f t="shared" si="51"/>
        <v>0</v>
      </c>
      <c r="AJ168" s="287">
        <f t="shared" si="52"/>
        <v>66.255548399999995</v>
      </c>
      <c r="AK168" s="441">
        <f t="shared" si="42"/>
        <v>0.91535047595051022</v>
      </c>
      <c r="AL168" s="289">
        <f t="shared" si="53"/>
        <v>278.56028065668761</v>
      </c>
      <c r="AM168" s="287">
        <f t="shared" si="54"/>
        <v>50.018549700000001</v>
      </c>
      <c r="AN168" s="442">
        <f t="shared" si="55"/>
        <v>0.76625250760411079</v>
      </c>
      <c r="AO168" s="291">
        <f t="shared" si="56"/>
        <v>213.83080789825695</v>
      </c>
      <c r="AP168" s="519">
        <f t="shared" si="43"/>
        <v>-39.448255276174542</v>
      </c>
      <c r="AQ168" s="291">
        <f t="shared" si="63"/>
        <v>-121.5</v>
      </c>
      <c r="AR168" s="519">
        <f t="shared" si="44"/>
        <v>-94.7</v>
      </c>
      <c r="AS168" s="444">
        <f t="shared" si="57"/>
        <v>492.39108855494453</v>
      </c>
      <c r="AT168" s="445">
        <f t="shared" ref="AT168:AT183" si="64">+V168-AO168</f>
        <v>-213.83080789825695</v>
      </c>
      <c r="AU168" s="446">
        <f t="shared" si="58"/>
        <v>174.38255262208241</v>
      </c>
      <c r="AV168" s="445"/>
      <c r="AW168" s="447">
        <f t="shared" si="59"/>
        <v>-61.161562531978184</v>
      </c>
      <c r="AX168" s="447">
        <f t="shared" si="60"/>
        <v>-33.538437468021826</v>
      </c>
      <c r="AY168" s="448">
        <f t="shared" si="45"/>
        <v>-189.6616031340757</v>
      </c>
      <c r="AZ168" s="448">
        <f t="shared" si="46"/>
        <v>-298.16535160693707</v>
      </c>
      <c r="BA168" s="451">
        <f t="shared" si="61"/>
        <v>189.6616031340757</v>
      </c>
      <c r="BB168" s="451">
        <f t="shared" si="61"/>
        <v>298.16535160693707</v>
      </c>
      <c r="BM168" s="214"/>
      <c r="BN168" s="214"/>
      <c r="BO168" s="214"/>
      <c r="BP168" s="126"/>
      <c r="BQ168" s="126"/>
      <c r="BR168" s="126"/>
      <c r="BS168" s="126"/>
      <c r="BT168" s="126"/>
      <c r="BU168" s="126"/>
      <c r="BV168" s="203"/>
      <c r="BW168" s="203"/>
      <c r="BX168" s="203"/>
      <c r="BY168" s="203"/>
      <c r="BZ168" s="203"/>
      <c r="CA168" s="203"/>
      <c r="CB168" s="203"/>
      <c r="CC168" s="203"/>
      <c r="CD168" s="203"/>
      <c r="CE168" s="203"/>
      <c r="CF168" s="203"/>
      <c r="CG168" s="203"/>
      <c r="CH168" s="203"/>
      <c r="CI168" s="203"/>
    </row>
    <row r="169" spans="1:109" ht="21" customHeight="1" thickBot="1" x14ac:dyDescent="0.35">
      <c r="B169" s="277">
        <v>6</v>
      </c>
      <c r="C169" s="278"/>
      <c r="D169" s="25">
        <v>0</v>
      </c>
      <c r="E169" s="279" t="s">
        <v>130</v>
      </c>
      <c r="F169" s="258"/>
      <c r="G169" s="258">
        <f t="shared" ref="G169:G183" si="65">+D169+BC169</f>
        <v>0</v>
      </c>
      <c r="H169" s="506">
        <v>279.06049999999999</v>
      </c>
      <c r="I169" s="507">
        <v>79.962900599999998</v>
      </c>
      <c r="J169" s="474">
        <f t="shared" si="47"/>
        <v>79.962900599999998</v>
      </c>
      <c r="K169" s="474">
        <f t="shared" si="48"/>
        <v>39.981450299999999</v>
      </c>
      <c r="L169" s="474">
        <f t="shared" si="34"/>
        <v>0.64253956655634092</v>
      </c>
      <c r="M169" s="474">
        <f t="shared" si="35"/>
        <v>179.30741271299578</v>
      </c>
      <c r="N169" s="474">
        <f t="shared" si="36"/>
        <v>358.61482542599157</v>
      </c>
      <c r="O169" s="474">
        <f>+C164+D165+D166+D167+D168+(D169/2)</f>
        <v>0</v>
      </c>
      <c r="P169" s="474">
        <f t="shared" si="37"/>
        <v>0</v>
      </c>
      <c r="Q169" s="474">
        <f t="shared" si="38"/>
        <v>0</v>
      </c>
      <c r="R169" s="474">
        <f t="shared" si="49"/>
        <v>213.83080000000001</v>
      </c>
      <c r="S169" s="474">
        <f t="shared" si="62"/>
        <v>213.83080000000001</v>
      </c>
      <c r="T169" s="476">
        <f t="shared" si="39"/>
        <v>213.83080000000001</v>
      </c>
      <c r="V169" s="437">
        <f t="shared" si="40"/>
        <v>0</v>
      </c>
      <c r="W169" s="437"/>
      <c r="X169" s="437"/>
      <c r="Y169" s="437"/>
      <c r="Z169" s="437"/>
      <c r="AA169" s="437"/>
      <c r="AB169" s="477" t="str">
        <f t="shared" si="50"/>
        <v>use the locking pin</v>
      </c>
      <c r="AC169" s="514" t="b">
        <f>IF(AD169=6,AF169)</f>
        <v>0</v>
      </c>
      <c r="AD169" s="514">
        <f t="shared" si="41"/>
        <v>1</v>
      </c>
      <c r="AE169" s="514">
        <f>IF(V169=0,0,6)</f>
        <v>0</v>
      </c>
      <c r="AF169" s="437">
        <f>SUM(V169:V183)/($B$161-B168)</f>
        <v>0</v>
      </c>
      <c r="AG169" s="437"/>
      <c r="AH169" s="450">
        <f>SUM(D165:D169)+$C$164</f>
        <v>0</v>
      </c>
      <c r="AI169" s="516" t="b">
        <f t="shared" si="51"/>
        <v>0</v>
      </c>
      <c r="AJ169" s="287">
        <f t="shared" si="52"/>
        <v>66.255548399999995</v>
      </c>
      <c r="AK169" s="441">
        <f t="shared" si="42"/>
        <v>0.91535047595051022</v>
      </c>
      <c r="AL169" s="289">
        <f t="shared" si="53"/>
        <v>278.56028065668761</v>
      </c>
      <c r="AM169" s="287">
        <f t="shared" si="54"/>
        <v>50.018549700000001</v>
      </c>
      <c r="AN169" s="442">
        <f t="shared" si="55"/>
        <v>0.76625250760411079</v>
      </c>
      <c r="AO169" s="291">
        <f t="shared" si="56"/>
        <v>213.83080789825695</v>
      </c>
      <c r="AP169" s="519">
        <f t="shared" si="43"/>
        <v>-27.631285315486164</v>
      </c>
      <c r="AQ169" s="291">
        <f t="shared" si="63"/>
        <v>-162</v>
      </c>
      <c r="AR169" s="519">
        <f t="shared" si="44"/>
        <v>-135.19999999999999</v>
      </c>
      <c r="AS169" s="444">
        <f t="shared" si="57"/>
        <v>492.39108855494453</v>
      </c>
      <c r="AT169" s="445">
        <f t="shared" si="64"/>
        <v>-213.83080789825695</v>
      </c>
      <c r="AU169" s="446">
        <f t="shared" si="58"/>
        <v>186.19952258277078</v>
      </c>
      <c r="AV169" s="445"/>
      <c r="AW169" s="447">
        <f t="shared" si="59"/>
        <v>-84.073616849827488</v>
      </c>
      <c r="AX169" s="447">
        <f t="shared" si="60"/>
        <v>-51.126383150172494</v>
      </c>
      <c r="AY169" s="448">
        <f t="shared" si="45"/>
        <v>-137.97431863458365</v>
      </c>
      <c r="AZ169" s="448">
        <f t="shared" si="46"/>
        <v>-195.59373035693142</v>
      </c>
      <c r="BA169" s="451">
        <f t="shared" si="61"/>
        <v>137.97431863458365</v>
      </c>
      <c r="BB169" s="451">
        <f t="shared" si="61"/>
        <v>195.59373035693142</v>
      </c>
      <c r="BM169" s="214"/>
      <c r="BN169" s="214"/>
      <c r="BO169" s="214"/>
      <c r="CI169" s="236"/>
      <c r="CJ169" s="236"/>
      <c r="CK169" s="236"/>
      <c r="CL169" s="236"/>
      <c r="CM169" s="236"/>
      <c r="CN169" s="236"/>
    </row>
    <row r="170" spans="1:109" ht="21" customHeight="1" thickBot="1" x14ac:dyDescent="0.35">
      <c r="B170" s="277">
        <v>7</v>
      </c>
      <c r="C170" s="278"/>
      <c r="D170" s="25">
        <v>0</v>
      </c>
      <c r="E170" s="279" t="s">
        <v>130</v>
      </c>
      <c r="F170" s="258"/>
      <c r="G170" s="258">
        <f t="shared" si="65"/>
        <v>0</v>
      </c>
      <c r="H170" s="506">
        <v>279.06049999999999</v>
      </c>
      <c r="I170" s="507">
        <v>79.962900599999998</v>
      </c>
      <c r="J170" s="474">
        <f t="shared" si="47"/>
        <v>79.962900599999998</v>
      </c>
      <c r="K170" s="474">
        <f t="shared" si="48"/>
        <v>39.981450299999999</v>
      </c>
      <c r="L170" s="474">
        <f t="shared" si="34"/>
        <v>0.64253956655634092</v>
      </c>
      <c r="M170" s="474">
        <f t="shared" si="35"/>
        <v>179.30741271299578</v>
      </c>
      <c r="N170" s="474">
        <f t="shared" si="36"/>
        <v>358.61482542599157</v>
      </c>
      <c r="O170" s="474">
        <f>+C164+D165+D166+D167+D168+D169+(D170/2)</f>
        <v>0</v>
      </c>
      <c r="P170" s="474">
        <f t="shared" si="37"/>
        <v>0</v>
      </c>
      <c r="Q170" s="474">
        <f t="shared" si="38"/>
        <v>0</v>
      </c>
      <c r="R170" s="474">
        <f t="shared" si="49"/>
        <v>213.83080000000001</v>
      </c>
      <c r="S170" s="474">
        <f t="shared" si="62"/>
        <v>213.83080000000001</v>
      </c>
      <c r="T170" s="476">
        <f t="shared" si="39"/>
        <v>213.83080000000001</v>
      </c>
      <c r="V170" s="437">
        <f t="shared" si="40"/>
        <v>0</v>
      </c>
      <c r="W170" s="437"/>
      <c r="X170" s="437"/>
      <c r="Y170" s="437"/>
      <c r="Z170" s="437"/>
      <c r="AA170" s="437"/>
      <c r="AB170" s="477" t="str">
        <f t="shared" si="50"/>
        <v>use the locking pin</v>
      </c>
      <c r="AC170" s="514" t="b">
        <f>IF(AD170=7,AF170)</f>
        <v>0</v>
      </c>
      <c r="AD170" s="514">
        <f t="shared" si="41"/>
        <v>1</v>
      </c>
      <c r="AE170" s="514">
        <f>IF(V170=0,0,7)</f>
        <v>0</v>
      </c>
      <c r="AF170" s="437">
        <f>SUM(V170:V183)/($B$161-B169)</f>
        <v>0</v>
      </c>
      <c r="AG170" s="437"/>
      <c r="AH170" s="450">
        <f>SUM(D165:D170)+$C$164</f>
        <v>0</v>
      </c>
      <c r="AI170" s="516" t="b">
        <f t="shared" si="51"/>
        <v>0</v>
      </c>
      <c r="AJ170" s="287">
        <f t="shared" si="52"/>
        <v>66.255548399999995</v>
      </c>
      <c r="AK170" s="441">
        <f t="shared" si="42"/>
        <v>0.91535047595051022</v>
      </c>
      <c r="AL170" s="289">
        <f t="shared" si="53"/>
        <v>278.56028065668761</v>
      </c>
      <c r="AM170" s="287">
        <f t="shared" si="54"/>
        <v>50.018549700000001</v>
      </c>
      <c r="AN170" s="442">
        <f t="shared" si="55"/>
        <v>0.76625250760411079</v>
      </c>
      <c r="AO170" s="291">
        <f t="shared" si="56"/>
        <v>213.83080789825695</v>
      </c>
      <c r="AP170" s="519">
        <f t="shared" si="43"/>
        <v>-21.26209319666323</v>
      </c>
      <c r="AQ170" s="291">
        <f t="shared" si="63"/>
        <v>-202.5</v>
      </c>
      <c r="AR170" s="519">
        <f t="shared" si="44"/>
        <v>-175.7</v>
      </c>
      <c r="AS170" s="444">
        <f t="shared" si="57"/>
        <v>492.39108855494453</v>
      </c>
      <c r="AT170" s="445">
        <f t="shared" si="64"/>
        <v>-213.83080789825695</v>
      </c>
      <c r="AU170" s="446">
        <f t="shared" si="58"/>
        <v>192.56871470159371</v>
      </c>
      <c r="AV170" s="445"/>
      <c r="AW170" s="447">
        <f t="shared" si="59"/>
        <v>-106.98567116767681</v>
      </c>
      <c r="AX170" s="447">
        <f t="shared" si="60"/>
        <v>-68.714328832323162</v>
      </c>
      <c r="AY170" s="448">
        <f t="shared" si="45"/>
        <v>-108.42573471188976</v>
      </c>
      <c r="AZ170" s="448">
        <f t="shared" si="46"/>
        <v>-145.53005421041104</v>
      </c>
      <c r="BA170" s="451">
        <f t="shared" si="61"/>
        <v>108.42573471188976</v>
      </c>
      <c r="BB170" s="451">
        <f t="shared" si="61"/>
        <v>145.53005421041104</v>
      </c>
      <c r="BM170" s="214"/>
      <c r="BN170" s="214"/>
      <c r="BO170" s="214"/>
    </row>
    <row r="171" spans="1:109" ht="21" customHeight="1" thickBot="1" x14ac:dyDescent="0.35">
      <c r="B171" s="277">
        <v>8</v>
      </c>
      <c r="C171" s="278"/>
      <c r="D171" s="25">
        <v>0</v>
      </c>
      <c r="E171" s="279" t="s">
        <v>130</v>
      </c>
      <c r="F171" s="258"/>
      <c r="G171" s="258">
        <f t="shared" si="65"/>
        <v>0</v>
      </c>
      <c r="H171" s="506">
        <v>279.06049999999999</v>
      </c>
      <c r="I171" s="507">
        <v>79.962900599999998</v>
      </c>
      <c r="J171" s="474">
        <f t="shared" si="47"/>
        <v>79.962900599999998</v>
      </c>
      <c r="K171" s="474">
        <f t="shared" si="48"/>
        <v>39.981450299999999</v>
      </c>
      <c r="L171" s="474">
        <f t="shared" si="34"/>
        <v>0.64253956655634092</v>
      </c>
      <c r="M171" s="474">
        <f t="shared" si="35"/>
        <v>179.30741271299578</v>
      </c>
      <c r="N171" s="474">
        <f t="shared" si="36"/>
        <v>358.61482542599157</v>
      </c>
      <c r="O171" s="474">
        <f>+C164+D165+D166+D167+D168+D169+D170+(D171/2)</f>
        <v>0</v>
      </c>
      <c r="P171" s="474">
        <f t="shared" si="37"/>
        <v>0</v>
      </c>
      <c r="Q171" s="474">
        <f t="shared" si="38"/>
        <v>0</v>
      </c>
      <c r="R171" s="474">
        <f t="shared" si="49"/>
        <v>213.83080000000001</v>
      </c>
      <c r="S171" s="474">
        <f t="shared" si="62"/>
        <v>213.83080000000001</v>
      </c>
      <c r="T171" s="476">
        <f t="shared" si="39"/>
        <v>213.83080000000001</v>
      </c>
      <c r="V171" s="437">
        <f t="shared" si="40"/>
        <v>0</v>
      </c>
      <c r="W171" s="437"/>
      <c r="X171" s="437"/>
      <c r="Y171" s="437"/>
      <c r="Z171" s="437"/>
      <c r="AA171" s="437"/>
      <c r="AB171" s="477" t="str">
        <f t="shared" si="50"/>
        <v>use the locking pin</v>
      </c>
      <c r="AC171" s="514" t="b">
        <f>IF(AD171=8,AF171)</f>
        <v>0</v>
      </c>
      <c r="AD171" s="514">
        <f t="shared" si="41"/>
        <v>1</v>
      </c>
      <c r="AE171" s="514">
        <f>IF(V171=0,0,8)</f>
        <v>0</v>
      </c>
      <c r="AF171" s="437">
        <f>SUM(V171:V183)/($B$161-B170)</f>
        <v>0</v>
      </c>
      <c r="AG171" s="437"/>
      <c r="AH171" s="450">
        <f>SUM(D165:D171)+$C$164</f>
        <v>0</v>
      </c>
      <c r="AI171" s="516" t="b">
        <f t="shared" si="51"/>
        <v>0</v>
      </c>
      <c r="AJ171" s="287">
        <f t="shared" si="52"/>
        <v>66.255548399999995</v>
      </c>
      <c r="AK171" s="441">
        <f t="shared" si="42"/>
        <v>0.91535047595051022</v>
      </c>
      <c r="AL171" s="289">
        <f t="shared" si="53"/>
        <v>278.56028065668761</v>
      </c>
      <c r="AM171" s="287">
        <f t="shared" si="54"/>
        <v>50.018549700000001</v>
      </c>
      <c r="AN171" s="442">
        <f t="shared" si="55"/>
        <v>0.76625250760411079</v>
      </c>
      <c r="AO171" s="291">
        <f t="shared" si="56"/>
        <v>213.83080789825695</v>
      </c>
      <c r="AP171" s="519">
        <f t="shared" si="43"/>
        <v>-17.279138643171738</v>
      </c>
      <c r="AQ171" s="291">
        <f t="shared" si="63"/>
        <v>-243</v>
      </c>
      <c r="AR171" s="519">
        <f t="shared" si="44"/>
        <v>-216.2</v>
      </c>
      <c r="AS171" s="444">
        <f t="shared" si="57"/>
        <v>492.39108855494453</v>
      </c>
      <c r="AT171" s="445">
        <f t="shared" si="64"/>
        <v>-213.83080789825695</v>
      </c>
      <c r="AU171" s="446">
        <f t="shared" si="58"/>
        <v>196.55166925508522</v>
      </c>
      <c r="AV171" s="445"/>
      <c r="AW171" s="447">
        <f t="shared" si="59"/>
        <v>-129.89772548552614</v>
      </c>
      <c r="AX171" s="447">
        <f t="shared" si="60"/>
        <v>-86.302274514473837</v>
      </c>
      <c r="AY171" s="448">
        <f t="shared" si="45"/>
        <v>-89.301024761149733</v>
      </c>
      <c r="AZ171" s="448">
        <f t="shared" si="46"/>
        <v>-115.87180125041652</v>
      </c>
      <c r="BA171" s="451">
        <f t="shared" si="61"/>
        <v>89.301024761149733</v>
      </c>
      <c r="BB171" s="451">
        <f t="shared" si="61"/>
        <v>115.87180125041652</v>
      </c>
      <c r="BM171" s="214"/>
      <c r="BN171" s="214"/>
      <c r="BO171" s="214"/>
    </row>
    <row r="172" spans="1:109" ht="21" customHeight="1" thickBot="1" x14ac:dyDescent="0.35">
      <c r="B172" s="277">
        <v>9</v>
      </c>
      <c r="C172" s="278"/>
      <c r="D172" s="25">
        <v>0</v>
      </c>
      <c r="E172" s="279" t="s">
        <v>130</v>
      </c>
      <c r="F172" s="258"/>
      <c r="G172" s="258">
        <f t="shared" si="65"/>
        <v>0</v>
      </c>
      <c r="H172" s="506">
        <v>279.06049999999999</v>
      </c>
      <c r="I172" s="507">
        <v>79.962900599999998</v>
      </c>
      <c r="J172" s="474">
        <f t="shared" si="47"/>
        <v>79.962900599999998</v>
      </c>
      <c r="K172" s="474">
        <f t="shared" si="48"/>
        <v>39.981450299999999</v>
      </c>
      <c r="L172" s="474">
        <f t="shared" si="34"/>
        <v>0.64253956655634092</v>
      </c>
      <c r="M172" s="474">
        <f t="shared" si="35"/>
        <v>179.30741271299578</v>
      </c>
      <c r="N172" s="474">
        <f t="shared" si="36"/>
        <v>358.61482542599157</v>
      </c>
      <c r="O172" s="474">
        <f>+C164+D165+D166+D167+D168+D169+D170+D171+(D172/2)</f>
        <v>0</v>
      </c>
      <c r="P172" s="474">
        <f t="shared" si="37"/>
        <v>0</v>
      </c>
      <c r="Q172" s="474">
        <f t="shared" si="38"/>
        <v>0</v>
      </c>
      <c r="R172" s="474">
        <f t="shared" si="49"/>
        <v>213.83080000000001</v>
      </c>
      <c r="S172" s="474">
        <f t="shared" si="62"/>
        <v>213.83080000000001</v>
      </c>
      <c r="T172" s="476">
        <f t="shared" si="39"/>
        <v>213.83080000000001</v>
      </c>
      <c r="V172" s="437">
        <f t="shared" si="40"/>
        <v>0</v>
      </c>
      <c r="W172" s="437"/>
      <c r="X172" s="437"/>
      <c r="Y172" s="437"/>
      <c r="Z172" s="437"/>
      <c r="AA172" s="437"/>
      <c r="AB172" s="477" t="str">
        <f t="shared" si="50"/>
        <v>use the locking pin</v>
      </c>
      <c r="AC172" s="514" t="b">
        <f>IF(AD172=9,AF172)</f>
        <v>0</v>
      </c>
      <c r="AD172" s="514">
        <f t="shared" si="41"/>
        <v>1</v>
      </c>
      <c r="AE172" s="514">
        <f>IF(V172=0,0,9)</f>
        <v>0</v>
      </c>
      <c r="AF172" s="437">
        <f>SUM(V172:V183)/($B$161-B171)</f>
        <v>0</v>
      </c>
      <c r="AG172" s="437"/>
      <c r="AH172" s="450">
        <f>SUM(D165:D172)+$C$164</f>
        <v>0</v>
      </c>
      <c r="AI172" s="516" t="b">
        <f t="shared" si="51"/>
        <v>0</v>
      </c>
      <c r="AJ172" s="287">
        <f t="shared" si="52"/>
        <v>66.255548399999995</v>
      </c>
      <c r="AK172" s="441">
        <f t="shared" si="42"/>
        <v>0.91535047595051022</v>
      </c>
      <c r="AL172" s="289">
        <f t="shared" si="53"/>
        <v>278.56028065668761</v>
      </c>
      <c r="AM172" s="287">
        <f t="shared" si="54"/>
        <v>50.018549700000001</v>
      </c>
      <c r="AN172" s="442">
        <f t="shared" si="55"/>
        <v>0.76625250760411079</v>
      </c>
      <c r="AO172" s="291">
        <f t="shared" si="56"/>
        <v>213.83080789825695</v>
      </c>
      <c r="AP172" s="519">
        <f t="shared" si="43"/>
        <v>-14.552979254591856</v>
      </c>
      <c r="AQ172" s="291">
        <f t="shared" si="63"/>
        <v>-283.5</v>
      </c>
      <c r="AR172" s="519">
        <f t="shared" si="44"/>
        <v>-256.7</v>
      </c>
      <c r="AS172" s="444">
        <f t="shared" si="57"/>
        <v>492.39108855494453</v>
      </c>
      <c r="AT172" s="445">
        <f t="shared" si="64"/>
        <v>-213.83080789825695</v>
      </c>
      <c r="AU172" s="446">
        <f t="shared" si="58"/>
        <v>199.27782864366509</v>
      </c>
      <c r="AV172" s="445"/>
      <c r="AW172" s="447">
        <f t="shared" si="59"/>
        <v>-152.80977980337551</v>
      </c>
      <c r="AX172" s="447">
        <f t="shared" si="60"/>
        <v>-103.89022019662451</v>
      </c>
      <c r="AY172" s="448">
        <f t="shared" si="45"/>
        <v>-75.911371738942591</v>
      </c>
      <c r="AZ172" s="448">
        <f t="shared" si="46"/>
        <v>-96.255451004664536</v>
      </c>
      <c r="BA172" s="451">
        <f t="shared" si="61"/>
        <v>75.911371738942591</v>
      </c>
      <c r="BB172" s="451">
        <f t="shared" si="61"/>
        <v>96.255451004664536</v>
      </c>
      <c r="BM172" s="214"/>
      <c r="BN172" s="214"/>
      <c r="BO172" s="214"/>
    </row>
    <row r="173" spans="1:109" ht="21" customHeight="1" thickBot="1" x14ac:dyDescent="0.35">
      <c r="B173" s="277">
        <v>10</v>
      </c>
      <c r="C173" s="278"/>
      <c r="D173" s="25">
        <v>0</v>
      </c>
      <c r="E173" s="279" t="s">
        <v>130</v>
      </c>
      <c r="F173" s="258"/>
      <c r="G173" s="258">
        <f t="shared" si="65"/>
        <v>0</v>
      </c>
      <c r="H173" s="506">
        <v>279.06049999999999</v>
      </c>
      <c r="I173" s="507">
        <v>79.962900599999998</v>
      </c>
      <c r="J173" s="474">
        <f t="shared" si="47"/>
        <v>79.962900599999998</v>
      </c>
      <c r="K173" s="474">
        <f t="shared" si="48"/>
        <v>39.981450299999999</v>
      </c>
      <c r="L173" s="474">
        <f t="shared" si="34"/>
        <v>0.64253956655634092</v>
      </c>
      <c r="M173" s="474">
        <f t="shared" si="35"/>
        <v>179.30741271299578</v>
      </c>
      <c r="N173" s="474">
        <f t="shared" si="36"/>
        <v>358.61482542599157</v>
      </c>
      <c r="O173" s="474">
        <f>+C164+D165+D166+D167+D168+D169+D170+D171+D172+(D173/2)</f>
        <v>0</v>
      </c>
      <c r="P173" s="474">
        <f t="shared" si="37"/>
        <v>0</v>
      </c>
      <c r="Q173" s="474">
        <f t="shared" si="38"/>
        <v>0</v>
      </c>
      <c r="R173" s="474">
        <f t="shared" si="49"/>
        <v>213.83080000000001</v>
      </c>
      <c r="S173" s="474">
        <f t="shared" si="62"/>
        <v>213.83080000000001</v>
      </c>
      <c r="T173" s="476">
        <f t="shared" si="39"/>
        <v>213.83080000000001</v>
      </c>
      <c r="V173" s="437">
        <f t="shared" si="40"/>
        <v>0</v>
      </c>
      <c r="W173" s="437"/>
      <c r="X173" s="437"/>
      <c r="Y173" s="437"/>
      <c r="Z173" s="437"/>
      <c r="AA173" s="437"/>
      <c r="AB173" s="477" t="str">
        <f t="shared" si="50"/>
        <v>use the locking pin</v>
      </c>
      <c r="AC173" s="514" t="b">
        <f>IF(AD173=10,AF173)</f>
        <v>0</v>
      </c>
      <c r="AD173" s="514">
        <f t="shared" si="41"/>
        <v>1</v>
      </c>
      <c r="AE173" s="514">
        <f>IF(V173=0,0,10)</f>
        <v>0</v>
      </c>
      <c r="AF173" s="437">
        <f>SUM(V173:V183)/($B$161-B172)</f>
        <v>0</v>
      </c>
      <c r="AG173" s="437"/>
      <c r="AH173" s="450">
        <f>SUM(D165:D173)+$C$164</f>
        <v>0</v>
      </c>
      <c r="AI173" s="516" t="b">
        <f t="shared" si="51"/>
        <v>0</v>
      </c>
      <c r="AJ173" s="287">
        <f t="shared" si="52"/>
        <v>66.255548399999995</v>
      </c>
      <c r="AK173" s="441">
        <f t="shared" si="42"/>
        <v>0.91535047595051022</v>
      </c>
      <c r="AL173" s="289">
        <f t="shared" si="53"/>
        <v>278.56028065668761</v>
      </c>
      <c r="AM173" s="287">
        <f t="shared" si="54"/>
        <v>50.018549700000001</v>
      </c>
      <c r="AN173" s="442">
        <f t="shared" si="55"/>
        <v>0.76625250760411079</v>
      </c>
      <c r="AO173" s="291">
        <f t="shared" si="56"/>
        <v>213.83080789825695</v>
      </c>
      <c r="AP173" s="519">
        <f t="shared" si="43"/>
        <v>-12.569817545941216</v>
      </c>
      <c r="AQ173" s="291">
        <f t="shared" si="63"/>
        <v>-324</v>
      </c>
      <c r="AR173" s="519">
        <f t="shared" si="44"/>
        <v>-297.2</v>
      </c>
      <c r="AS173" s="444">
        <f t="shared" si="57"/>
        <v>492.39108855494453</v>
      </c>
      <c r="AT173" s="445">
        <f t="shared" si="64"/>
        <v>-213.83080789825695</v>
      </c>
      <c r="AU173" s="446">
        <f t="shared" si="58"/>
        <v>201.26099035231573</v>
      </c>
      <c r="AV173" s="445"/>
      <c r="AW173" s="447">
        <f t="shared" si="59"/>
        <v>-175.72183412122479</v>
      </c>
      <c r="AX173" s="447">
        <f t="shared" si="60"/>
        <v>-121.47816587877519</v>
      </c>
      <c r="AY173" s="448">
        <f t="shared" si="45"/>
        <v>-66.013424330624375</v>
      </c>
      <c r="AZ173" s="448">
        <f t="shared" si="46"/>
        <v>-82.319319917779666</v>
      </c>
      <c r="BA173" s="451">
        <f t="shared" si="61"/>
        <v>66.013424330624375</v>
      </c>
      <c r="BB173" s="451">
        <f t="shared" si="61"/>
        <v>82.319319917779666</v>
      </c>
      <c r="BM173" s="214"/>
      <c r="BN173" s="214"/>
      <c r="BO173" s="214"/>
    </row>
    <row r="174" spans="1:109" ht="21" customHeight="1" thickBot="1" x14ac:dyDescent="0.35">
      <c r="A174" s="296"/>
      <c r="B174" s="277">
        <v>11</v>
      </c>
      <c r="C174" s="278"/>
      <c r="D174" s="25">
        <v>0</v>
      </c>
      <c r="E174" s="279" t="s">
        <v>130</v>
      </c>
      <c r="F174" s="258"/>
      <c r="G174" s="258">
        <f t="shared" si="65"/>
        <v>0</v>
      </c>
      <c r="H174" s="506">
        <v>279.06049999999999</v>
      </c>
      <c r="I174" s="507">
        <v>79.962900599999998</v>
      </c>
      <c r="J174" s="474">
        <f t="shared" si="47"/>
        <v>79.962900599999998</v>
      </c>
      <c r="K174" s="474">
        <f t="shared" si="48"/>
        <v>39.981450299999999</v>
      </c>
      <c r="L174" s="474">
        <f t="shared" si="34"/>
        <v>0.64253956655634092</v>
      </c>
      <c r="M174" s="474">
        <f t="shared" si="35"/>
        <v>179.30741271299578</v>
      </c>
      <c r="N174" s="474">
        <f t="shared" si="36"/>
        <v>358.61482542599157</v>
      </c>
      <c r="O174" s="474">
        <f>+C164+D165+D166+D167+D168+D169+D170+D171+D172+D173+(D174/2)</f>
        <v>0</v>
      </c>
      <c r="P174" s="474">
        <f t="shared" si="37"/>
        <v>0</v>
      </c>
      <c r="Q174" s="474">
        <f t="shared" si="38"/>
        <v>0</v>
      </c>
      <c r="R174" s="474">
        <f t="shared" si="49"/>
        <v>213.83080000000001</v>
      </c>
      <c r="S174" s="474">
        <f t="shared" si="62"/>
        <v>213.83080000000001</v>
      </c>
      <c r="T174" s="476">
        <f t="shared" si="39"/>
        <v>213.83080000000001</v>
      </c>
      <c r="V174" s="437">
        <f t="shared" si="40"/>
        <v>0</v>
      </c>
      <c r="W174" s="437"/>
      <c r="X174" s="437"/>
      <c r="Y174" s="437"/>
      <c r="Z174" s="437"/>
      <c r="AA174" s="437"/>
      <c r="AB174" s="477" t="str">
        <f t="shared" si="50"/>
        <v>use the locking pin</v>
      </c>
      <c r="AC174" s="514" t="b">
        <f>IF(AD174=11,AF174)</f>
        <v>0</v>
      </c>
      <c r="AD174" s="514">
        <f t="shared" si="41"/>
        <v>1</v>
      </c>
      <c r="AE174" s="514">
        <f>IF(V174=0,0,11)</f>
        <v>0</v>
      </c>
      <c r="AF174" s="437">
        <f>SUM(V174:V183)/($B$161-B173)</f>
        <v>0</v>
      </c>
      <c r="AG174" s="437"/>
      <c r="AH174" s="450">
        <f>SUM(D165:D174)+$C$164</f>
        <v>0</v>
      </c>
      <c r="AI174" s="516" t="b">
        <f t="shared" si="51"/>
        <v>0</v>
      </c>
      <c r="AJ174" s="287">
        <f t="shared" si="52"/>
        <v>66.255548399999995</v>
      </c>
      <c r="AK174" s="441">
        <f t="shared" si="42"/>
        <v>0.91535047595051022</v>
      </c>
      <c r="AL174" s="289">
        <f t="shared" si="53"/>
        <v>278.56028065668761</v>
      </c>
      <c r="AM174" s="287">
        <f t="shared" si="54"/>
        <v>50.018549700000001</v>
      </c>
      <c r="AN174" s="442">
        <f t="shared" si="55"/>
        <v>0.76625250760411079</v>
      </c>
      <c r="AO174" s="291">
        <f t="shared" si="56"/>
        <v>213.83080789825695</v>
      </c>
      <c r="AP174" s="519">
        <f t="shared" si="43"/>
        <v>-11.062332764743054</v>
      </c>
      <c r="AQ174" s="291">
        <f t="shared" si="63"/>
        <v>-364.5</v>
      </c>
      <c r="AR174" s="519">
        <f t="shared" si="44"/>
        <v>-337.7</v>
      </c>
      <c r="AS174" s="444">
        <f t="shared" si="57"/>
        <v>492.39108855494453</v>
      </c>
      <c r="AT174" s="445">
        <f t="shared" si="64"/>
        <v>-213.83080789825695</v>
      </c>
      <c r="AU174" s="446">
        <f t="shared" si="58"/>
        <v>202.7684751335139</v>
      </c>
      <c r="AV174" s="445"/>
      <c r="AW174" s="447">
        <f t="shared" si="59"/>
        <v>-198.6338884390741</v>
      </c>
      <c r="AX174" s="447">
        <f t="shared" si="60"/>
        <v>-139.06611156092586</v>
      </c>
      <c r="AY174" s="448">
        <f t="shared" si="45"/>
        <v>-58.398897041971793</v>
      </c>
      <c r="AZ174" s="448">
        <f t="shared" si="46"/>
        <v>-71.908244846688817</v>
      </c>
      <c r="BA174" s="451">
        <f t="shared" si="61"/>
        <v>58.398897041971793</v>
      </c>
      <c r="BB174" s="451">
        <f t="shared" si="61"/>
        <v>71.908244846688817</v>
      </c>
      <c r="BM174" s="214"/>
      <c r="BN174" s="214"/>
      <c r="BO174" s="214"/>
    </row>
    <row r="175" spans="1:109" ht="21" customHeight="1" thickBot="1" x14ac:dyDescent="0.35">
      <c r="A175" s="296"/>
      <c r="B175" s="277">
        <v>12</v>
      </c>
      <c r="C175" s="278"/>
      <c r="D175" s="25">
        <v>0</v>
      </c>
      <c r="E175" s="279" t="s">
        <v>130</v>
      </c>
      <c r="F175" s="258"/>
      <c r="G175" s="258">
        <f t="shared" si="65"/>
        <v>0</v>
      </c>
      <c r="H175" s="506">
        <v>279.06049999999999</v>
      </c>
      <c r="I175" s="507">
        <v>79.962900599999998</v>
      </c>
      <c r="J175" s="474">
        <f t="shared" si="47"/>
        <v>79.962900599999998</v>
      </c>
      <c r="K175" s="474">
        <f t="shared" si="48"/>
        <v>39.981450299999999</v>
      </c>
      <c r="L175" s="474">
        <f t="shared" si="34"/>
        <v>0.64253956655634092</v>
      </c>
      <c r="M175" s="474">
        <f t="shared" si="35"/>
        <v>179.30741271299578</v>
      </c>
      <c r="N175" s="474">
        <f t="shared" si="36"/>
        <v>358.61482542599157</v>
      </c>
      <c r="O175" s="474">
        <f>+C164+D165+D166+D167+D168+D169+D170+D171+D172+D173+D174+(D175/2)</f>
        <v>0</v>
      </c>
      <c r="P175" s="474">
        <f t="shared" si="37"/>
        <v>0</v>
      </c>
      <c r="Q175" s="474">
        <f t="shared" si="38"/>
        <v>0</v>
      </c>
      <c r="R175" s="474">
        <f t="shared" si="49"/>
        <v>213.83080000000001</v>
      </c>
      <c r="S175" s="474">
        <f t="shared" si="62"/>
        <v>213.83080000000001</v>
      </c>
      <c r="T175" s="476">
        <f t="shared" si="39"/>
        <v>213.83080000000001</v>
      </c>
      <c r="V175" s="437">
        <f t="shared" si="40"/>
        <v>0</v>
      </c>
      <c r="W175" s="437"/>
      <c r="X175" s="437"/>
      <c r="Y175" s="437"/>
      <c r="Z175" s="437"/>
      <c r="AA175" s="437"/>
      <c r="AB175" s="477" t="str">
        <f t="shared" si="50"/>
        <v>use the locking pin</v>
      </c>
      <c r="AC175" s="514" t="b">
        <f>IF(AD175=12,AF175)</f>
        <v>0</v>
      </c>
      <c r="AD175" s="514">
        <f t="shared" si="41"/>
        <v>1</v>
      </c>
      <c r="AE175" s="514">
        <f>IF(V175=0,0,12)</f>
        <v>0</v>
      </c>
      <c r="AF175" s="437">
        <f>SUM(V175:V183)/($B$161-B174)</f>
        <v>0</v>
      </c>
      <c r="AG175" s="437"/>
      <c r="AH175" s="450">
        <f>SUM(D165:D175)+$C$164</f>
        <v>0</v>
      </c>
      <c r="AI175" s="516" t="b">
        <f t="shared" si="51"/>
        <v>0</v>
      </c>
      <c r="AJ175" s="287">
        <f t="shared" si="52"/>
        <v>66.255548399999995</v>
      </c>
      <c r="AK175" s="441">
        <f t="shared" si="42"/>
        <v>0.91535047595051022</v>
      </c>
      <c r="AL175" s="289">
        <f t="shared" si="53"/>
        <v>278.56028065668761</v>
      </c>
      <c r="AM175" s="287">
        <f t="shared" si="54"/>
        <v>50.018549700000001</v>
      </c>
      <c r="AN175" s="442">
        <f t="shared" si="55"/>
        <v>0.76625250760411079</v>
      </c>
      <c r="AO175" s="291">
        <f t="shared" si="56"/>
        <v>213.83080789825695</v>
      </c>
      <c r="AP175" s="519">
        <f t="shared" si="43"/>
        <v>-9.8777096104011886</v>
      </c>
      <c r="AQ175" s="291">
        <f t="shared" si="63"/>
        <v>-405</v>
      </c>
      <c r="AR175" s="519">
        <f t="shared" si="44"/>
        <v>-378.2</v>
      </c>
      <c r="AS175" s="444">
        <f t="shared" si="57"/>
        <v>492.39108855494453</v>
      </c>
      <c r="AT175" s="445">
        <f t="shared" si="64"/>
        <v>-213.83080789825695</v>
      </c>
      <c r="AU175" s="446">
        <f t="shared" si="58"/>
        <v>203.95309828785577</v>
      </c>
      <c r="AV175" s="445"/>
      <c r="AW175" s="447">
        <f t="shared" si="59"/>
        <v>-221.54594275692344</v>
      </c>
      <c r="AX175" s="447">
        <f t="shared" si="60"/>
        <v>-156.65405724307655</v>
      </c>
      <c r="AY175" s="448">
        <f t="shared" si="45"/>
        <v>-52.359342968096371</v>
      </c>
      <c r="AZ175" s="448">
        <f t="shared" si="46"/>
        <v>-63.834925031550419</v>
      </c>
      <c r="BA175" s="451">
        <f t="shared" si="61"/>
        <v>52.359342968096371</v>
      </c>
      <c r="BB175" s="451">
        <f t="shared" si="61"/>
        <v>63.834925031550419</v>
      </c>
      <c r="BM175" s="214"/>
      <c r="BN175" s="214"/>
      <c r="BO175" s="214"/>
    </row>
    <row r="176" spans="1:109" ht="21" customHeight="1" thickBot="1" x14ac:dyDescent="0.35">
      <c r="B176" s="277">
        <v>13</v>
      </c>
      <c r="C176" s="278"/>
      <c r="D176" s="25">
        <v>0</v>
      </c>
      <c r="E176" s="279" t="s">
        <v>130</v>
      </c>
      <c r="F176" s="258"/>
      <c r="G176" s="258">
        <f t="shared" si="65"/>
        <v>0</v>
      </c>
      <c r="H176" s="506">
        <v>279.06049999999999</v>
      </c>
      <c r="I176" s="507">
        <v>79.962900599999998</v>
      </c>
      <c r="J176" s="474">
        <f t="shared" si="47"/>
        <v>79.962900599999998</v>
      </c>
      <c r="K176" s="474">
        <f t="shared" si="48"/>
        <v>39.981450299999999</v>
      </c>
      <c r="L176" s="474">
        <f t="shared" si="34"/>
        <v>0.64253956655634092</v>
      </c>
      <c r="M176" s="474">
        <f t="shared" si="35"/>
        <v>179.30741271299578</v>
      </c>
      <c r="N176" s="474">
        <f t="shared" si="36"/>
        <v>358.61482542599157</v>
      </c>
      <c r="O176" s="474">
        <f>+C164+D165+D166+D167+D168+D169+D170+D171+D172+D173+D174+D175+(D176/2)</f>
        <v>0</v>
      </c>
      <c r="P176" s="474">
        <f t="shared" si="37"/>
        <v>0</v>
      </c>
      <c r="Q176" s="474">
        <f t="shared" si="38"/>
        <v>0</v>
      </c>
      <c r="R176" s="474">
        <f t="shared" si="49"/>
        <v>213.83080000000001</v>
      </c>
      <c r="S176" s="474">
        <f t="shared" si="62"/>
        <v>213.83080000000001</v>
      </c>
      <c r="T176" s="476">
        <f t="shared" si="39"/>
        <v>213.83080000000001</v>
      </c>
      <c r="V176" s="437">
        <f t="shared" si="40"/>
        <v>0</v>
      </c>
      <c r="W176" s="437"/>
      <c r="X176" s="437"/>
      <c r="Y176" s="437"/>
      <c r="Z176" s="437"/>
      <c r="AA176" s="437"/>
      <c r="AB176" s="477" t="str">
        <f t="shared" si="50"/>
        <v>use the locking pin</v>
      </c>
      <c r="AC176" s="514" t="b">
        <f>IF(AD176=13,AF176)</f>
        <v>0</v>
      </c>
      <c r="AD176" s="514">
        <f t="shared" si="41"/>
        <v>1</v>
      </c>
      <c r="AE176" s="514">
        <f>IF(V176=0,0,13)</f>
        <v>0</v>
      </c>
      <c r="AF176" s="437">
        <f>SUM(V176:V183)/($B$161-B175)</f>
        <v>0</v>
      </c>
      <c r="AG176" s="437"/>
      <c r="AH176" s="450">
        <f>SUM(D165:D176)+$C$164</f>
        <v>0</v>
      </c>
      <c r="AI176" s="516" t="b">
        <f t="shared" si="51"/>
        <v>0</v>
      </c>
      <c r="AJ176" s="287">
        <f t="shared" si="52"/>
        <v>66.255548399999995</v>
      </c>
      <c r="AK176" s="441">
        <f t="shared" si="42"/>
        <v>0.91535047595051022</v>
      </c>
      <c r="AL176" s="289">
        <f t="shared" si="53"/>
        <v>278.56028065668761</v>
      </c>
      <c r="AM176" s="287">
        <f t="shared" si="54"/>
        <v>50.018549700000001</v>
      </c>
      <c r="AN176" s="442">
        <f t="shared" si="55"/>
        <v>0.76625250760411079</v>
      </c>
      <c r="AO176" s="291">
        <f t="shared" si="56"/>
        <v>213.83080789825695</v>
      </c>
      <c r="AP176" s="519">
        <f t="shared" si="43"/>
        <v>-8.9222588360490303</v>
      </c>
      <c r="AQ176" s="291">
        <f t="shared" si="63"/>
        <v>-445.5</v>
      </c>
      <c r="AR176" s="519">
        <f t="shared" si="44"/>
        <v>-418.7</v>
      </c>
      <c r="AS176" s="444">
        <f t="shared" si="57"/>
        <v>492.39108855494453</v>
      </c>
      <c r="AT176" s="445">
        <f t="shared" si="64"/>
        <v>-213.83080789825695</v>
      </c>
      <c r="AU176" s="446">
        <f t="shared" si="58"/>
        <v>204.90854906220792</v>
      </c>
      <c r="AV176" s="445"/>
      <c r="AW176" s="447">
        <f t="shared" si="59"/>
        <v>-244.45799707477272</v>
      </c>
      <c r="AX176" s="447">
        <f t="shared" si="60"/>
        <v>-174.24200292522721</v>
      </c>
      <c r="AY176" s="448">
        <f t="shared" si="45"/>
        <v>-47.451914598039892</v>
      </c>
      <c r="AZ176" s="448">
        <f t="shared" si="46"/>
        <v>-57.391443120011182</v>
      </c>
      <c r="BA176" s="451">
        <f t="shared" si="61"/>
        <v>47.451914598039892</v>
      </c>
      <c r="BB176" s="451">
        <f t="shared" si="61"/>
        <v>57.391443120011182</v>
      </c>
      <c r="BM176" s="214"/>
      <c r="BN176" s="214"/>
      <c r="BO176" s="214"/>
      <c r="DE176" s="126"/>
    </row>
    <row r="177" spans="2:129" ht="21" customHeight="1" thickBot="1" x14ac:dyDescent="0.35">
      <c r="B177" s="277">
        <v>14</v>
      </c>
      <c r="C177" s="278"/>
      <c r="D177" s="25">
        <v>0</v>
      </c>
      <c r="E177" s="279" t="s">
        <v>130</v>
      </c>
      <c r="F177" s="258"/>
      <c r="G177" s="258">
        <f t="shared" si="65"/>
        <v>0</v>
      </c>
      <c r="H177" s="506">
        <v>279.06049999999999</v>
      </c>
      <c r="I177" s="507">
        <v>79.962900599999998</v>
      </c>
      <c r="J177" s="474">
        <f t="shared" si="47"/>
        <v>79.962900599999998</v>
      </c>
      <c r="K177" s="474">
        <f t="shared" si="48"/>
        <v>39.981450299999999</v>
      </c>
      <c r="L177" s="474">
        <f t="shared" si="34"/>
        <v>0.64253956655634092</v>
      </c>
      <c r="M177" s="474">
        <f t="shared" si="35"/>
        <v>179.30741271299578</v>
      </c>
      <c r="N177" s="474">
        <f t="shared" si="36"/>
        <v>358.61482542599157</v>
      </c>
      <c r="O177" s="474">
        <f>+C164+D165+D166+D167+D168+D169+D170+D171+D172+D173+D174+D175+D176+(D177/2)</f>
        <v>0</v>
      </c>
      <c r="P177" s="474">
        <f t="shared" si="37"/>
        <v>0</v>
      </c>
      <c r="Q177" s="474">
        <f t="shared" si="38"/>
        <v>0</v>
      </c>
      <c r="R177" s="474">
        <f t="shared" si="49"/>
        <v>213.83080000000001</v>
      </c>
      <c r="S177" s="474">
        <f t="shared" si="62"/>
        <v>213.83080000000001</v>
      </c>
      <c r="T177" s="476">
        <f t="shared" si="39"/>
        <v>213.83080000000001</v>
      </c>
      <c r="V177" s="437">
        <f t="shared" si="40"/>
        <v>0</v>
      </c>
      <c r="W177" s="437"/>
      <c r="X177" s="437"/>
      <c r="Y177" s="437"/>
      <c r="Z177" s="437"/>
      <c r="AA177" s="437"/>
      <c r="AB177" s="477" t="str">
        <f t="shared" si="50"/>
        <v>use the locking pin</v>
      </c>
      <c r="AC177" s="514" t="b">
        <f>IF(AD177=14,AF177)</f>
        <v>0</v>
      </c>
      <c r="AD177" s="514">
        <f t="shared" si="41"/>
        <v>1</v>
      </c>
      <c r="AE177" s="514">
        <f>IF(V177=0,0,14)</f>
        <v>0</v>
      </c>
      <c r="AF177" s="437">
        <f>SUM(V177:V183)/($B$161-B176)</f>
        <v>0</v>
      </c>
      <c r="AG177" s="437"/>
      <c r="AH177" s="450">
        <f>SUM(D165:D177)+$C$164</f>
        <v>0</v>
      </c>
      <c r="AI177" s="516" t="b">
        <f t="shared" si="51"/>
        <v>0</v>
      </c>
      <c r="AJ177" s="287">
        <f t="shared" si="52"/>
        <v>66.255548399999995</v>
      </c>
      <c r="AK177" s="441">
        <f t="shared" si="42"/>
        <v>0.91535047595051022</v>
      </c>
      <c r="AL177" s="289">
        <f t="shared" si="53"/>
        <v>278.56028065668761</v>
      </c>
      <c r="AM177" s="287">
        <f t="shared" si="54"/>
        <v>50.018549700000001</v>
      </c>
      <c r="AN177" s="442">
        <f t="shared" si="55"/>
        <v>0.76625250760411079</v>
      </c>
      <c r="AO177" s="291">
        <f t="shared" si="56"/>
        <v>213.83080789825695</v>
      </c>
      <c r="AP177" s="519">
        <f t="shared" si="43"/>
        <v>-8.1353435859184007</v>
      </c>
      <c r="AQ177" s="291">
        <f t="shared" si="63"/>
        <v>-486</v>
      </c>
      <c r="AR177" s="519">
        <f t="shared" si="44"/>
        <v>-459.2</v>
      </c>
      <c r="AS177" s="444">
        <f t="shared" si="57"/>
        <v>492.39108855494453</v>
      </c>
      <c r="AT177" s="445">
        <f t="shared" si="64"/>
        <v>-213.83080789825695</v>
      </c>
      <c r="AU177" s="446">
        <f t="shared" si="58"/>
        <v>205.69546431233854</v>
      </c>
      <c r="AV177" s="445"/>
      <c r="AW177" s="447">
        <f t="shared" si="59"/>
        <v>-267.37005139262209</v>
      </c>
      <c r="AX177" s="447">
        <f t="shared" si="60"/>
        <v>-191.82994860737787</v>
      </c>
      <c r="AY177" s="448">
        <f t="shared" si="45"/>
        <v>-43.385562218282516</v>
      </c>
      <c r="AZ177" s="448">
        <f t="shared" si="46"/>
        <v>-52.129503618161294</v>
      </c>
      <c r="BA177" s="451">
        <f t="shared" si="61"/>
        <v>43.385562218282516</v>
      </c>
      <c r="BB177" s="451">
        <f t="shared" si="61"/>
        <v>52.129503618161294</v>
      </c>
      <c r="BM177" s="214"/>
      <c r="BN177" s="214"/>
      <c r="BO177" s="214"/>
      <c r="DE177" s="126"/>
    </row>
    <row r="178" spans="2:129" ht="21" customHeight="1" thickBot="1" x14ac:dyDescent="0.35">
      <c r="B178" s="277">
        <v>15</v>
      </c>
      <c r="C178" s="278"/>
      <c r="D178" s="25">
        <v>0</v>
      </c>
      <c r="E178" s="279" t="s">
        <v>130</v>
      </c>
      <c r="F178" s="258"/>
      <c r="G178" s="258">
        <f t="shared" si="65"/>
        <v>0</v>
      </c>
      <c r="H178" s="506">
        <v>279.06049999999999</v>
      </c>
      <c r="I178" s="507">
        <v>79.962900599999998</v>
      </c>
      <c r="J178" s="474">
        <f t="shared" si="47"/>
        <v>79.962900599999998</v>
      </c>
      <c r="K178" s="474">
        <f t="shared" si="48"/>
        <v>39.981450299999999</v>
      </c>
      <c r="L178" s="474">
        <f t="shared" si="34"/>
        <v>0.64253956655634092</v>
      </c>
      <c r="M178" s="474">
        <f t="shared" si="35"/>
        <v>179.30741271299578</v>
      </c>
      <c r="N178" s="474">
        <f t="shared" si="36"/>
        <v>358.61482542599157</v>
      </c>
      <c r="O178" s="474">
        <f>+C164+D165+D166+D167+D168+D169+D170+D171+D172+D173+D174+D175+D176+D177+(D178/2)</f>
        <v>0</v>
      </c>
      <c r="P178" s="474">
        <f t="shared" si="37"/>
        <v>0</v>
      </c>
      <c r="Q178" s="474">
        <f t="shared" si="38"/>
        <v>0</v>
      </c>
      <c r="R178" s="474">
        <f t="shared" si="49"/>
        <v>213.83080000000001</v>
      </c>
      <c r="S178" s="474">
        <f t="shared" si="62"/>
        <v>213.83080000000001</v>
      </c>
      <c r="T178" s="476">
        <f t="shared" si="39"/>
        <v>213.83080000000001</v>
      </c>
      <c r="V178" s="437">
        <f t="shared" si="40"/>
        <v>0</v>
      </c>
      <c r="W178" s="437"/>
      <c r="X178" s="437"/>
      <c r="Y178" s="437"/>
      <c r="Z178" s="437"/>
      <c r="AA178" s="437"/>
      <c r="AB178" s="477" t="str">
        <f>IF(AZ178&lt;0,"use the locking pin"," ")</f>
        <v>use the locking pin</v>
      </c>
      <c r="AC178" s="514" t="b">
        <f>IF(AD178=15,AF178)</f>
        <v>0</v>
      </c>
      <c r="AD178" s="514">
        <f t="shared" si="41"/>
        <v>1</v>
      </c>
      <c r="AE178" s="514">
        <f>IF(V178=0,0,15)</f>
        <v>0</v>
      </c>
      <c r="AF178" s="437">
        <f>SUM(V178:V183)/($B$161-B177)</f>
        <v>0</v>
      </c>
      <c r="AG178" s="437"/>
      <c r="AH178" s="450">
        <f>SUM(D165:D178)+$C$164</f>
        <v>0</v>
      </c>
      <c r="AI178" s="516" t="b">
        <f t="shared" si="51"/>
        <v>0</v>
      </c>
      <c r="AJ178" s="287">
        <f t="shared" si="52"/>
        <v>66.255548399999995</v>
      </c>
      <c r="AK178" s="441">
        <f t="shared" si="42"/>
        <v>0.91535047595051022</v>
      </c>
      <c r="AL178" s="289">
        <f t="shared" si="53"/>
        <v>278.56028065668761</v>
      </c>
      <c r="AM178" s="287">
        <f t="shared" si="54"/>
        <v>50.018549700000001</v>
      </c>
      <c r="AN178" s="442">
        <f t="shared" si="55"/>
        <v>0.76625250760411079</v>
      </c>
      <c r="AO178" s="291">
        <f t="shared" si="56"/>
        <v>213.83080789825695</v>
      </c>
      <c r="AP178" s="519">
        <f t="shared" si="43"/>
        <v>-7.4759851403916935</v>
      </c>
      <c r="AQ178" s="291">
        <f t="shared" si="63"/>
        <v>-526.5</v>
      </c>
      <c r="AR178" s="519">
        <f t="shared" si="44"/>
        <v>-499.7</v>
      </c>
      <c r="AS178" s="444">
        <f t="shared" si="57"/>
        <v>492.39108855494453</v>
      </c>
      <c r="AT178" s="445">
        <f t="shared" si="64"/>
        <v>-213.83080789825695</v>
      </c>
      <c r="AU178" s="446">
        <f t="shared" si="58"/>
        <v>206.35482275786526</v>
      </c>
      <c r="AV178" s="445"/>
      <c r="AW178" s="447">
        <f t="shared" si="59"/>
        <v>-290.28210571047146</v>
      </c>
      <c r="AX178" s="447">
        <f t="shared" si="60"/>
        <v>-209.41789428952853</v>
      </c>
      <c r="AY178" s="448">
        <f t="shared" si="45"/>
        <v>-39.961126682641222</v>
      </c>
      <c r="AZ178" s="448">
        <f t="shared" si="46"/>
        <v>-47.751411281858289</v>
      </c>
      <c r="BA178" s="451">
        <f t="shared" si="61"/>
        <v>39.961126682641222</v>
      </c>
      <c r="BB178" s="451">
        <f t="shared" si="61"/>
        <v>47.751411281858289</v>
      </c>
      <c r="BM178" s="214"/>
      <c r="BN178" s="214"/>
      <c r="BO178" s="214"/>
      <c r="DE178" s="126"/>
    </row>
    <row r="179" spans="2:129" ht="21" customHeight="1" thickBot="1" x14ac:dyDescent="0.35">
      <c r="B179" s="277">
        <v>16</v>
      </c>
      <c r="C179" s="278"/>
      <c r="D179" s="25">
        <v>0</v>
      </c>
      <c r="E179" s="279" t="s">
        <v>130</v>
      </c>
      <c r="F179" s="258"/>
      <c r="G179" s="258">
        <f t="shared" si="65"/>
        <v>0</v>
      </c>
      <c r="H179" s="506">
        <v>279.06049999999999</v>
      </c>
      <c r="I179" s="507">
        <v>79.962900599999998</v>
      </c>
      <c r="J179" s="474">
        <f t="shared" si="47"/>
        <v>79.962900599999998</v>
      </c>
      <c r="K179" s="474">
        <f t="shared" si="48"/>
        <v>39.981450299999999</v>
      </c>
      <c r="L179" s="474">
        <f t="shared" si="34"/>
        <v>0.64253956655634092</v>
      </c>
      <c r="M179" s="474">
        <f t="shared" si="35"/>
        <v>179.30741271299578</v>
      </c>
      <c r="N179" s="474">
        <f t="shared" si="36"/>
        <v>358.61482542599157</v>
      </c>
      <c r="O179" s="474">
        <f>+C164+D165+D166+D167+D168+D169+D170+D171+D172+D173+D174+D175+D176+D177+D178+(D179/2)</f>
        <v>0</v>
      </c>
      <c r="P179" s="474">
        <f t="shared" si="37"/>
        <v>0</v>
      </c>
      <c r="Q179" s="474">
        <f t="shared" si="38"/>
        <v>0</v>
      </c>
      <c r="R179" s="474">
        <f t="shared" si="49"/>
        <v>213.83080000000001</v>
      </c>
      <c r="S179" s="474">
        <f t="shared" si="62"/>
        <v>213.83080000000001</v>
      </c>
      <c r="T179" s="476">
        <f t="shared" si="39"/>
        <v>213.83080000000001</v>
      </c>
      <c r="V179" s="437">
        <f t="shared" si="40"/>
        <v>0</v>
      </c>
      <c r="W179" s="437"/>
      <c r="X179" s="437"/>
      <c r="Y179" s="437"/>
      <c r="Z179" s="437"/>
      <c r="AA179" s="437"/>
      <c r="AB179" s="477" t="str">
        <f t="shared" si="50"/>
        <v>use the locking pin</v>
      </c>
      <c r="AC179" s="514" t="b">
        <f>IF(AD179=16,AF179)</f>
        <v>0</v>
      </c>
      <c r="AD179" s="514">
        <f t="shared" si="41"/>
        <v>1</v>
      </c>
      <c r="AE179" s="514">
        <f>IF(V179=0,0,16)</f>
        <v>0</v>
      </c>
      <c r="AF179" s="437">
        <f>SUM(V179:V183)/($B$161-B178)</f>
        <v>0</v>
      </c>
      <c r="AG179" s="437"/>
      <c r="AH179" s="450">
        <f>SUM(D165:D179)+$C$164</f>
        <v>0</v>
      </c>
      <c r="AI179" s="516" t="b">
        <f t="shared" si="51"/>
        <v>0</v>
      </c>
      <c r="AJ179" s="287">
        <f t="shared" si="52"/>
        <v>66.255548399999995</v>
      </c>
      <c r="AK179" s="441">
        <f t="shared" si="42"/>
        <v>0.91535047595051022</v>
      </c>
      <c r="AL179" s="289">
        <f t="shared" si="53"/>
        <v>278.56028065668761</v>
      </c>
      <c r="AM179" s="287">
        <f t="shared" si="54"/>
        <v>50.018549700000001</v>
      </c>
      <c r="AN179" s="442">
        <f t="shared" si="55"/>
        <v>0.76625250760411079</v>
      </c>
      <c r="AO179" s="291">
        <f t="shared" si="56"/>
        <v>213.83080789825695</v>
      </c>
      <c r="AP179" s="519">
        <f t="shared" si="43"/>
        <v>-6.9154938442312641</v>
      </c>
      <c r="AQ179" s="291">
        <f t="shared" si="63"/>
        <v>-567</v>
      </c>
      <c r="AR179" s="519">
        <f t="shared" si="44"/>
        <v>-540.20000000000005</v>
      </c>
      <c r="AS179" s="444">
        <f t="shared" si="57"/>
        <v>492.39108855494453</v>
      </c>
      <c r="AT179" s="445">
        <f t="shared" si="64"/>
        <v>-213.83080789825695</v>
      </c>
      <c r="AU179" s="446">
        <f t="shared" si="58"/>
        <v>206.91531405402569</v>
      </c>
      <c r="AV179" s="445"/>
      <c r="AW179" s="447">
        <f t="shared" si="59"/>
        <v>-313.19416002832082</v>
      </c>
      <c r="AX179" s="447">
        <f t="shared" si="60"/>
        <v>-227.00583997167925</v>
      </c>
      <c r="AY179" s="448">
        <f t="shared" si="45"/>
        <v>-37.03772764776668</v>
      </c>
      <c r="AZ179" s="448">
        <f t="shared" si="46"/>
        <v>-44.051730128386026</v>
      </c>
      <c r="BA179" s="451">
        <f t="shared" si="61"/>
        <v>37.03772764776668</v>
      </c>
      <c r="BB179" s="451">
        <f t="shared" si="61"/>
        <v>44.051730128386026</v>
      </c>
      <c r="BM179" s="214"/>
      <c r="BN179" s="214"/>
      <c r="BO179" s="214"/>
      <c r="DE179" s="126"/>
    </row>
    <row r="180" spans="2:129" ht="21" customHeight="1" thickBot="1" x14ac:dyDescent="0.35">
      <c r="B180" s="277">
        <v>17</v>
      </c>
      <c r="C180" s="278"/>
      <c r="D180" s="25">
        <v>0</v>
      </c>
      <c r="E180" s="279" t="s">
        <v>130</v>
      </c>
      <c r="F180" s="258"/>
      <c r="G180" s="258">
        <f t="shared" si="65"/>
        <v>0</v>
      </c>
      <c r="H180" s="506">
        <v>279.06049999999999</v>
      </c>
      <c r="I180" s="507">
        <v>79.962900599999998</v>
      </c>
      <c r="J180" s="474">
        <f t="shared" si="47"/>
        <v>79.962900599999998</v>
      </c>
      <c r="K180" s="474">
        <f t="shared" si="48"/>
        <v>39.981450299999999</v>
      </c>
      <c r="L180" s="474">
        <f t="shared" si="34"/>
        <v>0.64253956655634092</v>
      </c>
      <c r="M180" s="474">
        <f t="shared" si="35"/>
        <v>179.30741271299578</v>
      </c>
      <c r="N180" s="474">
        <f t="shared" si="36"/>
        <v>358.61482542599157</v>
      </c>
      <c r="O180" s="474">
        <f>+C164+D165+D166+D167+D168+D169+D170+D171+D172+D173+D174+D175+D176+D177+D178+D179+(D180/2)</f>
        <v>0</v>
      </c>
      <c r="P180" s="474">
        <f t="shared" si="37"/>
        <v>0</v>
      </c>
      <c r="Q180" s="474">
        <f t="shared" si="38"/>
        <v>0</v>
      </c>
      <c r="R180" s="474">
        <f t="shared" si="49"/>
        <v>213.83080000000001</v>
      </c>
      <c r="S180" s="474">
        <f t="shared" si="62"/>
        <v>213.83080000000001</v>
      </c>
      <c r="T180" s="476">
        <f t="shared" si="39"/>
        <v>213.83080000000001</v>
      </c>
      <c r="V180" s="437">
        <f t="shared" si="40"/>
        <v>0</v>
      </c>
      <c r="W180" s="437"/>
      <c r="X180" s="437"/>
      <c r="Y180" s="437"/>
      <c r="Z180" s="437"/>
      <c r="AA180" s="437"/>
      <c r="AB180" s="477" t="str">
        <f t="shared" si="50"/>
        <v>use the locking pin</v>
      </c>
      <c r="AC180" s="514" t="b">
        <f>IF(AD180=17,AF180)</f>
        <v>0</v>
      </c>
      <c r="AD180" s="514">
        <f t="shared" si="41"/>
        <v>1</v>
      </c>
      <c r="AE180" s="514">
        <f>IF(V180=0,0,17)</f>
        <v>0</v>
      </c>
      <c r="AF180" s="437">
        <f>SUM(V180:V183)/($B$161-B179)</f>
        <v>0</v>
      </c>
      <c r="AG180" s="437"/>
      <c r="AH180" s="450">
        <f>SUM(D165:D180)+$C$164</f>
        <v>0</v>
      </c>
      <c r="AI180" s="516" t="b">
        <f t="shared" si="51"/>
        <v>0</v>
      </c>
      <c r="AJ180" s="287">
        <f t="shared" si="52"/>
        <v>66.255548399999995</v>
      </c>
      <c r="AK180" s="441">
        <f t="shared" si="42"/>
        <v>0.91535047595051022</v>
      </c>
      <c r="AL180" s="289">
        <f t="shared" si="53"/>
        <v>278.56028065668761</v>
      </c>
      <c r="AM180" s="287">
        <f t="shared" si="54"/>
        <v>50.018549700000001</v>
      </c>
      <c r="AN180" s="442">
        <f t="shared" si="55"/>
        <v>0.76625250760411079</v>
      </c>
      <c r="AO180" s="291">
        <f t="shared" si="56"/>
        <v>213.83080789825695</v>
      </c>
      <c r="AP180" s="519">
        <f t="shared" si="43"/>
        <v>-6.4331837001097449</v>
      </c>
      <c r="AQ180" s="291">
        <f t="shared" si="63"/>
        <v>-607.5</v>
      </c>
      <c r="AR180" s="519">
        <f t="shared" si="44"/>
        <v>-580.70000000000005</v>
      </c>
      <c r="AS180" s="444">
        <f t="shared" si="57"/>
        <v>492.39108855494453</v>
      </c>
      <c r="AT180" s="445">
        <f t="shared" si="64"/>
        <v>-213.83080789825695</v>
      </c>
      <c r="AU180" s="446">
        <f t="shared" si="58"/>
        <v>207.39762419814721</v>
      </c>
      <c r="AV180" s="445"/>
      <c r="AW180" s="447">
        <f t="shared" si="59"/>
        <v>-336.10621434617008</v>
      </c>
      <c r="AX180" s="447">
        <f t="shared" si="60"/>
        <v>-244.59378565382994</v>
      </c>
      <c r="AY180" s="448">
        <f t="shared" si="45"/>
        <v>-34.512899508762629</v>
      </c>
      <c r="AZ180" s="448">
        <f t="shared" si="46"/>
        <v>-40.884113115420092</v>
      </c>
      <c r="BA180" s="451">
        <f t="shared" si="61"/>
        <v>34.512899508762629</v>
      </c>
      <c r="BB180" s="451">
        <f t="shared" si="61"/>
        <v>40.884113115420092</v>
      </c>
      <c r="BD180" s="136"/>
      <c r="BM180" s="214"/>
      <c r="BN180" s="214"/>
      <c r="BO180" s="214"/>
      <c r="DF180" s="126"/>
      <c r="DG180" s="126"/>
      <c r="DH180" s="126"/>
      <c r="DI180" s="126"/>
      <c r="DJ180" s="126"/>
      <c r="DK180" s="126"/>
      <c r="DL180" s="203"/>
      <c r="DM180" s="203"/>
      <c r="DN180" s="203"/>
      <c r="DO180" s="203"/>
      <c r="DP180" s="203"/>
      <c r="DQ180" s="203"/>
      <c r="DR180" s="203"/>
      <c r="DS180" s="203"/>
      <c r="DT180" s="203"/>
      <c r="DU180" s="203"/>
      <c r="DV180" s="203"/>
      <c r="DW180" s="203"/>
      <c r="DX180" s="203"/>
      <c r="DY180" s="203"/>
    </row>
    <row r="181" spans="2:129" ht="21" customHeight="1" thickBot="1" x14ac:dyDescent="0.35">
      <c r="B181" s="277">
        <v>18</v>
      </c>
      <c r="C181" s="278"/>
      <c r="D181" s="25">
        <v>0</v>
      </c>
      <c r="E181" s="279" t="s">
        <v>130</v>
      </c>
      <c r="F181" s="258"/>
      <c r="G181" s="258">
        <f t="shared" si="65"/>
        <v>0</v>
      </c>
      <c r="H181" s="506">
        <v>279.06049999999999</v>
      </c>
      <c r="I181" s="507">
        <v>79.962900599999998</v>
      </c>
      <c r="J181" s="474">
        <f t="shared" si="47"/>
        <v>79.962900599999998</v>
      </c>
      <c r="K181" s="474">
        <f t="shared" si="48"/>
        <v>39.981450299999999</v>
      </c>
      <c r="L181" s="474">
        <f t="shared" si="34"/>
        <v>0.64253956655634092</v>
      </c>
      <c r="M181" s="474">
        <f t="shared" si="35"/>
        <v>179.30741271299578</v>
      </c>
      <c r="N181" s="474">
        <f t="shared" si="36"/>
        <v>358.61482542599157</v>
      </c>
      <c r="O181" s="474">
        <f>+C164+D165+D166+D167+D168+D169+D170+D171+D172+D173+D174+D175+D176+D177+D178+D179+D180+(D181/2)</f>
        <v>0</v>
      </c>
      <c r="P181" s="474">
        <f t="shared" si="37"/>
        <v>0</v>
      </c>
      <c r="Q181" s="474">
        <f t="shared" si="38"/>
        <v>0</v>
      </c>
      <c r="R181" s="474">
        <f t="shared" si="49"/>
        <v>213.83080000000001</v>
      </c>
      <c r="S181" s="474">
        <f t="shared" si="62"/>
        <v>213.83080000000001</v>
      </c>
      <c r="T181" s="476">
        <f t="shared" si="39"/>
        <v>213.83080000000001</v>
      </c>
      <c r="V181" s="437">
        <f t="shared" si="40"/>
        <v>0</v>
      </c>
      <c r="W181" s="437"/>
      <c r="X181" s="437"/>
      <c r="Y181" s="437"/>
      <c r="Z181" s="437"/>
      <c r="AA181" s="437"/>
      <c r="AB181" s="477" t="str">
        <f t="shared" si="50"/>
        <v>use the locking pin</v>
      </c>
      <c r="AC181" s="514" t="b">
        <f>IF(AD181=18,AF181)</f>
        <v>0</v>
      </c>
      <c r="AD181" s="514">
        <f t="shared" si="41"/>
        <v>1</v>
      </c>
      <c r="AE181" s="514">
        <f>IF(V181=0,0,18)</f>
        <v>0</v>
      </c>
      <c r="AF181" s="437">
        <f>SUM(V181:V183)/($B$161-B180)</f>
        <v>0</v>
      </c>
      <c r="AG181" s="437"/>
      <c r="AH181" s="450">
        <f>SUM(D165:D181)+$C$164</f>
        <v>0</v>
      </c>
      <c r="AI181" s="516" t="b">
        <f t="shared" si="51"/>
        <v>0</v>
      </c>
      <c r="AJ181" s="287">
        <f t="shared" si="52"/>
        <v>66.255548399999995</v>
      </c>
      <c r="AK181" s="441">
        <f t="shared" si="42"/>
        <v>0.91535047595051022</v>
      </c>
      <c r="AL181" s="289">
        <f t="shared" si="53"/>
        <v>278.56028065668761</v>
      </c>
      <c r="AM181" s="287">
        <f t="shared" si="54"/>
        <v>50.018549700000001</v>
      </c>
      <c r="AN181" s="442">
        <f t="shared" si="55"/>
        <v>0.76625250760411079</v>
      </c>
      <c r="AO181" s="291">
        <f t="shared" si="56"/>
        <v>213.83080789825695</v>
      </c>
      <c r="AP181" s="519">
        <f t="shared" si="43"/>
        <v>-6.0137633204342062</v>
      </c>
      <c r="AQ181" s="291">
        <f t="shared" si="63"/>
        <v>-648</v>
      </c>
      <c r="AR181" s="519">
        <f t="shared" si="44"/>
        <v>-621.20000000000005</v>
      </c>
      <c r="AS181" s="444">
        <f t="shared" si="57"/>
        <v>492.39108855494453</v>
      </c>
      <c r="AT181" s="445">
        <f t="shared" si="64"/>
        <v>-213.83080789825695</v>
      </c>
      <c r="AU181" s="446">
        <f t="shared" si="58"/>
        <v>207.81704457782274</v>
      </c>
      <c r="AV181" s="445"/>
      <c r="AW181" s="447">
        <f t="shared" si="59"/>
        <v>-359.01826866401944</v>
      </c>
      <c r="AX181" s="447">
        <f t="shared" si="60"/>
        <v>-262.1817313359806</v>
      </c>
      <c r="AY181" s="448">
        <f t="shared" si="45"/>
        <v>-32.310333519143683</v>
      </c>
      <c r="AZ181" s="448">
        <f t="shared" si="46"/>
        <v>-38.141482814396404</v>
      </c>
      <c r="BA181" s="451">
        <f t="shared" si="61"/>
        <v>32.310333519143683</v>
      </c>
      <c r="BB181" s="451">
        <f t="shared" si="61"/>
        <v>38.141482814396404</v>
      </c>
      <c r="BD181" s="458"/>
      <c r="BM181" s="214"/>
      <c r="BN181" s="214"/>
      <c r="BO181" s="214"/>
      <c r="DF181" s="126"/>
      <c r="DG181" s="126"/>
      <c r="DH181" s="126"/>
      <c r="DI181" s="126"/>
      <c r="DJ181" s="126"/>
      <c r="DK181" s="126"/>
      <c r="DL181" s="203"/>
      <c r="DM181" s="203"/>
      <c r="DN181" s="203"/>
      <c r="DO181" s="203"/>
      <c r="DP181" s="203"/>
      <c r="DQ181" s="203"/>
      <c r="DR181" s="203"/>
      <c r="DS181" s="203"/>
      <c r="DT181" s="203"/>
      <c r="DU181" s="203"/>
      <c r="DV181" s="203"/>
      <c r="DW181" s="203"/>
      <c r="DX181" s="203"/>
      <c r="DY181" s="203"/>
    </row>
    <row r="182" spans="2:129" ht="21" customHeight="1" thickBot="1" x14ac:dyDescent="0.35">
      <c r="B182" s="277">
        <v>19</v>
      </c>
      <c r="C182" s="278"/>
      <c r="D182" s="25">
        <v>0</v>
      </c>
      <c r="E182" s="279" t="s">
        <v>130</v>
      </c>
      <c r="F182" s="258"/>
      <c r="G182" s="258">
        <f t="shared" si="65"/>
        <v>0</v>
      </c>
      <c r="H182" s="506">
        <v>279.06049999999999</v>
      </c>
      <c r="I182" s="507">
        <v>79.962900599999998</v>
      </c>
      <c r="J182" s="474">
        <f t="shared" si="47"/>
        <v>79.962900599999998</v>
      </c>
      <c r="K182" s="474">
        <f t="shared" si="48"/>
        <v>39.981450299999999</v>
      </c>
      <c r="L182" s="474">
        <f t="shared" si="34"/>
        <v>0.64253956655634092</v>
      </c>
      <c r="M182" s="474">
        <f t="shared" si="35"/>
        <v>179.30741271299578</v>
      </c>
      <c r="N182" s="474">
        <f t="shared" si="36"/>
        <v>358.61482542599157</v>
      </c>
      <c r="O182" s="474">
        <f>+C164+D165+D166+D167+D168+D169+D170+D171+D172+D173+D174+D175+D176+D177+D178+D179+D180+D181+(D182/2)</f>
        <v>0</v>
      </c>
      <c r="P182" s="474">
        <f t="shared" si="37"/>
        <v>0</v>
      </c>
      <c r="Q182" s="474">
        <f t="shared" si="38"/>
        <v>0</v>
      </c>
      <c r="R182" s="474">
        <f t="shared" si="49"/>
        <v>213.83080000000001</v>
      </c>
      <c r="S182" s="474">
        <f t="shared" si="62"/>
        <v>213.83080000000001</v>
      </c>
      <c r="T182" s="476">
        <f t="shared" si="39"/>
        <v>213.83080000000001</v>
      </c>
      <c r="V182" s="437">
        <f t="shared" si="40"/>
        <v>0</v>
      </c>
      <c r="W182" s="437"/>
      <c r="X182" s="437"/>
      <c r="Y182" s="437"/>
      <c r="Z182" s="437"/>
      <c r="AA182" s="437"/>
      <c r="AB182" s="477" t="str">
        <f t="shared" si="50"/>
        <v>use the locking pin</v>
      </c>
      <c r="AC182" s="514" t="b">
        <f>IF(AD182=19,AF182)</f>
        <v>0</v>
      </c>
      <c r="AD182" s="514">
        <f t="shared" si="41"/>
        <v>1</v>
      </c>
      <c r="AE182" s="514">
        <f>IF(V182=0,0,19)</f>
        <v>0</v>
      </c>
      <c r="AF182" s="437">
        <f>SUM(V182:V183)/($B$161-B181)</f>
        <v>0</v>
      </c>
      <c r="AG182" s="437"/>
      <c r="AH182" s="450">
        <f>SUM(D164:D182)+$C$164</f>
        <v>0</v>
      </c>
      <c r="AI182" s="516" t="b">
        <f t="shared" si="51"/>
        <v>0</v>
      </c>
      <c r="AJ182" s="287">
        <f t="shared" si="52"/>
        <v>66.255548399999995</v>
      </c>
      <c r="AK182" s="441">
        <f t="shared" si="42"/>
        <v>0.91535047595051022</v>
      </c>
      <c r="AL182" s="289">
        <f t="shared" si="53"/>
        <v>278.56028065668761</v>
      </c>
      <c r="AM182" s="287">
        <f t="shared" si="54"/>
        <v>50.018549700000001</v>
      </c>
      <c r="AN182" s="442">
        <f t="shared" si="55"/>
        <v>0.76625250760411079</v>
      </c>
      <c r="AO182" s="291">
        <f t="shared" si="56"/>
        <v>213.83080789825695</v>
      </c>
      <c r="AP182" s="519">
        <f t="shared" si="43"/>
        <v>-5.6456850153449132</v>
      </c>
      <c r="AQ182" s="291">
        <f t="shared" si="63"/>
        <v>-688.5</v>
      </c>
      <c r="AR182" s="519">
        <f t="shared" si="44"/>
        <v>-661.7</v>
      </c>
      <c r="AS182" s="444">
        <f t="shared" si="57"/>
        <v>492.39108855494453</v>
      </c>
      <c r="AT182" s="445">
        <f t="shared" si="64"/>
        <v>-213.83080789825695</v>
      </c>
      <c r="AU182" s="446">
        <f t="shared" si="58"/>
        <v>208.18512288291203</v>
      </c>
      <c r="AV182" s="445"/>
      <c r="AW182" s="447">
        <f t="shared" si="59"/>
        <v>-381.93032298186876</v>
      </c>
      <c r="AX182" s="447">
        <f t="shared" si="60"/>
        <v>-279.76967701813129</v>
      </c>
      <c r="AY182" s="448">
        <f t="shared" si="45"/>
        <v>-30.372032022580942</v>
      </c>
      <c r="AZ182" s="448">
        <f t="shared" si="46"/>
        <v>-35.743687831301031</v>
      </c>
      <c r="BA182" s="451">
        <f t="shared" si="61"/>
        <v>30.372032022580942</v>
      </c>
      <c r="BB182" s="451">
        <f t="shared" si="61"/>
        <v>35.743687831301031</v>
      </c>
      <c r="BD182" s="144"/>
      <c r="BM182" s="214"/>
      <c r="BN182" s="214"/>
      <c r="BO182" s="214"/>
      <c r="DF182" s="126"/>
      <c r="DG182" s="126"/>
      <c r="DH182" s="126"/>
      <c r="DI182" s="126"/>
      <c r="DJ182" s="126"/>
      <c r="DK182" s="126"/>
      <c r="DL182" s="203"/>
      <c r="DM182" s="203"/>
      <c r="DN182" s="203"/>
      <c r="DO182" s="203"/>
      <c r="DP182" s="203"/>
      <c r="DQ182" s="203"/>
      <c r="DR182" s="203"/>
      <c r="DS182" s="203"/>
      <c r="DT182" s="203"/>
      <c r="DU182" s="203"/>
      <c r="DV182" s="203"/>
      <c r="DW182" s="203"/>
      <c r="DX182" s="203"/>
      <c r="DY182" s="203"/>
    </row>
    <row r="183" spans="2:129" ht="21" customHeight="1" thickBot="1" x14ac:dyDescent="0.35">
      <c r="B183" s="277">
        <v>20</v>
      </c>
      <c r="C183" s="278"/>
      <c r="D183" s="25">
        <v>0</v>
      </c>
      <c r="E183" s="279" t="s">
        <v>130</v>
      </c>
      <c r="F183" s="258"/>
      <c r="G183" s="258">
        <f t="shared" si="65"/>
        <v>0</v>
      </c>
      <c r="H183" s="506">
        <v>279.06049999999999</v>
      </c>
      <c r="I183" s="507">
        <v>79.962900599999998</v>
      </c>
      <c r="J183" s="474">
        <f t="shared" si="47"/>
        <v>79.962900599999998</v>
      </c>
      <c r="K183" s="474">
        <f t="shared" si="48"/>
        <v>39.981450299999999</v>
      </c>
      <c r="L183" s="474">
        <f t="shared" si="34"/>
        <v>0.64253956655634092</v>
      </c>
      <c r="M183" s="474">
        <f t="shared" si="35"/>
        <v>179.30741271299578</v>
      </c>
      <c r="N183" s="474">
        <f t="shared" si="36"/>
        <v>358.61482542599157</v>
      </c>
      <c r="O183" s="474">
        <f>+C164+D165+D166+D167+D168+D169+D170+D171+D172+D173+D174+D175+D176+D177+D178+D179+D180+D181+D182+(D183/2)</f>
        <v>0</v>
      </c>
      <c r="P183" s="474">
        <f t="shared" si="37"/>
        <v>0</v>
      </c>
      <c r="Q183" s="474">
        <f t="shared" si="38"/>
        <v>0</v>
      </c>
      <c r="R183" s="474">
        <f t="shared" si="49"/>
        <v>213.83080000000001</v>
      </c>
      <c r="S183" s="474">
        <f t="shared" si="62"/>
        <v>213.83080000000001</v>
      </c>
      <c r="T183" s="476">
        <f t="shared" si="39"/>
        <v>213.83080000000001</v>
      </c>
      <c r="V183" s="437">
        <f t="shared" si="40"/>
        <v>0</v>
      </c>
      <c r="W183" s="437"/>
      <c r="X183" s="437"/>
      <c r="Y183" s="437"/>
      <c r="Z183" s="437"/>
      <c r="AA183" s="437"/>
      <c r="AB183" s="477" t="str">
        <f t="shared" si="50"/>
        <v>use the locking pin</v>
      </c>
      <c r="AC183" s="514" t="b">
        <f>IF(AD183=20,AF183)</f>
        <v>0</v>
      </c>
      <c r="AD183" s="514">
        <f t="shared" si="41"/>
        <v>1</v>
      </c>
      <c r="AE183" s="514">
        <f>IF(V183=0,0,20)</f>
        <v>0</v>
      </c>
      <c r="AF183" s="437">
        <f>SUM(V183:V183)/($B$161-B182)</f>
        <v>0</v>
      </c>
      <c r="AG183" s="437"/>
      <c r="AH183" s="450">
        <f>SUM(D165:D183)+$C$164</f>
        <v>0</v>
      </c>
      <c r="AI183" s="516" t="b">
        <f t="shared" si="51"/>
        <v>0</v>
      </c>
      <c r="AJ183" s="287">
        <f t="shared" si="52"/>
        <v>66.255548399999995</v>
      </c>
      <c r="AK183" s="441">
        <f t="shared" si="42"/>
        <v>0.91535047595051022</v>
      </c>
      <c r="AL183" s="289">
        <f t="shared" si="53"/>
        <v>278.56028065668761</v>
      </c>
      <c r="AM183" s="287">
        <f t="shared" si="54"/>
        <v>50.018549700000001</v>
      </c>
      <c r="AN183" s="442">
        <f t="shared" si="55"/>
        <v>0.76625250760411079</v>
      </c>
      <c r="AO183" s="291">
        <f t="shared" si="56"/>
        <v>213.83080789825695</v>
      </c>
      <c r="AP183" s="519">
        <f t="shared" si="43"/>
        <v>-5.3200651874875096</v>
      </c>
      <c r="AQ183" s="291">
        <f t="shared" si="63"/>
        <v>-729</v>
      </c>
      <c r="AR183" s="519">
        <f t="shared" si="44"/>
        <v>-702.2</v>
      </c>
      <c r="AS183" s="444">
        <f t="shared" si="57"/>
        <v>492.39108855494453</v>
      </c>
      <c r="AT183" s="445">
        <f t="shared" si="64"/>
        <v>-213.83080789825695</v>
      </c>
      <c r="AU183" s="446">
        <f t="shared" si="58"/>
        <v>208.51074271076945</v>
      </c>
      <c r="AV183" s="445"/>
      <c r="AW183" s="447">
        <f t="shared" si="59"/>
        <v>-404.84237729971807</v>
      </c>
      <c r="AX183" s="447">
        <f t="shared" si="60"/>
        <v>-297.35762270028198</v>
      </c>
      <c r="AY183" s="448">
        <f t="shared" si="45"/>
        <v>-28.653126872170649</v>
      </c>
      <c r="AZ183" s="448">
        <f t="shared" si="46"/>
        <v>-33.629539775004787</v>
      </c>
      <c r="BA183" s="451">
        <f t="shared" si="61"/>
        <v>28.653126872170649</v>
      </c>
      <c r="BB183" s="451">
        <f t="shared" si="61"/>
        <v>33.629539775004787</v>
      </c>
      <c r="BD183" s="144"/>
      <c r="BM183" s="214"/>
      <c r="BN183" s="214"/>
      <c r="BO183" s="214"/>
      <c r="DF183" s="126"/>
      <c r="DG183" s="126"/>
      <c r="DH183" s="126"/>
      <c r="DI183" s="126"/>
      <c r="DJ183" s="126"/>
      <c r="DK183" s="126"/>
      <c r="DL183" s="203"/>
      <c r="DM183" s="203"/>
      <c r="DN183" s="203"/>
      <c r="DO183" s="203"/>
      <c r="DP183" s="203"/>
      <c r="DQ183" s="203"/>
      <c r="DR183" s="203"/>
      <c r="DS183" s="203"/>
      <c r="DT183" s="203"/>
      <c r="DU183" s="203"/>
      <c r="DV183" s="203"/>
      <c r="DW183" s="203"/>
      <c r="DX183" s="203"/>
      <c r="DY183" s="203"/>
    </row>
    <row r="184" spans="2:129" ht="21" hidden="1" customHeight="1" x14ac:dyDescent="0.3">
      <c r="D184" s="543"/>
      <c r="E184" s="543"/>
      <c r="F184" s="543"/>
      <c r="G184" s="543"/>
      <c r="V184" s="437"/>
      <c r="W184" s="437"/>
      <c r="X184" s="437"/>
      <c r="Y184" s="437"/>
      <c r="Z184" s="437"/>
      <c r="AA184" s="437"/>
      <c r="AB184" s="464"/>
      <c r="AC184" s="464"/>
      <c r="AD184" s="464"/>
      <c r="AE184" s="464"/>
      <c r="AF184" s="437"/>
      <c r="AG184" s="437"/>
      <c r="AH184" s="437"/>
      <c r="AI184" s="437"/>
      <c r="AJ184" s="543"/>
      <c r="AK184" s="415"/>
      <c r="AL184" s="292"/>
      <c r="AM184" s="543"/>
      <c r="AN184" s="415"/>
      <c r="AO184" s="292"/>
      <c r="AP184" s="445"/>
      <c r="AQ184" s="292"/>
      <c r="AR184" s="445"/>
      <c r="AS184" s="445"/>
      <c r="AT184" s="445"/>
      <c r="AU184" s="445"/>
      <c r="AV184" s="445"/>
      <c r="AW184" s="445"/>
      <c r="AX184" s="445"/>
      <c r="AY184" s="544"/>
      <c r="AZ184" s="544"/>
      <c r="BA184" s="544"/>
      <c r="BB184" s="544"/>
      <c r="BD184" s="545"/>
      <c r="BM184" s="214"/>
      <c r="BN184" s="214"/>
      <c r="BO184" s="214"/>
    </row>
    <row r="185" spans="2:129" ht="19" hidden="1" thickBot="1" x14ac:dyDescent="0.25">
      <c r="B185" s="350"/>
      <c r="U185" s="276"/>
    </row>
    <row r="186" spans="2:129" ht="22" hidden="1" thickBot="1" x14ac:dyDescent="0.25">
      <c r="B186" s="350"/>
      <c r="AB186" s="415"/>
      <c r="AC186" s="415"/>
      <c r="AD186" s="415"/>
      <c r="AE186" s="415"/>
      <c r="AH186" s="546" t="s">
        <v>79</v>
      </c>
      <c r="AI186" s="547">
        <f>MAX(AI164:AI183)</f>
        <v>0</v>
      </c>
    </row>
    <row r="187" spans="2:129" ht="21" hidden="1" thickBot="1" x14ac:dyDescent="0.25">
      <c r="B187" s="350"/>
      <c r="AB187" s="415"/>
      <c r="AC187" s="415"/>
      <c r="AD187" s="415"/>
      <c r="AE187" s="415"/>
      <c r="AH187" s="853"/>
      <c r="AI187" s="854"/>
    </row>
    <row r="188" spans="2:129" ht="20" hidden="1" x14ac:dyDescent="0.2">
      <c r="B188" s="350"/>
      <c r="AB188" s="415"/>
      <c r="AC188" s="415"/>
      <c r="AD188" s="415"/>
      <c r="AE188" s="415"/>
      <c r="AH188" s="853"/>
      <c r="AI188" s="854"/>
      <c r="AJ188" s="1769"/>
      <c r="AK188" s="619"/>
      <c r="AL188" s="619"/>
      <c r="AM188" s="619"/>
      <c r="AN188" s="619"/>
      <c r="AO188" s="619"/>
      <c r="AP188" s="619"/>
      <c r="AQ188" s="619"/>
      <c r="AR188" s="619"/>
      <c r="AS188" s="619"/>
      <c r="AT188" s="619"/>
      <c r="AU188" s="619"/>
      <c r="AV188" s="619"/>
      <c r="AW188" s="1770" t="s">
        <v>361</v>
      </c>
      <c r="AX188" s="1770"/>
      <c r="AY188" s="1770"/>
      <c r="AZ188" s="1771"/>
    </row>
    <row r="189" spans="2:129" ht="20" hidden="1" x14ac:dyDescent="0.2">
      <c r="B189" s="350"/>
      <c r="AB189" s="415"/>
      <c r="AC189" s="415"/>
      <c r="AD189" s="415"/>
      <c r="AE189" s="415"/>
      <c r="AH189" s="853"/>
      <c r="AI189" s="854"/>
      <c r="AJ189" s="1772" t="s">
        <v>364</v>
      </c>
      <c r="AK189" s="1773">
        <v>0</v>
      </c>
      <c r="AL189" s="1773">
        <v>0.5</v>
      </c>
      <c r="AM189" s="1773">
        <v>1</v>
      </c>
      <c r="AN189" s="1773">
        <v>2</v>
      </c>
      <c r="AO189" s="1773">
        <v>2.5</v>
      </c>
      <c r="AP189" s="1773">
        <v>3</v>
      </c>
      <c r="AQ189" s="1773">
        <v>4.5</v>
      </c>
      <c r="AR189" s="1773">
        <v>5.5</v>
      </c>
      <c r="AS189" s="1773">
        <v>6.5</v>
      </c>
      <c r="AT189" s="1773">
        <v>8</v>
      </c>
      <c r="AU189" s="1773">
        <v>9</v>
      </c>
      <c r="AV189" s="1773"/>
      <c r="AW189" s="1579" t="s">
        <v>355</v>
      </c>
      <c r="AX189" s="457" t="s">
        <v>362</v>
      </c>
      <c r="AY189" s="1579" t="s">
        <v>367</v>
      </c>
      <c r="AZ189" s="1774"/>
    </row>
    <row r="190" spans="2:129" hidden="1" x14ac:dyDescent="0.2">
      <c r="V190" s="187"/>
      <c r="W190" s="187"/>
      <c r="X190" s="187"/>
      <c r="Y190" s="187"/>
      <c r="Z190" s="187"/>
      <c r="AA190" s="187"/>
      <c r="AB190" s="187"/>
      <c r="AC190" s="187"/>
      <c r="AD190" s="187"/>
      <c r="AE190" s="187"/>
      <c r="AF190" s="187"/>
      <c r="AG190" s="187"/>
      <c r="AH190" s="187"/>
      <c r="AI190" s="187"/>
      <c r="AJ190" s="1772" t="s">
        <v>355</v>
      </c>
      <c r="AK190" s="1773">
        <v>42.229500000000002</v>
      </c>
      <c r="AL190" s="1773">
        <v>44.134999999999998</v>
      </c>
      <c r="AM190" s="1773">
        <v>46.5276</v>
      </c>
      <c r="AN190" s="1773">
        <v>43.849899999999998</v>
      </c>
      <c r="AO190" s="1773">
        <v>45.737900000000003</v>
      </c>
      <c r="AP190" s="1773">
        <v>48.129600000000003</v>
      </c>
      <c r="AQ190" s="1773">
        <v>45.033700000000003</v>
      </c>
      <c r="AR190" s="1773">
        <v>49.315600000000003</v>
      </c>
      <c r="AS190" s="1773">
        <v>46.436199999999999</v>
      </c>
      <c r="AT190" s="1773">
        <v>50.406599999999997</v>
      </c>
      <c r="AU190" s="1773">
        <v>47.3827</v>
      </c>
      <c r="AV190" s="1773"/>
      <c r="AW190" s="1775">
        <f>SUM(AK191:AU191)</f>
        <v>42.229500000000002</v>
      </c>
      <c r="AX190" s="457">
        <f>+SIN((AW190+AI186)*3.14159265358979/180)</f>
        <v>0.6721019199117364</v>
      </c>
      <c r="AY190" s="1579">
        <f>+AX196/AX190</f>
        <v>17.021464603480222</v>
      </c>
      <c r="AZ190" s="1776"/>
      <c r="BA190" s="187"/>
      <c r="BB190" s="187"/>
      <c r="BC190" s="126"/>
    </row>
    <row r="191" spans="2:129" ht="19" thickBot="1" x14ac:dyDescent="0.25">
      <c r="V191" s="187"/>
      <c r="W191" s="187"/>
      <c r="X191" s="187"/>
      <c r="Y191" s="187"/>
      <c r="Z191" s="187"/>
      <c r="AA191" s="187"/>
      <c r="AB191" s="187"/>
      <c r="AC191" s="187"/>
      <c r="AD191" s="187"/>
      <c r="AE191" s="187"/>
      <c r="AF191" s="187"/>
      <c r="AG191" s="187"/>
      <c r="AH191" s="187"/>
      <c r="AI191" s="187"/>
      <c r="AJ191" s="1777"/>
      <c r="AK191" s="1778">
        <f>IF(($D$196=AK189),AK190)</f>
        <v>42.229500000000002</v>
      </c>
      <c r="AL191" s="1778" t="b">
        <f t="shared" ref="AL191:AU191" si="66">IF(($D$196=AL189),AL190)</f>
        <v>0</v>
      </c>
      <c r="AM191" s="1778" t="b">
        <f t="shared" si="66"/>
        <v>0</v>
      </c>
      <c r="AN191" s="1778" t="b">
        <f t="shared" si="66"/>
        <v>0</v>
      </c>
      <c r="AO191" s="1778" t="b">
        <f t="shared" si="66"/>
        <v>0</v>
      </c>
      <c r="AP191" s="1778" t="b">
        <f t="shared" si="66"/>
        <v>0</v>
      </c>
      <c r="AQ191" s="1778" t="b">
        <f t="shared" si="66"/>
        <v>0</v>
      </c>
      <c r="AR191" s="1778" t="b">
        <f t="shared" si="66"/>
        <v>0</v>
      </c>
      <c r="AS191" s="1778" t="b">
        <f t="shared" si="66"/>
        <v>0</v>
      </c>
      <c r="AT191" s="1778" t="b">
        <f t="shared" si="66"/>
        <v>0</v>
      </c>
      <c r="AU191" s="1778" t="b">
        <f t="shared" si="66"/>
        <v>0</v>
      </c>
      <c r="AV191" s="1778"/>
      <c r="AW191" s="1579"/>
      <c r="AX191" s="457"/>
      <c r="AY191" s="1579"/>
      <c r="AZ191" s="1776"/>
      <c r="BA191" s="187"/>
      <c r="BB191" s="187"/>
      <c r="BC191" s="126"/>
    </row>
    <row r="192" spans="2:129" ht="82.5" customHeight="1" thickBot="1" x14ac:dyDescent="0.25">
      <c r="B192" s="345" t="s">
        <v>157</v>
      </c>
      <c r="C192" s="454"/>
      <c r="D192" s="455"/>
      <c r="E192" s="37"/>
      <c r="F192" s="37"/>
      <c r="G192" s="37"/>
      <c r="H192" s="456"/>
      <c r="I192" s="456"/>
      <c r="J192" s="456"/>
      <c r="K192" s="456"/>
      <c r="L192" s="456"/>
      <c r="M192" s="456"/>
      <c r="N192" s="456"/>
      <c r="O192" s="456"/>
      <c r="P192" s="456"/>
      <c r="Q192" s="456"/>
      <c r="R192" s="456"/>
      <c r="S192" s="457" t="s">
        <v>66</v>
      </c>
      <c r="T192" s="457">
        <f>SUM(V196:V203)/B193</f>
        <v>146.5</v>
      </c>
      <c r="U192" s="212"/>
      <c r="V192" s="187"/>
      <c r="W192" s="187"/>
      <c r="X192" s="187"/>
      <c r="Y192" s="187"/>
      <c r="Z192" s="187"/>
      <c r="AA192" s="187"/>
      <c r="AB192" s="187"/>
      <c r="AC192" s="187"/>
      <c r="AD192" s="187"/>
      <c r="AE192" s="187"/>
      <c r="AF192" s="187"/>
      <c r="AG192" s="187"/>
      <c r="AH192" s="187"/>
      <c r="AI192" s="187"/>
      <c r="AJ192" s="1777"/>
      <c r="AK192" s="560"/>
      <c r="AL192" s="560"/>
      <c r="AM192" s="560"/>
      <c r="AN192" s="560"/>
      <c r="AO192" s="560"/>
      <c r="AP192" s="560"/>
      <c r="AQ192" s="560"/>
      <c r="AR192" s="560"/>
      <c r="AS192" s="560"/>
      <c r="AT192" s="560"/>
      <c r="AU192" s="560"/>
      <c r="AV192" s="560"/>
      <c r="AW192" s="1779" t="s">
        <v>363</v>
      </c>
      <c r="AX192" s="1579"/>
      <c r="AY192" s="1780"/>
      <c r="AZ192" s="1781">
        <v>2000</v>
      </c>
      <c r="BA192" s="187"/>
      <c r="BB192" s="187"/>
      <c r="BC192" s="126"/>
    </row>
    <row r="193" spans="2:109" ht="36" customHeight="1" thickBot="1" x14ac:dyDescent="0.3">
      <c r="B193" s="27">
        <v>1</v>
      </c>
      <c r="C193" s="216"/>
      <c r="D193" s="549" t="s">
        <v>53</v>
      </c>
      <c r="E193" s="330"/>
      <c r="F193" s="330"/>
      <c r="G193" s="330"/>
      <c r="H193" s="460"/>
      <c r="I193" s="461"/>
      <c r="J193" s="461"/>
      <c r="K193" s="461"/>
      <c r="L193" s="461"/>
      <c r="M193" s="461"/>
      <c r="N193" s="461"/>
      <c r="O193" s="461"/>
      <c r="P193" s="461"/>
      <c r="Q193" s="461"/>
      <c r="R193" s="461"/>
      <c r="S193" s="462"/>
      <c r="T193" s="463"/>
      <c r="U193" s="401"/>
      <c r="V193" s="464"/>
      <c r="W193" s="464"/>
      <c r="X193" s="464"/>
      <c r="Y193" s="464"/>
      <c r="Z193" s="464"/>
      <c r="AA193" s="464"/>
      <c r="AB193" s="464"/>
      <c r="AC193" s="464"/>
      <c r="AD193" s="464"/>
      <c r="AE193" s="464"/>
      <c r="AF193" s="464"/>
      <c r="AG193" s="464"/>
      <c r="AH193" s="464"/>
      <c r="AI193" s="464"/>
      <c r="AJ193" s="1782"/>
      <c r="AK193" s="655"/>
      <c r="AL193" s="655"/>
      <c r="AM193" s="655"/>
      <c r="AN193" s="655"/>
      <c r="AO193" s="655"/>
      <c r="AP193" s="655"/>
      <c r="AQ193" s="655"/>
      <c r="AR193" s="655"/>
      <c r="AS193" s="655"/>
      <c r="AT193" s="655"/>
      <c r="AU193" s="655"/>
      <c r="AV193" s="655"/>
      <c r="AW193" s="1783" t="s">
        <v>365</v>
      </c>
      <c r="AX193" s="1784"/>
      <c r="AY193" s="1785"/>
      <c r="AZ193" s="1786">
        <f>+AZ192/SIN((AT190)*3.14159265358979/180)</f>
        <v>2595.4251408435985</v>
      </c>
      <c r="BA193" s="1848" t="s">
        <v>52</v>
      </c>
      <c r="BB193" s="1849"/>
      <c r="BC193" s="218"/>
      <c r="BP193" s="305"/>
      <c r="BQ193" s="305"/>
      <c r="BR193" s="305"/>
      <c r="BS193" s="305"/>
      <c r="BT193" s="305"/>
      <c r="BU193" s="305"/>
      <c r="BV193" s="1818"/>
      <c r="BW193" s="1818"/>
      <c r="BX193" s="1818"/>
      <c r="BY193" s="126"/>
    </row>
    <row r="194" spans="2:109" ht="21" hidden="1" thickBot="1" x14ac:dyDescent="0.25">
      <c r="C194" s="416"/>
      <c r="D194" s="354"/>
      <c r="H194" s="465" t="s">
        <v>4</v>
      </c>
      <c r="I194" s="465" t="s">
        <v>1</v>
      </c>
      <c r="J194" s="456" t="s">
        <v>0</v>
      </c>
      <c r="K194" s="456" t="s">
        <v>2</v>
      </c>
      <c r="L194" s="456" t="s">
        <v>3</v>
      </c>
      <c r="M194" s="456" t="s">
        <v>8</v>
      </c>
      <c r="N194" s="456" t="s">
        <v>5</v>
      </c>
      <c r="O194" s="456" t="s">
        <v>6</v>
      </c>
      <c r="P194" s="456" t="s">
        <v>7</v>
      </c>
      <c r="Q194" s="456" t="s">
        <v>9</v>
      </c>
      <c r="R194" s="466" t="s">
        <v>10</v>
      </c>
      <c r="S194" s="456" t="s">
        <v>11</v>
      </c>
      <c r="T194" s="467" t="s">
        <v>12</v>
      </c>
      <c r="V194" s="420"/>
      <c r="W194" s="420"/>
      <c r="X194" s="420"/>
      <c r="Y194" s="420"/>
      <c r="Z194" s="420"/>
      <c r="AA194" s="420"/>
      <c r="AB194" s="420"/>
      <c r="AC194" s="420"/>
      <c r="AD194" s="420"/>
      <c r="AE194" s="420"/>
      <c r="AF194" s="420"/>
      <c r="AG194" s="420"/>
      <c r="AH194" s="420"/>
      <c r="AI194" s="420"/>
      <c r="AJ194" s="560"/>
      <c r="AK194" s="560"/>
      <c r="AL194" s="560"/>
      <c r="AM194" s="560"/>
      <c r="AN194" s="560"/>
      <c r="AO194" s="560"/>
      <c r="AP194" s="560"/>
      <c r="AQ194" s="560"/>
      <c r="AR194" s="560"/>
      <c r="AS194" s="560"/>
      <c r="AT194" s="560"/>
      <c r="AU194" s="560"/>
      <c r="AV194" s="560"/>
      <c r="AW194" s="1788" t="s">
        <v>366</v>
      </c>
      <c r="AX194" s="1789"/>
      <c r="AY194" s="1789"/>
      <c r="AZ194" s="1790">
        <v>2570</v>
      </c>
      <c r="BA194" s="420"/>
      <c r="BB194" s="420"/>
      <c r="BC194" s="231"/>
      <c r="BV194" s="306"/>
      <c r="CI194" s="306"/>
    </row>
    <row r="195" spans="2:109" ht="41.25" customHeight="1" thickBot="1" x14ac:dyDescent="0.25">
      <c r="B195" s="421"/>
      <c r="C195" s="422"/>
      <c r="D195" s="551" t="s">
        <v>22</v>
      </c>
      <c r="E195" s="330"/>
      <c r="F195" s="468"/>
      <c r="G195" s="240"/>
      <c r="H195" s="736"/>
      <c r="I195" s="737"/>
      <c r="R195" s="466"/>
      <c r="T195" s="471"/>
      <c r="V195" s="420"/>
      <c r="W195" s="420"/>
      <c r="X195" s="420"/>
      <c r="Y195" s="420"/>
      <c r="Z195" s="420"/>
      <c r="AA195" s="420"/>
      <c r="AB195" s="420"/>
      <c r="AC195" s="420"/>
      <c r="AD195" s="420"/>
      <c r="AE195" s="420"/>
      <c r="AF195" s="420" t="s">
        <v>38</v>
      </c>
      <c r="AG195" s="552" t="s">
        <v>102</v>
      </c>
      <c r="AH195" s="425" t="s">
        <v>31</v>
      </c>
      <c r="AI195" s="425"/>
      <c r="AJ195" s="287" t="s">
        <v>60</v>
      </c>
      <c r="AK195" s="426" t="s">
        <v>32</v>
      </c>
      <c r="AL195" s="287" t="s">
        <v>33</v>
      </c>
      <c r="AM195" s="287" t="s">
        <v>61</v>
      </c>
      <c r="AN195" s="427" t="s">
        <v>34</v>
      </c>
      <c r="AO195" s="698" t="s">
        <v>35</v>
      </c>
      <c r="AP195" s="427"/>
      <c r="AQ195" s="473" t="s">
        <v>36</v>
      </c>
      <c r="AR195" s="420"/>
      <c r="AS195" s="420" t="s">
        <v>37</v>
      </c>
      <c r="AT195" s="420" t="s">
        <v>39</v>
      </c>
      <c r="AU195" s="420"/>
      <c r="AV195" s="420" t="s">
        <v>40</v>
      </c>
      <c r="AW195" s="429" t="s">
        <v>41</v>
      </c>
      <c r="AX195" s="429" t="s">
        <v>42</v>
      </c>
      <c r="AY195" s="430" t="s">
        <v>23</v>
      </c>
      <c r="AZ195" s="430" t="s">
        <v>24</v>
      </c>
      <c r="BA195" s="431" t="s">
        <v>23</v>
      </c>
      <c r="BB195" s="431" t="s">
        <v>24</v>
      </c>
      <c r="BP195" s="307"/>
      <c r="BQ195" s="307"/>
      <c r="BR195" s="307"/>
      <c r="BS195" s="307"/>
      <c r="BT195" s="307"/>
      <c r="BU195" s="307"/>
      <c r="BV195" s="1819"/>
      <c r="BW195" s="1819"/>
      <c r="CH195" s="1813"/>
      <c r="CI195" s="1813"/>
    </row>
    <row r="196" spans="2:109" ht="21" customHeight="1" thickBot="1" x14ac:dyDescent="0.25">
      <c r="B196" s="255">
        <v>1</v>
      </c>
      <c r="C196" s="256">
        <f>+D196+AI186</f>
        <v>0</v>
      </c>
      <c r="D196" s="25">
        <v>0</v>
      </c>
      <c r="E196" s="257" t="s">
        <v>158</v>
      </c>
      <c r="F196" s="258"/>
      <c r="G196" s="258">
        <f>+D196</f>
        <v>0</v>
      </c>
      <c r="H196" s="732">
        <v>190.76</v>
      </c>
      <c r="I196" s="733">
        <v>79.651040199999997</v>
      </c>
      <c r="J196" s="508">
        <f>+I196-C196</f>
        <v>79.651040199999997</v>
      </c>
      <c r="K196" s="508">
        <f>+J196/2</f>
        <v>39.825520099999999</v>
      </c>
      <c r="L196" s="508">
        <f t="shared" ref="L196:L203" si="67">SIN(K196*3.14159265358979/180)</f>
        <v>0.64045183696587837</v>
      </c>
      <c r="M196" s="508">
        <f t="shared" ref="M196:M203" si="68">+L196*H196</f>
        <v>122.17259241961095</v>
      </c>
      <c r="N196" s="508">
        <f t="shared" ref="N196:N203" si="69">+M196*2</f>
        <v>244.3451848392219</v>
      </c>
      <c r="O196" s="508">
        <f>+C196/2</f>
        <v>0</v>
      </c>
      <c r="P196" s="508">
        <f t="shared" ref="P196:P203" si="70">SIN(O196*3.14159265358979/180)</f>
        <v>0</v>
      </c>
      <c r="Q196" s="508">
        <f t="shared" ref="Q196:Q203" si="71">+P196*N196</f>
        <v>0</v>
      </c>
      <c r="R196" s="733">
        <v>146.5</v>
      </c>
      <c r="S196" s="508">
        <f>+R196+Q196</f>
        <v>146.5</v>
      </c>
      <c r="T196" s="510">
        <f t="shared" ref="T196:T203" si="72">+S196</f>
        <v>146.5</v>
      </c>
      <c r="U196" s="456"/>
      <c r="V196" s="511">
        <f t="shared" ref="V196:V203" si="73">IF(B196&lt;($B$193+1),T196,0)</f>
        <v>146.5</v>
      </c>
      <c r="W196" s="511"/>
      <c r="X196" s="511"/>
      <c r="Y196" s="511"/>
      <c r="Z196" s="511"/>
      <c r="AA196" s="511"/>
      <c r="AB196" s="477" t="str">
        <f>IF(AZ196&lt;0,"pin in groundstacking hole"," ")</f>
        <v xml:space="preserve"> </v>
      </c>
      <c r="AC196" s="734"/>
      <c r="AD196" s="734"/>
      <c r="AE196" s="734"/>
      <c r="AF196" s="511">
        <f>SUM(V196:V203)/($B$193)</f>
        <v>146.5</v>
      </c>
      <c r="AG196" s="511">
        <f>+AF196+AA142+AA164</f>
        <v>146.49999116289135</v>
      </c>
      <c r="AH196" s="515">
        <f>C196</f>
        <v>0</v>
      </c>
      <c r="AI196" s="516"/>
      <c r="AJ196" s="287">
        <f>69.3447148-AH196</f>
        <v>69.344714800000006</v>
      </c>
      <c r="AK196" s="517">
        <f t="shared" ref="AK196:AK203" si="74">SIN(AJ196*3.14159265358979/180)</f>
        <v>0.93571960494171247</v>
      </c>
      <c r="AL196" s="287">
        <f>+AK196*192.42</f>
        <v>180.0511663828843</v>
      </c>
      <c r="AM196" s="287">
        <f>50.1744799+AH196</f>
        <v>50.174479900000001</v>
      </c>
      <c r="AN196" s="518">
        <f>SIN(AM196*3.14159265358979/180)</f>
        <v>0.76799833627881664</v>
      </c>
      <c r="AO196" s="287">
        <f>+AN196*190.76</f>
        <v>146.50336262854705</v>
      </c>
      <c r="AP196" s="287"/>
      <c r="AQ196" s="269">
        <f>25.5*B193</f>
        <v>25.5</v>
      </c>
      <c r="AR196" s="519"/>
      <c r="AS196" s="520">
        <f>+AO196+AL196</f>
        <v>326.55452901143133</v>
      </c>
      <c r="AT196" s="521">
        <f>+V196-AO196</f>
        <v>-3.3626285470518269E-3</v>
      </c>
      <c r="AU196" s="522"/>
      <c r="AV196" s="521">
        <f>+AF196-AT196</f>
        <v>146.50336262854705</v>
      </c>
      <c r="AW196" s="523">
        <f>+((AS196-AV196)/AS196)*AQ196</f>
        <v>14.059840960291279</v>
      </c>
      <c r="AX196" s="523">
        <f>+(AV196/AS196)*AQ196</f>
        <v>11.440159039708721</v>
      </c>
      <c r="AY196" s="448">
        <f t="shared" ref="AY196:AY203" si="75">2*$C$20/AW196</f>
        <v>825.04489437408847</v>
      </c>
      <c r="AZ196" s="1787">
        <f>AZ194/AY190</f>
        <v>150.98583229286484</v>
      </c>
      <c r="BA196" s="451">
        <f>ABS(AY196)</f>
        <v>825.04489437408847</v>
      </c>
      <c r="BB196" s="451">
        <f>ABS(AZ196)</f>
        <v>150.98583229286484</v>
      </c>
      <c r="BC196" s="91"/>
    </row>
    <row r="197" spans="2:109" ht="21" customHeight="1" thickBot="1" x14ac:dyDescent="0.25">
      <c r="B197" s="277">
        <v>2</v>
      </c>
      <c r="C197" s="278"/>
      <c r="D197" s="25">
        <v>0</v>
      </c>
      <c r="E197" s="279" t="s">
        <v>173</v>
      </c>
      <c r="F197" s="258"/>
      <c r="G197" s="258">
        <f>+D197+BC197</f>
        <v>0</v>
      </c>
      <c r="H197" s="732">
        <v>190.76</v>
      </c>
      <c r="I197" s="733">
        <v>79.651040199999997</v>
      </c>
      <c r="J197" s="474">
        <f t="shared" ref="J197:J203" si="76">+I197-D197</f>
        <v>79.651040199999997</v>
      </c>
      <c r="K197" s="474">
        <f t="shared" ref="K197:K203" si="77">+J197/2</f>
        <v>39.825520099999999</v>
      </c>
      <c r="L197" s="474">
        <f t="shared" si="67"/>
        <v>0.64045183696587837</v>
      </c>
      <c r="M197" s="474">
        <f t="shared" si="68"/>
        <v>122.17259241961095</v>
      </c>
      <c r="N197" s="474">
        <f t="shared" si="69"/>
        <v>244.3451848392219</v>
      </c>
      <c r="O197" s="474">
        <f>+C196+(D197/2)</f>
        <v>0</v>
      </c>
      <c r="P197" s="474">
        <f t="shared" si="70"/>
        <v>0</v>
      </c>
      <c r="Q197" s="474">
        <f t="shared" si="71"/>
        <v>0</v>
      </c>
      <c r="R197" s="474">
        <f t="shared" ref="R197:R203" si="78">+T196</f>
        <v>146.5</v>
      </c>
      <c r="S197" s="474">
        <f>+R197+Q197</f>
        <v>146.5</v>
      </c>
      <c r="T197" s="476">
        <f t="shared" si="72"/>
        <v>146.5</v>
      </c>
      <c r="V197" s="437">
        <f t="shared" si="73"/>
        <v>0</v>
      </c>
      <c r="W197" s="437"/>
      <c r="X197" s="437"/>
      <c r="Y197" s="437"/>
      <c r="Z197" s="437"/>
      <c r="AA197" s="437"/>
      <c r="AB197" s="477" t="e">
        <f t="shared" ref="AB197:AB202" si="79">IF(AZ197&lt;0,"pin in groundstacking hole"," ")</f>
        <v>#DIV/0!</v>
      </c>
      <c r="AC197" s="478"/>
      <c r="AD197" s="478"/>
      <c r="AE197" s="478"/>
      <c r="AF197" s="437" t="e">
        <f>SUM(V197:V204)/($B$193-B196)</f>
        <v>#DIV/0!</v>
      </c>
      <c r="AG197" s="437"/>
      <c r="AH197" s="450">
        <f>SUM(D197)+$C$196</f>
        <v>0</v>
      </c>
      <c r="AI197" s="717"/>
      <c r="AJ197" s="287">
        <f t="shared" ref="AJ197:AJ203" si="80">69.3447148-AH197</f>
        <v>69.344714800000006</v>
      </c>
      <c r="AK197" s="441">
        <f t="shared" si="74"/>
        <v>0.93571960494171247</v>
      </c>
      <c r="AL197" s="287">
        <f t="shared" ref="AL197:AL203" si="81">+AK197*192.42</f>
        <v>180.0511663828843</v>
      </c>
      <c r="AM197" s="287">
        <f t="shared" ref="AM197:AM203" si="82">50.1744799+AH197</f>
        <v>50.174479900000001</v>
      </c>
      <c r="AN197" s="442">
        <f t="shared" ref="AN197:AN203" si="83">SIN(AM197*3.14159265358979/180)</f>
        <v>0.76799833627881664</v>
      </c>
      <c r="AO197" s="287">
        <f t="shared" ref="AO197:AO203" si="84">+AN197*190.76</f>
        <v>146.50336262854705</v>
      </c>
      <c r="AP197" s="443"/>
      <c r="AQ197" s="291">
        <f>25.5*($B$193-B196)</f>
        <v>0</v>
      </c>
      <c r="AR197" s="443"/>
      <c r="AS197" s="444">
        <f t="shared" ref="AS197:AS203" si="85">+AO197+AL197</f>
        <v>326.55452901143133</v>
      </c>
      <c r="AT197" s="445">
        <f>+V197-AO197</f>
        <v>-146.50336262854705</v>
      </c>
      <c r="AU197" s="446"/>
      <c r="AV197" s="445" t="e">
        <f>+AF197-AT197</f>
        <v>#DIV/0!</v>
      </c>
      <c r="AW197" s="447" t="e">
        <f t="shared" ref="AW197:AW203" si="86">+((AS197-AV197)/AS197)*AQ197</f>
        <v>#DIV/0!</v>
      </c>
      <c r="AX197" s="447" t="e">
        <f t="shared" ref="AX197:AX203" si="87">+(AV197/AS197)*AQ197</f>
        <v>#DIV/0!</v>
      </c>
      <c r="AY197" s="448" t="e">
        <f t="shared" si="75"/>
        <v>#DIV/0!</v>
      </c>
      <c r="AZ197" s="448" t="e">
        <f t="shared" ref="AZ197:AZ203" si="88">$D$20/AX197</f>
        <v>#DIV/0!</v>
      </c>
      <c r="BA197" s="451" t="e">
        <f t="shared" ref="BA197:BB203" si="89">ABS(AY197)</f>
        <v>#DIV/0!</v>
      </c>
      <c r="BB197" s="451" t="e">
        <f t="shared" si="89"/>
        <v>#DIV/0!</v>
      </c>
    </row>
    <row r="198" spans="2:109" ht="21" customHeight="1" thickBot="1" x14ac:dyDescent="0.25">
      <c r="B198" s="277">
        <v>3</v>
      </c>
      <c r="C198" s="278"/>
      <c r="D198" s="25">
        <v>0</v>
      </c>
      <c r="E198" s="279" t="s">
        <v>54</v>
      </c>
      <c r="F198" s="258"/>
      <c r="G198" s="258">
        <f t="shared" ref="G198:G203" si="90">+D198+BC198</f>
        <v>0</v>
      </c>
      <c r="H198" s="732">
        <v>190.76</v>
      </c>
      <c r="I198" s="733">
        <v>79.651040199999997</v>
      </c>
      <c r="J198" s="474">
        <f t="shared" si="76"/>
        <v>79.651040199999997</v>
      </c>
      <c r="K198" s="474">
        <f t="shared" si="77"/>
        <v>39.825520099999999</v>
      </c>
      <c r="L198" s="474">
        <f t="shared" si="67"/>
        <v>0.64045183696587837</v>
      </c>
      <c r="M198" s="474">
        <f t="shared" si="68"/>
        <v>122.17259241961095</v>
      </c>
      <c r="N198" s="474">
        <f t="shared" si="69"/>
        <v>244.3451848392219</v>
      </c>
      <c r="O198" s="474">
        <f>+C196+D197+(D198/2)</f>
        <v>0</v>
      </c>
      <c r="P198" s="474">
        <f t="shared" si="70"/>
        <v>0</v>
      </c>
      <c r="Q198" s="474">
        <f t="shared" si="71"/>
        <v>0</v>
      </c>
      <c r="R198" s="474">
        <f t="shared" si="78"/>
        <v>146.5</v>
      </c>
      <c r="S198" s="474">
        <f t="shared" ref="S198:S203" si="91">+S197+Q198</f>
        <v>146.5</v>
      </c>
      <c r="T198" s="476">
        <f t="shared" si="72"/>
        <v>146.5</v>
      </c>
      <c r="V198" s="437">
        <f t="shared" si="73"/>
        <v>0</v>
      </c>
      <c r="W198" s="437"/>
      <c r="X198" s="437"/>
      <c r="Y198" s="437"/>
      <c r="Z198" s="437"/>
      <c r="AA198" s="437"/>
      <c r="AB198" s="477" t="str">
        <f t="shared" si="79"/>
        <v>pin in groundstacking hole</v>
      </c>
      <c r="AC198" s="478"/>
      <c r="AD198" s="478"/>
      <c r="AE198" s="478"/>
      <c r="AF198" s="437">
        <f>SUM(V198:V203)/($B$193-B197)</f>
        <v>0</v>
      </c>
      <c r="AG198" s="437"/>
      <c r="AH198" s="450">
        <f>SUM(D197:D198)+$C$196</f>
        <v>0</v>
      </c>
      <c r="AI198" s="717"/>
      <c r="AJ198" s="287">
        <f t="shared" si="80"/>
        <v>69.344714800000006</v>
      </c>
      <c r="AK198" s="441">
        <f t="shared" si="74"/>
        <v>0.93571960494171247</v>
      </c>
      <c r="AL198" s="287">
        <f t="shared" si="81"/>
        <v>180.0511663828843</v>
      </c>
      <c r="AM198" s="287">
        <f t="shared" si="82"/>
        <v>50.174479900000001</v>
      </c>
      <c r="AN198" s="442">
        <f t="shared" si="83"/>
        <v>0.76799833627881664</v>
      </c>
      <c r="AO198" s="287">
        <f t="shared" si="84"/>
        <v>146.50336262854705</v>
      </c>
      <c r="AP198" s="443"/>
      <c r="AQ198" s="291">
        <f t="shared" ref="AQ198:AQ203" si="92">25.5*($B$193-B197)</f>
        <v>-25.5</v>
      </c>
      <c r="AR198" s="443"/>
      <c r="AS198" s="444">
        <f t="shared" si="85"/>
        <v>326.55452901143133</v>
      </c>
      <c r="AT198" s="445">
        <f>+V198-AO198</f>
        <v>-146.50336262854705</v>
      </c>
      <c r="AU198" s="446"/>
      <c r="AV198" s="445">
        <f>+AF198-AT198</f>
        <v>146.50336262854705</v>
      </c>
      <c r="AW198" s="447">
        <f t="shared" si="86"/>
        <v>-14.059840960291279</v>
      </c>
      <c r="AX198" s="447">
        <f t="shared" si="87"/>
        <v>-11.440159039708721</v>
      </c>
      <c r="AY198" s="448">
        <f t="shared" si="75"/>
        <v>-825.04489437408847</v>
      </c>
      <c r="AZ198" s="448">
        <f t="shared" si="88"/>
        <v>-874.11372213358766</v>
      </c>
      <c r="BA198" s="451">
        <f t="shared" si="89"/>
        <v>825.04489437408847</v>
      </c>
      <c r="BB198" s="451">
        <f t="shared" si="89"/>
        <v>874.11372213358766</v>
      </c>
    </row>
    <row r="199" spans="2:109" ht="21" customHeight="1" thickBot="1" x14ac:dyDescent="0.25">
      <c r="B199" s="277">
        <v>4</v>
      </c>
      <c r="C199" s="278"/>
      <c r="D199" s="25">
        <v>0</v>
      </c>
      <c r="E199" s="279" t="s">
        <v>54</v>
      </c>
      <c r="F199" s="258"/>
      <c r="G199" s="258">
        <f t="shared" si="90"/>
        <v>0</v>
      </c>
      <c r="H199" s="732">
        <v>190.76</v>
      </c>
      <c r="I199" s="733">
        <v>79.651040199999997</v>
      </c>
      <c r="J199" s="474">
        <f t="shared" si="76"/>
        <v>79.651040199999997</v>
      </c>
      <c r="K199" s="474">
        <f t="shared" si="77"/>
        <v>39.825520099999999</v>
      </c>
      <c r="L199" s="474">
        <f t="shared" si="67"/>
        <v>0.64045183696587837</v>
      </c>
      <c r="M199" s="474">
        <f t="shared" si="68"/>
        <v>122.17259241961095</v>
      </c>
      <c r="N199" s="474">
        <f t="shared" si="69"/>
        <v>244.3451848392219</v>
      </c>
      <c r="O199" s="474">
        <f>+C196+D197+D198+(D199/2)</f>
        <v>0</v>
      </c>
      <c r="P199" s="474">
        <f t="shared" si="70"/>
        <v>0</v>
      </c>
      <c r="Q199" s="474">
        <f t="shared" si="71"/>
        <v>0</v>
      </c>
      <c r="R199" s="474">
        <f t="shared" si="78"/>
        <v>146.5</v>
      </c>
      <c r="S199" s="474">
        <f t="shared" si="91"/>
        <v>146.5</v>
      </c>
      <c r="T199" s="476">
        <f t="shared" si="72"/>
        <v>146.5</v>
      </c>
      <c r="V199" s="437">
        <f t="shared" si="73"/>
        <v>0</v>
      </c>
      <c r="W199" s="437"/>
      <c r="X199" s="437"/>
      <c r="Y199" s="437"/>
      <c r="Z199" s="437"/>
      <c r="AA199" s="437"/>
      <c r="AB199" s="477" t="str">
        <f t="shared" si="79"/>
        <v>pin in groundstacking hole</v>
      </c>
      <c r="AC199" s="478"/>
      <c r="AD199" s="478"/>
      <c r="AE199" s="478"/>
      <c r="AF199" s="437">
        <f>SUM(V199:V203)/($B$193-B198)</f>
        <v>0</v>
      </c>
      <c r="AG199" s="437"/>
      <c r="AH199" s="450">
        <f>SUM(D197:D199)+$C$196</f>
        <v>0</v>
      </c>
      <c r="AI199" s="717"/>
      <c r="AJ199" s="287">
        <f t="shared" si="80"/>
        <v>69.344714800000006</v>
      </c>
      <c r="AK199" s="441">
        <f t="shared" si="74"/>
        <v>0.93571960494171247</v>
      </c>
      <c r="AL199" s="287">
        <f t="shared" si="81"/>
        <v>180.0511663828843</v>
      </c>
      <c r="AM199" s="287">
        <f t="shared" si="82"/>
        <v>50.174479900000001</v>
      </c>
      <c r="AN199" s="442">
        <f t="shared" si="83"/>
        <v>0.76799833627881664</v>
      </c>
      <c r="AO199" s="287">
        <f t="shared" si="84"/>
        <v>146.50336262854705</v>
      </c>
      <c r="AP199" s="443"/>
      <c r="AQ199" s="291">
        <f t="shared" si="92"/>
        <v>-51</v>
      </c>
      <c r="AR199" s="443"/>
      <c r="AS199" s="444">
        <f t="shared" si="85"/>
        <v>326.55452901143133</v>
      </c>
      <c r="AT199" s="445">
        <f>+V199-AO199</f>
        <v>-146.50336262854705</v>
      </c>
      <c r="AU199" s="446"/>
      <c r="AV199" s="445">
        <f t="shared" ref="AV199:AV203" si="93">+AF199-AT199</f>
        <v>146.50336262854705</v>
      </c>
      <c r="AW199" s="447">
        <f t="shared" si="86"/>
        <v>-28.119681920582558</v>
      </c>
      <c r="AX199" s="447">
        <f t="shared" si="87"/>
        <v>-22.880318079417442</v>
      </c>
      <c r="AY199" s="448">
        <f t="shared" si="75"/>
        <v>-412.52244718704424</v>
      </c>
      <c r="AZ199" s="448">
        <f t="shared" si="88"/>
        <v>-437.05686106679383</v>
      </c>
      <c r="BA199" s="451">
        <f t="shared" si="89"/>
        <v>412.52244718704424</v>
      </c>
      <c r="BB199" s="451">
        <f t="shared" si="89"/>
        <v>437.05686106679383</v>
      </c>
    </row>
    <row r="200" spans="2:109" ht="21" customHeight="1" thickBot="1" x14ac:dyDescent="0.25">
      <c r="B200" s="277">
        <v>5</v>
      </c>
      <c r="C200" s="278"/>
      <c r="D200" s="25">
        <v>0</v>
      </c>
      <c r="E200" s="279" t="s">
        <v>54</v>
      </c>
      <c r="F200" s="258"/>
      <c r="G200" s="258">
        <f>+D200+BC200</f>
        <v>0</v>
      </c>
      <c r="H200" s="732">
        <v>190.76</v>
      </c>
      <c r="I200" s="733">
        <v>79.651040199999997</v>
      </c>
      <c r="J200" s="474">
        <f t="shared" si="76"/>
        <v>79.651040199999997</v>
      </c>
      <c r="K200" s="474">
        <f t="shared" si="77"/>
        <v>39.825520099999999</v>
      </c>
      <c r="L200" s="474">
        <f t="shared" si="67"/>
        <v>0.64045183696587837</v>
      </c>
      <c r="M200" s="474">
        <f t="shared" si="68"/>
        <v>122.17259241961095</v>
      </c>
      <c r="N200" s="474">
        <f t="shared" si="69"/>
        <v>244.3451848392219</v>
      </c>
      <c r="O200" s="474">
        <f>+C196+D197+D198+D199+(D200/2)</f>
        <v>0</v>
      </c>
      <c r="P200" s="474">
        <f t="shared" si="70"/>
        <v>0</v>
      </c>
      <c r="Q200" s="474">
        <f t="shared" si="71"/>
        <v>0</v>
      </c>
      <c r="R200" s="474">
        <f t="shared" si="78"/>
        <v>146.5</v>
      </c>
      <c r="S200" s="474">
        <f t="shared" si="91"/>
        <v>146.5</v>
      </c>
      <c r="T200" s="476">
        <f t="shared" si="72"/>
        <v>146.5</v>
      </c>
      <c r="V200" s="437">
        <f t="shared" si="73"/>
        <v>0</v>
      </c>
      <c r="W200" s="437"/>
      <c r="X200" s="437"/>
      <c r="Y200" s="437"/>
      <c r="Z200" s="437"/>
      <c r="AA200" s="437"/>
      <c r="AB200" s="477" t="str">
        <f t="shared" si="79"/>
        <v>pin in groundstacking hole</v>
      </c>
      <c r="AC200" s="478"/>
      <c r="AD200" s="478"/>
      <c r="AE200" s="478"/>
      <c r="AF200" s="437">
        <f>SUM(V200:V203)/($B$193-B199)</f>
        <v>0</v>
      </c>
      <c r="AG200" s="437"/>
      <c r="AH200" s="450">
        <f>SUM(D197:D200)+$C$196</f>
        <v>0</v>
      </c>
      <c r="AI200" s="717"/>
      <c r="AJ200" s="287">
        <f t="shared" si="80"/>
        <v>69.344714800000006</v>
      </c>
      <c r="AK200" s="441">
        <f t="shared" si="74"/>
        <v>0.93571960494171247</v>
      </c>
      <c r="AL200" s="287">
        <f t="shared" si="81"/>
        <v>180.0511663828843</v>
      </c>
      <c r="AM200" s="287">
        <f t="shared" si="82"/>
        <v>50.174479900000001</v>
      </c>
      <c r="AN200" s="442">
        <f t="shared" si="83"/>
        <v>0.76799833627881664</v>
      </c>
      <c r="AO200" s="287">
        <f t="shared" si="84"/>
        <v>146.50336262854705</v>
      </c>
      <c r="AP200" s="443"/>
      <c r="AQ200" s="291">
        <f t="shared" si="92"/>
        <v>-76.5</v>
      </c>
      <c r="AR200" s="443"/>
      <c r="AS200" s="444">
        <f t="shared" si="85"/>
        <v>326.55452901143133</v>
      </c>
      <c r="AT200" s="445">
        <f t="shared" ref="AT200:AT203" si="94">+V200-AO200</f>
        <v>-146.50336262854705</v>
      </c>
      <c r="AU200" s="446"/>
      <c r="AV200" s="445">
        <f t="shared" si="93"/>
        <v>146.50336262854705</v>
      </c>
      <c r="AW200" s="447">
        <f t="shared" si="86"/>
        <v>-42.17952288087384</v>
      </c>
      <c r="AX200" s="447">
        <f t="shared" si="87"/>
        <v>-34.32047711912616</v>
      </c>
      <c r="AY200" s="448">
        <f t="shared" si="75"/>
        <v>-275.01496479136279</v>
      </c>
      <c r="AZ200" s="448">
        <f t="shared" si="88"/>
        <v>-291.37124071119592</v>
      </c>
      <c r="BA200" s="451">
        <f t="shared" si="89"/>
        <v>275.01496479136279</v>
      </c>
      <c r="BB200" s="451">
        <f t="shared" si="89"/>
        <v>291.37124071119592</v>
      </c>
      <c r="DE200" s="305"/>
    </row>
    <row r="201" spans="2:109" ht="21" customHeight="1" thickBot="1" x14ac:dyDescent="0.25">
      <c r="B201" s="277">
        <v>6</v>
      </c>
      <c r="C201" s="278"/>
      <c r="D201" s="25">
        <v>0</v>
      </c>
      <c r="E201" s="279" t="s">
        <v>54</v>
      </c>
      <c r="F201" s="258"/>
      <c r="G201" s="258">
        <f t="shared" si="90"/>
        <v>0</v>
      </c>
      <c r="H201" s="732">
        <v>190.76</v>
      </c>
      <c r="I201" s="733">
        <v>79.651040199999997</v>
      </c>
      <c r="J201" s="474">
        <f t="shared" si="76"/>
        <v>79.651040199999997</v>
      </c>
      <c r="K201" s="474">
        <f t="shared" si="77"/>
        <v>39.825520099999999</v>
      </c>
      <c r="L201" s="474">
        <f t="shared" si="67"/>
        <v>0.64045183696587837</v>
      </c>
      <c r="M201" s="474">
        <f t="shared" si="68"/>
        <v>122.17259241961095</v>
      </c>
      <c r="N201" s="474">
        <f t="shared" si="69"/>
        <v>244.3451848392219</v>
      </c>
      <c r="O201" s="474">
        <f>+C196+D197+D198+D199+D200+(D201/2)</f>
        <v>0</v>
      </c>
      <c r="P201" s="474">
        <f t="shared" si="70"/>
        <v>0</v>
      </c>
      <c r="Q201" s="474">
        <f t="shared" si="71"/>
        <v>0</v>
      </c>
      <c r="R201" s="474">
        <f t="shared" si="78"/>
        <v>146.5</v>
      </c>
      <c r="S201" s="474">
        <f t="shared" si="91"/>
        <v>146.5</v>
      </c>
      <c r="T201" s="476">
        <f t="shared" si="72"/>
        <v>146.5</v>
      </c>
      <c r="V201" s="437">
        <f t="shared" si="73"/>
        <v>0</v>
      </c>
      <c r="W201" s="437"/>
      <c r="X201" s="437"/>
      <c r="Y201" s="437"/>
      <c r="Z201" s="437"/>
      <c r="AA201" s="437"/>
      <c r="AB201" s="477" t="str">
        <f t="shared" si="79"/>
        <v>pin in groundstacking hole</v>
      </c>
      <c r="AC201" s="478"/>
      <c r="AD201" s="478"/>
      <c r="AE201" s="478"/>
      <c r="AF201" s="437">
        <f>SUM(V201:V203)/($B$193-B200)</f>
        <v>0</v>
      </c>
      <c r="AG201" s="437"/>
      <c r="AH201" s="450">
        <f>SUM(D197:D201)+$C$196</f>
        <v>0</v>
      </c>
      <c r="AI201" s="717"/>
      <c r="AJ201" s="287">
        <f t="shared" si="80"/>
        <v>69.344714800000006</v>
      </c>
      <c r="AK201" s="441">
        <f t="shared" si="74"/>
        <v>0.93571960494171247</v>
      </c>
      <c r="AL201" s="287">
        <f t="shared" si="81"/>
        <v>180.0511663828843</v>
      </c>
      <c r="AM201" s="287">
        <f t="shared" si="82"/>
        <v>50.174479900000001</v>
      </c>
      <c r="AN201" s="442">
        <f t="shared" si="83"/>
        <v>0.76799833627881664</v>
      </c>
      <c r="AO201" s="287">
        <f t="shared" si="84"/>
        <v>146.50336262854705</v>
      </c>
      <c r="AP201" s="443"/>
      <c r="AQ201" s="291">
        <f t="shared" si="92"/>
        <v>-102</v>
      </c>
      <c r="AR201" s="443"/>
      <c r="AS201" s="444">
        <f t="shared" si="85"/>
        <v>326.55452901143133</v>
      </c>
      <c r="AT201" s="445">
        <f t="shared" si="94"/>
        <v>-146.50336262854705</v>
      </c>
      <c r="AU201" s="446"/>
      <c r="AV201" s="445">
        <f t="shared" si="93"/>
        <v>146.50336262854705</v>
      </c>
      <c r="AW201" s="447">
        <f t="shared" si="86"/>
        <v>-56.239363841165115</v>
      </c>
      <c r="AX201" s="447">
        <f t="shared" si="87"/>
        <v>-45.760636158834885</v>
      </c>
      <c r="AY201" s="448">
        <f t="shared" si="75"/>
        <v>-206.26122359352212</v>
      </c>
      <c r="AZ201" s="448">
        <f t="shared" si="88"/>
        <v>-218.52843053339691</v>
      </c>
      <c r="BA201" s="451">
        <f t="shared" si="89"/>
        <v>206.26122359352212</v>
      </c>
      <c r="BB201" s="451">
        <f t="shared" si="89"/>
        <v>218.52843053339691</v>
      </c>
    </row>
    <row r="202" spans="2:109" ht="21" customHeight="1" thickBot="1" x14ac:dyDescent="0.25">
      <c r="B202" s="277">
        <v>7</v>
      </c>
      <c r="C202" s="278"/>
      <c r="D202" s="25">
        <v>0</v>
      </c>
      <c r="E202" s="279" t="s">
        <v>54</v>
      </c>
      <c r="F202" s="258"/>
      <c r="G202" s="258">
        <f t="shared" si="90"/>
        <v>0</v>
      </c>
      <c r="H202" s="732">
        <v>190.76</v>
      </c>
      <c r="I202" s="733">
        <v>79.651040199999997</v>
      </c>
      <c r="J202" s="474">
        <f t="shared" si="76"/>
        <v>79.651040199999997</v>
      </c>
      <c r="K202" s="474">
        <f t="shared" si="77"/>
        <v>39.825520099999999</v>
      </c>
      <c r="L202" s="474">
        <f t="shared" si="67"/>
        <v>0.64045183696587837</v>
      </c>
      <c r="M202" s="474">
        <f t="shared" si="68"/>
        <v>122.17259241961095</v>
      </c>
      <c r="N202" s="474">
        <f t="shared" si="69"/>
        <v>244.3451848392219</v>
      </c>
      <c r="O202" s="474">
        <f>+C196+D197+D198+D199+D200+D201+(D202/2)</f>
        <v>0</v>
      </c>
      <c r="P202" s="474">
        <f t="shared" si="70"/>
        <v>0</v>
      </c>
      <c r="Q202" s="474">
        <f t="shared" si="71"/>
        <v>0</v>
      </c>
      <c r="R202" s="474">
        <f t="shared" si="78"/>
        <v>146.5</v>
      </c>
      <c r="S202" s="474">
        <f t="shared" si="91"/>
        <v>146.5</v>
      </c>
      <c r="T202" s="476">
        <f t="shared" si="72"/>
        <v>146.5</v>
      </c>
      <c r="V202" s="437">
        <f t="shared" si="73"/>
        <v>0</v>
      </c>
      <c r="W202" s="437"/>
      <c r="X202" s="437"/>
      <c r="Y202" s="437"/>
      <c r="Z202" s="437"/>
      <c r="AA202" s="437"/>
      <c r="AB202" s="477" t="str">
        <f t="shared" si="79"/>
        <v>pin in groundstacking hole</v>
      </c>
      <c r="AC202" s="478"/>
      <c r="AD202" s="478"/>
      <c r="AE202" s="478"/>
      <c r="AF202" s="437">
        <f>SUM(V202:V203)/($B$193-B201)</f>
        <v>0</v>
      </c>
      <c r="AG202" s="437"/>
      <c r="AH202" s="450">
        <f>SUM(D197:D202)+$C$196</f>
        <v>0</v>
      </c>
      <c r="AI202" s="717"/>
      <c r="AJ202" s="287">
        <f t="shared" si="80"/>
        <v>69.344714800000006</v>
      </c>
      <c r="AK202" s="441">
        <f t="shared" si="74"/>
        <v>0.93571960494171247</v>
      </c>
      <c r="AL202" s="287">
        <f t="shared" si="81"/>
        <v>180.0511663828843</v>
      </c>
      <c r="AM202" s="287">
        <f t="shared" si="82"/>
        <v>50.174479900000001</v>
      </c>
      <c r="AN202" s="442">
        <f t="shared" si="83"/>
        <v>0.76799833627881664</v>
      </c>
      <c r="AO202" s="287">
        <f t="shared" si="84"/>
        <v>146.50336262854705</v>
      </c>
      <c r="AP202" s="443"/>
      <c r="AQ202" s="291">
        <f t="shared" si="92"/>
        <v>-127.5</v>
      </c>
      <c r="AR202" s="443"/>
      <c r="AS202" s="444">
        <f t="shared" si="85"/>
        <v>326.55452901143133</v>
      </c>
      <c r="AT202" s="445">
        <f t="shared" si="94"/>
        <v>-146.50336262854705</v>
      </c>
      <c r="AU202" s="446"/>
      <c r="AV202" s="445">
        <f t="shared" si="93"/>
        <v>146.50336262854705</v>
      </c>
      <c r="AW202" s="447">
        <f t="shared" si="86"/>
        <v>-70.299204801456398</v>
      </c>
      <c r="AX202" s="447">
        <f t="shared" si="87"/>
        <v>-57.200795198543602</v>
      </c>
      <c r="AY202" s="448">
        <f t="shared" si="75"/>
        <v>-165.00897887481767</v>
      </c>
      <c r="AZ202" s="448">
        <f t="shared" si="88"/>
        <v>-174.82274442671755</v>
      </c>
      <c r="BA202" s="451">
        <f t="shared" si="89"/>
        <v>165.00897887481767</v>
      </c>
      <c r="BB202" s="451">
        <f t="shared" si="89"/>
        <v>174.82274442671755</v>
      </c>
      <c r="DE202" s="307"/>
    </row>
    <row r="203" spans="2:109" ht="21" customHeight="1" thickBot="1" x14ac:dyDescent="0.25">
      <c r="B203" s="277">
        <v>8</v>
      </c>
      <c r="C203" s="278"/>
      <c r="D203" s="25">
        <v>0</v>
      </c>
      <c r="E203" s="279" t="s">
        <v>54</v>
      </c>
      <c r="F203" s="258"/>
      <c r="G203" s="258">
        <f t="shared" si="90"/>
        <v>0</v>
      </c>
      <c r="H203" s="732">
        <v>190.76</v>
      </c>
      <c r="I203" s="733">
        <v>79.651040199999997</v>
      </c>
      <c r="J203" s="474">
        <f t="shared" si="76"/>
        <v>79.651040199999997</v>
      </c>
      <c r="K203" s="474">
        <f t="shared" si="77"/>
        <v>39.825520099999999</v>
      </c>
      <c r="L203" s="474">
        <f t="shared" si="67"/>
        <v>0.64045183696587837</v>
      </c>
      <c r="M203" s="474">
        <f t="shared" si="68"/>
        <v>122.17259241961095</v>
      </c>
      <c r="N203" s="474">
        <f t="shared" si="69"/>
        <v>244.3451848392219</v>
      </c>
      <c r="O203" s="474">
        <f>+C196+D197+D198+D199+D200+D201+D202+(D203/2)</f>
        <v>0</v>
      </c>
      <c r="P203" s="474">
        <f t="shared" si="70"/>
        <v>0</v>
      </c>
      <c r="Q203" s="474">
        <f t="shared" si="71"/>
        <v>0</v>
      </c>
      <c r="R203" s="474">
        <f t="shared" si="78"/>
        <v>146.5</v>
      </c>
      <c r="S203" s="474">
        <f t="shared" si="91"/>
        <v>146.5</v>
      </c>
      <c r="T203" s="476">
        <f t="shared" si="72"/>
        <v>146.5</v>
      </c>
      <c r="V203" s="437">
        <f t="shared" si="73"/>
        <v>0</v>
      </c>
      <c r="W203" s="437"/>
      <c r="X203" s="437"/>
      <c r="Y203" s="437"/>
      <c r="Z203" s="437"/>
      <c r="AA203" s="437"/>
      <c r="AB203" s="477" t="str">
        <f>IF(AZ203&lt;0,"pin in groundstacking hole"," ")</f>
        <v>pin in groundstacking hole</v>
      </c>
      <c r="AC203" s="478"/>
      <c r="AD203" s="478"/>
      <c r="AE203" s="478"/>
      <c r="AF203" s="437">
        <f>SUM(V203:V203)/($B$193-B202)</f>
        <v>0</v>
      </c>
      <c r="AG203" s="437"/>
      <c r="AH203" s="450">
        <f>SUM(D197:D203)+$C$196</f>
        <v>0</v>
      </c>
      <c r="AI203" s="717"/>
      <c r="AJ203" s="287">
        <f t="shared" si="80"/>
        <v>69.344714800000006</v>
      </c>
      <c r="AK203" s="441">
        <f t="shared" si="74"/>
        <v>0.93571960494171247</v>
      </c>
      <c r="AL203" s="287">
        <f t="shared" si="81"/>
        <v>180.0511663828843</v>
      </c>
      <c r="AM203" s="287">
        <f t="shared" si="82"/>
        <v>50.174479900000001</v>
      </c>
      <c r="AN203" s="442">
        <f t="shared" si="83"/>
        <v>0.76799833627881664</v>
      </c>
      <c r="AO203" s="287">
        <f t="shared" si="84"/>
        <v>146.50336262854705</v>
      </c>
      <c r="AP203" s="443"/>
      <c r="AQ203" s="291">
        <f t="shared" si="92"/>
        <v>-153</v>
      </c>
      <c r="AR203" s="443"/>
      <c r="AS203" s="444">
        <f t="shared" si="85"/>
        <v>326.55452901143133</v>
      </c>
      <c r="AT203" s="445">
        <f t="shared" si="94"/>
        <v>-146.50336262854705</v>
      </c>
      <c r="AU203" s="446"/>
      <c r="AV203" s="445">
        <f t="shared" si="93"/>
        <v>146.50336262854705</v>
      </c>
      <c r="AW203" s="447">
        <f t="shared" si="86"/>
        <v>-84.35904576174768</v>
      </c>
      <c r="AX203" s="447">
        <f t="shared" si="87"/>
        <v>-68.64095423825232</v>
      </c>
      <c r="AY203" s="448">
        <f t="shared" si="75"/>
        <v>-137.50748239568139</v>
      </c>
      <c r="AZ203" s="448">
        <f t="shared" si="88"/>
        <v>-145.68562035559796</v>
      </c>
      <c r="BA203" s="451">
        <f t="shared" si="89"/>
        <v>137.50748239568139</v>
      </c>
      <c r="BB203" s="451">
        <f t="shared" si="89"/>
        <v>145.68562035559796</v>
      </c>
    </row>
    <row r="204" spans="2:109" x14ac:dyDescent="0.2">
      <c r="BD204" s="545"/>
      <c r="BQ204" s="236"/>
      <c r="BR204" s="236"/>
      <c r="BS204" s="236"/>
      <c r="BT204" s="236"/>
      <c r="BU204" s="236"/>
      <c r="BV204" s="236"/>
      <c r="CA204" s="236"/>
      <c r="CB204" s="236"/>
      <c r="CC204" s="236"/>
      <c r="CD204" s="236"/>
      <c r="CI204" s="236"/>
      <c r="CJ204" s="236"/>
      <c r="CK204" s="236"/>
      <c r="CL204" s="236"/>
      <c r="CM204" s="236"/>
      <c r="CN204" s="236"/>
      <c r="DE204" s="126"/>
    </row>
    <row r="205" spans="2:109" x14ac:dyDescent="0.2">
      <c r="BD205" s="545"/>
      <c r="DE205" s="126"/>
    </row>
    <row r="206" spans="2:109" x14ac:dyDescent="0.2">
      <c r="BD206" s="545"/>
      <c r="DE206" s="126"/>
    </row>
    <row r="207" spans="2:109" x14ac:dyDescent="0.2">
      <c r="BD207" s="545"/>
      <c r="DE207" s="235"/>
    </row>
    <row r="208" spans="2:109" x14ac:dyDescent="0.2">
      <c r="BD208" s="545"/>
      <c r="DE208" s="126"/>
    </row>
    <row r="209" spans="56:65" x14ac:dyDescent="0.2">
      <c r="BD209" s="545"/>
    </row>
    <row r="210" spans="56:65" x14ac:dyDescent="0.2">
      <c r="BD210" s="545"/>
      <c r="BF210" s="136"/>
      <c r="BG210" s="136"/>
      <c r="BH210" s="136"/>
      <c r="BI210" s="136"/>
      <c r="BJ210" s="136"/>
      <c r="BK210" s="136"/>
      <c r="BL210" s="212"/>
      <c r="BM210"/>
    </row>
    <row r="211" spans="56:65" x14ac:dyDescent="0.2">
      <c r="BD211" s="545"/>
      <c r="BF211" s="136"/>
      <c r="BG211" s="136"/>
      <c r="BH211" s="297" t="s">
        <v>122</v>
      </c>
      <c r="BI211" s="136"/>
      <c r="BJ211" s="136"/>
      <c r="BK211" s="136"/>
      <c r="BL211" s="136"/>
      <c r="BM211" s="136"/>
    </row>
    <row r="212" spans="56:65" ht="20" x14ac:dyDescent="0.3">
      <c r="BD212" s="545"/>
      <c r="BF212" s="298">
        <v>1</v>
      </c>
      <c r="BG212" s="299">
        <v>-473</v>
      </c>
      <c r="BH212" s="300">
        <f>+COS(($B$132*-1)*3.14159265358979/180)*BG212</f>
        <v>-473</v>
      </c>
      <c r="BI212" s="301">
        <f t="shared" ref="BI212:BI248" si="95">+BH212-D$3</f>
        <v>-688.00490402706544</v>
      </c>
      <c r="BJ212" s="302">
        <f t="shared" ref="BJ212:BJ248" si="96">ABS(BI212)</f>
        <v>688.00490402706544</v>
      </c>
      <c r="BK212" s="303">
        <f>MIN(BJ212:BJ248)</f>
        <v>4.9040270654074902E-3</v>
      </c>
      <c r="BL212" s="302" t="b">
        <f>IF(BK212=BJ212,BF212)</f>
        <v>0</v>
      </c>
      <c r="BM212" s="304">
        <v>1</v>
      </c>
    </row>
    <row r="213" spans="56:65" ht="20" x14ac:dyDescent="0.3">
      <c r="BF213" s="298">
        <v>2</v>
      </c>
      <c r="BG213" s="299">
        <f>+BG212+43</f>
        <v>-430</v>
      </c>
      <c r="BH213" s="42">
        <f>+BH212+$E$2</f>
        <v>-430</v>
      </c>
      <c r="BI213" s="301">
        <f t="shared" si="95"/>
        <v>-645.00490402706544</v>
      </c>
      <c r="BJ213" s="302">
        <f t="shared" si="96"/>
        <v>645.00490402706544</v>
      </c>
      <c r="BK213" s="302">
        <f>+BK212</f>
        <v>4.9040270654074902E-3</v>
      </c>
      <c r="BL213" s="302" t="b">
        <f t="shared" ref="BL213:BL248" si="97">IF(BK213=BJ213,BF213)</f>
        <v>0</v>
      </c>
      <c r="BM213" s="304">
        <v>2</v>
      </c>
    </row>
    <row r="214" spans="56:65" ht="20" x14ac:dyDescent="0.3">
      <c r="BF214" s="298">
        <v>3</v>
      </c>
      <c r="BG214" s="299">
        <f t="shared" ref="BG214:BG248" si="98">+BG213+43</f>
        <v>-387</v>
      </c>
      <c r="BH214" s="42">
        <f t="shared" ref="BH214:BH248" si="99">+BH213+$E$2</f>
        <v>-387</v>
      </c>
      <c r="BI214" s="301">
        <f t="shared" si="95"/>
        <v>-602.00490402706544</v>
      </c>
      <c r="BJ214" s="302">
        <f t="shared" si="96"/>
        <v>602.00490402706544</v>
      </c>
      <c r="BK214" s="302">
        <f t="shared" ref="BK214:BK248" si="100">+BK213</f>
        <v>4.9040270654074902E-3</v>
      </c>
      <c r="BL214" s="302" t="b">
        <f t="shared" si="97"/>
        <v>0</v>
      </c>
      <c r="BM214" s="304">
        <v>3</v>
      </c>
    </row>
    <row r="215" spans="56:65" ht="20" x14ac:dyDescent="0.3">
      <c r="BF215" s="298">
        <v>4</v>
      </c>
      <c r="BG215" s="299">
        <f t="shared" si="98"/>
        <v>-344</v>
      </c>
      <c r="BH215" s="42">
        <f t="shared" si="99"/>
        <v>-344</v>
      </c>
      <c r="BI215" s="301">
        <f t="shared" si="95"/>
        <v>-559.00490402706544</v>
      </c>
      <c r="BJ215" s="302">
        <f t="shared" si="96"/>
        <v>559.00490402706544</v>
      </c>
      <c r="BK215" s="302">
        <f t="shared" si="100"/>
        <v>4.9040270654074902E-3</v>
      </c>
      <c r="BL215" s="302" t="b">
        <f t="shared" si="97"/>
        <v>0</v>
      </c>
      <c r="BM215" s="304">
        <v>4</v>
      </c>
    </row>
    <row r="216" spans="56:65" ht="20" x14ac:dyDescent="0.3">
      <c r="BF216" s="298">
        <v>5</v>
      </c>
      <c r="BG216" s="299">
        <f t="shared" si="98"/>
        <v>-301</v>
      </c>
      <c r="BH216" s="42">
        <f t="shared" si="99"/>
        <v>-301</v>
      </c>
      <c r="BI216" s="301">
        <f t="shared" si="95"/>
        <v>-516.00490402706544</v>
      </c>
      <c r="BJ216" s="302">
        <f t="shared" si="96"/>
        <v>516.00490402706544</v>
      </c>
      <c r="BK216" s="302">
        <f t="shared" si="100"/>
        <v>4.9040270654074902E-3</v>
      </c>
      <c r="BL216" s="302" t="b">
        <f t="shared" si="97"/>
        <v>0</v>
      </c>
      <c r="BM216" s="304">
        <v>5</v>
      </c>
    </row>
    <row r="217" spans="56:65" ht="20" x14ac:dyDescent="0.3">
      <c r="BF217" s="298">
        <v>6</v>
      </c>
      <c r="BG217" s="299">
        <f t="shared" si="98"/>
        <v>-258</v>
      </c>
      <c r="BH217" s="42">
        <f t="shared" si="99"/>
        <v>-258</v>
      </c>
      <c r="BI217" s="301">
        <f t="shared" si="95"/>
        <v>-473.00490402706544</v>
      </c>
      <c r="BJ217" s="302">
        <f t="shared" si="96"/>
        <v>473.00490402706544</v>
      </c>
      <c r="BK217" s="302">
        <f t="shared" si="100"/>
        <v>4.9040270654074902E-3</v>
      </c>
      <c r="BL217" s="302" t="b">
        <f t="shared" si="97"/>
        <v>0</v>
      </c>
      <c r="BM217" s="304">
        <v>6</v>
      </c>
    </row>
    <row r="218" spans="56:65" ht="20" x14ac:dyDescent="0.3">
      <c r="BF218" s="298">
        <v>7</v>
      </c>
      <c r="BG218" s="299">
        <f t="shared" si="98"/>
        <v>-215</v>
      </c>
      <c r="BH218" s="42">
        <f t="shared" si="99"/>
        <v>-215</v>
      </c>
      <c r="BI218" s="301">
        <f t="shared" si="95"/>
        <v>-430.00490402706544</v>
      </c>
      <c r="BJ218" s="302">
        <f t="shared" si="96"/>
        <v>430.00490402706544</v>
      </c>
      <c r="BK218" s="302">
        <f t="shared" si="100"/>
        <v>4.9040270654074902E-3</v>
      </c>
      <c r="BL218" s="302" t="b">
        <f t="shared" si="97"/>
        <v>0</v>
      </c>
      <c r="BM218" s="304">
        <v>7</v>
      </c>
    </row>
    <row r="219" spans="56:65" ht="20" x14ac:dyDescent="0.3">
      <c r="BF219" s="298">
        <v>8</v>
      </c>
      <c r="BG219" s="299">
        <f t="shared" si="98"/>
        <v>-172</v>
      </c>
      <c r="BH219" s="42">
        <f t="shared" si="99"/>
        <v>-172</v>
      </c>
      <c r="BI219" s="301">
        <f t="shared" si="95"/>
        <v>-387.00490402706544</v>
      </c>
      <c r="BJ219" s="302">
        <f t="shared" si="96"/>
        <v>387.00490402706544</v>
      </c>
      <c r="BK219" s="302">
        <f t="shared" si="100"/>
        <v>4.9040270654074902E-3</v>
      </c>
      <c r="BL219" s="302" t="b">
        <f t="shared" si="97"/>
        <v>0</v>
      </c>
      <c r="BM219" s="304">
        <v>8</v>
      </c>
    </row>
    <row r="220" spans="56:65" ht="20" x14ac:dyDescent="0.3">
      <c r="BF220" s="298">
        <v>9</v>
      </c>
      <c r="BG220" s="299">
        <f t="shared" si="98"/>
        <v>-129</v>
      </c>
      <c r="BH220" s="42">
        <f t="shared" si="99"/>
        <v>-129</v>
      </c>
      <c r="BI220" s="301">
        <f t="shared" si="95"/>
        <v>-344.00490402706544</v>
      </c>
      <c r="BJ220" s="302">
        <f t="shared" si="96"/>
        <v>344.00490402706544</v>
      </c>
      <c r="BK220" s="302">
        <f t="shared" si="100"/>
        <v>4.9040270654074902E-3</v>
      </c>
      <c r="BL220" s="302" t="b">
        <f t="shared" si="97"/>
        <v>0</v>
      </c>
      <c r="BM220" s="304">
        <v>9</v>
      </c>
    </row>
    <row r="221" spans="56:65" ht="20" x14ac:dyDescent="0.3">
      <c r="BF221" s="298">
        <v>10</v>
      </c>
      <c r="BG221" s="299">
        <f t="shared" si="98"/>
        <v>-86</v>
      </c>
      <c r="BH221" s="42">
        <f t="shared" si="99"/>
        <v>-86</v>
      </c>
      <c r="BI221" s="301">
        <f t="shared" si="95"/>
        <v>-301.00490402706544</v>
      </c>
      <c r="BJ221" s="302">
        <f t="shared" si="96"/>
        <v>301.00490402706544</v>
      </c>
      <c r="BK221" s="302">
        <f t="shared" si="100"/>
        <v>4.9040270654074902E-3</v>
      </c>
      <c r="BL221" s="302" t="b">
        <f t="shared" si="97"/>
        <v>0</v>
      </c>
      <c r="BM221" s="304">
        <v>10</v>
      </c>
    </row>
    <row r="222" spans="56:65" ht="20" x14ac:dyDescent="0.3">
      <c r="BF222" s="298">
        <v>11</v>
      </c>
      <c r="BG222" s="299">
        <f t="shared" si="98"/>
        <v>-43</v>
      </c>
      <c r="BH222" s="42">
        <f t="shared" si="99"/>
        <v>-43</v>
      </c>
      <c r="BI222" s="301">
        <f t="shared" si="95"/>
        <v>-258.00490402706544</v>
      </c>
      <c r="BJ222" s="302">
        <f t="shared" si="96"/>
        <v>258.00490402706544</v>
      </c>
      <c r="BK222" s="302">
        <f t="shared" si="100"/>
        <v>4.9040270654074902E-3</v>
      </c>
      <c r="BL222" s="302" t="b">
        <f t="shared" si="97"/>
        <v>0</v>
      </c>
      <c r="BM222" s="304">
        <v>11</v>
      </c>
    </row>
    <row r="223" spans="56:65" ht="20" x14ac:dyDescent="0.3">
      <c r="BF223" s="298">
        <v>12</v>
      </c>
      <c r="BG223" s="299">
        <f t="shared" si="98"/>
        <v>0</v>
      </c>
      <c r="BH223" s="42">
        <f t="shared" si="99"/>
        <v>0</v>
      </c>
      <c r="BI223" s="301">
        <f t="shared" si="95"/>
        <v>-215.00490402706541</v>
      </c>
      <c r="BJ223" s="302">
        <f t="shared" si="96"/>
        <v>215.00490402706541</v>
      </c>
      <c r="BK223" s="302">
        <f t="shared" si="100"/>
        <v>4.9040270654074902E-3</v>
      </c>
      <c r="BL223" s="302" t="b">
        <f t="shared" si="97"/>
        <v>0</v>
      </c>
      <c r="BM223" s="304">
        <v>12</v>
      </c>
    </row>
    <row r="224" spans="56:65" ht="20" x14ac:dyDescent="0.3">
      <c r="BF224" s="298">
        <v>13</v>
      </c>
      <c r="BG224" s="299">
        <f t="shared" si="98"/>
        <v>43</v>
      </c>
      <c r="BH224" s="42">
        <f t="shared" si="99"/>
        <v>43</v>
      </c>
      <c r="BI224" s="301">
        <f t="shared" si="95"/>
        <v>-172.00490402706541</v>
      </c>
      <c r="BJ224" s="302">
        <f t="shared" si="96"/>
        <v>172.00490402706541</v>
      </c>
      <c r="BK224" s="302">
        <f t="shared" si="100"/>
        <v>4.9040270654074902E-3</v>
      </c>
      <c r="BL224" s="302" t="b">
        <f t="shared" si="97"/>
        <v>0</v>
      </c>
      <c r="BM224" s="304">
        <v>13</v>
      </c>
    </row>
    <row r="225" spans="58:65" ht="20" x14ac:dyDescent="0.3">
      <c r="BF225" s="298">
        <v>14</v>
      </c>
      <c r="BG225" s="299">
        <f t="shared" si="98"/>
        <v>86</v>
      </c>
      <c r="BH225" s="42">
        <f t="shared" si="99"/>
        <v>86</v>
      </c>
      <c r="BI225" s="301">
        <f t="shared" si="95"/>
        <v>-129.00490402706541</v>
      </c>
      <c r="BJ225" s="302">
        <f t="shared" si="96"/>
        <v>129.00490402706541</v>
      </c>
      <c r="BK225" s="302">
        <f t="shared" si="100"/>
        <v>4.9040270654074902E-3</v>
      </c>
      <c r="BL225" s="302" t="b">
        <f t="shared" si="97"/>
        <v>0</v>
      </c>
      <c r="BM225" s="304">
        <v>14</v>
      </c>
    </row>
    <row r="226" spans="58:65" ht="20" x14ac:dyDescent="0.3">
      <c r="BF226" s="298">
        <v>15</v>
      </c>
      <c r="BG226" s="299">
        <f t="shared" si="98"/>
        <v>129</v>
      </c>
      <c r="BH226" s="42">
        <f t="shared" si="99"/>
        <v>129</v>
      </c>
      <c r="BI226" s="301">
        <f t="shared" si="95"/>
        <v>-86.004904027065407</v>
      </c>
      <c r="BJ226" s="302">
        <f t="shared" si="96"/>
        <v>86.004904027065407</v>
      </c>
      <c r="BK226" s="302">
        <f t="shared" si="100"/>
        <v>4.9040270654074902E-3</v>
      </c>
      <c r="BL226" s="302" t="b">
        <f t="shared" si="97"/>
        <v>0</v>
      </c>
      <c r="BM226" s="304">
        <v>15</v>
      </c>
    </row>
    <row r="227" spans="58:65" ht="20" x14ac:dyDescent="0.3">
      <c r="BF227" s="298">
        <v>16</v>
      </c>
      <c r="BG227" s="299">
        <f t="shared" si="98"/>
        <v>172</v>
      </c>
      <c r="BH227" s="42">
        <f t="shared" si="99"/>
        <v>172</v>
      </c>
      <c r="BI227" s="301">
        <f t="shared" si="95"/>
        <v>-43.004904027065407</v>
      </c>
      <c r="BJ227" s="302">
        <f t="shared" si="96"/>
        <v>43.004904027065407</v>
      </c>
      <c r="BK227" s="302">
        <f t="shared" si="100"/>
        <v>4.9040270654074902E-3</v>
      </c>
      <c r="BL227" s="302" t="b">
        <f t="shared" si="97"/>
        <v>0</v>
      </c>
      <c r="BM227" s="304">
        <v>16</v>
      </c>
    </row>
    <row r="228" spans="58:65" ht="20" x14ac:dyDescent="0.3">
      <c r="BF228" s="298">
        <v>17</v>
      </c>
      <c r="BG228" s="299">
        <f t="shared" si="98"/>
        <v>215</v>
      </c>
      <c r="BH228" s="42">
        <f t="shared" si="99"/>
        <v>215</v>
      </c>
      <c r="BI228" s="301">
        <f t="shared" si="95"/>
        <v>-4.9040270654074902E-3</v>
      </c>
      <c r="BJ228" s="302">
        <f t="shared" si="96"/>
        <v>4.9040270654074902E-3</v>
      </c>
      <c r="BK228" s="302">
        <f t="shared" si="100"/>
        <v>4.9040270654074902E-3</v>
      </c>
      <c r="BL228" s="302">
        <f t="shared" si="97"/>
        <v>17</v>
      </c>
      <c r="BM228" s="304">
        <v>17</v>
      </c>
    </row>
    <row r="229" spans="58:65" ht="20" x14ac:dyDescent="0.3">
      <c r="BF229" s="298">
        <v>18</v>
      </c>
      <c r="BG229" s="299">
        <f t="shared" si="98"/>
        <v>258</v>
      </c>
      <c r="BH229" s="42">
        <f t="shared" si="99"/>
        <v>258</v>
      </c>
      <c r="BI229" s="301">
        <f t="shared" si="95"/>
        <v>42.995095972934593</v>
      </c>
      <c r="BJ229" s="302">
        <f t="shared" si="96"/>
        <v>42.995095972934593</v>
      </c>
      <c r="BK229" s="302">
        <f t="shared" si="100"/>
        <v>4.9040270654074902E-3</v>
      </c>
      <c r="BL229" s="302" t="b">
        <f t="shared" si="97"/>
        <v>0</v>
      </c>
      <c r="BM229" s="304">
        <v>18</v>
      </c>
    </row>
    <row r="230" spans="58:65" ht="20" x14ac:dyDescent="0.3">
      <c r="BF230" s="298">
        <v>19</v>
      </c>
      <c r="BG230" s="299">
        <f t="shared" si="98"/>
        <v>301</v>
      </c>
      <c r="BH230" s="42">
        <f t="shared" si="99"/>
        <v>301</v>
      </c>
      <c r="BI230" s="301">
        <f t="shared" si="95"/>
        <v>85.995095972934593</v>
      </c>
      <c r="BJ230" s="302">
        <f t="shared" si="96"/>
        <v>85.995095972934593</v>
      </c>
      <c r="BK230" s="302">
        <f t="shared" si="100"/>
        <v>4.9040270654074902E-3</v>
      </c>
      <c r="BL230" s="302" t="b">
        <f t="shared" si="97"/>
        <v>0</v>
      </c>
      <c r="BM230" s="304">
        <v>19</v>
      </c>
    </row>
    <row r="231" spans="58:65" ht="20" x14ac:dyDescent="0.3">
      <c r="BF231" s="298">
        <v>20</v>
      </c>
      <c r="BG231" s="299">
        <f t="shared" si="98"/>
        <v>344</v>
      </c>
      <c r="BH231" s="42">
        <f t="shared" si="99"/>
        <v>344</v>
      </c>
      <c r="BI231" s="301">
        <f t="shared" si="95"/>
        <v>128.99509597293459</v>
      </c>
      <c r="BJ231" s="302">
        <f t="shared" si="96"/>
        <v>128.99509597293459</v>
      </c>
      <c r="BK231" s="302">
        <f t="shared" si="100"/>
        <v>4.9040270654074902E-3</v>
      </c>
      <c r="BL231" s="302" t="b">
        <f t="shared" si="97"/>
        <v>0</v>
      </c>
      <c r="BM231" s="304">
        <v>20</v>
      </c>
    </row>
    <row r="232" spans="58:65" ht="20" x14ac:dyDescent="0.3">
      <c r="BF232" s="298">
        <v>21</v>
      </c>
      <c r="BG232" s="299">
        <f t="shared" si="98"/>
        <v>387</v>
      </c>
      <c r="BH232" s="42">
        <f t="shared" si="99"/>
        <v>387</v>
      </c>
      <c r="BI232" s="301">
        <f t="shared" si="95"/>
        <v>171.99509597293459</v>
      </c>
      <c r="BJ232" s="302">
        <f t="shared" si="96"/>
        <v>171.99509597293459</v>
      </c>
      <c r="BK232" s="302">
        <f t="shared" si="100"/>
        <v>4.9040270654074902E-3</v>
      </c>
      <c r="BL232" s="302" t="b">
        <f t="shared" si="97"/>
        <v>0</v>
      </c>
      <c r="BM232" s="304">
        <v>21</v>
      </c>
    </row>
    <row r="233" spans="58:65" ht="20" x14ac:dyDescent="0.3">
      <c r="BF233" s="298">
        <v>22</v>
      </c>
      <c r="BG233" s="299">
        <f t="shared" si="98"/>
        <v>430</v>
      </c>
      <c r="BH233" s="42">
        <f t="shared" si="99"/>
        <v>430</v>
      </c>
      <c r="BI233" s="301">
        <f t="shared" si="95"/>
        <v>214.99509597293459</v>
      </c>
      <c r="BJ233" s="302">
        <f t="shared" si="96"/>
        <v>214.99509597293459</v>
      </c>
      <c r="BK233" s="302">
        <f t="shared" si="100"/>
        <v>4.9040270654074902E-3</v>
      </c>
      <c r="BL233" s="302" t="b">
        <f t="shared" si="97"/>
        <v>0</v>
      </c>
      <c r="BM233" s="304">
        <v>22</v>
      </c>
    </row>
    <row r="234" spans="58:65" ht="20" x14ac:dyDescent="0.3">
      <c r="BF234" s="298">
        <v>23</v>
      </c>
      <c r="BG234" s="299">
        <f t="shared" si="98"/>
        <v>473</v>
      </c>
      <c r="BH234" s="42">
        <f t="shared" si="99"/>
        <v>473</v>
      </c>
      <c r="BI234" s="301">
        <f t="shared" si="95"/>
        <v>257.99509597293456</v>
      </c>
      <c r="BJ234" s="302">
        <f t="shared" si="96"/>
        <v>257.99509597293456</v>
      </c>
      <c r="BK234" s="302">
        <f t="shared" si="100"/>
        <v>4.9040270654074902E-3</v>
      </c>
      <c r="BL234" s="302" t="b">
        <f t="shared" si="97"/>
        <v>0</v>
      </c>
      <c r="BM234" s="304">
        <v>23</v>
      </c>
    </row>
    <row r="235" spans="58:65" ht="20" x14ac:dyDescent="0.3">
      <c r="BF235" s="298">
        <v>24</v>
      </c>
      <c r="BG235" s="299">
        <f t="shared" si="98"/>
        <v>516</v>
      </c>
      <c r="BH235" s="42">
        <f t="shared" si="99"/>
        <v>516</v>
      </c>
      <c r="BI235" s="301">
        <f t="shared" si="95"/>
        <v>300.99509597293456</v>
      </c>
      <c r="BJ235" s="302">
        <f t="shared" si="96"/>
        <v>300.99509597293456</v>
      </c>
      <c r="BK235" s="302">
        <f t="shared" si="100"/>
        <v>4.9040270654074902E-3</v>
      </c>
      <c r="BL235" s="302" t="b">
        <f t="shared" si="97"/>
        <v>0</v>
      </c>
      <c r="BM235" s="304">
        <v>24</v>
      </c>
    </row>
    <row r="236" spans="58:65" ht="20" x14ac:dyDescent="0.3">
      <c r="BF236" s="298">
        <v>25</v>
      </c>
      <c r="BG236" s="299">
        <f t="shared" si="98"/>
        <v>559</v>
      </c>
      <c r="BH236" s="42">
        <f t="shared" si="99"/>
        <v>559</v>
      </c>
      <c r="BI236" s="301">
        <f t="shared" si="95"/>
        <v>343.99509597293456</v>
      </c>
      <c r="BJ236" s="302">
        <f t="shared" si="96"/>
        <v>343.99509597293456</v>
      </c>
      <c r="BK236" s="302">
        <f t="shared" si="100"/>
        <v>4.9040270654074902E-3</v>
      </c>
      <c r="BL236" s="302" t="b">
        <f t="shared" si="97"/>
        <v>0</v>
      </c>
      <c r="BM236" s="304">
        <v>25</v>
      </c>
    </row>
    <row r="237" spans="58:65" ht="20" x14ac:dyDescent="0.3">
      <c r="BF237" s="298">
        <v>26</v>
      </c>
      <c r="BG237" s="299">
        <f t="shared" si="98"/>
        <v>602</v>
      </c>
      <c r="BH237" s="42">
        <f t="shared" si="99"/>
        <v>602</v>
      </c>
      <c r="BI237" s="301">
        <f t="shared" si="95"/>
        <v>386.99509597293456</v>
      </c>
      <c r="BJ237" s="302">
        <f t="shared" si="96"/>
        <v>386.99509597293456</v>
      </c>
      <c r="BK237" s="302">
        <f t="shared" si="100"/>
        <v>4.9040270654074902E-3</v>
      </c>
      <c r="BL237" s="302" t="b">
        <f t="shared" si="97"/>
        <v>0</v>
      </c>
      <c r="BM237" s="304">
        <v>26</v>
      </c>
    </row>
    <row r="238" spans="58:65" ht="20" x14ac:dyDescent="0.3">
      <c r="BF238" s="298">
        <v>27</v>
      </c>
      <c r="BG238" s="299">
        <f t="shared" si="98"/>
        <v>645</v>
      </c>
      <c r="BH238" s="42">
        <f t="shared" si="99"/>
        <v>645</v>
      </c>
      <c r="BI238" s="301">
        <f t="shared" si="95"/>
        <v>429.99509597293456</v>
      </c>
      <c r="BJ238" s="302">
        <f t="shared" si="96"/>
        <v>429.99509597293456</v>
      </c>
      <c r="BK238" s="302">
        <f t="shared" si="100"/>
        <v>4.9040270654074902E-3</v>
      </c>
      <c r="BL238" s="302" t="b">
        <f t="shared" si="97"/>
        <v>0</v>
      </c>
      <c r="BM238" s="304">
        <v>27</v>
      </c>
    </row>
    <row r="239" spans="58:65" ht="20" x14ac:dyDescent="0.3">
      <c r="BF239" s="298">
        <v>28</v>
      </c>
      <c r="BG239" s="299">
        <f t="shared" si="98"/>
        <v>688</v>
      </c>
      <c r="BH239" s="42">
        <f t="shared" si="99"/>
        <v>688</v>
      </c>
      <c r="BI239" s="301">
        <f t="shared" si="95"/>
        <v>472.99509597293456</v>
      </c>
      <c r="BJ239" s="302">
        <f t="shared" si="96"/>
        <v>472.99509597293456</v>
      </c>
      <c r="BK239" s="302">
        <f t="shared" si="100"/>
        <v>4.9040270654074902E-3</v>
      </c>
      <c r="BL239" s="302" t="b">
        <f t="shared" si="97"/>
        <v>0</v>
      </c>
      <c r="BM239" s="304">
        <v>28</v>
      </c>
    </row>
    <row r="240" spans="58:65" ht="20" x14ac:dyDescent="0.3">
      <c r="BF240" s="298">
        <v>29</v>
      </c>
      <c r="BG240" s="299">
        <f t="shared" si="98"/>
        <v>731</v>
      </c>
      <c r="BH240" s="42">
        <f t="shared" si="99"/>
        <v>731</v>
      </c>
      <c r="BI240" s="301">
        <f t="shared" si="95"/>
        <v>515.99509597293456</v>
      </c>
      <c r="BJ240" s="302">
        <f t="shared" si="96"/>
        <v>515.99509597293456</v>
      </c>
      <c r="BK240" s="302">
        <f t="shared" si="100"/>
        <v>4.9040270654074902E-3</v>
      </c>
      <c r="BL240" s="302" t="b">
        <f t="shared" si="97"/>
        <v>0</v>
      </c>
      <c r="BM240" s="304">
        <v>29</v>
      </c>
    </row>
    <row r="241" spans="58:129" ht="20" x14ac:dyDescent="0.3">
      <c r="BF241" s="298">
        <v>30</v>
      </c>
      <c r="BG241" s="299">
        <f t="shared" si="98"/>
        <v>774</v>
      </c>
      <c r="BH241" s="42">
        <f t="shared" si="99"/>
        <v>774</v>
      </c>
      <c r="BI241" s="301">
        <f t="shared" si="95"/>
        <v>558.99509597293456</v>
      </c>
      <c r="BJ241" s="302">
        <f t="shared" si="96"/>
        <v>558.99509597293456</v>
      </c>
      <c r="BK241" s="302">
        <f t="shared" si="100"/>
        <v>4.9040270654074902E-3</v>
      </c>
      <c r="BL241" s="302" t="b">
        <f t="shared" si="97"/>
        <v>0</v>
      </c>
      <c r="BM241" s="304">
        <v>30</v>
      </c>
    </row>
    <row r="242" spans="58:129" ht="20" x14ac:dyDescent="0.3">
      <c r="BF242" s="298">
        <v>31</v>
      </c>
      <c r="BG242" s="299">
        <f t="shared" si="98"/>
        <v>817</v>
      </c>
      <c r="BH242" s="42">
        <f t="shared" si="99"/>
        <v>817</v>
      </c>
      <c r="BI242" s="301">
        <f t="shared" si="95"/>
        <v>601.99509597293456</v>
      </c>
      <c r="BJ242" s="302">
        <f t="shared" si="96"/>
        <v>601.99509597293456</v>
      </c>
      <c r="BK242" s="302">
        <f t="shared" si="100"/>
        <v>4.9040270654074902E-3</v>
      </c>
      <c r="BL242" s="302" t="b">
        <f t="shared" si="97"/>
        <v>0</v>
      </c>
      <c r="BM242" s="304">
        <v>31</v>
      </c>
    </row>
    <row r="243" spans="58:129" ht="20" x14ac:dyDescent="0.3">
      <c r="BF243" s="298">
        <v>32</v>
      </c>
      <c r="BG243" s="299">
        <f t="shared" si="98"/>
        <v>860</v>
      </c>
      <c r="BH243" s="42">
        <f t="shared" si="99"/>
        <v>860</v>
      </c>
      <c r="BI243" s="301">
        <f t="shared" si="95"/>
        <v>644.99509597293456</v>
      </c>
      <c r="BJ243" s="302">
        <f t="shared" si="96"/>
        <v>644.99509597293456</v>
      </c>
      <c r="BK243" s="302">
        <f t="shared" si="100"/>
        <v>4.9040270654074902E-3</v>
      </c>
      <c r="BL243" s="302" t="b">
        <f t="shared" si="97"/>
        <v>0</v>
      </c>
      <c r="BM243" s="304">
        <v>32</v>
      </c>
    </row>
    <row r="244" spans="58:129" ht="20" x14ac:dyDescent="0.3">
      <c r="BF244" s="298">
        <v>33</v>
      </c>
      <c r="BG244" s="299">
        <f t="shared" si="98"/>
        <v>903</v>
      </c>
      <c r="BH244" s="42">
        <f t="shared" si="99"/>
        <v>903</v>
      </c>
      <c r="BI244" s="301">
        <f t="shared" si="95"/>
        <v>687.99509597293456</v>
      </c>
      <c r="BJ244" s="302">
        <f t="shared" si="96"/>
        <v>687.99509597293456</v>
      </c>
      <c r="BK244" s="302">
        <f t="shared" si="100"/>
        <v>4.9040270654074902E-3</v>
      </c>
      <c r="BL244" s="302" t="b">
        <f t="shared" si="97"/>
        <v>0</v>
      </c>
      <c r="BM244" s="304">
        <v>33</v>
      </c>
    </row>
    <row r="245" spans="58:129" ht="20" x14ac:dyDescent="0.3">
      <c r="BF245" s="298">
        <v>34</v>
      </c>
      <c r="BG245" s="299">
        <f t="shared" si="98"/>
        <v>946</v>
      </c>
      <c r="BH245" s="42">
        <f t="shared" si="99"/>
        <v>946</v>
      </c>
      <c r="BI245" s="301">
        <f t="shared" si="95"/>
        <v>730.99509597293456</v>
      </c>
      <c r="BJ245" s="302">
        <f t="shared" si="96"/>
        <v>730.99509597293456</v>
      </c>
      <c r="BK245" s="302">
        <f t="shared" si="100"/>
        <v>4.9040270654074902E-3</v>
      </c>
      <c r="BL245" s="302" t="b">
        <f t="shared" si="97"/>
        <v>0</v>
      </c>
      <c r="BM245" s="304">
        <v>34</v>
      </c>
    </row>
    <row r="246" spans="58:129" ht="20" x14ac:dyDescent="0.3">
      <c r="BF246" s="298">
        <v>35</v>
      </c>
      <c r="BG246" s="299">
        <f t="shared" si="98"/>
        <v>989</v>
      </c>
      <c r="BH246" s="42">
        <f t="shared" si="99"/>
        <v>989</v>
      </c>
      <c r="BI246" s="301">
        <f t="shared" si="95"/>
        <v>773.99509597293456</v>
      </c>
      <c r="BJ246" s="302">
        <f t="shared" si="96"/>
        <v>773.99509597293456</v>
      </c>
      <c r="BK246" s="302">
        <f t="shared" si="100"/>
        <v>4.9040270654074902E-3</v>
      </c>
      <c r="BL246" s="302" t="b">
        <f t="shared" si="97"/>
        <v>0</v>
      </c>
      <c r="BM246" s="304">
        <v>35</v>
      </c>
      <c r="DF246" s="305"/>
      <c r="DG246" s="305"/>
      <c r="DH246" s="305"/>
      <c r="DI246" s="305"/>
      <c r="DJ246" s="305"/>
      <c r="DK246" s="305"/>
      <c r="DL246" s="1818"/>
      <c r="DM246" s="1818"/>
      <c r="DN246" s="1818"/>
      <c r="DO246" s="126"/>
    </row>
    <row r="247" spans="58:129" ht="20" x14ac:dyDescent="0.3">
      <c r="BF247" s="298">
        <v>36</v>
      </c>
      <c r="BG247" s="299">
        <f t="shared" si="98"/>
        <v>1032</v>
      </c>
      <c r="BH247" s="42">
        <f t="shared" si="99"/>
        <v>1032</v>
      </c>
      <c r="BI247" s="301">
        <f t="shared" si="95"/>
        <v>816.99509597293456</v>
      </c>
      <c r="BJ247" s="302">
        <f t="shared" si="96"/>
        <v>816.99509597293456</v>
      </c>
      <c r="BK247" s="302">
        <f t="shared" si="100"/>
        <v>4.9040270654074902E-3</v>
      </c>
      <c r="BL247" s="302" t="b">
        <f t="shared" si="97"/>
        <v>0</v>
      </c>
      <c r="BM247" s="304">
        <v>36</v>
      </c>
      <c r="DL247" s="306"/>
      <c r="DY247" s="306"/>
    </row>
    <row r="248" spans="58:129" ht="20" x14ac:dyDescent="0.3">
      <c r="BF248" s="308">
        <v>37</v>
      </c>
      <c r="BG248" s="309">
        <f t="shared" si="98"/>
        <v>1075</v>
      </c>
      <c r="BH248" s="42">
        <f t="shared" si="99"/>
        <v>1075</v>
      </c>
      <c r="BI248" s="301">
        <f t="shared" si="95"/>
        <v>859.99509597293456</v>
      </c>
      <c r="BJ248" s="302">
        <f t="shared" si="96"/>
        <v>859.99509597293456</v>
      </c>
      <c r="BK248" s="302">
        <f t="shared" si="100"/>
        <v>4.9040270654074902E-3</v>
      </c>
      <c r="BL248" s="302" t="b">
        <f t="shared" si="97"/>
        <v>0</v>
      </c>
      <c r="BM248" s="310">
        <v>37</v>
      </c>
      <c r="DF248" s="307"/>
      <c r="DG248" s="307"/>
      <c r="DH248" s="307"/>
      <c r="DI248" s="307"/>
      <c r="DJ248" s="307"/>
      <c r="DK248" s="307"/>
      <c r="DL248" s="1819"/>
      <c r="DM248" s="1819"/>
      <c r="DX248" s="1813"/>
      <c r="DY248" s="1813"/>
    </row>
    <row r="265" spans="110:134" x14ac:dyDescent="0.2">
      <c r="DF265" s="126"/>
      <c r="DH265" s="126"/>
      <c r="DJ265" s="126"/>
    </row>
    <row r="266" spans="110:134" x14ac:dyDescent="0.2">
      <c r="DF266" s="126"/>
      <c r="DJ266" s="126"/>
    </row>
    <row r="267" spans="110:134" x14ac:dyDescent="0.2">
      <c r="DF267" s="126"/>
      <c r="DG267" s="311"/>
      <c r="DH267" s="311"/>
      <c r="DI267" s="311"/>
      <c r="DJ267" s="311"/>
      <c r="DK267" s="311"/>
      <c r="DL267" s="311"/>
      <c r="DM267" s="311"/>
      <c r="DN267" s="311"/>
      <c r="DO267" s="311"/>
      <c r="DP267" s="311"/>
      <c r="DQ267" s="311"/>
      <c r="DR267" s="311"/>
      <c r="DS267" s="311"/>
      <c r="DT267" s="311"/>
      <c r="DU267" s="311"/>
      <c r="DV267" s="311"/>
      <c r="DW267" s="311"/>
      <c r="DX267" s="311"/>
      <c r="DY267" s="311"/>
      <c r="DZ267" s="311"/>
      <c r="EA267" s="311"/>
      <c r="EB267" s="311"/>
      <c r="EC267" s="311"/>
      <c r="ED267" s="311"/>
    </row>
    <row r="268" spans="110:134" x14ac:dyDescent="0.2">
      <c r="DF268" s="126"/>
    </row>
    <row r="269" spans="110:134" x14ac:dyDescent="0.2">
      <c r="DF269" s="235"/>
      <c r="DG269" s="312"/>
      <c r="DH269" s="312"/>
      <c r="DI269" s="312"/>
      <c r="DJ269" s="312"/>
      <c r="DK269" s="312"/>
      <c r="DL269" s="312"/>
      <c r="DM269" s="312"/>
      <c r="DN269" s="312"/>
      <c r="DO269" s="312"/>
      <c r="DP269" s="312"/>
      <c r="DQ269" s="312"/>
      <c r="DR269" s="312"/>
      <c r="DS269" s="312"/>
      <c r="DT269" s="312"/>
      <c r="DU269" s="312"/>
      <c r="DV269" s="312"/>
      <c r="DW269" s="312"/>
      <c r="DX269" s="312"/>
      <c r="DY269" s="312"/>
      <c r="DZ269" s="312"/>
      <c r="EA269" s="312"/>
      <c r="EB269" s="312"/>
      <c r="EC269" s="312"/>
      <c r="ED269" s="312"/>
    </row>
    <row r="270" spans="110:134" x14ac:dyDescent="0.2">
      <c r="DF270" s="126"/>
      <c r="DG270" s="203"/>
      <c r="DH270" s="203"/>
      <c r="DI270" s="203"/>
      <c r="DJ270" s="203"/>
      <c r="DK270" s="203"/>
      <c r="DL270" s="203"/>
      <c r="DM270" s="203"/>
      <c r="DN270" s="203"/>
      <c r="DO270" s="203"/>
      <c r="DP270" s="203"/>
      <c r="DQ270" s="203"/>
      <c r="DR270" s="203"/>
      <c r="DS270" s="203"/>
      <c r="DT270" s="203"/>
      <c r="DU270" s="203"/>
      <c r="DV270" s="203"/>
      <c r="DW270" s="203"/>
      <c r="DX270" s="203"/>
      <c r="DY270" s="203"/>
      <c r="DZ270" s="203"/>
      <c r="EA270" s="203"/>
      <c r="EB270" s="203"/>
      <c r="EC270" s="203"/>
      <c r="ED270" s="203"/>
    </row>
    <row r="272" spans="110:134" x14ac:dyDescent="0.2">
      <c r="DG272" s="236"/>
      <c r="DH272" s="236"/>
      <c r="DI272" s="236"/>
      <c r="DJ272" s="236"/>
      <c r="DK272" s="236"/>
      <c r="DL272" s="236"/>
      <c r="DM272" s="126"/>
      <c r="DN272" s="126"/>
      <c r="DO272" s="126"/>
      <c r="DP272" s="126"/>
      <c r="DQ272" s="126"/>
      <c r="DR272" s="236"/>
      <c r="DS272" s="236"/>
      <c r="DT272" s="236"/>
      <c r="DU272" s="126"/>
      <c r="DV272" s="126"/>
      <c r="DW272" s="126"/>
      <c r="DX272" s="126"/>
      <c r="DY272" s="126"/>
      <c r="DZ272" s="126"/>
      <c r="EA272" s="126"/>
      <c r="EB272" s="126"/>
      <c r="EC272" s="126"/>
      <c r="ED272" s="126"/>
    </row>
    <row r="273" spans="111:134" x14ac:dyDescent="0.2">
      <c r="DG273" s="236"/>
      <c r="DH273" s="236"/>
      <c r="DI273" s="236"/>
      <c r="DJ273" s="236"/>
      <c r="DK273" s="236"/>
      <c r="DL273" s="236"/>
      <c r="DQ273" s="236"/>
      <c r="DR273" s="236"/>
      <c r="DS273" s="236"/>
      <c r="DT273" s="236"/>
      <c r="DY273" s="236"/>
      <c r="DZ273" s="236"/>
      <c r="EA273" s="236"/>
      <c r="EB273" s="236"/>
      <c r="EC273" s="236"/>
      <c r="ED273" s="236"/>
    </row>
  </sheetData>
  <sheetProtection algorithmName="SHA-512" hashValue="AJfOA9lVHt/x76MKrKHNz+gQXz/m2fWuO36bTbmu4/lZTg6EGwcWG/FvnOq9bBs+IlXeDsj8+n6J5inQVhIFdg==" saltValue="g5vvn8z9UD7/JSiYDYJyAA==" spinCount="100000" sheet="1" objects="1" scenarios="1" selectLockedCells="1"/>
  <protectedRanges>
    <protectedRange sqref="B132 B161 D196:D203 B157 B139 D142:D158 B193 D164:D183" name="Range1"/>
  </protectedRanges>
  <mergeCells count="25">
    <mergeCell ref="DG41:DH41"/>
    <mergeCell ref="DX248:DY248"/>
    <mergeCell ref="W139:AA139"/>
    <mergeCell ref="BA139:BB139"/>
    <mergeCell ref="B155:B156"/>
    <mergeCell ref="W161:AA161"/>
    <mergeCell ref="BA161:BB161"/>
    <mergeCell ref="BA193:BB193"/>
    <mergeCell ref="BV193:BX193"/>
    <mergeCell ref="BV195:BW195"/>
    <mergeCell ref="CH195:CI195"/>
    <mergeCell ref="DL246:DN246"/>
    <mergeCell ref="DL248:DM248"/>
    <mergeCell ref="B130:B131"/>
    <mergeCell ref="BQ34:CA35"/>
    <mergeCell ref="CS34:DA35"/>
    <mergeCell ref="CB35:CC35"/>
    <mergeCell ref="CQ35:CR35"/>
    <mergeCell ref="BQ27:BR27"/>
    <mergeCell ref="CQ28:DA29"/>
    <mergeCell ref="BQ29:BR29"/>
    <mergeCell ref="CO29:CP29"/>
    <mergeCell ref="BQ31:CA32"/>
    <mergeCell ref="CB32:CC32"/>
    <mergeCell ref="CZ32:DA32"/>
  </mergeCells>
  <conditionalFormatting sqref="B144:AQ144 AS144:BB144">
    <cfRule type="expression" dxfId="710" priority="55">
      <formula>$B$139&lt;3</formula>
    </cfRule>
  </conditionalFormatting>
  <conditionalFormatting sqref="B145:AQ145 AS145:BB145">
    <cfRule type="expression" dxfId="709" priority="54">
      <formula>$B$139&lt;4</formula>
    </cfRule>
  </conditionalFormatting>
  <conditionalFormatting sqref="B146:AQ146 AS146:BB146">
    <cfRule type="expression" dxfId="708" priority="53">
      <formula>$B$139&lt;5</formula>
    </cfRule>
  </conditionalFormatting>
  <conditionalFormatting sqref="B147:AQ147 AS147:BB147">
    <cfRule type="expression" dxfId="707" priority="52">
      <formula>$B$139&lt;6</formula>
    </cfRule>
  </conditionalFormatting>
  <conditionalFormatting sqref="B148:AQ148 AS148:BB148">
    <cfRule type="expression" dxfId="706" priority="51">
      <formula>$B$139&lt;7</formula>
    </cfRule>
  </conditionalFormatting>
  <conditionalFormatting sqref="B149:AQ149 AS149:BB149">
    <cfRule type="expression" dxfId="705" priority="50">
      <formula>$B$139&lt;8</formula>
    </cfRule>
  </conditionalFormatting>
  <conditionalFormatting sqref="B150:AQ150 AS150:BB150">
    <cfRule type="expression" dxfId="704" priority="49">
      <formula>$B$139&lt;9</formula>
    </cfRule>
  </conditionalFormatting>
  <conditionalFormatting sqref="B151:AQ151 AS151:BB151">
    <cfRule type="expression" dxfId="703" priority="21">
      <formula>$B$139&lt;10</formula>
    </cfRule>
  </conditionalFormatting>
  <conditionalFormatting sqref="B152:AQ152 AS152:BB152">
    <cfRule type="expression" dxfId="702" priority="20">
      <formula>$B$139&lt;11</formula>
    </cfRule>
  </conditionalFormatting>
  <conditionalFormatting sqref="B153:AQ153 AS153:BB153">
    <cfRule type="expression" dxfId="701" priority="19">
      <formula>$B$139&lt;12</formula>
    </cfRule>
  </conditionalFormatting>
  <conditionalFormatting sqref="B166:AQ166 AS166:BB166">
    <cfRule type="expression" dxfId="700" priority="45">
      <formula>$B$161&lt;3</formula>
    </cfRule>
  </conditionalFormatting>
  <conditionalFormatting sqref="B167:AQ167 AS167:BB167">
    <cfRule type="expression" dxfId="699" priority="44">
      <formula>$B$161&lt;4</formula>
    </cfRule>
  </conditionalFormatting>
  <conditionalFormatting sqref="B168:AQ168 AS168:BB168">
    <cfRule type="expression" dxfId="698" priority="43">
      <formula>$B$161&lt;5</formula>
    </cfRule>
  </conditionalFormatting>
  <conditionalFormatting sqref="B169:AQ169 AS169:BB169">
    <cfRule type="expression" dxfId="697" priority="42">
      <formula>$B$161&lt;6</formula>
    </cfRule>
  </conditionalFormatting>
  <conditionalFormatting sqref="B170:AQ170 AS170:BB170">
    <cfRule type="expression" dxfId="696" priority="41">
      <formula>$B$161&lt;7</formula>
    </cfRule>
  </conditionalFormatting>
  <conditionalFormatting sqref="B171:AQ171 AS171:BB171">
    <cfRule type="expression" dxfId="695" priority="40">
      <formula>$B$161&lt;8</formula>
    </cfRule>
  </conditionalFormatting>
  <conditionalFormatting sqref="B172:AQ172 AS172:BB172">
    <cfRule type="expression" dxfId="694" priority="39">
      <formula>$B$161&lt;9</formula>
    </cfRule>
  </conditionalFormatting>
  <conditionalFormatting sqref="B173:AQ173 AS173:BB173">
    <cfRule type="expression" dxfId="693" priority="38">
      <formula>$B$161&lt;10</formula>
    </cfRule>
  </conditionalFormatting>
  <conditionalFormatting sqref="B174:AQ174 AS174:BB174">
    <cfRule type="expression" dxfId="692" priority="37">
      <formula>$B$161&lt;11</formula>
    </cfRule>
  </conditionalFormatting>
  <conditionalFormatting sqref="B175:AQ175 AS175:BB175">
    <cfRule type="expression" dxfId="691" priority="36">
      <formula>$B$161&lt;12</formula>
    </cfRule>
  </conditionalFormatting>
  <conditionalFormatting sqref="B176:AQ176 AS176:BB176">
    <cfRule type="expression" dxfId="690" priority="35">
      <formula>$B$161&lt;13</formula>
    </cfRule>
  </conditionalFormatting>
  <conditionalFormatting sqref="B177:AQ177 AS177:BB177">
    <cfRule type="expression" dxfId="689" priority="34">
      <formula>$B$161&lt;14</formula>
    </cfRule>
  </conditionalFormatting>
  <conditionalFormatting sqref="B178:AQ178 AS178:BB178">
    <cfRule type="expression" dxfId="688" priority="33">
      <formula>$B$161&lt;15</formula>
    </cfRule>
  </conditionalFormatting>
  <conditionalFormatting sqref="B179:AQ179 AS179:BB179">
    <cfRule type="expression" dxfId="687" priority="32">
      <formula>$B$161&lt;16</formula>
    </cfRule>
  </conditionalFormatting>
  <conditionalFormatting sqref="B180:AQ180 AS180:BB180">
    <cfRule type="expression" dxfId="686" priority="31">
      <formula>$B$161&lt;17</formula>
    </cfRule>
  </conditionalFormatting>
  <conditionalFormatting sqref="B181:AQ181 AS181:BB181">
    <cfRule type="expression" dxfId="685" priority="30">
      <formula>$B$161&lt;18</formula>
    </cfRule>
  </conditionalFormatting>
  <conditionalFormatting sqref="B182:AQ182 AS182:BB182">
    <cfRule type="expression" dxfId="684" priority="29">
      <formula>$B$161&lt;19</formula>
    </cfRule>
  </conditionalFormatting>
  <conditionalFormatting sqref="B183:AQ183 AS183:BB183">
    <cfRule type="expression" dxfId="683" priority="18">
      <formula>$B$161&lt;20</formula>
    </cfRule>
  </conditionalFormatting>
  <conditionalFormatting sqref="B143:BB143 AR144:AR153">
    <cfRule type="expression" dxfId="682" priority="56">
      <formula>$B$139&lt;2</formula>
    </cfRule>
  </conditionalFormatting>
  <conditionalFormatting sqref="B165:BB165 AR166:AR183">
    <cfRule type="expression" dxfId="681" priority="46">
      <formula>$B$161&lt;2</formula>
    </cfRule>
  </conditionalFormatting>
  <conditionalFormatting sqref="B197:BB197">
    <cfRule type="expression" dxfId="680" priority="27">
      <formula>$B$193&lt;2</formula>
    </cfRule>
  </conditionalFormatting>
  <conditionalFormatting sqref="B198:BB198">
    <cfRule type="expression" dxfId="679" priority="26">
      <formula>$B$193&lt;3</formula>
    </cfRule>
  </conditionalFormatting>
  <conditionalFormatting sqref="B199:BB199">
    <cfRule type="expression" dxfId="678" priority="25">
      <formula>$B$193&lt;4</formula>
    </cfRule>
  </conditionalFormatting>
  <conditionalFormatting sqref="B200:BB200">
    <cfRule type="expression" dxfId="677" priority="24">
      <formula>$B$193&lt;5</formula>
    </cfRule>
  </conditionalFormatting>
  <conditionalFormatting sqref="B201:BB201">
    <cfRule type="expression" dxfId="676" priority="23">
      <formula>$B$193&lt;6</formula>
    </cfRule>
  </conditionalFormatting>
  <conditionalFormatting sqref="B202:BB202">
    <cfRule type="expression" dxfId="675" priority="22">
      <formula>$B$193&lt;7</formula>
    </cfRule>
  </conditionalFormatting>
  <conditionalFormatting sqref="B203:BB203">
    <cfRule type="expression" dxfId="674" priority="17">
      <formula>$B$193&lt;8</formula>
    </cfRule>
  </conditionalFormatting>
  <conditionalFormatting sqref="D129:D130">
    <cfRule type="cellIs" dxfId="673" priority="7" stopIfTrue="1" operator="equal">
      <formula>"change the angle of frame or of cabinets"</formula>
    </cfRule>
  </conditionalFormatting>
  <conditionalFormatting sqref="D131">
    <cfRule type="cellIs" dxfId="672" priority="6" stopIfTrue="1" operator="equal">
      <formula>"USE EXBAR AR AT THE FRONT"</formula>
    </cfRule>
  </conditionalFormatting>
  <conditionalFormatting sqref="D132">
    <cfRule type="cellIs" dxfId="671" priority="5" stopIfTrue="1" operator="equal">
      <formula>"USE EXBAR AR AT THE BACK"</formula>
    </cfRule>
  </conditionalFormatting>
  <conditionalFormatting sqref="D142:D153 D164:D183 D196:D203">
    <cfRule type="cellIs" dxfId="670" priority="60" operator="notEqual">
      <formula>0</formula>
    </cfRule>
  </conditionalFormatting>
  <conditionalFormatting sqref="D142:D153">
    <cfRule type="cellIs" dxfId="669" priority="58" operator="notEqual">
      <formula>0</formula>
    </cfRule>
  </conditionalFormatting>
  <conditionalFormatting sqref="AZ196">
    <cfRule type="expression" dxfId="668" priority="1" stopIfTrue="1">
      <formula>$B$144&lt;1</formula>
    </cfRule>
  </conditionalFormatting>
  <conditionalFormatting sqref="BA142:BB153">
    <cfRule type="cellIs" dxfId="667" priority="57" operator="lessThan">
      <formula>10</formula>
    </cfRule>
  </conditionalFormatting>
  <conditionalFormatting sqref="BA164:BB183">
    <cfRule type="cellIs" dxfId="666" priority="47" operator="lessThan">
      <formula>10</formula>
    </cfRule>
  </conditionalFormatting>
  <conditionalFormatting sqref="BA196:BB203">
    <cfRule type="cellIs" dxfId="665" priority="28" operator="lessThan">
      <formula>10</formula>
    </cfRule>
  </conditionalFormatting>
  <conditionalFormatting sqref="BL212:BL248">
    <cfRule type="cellIs" dxfId="664" priority="68" stopIfTrue="1" operator="equal">
      <formula>FALSE</formula>
    </cfRule>
  </conditionalFormatting>
  <conditionalFormatting sqref="BN28">
    <cfRule type="cellIs" dxfId="663" priority="16" stopIfTrue="1" operator="equal">
      <formula>"negative force at the motor"</formula>
    </cfRule>
  </conditionalFormatting>
  <conditionalFormatting sqref="BN28:BN29">
    <cfRule type="cellIs" dxfId="662" priority="15" operator="equal">
      <formula>"""OK"""</formula>
    </cfRule>
  </conditionalFormatting>
  <conditionalFormatting sqref="BN29">
    <cfRule type="cellIs" dxfId="661" priority="64" stopIfTrue="1" operator="equal">
      <formula>"overload"</formula>
    </cfRule>
  </conditionalFormatting>
  <conditionalFormatting sqref="BN31">
    <cfRule type="cellIs" dxfId="660" priority="14" stopIfTrue="1" operator="equal">
      <formula>"negative force at the motor"</formula>
    </cfRule>
  </conditionalFormatting>
  <conditionalFormatting sqref="BN31:BN32">
    <cfRule type="cellIs" dxfId="659" priority="13" operator="equal">
      <formula>"""OK"""</formula>
    </cfRule>
  </conditionalFormatting>
  <conditionalFormatting sqref="BN34">
    <cfRule type="cellIs" dxfId="658" priority="12" stopIfTrue="1" operator="equal">
      <formula>"negative force at the motor"</formula>
    </cfRule>
  </conditionalFormatting>
  <conditionalFormatting sqref="BN34:BN35">
    <cfRule type="cellIs" dxfId="657" priority="11" operator="equal">
      <formula>"""OK"""</formula>
    </cfRule>
  </conditionalFormatting>
  <conditionalFormatting sqref="BN58 BN63 BN103 BN32 BN35">
    <cfRule type="cellIs" dxfId="656" priority="62" stopIfTrue="1" operator="equal">
      <formula>"overload"</formula>
    </cfRule>
  </conditionalFormatting>
  <conditionalFormatting sqref="BN58 BN103 BN63">
    <cfRule type="cellIs" dxfId="655" priority="61" operator="equal">
      <formula>"""OK"""</formula>
    </cfRule>
  </conditionalFormatting>
  <conditionalFormatting sqref="BO57:BO58 BN58 BN103">
    <cfRule type="expression" dxfId="654" priority="8">
      <formula>$B$132&lt;&gt;0</formula>
    </cfRule>
  </conditionalFormatting>
  <conditionalFormatting sqref="BO102:BO103">
    <cfRule type="expression" dxfId="653" priority="2">
      <formula>$B$132&lt;&gt;0</formula>
    </cfRule>
  </conditionalFormatting>
  <conditionalFormatting sqref="BQ102:CG102">
    <cfRule type="expression" dxfId="652" priority="4">
      <formula>$B$132=0</formula>
    </cfRule>
  </conditionalFormatting>
  <conditionalFormatting sqref="BQ59:DB61 BV161:CI168">
    <cfRule type="cellIs" dxfId="651" priority="71" stopIfTrue="1" operator="equal">
      <formula>FALSE</formula>
    </cfRule>
  </conditionalFormatting>
  <conditionalFormatting sqref="CB57:CR57">
    <cfRule type="cellIs" dxfId="650" priority="9" operator="equal">
      <formula>0</formula>
    </cfRule>
    <cfRule type="expression" dxfId="649" priority="10">
      <formula>$B$132=0</formula>
    </cfRule>
  </conditionalFormatting>
  <conditionalFormatting sqref="CK102:DA102">
    <cfRule type="expression" dxfId="648" priority="3">
      <formula>$B$132=0</formula>
    </cfRule>
  </conditionalFormatting>
  <dataValidations count="12">
    <dataValidation type="decimal" allowBlank="1" showInputMessage="1" showErrorMessage="1" sqref="B132" xr:uid="{00000000-0002-0000-0E00-000000000000}">
      <formula1>-89.9</formula1>
      <formula2>89.9</formula2>
    </dataValidation>
    <dataValidation type="custom" allowBlank="1" showInputMessage="1" showErrorMessage="1" sqref="D142:D158" xr:uid="{00000000-0002-0000-0E00-000001000000}">
      <formula1>OR(D142=0,D142=2.5,D142=5)</formula1>
    </dataValidation>
    <dataValidation type="whole" allowBlank="1" showInputMessage="1" showErrorMessage="1" sqref="D198:D203" xr:uid="{00000000-0002-0000-0E00-000002000000}">
      <formula1>0</formula1>
      <formula2>10</formula2>
    </dataValidation>
    <dataValidation type="decimal" allowBlank="1" showInputMessage="1" showErrorMessage="1" sqref="F142:G142 F164:G164 F196:G196" xr:uid="{00000000-0002-0000-0E00-000003000000}">
      <formula1>0</formula1>
      <formula2>4</formula2>
    </dataValidation>
    <dataValidation type="decimal" allowBlank="1" showInputMessage="1" showErrorMessage="1" sqref="G143:G158 D136:D137 G197:G203 F198:F203 F144:F158 F134:G137 D134 D184 F166:F184 G165:G184" xr:uid="{00000000-0002-0000-0E00-000004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39" xr:uid="{00000000-0002-0000-0E00-000005000000}">
      <formula1>1</formula1>
      <formula2>12</formula2>
    </dataValidation>
    <dataValidation type="whole" allowBlank="1" showInputMessage="1" showErrorMessage="1" errorTitle="Coda Audio" error="YOU HAVE ENTERED A WRONG NUMBER OF CABINETS" promptTitle="Coda Audio" prompt="ENTER THE NUMBER OF CABINETS FROM 1 UP TO 8" sqref="B193" xr:uid="{00000000-0002-0000-0E00-000006000000}">
      <formula1>1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61" xr:uid="{00000000-0002-0000-0E00-000007000000}">
      <formula1>1</formula1>
      <formula2>20</formula2>
    </dataValidation>
    <dataValidation type="decimal" allowBlank="1" showInputMessage="1" showErrorMessage="1" sqref="D164" xr:uid="{00000000-0002-0000-0E00-000008000000}">
      <formula1>-2</formula1>
      <formula2>4</formula2>
    </dataValidation>
    <dataValidation type="whole" allowBlank="1" showInputMessage="1" showErrorMessage="1" sqref="D197" xr:uid="{00000000-0002-0000-0E00-000009000000}">
      <formula1>0</formula1>
      <formula2>5</formula2>
    </dataValidation>
    <dataValidation type="custom" allowBlank="1" showInputMessage="1" showErrorMessage="1" sqref="D165:D183" xr:uid="{00000000-0002-0000-0E00-00000A000000}">
      <formula1>OR(D165=0,D165=0.5,D165=1,D165=2,D165=2.5,D165=3,D165=4,D165=5,D165=6,D165=7,D165=8)</formula1>
    </dataValidation>
    <dataValidation type="custom" allowBlank="1" showInputMessage="1" showErrorMessage="1" sqref="D196" xr:uid="{00000000-0002-0000-0E00-00000B000000}">
      <formula1>OR(D196=0,D196=0.5,D196=1,D196=2,D196=2.5,D196=3,D196=4.5,D196=5.5,D196=6.5,D196=8,D196=9)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ignoredErrors>
    <ignoredError sqref="BN28:BN36 BN37:BN63" unlockedFormula="1"/>
  </ignoredErrors>
  <drawing r:id="rId2"/>
  <legacy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FFC000"/>
  </sheetPr>
  <dimension ref="A1:EN275"/>
  <sheetViews>
    <sheetView topLeftCell="A27" zoomScale="50" zoomScaleNormal="50" workbookViewId="0">
      <selection activeCell="D142" sqref="D142"/>
    </sheetView>
  </sheetViews>
  <sheetFormatPr baseColWidth="10" defaultColWidth="9.1640625" defaultRowHeight="18" x14ac:dyDescent="0.2"/>
  <cols>
    <col min="1" max="1" width="1.5" customWidth="1"/>
    <col min="2" max="2" width="31.33203125" style="35" customWidth="1"/>
    <col min="3" max="3" width="34.5" style="35" hidden="1" customWidth="1"/>
    <col min="4" max="4" width="35.1640625" customWidth="1"/>
    <col min="5" max="5" width="46.5" customWidth="1"/>
    <col min="6" max="7" width="7.33203125" hidden="1" customWidth="1"/>
    <col min="8" max="8" width="13.5" style="64" hidden="1" customWidth="1"/>
    <col min="9" max="9" width="17.5" style="64" hidden="1" customWidth="1"/>
    <col min="10" max="13" width="20" style="64" hidden="1" customWidth="1"/>
    <col min="14" max="14" width="19.5" style="64" hidden="1" customWidth="1"/>
    <col min="15" max="15" width="8.6640625" style="64" hidden="1" customWidth="1"/>
    <col min="16" max="16" width="19.5" style="64" hidden="1" customWidth="1"/>
    <col min="17" max="17" width="19.6640625" style="64" hidden="1" customWidth="1"/>
    <col min="18" max="18" width="28" style="64" hidden="1" customWidth="1"/>
    <col min="19" max="19" width="19.5" style="64" hidden="1" customWidth="1"/>
    <col min="20" max="20" width="22.33203125" style="64" hidden="1" customWidth="1"/>
    <col min="21" max="21" width="9.33203125" style="64" hidden="1" customWidth="1"/>
    <col min="22" max="22" width="19.5" style="64" hidden="1" customWidth="1"/>
    <col min="23" max="24" width="17.5" style="64" hidden="1" customWidth="1"/>
    <col min="25" max="25" width="14.5" style="64" hidden="1" customWidth="1"/>
    <col min="26" max="27" width="19.5" style="64" hidden="1" customWidth="1"/>
    <col min="28" max="28" width="39.5" style="64" customWidth="1"/>
    <col min="29" max="33" width="14.1640625" style="64" hidden="1" customWidth="1"/>
    <col min="34" max="34" width="19.5" style="64" hidden="1" customWidth="1"/>
    <col min="35" max="35" width="9.33203125" style="64" hidden="1" customWidth="1"/>
    <col min="36" max="36" width="30.5" style="64" hidden="1" customWidth="1"/>
    <col min="37" max="49" width="11" style="64" hidden="1" customWidth="1"/>
    <col min="50" max="51" width="14.83203125" style="64" hidden="1" customWidth="1"/>
    <col min="52" max="52" width="11" style="64" hidden="1" customWidth="1"/>
    <col min="53" max="54" width="12.1640625" style="64" customWidth="1"/>
    <col min="55" max="55" width="15.1640625" hidden="1" customWidth="1"/>
    <col min="56" max="56" width="9.1640625" hidden="1" customWidth="1"/>
    <col min="57" max="57" width="4.83203125" hidden="1" customWidth="1"/>
    <col min="58" max="58" width="6.83203125" hidden="1" customWidth="1"/>
    <col min="59" max="59" width="34.1640625" hidden="1" customWidth="1"/>
    <col min="60" max="60" width="17" hidden="1" customWidth="1"/>
    <col min="61" max="62" width="16.33203125" hidden="1" customWidth="1"/>
    <col min="63" max="63" width="9.33203125" hidden="1" customWidth="1"/>
    <col min="64" max="64" width="14.1640625" hidden="1" customWidth="1"/>
    <col min="65" max="65" width="16.83203125" style="81" hidden="1" customWidth="1"/>
    <col min="66" max="66" width="24.83203125" bestFit="1" customWidth="1"/>
    <col min="67" max="67" width="39.6640625" style="59" customWidth="1"/>
    <col min="68" max="68" width="41.83203125" customWidth="1"/>
    <col min="69" max="79" width="6.5" customWidth="1"/>
    <col min="80" max="80" width="9" customWidth="1"/>
    <col min="81" max="93" width="6.5" customWidth="1"/>
    <col min="94" max="94" width="8" customWidth="1"/>
    <col min="95" max="105" width="6.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14" width="6.5" hidden="1" customWidth="1"/>
    <col min="115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482" t="s">
        <v>104</v>
      </c>
      <c r="E1" s="482" t="s">
        <v>105</v>
      </c>
      <c r="F1" s="482" t="s">
        <v>106</v>
      </c>
      <c r="G1" s="990" t="s">
        <v>220</v>
      </c>
      <c r="H1" s="1073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+COS(($B$132*-1)*3.14159265358979/180)*C2</f>
        <v>688</v>
      </c>
      <c r="E2" s="41">
        <f>+COS(($B$132*-1)*3.14159265358979/180)*43</f>
        <v>43</v>
      </c>
      <c r="F2" s="42">
        <f>+COS((($B$132*-1)+72.969997)*3.14159265358979/180)*162.1867</f>
        <v>47.500013702602963</v>
      </c>
      <c r="G2" s="994" t="s">
        <v>212</v>
      </c>
      <c r="H2" s="1074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216.54070887786077</v>
      </c>
      <c r="D3" s="40">
        <f>+C9-F2</f>
        <v>216.54069517525781</v>
      </c>
      <c r="G3" s="994" t="s">
        <v>213</v>
      </c>
      <c r="H3" s="1075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+COS(($B$132*-1)*3.14159265358979/180)*C4</f>
        <v>1075</v>
      </c>
      <c r="G4" s="996" t="s">
        <v>233</v>
      </c>
      <c r="H4" s="1076">
        <v>860</v>
      </c>
      <c r="I4" s="984">
        <v>1</v>
      </c>
      <c r="J4" s="1721" t="s">
        <v>228</v>
      </c>
      <c r="K4" s="1727"/>
      <c r="L4" s="1727"/>
      <c r="M4" s="1727"/>
      <c r="N4"/>
      <c r="O4" s="995"/>
    </row>
    <row r="5" spans="2:15" ht="38" hidden="1" x14ac:dyDescent="0.2">
      <c r="B5" s="44" t="s">
        <v>115</v>
      </c>
      <c r="C5" s="45">
        <f>+C9+425.5</f>
        <v>689.54070887786077</v>
      </c>
      <c r="D5" s="40">
        <f>+(COS(($B$132*-1)*3.14159265358979/180)*473)+$D$3</f>
        <v>689.54069517525784</v>
      </c>
      <c r="G5" s="996" t="s">
        <v>214</v>
      </c>
      <c r="H5" s="1076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0" hidden="1" x14ac:dyDescent="0.2">
      <c r="B6" s="187"/>
      <c r="C6" s="187"/>
      <c r="G6" s="996" t="s">
        <v>259</v>
      </c>
      <c r="H6" s="1076">
        <v>602</v>
      </c>
      <c r="I6"/>
      <c r="J6" s="963">
        <f>+H9/H8*BQ29</f>
        <v>271.13386784769955</v>
      </c>
      <c r="K6" s="963">
        <f>((H8-H9)/H8)*BQ29</f>
        <v>-186.40453414529347</v>
      </c>
      <c r="L6" s="963">
        <f>+CO29</f>
        <v>151.57066629759387</v>
      </c>
      <c r="M6" s="961" t="s">
        <v>223</v>
      </c>
      <c r="N6"/>
      <c r="O6" s="995"/>
    </row>
    <row r="7" spans="2:15" ht="20" hidden="1" x14ac:dyDescent="0.2">
      <c r="B7" s="393" t="s">
        <v>18</v>
      </c>
      <c r="C7" s="394">
        <f>+C11+C14+C17+30+4.5+0.5</f>
        <v>236.3</v>
      </c>
      <c r="G7" s="997" t="s">
        <v>230</v>
      </c>
      <c r="H7" s="1077">
        <f>(+SIN(($B$132*-1)*3.14159265358979/180)*H2)</f>
        <v>0</v>
      </c>
      <c r="I7"/>
      <c r="J7" s="965">
        <f>ABS($H$1/J6)</f>
        <v>66.387870105961468</v>
      </c>
      <c r="K7" s="965">
        <f>ABS($H$1/K6)</f>
        <v>96.564174699580306</v>
      </c>
      <c r="L7" s="965">
        <f>ABS($H$1/L6)</f>
        <v>118.75648791210561</v>
      </c>
      <c r="M7" s="967" t="s">
        <v>222</v>
      </c>
      <c r="N7"/>
      <c r="O7" s="995"/>
    </row>
    <row r="8" spans="2:15" ht="20" hidden="1" x14ac:dyDescent="0.2">
      <c r="B8" s="393" t="s">
        <v>19</v>
      </c>
      <c r="C8" s="393">
        <f>+AS142</f>
        <v>746.99500648721551</v>
      </c>
      <c r="G8" s="997" t="s">
        <v>229</v>
      </c>
      <c r="H8" s="1077">
        <f>(+COS(($B$132*-1)*3.14159265358979/180)*H3)</f>
        <v>215</v>
      </c>
      <c r="I8"/>
      <c r="J8" s="1733">
        <f>ABS($E$22/BQ29)</f>
        <v>94.418304150700749</v>
      </c>
      <c r="K8" s="1733"/>
      <c r="L8" s="1733">
        <f>ABS($E$22/CO29)</f>
        <v>52.780661294269159</v>
      </c>
      <c r="M8" s="1734" t="s">
        <v>350</v>
      </c>
      <c r="N8"/>
      <c r="O8" s="995"/>
    </row>
    <row r="9" spans="2:15" ht="21" hidden="1" thickBot="1" x14ac:dyDescent="0.25">
      <c r="B9" s="393" t="s">
        <v>14</v>
      </c>
      <c r="C9" s="393">
        <f>+AP138</f>
        <v>264.04070887786077</v>
      </c>
      <c r="G9" s="994" t="s">
        <v>227</v>
      </c>
      <c r="H9" s="1077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483" t="s">
        <v>112</v>
      </c>
      <c r="C11" s="394">
        <f>+B139*72+31</f>
        <v>103</v>
      </c>
      <c r="G11" s="994" t="s">
        <v>226</v>
      </c>
      <c r="H11" s="1077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0" hidden="1" x14ac:dyDescent="0.2">
      <c r="B12" s="483" t="s">
        <v>150</v>
      </c>
      <c r="C12" s="394">
        <v>747</v>
      </c>
      <c r="D12" s="397"/>
      <c r="G12" s="998"/>
      <c r="H12" s="37"/>
      <c r="I12"/>
      <c r="J12" s="963">
        <f>(CB32)</f>
        <v>188.70133370240612</v>
      </c>
      <c r="K12" s="963">
        <f>((+H8-H11)/H8*CZ32)</f>
        <v>-104.71706585470655</v>
      </c>
      <c r="L12" s="963">
        <f>(H11/H8*CZ32)</f>
        <v>152.31573215230043</v>
      </c>
      <c r="M12" s="961" t="s">
        <v>223</v>
      </c>
      <c r="N12"/>
      <c r="O12" s="995"/>
    </row>
    <row r="13" spans="2:15" ht="20" hidden="1" x14ac:dyDescent="0.2">
      <c r="D13" s="397"/>
      <c r="G13" s="998"/>
      <c r="H13"/>
      <c r="I13"/>
      <c r="J13" s="965">
        <f>ABS($H$1/J12)</f>
        <v>95.388832960699332</v>
      </c>
      <c r="K13" s="965">
        <f>ABS($H$1/K12)</f>
        <v>171.89175282064096</v>
      </c>
      <c r="L13" s="965">
        <f>ABS($H$1/L12)</f>
        <v>118.17558006419067</v>
      </c>
      <c r="M13" s="967" t="s">
        <v>222</v>
      </c>
      <c r="N13"/>
      <c r="O13" s="995"/>
    </row>
    <row r="14" spans="2:15" ht="20" hidden="1" x14ac:dyDescent="0.2">
      <c r="B14" s="483" t="s">
        <v>132</v>
      </c>
      <c r="C14" s="394">
        <f>+(B163*40.5)+31</f>
        <v>71.5</v>
      </c>
      <c r="D14" s="397"/>
      <c r="G14" s="998"/>
      <c r="H14"/>
      <c r="I14"/>
      <c r="J14" s="1733">
        <f>ABS($E$22/CB32)</f>
        <v>42.395036871421922</v>
      </c>
      <c r="K14" s="1733"/>
      <c r="L14" s="1733">
        <f>ABS($E$22/CZ32)</f>
        <v>168.0719360912934</v>
      </c>
      <c r="M14" s="1734" t="s">
        <v>350</v>
      </c>
      <c r="N14"/>
      <c r="O14" s="995"/>
    </row>
    <row r="15" spans="2:15" ht="19" hidden="1" thickBot="1" x14ac:dyDescent="0.25">
      <c r="B15" s="483" t="s">
        <v>133</v>
      </c>
      <c r="C15" s="394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1" hidden="1" thickBot="1" x14ac:dyDescent="0.25">
      <c r="B16" s="399"/>
      <c r="C16" s="399"/>
      <c r="D16" s="397"/>
      <c r="G16" s="994" t="s">
        <v>231</v>
      </c>
      <c r="H16" s="1077">
        <f>+D2+H7-BL66</f>
        <v>-1.5406951752578379</v>
      </c>
      <c r="I16" s="984" t="s">
        <v>251</v>
      </c>
      <c r="J16" s="1721" t="s">
        <v>232</v>
      </c>
      <c r="K16" s="1727"/>
      <c r="L16" s="1727"/>
      <c r="M16" s="1727"/>
      <c r="N16"/>
      <c r="O16" s="995"/>
    </row>
    <row r="17" spans="2:144" ht="20" hidden="1" x14ac:dyDescent="0.2">
      <c r="B17" s="483" t="s">
        <v>166</v>
      </c>
      <c r="C17" s="394">
        <f>+(B195*25.5)+1.3</f>
        <v>26.8</v>
      </c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44" ht="20" hidden="1" x14ac:dyDescent="0.2">
      <c r="B18" s="483" t="s">
        <v>133</v>
      </c>
      <c r="C18" s="394"/>
      <c r="D18" s="397"/>
      <c r="G18" s="998"/>
      <c r="H18"/>
      <c r="I18"/>
      <c r="J18" s="963">
        <f>+H16/H8*BQ27</f>
        <v>-1.6933314879694286</v>
      </c>
      <c r="K18" s="963">
        <f>((H8-H16)/H8)*BQ27</f>
        <v>237.99333148796947</v>
      </c>
      <c r="L18" s="963"/>
      <c r="M18" s="961" t="s">
        <v>223</v>
      </c>
      <c r="N18"/>
      <c r="O18" s="995"/>
    </row>
    <row r="19" spans="2:144" ht="20" hidden="1" x14ac:dyDescent="0.2">
      <c r="B19" s="399"/>
      <c r="C19" s="399"/>
      <c r="D19" s="397"/>
      <c r="G19" s="998"/>
      <c r="H19"/>
      <c r="I19"/>
      <c r="J19" s="965">
        <f>ABS($H$1/J18)</f>
        <v>10629.932844150226</v>
      </c>
      <c r="K19" s="965">
        <f>ABS($H$1/K18)</f>
        <v>75.632371241082012</v>
      </c>
      <c r="L19" s="965"/>
      <c r="M19" s="967" t="s">
        <v>222</v>
      </c>
      <c r="N19"/>
      <c r="O19" s="995"/>
    </row>
    <row r="20" spans="2:144" ht="38" hidden="1" x14ac:dyDescent="0.2">
      <c r="B20" s="485" t="s">
        <v>76</v>
      </c>
      <c r="C20" s="204">
        <v>5800</v>
      </c>
      <c r="D20" s="204">
        <v>10000</v>
      </c>
      <c r="G20" s="998"/>
      <c r="H20"/>
      <c r="I20"/>
      <c r="J20" s="1733">
        <f>ABS($E$22/BQ27)</f>
        <v>33.855268726195511</v>
      </c>
      <c r="K20" s="1733"/>
      <c r="L20" s="1733"/>
      <c r="M20" s="1734" t="s">
        <v>350</v>
      </c>
      <c r="N20"/>
      <c r="O20" s="995"/>
    </row>
    <row r="21" spans="2:144" ht="39" hidden="1" thickBot="1" x14ac:dyDescent="0.25">
      <c r="B21" s="485" t="s">
        <v>77</v>
      </c>
      <c r="C21" s="204">
        <v>5800</v>
      </c>
      <c r="D21" s="204">
        <v>5800</v>
      </c>
      <c r="G21" s="998"/>
      <c r="H21"/>
      <c r="I21"/>
      <c r="J21" s="59"/>
      <c r="K21" s="59"/>
      <c r="L21" s="59"/>
      <c r="M21" s="59"/>
      <c r="N21"/>
      <c r="O21" s="995"/>
    </row>
    <row r="22" spans="2:144" ht="39" hidden="1" thickBot="1" x14ac:dyDescent="0.25">
      <c r="B22" s="485" t="s">
        <v>78</v>
      </c>
      <c r="C22" s="204">
        <v>8000</v>
      </c>
      <c r="D22" s="204">
        <v>8000</v>
      </c>
      <c r="E22" s="49">
        <v>8000</v>
      </c>
      <c r="G22" s="994" t="s">
        <v>219</v>
      </c>
      <c r="H22" s="1077">
        <f>(+COS(($B$132*-1)*3.14159265358979/180)*(H4))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</row>
    <row r="23" spans="2:144" ht="20" hidden="1" x14ac:dyDescent="0.2">
      <c r="B23" s="204"/>
      <c r="C23" s="204" t="s">
        <v>20</v>
      </c>
      <c r="D23" s="204" t="s">
        <v>21</v>
      </c>
      <c r="G23" s="994" t="s">
        <v>234</v>
      </c>
      <c r="H23" s="1092">
        <f>+BL66-H22+H7</f>
        <v>-170.45930482474216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44" ht="20" hidden="1" x14ac:dyDescent="0.2">
      <c r="B24" s="400" t="s">
        <v>64</v>
      </c>
      <c r="C24" s="204">
        <f>+((C8-C9)/C8)*C7</f>
        <v>152.77491754831922</v>
      </c>
      <c r="D24" s="204">
        <f>+(C9/C8)*C7</f>
        <v>83.525082451680788</v>
      </c>
      <c r="G24" s="998"/>
      <c r="H24"/>
      <c r="I24"/>
      <c r="J24" s="963"/>
      <c r="K24" s="963">
        <f>((+H8-H23)/H8*BQ27)</f>
        <v>423.6466685120306</v>
      </c>
      <c r="L24" s="963">
        <f>(H23/H8*BQ27)</f>
        <v>-187.34666851203056</v>
      </c>
      <c r="M24" s="961" t="s">
        <v>223</v>
      </c>
      <c r="N24"/>
      <c r="O24" s="995"/>
    </row>
    <row r="25" spans="2:144" ht="20" hidden="1" x14ac:dyDescent="0.2">
      <c r="G25" s="998"/>
      <c r="H25"/>
      <c r="I25"/>
      <c r="J25" s="965"/>
      <c r="K25" s="965">
        <f>ABS($H$1/K24)</f>
        <v>42.488236867815331</v>
      </c>
      <c r="L25" s="965">
        <f>ABS($H$1/L24)</f>
        <v>96.078569973845688</v>
      </c>
      <c r="M25" s="967" t="s">
        <v>222</v>
      </c>
      <c r="N25"/>
      <c r="O25" s="995"/>
    </row>
    <row r="26" spans="2:144" ht="30" hidden="1" customHeight="1" x14ac:dyDescent="0.2">
      <c r="G26" s="998"/>
      <c r="H26"/>
      <c r="I26"/>
      <c r="J26" s="1733"/>
      <c r="K26" s="1733"/>
      <c r="L26" s="1733">
        <f>ABS($E$22/BQ27)</f>
        <v>33.855268726195511</v>
      </c>
      <c r="M26" s="1734" t="s">
        <v>350</v>
      </c>
      <c r="N26"/>
      <c r="O26" s="995"/>
    </row>
    <row r="27" spans="2:144" ht="32.25" customHeight="1" thickBot="1" x14ac:dyDescent="0.25">
      <c r="G27" s="998"/>
      <c r="H27"/>
      <c r="I27"/>
      <c r="J27" s="59"/>
      <c r="K27" s="59"/>
      <c r="L27" s="59"/>
      <c r="M27" s="59"/>
      <c r="N27"/>
      <c r="O27" s="995"/>
      <c r="BE27" s="74"/>
      <c r="BF27" s="74"/>
      <c r="BG27" s="74"/>
      <c r="BH27" s="74"/>
      <c r="BO27" s="64"/>
      <c r="BP27" s="75" t="s">
        <v>25</v>
      </c>
      <c r="BQ27" s="1814">
        <f>+C7</f>
        <v>236.3</v>
      </c>
      <c r="BR27" s="1814"/>
      <c r="BS27" s="76" t="s">
        <v>17</v>
      </c>
      <c r="BT27" s="76"/>
      <c r="BU27" s="77" t="s">
        <v>167</v>
      </c>
      <c r="BV27" s="78"/>
      <c r="BW27" s="78"/>
      <c r="BX27" s="78"/>
      <c r="BY27" s="78"/>
      <c r="BZ27" s="78"/>
      <c r="CA27" s="78"/>
      <c r="CB27" s="78"/>
      <c r="CC27" s="78"/>
      <c r="CD27" s="78"/>
      <c r="CE27" s="78"/>
      <c r="CF27" s="78"/>
      <c r="CG27" s="78"/>
      <c r="CH27" s="78"/>
      <c r="CI27" s="78"/>
      <c r="CJ27" s="78"/>
      <c r="CK27" s="78"/>
      <c r="CL27" s="78"/>
      <c r="CM27" s="78"/>
      <c r="CN27" s="78"/>
      <c r="CO27" s="78"/>
      <c r="CP27" s="78"/>
      <c r="CQ27" s="78"/>
      <c r="CR27" s="78"/>
      <c r="CS27" s="78"/>
      <c r="CT27" s="78"/>
      <c r="CU27" s="78"/>
      <c r="CV27" s="78"/>
      <c r="CW27" s="78"/>
      <c r="CX27" s="78"/>
      <c r="CY27" s="78"/>
      <c r="CZ27" s="78"/>
      <c r="DA27" s="78"/>
      <c r="DB27" s="78"/>
      <c r="DC27" s="78"/>
      <c r="DD27" s="78"/>
    </row>
    <row r="28" spans="2:144" s="74" customFormat="1" ht="45.75" customHeight="1" thickBot="1" x14ac:dyDescent="0.3">
      <c r="B28" s="187"/>
      <c r="C28" s="187"/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  <c r="P28" s="64"/>
      <c r="Q28" s="64"/>
      <c r="R28" s="64"/>
      <c r="S28" s="64"/>
      <c r="T28" s="64"/>
      <c r="U28" s="64"/>
      <c r="V28" s="64"/>
      <c r="W28" s="64"/>
      <c r="X28" s="64"/>
      <c r="Y28" s="64"/>
      <c r="Z28" s="64"/>
      <c r="AA28" s="64"/>
      <c r="AB28" s="64"/>
      <c r="AC28" s="64"/>
      <c r="AD28" s="64"/>
      <c r="AE28" s="64"/>
      <c r="AF28" s="64"/>
      <c r="AG28" s="64"/>
      <c r="AH28" s="64"/>
      <c r="AI28" s="64"/>
      <c r="AJ28" s="64"/>
      <c r="AK28" s="64"/>
      <c r="AL28" s="64"/>
      <c r="AM28" s="64"/>
      <c r="AN28" s="64"/>
      <c r="AO28" s="64"/>
      <c r="AP28" s="64"/>
      <c r="AQ28" s="64"/>
      <c r="AR28" s="64"/>
      <c r="AS28" s="64"/>
      <c r="AT28" s="64"/>
      <c r="AU28" s="64"/>
      <c r="AV28" s="64"/>
      <c r="AW28" s="64"/>
      <c r="AX28" s="64"/>
      <c r="AY28" s="64"/>
      <c r="AZ28" s="64"/>
      <c r="BA28" s="64"/>
      <c r="BB28" s="64"/>
      <c r="BD28"/>
      <c r="BE28" s="85"/>
      <c r="BF28" s="85"/>
      <c r="BG28" s="85"/>
      <c r="BH28" s="85"/>
      <c r="BI28"/>
      <c r="BJ28"/>
      <c r="BK28"/>
      <c r="BL28"/>
      <c r="BM28" s="81" t="b">
        <f>AND(BQ29&gt;0,CO29&gt;0)</f>
        <v>1</v>
      </c>
      <c r="BN28" s="952" t="str">
        <f>IF(BM28=TRUE,"","negative force at the motor")</f>
        <v/>
      </c>
      <c r="BO28" s="1097" t="s">
        <v>128</v>
      </c>
      <c r="BP28" s="945" t="s">
        <v>27</v>
      </c>
      <c r="BQ28" s="946" t="s">
        <v>28</v>
      </c>
      <c r="BR28" s="777"/>
      <c r="BS28" s="777"/>
      <c r="BT28" s="777"/>
      <c r="BU28" s="777"/>
      <c r="BV28" s="777"/>
      <c r="BW28" s="777"/>
      <c r="BX28" s="777"/>
      <c r="BY28" s="777"/>
      <c r="BZ28" s="777"/>
      <c r="CA28" s="777"/>
      <c r="CB28" s="777"/>
      <c r="CC28" s="777"/>
      <c r="CD28" s="777"/>
      <c r="CE28" s="777"/>
      <c r="CF28" s="777"/>
      <c r="CG28" s="777"/>
      <c r="CH28" s="777"/>
      <c r="CI28" s="884"/>
      <c r="CJ28" s="777"/>
      <c r="CK28" s="885"/>
      <c r="CL28" s="885"/>
      <c r="CM28" s="885"/>
      <c r="CN28" s="885"/>
      <c r="CO28" s="777"/>
      <c r="CP28" s="782" t="s">
        <v>29</v>
      </c>
      <c r="CQ28" s="1801"/>
      <c r="CR28" s="1801"/>
      <c r="CS28" s="1801"/>
      <c r="CT28" s="1801"/>
      <c r="CU28" s="1801"/>
      <c r="CV28" s="1801"/>
      <c r="CW28" s="1801"/>
      <c r="CX28" s="1801"/>
      <c r="CY28" s="1801"/>
      <c r="CZ28" s="1801"/>
      <c r="DA28" s="1802"/>
      <c r="DB28" s="78"/>
      <c r="DC28" s="78"/>
      <c r="DD28" s="78"/>
      <c r="DE28"/>
      <c r="DF28"/>
      <c r="DG28"/>
      <c r="DH28"/>
      <c r="DI28"/>
      <c r="DJ28"/>
      <c r="DK28"/>
      <c r="DL28"/>
      <c r="DM28"/>
      <c r="DN28"/>
      <c r="DO28"/>
      <c r="DP28"/>
      <c r="DQ28"/>
      <c r="DR28"/>
      <c r="DS28"/>
      <c r="DT28"/>
      <c r="DU28"/>
      <c r="DV28"/>
      <c r="DW28"/>
      <c r="DX28"/>
      <c r="DY28"/>
      <c r="DZ28"/>
      <c r="EA28"/>
      <c r="EB28"/>
      <c r="EC28"/>
      <c r="ED28"/>
      <c r="EE28"/>
      <c r="EF28"/>
      <c r="EG28"/>
      <c r="EH28"/>
      <c r="EI28"/>
      <c r="EJ28"/>
      <c r="EK28"/>
      <c r="EL28"/>
      <c r="EM28"/>
      <c r="EN28"/>
    </row>
    <row r="29" spans="2:144" ht="45.75" customHeight="1" thickBot="1" x14ac:dyDescent="0.3"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  <c r="U29" s="114"/>
      <c r="BE29" s="85"/>
      <c r="BF29" s="85"/>
      <c r="BG29" s="85"/>
      <c r="BH29" s="85"/>
      <c r="BL29" s="968">
        <v>1</v>
      </c>
      <c r="BM29" s="1762" t="b">
        <f>AND(BO29&gt;=10,$BB$142&gt;=10,$BA$142&gt;=10,$BA$166&gt;=10,$BB$166&gt;=10,$BA$198&gt;=10,$BB$198&gt;=10)</f>
        <v>1</v>
      </c>
      <c r="BN29" s="84" t="str">
        <f>IF(BM29=TRUE,"O K","OVERLOAD")</f>
        <v>O K</v>
      </c>
      <c r="BO29" s="1761">
        <f>+MIN(J7:L8)</f>
        <v>52.780661294269159</v>
      </c>
      <c r="BP29" s="947" t="s">
        <v>138</v>
      </c>
      <c r="BQ29" s="1924">
        <f>+((D4-D5)/D4)*C7</f>
        <v>84.729333702406109</v>
      </c>
      <c r="BR29" s="1810"/>
      <c r="BS29" s="783"/>
      <c r="BT29" s="783"/>
      <c r="BU29" s="783"/>
      <c r="BV29" s="784"/>
      <c r="BW29" s="784"/>
      <c r="BX29" s="784"/>
      <c r="BY29" s="886"/>
      <c r="BZ29" s="886"/>
      <c r="CA29" s="886"/>
      <c r="CB29" s="886"/>
      <c r="CC29" s="886"/>
      <c r="CD29" s="886"/>
      <c r="CE29" s="886"/>
      <c r="CF29" s="886"/>
      <c r="CG29" s="886"/>
      <c r="CH29" s="886"/>
      <c r="CI29" s="887"/>
      <c r="CJ29" s="783"/>
      <c r="CK29" s="783"/>
      <c r="CL29" s="783"/>
      <c r="CM29" s="784"/>
      <c r="CN29" s="784"/>
      <c r="CO29" s="1799">
        <f>+(D5/D4)*C7</f>
        <v>151.57066629759387</v>
      </c>
      <c r="CP29" s="1800"/>
      <c r="CQ29" s="1803"/>
      <c r="CR29" s="1803"/>
      <c r="CS29" s="1803"/>
      <c r="CT29" s="1803"/>
      <c r="CU29" s="1803"/>
      <c r="CV29" s="1803"/>
      <c r="CW29" s="1803"/>
      <c r="CX29" s="1803"/>
      <c r="CY29" s="1803"/>
      <c r="CZ29" s="1803"/>
      <c r="DA29" s="1804"/>
      <c r="DB29" s="78"/>
      <c r="DC29" s="78"/>
      <c r="DD29" s="78"/>
    </row>
    <row r="30" spans="2:144" ht="14.25" customHeight="1" thickBot="1" x14ac:dyDescent="0.3">
      <c r="G30" s="1000"/>
      <c r="H30" s="63"/>
      <c r="I30"/>
      <c r="J30" s="963"/>
      <c r="K30" s="963">
        <f>((+H8-H23)/H8*BQ27)</f>
        <v>423.6466685120306</v>
      </c>
      <c r="L30" s="963">
        <f>(H23/H8*BQ27)</f>
        <v>-187.34666851203056</v>
      </c>
      <c r="M30" s="961" t="s">
        <v>223</v>
      </c>
      <c r="N30"/>
      <c r="O30" s="995"/>
      <c r="BE30" s="85"/>
      <c r="BF30" s="85"/>
      <c r="BG30" s="85"/>
      <c r="BH30" s="85"/>
      <c r="BN30" s="86"/>
      <c r="BO30" s="85"/>
      <c r="BP30" s="87"/>
      <c r="BQ30" s="88"/>
      <c r="BR30" s="88"/>
      <c r="BS30" s="87"/>
      <c r="BT30" s="87"/>
      <c r="BU30" s="87"/>
      <c r="BV30" s="87"/>
      <c r="BW30" s="87"/>
      <c r="BX30" s="87"/>
      <c r="BY30" s="87"/>
      <c r="BZ30" s="87"/>
      <c r="CA30" s="87"/>
      <c r="CB30" s="87"/>
      <c r="CC30" s="87"/>
      <c r="CD30" s="87"/>
      <c r="CE30" s="87"/>
      <c r="CF30" s="87"/>
      <c r="CG30" s="87"/>
      <c r="CH30" s="87"/>
      <c r="CJ30" s="76"/>
      <c r="CK30" s="76"/>
      <c r="CL30" s="88"/>
      <c r="CM30" s="89"/>
      <c r="CN30" s="89"/>
      <c r="CO30" s="89"/>
      <c r="CP30" s="89"/>
      <c r="CQ30" s="89"/>
      <c r="CR30" s="89"/>
      <c r="CS30" s="89"/>
      <c r="CT30" s="89"/>
      <c r="CU30" s="89"/>
      <c r="CV30" s="89"/>
      <c r="CW30" s="89"/>
      <c r="CX30" s="89"/>
      <c r="CY30" s="89"/>
      <c r="CZ30" s="89"/>
      <c r="DA30" s="89"/>
      <c r="DB30" s="89"/>
      <c r="DC30" s="78"/>
      <c r="DD30" s="78"/>
    </row>
    <row r="31" spans="2:144" ht="45.75" customHeight="1" thickBot="1" x14ac:dyDescent="0.3">
      <c r="F31" s="486"/>
      <c r="G31" s="1000"/>
      <c r="H31" s="63"/>
      <c r="I31"/>
      <c r="J31" s="965"/>
      <c r="K31" s="965">
        <f>ABS($H$1/K30)</f>
        <v>42.488236867815331</v>
      </c>
      <c r="L31" s="965">
        <f>ABS($H$1/L30)</f>
        <v>96.078569973845688</v>
      </c>
      <c r="M31" s="967" t="s">
        <v>222</v>
      </c>
      <c r="N31"/>
      <c r="O31" s="995"/>
      <c r="BE31" s="85"/>
      <c r="BF31" s="85"/>
      <c r="BG31" s="85"/>
      <c r="BH31" s="85"/>
      <c r="BM31" s="81" t="b">
        <f>AND(CB32&gt;0,CZ32&gt;0)</f>
        <v>1</v>
      </c>
      <c r="BN31" s="952" t="str">
        <f>IF(BM31=TRUE,"","negative force at the motor")</f>
        <v/>
      </c>
      <c r="BO31" s="1095" t="s">
        <v>128</v>
      </c>
      <c r="BP31" s="742" t="s">
        <v>27</v>
      </c>
      <c r="BQ31" s="1833"/>
      <c r="BR31" s="1834"/>
      <c r="BS31" s="1834"/>
      <c r="BT31" s="1834"/>
      <c r="BU31" s="1834"/>
      <c r="BV31" s="1834"/>
      <c r="BW31" s="1834"/>
      <c r="BX31" s="1834"/>
      <c r="BY31" s="1834"/>
      <c r="BZ31" s="1834"/>
      <c r="CA31" s="1834"/>
      <c r="CB31" s="772" t="s">
        <v>28</v>
      </c>
      <c r="CC31" s="774"/>
      <c r="CD31" s="774"/>
      <c r="CE31" s="774"/>
      <c r="CF31" s="774"/>
      <c r="CG31" s="774"/>
      <c r="CH31" s="774"/>
      <c r="CI31" s="774"/>
      <c r="CJ31" s="774"/>
      <c r="CK31" s="774"/>
      <c r="CL31" s="774"/>
      <c r="CM31" s="774"/>
      <c r="CN31" s="888"/>
      <c r="CO31" s="765"/>
      <c r="CP31" s="765"/>
      <c r="CQ31" s="765"/>
      <c r="CR31" s="765"/>
      <c r="CS31" s="889"/>
      <c r="CT31" s="889"/>
      <c r="CU31" s="888"/>
      <c r="CV31" s="888"/>
      <c r="CW31" s="888"/>
      <c r="CX31" s="888"/>
      <c r="CY31" s="888"/>
      <c r="CZ31" s="765"/>
      <c r="DA31" s="766" t="s">
        <v>29</v>
      </c>
      <c r="DB31" s="90"/>
      <c r="DC31" s="78"/>
      <c r="DD31" s="78"/>
    </row>
    <row r="32" spans="2:144" ht="45.75" customHeight="1" thickBot="1" x14ac:dyDescent="0.3">
      <c r="G32" s="1000"/>
      <c r="H32" s="63"/>
      <c r="I32"/>
      <c r="J32" s="1733"/>
      <c r="K32" s="1733"/>
      <c r="L32" s="1733">
        <f>ABS($E$22/BQ27)*2</f>
        <v>67.710537452391023</v>
      </c>
      <c r="M32" s="1734" t="s">
        <v>350</v>
      </c>
      <c r="N32" s="1730" t="s">
        <v>352</v>
      </c>
      <c r="O32" s="995"/>
      <c r="BL32" s="968">
        <v>2</v>
      </c>
      <c r="BM32" s="1762" t="b">
        <f>AND(BO32&gt;=10,$BB$142&gt;=10,$BA$142&gt;=10,$BA$166&gt;=10,$BB$166&gt;=10,$BA$198&gt;=10,$BB$198&gt;=10)</f>
        <v>1</v>
      </c>
      <c r="BN32" s="84" t="str">
        <f>IF(BM32=TRUE,"O K","OVERLOAD")</f>
        <v>O K</v>
      </c>
      <c r="BO32" s="1761">
        <f>+MIN(J13:L14)</f>
        <v>42.395036871421922</v>
      </c>
      <c r="BP32" s="743" t="s">
        <v>126</v>
      </c>
      <c r="BQ32" s="1835"/>
      <c r="BR32" s="1836"/>
      <c r="BS32" s="1836"/>
      <c r="BT32" s="1836"/>
      <c r="BU32" s="1836"/>
      <c r="BV32" s="1836"/>
      <c r="BW32" s="1836"/>
      <c r="BX32" s="1836"/>
      <c r="BY32" s="1836"/>
      <c r="BZ32" s="1836"/>
      <c r="CA32" s="1836"/>
      <c r="CB32" s="1840">
        <f>+((D4-D3)/D4)*C7</f>
        <v>188.70133370240612</v>
      </c>
      <c r="CC32" s="1841"/>
      <c r="CD32" s="890"/>
      <c r="CE32" s="890"/>
      <c r="CF32" s="890"/>
      <c r="CG32" s="890"/>
      <c r="CH32" s="890"/>
      <c r="CI32" s="890"/>
      <c r="CJ32" s="890"/>
      <c r="CK32" s="890"/>
      <c r="CL32" s="890"/>
      <c r="CM32" s="890"/>
      <c r="CN32" s="891"/>
      <c r="CO32" s="892"/>
      <c r="CP32" s="892"/>
      <c r="CQ32" s="892"/>
      <c r="CR32" s="892"/>
      <c r="CS32" s="893"/>
      <c r="CT32" s="893"/>
      <c r="CU32" s="883"/>
      <c r="CV32" s="883"/>
      <c r="CW32" s="883"/>
      <c r="CX32" s="883"/>
      <c r="CY32" s="883"/>
      <c r="CZ32" s="1797">
        <f>+(D3/D4)*C7</f>
        <v>47.59866629759388</v>
      </c>
      <c r="DA32" s="1798"/>
      <c r="DB32" s="92"/>
      <c r="DC32" s="78"/>
      <c r="DD32" s="78"/>
    </row>
    <row r="33" spans="2:144" ht="16" customHeight="1" thickBot="1" x14ac:dyDescent="0.3">
      <c r="G33" s="1000"/>
      <c r="H33" s="63"/>
      <c r="I33"/>
      <c r="J33" s="59"/>
      <c r="K33" s="59"/>
      <c r="L33" s="59"/>
      <c r="M33" s="59"/>
      <c r="N33"/>
      <c r="O33" s="995"/>
      <c r="BN33" s="86"/>
      <c r="BO33" s="18"/>
      <c r="BP33" s="93"/>
      <c r="BQ33" s="93"/>
      <c r="BR33" s="93"/>
      <c r="BS33" s="93"/>
      <c r="BT33" s="93"/>
      <c r="BU33" s="93"/>
      <c r="BV33" s="93"/>
      <c r="BW33" s="93"/>
      <c r="BX33" s="93"/>
      <c r="BY33" s="94"/>
      <c r="BZ33" s="94"/>
      <c r="CA33" s="89"/>
      <c r="CB33" s="89"/>
      <c r="CC33" s="89"/>
      <c r="CD33" s="89"/>
      <c r="CE33" s="89"/>
      <c r="CF33" s="89"/>
      <c r="CG33" s="89"/>
      <c r="CH33" s="89"/>
      <c r="CI33" s="89"/>
      <c r="CJ33" s="89"/>
      <c r="CK33" s="89"/>
      <c r="CL33" s="89"/>
      <c r="CM33" s="89"/>
      <c r="CN33" s="37"/>
      <c r="CO33" s="95"/>
      <c r="CP33" s="95"/>
      <c r="CQ33" s="95"/>
      <c r="CR33" s="95"/>
      <c r="CS33" s="92"/>
      <c r="CT33" s="92"/>
      <c r="CU33" s="92"/>
      <c r="CV33" s="92"/>
      <c r="CW33" s="92"/>
      <c r="CX33" s="92"/>
      <c r="CY33" s="92"/>
      <c r="CZ33" s="92"/>
      <c r="DA33" s="92"/>
      <c r="DB33" s="92"/>
      <c r="DC33" s="78"/>
      <c r="DD33" s="78"/>
    </row>
    <row r="34" spans="2:144" ht="45.75" customHeight="1" thickBot="1" x14ac:dyDescent="0.25">
      <c r="E34" s="397"/>
      <c r="F34" s="397"/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  <c r="BM34" s="81" t="b">
        <f>AND(CB35&gt;0,CQ35&gt;0)</f>
        <v>1</v>
      </c>
      <c r="BN34" s="952" t="str">
        <f>IF(BM34=TRUE,"","negative force at the motor")</f>
        <v/>
      </c>
      <c r="BO34" s="1095" t="s">
        <v>128</v>
      </c>
      <c r="BP34" s="744" t="s">
        <v>27</v>
      </c>
      <c r="BQ34" s="1822"/>
      <c r="BR34" s="1823"/>
      <c r="BS34" s="1823"/>
      <c r="BT34" s="1823"/>
      <c r="BU34" s="1823"/>
      <c r="BV34" s="1823"/>
      <c r="BW34" s="1823"/>
      <c r="BX34" s="1823"/>
      <c r="BY34" s="1823"/>
      <c r="BZ34" s="1823"/>
      <c r="CA34" s="1823"/>
      <c r="CB34" s="894" t="s">
        <v>28</v>
      </c>
      <c r="CC34" s="895"/>
      <c r="CD34" s="895"/>
      <c r="CE34" s="895"/>
      <c r="CF34" s="895"/>
      <c r="CG34" s="895"/>
      <c r="CH34" s="895"/>
      <c r="CI34" s="896"/>
      <c r="CJ34" s="895"/>
      <c r="CK34" s="897"/>
      <c r="CL34" s="897"/>
      <c r="CM34" s="895"/>
      <c r="CN34" s="895"/>
      <c r="CO34" s="895"/>
      <c r="CP34" s="895"/>
      <c r="CQ34" s="895"/>
      <c r="CR34" s="898" t="s">
        <v>29</v>
      </c>
      <c r="CS34" s="1801"/>
      <c r="CT34" s="1801"/>
      <c r="CU34" s="1801"/>
      <c r="CV34" s="1801"/>
      <c r="CW34" s="1801"/>
      <c r="CX34" s="1801"/>
      <c r="CY34" s="1801"/>
      <c r="CZ34" s="1801"/>
      <c r="DA34" s="1802"/>
      <c r="DB34" s="89"/>
      <c r="DC34" s="78"/>
      <c r="DD34" s="78"/>
    </row>
    <row r="35" spans="2:144" ht="45.75" customHeight="1" thickBot="1" x14ac:dyDescent="0.3">
      <c r="E35" s="397"/>
      <c r="F35" s="397"/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  <c r="BL35" s="968">
        <v>3</v>
      </c>
      <c r="BM35" s="1762" t="b">
        <f>AND(BO35&gt;=10,$BB$142&gt;=10,$BA$142&gt;=10,$BA$166&gt;=10,$BB$166&gt;=10,$BA$198&gt;=10,$BB$198&gt;=10)</f>
        <v>1</v>
      </c>
      <c r="BN35" s="84" t="str">
        <f>IF(BM35=TRUE,"O K","OVERLOAD")</f>
        <v>O K</v>
      </c>
      <c r="BO35" s="983">
        <f>+$E$22/(MAX(CB35,CQ35))</f>
        <v>49.40495318526191</v>
      </c>
      <c r="BP35" s="745" t="s">
        <v>123</v>
      </c>
      <c r="BQ35" s="1824"/>
      <c r="BR35" s="1825"/>
      <c r="BS35" s="1825"/>
      <c r="BT35" s="1825"/>
      <c r="BU35" s="1825"/>
      <c r="BV35" s="1825"/>
      <c r="BW35" s="1825"/>
      <c r="BX35" s="1825"/>
      <c r="BY35" s="1825"/>
      <c r="BZ35" s="1825"/>
      <c r="CA35" s="1825"/>
      <c r="CB35" s="1807">
        <f>+((D2-D3)/D2)*C7</f>
        <v>161.92708391000957</v>
      </c>
      <c r="CC35" s="1808"/>
      <c r="CD35" s="899"/>
      <c r="CE35" s="899"/>
      <c r="CF35" s="899"/>
      <c r="CG35" s="899"/>
      <c r="CH35" s="899"/>
      <c r="CI35" s="900"/>
      <c r="CJ35" s="899"/>
      <c r="CK35" s="901"/>
      <c r="CL35" s="901"/>
      <c r="CM35" s="902"/>
      <c r="CN35" s="902"/>
      <c r="CO35" s="902"/>
      <c r="CP35" s="902"/>
      <c r="CQ35" s="1795">
        <f>+(D3/D2)*C7</f>
        <v>74.37291608999044</v>
      </c>
      <c r="CR35" s="1796"/>
      <c r="CS35" s="1803"/>
      <c r="CT35" s="1803"/>
      <c r="CU35" s="1803"/>
      <c r="CV35" s="1803"/>
      <c r="CW35" s="1803"/>
      <c r="CX35" s="1803"/>
      <c r="CY35" s="1803"/>
      <c r="CZ35" s="1803"/>
      <c r="DA35" s="1804"/>
      <c r="DB35" s="89"/>
      <c r="DC35" s="78"/>
      <c r="DD35" s="78"/>
    </row>
    <row r="36" spans="2:144" ht="18.75" customHeight="1" thickBot="1" x14ac:dyDescent="0.3">
      <c r="E36" s="397"/>
      <c r="F36" s="397"/>
      <c r="G36" s="1000"/>
      <c r="H36" s="63"/>
      <c r="I36"/>
      <c r="J36" s="963">
        <f>+H16/H8*BQ27</f>
        <v>-1.6933314879694286</v>
      </c>
      <c r="K36" s="963">
        <f>((H8-H16)/H8)*BQ27</f>
        <v>237.99333148796947</v>
      </c>
      <c r="L36" s="963"/>
      <c r="M36" s="961" t="s">
        <v>223</v>
      </c>
      <c r="N36"/>
      <c r="O36" s="995"/>
      <c r="BN36" s="86"/>
      <c r="BO36" s="18"/>
      <c r="BP36" s="93"/>
      <c r="BQ36" s="93"/>
      <c r="BR36" s="93"/>
      <c r="BS36" s="93"/>
      <c r="BT36" s="93"/>
      <c r="BU36" s="93"/>
      <c r="BV36" s="93"/>
      <c r="BW36" s="93"/>
      <c r="BX36" s="93"/>
      <c r="BY36" s="94"/>
      <c r="BZ36" s="94"/>
      <c r="CA36" s="89"/>
      <c r="CB36" s="89"/>
      <c r="CC36" s="89"/>
      <c r="CD36" s="89"/>
      <c r="CE36" s="89"/>
      <c r="CF36" s="89"/>
      <c r="CG36" s="89"/>
      <c r="CH36" s="89"/>
      <c r="CI36" s="89"/>
      <c r="CJ36" s="89"/>
      <c r="CK36" s="93"/>
      <c r="CL36" s="89"/>
      <c r="CM36" s="89"/>
      <c r="CN36" s="37"/>
      <c r="CO36" s="95"/>
      <c r="CP36" s="95"/>
      <c r="CQ36" s="95"/>
      <c r="CR36" s="95"/>
      <c r="CS36" s="92"/>
      <c r="CT36" s="92"/>
      <c r="CU36" s="92"/>
      <c r="CV36" s="92"/>
      <c r="CW36" s="92"/>
      <c r="CX36" s="92"/>
      <c r="CY36" s="92"/>
      <c r="CZ36" s="92"/>
      <c r="DA36" s="92"/>
      <c r="DB36" s="92"/>
      <c r="DC36" s="78"/>
      <c r="DD36" s="78"/>
    </row>
    <row r="37" spans="2:144" ht="18.75" hidden="1" customHeight="1" x14ac:dyDescent="0.2">
      <c r="B37" s="399"/>
      <c r="C37" s="399"/>
      <c r="D37" s="397"/>
      <c r="E37" s="397"/>
      <c r="F37" s="397"/>
      <c r="G37" s="1000"/>
      <c r="H37" s="63"/>
      <c r="I37"/>
      <c r="J37" s="965">
        <f>ABS($H$1/J36)</f>
        <v>10629.932844150226</v>
      </c>
      <c r="K37" s="965">
        <f>ABS($H$1/K36)</f>
        <v>75.632371241082012</v>
      </c>
      <c r="L37" s="965"/>
      <c r="M37" s="967" t="s">
        <v>222</v>
      </c>
      <c r="N37"/>
      <c r="O37" s="995"/>
      <c r="U37" s="114"/>
      <c r="AB37" s="114"/>
      <c r="AC37" s="114"/>
      <c r="AD37" s="114"/>
      <c r="AE37" s="114"/>
      <c r="BE37" s="136"/>
      <c r="BF37" s="136"/>
      <c r="BG37" s="136"/>
      <c r="BH37" s="136"/>
      <c r="BN37" s="86"/>
    </row>
    <row r="38" spans="2:144" ht="25.5" hidden="1" customHeight="1" x14ac:dyDescent="0.2">
      <c r="B38" s="399"/>
      <c r="C38" s="399"/>
      <c r="D38" s="397"/>
      <c r="E38" s="397"/>
      <c r="F38" s="397"/>
      <c r="G38" s="1000"/>
      <c r="H38" s="63"/>
      <c r="I38"/>
      <c r="J38" s="1733">
        <f>ABS($E$22/BQ27)*2</f>
        <v>67.710537452391023</v>
      </c>
      <c r="K38" s="1733"/>
      <c r="L38" s="1733"/>
      <c r="M38" s="1734" t="s">
        <v>350</v>
      </c>
      <c r="N38" s="1730" t="s">
        <v>352</v>
      </c>
      <c r="O38" s="995"/>
      <c r="U38" s="114"/>
      <c r="AB38" s="114"/>
      <c r="AC38" s="114"/>
      <c r="AD38" s="114"/>
      <c r="AE38" s="114"/>
      <c r="BE38" s="136"/>
      <c r="BF38" s="136"/>
      <c r="BG38" s="136"/>
      <c r="BH38" s="136"/>
      <c r="BN38" s="86"/>
    </row>
    <row r="39" spans="2:144" ht="24" hidden="1" thickBot="1" x14ac:dyDescent="0.3">
      <c r="B39" s="399"/>
      <c r="C39" s="399"/>
      <c r="D39" s="397"/>
      <c r="E39" s="397"/>
      <c r="F39" s="397"/>
      <c r="G39" s="998"/>
      <c r="H39"/>
      <c r="I39"/>
      <c r="J39" s="59"/>
      <c r="K39" s="59"/>
      <c r="L39" s="59"/>
      <c r="M39" s="59"/>
      <c r="N39"/>
      <c r="O39" s="995"/>
      <c r="U39" s="114"/>
      <c r="AB39" s="114"/>
      <c r="AC39" s="114"/>
      <c r="AD39" s="114"/>
      <c r="AE39" s="114"/>
      <c r="BE39" s="136"/>
      <c r="BF39" s="136"/>
      <c r="BG39" s="136"/>
      <c r="BH39" s="136"/>
      <c r="BN39" s="86"/>
      <c r="BO39" s="17"/>
      <c r="BP39" s="177"/>
      <c r="BQ39" s="178"/>
      <c r="BR39" s="178"/>
      <c r="BS39" s="178"/>
      <c r="BT39" s="178"/>
      <c r="BU39" s="178"/>
      <c r="BV39" s="178"/>
      <c r="BW39" s="178"/>
      <c r="BX39" s="178"/>
      <c r="BY39" s="179"/>
      <c r="BZ39" s="179"/>
      <c r="CA39" s="180"/>
      <c r="CB39" s="180"/>
      <c r="CC39" s="180"/>
      <c r="CD39" s="180"/>
      <c r="CE39" s="180"/>
      <c r="CF39" s="180"/>
      <c r="CG39" s="180"/>
      <c r="CH39" s="180"/>
      <c r="CI39" s="37"/>
      <c r="CJ39" s="89"/>
      <c r="CK39" s="181"/>
      <c r="CL39" s="181"/>
      <c r="CM39" s="89"/>
      <c r="CN39" s="89"/>
      <c r="CO39" s="89"/>
      <c r="CP39" s="89"/>
      <c r="CQ39" s="89"/>
      <c r="CR39" s="89"/>
      <c r="CS39" s="89"/>
      <c r="CT39" s="89"/>
      <c r="CU39" s="89"/>
      <c r="CV39" s="89"/>
      <c r="CW39" s="178"/>
      <c r="CX39" s="178"/>
      <c r="CY39" s="178"/>
      <c r="CZ39" s="178"/>
      <c r="DA39" s="178"/>
      <c r="DB39" s="178"/>
      <c r="DC39" s="178"/>
      <c r="DD39" s="178"/>
    </row>
    <row r="40" spans="2:144" ht="24" hidden="1" thickBot="1" x14ac:dyDescent="0.3">
      <c r="B40" s="399"/>
      <c r="C40" s="399"/>
      <c r="D40" s="397"/>
      <c r="E40" s="397"/>
      <c r="F40" s="397"/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/>
      <c r="O40" s="995"/>
      <c r="U40" s="114"/>
      <c r="AB40" s="114"/>
      <c r="AC40" s="114"/>
      <c r="AD40" s="114"/>
      <c r="AE40" s="114"/>
      <c r="BE40" s="136"/>
      <c r="BF40" s="136"/>
      <c r="BG40" s="136"/>
      <c r="BH40" s="136"/>
      <c r="BN40" s="86"/>
      <c r="BO40" s="17"/>
      <c r="BP40" s="177"/>
      <c r="BQ40" s="178"/>
      <c r="BR40" s="178"/>
      <c r="BS40" s="178"/>
      <c r="BT40" s="178"/>
      <c r="BU40" s="178"/>
      <c r="BV40" s="178"/>
      <c r="BW40" s="178"/>
      <c r="BX40" s="178"/>
      <c r="BY40" s="179"/>
      <c r="BZ40" s="179"/>
      <c r="CA40" s="180"/>
      <c r="CB40" s="180"/>
      <c r="CC40" s="180"/>
      <c r="CD40" s="180"/>
      <c r="CE40" s="180"/>
      <c r="CF40" s="180"/>
      <c r="CG40" s="180"/>
      <c r="CH40" s="180"/>
      <c r="CI40" s="37"/>
      <c r="CJ40" s="89"/>
      <c r="CK40" s="181"/>
      <c r="CL40" s="181"/>
      <c r="CM40" s="89"/>
      <c r="CN40" s="89"/>
      <c r="CO40" s="89"/>
      <c r="CP40" s="89"/>
      <c r="CQ40" s="89"/>
      <c r="CR40" s="89"/>
      <c r="CS40" s="89"/>
      <c r="CT40" s="89"/>
      <c r="CU40" s="89"/>
      <c r="CV40" s="89"/>
      <c r="CW40" s="178"/>
      <c r="CX40" s="178"/>
      <c r="CY40" s="178"/>
      <c r="CZ40" s="178"/>
      <c r="DA40" s="178"/>
      <c r="DB40" s="178"/>
      <c r="DC40" s="178"/>
      <c r="DD40" s="178"/>
    </row>
    <row r="41" spans="2:144" ht="24" hidden="1" thickBot="1" x14ac:dyDescent="0.3">
      <c r="B41" s="399"/>
      <c r="C41" s="399"/>
      <c r="D41" s="397"/>
      <c r="E41" s="397"/>
      <c r="F41" s="397"/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  <c r="U41" s="114"/>
      <c r="AB41" s="114"/>
      <c r="AC41" s="114"/>
      <c r="AD41" s="114"/>
      <c r="AE41" s="114"/>
      <c r="BE41" s="136"/>
      <c r="BF41" s="136"/>
      <c r="BG41" s="136"/>
      <c r="BH41" s="136"/>
      <c r="BN41" s="86"/>
      <c r="BO41" s="17"/>
      <c r="BP41" s="177"/>
      <c r="BQ41" s="178"/>
      <c r="BR41" s="178"/>
      <c r="BS41" s="178"/>
      <c r="BT41" s="178"/>
      <c r="BU41" s="178"/>
      <c r="BV41" s="178"/>
      <c r="BW41" s="178"/>
      <c r="BX41" s="178"/>
      <c r="BY41" s="179"/>
      <c r="BZ41" s="179"/>
      <c r="CA41" s="182">
        <v>16</v>
      </c>
      <c r="CB41" s="180"/>
      <c r="CC41" s="180"/>
      <c r="CD41" s="180"/>
      <c r="CE41" s="180"/>
      <c r="CF41" s="180"/>
      <c r="CG41" s="180"/>
      <c r="CH41" s="180"/>
      <c r="CI41" s="37"/>
      <c r="CJ41" s="89"/>
      <c r="CK41" s="181"/>
      <c r="CL41" s="181"/>
      <c r="CM41" s="89"/>
      <c r="CN41" s="89"/>
      <c r="CO41" s="89"/>
      <c r="CP41" s="117" t="b">
        <f>IF(CQ59=27,15)</f>
        <v>0</v>
      </c>
      <c r="CQ41" s="183"/>
      <c r="CR41" s="103" t="b">
        <f>IF(CQ59=27,17)</f>
        <v>0</v>
      </c>
      <c r="CS41" s="89"/>
      <c r="CT41" s="89"/>
      <c r="CU41" s="89"/>
      <c r="CV41" s="89"/>
      <c r="CW41" s="178"/>
      <c r="CX41" s="178"/>
      <c r="CY41" s="178"/>
      <c r="CZ41" s="178"/>
      <c r="DA41" s="178"/>
      <c r="DB41" s="178"/>
      <c r="DC41" s="178"/>
      <c r="DD41" s="178"/>
      <c r="DG41" s="1814"/>
      <c r="DH41" s="1814"/>
      <c r="DI41" s="76"/>
      <c r="DJ41" s="76"/>
      <c r="DK41" s="77"/>
      <c r="DL41" s="78"/>
      <c r="DM41" s="78"/>
      <c r="DN41" s="78"/>
      <c r="DO41" s="78"/>
      <c r="DP41" s="78"/>
      <c r="DQ41" s="78"/>
      <c r="DR41" s="78"/>
      <c r="DS41" s="78"/>
      <c r="DT41" s="78"/>
      <c r="DU41" s="78"/>
      <c r="DV41" s="78"/>
      <c r="DW41" s="78"/>
      <c r="DX41" s="78"/>
      <c r="DY41" s="78"/>
      <c r="DZ41" s="78"/>
      <c r="EA41" s="78"/>
      <c r="EB41" s="78"/>
      <c r="EC41" s="78"/>
      <c r="ED41" s="78"/>
      <c r="EE41" s="78"/>
      <c r="EF41" s="78"/>
      <c r="EG41" s="78"/>
      <c r="EH41" s="78"/>
      <c r="EI41" s="78"/>
      <c r="EJ41" s="78"/>
      <c r="EK41" s="78"/>
      <c r="EL41" s="78"/>
      <c r="EM41" s="74"/>
      <c r="EN41" s="74"/>
    </row>
    <row r="42" spans="2:144" ht="24" hidden="1" thickBot="1" x14ac:dyDescent="0.3">
      <c r="B42" s="64"/>
      <c r="C42" s="399"/>
      <c r="E42" s="64"/>
      <c r="G42" s="1002" t="s">
        <v>245</v>
      </c>
      <c r="H42" s="1078">
        <f>SUM(BQ124:CA124)</f>
        <v>8</v>
      </c>
      <c r="I42"/>
      <c r="J42" s="963">
        <f>+H43/H8*BQ27/2</f>
        <v>212.67000000000002</v>
      </c>
      <c r="K42" s="963">
        <f>((H8-H43)/H8)*BQ27/2</f>
        <v>-94.52000000000001</v>
      </c>
      <c r="L42" s="963">
        <f>+BQ27/2</f>
        <v>118.15</v>
      </c>
      <c r="M42" s="961" t="s">
        <v>223</v>
      </c>
      <c r="N42"/>
      <c r="O42" s="995"/>
      <c r="U42" s="114"/>
      <c r="AB42" s="114"/>
      <c r="AC42" s="114"/>
      <c r="AD42" s="114"/>
      <c r="AE42" s="114"/>
      <c r="BE42" s="136"/>
      <c r="BF42" s="136"/>
      <c r="BG42" s="136"/>
      <c r="BH42" s="136"/>
      <c r="BN42" s="86"/>
      <c r="BO42" s="17"/>
      <c r="BP42" s="177"/>
      <c r="BQ42" s="178"/>
      <c r="BR42" s="178"/>
      <c r="BS42" s="178"/>
      <c r="BT42" s="178"/>
      <c r="BU42" s="178"/>
      <c r="BV42" s="178"/>
      <c r="BW42" s="178"/>
      <c r="BX42" s="178"/>
      <c r="BY42" s="179"/>
      <c r="BZ42" s="179"/>
      <c r="CA42" s="182">
        <v>15</v>
      </c>
      <c r="CB42" s="180"/>
      <c r="CC42" s="180"/>
      <c r="CD42" s="180"/>
      <c r="CE42" s="180"/>
      <c r="CF42" s="180"/>
      <c r="CG42" s="180"/>
      <c r="CH42" s="180"/>
      <c r="CI42" s="37"/>
      <c r="CJ42" s="89"/>
      <c r="CK42" s="181"/>
      <c r="CL42" s="181"/>
      <c r="CM42" s="89"/>
      <c r="CN42" s="117" t="b">
        <f>IF(CP59=26,13)</f>
        <v>0</v>
      </c>
      <c r="CO42" s="183"/>
      <c r="CP42" s="183"/>
      <c r="CQ42" s="183"/>
      <c r="CR42" s="103" t="b">
        <f>IF(CP59=26,17)</f>
        <v>0</v>
      </c>
      <c r="CS42" s="89"/>
      <c r="CT42" s="89"/>
      <c r="CU42" s="89"/>
      <c r="CV42" s="89"/>
      <c r="CW42" s="178"/>
      <c r="CX42" s="178"/>
      <c r="CY42" s="178"/>
      <c r="CZ42" s="178"/>
      <c r="DA42" s="178"/>
      <c r="DB42" s="178"/>
      <c r="DC42" s="178"/>
      <c r="DD42" s="178"/>
      <c r="EK42" s="78"/>
      <c r="EL42" s="78"/>
    </row>
    <row r="43" spans="2:144" ht="31" hidden="1" thickBot="1" x14ac:dyDescent="0.35">
      <c r="B43" s="67"/>
      <c r="C43" s="399"/>
      <c r="E43" s="68"/>
      <c r="G43" s="994" t="s">
        <v>243</v>
      </c>
      <c r="H43" s="1077">
        <f>$H$5-((H42-1)*$E$2)</f>
        <v>387</v>
      </c>
      <c r="I43"/>
      <c r="J43" s="965">
        <f>ABS($H$1/J42)</f>
        <v>84.638171815488775</v>
      </c>
      <c r="K43" s="965">
        <f>ABS($H$1/K42)</f>
        <v>190.43588658484975</v>
      </c>
      <c r="L43" s="965">
        <f>ABS($H$1/L42)</f>
        <v>152.3487092678798</v>
      </c>
      <c r="M43" s="967" t="s">
        <v>222</v>
      </c>
      <c r="N43"/>
      <c r="O43" s="995"/>
      <c r="U43" s="114"/>
      <c r="AB43" s="114"/>
      <c r="AC43" s="114"/>
      <c r="AD43" s="114"/>
      <c r="AE43" s="114"/>
      <c r="BE43" s="136"/>
      <c r="BF43" s="136"/>
      <c r="BG43" s="136"/>
      <c r="BH43" s="136"/>
      <c r="BN43" s="86"/>
      <c r="BO43" s="17"/>
      <c r="BP43" s="177"/>
      <c r="BQ43" s="178"/>
      <c r="BR43" s="178"/>
      <c r="BS43" s="178"/>
      <c r="BT43" s="178"/>
      <c r="BU43" s="178"/>
      <c r="BV43" s="178"/>
      <c r="BW43" s="178"/>
      <c r="BX43" s="178"/>
      <c r="BY43" s="179"/>
      <c r="BZ43" s="179"/>
      <c r="CA43" s="182">
        <v>14</v>
      </c>
      <c r="CB43" s="180"/>
      <c r="CC43" s="180"/>
      <c r="CD43" s="180"/>
      <c r="CE43" s="180"/>
      <c r="CF43" s="180"/>
      <c r="CG43" s="180"/>
      <c r="CH43" s="180"/>
      <c r="CI43" s="37"/>
      <c r="CJ43" s="89"/>
      <c r="CK43" s="181"/>
      <c r="CL43" s="117" t="b">
        <f>IF(CO59=25,11)</f>
        <v>0</v>
      </c>
      <c r="CM43" s="183"/>
      <c r="CN43" s="184"/>
      <c r="CO43" s="184"/>
      <c r="CP43" s="184"/>
      <c r="CQ43" s="184"/>
      <c r="CR43" s="124" t="b">
        <f>IF(CO59=25,17)</f>
        <v>0</v>
      </c>
      <c r="CS43" s="89"/>
      <c r="CT43" s="89"/>
      <c r="CU43" s="89"/>
      <c r="CV43" s="89"/>
      <c r="CW43" s="178"/>
      <c r="CX43" s="178"/>
      <c r="CY43" s="178"/>
      <c r="CZ43" s="178"/>
      <c r="DA43" s="178"/>
      <c r="DB43" s="178"/>
      <c r="DC43" s="178"/>
      <c r="DD43" s="178"/>
      <c r="EK43" s="78"/>
      <c r="EL43" s="78"/>
    </row>
    <row r="44" spans="2:144" ht="21" hidden="1" thickBot="1" x14ac:dyDescent="0.25">
      <c r="B44" s="487"/>
      <c r="C44" s="487"/>
      <c r="D44" s="487"/>
      <c r="E44" s="487"/>
      <c r="G44" s="1000"/>
      <c r="H44" s="63"/>
      <c r="I44"/>
      <c r="J44" s="1733"/>
      <c r="K44" s="1733"/>
      <c r="L44" s="1733">
        <f>ABS($E$22/BQ27)*2</f>
        <v>67.710537452391023</v>
      </c>
      <c r="M44" s="1734" t="s">
        <v>350</v>
      </c>
      <c r="N44" s="1730" t="s">
        <v>352</v>
      </c>
      <c r="O44" s="995"/>
      <c r="U44" s="114"/>
      <c r="AB44" s="114"/>
      <c r="AC44" s="114"/>
      <c r="AD44" s="114"/>
      <c r="AE44" s="114"/>
      <c r="BE44" s="136"/>
      <c r="BF44" s="136"/>
      <c r="BG44" s="136"/>
      <c r="BH44" s="136"/>
      <c r="BN44" s="86"/>
      <c r="BO44" s="1091"/>
      <c r="BP44" s="177"/>
      <c r="BQ44" s="178"/>
      <c r="BR44" s="178"/>
      <c r="BS44" s="178"/>
      <c r="BT44" s="178"/>
      <c r="BU44" s="178"/>
      <c r="BV44" s="178"/>
      <c r="BW44" s="178"/>
      <c r="BX44" s="178"/>
      <c r="CA44" s="182">
        <v>13</v>
      </c>
      <c r="CB44" s="178"/>
      <c r="CC44" s="177"/>
      <c r="CD44" s="177"/>
      <c r="CE44" s="177"/>
      <c r="CF44" s="177"/>
      <c r="CG44" s="177"/>
      <c r="CH44" s="177"/>
      <c r="CI44" s="177"/>
      <c r="CJ44" s="117" t="b">
        <f>IF(CN59=24,9)</f>
        <v>0</v>
      </c>
      <c r="CK44" s="185"/>
      <c r="CL44" s="186"/>
      <c r="CM44" s="122"/>
      <c r="CN44" s="186"/>
      <c r="CO44" s="122"/>
      <c r="CP44" s="122"/>
      <c r="CQ44" s="121"/>
      <c r="CR44" s="124" t="b">
        <f>IF(CN59=24,17)</f>
        <v>0</v>
      </c>
      <c r="CS44" s="78"/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EK44" s="78"/>
      <c r="EL44" s="78"/>
    </row>
    <row r="45" spans="2:144" ht="21" hidden="1" thickBot="1" x14ac:dyDescent="0.25">
      <c r="B45" s="488"/>
      <c r="C45" s="489"/>
      <c r="D45" s="488"/>
      <c r="E45" s="488"/>
      <c r="G45" s="998"/>
      <c r="H45" s="1069" t="s">
        <v>263</v>
      </c>
      <c r="I45"/>
      <c r="J45" s="59"/>
      <c r="K45" s="59"/>
      <c r="L45" s="59"/>
      <c r="M45" s="59"/>
      <c r="N45"/>
      <c r="O45" s="995"/>
      <c r="U45" s="114"/>
      <c r="AB45" s="114"/>
      <c r="AC45" s="114"/>
      <c r="AD45" s="114"/>
      <c r="AE45" s="114"/>
      <c r="BE45" s="136"/>
      <c r="BF45" s="136"/>
      <c r="BG45" s="136"/>
      <c r="BH45" s="136"/>
      <c r="BN45" s="86"/>
      <c r="BO45" s="1091"/>
      <c r="BP45" s="177"/>
      <c r="BQ45" s="177"/>
      <c r="BR45" s="178"/>
      <c r="BS45" s="177"/>
      <c r="BT45" s="177"/>
      <c r="BU45" s="177"/>
      <c r="CA45" s="182">
        <v>12</v>
      </c>
      <c r="CB45" s="178"/>
      <c r="CC45" s="177"/>
      <c r="CD45" s="177"/>
      <c r="CE45" s="177"/>
      <c r="CF45" s="177"/>
      <c r="CG45" s="177"/>
      <c r="CH45" s="117" t="b">
        <f>IF(CM59=23,7)</f>
        <v>0</v>
      </c>
      <c r="CI45" s="185"/>
      <c r="CJ45" s="185"/>
      <c r="CK45" s="118"/>
      <c r="CL45" s="185"/>
      <c r="CM45" s="185"/>
      <c r="CN45" s="185"/>
      <c r="CO45" s="118"/>
      <c r="CP45" s="118"/>
      <c r="CQ45" s="111"/>
      <c r="CR45" s="103" t="b">
        <f>IF(CM59=23,17)</f>
        <v>0</v>
      </c>
      <c r="CS45" s="78"/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EK45" s="78"/>
      <c r="EL45" s="78"/>
    </row>
    <row r="46" spans="2:144" ht="21" hidden="1" thickBot="1" x14ac:dyDescent="0.25">
      <c r="B46" s="399"/>
      <c r="C46" s="399"/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  <c r="U46" s="114"/>
      <c r="AB46" s="114"/>
      <c r="AC46" s="114"/>
      <c r="AD46" s="114"/>
      <c r="AE46" s="114"/>
      <c r="BE46" s="136"/>
      <c r="BF46" s="136"/>
      <c r="BG46" s="136"/>
      <c r="BH46" s="136"/>
      <c r="BN46" s="86"/>
      <c r="BO46" s="1091"/>
      <c r="BP46" s="177"/>
      <c r="BQ46" s="177"/>
      <c r="BR46" s="178"/>
      <c r="BS46" s="177"/>
      <c r="BT46" s="177"/>
      <c r="BU46" s="177"/>
      <c r="CA46" s="182">
        <v>11</v>
      </c>
      <c r="CB46" s="178"/>
      <c r="CC46" s="177"/>
      <c r="CD46" s="177"/>
      <c r="CE46" s="177"/>
      <c r="CF46" s="117" t="b">
        <f>IF(CL59=22,5)</f>
        <v>0</v>
      </c>
      <c r="CG46" s="185"/>
      <c r="CH46" s="185"/>
      <c r="CI46" s="118"/>
      <c r="CJ46" s="185"/>
      <c r="CK46" s="118"/>
      <c r="CL46" s="185"/>
      <c r="CM46" s="118"/>
      <c r="CN46" s="185"/>
      <c r="CO46" s="118"/>
      <c r="CP46" s="118"/>
      <c r="CQ46" s="111"/>
      <c r="CR46" s="103" t="b">
        <f>IF(CL59=22,17)</f>
        <v>0</v>
      </c>
      <c r="CS46" s="78"/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DG46" s="107"/>
      <c r="DH46" s="107"/>
      <c r="DI46" s="107"/>
      <c r="DJ46" s="107"/>
      <c r="DK46" s="107"/>
      <c r="DL46" s="108"/>
      <c r="DM46" s="107"/>
      <c r="DN46" s="107"/>
      <c r="DO46" s="107"/>
      <c r="DP46" s="107"/>
      <c r="DQ46" s="107"/>
      <c r="DR46" s="107"/>
      <c r="DS46" s="107"/>
      <c r="DT46" s="107"/>
      <c r="DU46" s="107"/>
      <c r="DV46" s="107"/>
      <c r="DW46" s="107"/>
      <c r="DX46" s="107"/>
      <c r="DY46" s="107"/>
      <c r="DZ46" s="107"/>
      <c r="EA46" s="107"/>
      <c r="EB46" s="107"/>
      <c r="EC46" s="107"/>
      <c r="ED46" s="108"/>
      <c r="EE46" s="78"/>
      <c r="EF46" s="78"/>
      <c r="EG46" s="78"/>
      <c r="EH46" s="78"/>
      <c r="EI46" s="78"/>
      <c r="EJ46" s="78"/>
      <c r="EK46" s="78"/>
      <c r="EL46" s="78"/>
    </row>
    <row r="47" spans="2:144" ht="24" hidden="1" thickBot="1" x14ac:dyDescent="0.3">
      <c r="B47" s="490"/>
      <c r="C47" s="399"/>
      <c r="D47" s="491"/>
      <c r="E47" s="492"/>
      <c r="F47" s="397"/>
      <c r="G47" s="1002" t="s">
        <v>245</v>
      </c>
      <c r="H47" s="1079">
        <f>SUM(CQ124:DA124)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  <c r="U47" s="114"/>
      <c r="AB47" s="114"/>
      <c r="AC47" s="114"/>
      <c r="AD47" s="114"/>
      <c r="AE47" s="114"/>
      <c r="BE47" s="136"/>
      <c r="BF47" s="136"/>
      <c r="BG47" s="136"/>
      <c r="BH47" s="136"/>
      <c r="BN47" s="86"/>
      <c r="BO47" s="1091"/>
      <c r="BP47" s="177"/>
      <c r="BQ47" s="177"/>
      <c r="BR47" s="178"/>
      <c r="BS47" s="177"/>
      <c r="BT47" s="177"/>
      <c r="BU47" s="177"/>
      <c r="CA47" s="182">
        <v>10</v>
      </c>
      <c r="CB47" s="178"/>
      <c r="CC47" s="177"/>
      <c r="CD47" s="117" t="b">
        <f>IF(CK59=21,3)</f>
        <v>0</v>
      </c>
      <c r="CE47" s="185"/>
      <c r="CF47" s="185"/>
      <c r="CG47" s="118"/>
      <c r="CH47" s="118"/>
      <c r="CI47" s="118"/>
      <c r="CJ47" s="185"/>
      <c r="CK47" s="185"/>
      <c r="CL47" s="185"/>
      <c r="CM47" s="118"/>
      <c r="CN47" s="185"/>
      <c r="CO47" s="118"/>
      <c r="CP47" s="118"/>
      <c r="CQ47" s="111"/>
      <c r="CR47" s="103" t="b">
        <f>IF(CK59=21,17)</f>
        <v>0</v>
      </c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DG47" s="107"/>
      <c r="DH47" s="107"/>
      <c r="DI47" s="107"/>
      <c r="DJ47" s="107"/>
      <c r="DK47" s="107"/>
      <c r="DL47" s="108"/>
      <c r="DM47" s="107"/>
      <c r="DN47" s="107"/>
      <c r="DO47" s="107"/>
      <c r="DP47" s="107"/>
      <c r="DQ47" s="107"/>
      <c r="DR47" s="107"/>
      <c r="DS47" s="107"/>
      <c r="DT47" s="107"/>
      <c r="DU47" s="107"/>
      <c r="DV47" s="107"/>
      <c r="DW47" s="107"/>
      <c r="DX47" s="107"/>
      <c r="DY47" s="107"/>
      <c r="DZ47" s="107"/>
      <c r="EA47" s="107"/>
      <c r="EB47" s="107"/>
      <c r="EC47" s="107"/>
      <c r="ED47" s="108"/>
      <c r="EE47" s="78"/>
      <c r="EF47" s="78"/>
      <c r="EG47" s="78"/>
      <c r="EH47" s="78"/>
      <c r="EI47" s="78"/>
      <c r="EJ47" s="78"/>
      <c r="EK47" s="78"/>
      <c r="EL47" s="78"/>
    </row>
    <row r="48" spans="2:144" ht="21" hidden="1" thickBot="1" x14ac:dyDescent="0.25">
      <c r="B48" s="488"/>
      <c r="C48" s="399"/>
      <c r="D48" s="488"/>
      <c r="E48" s="20"/>
      <c r="F48" s="397"/>
      <c r="G48" s="994" t="s">
        <v>243</v>
      </c>
      <c r="H48" s="1077">
        <f>($E$2*(H47-1))-$H$4</f>
        <v>-903</v>
      </c>
      <c r="I48"/>
      <c r="J48" s="963">
        <f>+BQ27/2</f>
        <v>118.15</v>
      </c>
      <c r="K48" s="963">
        <f>((H8-H48)/H8)*BQ27/2</f>
        <v>614.38</v>
      </c>
      <c r="L48" s="963">
        <f>+H48/H8*BQ27/2</f>
        <v>-496.23</v>
      </c>
      <c r="M48" s="961" t="s">
        <v>223</v>
      </c>
      <c r="N48"/>
      <c r="O48" s="995"/>
      <c r="U48" s="114"/>
      <c r="AB48" s="114"/>
      <c r="AC48" s="114"/>
      <c r="AD48" s="114"/>
      <c r="AE48" s="114"/>
      <c r="BE48" s="136"/>
      <c r="BF48" s="136"/>
      <c r="BG48" s="136"/>
      <c r="BH48" s="136"/>
      <c r="BN48" s="86"/>
      <c r="BO48" s="1091"/>
      <c r="BP48" s="177"/>
      <c r="BQ48" s="177"/>
      <c r="BR48" s="178"/>
      <c r="BS48" s="177"/>
      <c r="BT48" s="177"/>
      <c r="BU48" s="177"/>
      <c r="CA48" s="182">
        <v>9</v>
      </c>
      <c r="CB48" s="117" t="b">
        <f>IF(CJ59=20,1)</f>
        <v>0</v>
      </c>
      <c r="CC48" s="185"/>
      <c r="CD48" s="185"/>
      <c r="CE48" s="118"/>
      <c r="CF48" s="185"/>
      <c r="CG48" s="185"/>
      <c r="CH48" s="185"/>
      <c r="CI48" s="185"/>
      <c r="CJ48" s="185"/>
      <c r="CK48" s="185"/>
      <c r="CL48" s="185"/>
      <c r="CM48" s="185"/>
      <c r="CN48" s="185"/>
      <c r="CO48" s="118"/>
      <c r="CP48" s="118"/>
      <c r="CQ48" s="111"/>
      <c r="CR48" s="103" t="b">
        <f>IF(CJ59=20,17)</f>
        <v>0</v>
      </c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EK48" s="78"/>
      <c r="EL48" s="78"/>
    </row>
    <row r="49" spans="2:142" ht="21" hidden="1" thickBot="1" x14ac:dyDescent="0.25">
      <c r="B49" s="399"/>
      <c r="C49" s="399"/>
      <c r="F49" s="397"/>
      <c r="G49" s="998"/>
      <c r="H49"/>
      <c r="I49"/>
      <c r="J49" s="965">
        <f>ABS($H$1/J48)</f>
        <v>152.3487092678798</v>
      </c>
      <c r="K49" s="965">
        <f>ABS($H$1/K48)</f>
        <v>29.297828705361503</v>
      </c>
      <c r="L49" s="965">
        <f>ABS($H$1/L48)</f>
        <v>36.273502206638049</v>
      </c>
      <c r="M49" s="967" t="s">
        <v>222</v>
      </c>
      <c r="N49" s="74"/>
      <c r="O49" s="1010"/>
      <c r="U49" s="114"/>
      <c r="AB49" s="114"/>
      <c r="AC49" s="114"/>
      <c r="AD49" s="114"/>
      <c r="AE49" s="114"/>
      <c r="BE49" s="136"/>
      <c r="BF49" s="136"/>
      <c r="BG49" s="136"/>
      <c r="BH49" s="136"/>
      <c r="BN49" s="86"/>
      <c r="BO49" s="1091"/>
      <c r="BP49" s="177"/>
      <c r="BQ49" s="177"/>
      <c r="BR49" s="178"/>
      <c r="BS49" s="177"/>
      <c r="BT49" s="177"/>
      <c r="BU49" s="177"/>
      <c r="CA49" s="182">
        <v>8</v>
      </c>
      <c r="CB49" s="120" t="b">
        <f>IF(CI59=19,1)</f>
        <v>0</v>
      </c>
      <c r="CC49" s="122"/>
      <c r="CD49" s="186"/>
      <c r="CE49" s="186"/>
      <c r="CF49" s="186"/>
      <c r="CG49" s="186"/>
      <c r="CH49" s="186"/>
      <c r="CI49" s="186"/>
      <c r="CJ49" s="186"/>
      <c r="CK49" s="186"/>
      <c r="CL49" s="186"/>
      <c r="CM49" s="186"/>
      <c r="CN49" s="186"/>
      <c r="CO49" s="122"/>
      <c r="CP49" s="124" t="b">
        <f>IF(CI59=19,15)</f>
        <v>0</v>
      </c>
      <c r="CQ49" s="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EK49" s="78"/>
      <c r="EL49" s="78"/>
    </row>
    <row r="50" spans="2:142" ht="21" hidden="1" thickBot="1" x14ac:dyDescent="0.25">
      <c r="B50" s="399"/>
      <c r="C50" s="399"/>
      <c r="G50" s="998"/>
      <c r="H50"/>
      <c r="I50"/>
      <c r="J50" s="1733">
        <f>ABS($E$22/BQ27)*2</f>
        <v>67.710537452391023</v>
      </c>
      <c r="K50" s="1733"/>
      <c r="L50" s="1733"/>
      <c r="M50" s="1734" t="s">
        <v>350</v>
      </c>
      <c r="N50" s="1730" t="s">
        <v>352</v>
      </c>
      <c r="O50" s="995"/>
      <c r="U50" s="114"/>
      <c r="AB50" s="114"/>
      <c r="AC50" s="114"/>
      <c r="AD50" s="114"/>
      <c r="AE50" s="114"/>
      <c r="BE50" s="136"/>
      <c r="BF50" s="136"/>
      <c r="BG50" s="136"/>
      <c r="BH50" s="136"/>
      <c r="BN50" s="86"/>
      <c r="BO50" s="1091"/>
      <c r="BP50" s="177"/>
      <c r="BQ50" s="177"/>
      <c r="BR50" s="178"/>
      <c r="BS50" s="177"/>
      <c r="BT50" s="177"/>
      <c r="BU50" s="177"/>
      <c r="CA50" s="182">
        <v>7</v>
      </c>
      <c r="CB50" s="120" t="b">
        <f>IF(CH59=18,1)</f>
        <v>0</v>
      </c>
      <c r="CC50" s="186"/>
      <c r="CD50" s="186"/>
      <c r="CE50" s="186"/>
      <c r="CF50" s="186"/>
      <c r="CG50" s="186"/>
      <c r="CH50" s="186"/>
      <c r="CI50" s="186"/>
      <c r="CJ50" s="186"/>
      <c r="CK50" s="186"/>
      <c r="CL50" s="186"/>
      <c r="CM50" s="186"/>
      <c r="CN50" s="124" t="b">
        <f>IF(CH59=18,13)</f>
        <v>0</v>
      </c>
      <c r="CO50" s="178"/>
      <c r="CQ50" s="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EK50" s="78"/>
      <c r="EL50" s="78"/>
    </row>
    <row r="51" spans="2:142" ht="21" hidden="1" thickBot="1" x14ac:dyDescent="0.25">
      <c r="G51" s="998"/>
      <c r="H51"/>
      <c r="I51"/>
      <c r="J51" s="59"/>
      <c r="K51" s="59"/>
      <c r="L51" s="59"/>
      <c r="M51" s="59"/>
      <c r="N51"/>
      <c r="O51" s="995"/>
      <c r="U51" s="114"/>
      <c r="AB51" s="114"/>
      <c r="AC51" s="114"/>
      <c r="AD51" s="114"/>
      <c r="AE51" s="114"/>
      <c r="BE51" s="136"/>
      <c r="BF51" s="136"/>
      <c r="BG51" s="136"/>
      <c r="BH51" s="136"/>
      <c r="BN51" s="86"/>
      <c r="BO51" s="1091"/>
      <c r="BP51" s="177"/>
      <c r="BQ51" s="177"/>
      <c r="BR51" s="178"/>
      <c r="BS51" s="177"/>
      <c r="BT51" s="177"/>
      <c r="BU51" s="177"/>
      <c r="CA51" s="182">
        <v>6</v>
      </c>
      <c r="CB51" s="120">
        <f>IF(CG59=17,1)</f>
        <v>1</v>
      </c>
      <c r="CC51" s="186"/>
      <c r="CD51" s="186"/>
      <c r="CE51" s="186"/>
      <c r="CF51" s="186"/>
      <c r="CG51" s="186"/>
      <c r="CH51" s="186"/>
      <c r="CI51" s="186"/>
      <c r="CJ51" s="186"/>
      <c r="CK51" s="186"/>
      <c r="CL51" s="124">
        <f>IF(CG59=17,11)</f>
        <v>11</v>
      </c>
      <c r="CM51" s="177"/>
      <c r="CN51" s="177"/>
      <c r="CO51" s="178"/>
      <c r="CQ51" s="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EK51" s="78"/>
      <c r="EL51" s="78"/>
    </row>
    <row r="52" spans="2:142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  <c r="U52" s="114"/>
      <c r="AB52" s="114"/>
      <c r="AC52" s="114"/>
      <c r="AD52" s="114"/>
      <c r="AE52" s="114"/>
      <c r="BE52" s="136"/>
      <c r="BF52" s="136"/>
      <c r="BG52" s="136"/>
      <c r="BH52" s="136"/>
      <c r="BN52" s="86"/>
      <c r="BO52" s="1091"/>
      <c r="BP52" s="177"/>
      <c r="BQ52" s="177"/>
      <c r="BR52" s="178"/>
      <c r="BS52" s="177"/>
      <c r="BT52" s="177"/>
      <c r="BU52" s="177"/>
      <c r="CA52" s="182">
        <v>5</v>
      </c>
      <c r="CB52" s="117" t="b">
        <f>IF(CF59=16,1)</f>
        <v>0</v>
      </c>
      <c r="CC52" s="185"/>
      <c r="CD52" s="185"/>
      <c r="CE52" s="118"/>
      <c r="CF52" s="185"/>
      <c r="CG52" s="118"/>
      <c r="CH52" s="185"/>
      <c r="CI52" s="185"/>
      <c r="CJ52" s="103" t="b">
        <f>IF(CF59=16,9)</f>
        <v>0</v>
      </c>
      <c r="CK52" s="177"/>
      <c r="CL52" s="177"/>
      <c r="CM52" s="177"/>
      <c r="CN52" s="177"/>
      <c r="CO52" s="178"/>
      <c r="CQ52" s="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EK52" s="78"/>
      <c r="EL52" s="78"/>
    </row>
    <row r="53" spans="2:142" ht="24" hidden="1" thickBot="1" x14ac:dyDescent="0.3">
      <c r="B53" s="406"/>
      <c r="C53" s="406"/>
      <c r="D53" s="407"/>
      <c r="E53" s="407"/>
      <c r="F53" s="407"/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D53" s="126"/>
      <c r="BE53" s="136"/>
      <c r="BF53" s="136"/>
      <c r="BG53" s="136"/>
      <c r="BH53" s="136"/>
      <c r="BN53" s="86"/>
      <c r="BO53" s="1091"/>
      <c r="BP53" s="177"/>
      <c r="BQ53" s="177"/>
      <c r="BR53" s="178"/>
      <c r="BS53" s="177"/>
      <c r="BT53" s="177"/>
      <c r="BU53" s="177"/>
      <c r="CA53" s="182">
        <v>4</v>
      </c>
      <c r="CB53" s="117" t="b">
        <f>IF(CE59=15,1)</f>
        <v>0</v>
      </c>
      <c r="CC53" s="118"/>
      <c r="CD53" s="118"/>
      <c r="CE53" s="185"/>
      <c r="CF53" s="118"/>
      <c r="CG53" s="118"/>
      <c r="CH53" s="103" t="b">
        <f>IF(CE59=15,7)</f>
        <v>0</v>
      </c>
      <c r="CI53" s="177"/>
      <c r="CJ53" s="177"/>
      <c r="CK53" s="177"/>
      <c r="CL53" s="177"/>
      <c r="CM53" s="177"/>
      <c r="CN53" s="177"/>
      <c r="CO53" s="1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EK53" s="78"/>
      <c r="EL53" s="78"/>
    </row>
    <row r="54" spans="2:142" ht="21" hidden="1" thickBot="1" x14ac:dyDescent="0.25">
      <c r="G54" s="994" t="s">
        <v>243</v>
      </c>
      <c r="H54" s="956"/>
      <c r="I54"/>
      <c r="J54" s="963">
        <f>+((H6-D3)/H6)*BQ27</f>
        <v>151.3023816114395</v>
      </c>
      <c r="K54" s="963"/>
      <c r="L54" s="963">
        <f>+(D3/H6)*BQ27</f>
        <v>84.997618388560511</v>
      </c>
      <c r="M54" s="961" t="s">
        <v>223</v>
      </c>
      <c r="N54"/>
      <c r="O54" s="995"/>
      <c r="BD54" s="126"/>
      <c r="BE54" s="136"/>
      <c r="BF54" s="136"/>
      <c r="BG54" s="136"/>
      <c r="BH54" s="136"/>
      <c r="BN54" s="86"/>
      <c r="BO54" s="1091"/>
      <c r="BP54" s="177"/>
      <c r="BQ54" s="177"/>
      <c r="BR54" s="178"/>
      <c r="BS54" s="177"/>
      <c r="BT54" s="177"/>
      <c r="BU54" s="177"/>
      <c r="CA54" s="182">
        <v>3</v>
      </c>
      <c r="CB54" s="120" t="b">
        <f>IF(CD59=14,1)</f>
        <v>0</v>
      </c>
      <c r="CC54" s="186"/>
      <c r="CD54" s="186"/>
      <c r="CE54" s="186"/>
      <c r="CF54" s="124" t="b">
        <f>IF(CD59=14,5)</f>
        <v>0</v>
      </c>
      <c r="CG54" s="177"/>
      <c r="CH54" s="177"/>
      <c r="CI54" s="177"/>
      <c r="CJ54" s="177"/>
      <c r="CK54" s="177"/>
      <c r="CL54" s="177"/>
      <c r="CM54" s="177"/>
      <c r="CN54" s="177"/>
      <c r="CO54" s="178"/>
      <c r="CQ54" s="78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EK54" s="78"/>
      <c r="EL54" s="78"/>
    </row>
    <row r="55" spans="2:142" ht="24.75" hidden="1" customHeight="1" thickBot="1" x14ac:dyDescent="0.25">
      <c r="B55"/>
      <c r="G55" s="1000"/>
      <c r="H55" s="63"/>
      <c r="I55"/>
      <c r="J55" s="965">
        <f>ABS($H$1/J54)</f>
        <v>118.96706322988294</v>
      </c>
      <c r="K55" s="965"/>
      <c r="L55" s="965">
        <f>ABS($H$1/L54)</f>
        <v>211.77063947502967</v>
      </c>
      <c r="M55" s="967" t="s">
        <v>222</v>
      </c>
      <c r="N55"/>
      <c r="O55" s="995"/>
      <c r="BD55" s="126"/>
      <c r="BE55" s="136"/>
      <c r="BF55" s="136"/>
      <c r="BG55" s="136"/>
      <c r="BH55" s="136"/>
      <c r="BN55" s="86"/>
      <c r="BO55" s="1091"/>
      <c r="BP55" s="177"/>
      <c r="BQ55" s="177"/>
      <c r="BR55" s="178"/>
      <c r="BS55" s="177"/>
      <c r="BT55" s="177"/>
      <c r="BU55" s="177"/>
      <c r="CA55" s="182">
        <v>2</v>
      </c>
      <c r="CB55" s="120" t="b">
        <f>IF(CC59=13,1)</f>
        <v>0</v>
      </c>
      <c r="CC55" s="186"/>
      <c r="CD55" s="124" t="b">
        <f>IF(CC59=13,3)</f>
        <v>0</v>
      </c>
      <c r="CE55" s="177"/>
      <c r="CF55" s="177"/>
      <c r="CG55" s="177"/>
      <c r="CH55" s="177"/>
      <c r="CI55" s="177"/>
      <c r="CJ55" s="177"/>
      <c r="CK55" s="177"/>
      <c r="CL55" s="177"/>
      <c r="CM55" s="177"/>
      <c r="CN55" s="177"/>
      <c r="CO55" s="178"/>
      <c r="CQ55" s="78"/>
      <c r="CR55" s="78"/>
      <c r="CS55" s="78"/>
      <c r="CT55" s="78"/>
      <c r="CU55" s="78"/>
      <c r="CV55" s="78"/>
      <c r="CW55" s="78"/>
      <c r="CX55" s="78"/>
      <c r="CY55" s="78"/>
      <c r="CZ55" s="78"/>
      <c r="DA55" s="78"/>
      <c r="DB55" s="78"/>
      <c r="DC55" s="78"/>
      <c r="DD55" s="78"/>
      <c r="EK55" s="78"/>
      <c r="EL55" s="78"/>
    </row>
    <row r="56" spans="2:142" ht="27.75" hidden="1" customHeight="1" thickBot="1" x14ac:dyDescent="0.25">
      <c r="B56" s="406"/>
      <c r="C56" s="406"/>
      <c r="D56" s="407"/>
      <c r="E56" s="407"/>
      <c r="F56" s="407"/>
      <c r="G56" s="1000"/>
      <c r="H56" s="63"/>
      <c r="I56" s="74"/>
      <c r="J56" s="1733">
        <f>ABS($E$22/BQ27)*2</f>
        <v>67.710537452391023</v>
      </c>
      <c r="K56" s="1733"/>
      <c r="L56" s="1733"/>
      <c r="M56" s="1734" t="s">
        <v>350</v>
      </c>
      <c r="N56" s="1730" t="s">
        <v>352</v>
      </c>
      <c r="O56" s="995"/>
      <c r="BD56" s="126"/>
      <c r="BE56" s="136"/>
      <c r="BF56" s="136"/>
      <c r="BG56" s="136"/>
      <c r="BH56" s="136"/>
      <c r="BN56" s="86"/>
      <c r="BO56" s="1091"/>
      <c r="BP56" s="177"/>
      <c r="BQ56" s="177"/>
      <c r="BR56" s="178"/>
      <c r="BS56" s="177"/>
      <c r="BT56" s="177"/>
      <c r="BU56" s="177"/>
      <c r="BV56" s="76"/>
      <c r="BW56" s="177"/>
      <c r="CA56" s="177"/>
      <c r="CB56" s="177"/>
      <c r="CC56" s="177"/>
      <c r="CD56" s="177"/>
      <c r="CE56" s="177"/>
      <c r="CF56" s="177"/>
      <c r="CG56" s="177"/>
      <c r="CH56" s="177"/>
      <c r="CI56" s="177"/>
      <c r="CJ56" s="177"/>
      <c r="CK56" s="177"/>
      <c r="CL56" s="178"/>
      <c r="CM56" s="107"/>
      <c r="CN56" s="107"/>
      <c r="CO56" s="107"/>
      <c r="CQ56" s="78"/>
      <c r="CR56" s="78"/>
      <c r="CS56" s="78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  <c r="EK56" s="78"/>
      <c r="EL56" s="78"/>
    </row>
    <row r="57" spans="2:142" ht="45.75" customHeight="1" thickBot="1" x14ac:dyDescent="0.3">
      <c r="B57" s="406"/>
      <c r="C57" s="406"/>
      <c r="D57" s="407"/>
      <c r="E57" s="407"/>
      <c r="F57" s="407"/>
      <c r="G57" s="998"/>
      <c r="H57"/>
      <c r="I57"/>
      <c r="J57"/>
      <c r="K57"/>
      <c r="L57"/>
      <c r="M57"/>
      <c r="N57"/>
      <c r="O57" s="995"/>
      <c r="BD57" s="126"/>
      <c r="BE57" s="136"/>
      <c r="BF57" s="136"/>
      <c r="BG57" s="136"/>
      <c r="BH57" s="136"/>
      <c r="BI57" s="136"/>
      <c r="BK57" s="136"/>
      <c r="BL57" s="136"/>
      <c r="BM57" s="402"/>
      <c r="BN57" s="188"/>
      <c r="BO57" s="1095" t="s">
        <v>128</v>
      </c>
      <c r="BP57" s="746" t="s">
        <v>125</v>
      </c>
      <c r="BQ57" s="190"/>
      <c r="BR57" s="191"/>
      <c r="BS57" s="191"/>
      <c r="BT57" s="191"/>
      <c r="BU57" s="191"/>
      <c r="BV57" s="191"/>
      <c r="BW57" s="191"/>
      <c r="BX57" s="191"/>
      <c r="BY57" s="191"/>
      <c r="BZ57" s="191"/>
      <c r="CA57" s="191"/>
      <c r="CB57" s="758">
        <f>SUM(CB41:CB56)</f>
        <v>1</v>
      </c>
      <c r="CC57" s="759">
        <f t="shared" ref="CC57:CR57" si="0">SUM(CC41:CC56)</f>
        <v>0</v>
      </c>
      <c r="CD57" s="759">
        <f t="shared" si="0"/>
        <v>0</v>
      </c>
      <c r="CE57" s="759">
        <f t="shared" si="0"/>
        <v>0</v>
      </c>
      <c r="CF57" s="759">
        <f t="shared" si="0"/>
        <v>0</v>
      </c>
      <c r="CG57" s="759">
        <f t="shared" si="0"/>
        <v>0</v>
      </c>
      <c r="CH57" s="759">
        <f t="shared" si="0"/>
        <v>0</v>
      </c>
      <c r="CI57" s="759">
        <f t="shared" si="0"/>
        <v>0</v>
      </c>
      <c r="CJ57" s="759">
        <f t="shared" si="0"/>
        <v>0</v>
      </c>
      <c r="CK57" s="759">
        <f t="shared" si="0"/>
        <v>0</v>
      </c>
      <c r="CL57" s="759">
        <f t="shared" si="0"/>
        <v>11</v>
      </c>
      <c r="CM57" s="759">
        <f t="shared" si="0"/>
        <v>0</v>
      </c>
      <c r="CN57" s="759">
        <f t="shared" si="0"/>
        <v>0</v>
      </c>
      <c r="CO57" s="759">
        <f t="shared" si="0"/>
        <v>0</v>
      </c>
      <c r="CP57" s="759">
        <f t="shared" si="0"/>
        <v>0</v>
      </c>
      <c r="CQ57" s="759">
        <f t="shared" si="0"/>
        <v>0</v>
      </c>
      <c r="CR57" s="760">
        <f t="shared" si="0"/>
        <v>0</v>
      </c>
      <c r="CS57" s="191"/>
      <c r="CT57" s="191"/>
      <c r="CU57" s="192"/>
      <c r="CV57" s="192"/>
      <c r="CW57" s="192"/>
      <c r="CX57" s="192"/>
      <c r="CY57" s="192"/>
      <c r="CZ57" s="192"/>
      <c r="DA57" s="193"/>
      <c r="DB57" s="89"/>
      <c r="DC57" s="78"/>
      <c r="DD57" s="78"/>
      <c r="EK57" s="78"/>
      <c r="EL57" s="78"/>
    </row>
    <row r="58" spans="2:142" ht="45.75" customHeight="1" thickBot="1" x14ac:dyDescent="0.3">
      <c r="G58" s="998"/>
      <c r="H58"/>
      <c r="I58"/>
      <c r="J58"/>
      <c r="K58"/>
      <c r="L58"/>
      <c r="M58"/>
      <c r="N58"/>
      <c r="O58" s="995"/>
      <c r="BD58" s="136"/>
      <c r="BE58" s="136"/>
      <c r="BF58" s="136"/>
      <c r="BG58" s="136"/>
      <c r="BH58" s="136"/>
      <c r="BI58" s="136"/>
      <c r="BJ58" s="136"/>
      <c r="BK58" s="136"/>
      <c r="BL58" s="968">
        <v>4</v>
      </c>
      <c r="BM58" s="1762" t="b">
        <f>AND(BO58&gt;=10,$BB$142&gt;=10,$BA$142&gt;=10,$BA$166&gt;=10,$BB$166&gt;=10,$BA$198&gt;=10,$BB$198&gt;=10)</f>
        <v>1</v>
      </c>
      <c r="BN58" s="84" t="str">
        <f>IF(BM58=TRUE,"O K","OVERLOAD")</f>
        <v>O K</v>
      </c>
      <c r="BO58" s="982">
        <f>+$E$22/(BQ27/2)</f>
        <v>67.710537452391023</v>
      </c>
      <c r="BP58" s="194"/>
      <c r="BQ58" s="107"/>
      <c r="BR58" s="108"/>
      <c r="BS58" s="107"/>
      <c r="BT58" s="107"/>
      <c r="BU58" s="107"/>
      <c r="BV58" s="108"/>
      <c r="BW58" s="107"/>
      <c r="BX58" s="107"/>
      <c r="BY58" s="107"/>
      <c r="BZ58" s="107"/>
      <c r="CA58" s="107"/>
      <c r="CB58" s="107"/>
      <c r="CC58" s="107"/>
      <c r="CD58" s="107"/>
      <c r="CE58" s="107"/>
      <c r="CF58" s="107"/>
      <c r="CG58" s="107"/>
      <c r="CH58" s="107"/>
      <c r="CI58" s="107"/>
      <c r="CJ58" s="107"/>
      <c r="CK58" s="107"/>
      <c r="CL58" s="107"/>
      <c r="CM58" s="107"/>
      <c r="CN58" s="107"/>
      <c r="CO58" s="107"/>
      <c r="CP58" s="107"/>
      <c r="CQ58" s="107"/>
      <c r="CR58" s="107"/>
      <c r="CS58" s="78"/>
      <c r="CT58" s="78"/>
      <c r="CU58" s="78"/>
      <c r="CV58" s="78"/>
      <c r="CW58" s="78"/>
      <c r="CX58" s="78"/>
      <c r="CY58" s="78"/>
      <c r="CZ58" s="78"/>
      <c r="DA58" s="78"/>
      <c r="DB58" s="78"/>
      <c r="DC58" s="78"/>
      <c r="DD58" s="78"/>
      <c r="EK58" s="78"/>
      <c r="EL58" s="78"/>
    </row>
    <row r="59" spans="2:142" ht="20" hidden="1" x14ac:dyDescent="0.2">
      <c r="B59" s="408"/>
      <c r="C59" s="408"/>
      <c r="G59" s="998"/>
      <c r="H59"/>
      <c r="I59"/>
      <c r="J59"/>
      <c r="K59"/>
      <c r="L59"/>
      <c r="M59"/>
      <c r="N59"/>
      <c r="O59" s="995"/>
      <c r="U59" s="187"/>
      <c r="V59" s="187"/>
      <c r="W59" s="187"/>
      <c r="X59" s="187"/>
      <c r="Y59" s="187"/>
      <c r="Z59" s="187"/>
      <c r="AA59" s="187"/>
      <c r="AF59" s="187"/>
      <c r="AG59" s="187"/>
      <c r="AH59" s="187"/>
      <c r="AI59" s="187"/>
      <c r="AJ59" s="187"/>
      <c r="AK59" s="187"/>
      <c r="AL59" s="187"/>
      <c r="AM59" s="187"/>
      <c r="AN59" s="187"/>
      <c r="AO59" s="187"/>
      <c r="AP59" s="187"/>
      <c r="AQ59" s="187"/>
      <c r="AR59" s="187"/>
      <c r="AS59" s="187"/>
      <c r="AT59" s="187"/>
      <c r="AU59" s="187"/>
      <c r="AV59" s="187"/>
      <c r="AW59" s="187"/>
      <c r="AX59" s="187"/>
      <c r="AY59" s="187"/>
      <c r="AZ59" s="187"/>
      <c r="BA59" s="187"/>
      <c r="BB59" s="187"/>
      <c r="BC59" s="126"/>
      <c r="BD59" s="136"/>
      <c r="BE59" s="136"/>
      <c r="BF59" s="136"/>
      <c r="BG59" s="136"/>
      <c r="BH59" s="136"/>
      <c r="BI59" s="136"/>
      <c r="BJ59" s="136"/>
      <c r="BK59" s="136"/>
      <c r="BL59" s="136"/>
      <c r="BM59" s="402"/>
      <c r="BN59" s="188"/>
      <c r="BO59" s="1091"/>
      <c r="BP59" s="76"/>
      <c r="BQ59" s="195" t="b">
        <f>+BL214</f>
        <v>0</v>
      </c>
      <c r="BR59" s="195" t="b">
        <f>+BL215</f>
        <v>0</v>
      </c>
      <c r="BS59" s="195" t="b">
        <f>+BL216</f>
        <v>0</v>
      </c>
      <c r="BT59" s="195" t="b">
        <f>+BL217</f>
        <v>0</v>
      </c>
      <c r="BU59" s="195" t="b">
        <f>+BL218</f>
        <v>0</v>
      </c>
      <c r="BV59" s="195" t="b">
        <f>+BL219</f>
        <v>0</v>
      </c>
      <c r="BW59" s="195" t="b">
        <f>+BL220</f>
        <v>0</v>
      </c>
      <c r="BX59" s="195" t="b">
        <f>+BL221</f>
        <v>0</v>
      </c>
      <c r="BY59" s="195" t="b">
        <f>+BL222</f>
        <v>0</v>
      </c>
      <c r="BZ59" s="195" t="b">
        <f>+BL223</f>
        <v>0</v>
      </c>
      <c r="CA59" s="195" t="b">
        <f>+BL224</f>
        <v>0</v>
      </c>
      <c r="CB59" s="195" t="b">
        <f>+BL225</f>
        <v>0</v>
      </c>
      <c r="CC59" s="195" t="b">
        <f>+BL226</f>
        <v>0</v>
      </c>
      <c r="CD59" s="195" t="b">
        <f>+BL227</f>
        <v>0</v>
      </c>
      <c r="CE59" s="195" t="b">
        <f>+BL228</f>
        <v>0</v>
      </c>
      <c r="CF59" s="195" t="b">
        <f>+BL229</f>
        <v>0</v>
      </c>
      <c r="CG59" s="195">
        <f>+BL230</f>
        <v>17</v>
      </c>
      <c r="CH59" s="195" t="b">
        <f>+BL231</f>
        <v>0</v>
      </c>
      <c r="CI59" s="195" t="b">
        <f>+BL232</f>
        <v>0</v>
      </c>
      <c r="CJ59" s="195" t="b">
        <f>+BL233</f>
        <v>0</v>
      </c>
      <c r="CK59" s="195" t="b">
        <f>+BL234</f>
        <v>0</v>
      </c>
      <c r="CL59" s="195" t="b">
        <f>+BL235</f>
        <v>0</v>
      </c>
      <c r="CM59" s="195" t="b">
        <f>+BL236</f>
        <v>0</v>
      </c>
      <c r="CN59" s="195" t="b">
        <f>+BL237</f>
        <v>0</v>
      </c>
      <c r="CO59" s="195" t="b">
        <f>+BL238</f>
        <v>0</v>
      </c>
      <c r="CP59" s="195" t="b">
        <f>+BL239</f>
        <v>0</v>
      </c>
      <c r="CQ59" s="195" t="b">
        <f>+BL240</f>
        <v>0</v>
      </c>
      <c r="CR59" s="195" t="b">
        <f>+BL241</f>
        <v>0</v>
      </c>
      <c r="CS59" s="195" t="b">
        <f>+BL242</f>
        <v>0</v>
      </c>
      <c r="CT59" s="195" t="b">
        <f>+BL243</f>
        <v>0</v>
      </c>
      <c r="CU59" s="195" t="b">
        <f>+BL244</f>
        <v>0</v>
      </c>
      <c r="CV59" s="195" t="b">
        <f>+BL245</f>
        <v>0</v>
      </c>
      <c r="CW59" s="195" t="b">
        <f>+BL246</f>
        <v>0</v>
      </c>
      <c r="CX59" s="195" t="b">
        <f>+BL247</f>
        <v>0</v>
      </c>
      <c r="CY59" s="195" t="b">
        <f>+BL248</f>
        <v>0</v>
      </c>
      <c r="CZ59" s="195" t="b">
        <f>+BL249</f>
        <v>0</v>
      </c>
      <c r="DA59" s="195" t="b">
        <f>+BL250</f>
        <v>0</v>
      </c>
      <c r="DB59" s="196"/>
      <c r="DC59" s="78"/>
      <c r="DD59" s="78"/>
      <c r="EK59" s="78"/>
      <c r="EL59" s="78"/>
    </row>
    <row r="60" spans="2:142" ht="45.75" hidden="1" customHeight="1" x14ac:dyDescent="0.2">
      <c r="E60" s="208"/>
      <c r="F60" s="208"/>
      <c r="G60" s="998"/>
      <c r="H60"/>
      <c r="I60"/>
      <c r="J60"/>
      <c r="K60"/>
      <c r="L60"/>
      <c r="M60"/>
      <c r="N60"/>
      <c r="O60" s="995"/>
      <c r="BD60" s="136"/>
      <c r="BE60" s="136"/>
      <c r="BF60" s="136"/>
      <c r="BG60" s="136"/>
      <c r="BH60" s="136"/>
      <c r="BI60" s="136"/>
      <c r="BJ60" s="136"/>
      <c r="BK60" s="136"/>
      <c r="BL60" s="136"/>
      <c r="BM60" s="402"/>
      <c r="BN60" s="188"/>
      <c r="BO60" s="1091"/>
      <c r="BP60" s="78"/>
      <c r="BQ60" s="196" t="b">
        <f t="shared" ref="BQ60:DA60" si="1">+BQ59</f>
        <v>0</v>
      </c>
      <c r="BR60" s="196" t="b">
        <f t="shared" si="1"/>
        <v>0</v>
      </c>
      <c r="BS60" s="196" t="b">
        <f t="shared" si="1"/>
        <v>0</v>
      </c>
      <c r="BT60" s="196" t="b">
        <f t="shared" si="1"/>
        <v>0</v>
      </c>
      <c r="BU60" s="196" t="b">
        <f t="shared" si="1"/>
        <v>0</v>
      </c>
      <c r="BV60" s="196" t="b">
        <f t="shared" si="1"/>
        <v>0</v>
      </c>
      <c r="BW60" s="196" t="b">
        <f t="shared" si="1"/>
        <v>0</v>
      </c>
      <c r="BX60" s="196" t="b">
        <f t="shared" si="1"/>
        <v>0</v>
      </c>
      <c r="BY60" s="196" t="b">
        <f t="shared" si="1"/>
        <v>0</v>
      </c>
      <c r="BZ60" s="196" t="b">
        <f t="shared" si="1"/>
        <v>0</v>
      </c>
      <c r="CA60" s="196" t="b">
        <f t="shared" si="1"/>
        <v>0</v>
      </c>
      <c r="CB60" s="196" t="b">
        <f t="shared" si="1"/>
        <v>0</v>
      </c>
      <c r="CC60" s="196" t="b">
        <f t="shared" si="1"/>
        <v>0</v>
      </c>
      <c r="CD60" s="196" t="b">
        <f t="shared" si="1"/>
        <v>0</v>
      </c>
      <c r="CE60" s="196" t="b">
        <f t="shared" si="1"/>
        <v>0</v>
      </c>
      <c r="CF60" s="196" t="b">
        <f t="shared" si="1"/>
        <v>0</v>
      </c>
      <c r="CG60" s="196">
        <f t="shared" si="1"/>
        <v>17</v>
      </c>
      <c r="CH60" s="196" t="b">
        <f t="shared" si="1"/>
        <v>0</v>
      </c>
      <c r="CI60" s="196" t="b">
        <f t="shared" si="1"/>
        <v>0</v>
      </c>
      <c r="CJ60" s="196" t="b">
        <f t="shared" si="1"/>
        <v>0</v>
      </c>
      <c r="CK60" s="196" t="b">
        <f t="shared" si="1"/>
        <v>0</v>
      </c>
      <c r="CL60" s="196" t="b">
        <f t="shared" si="1"/>
        <v>0</v>
      </c>
      <c r="CM60" s="196" t="b">
        <f t="shared" si="1"/>
        <v>0</v>
      </c>
      <c r="CN60" s="196" t="b">
        <f t="shared" si="1"/>
        <v>0</v>
      </c>
      <c r="CO60" s="196" t="b">
        <f t="shared" si="1"/>
        <v>0</v>
      </c>
      <c r="CP60" s="196" t="b">
        <f t="shared" si="1"/>
        <v>0</v>
      </c>
      <c r="CQ60" s="196" t="b">
        <f t="shared" si="1"/>
        <v>0</v>
      </c>
      <c r="CR60" s="196" t="b">
        <f t="shared" si="1"/>
        <v>0</v>
      </c>
      <c r="CS60" s="196" t="b">
        <f t="shared" si="1"/>
        <v>0</v>
      </c>
      <c r="CT60" s="196" t="b">
        <f t="shared" si="1"/>
        <v>0</v>
      </c>
      <c r="CU60" s="196" t="b">
        <f t="shared" si="1"/>
        <v>0</v>
      </c>
      <c r="CV60" s="196" t="b">
        <f t="shared" si="1"/>
        <v>0</v>
      </c>
      <c r="CW60" s="196" t="b">
        <f t="shared" si="1"/>
        <v>0</v>
      </c>
      <c r="CX60" s="196" t="b">
        <f t="shared" si="1"/>
        <v>0</v>
      </c>
      <c r="CY60" s="196" t="b">
        <f t="shared" si="1"/>
        <v>0</v>
      </c>
      <c r="CZ60" s="196" t="b">
        <f t="shared" si="1"/>
        <v>0</v>
      </c>
      <c r="DA60" s="196" t="b">
        <f t="shared" si="1"/>
        <v>0</v>
      </c>
      <c r="DB60" s="196"/>
      <c r="DC60" s="78"/>
      <c r="DD60" s="78"/>
      <c r="EK60" s="78"/>
      <c r="EL60" s="78"/>
    </row>
    <row r="61" spans="2:142" ht="16" customHeight="1" thickBot="1" x14ac:dyDescent="0.25">
      <c r="E61" s="208"/>
      <c r="F61" s="208"/>
      <c r="G61" s="998"/>
      <c r="H61"/>
      <c r="I61"/>
      <c r="J61"/>
      <c r="K61"/>
      <c r="L61"/>
      <c r="M61"/>
      <c r="N61"/>
      <c r="O61" s="995"/>
      <c r="V61" s="410"/>
      <c r="W61" s="410"/>
      <c r="X61" s="410"/>
      <c r="Y61" s="410"/>
      <c r="Z61" s="410"/>
      <c r="AA61" s="410"/>
      <c r="AF61" s="401"/>
      <c r="AG61" s="401"/>
      <c r="AH61" s="401"/>
      <c r="AI61" s="401"/>
      <c r="AJ61" s="401"/>
      <c r="AK61" s="401"/>
      <c r="AL61" s="401"/>
      <c r="AM61" s="401"/>
      <c r="AN61" s="401"/>
      <c r="AO61" s="401"/>
      <c r="AP61" s="401"/>
      <c r="AQ61" s="401"/>
      <c r="AR61" s="401"/>
      <c r="AS61" s="401"/>
      <c r="AT61" s="401"/>
      <c r="AU61" s="401"/>
      <c r="AV61" s="401"/>
      <c r="AW61" s="401"/>
      <c r="AX61" s="401"/>
      <c r="AY61" s="401"/>
      <c r="AZ61" s="401"/>
      <c r="BA61" s="401"/>
      <c r="BB61" s="401"/>
      <c r="BC61" s="143"/>
      <c r="BD61" s="136"/>
      <c r="BE61" s="136"/>
      <c r="BF61" s="136"/>
      <c r="BG61" s="136"/>
      <c r="BH61" s="136"/>
      <c r="BI61" s="136"/>
      <c r="BJ61" s="136"/>
      <c r="BK61" s="136"/>
      <c r="BL61" s="136"/>
      <c r="BM61" s="402"/>
      <c r="BN61" s="188"/>
      <c r="BO61" s="1091"/>
      <c r="BP61" s="78"/>
      <c r="BQ61" s="196"/>
      <c r="BR61" s="196"/>
      <c r="BS61" s="196"/>
      <c r="BT61" s="196"/>
      <c r="BU61" s="196"/>
      <c r="BV61" s="196"/>
      <c r="BW61" s="196"/>
      <c r="BX61" s="196"/>
      <c r="BY61" s="196"/>
      <c r="BZ61" s="196"/>
      <c r="CA61" s="196"/>
      <c r="CB61" s="196"/>
      <c r="CC61" s="196"/>
      <c r="CD61" s="196"/>
      <c r="CE61" s="196"/>
      <c r="CF61" s="196"/>
      <c r="CG61" s="196"/>
      <c r="CH61" s="196"/>
      <c r="CI61" s="196"/>
      <c r="CJ61" s="196"/>
      <c r="CK61" s="196"/>
      <c r="CL61" s="196"/>
      <c r="CM61" s="196"/>
      <c r="CN61" s="196"/>
      <c r="CO61" s="196"/>
      <c r="CP61" s="196"/>
      <c r="CQ61" s="196"/>
      <c r="CR61" s="196"/>
      <c r="CS61" s="196"/>
      <c r="CT61" s="196"/>
      <c r="CU61" s="196"/>
      <c r="CV61" s="196"/>
      <c r="CW61" s="196"/>
      <c r="CX61" s="196"/>
      <c r="CY61" s="196"/>
      <c r="CZ61" s="196"/>
      <c r="DA61" s="196"/>
      <c r="DB61" s="196"/>
      <c r="DC61" s="78"/>
      <c r="DD61" s="78"/>
      <c r="EK61" s="78"/>
      <c r="EL61" s="78"/>
    </row>
    <row r="62" spans="2:142" ht="45.75" customHeight="1" thickBot="1" x14ac:dyDescent="0.3">
      <c r="E62" s="208"/>
      <c r="F62" s="208"/>
      <c r="G62" s="998"/>
      <c r="H62"/>
      <c r="I62"/>
      <c r="J62"/>
      <c r="K62"/>
      <c r="L62"/>
      <c r="M62"/>
      <c r="N62"/>
      <c r="O62" s="995"/>
      <c r="BD62" s="136"/>
      <c r="BE62" s="136"/>
      <c r="BF62" s="136"/>
      <c r="BG62" s="136"/>
      <c r="BH62" s="136"/>
      <c r="BI62" s="136"/>
      <c r="BJ62" s="136"/>
      <c r="BK62" s="136"/>
      <c r="BL62" s="136"/>
      <c r="BM62" s="402"/>
      <c r="BN62" s="188"/>
      <c r="BO62" s="1095" t="s">
        <v>128</v>
      </c>
      <c r="BP62" s="197" t="s">
        <v>129</v>
      </c>
      <c r="BQ62" s="748" t="str">
        <f>IF(BQ60=1,17,"")</f>
        <v/>
      </c>
      <c r="BR62" s="749" t="str">
        <f>IF(BR60=2,16,"")</f>
        <v/>
      </c>
      <c r="BS62" s="749" t="str">
        <f>IF(BS60=3,15,"")</f>
        <v/>
      </c>
      <c r="BT62" s="749" t="str">
        <f>IF(BT60=4,14,"")</f>
        <v/>
      </c>
      <c r="BU62" s="749" t="str">
        <f>IF(BU60=5,13,"")</f>
        <v/>
      </c>
      <c r="BV62" s="749" t="str">
        <f>IF(BV60=6,12,"")</f>
        <v/>
      </c>
      <c r="BW62" s="749" t="str">
        <f>IF(BW60=7,11,"")</f>
        <v/>
      </c>
      <c r="BX62" s="749" t="str">
        <f>IF(BX60=8,10,"")</f>
        <v/>
      </c>
      <c r="BY62" s="749" t="str">
        <f>IF(BY60=9,9,"")</f>
        <v/>
      </c>
      <c r="BZ62" s="749" t="str">
        <f>IF(BZ60=10,8,"")</f>
        <v/>
      </c>
      <c r="CA62" s="749" t="str">
        <f>IF(CA60=11,7,"")</f>
        <v/>
      </c>
      <c r="CB62" s="928" t="str">
        <f>IF(CB60=12,1,"")</f>
        <v/>
      </c>
      <c r="CC62" s="747" t="str">
        <f>IF(CC60=13,2,"")</f>
        <v/>
      </c>
      <c r="CD62" s="747" t="str">
        <f>IF(CD60=14,3,"")</f>
        <v/>
      </c>
      <c r="CE62" s="747" t="str">
        <f>IF(CE60=15,4,"")</f>
        <v/>
      </c>
      <c r="CF62" s="747" t="str">
        <f>IF(CF60=16,5,"")</f>
        <v/>
      </c>
      <c r="CG62" s="747">
        <f>IF(CG60=17,6,"")</f>
        <v>6</v>
      </c>
      <c r="CH62" s="747" t="str">
        <f>IF(CH60=18,7,"")</f>
        <v/>
      </c>
      <c r="CI62" s="747" t="str">
        <f>IF(CI60=19,8,"")</f>
        <v/>
      </c>
      <c r="CJ62" s="747" t="str">
        <f>IF(CJ60=20,9,"")</f>
        <v/>
      </c>
      <c r="CK62" s="747" t="str">
        <f>IF(CK60=21,10,"")</f>
        <v/>
      </c>
      <c r="CL62" s="747" t="str">
        <f>IF(CL60=22,11,"")</f>
        <v/>
      </c>
      <c r="CM62" s="747" t="str">
        <f>IF(CM60=23,12,"")</f>
        <v/>
      </c>
      <c r="CN62" s="747" t="str">
        <f>IF(CN60=24,13,"")</f>
        <v/>
      </c>
      <c r="CO62" s="747" t="str">
        <f>IF(CO60=25,14,"")</f>
        <v/>
      </c>
      <c r="CP62" s="747" t="str">
        <f>IF(CP60=26,15,"")</f>
        <v/>
      </c>
      <c r="CQ62" s="747" t="str">
        <f>IF(CQ60=27,16,"")</f>
        <v/>
      </c>
      <c r="CR62" s="929" t="str">
        <f>IF(CR60=28,17,"")</f>
        <v/>
      </c>
      <c r="CS62" s="756" t="str">
        <f>IF(CS60=29,9,"")</f>
        <v/>
      </c>
      <c r="CT62" s="756" t="str">
        <f>IF(CT60=30,10,"")</f>
        <v/>
      </c>
      <c r="CU62" s="756" t="str">
        <f>IF(CU60=31,11,"")</f>
        <v/>
      </c>
      <c r="CV62" s="756" t="str">
        <f>IF(CV60=32,12,"")</f>
        <v/>
      </c>
      <c r="CW62" s="756" t="str">
        <f>IF(CW60=33,13,"")</f>
        <v/>
      </c>
      <c r="CX62" s="756" t="str">
        <f>IF(CX60=34,14,"")</f>
        <v/>
      </c>
      <c r="CY62" s="756" t="str">
        <f>IF(CY60=35,15,"")</f>
        <v/>
      </c>
      <c r="CZ62" s="756" t="str">
        <f>IF(CZ60=36,16,"")</f>
        <v/>
      </c>
      <c r="DA62" s="757" t="str">
        <f>IF(DA60=37,17,"")</f>
        <v/>
      </c>
      <c r="DB62" s="198"/>
      <c r="DC62" s="78"/>
      <c r="DD62" s="78"/>
      <c r="EK62" s="78"/>
      <c r="EL62" s="78"/>
    </row>
    <row r="63" spans="2:142" ht="45.75" customHeight="1" thickBot="1" x14ac:dyDescent="0.3">
      <c r="E63" s="208"/>
      <c r="F63" s="208"/>
      <c r="G63" s="998"/>
      <c r="H63"/>
      <c r="I63"/>
      <c r="J63"/>
      <c r="K63"/>
      <c r="L63"/>
      <c r="M63"/>
      <c r="N63"/>
      <c r="O63" s="995"/>
      <c r="BD63" s="136"/>
      <c r="BE63" s="136"/>
      <c r="BF63" s="136"/>
      <c r="BG63" s="136"/>
      <c r="BH63" s="136"/>
      <c r="BI63" s="136"/>
      <c r="BJ63" s="136"/>
      <c r="BK63" s="136"/>
      <c r="BL63" s="968">
        <v>5</v>
      </c>
      <c r="BM63" s="1762" t="b">
        <f>AND(BO63&gt;=10,$BB$142&gt;=10,$BA$142&gt;=10,$BA$166&gt;=10,$BB$166&gt;=10,$BA$198&gt;=10,$BB$198&gt;=10)</f>
        <v>1</v>
      </c>
      <c r="BN63" s="84" t="str">
        <f>IF(BM63=TRUE,"O K","OVERLOAD")</f>
        <v>O K</v>
      </c>
      <c r="BO63" s="982">
        <f>IF(SUM(BQ62:CA62)&gt;0,K85,0)+IF(SUM(CB62:CR62)&gt;0,L85,0)+IF(SUM(CS62:DA62)&gt;0,M85,0)</f>
        <v>33.855268726195511</v>
      </c>
      <c r="BP63" s="788" t="s">
        <v>185</v>
      </c>
      <c r="BQ63" s="789">
        <v>-10</v>
      </c>
      <c r="BR63" s="789">
        <v>-9</v>
      </c>
      <c r="BS63" s="789">
        <v>-8</v>
      </c>
      <c r="BT63" s="789">
        <v>-7</v>
      </c>
      <c r="BU63" s="789">
        <v>-6</v>
      </c>
      <c r="BV63" s="789">
        <v>-5</v>
      </c>
      <c r="BW63" s="789">
        <v>-4</v>
      </c>
      <c r="BX63" s="789">
        <v>-3</v>
      </c>
      <c r="BY63" s="789">
        <v>-2</v>
      </c>
      <c r="BZ63" s="789">
        <v>-1</v>
      </c>
      <c r="CA63" s="789">
        <v>0</v>
      </c>
      <c r="CB63" s="789">
        <v>1</v>
      </c>
      <c r="CC63" s="789">
        <v>2</v>
      </c>
      <c r="CD63" s="789">
        <v>3</v>
      </c>
      <c r="CE63" s="789">
        <v>4</v>
      </c>
      <c r="CF63" s="789">
        <v>5</v>
      </c>
      <c r="CG63" s="789">
        <v>6</v>
      </c>
      <c r="CH63" s="789">
        <v>7</v>
      </c>
      <c r="CI63" s="789">
        <v>8</v>
      </c>
      <c r="CJ63" s="789">
        <v>9</v>
      </c>
      <c r="CK63" s="789">
        <v>10</v>
      </c>
      <c r="CL63" s="789">
        <v>11</v>
      </c>
      <c r="CM63" s="789">
        <v>12</v>
      </c>
      <c r="CN63" s="789">
        <v>13</v>
      </c>
      <c r="CO63" s="789">
        <v>14</v>
      </c>
      <c r="CP63" s="789">
        <v>15</v>
      </c>
      <c r="CQ63" s="789">
        <v>16</v>
      </c>
      <c r="CR63" s="789">
        <v>17</v>
      </c>
      <c r="CS63" s="789">
        <v>18</v>
      </c>
      <c r="CT63" s="789">
        <v>19</v>
      </c>
      <c r="CU63" s="789">
        <v>20</v>
      </c>
      <c r="CV63" s="789">
        <v>21</v>
      </c>
      <c r="CW63" s="789">
        <v>22</v>
      </c>
      <c r="CX63" s="789">
        <v>23</v>
      </c>
      <c r="CY63" s="789">
        <v>24</v>
      </c>
      <c r="CZ63" s="789">
        <v>25</v>
      </c>
      <c r="DA63" s="791">
        <v>26</v>
      </c>
      <c r="DB63" s="198"/>
      <c r="DC63" s="78"/>
      <c r="DD63" s="78"/>
      <c r="EK63" s="78"/>
      <c r="EL63" s="78"/>
    </row>
    <row r="64" spans="2:142" ht="20" hidden="1" x14ac:dyDescent="0.2">
      <c r="G64" s="998"/>
      <c r="H64"/>
      <c r="I64"/>
      <c r="J64"/>
      <c r="K64"/>
      <c r="L64"/>
      <c r="M64"/>
      <c r="N64"/>
      <c r="O64" s="995"/>
      <c r="BD64" s="136"/>
      <c r="BE64" s="136"/>
      <c r="BF64" s="136"/>
      <c r="BG64" s="136"/>
      <c r="BH64" s="136"/>
      <c r="BI64" s="136"/>
      <c r="BJ64" s="136"/>
      <c r="BK64" s="136"/>
      <c r="BL64" s="136"/>
      <c r="BM64" s="402"/>
      <c r="BN64" s="136"/>
      <c r="BP64" s="78"/>
      <c r="BQ64" s="199">
        <v>1</v>
      </c>
      <c r="BR64" s="199">
        <v>2</v>
      </c>
      <c r="BS64" s="199">
        <v>3</v>
      </c>
      <c r="BT64" s="199">
        <v>4</v>
      </c>
      <c r="BU64" s="199">
        <v>5</v>
      </c>
      <c r="BV64" s="199">
        <v>6</v>
      </c>
      <c r="BW64" s="199">
        <v>7</v>
      </c>
      <c r="BX64" s="199">
        <v>8</v>
      </c>
      <c r="BY64" s="199">
        <v>9</v>
      </c>
      <c r="BZ64" s="199">
        <v>10</v>
      </c>
      <c r="CA64" s="199">
        <v>11</v>
      </c>
      <c r="CB64" s="199">
        <v>12</v>
      </c>
      <c r="CC64" s="199">
        <v>13</v>
      </c>
      <c r="CD64" s="199">
        <v>14</v>
      </c>
      <c r="CE64" s="199">
        <v>15</v>
      </c>
      <c r="CF64" s="199">
        <v>16</v>
      </c>
      <c r="CG64" s="199">
        <v>17</v>
      </c>
      <c r="CH64" s="199">
        <v>18</v>
      </c>
      <c r="CI64" s="199">
        <v>19</v>
      </c>
      <c r="CJ64" s="199">
        <v>20</v>
      </c>
      <c r="CK64" s="199">
        <v>21</v>
      </c>
      <c r="CL64" s="199">
        <v>22</v>
      </c>
      <c r="CM64" s="199">
        <v>23</v>
      </c>
      <c r="CN64" s="199">
        <v>24</v>
      </c>
      <c r="CO64" s="199">
        <v>25</v>
      </c>
      <c r="CP64" s="199">
        <v>26</v>
      </c>
      <c r="CQ64" s="199">
        <v>27</v>
      </c>
      <c r="CR64" s="199">
        <v>28</v>
      </c>
      <c r="CS64" s="199">
        <v>29</v>
      </c>
      <c r="CT64" s="199">
        <v>30</v>
      </c>
      <c r="CU64" s="199">
        <v>31</v>
      </c>
      <c r="CV64" s="199">
        <v>32</v>
      </c>
      <c r="CW64" s="199">
        <v>33</v>
      </c>
      <c r="CX64" s="199">
        <v>34</v>
      </c>
      <c r="CY64" s="199">
        <v>35</v>
      </c>
      <c r="CZ64" s="199">
        <v>36</v>
      </c>
      <c r="DA64" s="199">
        <v>37</v>
      </c>
      <c r="DB64" s="199"/>
      <c r="DC64" s="78"/>
      <c r="DD64" s="78"/>
      <c r="EK64" s="78"/>
      <c r="EL64" s="78"/>
    </row>
    <row r="65" spans="2:108" ht="20" hidden="1" x14ac:dyDescent="0.2">
      <c r="G65" s="998"/>
      <c r="H65"/>
      <c r="I65"/>
      <c r="J65"/>
      <c r="K65"/>
      <c r="L65"/>
      <c r="M65"/>
      <c r="N65"/>
      <c r="O65" s="995"/>
      <c r="U65" s="212"/>
      <c r="V65" s="187"/>
      <c r="AB65" s="187"/>
      <c r="AC65" s="187"/>
      <c r="AD65" s="187"/>
      <c r="AE65" s="187"/>
      <c r="AF65" s="187"/>
      <c r="AG65" s="187"/>
      <c r="AH65" s="187"/>
      <c r="AI65" s="187"/>
      <c r="AJ65" s="187"/>
      <c r="AK65" s="187"/>
      <c r="AL65" s="187"/>
      <c r="AM65" s="187"/>
      <c r="AN65" s="187"/>
      <c r="AO65" s="187"/>
      <c r="AP65" s="187"/>
      <c r="AQ65" s="187"/>
      <c r="AR65" s="187"/>
      <c r="AS65" s="187"/>
      <c r="AT65" s="187"/>
      <c r="AU65" s="187"/>
      <c r="AV65" s="187"/>
      <c r="AW65" s="187"/>
      <c r="AX65" s="187"/>
      <c r="AY65" s="187"/>
      <c r="AZ65" s="187"/>
      <c r="BA65" s="187"/>
      <c r="BB65" s="187"/>
      <c r="BC65" s="126"/>
      <c r="BE65" s="136"/>
      <c r="BF65" s="136"/>
      <c r="BG65" s="136"/>
      <c r="BH65" s="136"/>
      <c r="BI65" s="136"/>
      <c r="BJ65" s="136"/>
      <c r="BK65" s="136"/>
      <c r="BL65" s="204" t="s">
        <v>59</v>
      </c>
      <c r="BM65" s="402"/>
      <c r="BN65" s="136"/>
      <c r="BO65" s="1091"/>
      <c r="BP65" s="78"/>
      <c r="BQ65" s="199"/>
      <c r="BR65" s="199"/>
      <c r="BS65" s="199"/>
      <c r="BT65" s="199"/>
      <c r="BU65" s="199"/>
      <c r="BV65" s="199"/>
      <c r="BW65" s="199"/>
      <c r="BX65" s="199"/>
      <c r="BY65" s="199"/>
      <c r="BZ65" s="199"/>
      <c r="CA65" s="199"/>
      <c r="CB65" s="199"/>
      <c r="CC65" s="199"/>
      <c r="CD65" s="199"/>
      <c r="CE65" s="199"/>
      <c r="CF65" s="199"/>
      <c r="CG65" s="199"/>
      <c r="CH65" s="199"/>
      <c r="CI65" s="199"/>
      <c r="CJ65" s="199"/>
      <c r="CK65" s="199"/>
      <c r="CL65" s="199"/>
      <c r="CM65" s="199"/>
      <c r="CN65" s="199"/>
      <c r="CO65" s="199"/>
      <c r="CP65" s="199"/>
      <c r="CQ65" s="199"/>
      <c r="CR65" s="199"/>
      <c r="CS65" s="199"/>
      <c r="CT65" s="199"/>
      <c r="CU65" s="199"/>
      <c r="CV65" s="199"/>
      <c r="CW65" s="199"/>
      <c r="CX65" s="199"/>
      <c r="CY65" s="199"/>
      <c r="CZ65" s="199"/>
      <c r="DA65" s="199"/>
      <c r="DB65" s="199"/>
      <c r="DD65" s="204" t="s">
        <v>58</v>
      </c>
    </row>
    <row r="66" spans="2:108" ht="20" hidden="1" x14ac:dyDescent="0.2">
      <c r="B66" s="330"/>
      <c r="C66" s="412"/>
      <c r="D66" s="37"/>
      <c r="E66" s="37"/>
      <c r="F66" s="37"/>
      <c r="G66" s="998"/>
      <c r="H66"/>
      <c r="I66"/>
      <c r="J66"/>
      <c r="K66"/>
      <c r="L66"/>
      <c r="M66"/>
      <c r="N66"/>
      <c r="O66" s="995"/>
      <c r="U66" s="212"/>
      <c r="V66" s="187"/>
      <c r="AB66" s="187"/>
      <c r="AC66" s="187"/>
      <c r="AD66" s="187"/>
      <c r="AE66" s="187"/>
      <c r="AF66" s="187"/>
      <c r="AG66" s="187"/>
      <c r="AH66" s="187"/>
      <c r="AI66" s="187"/>
      <c r="AJ66" s="187"/>
      <c r="AK66" s="187"/>
      <c r="AL66" s="187"/>
      <c r="AM66" s="187"/>
      <c r="AN66" s="187"/>
      <c r="AO66" s="187"/>
      <c r="AP66" s="187"/>
      <c r="AQ66" s="187"/>
      <c r="AR66" s="187"/>
      <c r="AS66" s="187"/>
      <c r="AT66" s="187"/>
      <c r="AU66" s="187"/>
      <c r="AV66" s="187"/>
      <c r="AW66" s="187"/>
      <c r="AX66" s="187"/>
      <c r="AY66" s="187"/>
      <c r="AZ66" s="187"/>
      <c r="BA66" s="187"/>
      <c r="BB66" s="187"/>
      <c r="BC66" s="126"/>
      <c r="BE66" s="136"/>
      <c r="BF66" s="136"/>
      <c r="BG66" s="136"/>
      <c r="BH66" s="136"/>
      <c r="BI66" s="136"/>
      <c r="BJ66" s="136"/>
      <c r="BK66" s="136"/>
      <c r="BL66" s="204">
        <f>-+BI214</f>
        <v>689.54069517525784</v>
      </c>
      <c r="BM66" s="402"/>
      <c r="BN66" s="136"/>
      <c r="BO66" s="1091"/>
      <c r="BP66" s="78"/>
      <c r="BQ66" s="199"/>
      <c r="BR66" s="199"/>
      <c r="BS66" s="199"/>
      <c r="BT66" s="199"/>
      <c r="BU66" s="199"/>
      <c r="BV66" s="199"/>
      <c r="BW66" s="199"/>
      <c r="BX66" s="199"/>
      <c r="BY66" s="199"/>
      <c r="BZ66" s="199"/>
      <c r="CA66" s="199"/>
      <c r="CB66" s="199"/>
      <c r="CC66" s="199"/>
      <c r="CD66" s="199"/>
      <c r="CE66" s="199"/>
      <c r="CF66" s="199"/>
      <c r="CG66" s="199"/>
      <c r="CH66" s="199"/>
      <c r="CI66" s="199"/>
      <c r="CJ66" s="199"/>
      <c r="CK66" s="199"/>
      <c r="CL66" s="199"/>
      <c r="CM66" s="199"/>
      <c r="CN66" s="199"/>
      <c r="CO66" s="199"/>
      <c r="CP66" s="199"/>
      <c r="CQ66" s="199"/>
      <c r="CR66" s="199"/>
      <c r="CS66" s="199"/>
      <c r="CT66" s="199"/>
      <c r="CU66" s="199"/>
      <c r="CV66" s="199"/>
      <c r="CW66" s="199"/>
      <c r="CX66" s="199"/>
      <c r="CY66" s="199"/>
      <c r="CZ66" s="199"/>
      <c r="DA66" s="199"/>
      <c r="DB66" s="199"/>
      <c r="DD66" s="204">
        <f>+-BI250</f>
        <v>-858.45930482474216</v>
      </c>
    </row>
    <row r="67" spans="2:108" ht="20" hidden="1" x14ac:dyDescent="0.2">
      <c r="B67" s="330"/>
      <c r="C67" s="412"/>
      <c r="D67" s="37"/>
      <c r="E67" s="37"/>
      <c r="F67" s="37"/>
      <c r="G67" s="998"/>
      <c r="H67"/>
      <c r="I67"/>
      <c r="J67"/>
      <c r="K67"/>
      <c r="L67"/>
      <c r="M67"/>
      <c r="N67"/>
      <c r="O67" s="995"/>
      <c r="U67" s="212"/>
      <c r="V67" s="187"/>
      <c r="AB67" s="187"/>
      <c r="AC67" s="187"/>
      <c r="AD67" s="187"/>
      <c r="AE67" s="187"/>
      <c r="AF67" s="187"/>
      <c r="AG67" s="187"/>
      <c r="AH67" s="187"/>
      <c r="AI67" s="187"/>
      <c r="AJ67" s="187"/>
      <c r="AK67" s="187"/>
      <c r="AL67" s="187"/>
      <c r="AM67" s="187"/>
      <c r="AN67" s="187"/>
      <c r="AO67" s="187"/>
      <c r="AP67" s="187"/>
      <c r="AQ67" s="187"/>
      <c r="AR67" s="187"/>
      <c r="AS67" s="187"/>
      <c r="AT67" s="187"/>
      <c r="AU67" s="187"/>
      <c r="AV67" s="187"/>
      <c r="AW67" s="187"/>
      <c r="AX67" s="187"/>
      <c r="AY67" s="187"/>
      <c r="AZ67" s="187"/>
      <c r="BA67" s="187"/>
      <c r="BB67" s="187"/>
      <c r="BC67" s="126"/>
      <c r="BE67" s="136"/>
      <c r="BF67" s="136"/>
      <c r="BG67" s="136"/>
      <c r="BH67" s="136"/>
      <c r="BI67" s="136"/>
      <c r="BJ67" s="136"/>
      <c r="BK67" s="136"/>
      <c r="BL67" s="136"/>
      <c r="BM67" s="402"/>
      <c r="BN67" s="136"/>
      <c r="BO67" s="1091"/>
      <c r="BP67" s="78"/>
      <c r="BQ67" s="199"/>
      <c r="BR67" s="199"/>
      <c r="BS67" s="199"/>
      <c r="BT67" s="199"/>
      <c r="BU67" s="199"/>
      <c r="BV67" s="199"/>
      <c r="BW67" s="199"/>
      <c r="BX67" s="199"/>
      <c r="BY67" s="199"/>
      <c r="BZ67" s="199"/>
      <c r="CA67" s="199"/>
      <c r="CB67" s="199"/>
      <c r="CC67" s="199"/>
      <c r="CD67" s="199"/>
      <c r="CE67" s="199"/>
      <c r="CF67" s="199"/>
      <c r="CG67" s="199"/>
      <c r="CH67" s="199"/>
      <c r="CI67" s="199"/>
      <c r="CJ67" s="199"/>
      <c r="CK67" s="199"/>
      <c r="CL67" s="199"/>
      <c r="CM67" s="199"/>
      <c r="CN67" s="199"/>
      <c r="CO67" s="199"/>
      <c r="CP67" s="199"/>
      <c r="CQ67" s="199"/>
      <c r="CR67" s="199"/>
      <c r="CS67" s="199"/>
      <c r="CT67" s="199"/>
      <c r="CU67" s="199"/>
      <c r="CV67" s="199"/>
      <c r="CW67" s="199"/>
      <c r="CX67" s="199"/>
      <c r="CY67" s="199"/>
      <c r="CZ67" s="199"/>
      <c r="DA67" s="199"/>
      <c r="DB67" s="199"/>
    </row>
    <row r="68" spans="2:108" ht="20" hidden="1" x14ac:dyDescent="0.2">
      <c r="B68" s="330"/>
      <c r="C68" s="412"/>
      <c r="D68" s="37"/>
      <c r="E68" s="37"/>
      <c r="F68" s="37"/>
      <c r="G68" s="998"/>
      <c r="H68"/>
      <c r="I68"/>
      <c r="J68"/>
      <c r="K68"/>
      <c r="L68"/>
      <c r="M68"/>
      <c r="N68"/>
      <c r="O68" s="995"/>
      <c r="U68" s="212"/>
      <c r="V68" s="187"/>
      <c r="AB68" s="187"/>
      <c r="AC68" s="187"/>
      <c r="AD68" s="187"/>
      <c r="AE68" s="187"/>
      <c r="AF68" s="187"/>
      <c r="AG68" s="187"/>
      <c r="AH68" s="187"/>
      <c r="AI68" s="187"/>
      <c r="AJ68" s="187"/>
      <c r="AK68" s="187"/>
      <c r="AL68" s="187"/>
      <c r="AM68" s="187"/>
      <c r="AN68" s="187"/>
      <c r="AO68" s="187"/>
      <c r="AP68" s="187"/>
      <c r="AQ68" s="187"/>
      <c r="AR68" s="187"/>
      <c r="AS68" s="187"/>
      <c r="AT68" s="187"/>
      <c r="AU68" s="187"/>
      <c r="AV68" s="187"/>
      <c r="AW68" s="187"/>
      <c r="AX68" s="187"/>
      <c r="AY68" s="187"/>
      <c r="AZ68" s="187"/>
      <c r="BA68" s="187"/>
      <c r="BB68" s="187"/>
      <c r="BC68" s="126"/>
      <c r="BE68" s="136"/>
      <c r="BF68" s="136"/>
      <c r="BG68" s="136"/>
      <c r="BH68" s="136"/>
      <c r="BI68" s="136"/>
      <c r="BJ68" s="136"/>
      <c r="BK68" s="136"/>
      <c r="BL68" s="136"/>
      <c r="BM68" s="402"/>
      <c r="BN68" s="136"/>
      <c r="BO68" s="1091"/>
      <c r="BP68" s="78"/>
      <c r="BQ68" s="199"/>
      <c r="BR68" s="199"/>
      <c r="BS68" s="199"/>
      <c r="BT68" s="199"/>
      <c r="BU68" s="199"/>
      <c r="BV68" s="199"/>
      <c r="BW68" s="199"/>
      <c r="BX68" s="199"/>
      <c r="BY68" s="199"/>
      <c r="BZ68" s="199"/>
      <c r="CA68" s="199"/>
      <c r="CB68" s="199"/>
      <c r="CC68" s="199"/>
      <c r="CD68" s="199"/>
      <c r="CE68" s="199"/>
      <c r="CF68" s="199"/>
      <c r="CG68" s="199"/>
      <c r="CH68" s="199"/>
      <c r="CI68" s="199"/>
      <c r="CJ68" s="199"/>
      <c r="CK68" s="199"/>
      <c r="CL68" s="199"/>
      <c r="CM68" s="199"/>
      <c r="CN68" s="199"/>
      <c r="CO68" s="199"/>
      <c r="CP68" s="199"/>
      <c r="CQ68" s="199"/>
      <c r="CR68" s="199"/>
      <c r="CS68" s="199"/>
      <c r="CT68" s="199"/>
      <c r="CU68" s="199"/>
      <c r="CV68" s="199"/>
      <c r="CW68" s="199"/>
      <c r="CX68" s="199"/>
      <c r="CY68" s="199"/>
      <c r="CZ68" s="199"/>
      <c r="DA68" s="199"/>
      <c r="DB68" s="199"/>
    </row>
    <row r="69" spans="2:108" ht="20" hidden="1" x14ac:dyDescent="0.2">
      <c r="B69" s="330"/>
      <c r="C69" s="412"/>
      <c r="D69" s="37"/>
      <c r="E69" s="37"/>
      <c r="F69" s="37"/>
      <c r="G69" s="998"/>
      <c r="H69"/>
      <c r="I69"/>
      <c r="J69"/>
      <c r="K69"/>
      <c r="L69"/>
      <c r="M69"/>
      <c r="N69"/>
      <c r="O69" s="995"/>
      <c r="U69" s="212"/>
      <c r="V69" s="187"/>
      <c r="AB69" s="187"/>
      <c r="AC69" s="187"/>
      <c r="AD69" s="187"/>
      <c r="AE69" s="187"/>
      <c r="AF69" s="187"/>
      <c r="AG69" s="187"/>
      <c r="AH69" s="187"/>
      <c r="AI69" s="187"/>
      <c r="AJ69" s="187"/>
      <c r="AK69" s="187"/>
      <c r="AL69" s="187"/>
      <c r="AM69" s="187"/>
      <c r="AN69" s="187"/>
      <c r="AO69" s="187"/>
      <c r="AP69" s="187"/>
      <c r="AQ69" s="187"/>
      <c r="AR69" s="187"/>
      <c r="AS69" s="187"/>
      <c r="AT69" s="187"/>
      <c r="AU69" s="187"/>
      <c r="AV69" s="187"/>
      <c r="AW69" s="187"/>
      <c r="AX69" s="187"/>
      <c r="AY69" s="187"/>
      <c r="AZ69" s="187"/>
      <c r="BA69" s="187"/>
      <c r="BB69" s="187"/>
      <c r="BC69" s="126"/>
      <c r="BE69" s="136"/>
      <c r="BF69" s="136"/>
      <c r="BG69" s="136"/>
      <c r="BH69" s="136"/>
      <c r="BI69" s="136"/>
      <c r="BJ69" s="136"/>
      <c r="BK69" s="136"/>
      <c r="BL69" s="136"/>
      <c r="BM69" s="402"/>
      <c r="BN69" s="136"/>
      <c r="BO69" s="1091"/>
      <c r="BP69" s="78"/>
      <c r="BQ69" s="199"/>
      <c r="BR69" s="199"/>
      <c r="BS69" s="199"/>
      <c r="BT69" s="199"/>
      <c r="BU69" s="199"/>
      <c r="BV69" s="199"/>
      <c r="BW69" s="199"/>
      <c r="BX69" s="199"/>
      <c r="BY69" s="199"/>
      <c r="BZ69" s="199"/>
      <c r="CA69" s="199"/>
      <c r="CB69" s="199"/>
      <c r="CC69" s="199"/>
      <c r="CD69" s="199"/>
      <c r="CE69" s="199"/>
      <c r="CF69" s="199"/>
      <c r="CG69" s="199"/>
      <c r="CH69" s="199"/>
      <c r="CI69" s="199"/>
      <c r="CJ69" s="199"/>
      <c r="CK69" s="199"/>
      <c r="CL69" s="199"/>
      <c r="CM69" s="199"/>
      <c r="CN69" s="199"/>
      <c r="CO69" s="199"/>
      <c r="CP69" s="199"/>
      <c r="CQ69" s="199"/>
      <c r="CR69" s="199"/>
      <c r="CS69" s="199"/>
      <c r="CT69" s="199"/>
      <c r="CU69" s="199"/>
      <c r="CV69" s="199"/>
      <c r="CW69" s="199"/>
      <c r="CX69" s="199"/>
      <c r="CY69" s="199"/>
      <c r="CZ69" s="199"/>
      <c r="DA69" s="199"/>
      <c r="DB69" s="199"/>
    </row>
    <row r="70" spans="2:108" ht="20" hidden="1" x14ac:dyDescent="0.2">
      <c r="B70" s="330"/>
      <c r="C70" s="412"/>
      <c r="D70" s="37"/>
      <c r="E70" s="37"/>
      <c r="F70" s="37"/>
      <c r="G70" s="998"/>
      <c r="H70"/>
      <c r="I70"/>
      <c r="J70"/>
      <c r="K70"/>
      <c r="L70"/>
      <c r="M70"/>
      <c r="N70"/>
      <c r="O70" s="995"/>
      <c r="U70" s="212"/>
      <c r="V70" s="187"/>
      <c r="AB70" s="187"/>
      <c r="AC70" s="187"/>
      <c r="AD70" s="187"/>
      <c r="AE70" s="187"/>
      <c r="AF70" s="187"/>
      <c r="AG70" s="187"/>
      <c r="AH70" s="187"/>
      <c r="AI70" s="187"/>
      <c r="AJ70" s="187"/>
      <c r="AK70" s="187"/>
      <c r="AL70" s="187"/>
      <c r="AM70" s="187"/>
      <c r="AN70" s="187"/>
      <c r="AO70" s="187"/>
      <c r="AP70" s="187"/>
      <c r="AQ70" s="187"/>
      <c r="AR70" s="187"/>
      <c r="AS70" s="187"/>
      <c r="AT70" s="187"/>
      <c r="AU70" s="187"/>
      <c r="AV70" s="187"/>
      <c r="AW70" s="187"/>
      <c r="AX70" s="187"/>
      <c r="AY70" s="187"/>
      <c r="AZ70" s="187"/>
      <c r="BA70" s="187"/>
      <c r="BB70" s="187"/>
      <c r="BC70" s="126"/>
      <c r="BE70" s="136"/>
      <c r="BF70" s="136"/>
      <c r="BG70" s="136"/>
      <c r="BH70" s="136"/>
      <c r="BI70" s="136"/>
      <c r="BJ70" s="136"/>
      <c r="BK70" s="136"/>
      <c r="BL70" s="136"/>
      <c r="BM70" s="402"/>
      <c r="BN70" s="136"/>
      <c r="BO70" s="1091"/>
      <c r="BP70" s="78"/>
      <c r="BQ70" s="199"/>
      <c r="BR70" s="199"/>
      <c r="BS70" s="199"/>
      <c r="BT70" s="199"/>
      <c r="BU70" s="199"/>
      <c r="BV70" s="199"/>
      <c r="BW70" s="199"/>
      <c r="BX70" s="199"/>
      <c r="BY70" s="199"/>
      <c r="BZ70" s="199"/>
      <c r="CA70" s="199"/>
      <c r="CB70" s="199"/>
      <c r="CC70" s="199"/>
      <c r="CD70" s="199"/>
      <c r="CE70" s="199"/>
      <c r="CF70" s="199"/>
      <c r="CG70" s="199"/>
      <c r="CH70" s="199"/>
      <c r="CI70" s="199"/>
      <c r="CJ70" s="199"/>
      <c r="CK70" s="199"/>
      <c r="CL70" s="199"/>
      <c r="CM70" s="199"/>
      <c r="CN70" s="199"/>
      <c r="CO70" s="199"/>
      <c r="CP70" s="199"/>
      <c r="CQ70" s="199"/>
      <c r="CR70" s="199"/>
      <c r="CS70" s="199"/>
      <c r="CT70" s="199"/>
      <c r="CU70" s="199"/>
      <c r="CV70" s="199"/>
      <c r="CW70" s="199"/>
      <c r="CX70" s="199"/>
      <c r="CY70" s="199"/>
      <c r="CZ70" s="199"/>
      <c r="DA70" s="199"/>
      <c r="DB70" s="199"/>
    </row>
    <row r="71" spans="2:108" ht="20" hidden="1" x14ac:dyDescent="0.2">
      <c r="B71" s="330"/>
      <c r="C71" s="412"/>
      <c r="D71" s="37"/>
      <c r="E71" s="37"/>
      <c r="F71" s="37"/>
      <c r="G71" s="998"/>
      <c r="H71"/>
      <c r="I71"/>
      <c r="J71"/>
      <c r="K71"/>
      <c r="L71"/>
      <c r="M71"/>
      <c r="N71"/>
      <c r="O71" s="995"/>
      <c r="U71" s="212"/>
      <c r="V71" s="187"/>
      <c r="AB71" s="187"/>
      <c r="AC71" s="187"/>
      <c r="AD71" s="187"/>
      <c r="AE71" s="187"/>
      <c r="AF71" s="187"/>
      <c r="AG71" s="187"/>
      <c r="AH71" s="187"/>
      <c r="AI71" s="187"/>
      <c r="AJ71" s="187"/>
      <c r="AK71" s="187"/>
      <c r="AL71" s="187"/>
      <c r="AM71" s="187"/>
      <c r="AN71" s="187"/>
      <c r="AO71" s="187"/>
      <c r="AP71" s="187"/>
      <c r="AQ71" s="187"/>
      <c r="AR71" s="187"/>
      <c r="AS71" s="187"/>
      <c r="AT71" s="187"/>
      <c r="AU71" s="187"/>
      <c r="AV71" s="187"/>
      <c r="AW71" s="187"/>
      <c r="AX71" s="187"/>
      <c r="AY71" s="187"/>
      <c r="AZ71" s="187"/>
      <c r="BA71" s="187"/>
      <c r="BB71" s="187"/>
      <c r="BC71" s="126"/>
      <c r="BE71" s="136"/>
      <c r="BF71" s="136"/>
      <c r="BG71" s="136"/>
      <c r="BH71" s="136"/>
      <c r="BI71" s="136"/>
      <c r="BJ71" s="136"/>
      <c r="BK71" s="136"/>
      <c r="BL71" s="136"/>
      <c r="BM71" s="402"/>
      <c r="BN71" s="136"/>
      <c r="BO71" s="1091"/>
      <c r="BP71" s="78"/>
      <c r="BQ71" s="199"/>
      <c r="BR71" s="199"/>
      <c r="BS71" s="199"/>
      <c r="BT71" s="199"/>
      <c r="BU71" s="199"/>
      <c r="BV71" s="199"/>
      <c r="BW71" s="199"/>
      <c r="BX71" s="199"/>
      <c r="BY71" s="199"/>
      <c r="BZ71" s="199"/>
      <c r="CA71" s="199"/>
      <c r="CB71" s="199"/>
      <c r="CC71" s="199"/>
      <c r="CD71" s="199"/>
      <c r="CE71" s="199"/>
      <c r="CF71" s="199"/>
      <c r="CG71" s="199"/>
      <c r="CH71" s="199"/>
      <c r="CI71" s="199"/>
      <c r="CJ71" s="199"/>
      <c r="CK71" s="199"/>
      <c r="CL71" s="199"/>
      <c r="CM71" s="199"/>
      <c r="CN71" s="199"/>
      <c r="CO71" s="199"/>
      <c r="CP71" s="199"/>
      <c r="CQ71" s="199"/>
      <c r="CR71" s="199"/>
      <c r="CS71" s="199"/>
      <c r="CT71" s="199"/>
      <c r="CU71" s="199"/>
      <c r="CV71" s="199"/>
      <c r="CW71" s="199"/>
      <c r="CX71" s="199"/>
      <c r="CY71" s="199"/>
      <c r="CZ71" s="199"/>
      <c r="DA71" s="199"/>
      <c r="DB71" s="199"/>
    </row>
    <row r="72" spans="2:108" ht="20" hidden="1" x14ac:dyDescent="0.2">
      <c r="B72" s="330"/>
      <c r="C72" s="412"/>
      <c r="D72" s="37"/>
      <c r="E72" s="37"/>
      <c r="F72" s="37"/>
      <c r="G72" s="998"/>
      <c r="H72"/>
      <c r="I72"/>
      <c r="J72"/>
      <c r="K72"/>
      <c r="L72"/>
      <c r="M72"/>
      <c r="N72"/>
      <c r="O72" s="995"/>
      <c r="U72" s="212"/>
      <c r="V72" s="187"/>
      <c r="AB72" s="187"/>
      <c r="AC72" s="187"/>
      <c r="AD72" s="187"/>
      <c r="AE72" s="187"/>
      <c r="AF72" s="187"/>
      <c r="AG72" s="187"/>
      <c r="AH72" s="187"/>
      <c r="AI72" s="187"/>
      <c r="AJ72" s="187"/>
      <c r="AK72" s="187"/>
      <c r="AL72" s="187"/>
      <c r="AM72" s="187"/>
      <c r="AN72" s="187"/>
      <c r="AO72" s="187"/>
      <c r="AP72" s="187"/>
      <c r="AQ72" s="187"/>
      <c r="AR72" s="187"/>
      <c r="AS72" s="187"/>
      <c r="AT72" s="187"/>
      <c r="AU72" s="187"/>
      <c r="AV72" s="187"/>
      <c r="AW72" s="187"/>
      <c r="AX72" s="187"/>
      <c r="AY72" s="187"/>
      <c r="AZ72" s="187"/>
      <c r="BA72" s="187"/>
      <c r="BB72" s="187"/>
      <c r="BC72" s="126"/>
      <c r="BE72" s="136"/>
      <c r="BF72" s="136"/>
      <c r="BG72" s="136"/>
      <c r="BH72" s="136"/>
      <c r="BI72" s="136"/>
      <c r="BJ72" s="136"/>
      <c r="BK72" s="136"/>
      <c r="BL72" s="136"/>
      <c r="BM72" s="402"/>
      <c r="BN72" s="136"/>
      <c r="BO72" s="1091"/>
      <c r="BP72" s="78"/>
      <c r="BQ72" s="199"/>
      <c r="BR72" s="199"/>
      <c r="BS72" s="199"/>
      <c r="BT72" s="199"/>
      <c r="BU72" s="199"/>
      <c r="BV72" s="199"/>
      <c r="BW72" s="199"/>
      <c r="BX72" s="199"/>
      <c r="BY72" s="199"/>
      <c r="BZ72" s="199"/>
      <c r="CA72" s="199"/>
      <c r="CB72" s="199"/>
      <c r="CC72" s="199"/>
      <c r="CD72" s="199"/>
      <c r="CE72" s="199"/>
      <c r="CF72" s="199"/>
      <c r="CG72" s="199"/>
      <c r="CH72" s="199"/>
      <c r="CI72" s="199"/>
      <c r="CJ72" s="199"/>
      <c r="CK72" s="199"/>
      <c r="CL72" s="199"/>
      <c r="CM72" s="199"/>
      <c r="CN72" s="199"/>
      <c r="CO72" s="199"/>
      <c r="CP72" s="199"/>
      <c r="CQ72" s="199"/>
      <c r="CR72" s="199"/>
      <c r="CS72" s="199"/>
      <c r="CT72" s="199"/>
      <c r="CU72" s="199"/>
      <c r="CV72" s="199"/>
      <c r="CW72" s="199"/>
      <c r="CX72" s="199"/>
      <c r="CY72" s="199"/>
      <c r="CZ72" s="199"/>
      <c r="DA72" s="199"/>
      <c r="DB72" s="199"/>
    </row>
    <row r="73" spans="2:108" ht="20" hidden="1" x14ac:dyDescent="0.2">
      <c r="B73" s="330"/>
      <c r="C73" s="412"/>
      <c r="D73" s="37"/>
      <c r="E73" s="37"/>
      <c r="F73" s="37"/>
      <c r="G73" s="998"/>
      <c r="H73"/>
      <c r="I73"/>
      <c r="J73"/>
      <c r="K73"/>
      <c r="L73"/>
      <c r="M73"/>
      <c r="N73"/>
      <c r="O73" s="995"/>
      <c r="U73" s="212"/>
      <c r="V73" s="187"/>
      <c r="AB73" s="187"/>
      <c r="AC73" s="187"/>
      <c r="AD73" s="187"/>
      <c r="AE73" s="187"/>
      <c r="AF73" s="187"/>
      <c r="AG73" s="187"/>
      <c r="AH73" s="187"/>
      <c r="AI73" s="187"/>
      <c r="AJ73" s="187"/>
      <c r="AK73" s="187"/>
      <c r="AL73" s="187"/>
      <c r="AM73" s="187"/>
      <c r="AN73" s="187"/>
      <c r="AO73" s="187"/>
      <c r="AP73" s="187"/>
      <c r="AQ73" s="187"/>
      <c r="AR73" s="187"/>
      <c r="AS73" s="187"/>
      <c r="AT73" s="187"/>
      <c r="AU73" s="187"/>
      <c r="AV73" s="187"/>
      <c r="AW73" s="187"/>
      <c r="AX73" s="187"/>
      <c r="AY73" s="187"/>
      <c r="AZ73" s="187"/>
      <c r="BA73" s="187"/>
      <c r="BB73" s="187"/>
      <c r="BC73" s="126"/>
      <c r="BE73" s="136"/>
      <c r="BF73" s="136"/>
      <c r="BG73" s="136"/>
      <c r="BH73" s="136"/>
      <c r="BI73" s="136"/>
      <c r="BJ73" s="136"/>
      <c r="BK73" s="136"/>
      <c r="BL73" s="136"/>
      <c r="BM73" s="402"/>
      <c r="BN73" s="136"/>
      <c r="BO73" s="1091"/>
      <c r="BP73" s="78"/>
      <c r="BQ73" s="199"/>
      <c r="BR73" s="199"/>
      <c r="BS73" s="199"/>
      <c r="BT73" s="199"/>
      <c r="BU73" s="199"/>
      <c r="BV73" s="199"/>
      <c r="BW73" s="199"/>
      <c r="BX73" s="199"/>
      <c r="BY73" s="199"/>
      <c r="BZ73" s="199"/>
      <c r="CA73" s="199"/>
      <c r="CB73" s="199"/>
      <c r="CC73" s="199"/>
      <c r="CD73" s="199"/>
      <c r="CE73" s="199"/>
      <c r="CF73" s="199"/>
      <c r="CG73" s="199"/>
      <c r="CH73" s="199"/>
      <c r="CI73" s="199"/>
      <c r="CJ73" s="199"/>
      <c r="CK73" s="199"/>
      <c r="CL73" s="199"/>
      <c r="CM73" s="199"/>
      <c r="CN73" s="199"/>
      <c r="CO73" s="199"/>
      <c r="CP73" s="199"/>
      <c r="CQ73" s="199"/>
      <c r="CR73" s="199"/>
      <c r="CS73" s="199"/>
      <c r="CT73" s="199"/>
      <c r="CU73" s="199"/>
      <c r="CV73" s="199"/>
      <c r="CW73" s="199"/>
      <c r="CX73" s="199"/>
      <c r="CY73" s="199"/>
      <c r="CZ73" s="199"/>
      <c r="DA73" s="199"/>
      <c r="DB73" s="199"/>
    </row>
    <row r="74" spans="2:108" ht="20" hidden="1" x14ac:dyDescent="0.2">
      <c r="B74" s="330"/>
      <c r="C74" s="412"/>
      <c r="D74" s="37"/>
      <c r="E74" s="37"/>
      <c r="F74" s="37"/>
      <c r="G74" s="998"/>
      <c r="H74"/>
      <c r="I74"/>
      <c r="J74"/>
      <c r="K74"/>
      <c r="L74"/>
      <c r="M74"/>
      <c r="N74"/>
      <c r="O74" s="995"/>
      <c r="U74" s="212"/>
      <c r="V74" s="187"/>
      <c r="AB74" s="187"/>
      <c r="AC74" s="187"/>
      <c r="AD74" s="187"/>
      <c r="AE74" s="187"/>
      <c r="AF74" s="187"/>
      <c r="AG74" s="187"/>
      <c r="AH74" s="187"/>
      <c r="AI74" s="187"/>
      <c r="AJ74" s="187"/>
      <c r="AK74" s="187"/>
      <c r="AL74" s="187"/>
      <c r="AM74" s="187"/>
      <c r="AN74" s="187"/>
      <c r="AO74" s="187"/>
      <c r="AP74" s="187"/>
      <c r="AQ74" s="187"/>
      <c r="AR74" s="187"/>
      <c r="AS74" s="187"/>
      <c r="AT74" s="187"/>
      <c r="AU74" s="187"/>
      <c r="AV74" s="187"/>
      <c r="AW74" s="187"/>
      <c r="AX74" s="187"/>
      <c r="AY74" s="187"/>
      <c r="AZ74" s="187"/>
      <c r="BA74" s="187"/>
      <c r="BB74" s="187"/>
      <c r="BC74" s="126"/>
      <c r="BE74" s="136"/>
      <c r="BF74" s="136"/>
      <c r="BG74" s="136"/>
      <c r="BH74" s="136"/>
      <c r="BI74" s="136"/>
      <c r="BJ74" s="136"/>
      <c r="BK74" s="136"/>
      <c r="BL74" s="136"/>
      <c r="BM74" s="402"/>
      <c r="BN74" s="136"/>
      <c r="BO74" s="1091"/>
      <c r="BP74" s="78"/>
      <c r="BQ74" s="199"/>
      <c r="BR74" s="199"/>
      <c r="BS74" s="199"/>
      <c r="BT74" s="199"/>
      <c r="BU74" s="199"/>
      <c r="BV74" s="199"/>
      <c r="BW74" s="199"/>
      <c r="BX74" s="199"/>
      <c r="BY74" s="199"/>
      <c r="BZ74" s="199"/>
      <c r="CA74" s="199"/>
      <c r="CB74" s="199"/>
      <c r="CC74" s="199"/>
      <c r="CD74" s="199"/>
      <c r="CE74" s="199"/>
      <c r="CF74" s="199"/>
      <c r="CG74" s="199"/>
      <c r="CH74" s="199"/>
      <c r="CI74" s="199"/>
      <c r="CJ74" s="199"/>
      <c r="CK74" s="199"/>
      <c r="CL74" s="199"/>
      <c r="CM74" s="199"/>
      <c r="CN74" s="199"/>
      <c r="CO74" s="199"/>
      <c r="CP74" s="199"/>
      <c r="CQ74" s="199"/>
      <c r="CR74" s="199"/>
      <c r="CS74" s="199"/>
      <c r="CT74" s="199"/>
      <c r="CU74" s="199"/>
      <c r="CV74" s="199"/>
      <c r="CW74" s="199"/>
      <c r="CX74" s="199"/>
      <c r="CY74" s="199"/>
      <c r="CZ74" s="199"/>
      <c r="DA74" s="199"/>
      <c r="DB74" s="199"/>
    </row>
    <row r="75" spans="2:108" ht="20" hidden="1" x14ac:dyDescent="0.2">
      <c r="B75" s="330"/>
      <c r="C75" s="412"/>
      <c r="D75" s="37"/>
      <c r="E75" s="37"/>
      <c r="F75" s="37"/>
      <c r="G75" s="998"/>
      <c r="H75"/>
      <c r="I75"/>
      <c r="J75"/>
      <c r="K75"/>
      <c r="L75"/>
      <c r="M75"/>
      <c r="N75"/>
      <c r="O75" s="995"/>
      <c r="U75" s="212"/>
      <c r="V75" s="187"/>
      <c r="AB75" s="187"/>
      <c r="AC75" s="187"/>
      <c r="AD75" s="187"/>
      <c r="AE75" s="187"/>
      <c r="AF75" s="187"/>
      <c r="AG75" s="187"/>
      <c r="AH75" s="187"/>
      <c r="AI75" s="187"/>
      <c r="AJ75" s="187"/>
      <c r="AK75" s="187"/>
      <c r="AL75" s="187"/>
      <c r="AM75" s="187"/>
      <c r="AN75" s="187"/>
      <c r="AO75" s="187"/>
      <c r="AP75" s="187"/>
      <c r="AQ75" s="187"/>
      <c r="AR75" s="187"/>
      <c r="AS75" s="187"/>
      <c r="AT75" s="187"/>
      <c r="AU75" s="187"/>
      <c r="AV75" s="187"/>
      <c r="AW75" s="187"/>
      <c r="AX75" s="187"/>
      <c r="AY75" s="187"/>
      <c r="AZ75" s="187"/>
      <c r="BA75" s="187"/>
      <c r="BB75" s="187"/>
      <c r="BC75" s="126"/>
      <c r="BE75" s="136"/>
      <c r="BF75" s="136"/>
      <c r="BG75" s="136"/>
      <c r="BH75" s="136"/>
      <c r="BI75" s="136"/>
      <c r="BJ75" s="136"/>
      <c r="BK75" s="136"/>
      <c r="BL75" s="136"/>
      <c r="BM75" s="402"/>
      <c r="BN75" s="136"/>
      <c r="BO75" s="1091"/>
      <c r="BP75" s="78"/>
      <c r="BQ75" s="199"/>
      <c r="BR75" s="199"/>
      <c r="BS75" s="199"/>
      <c r="BT75" s="199"/>
      <c r="BU75" s="199"/>
      <c r="BV75" s="199"/>
      <c r="BW75" s="199"/>
      <c r="BX75" s="199"/>
      <c r="BY75" s="199"/>
      <c r="BZ75" s="199"/>
      <c r="CA75" s="199"/>
      <c r="CB75" s="199"/>
      <c r="CC75" s="199"/>
      <c r="CD75" s="199"/>
      <c r="CE75" s="199"/>
      <c r="CF75" s="199"/>
      <c r="CG75" s="199"/>
      <c r="CH75" s="199"/>
      <c r="CI75" s="199"/>
      <c r="CJ75" s="199"/>
      <c r="CK75" s="199"/>
      <c r="CL75" s="199"/>
      <c r="CM75" s="199"/>
      <c r="CN75" s="199"/>
      <c r="CO75" s="199"/>
      <c r="CP75" s="199"/>
      <c r="CQ75" s="199"/>
      <c r="CR75" s="199"/>
      <c r="CS75" s="199"/>
      <c r="CT75" s="199"/>
      <c r="CU75" s="199"/>
      <c r="CV75" s="199"/>
      <c r="CW75" s="199"/>
      <c r="CX75" s="199"/>
      <c r="CY75" s="199"/>
      <c r="CZ75" s="199"/>
      <c r="DA75" s="199"/>
      <c r="DB75" s="199"/>
    </row>
    <row r="76" spans="2:108" ht="20" hidden="1" x14ac:dyDescent="0.2">
      <c r="B76" s="330"/>
      <c r="C76" s="412"/>
      <c r="D76" s="37"/>
      <c r="E76" s="37"/>
      <c r="F76" s="37"/>
      <c r="G76" s="998"/>
      <c r="H76"/>
      <c r="I76"/>
      <c r="J76"/>
      <c r="K76"/>
      <c r="L76"/>
      <c r="M76"/>
      <c r="N76"/>
      <c r="O76" s="995"/>
      <c r="U76" s="212"/>
      <c r="V76" s="187"/>
      <c r="AB76" s="187"/>
      <c r="AC76" s="187"/>
      <c r="AD76" s="187"/>
      <c r="AE76" s="187"/>
      <c r="AF76" s="187"/>
      <c r="AG76" s="187"/>
      <c r="AH76" s="187"/>
      <c r="AI76" s="187"/>
      <c r="AJ76" s="187"/>
      <c r="AK76" s="187"/>
      <c r="AL76" s="187"/>
      <c r="AM76" s="187"/>
      <c r="AN76" s="187"/>
      <c r="AO76" s="187"/>
      <c r="AP76" s="187"/>
      <c r="AQ76" s="187"/>
      <c r="AR76" s="187"/>
      <c r="AS76" s="187"/>
      <c r="AT76" s="187"/>
      <c r="AU76" s="187"/>
      <c r="AV76" s="187"/>
      <c r="AW76" s="187"/>
      <c r="AX76" s="187"/>
      <c r="AY76" s="187"/>
      <c r="AZ76" s="187"/>
      <c r="BA76" s="187"/>
      <c r="BB76" s="187"/>
      <c r="BC76" s="126"/>
      <c r="BE76" s="136"/>
      <c r="BF76" s="136"/>
      <c r="BG76" s="136"/>
      <c r="BH76" s="136"/>
      <c r="BI76" s="136"/>
      <c r="BJ76" s="136"/>
      <c r="BK76" s="136"/>
      <c r="BL76" s="136"/>
      <c r="BM76" s="402"/>
      <c r="BN76" s="136"/>
      <c r="BO76" s="1091"/>
      <c r="BP76" s="78"/>
      <c r="BQ76" s="199"/>
      <c r="BR76" s="199"/>
      <c r="BS76" s="199"/>
      <c r="BT76" s="199"/>
      <c r="BU76" s="199"/>
      <c r="BV76" s="199"/>
      <c r="BW76" s="199"/>
      <c r="BX76" s="199"/>
      <c r="BY76" s="199"/>
      <c r="BZ76" s="199"/>
      <c r="CA76" s="199"/>
      <c r="CB76" s="199"/>
      <c r="CC76" s="199"/>
      <c r="CD76" s="199"/>
      <c r="CE76" s="199"/>
      <c r="CF76" s="199"/>
      <c r="CG76" s="199"/>
      <c r="CH76" s="199"/>
      <c r="CI76" s="199"/>
      <c r="CJ76" s="199"/>
      <c r="CK76" s="199"/>
      <c r="CL76" s="199"/>
      <c r="CM76" s="199"/>
      <c r="CN76" s="199"/>
      <c r="CO76" s="199"/>
      <c r="CP76" s="199"/>
      <c r="CQ76" s="199"/>
      <c r="CR76" s="199"/>
      <c r="CS76" s="199"/>
      <c r="CT76" s="199"/>
      <c r="CU76" s="199"/>
      <c r="CV76" s="199"/>
      <c r="CW76" s="199"/>
      <c r="CX76" s="199"/>
      <c r="CY76" s="199"/>
      <c r="CZ76" s="199"/>
      <c r="DA76" s="199"/>
      <c r="DB76" s="199"/>
    </row>
    <row r="77" spans="2:108" ht="20" hidden="1" x14ac:dyDescent="0.2">
      <c r="B77" s="330"/>
      <c r="C77" s="412"/>
      <c r="D77" s="37"/>
      <c r="E77" s="37"/>
      <c r="F77" s="37"/>
      <c r="G77" s="998"/>
      <c r="H77"/>
      <c r="I77"/>
      <c r="J77"/>
      <c r="K77"/>
      <c r="L77"/>
      <c r="M77"/>
      <c r="N77"/>
      <c r="O77" s="995"/>
      <c r="U77" s="212"/>
      <c r="V77" s="187"/>
      <c r="AB77" s="187"/>
      <c r="AC77" s="187"/>
      <c r="AD77" s="187"/>
      <c r="AE77" s="187"/>
      <c r="AF77" s="187"/>
      <c r="AG77" s="187"/>
      <c r="AH77" s="187"/>
      <c r="AI77" s="187"/>
      <c r="AJ77" s="187"/>
      <c r="AK77" s="187"/>
      <c r="AL77" s="187"/>
      <c r="AM77" s="187"/>
      <c r="AN77" s="187"/>
      <c r="AO77" s="187"/>
      <c r="AP77" s="187"/>
      <c r="AQ77" s="187"/>
      <c r="AR77" s="187"/>
      <c r="AS77" s="187"/>
      <c r="AT77" s="187"/>
      <c r="AU77" s="187"/>
      <c r="AV77" s="187"/>
      <c r="AW77" s="187"/>
      <c r="AX77" s="187"/>
      <c r="AY77" s="187"/>
      <c r="AZ77" s="187"/>
      <c r="BA77" s="187"/>
      <c r="BB77" s="187"/>
      <c r="BC77" s="126"/>
      <c r="BE77" s="136"/>
      <c r="BF77" s="136"/>
      <c r="BG77" s="136"/>
      <c r="BH77" s="136"/>
      <c r="BI77" s="136"/>
      <c r="BJ77" s="136"/>
      <c r="BK77" s="136"/>
      <c r="BL77" s="136"/>
      <c r="BM77" s="402"/>
      <c r="BN77" s="136"/>
      <c r="BO77" s="1091"/>
      <c r="BP77" s="78"/>
      <c r="BQ77" s="199"/>
      <c r="BR77" s="199"/>
      <c r="BS77" s="199"/>
      <c r="BT77" s="199"/>
      <c r="BU77" s="199"/>
      <c r="BV77" s="199"/>
      <c r="BW77" s="199"/>
      <c r="BX77" s="199"/>
      <c r="BY77" s="199"/>
      <c r="BZ77" s="199"/>
      <c r="CA77" s="199"/>
      <c r="CB77" s="199"/>
      <c r="CC77" s="199"/>
      <c r="CD77" s="199"/>
      <c r="CE77" s="199"/>
      <c r="CF77" s="199"/>
      <c r="CG77" s="199"/>
      <c r="CH77" s="199"/>
      <c r="CI77" s="199"/>
      <c r="CJ77" s="199"/>
      <c r="CK77" s="199"/>
      <c r="CL77" s="199"/>
      <c r="CM77" s="199"/>
      <c r="CN77" s="199"/>
      <c r="CO77" s="199"/>
      <c r="CP77" s="199"/>
      <c r="CQ77" s="199"/>
      <c r="CR77" s="199"/>
      <c r="CS77" s="199"/>
      <c r="CT77" s="199"/>
      <c r="CU77" s="199"/>
      <c r="CV77" s="199"/>
      <c r="CW77" s="199"/>
      <c r="CX77" s="199"/>
      <c r="CY77" s="199"/>
      <c r="CZ77" s="199"/>
      <c r="DA77" s="199"/>
      <c r="DB77" s="199"/>
    </row>
    <row r="78" spans="2:108" ht="20" hidden="1" x14ac:dyDescent="0.2">
      <c r="B78" s="330"/>
      <c r="C78" s="412"/>
      <c r="D78" s="37"/>
      <c r="E78" s="37"/>
      <c r="F78" s="37"/>
      <c r="G78" s="998"/>
      <c r="H78"/>
      <c r="I78"/>
      <c r="J78"/>
      <c r="K78"/>
      <c r="L78"/>
      <c r="M78"/>
      <c r="N78"/>
      <c r="O78" s="995"/>
      <c r="U78" s="212"/>
      <c r="V78" s="187"/>
      <c r="AB78" s="187"/>
      <c r="AC78" s="187"/>
      <c r="AD78" s="187"/>
      <c r="AE78" s="187"/>
      <c r="AF78" s="187"/>
      <c r="AG78" s="187"/>
      <c r="AH78" s="187"/>
      <c r="AI78" s="187"/>
      <c r="AJ78" s="187"/>
      <c r="AK78" s="187"/>
      <c r="AL78" s="187"/>
      <c r="AM78" s="187"/>
      <c r="AN78" s="187"/>
      <c r="AO78" s="187"/>
      <c r="AP78" s="187"/>
      <c r="AQ78" s="187"/>
      <c r="AR78" s="187"/>
      <c r="AS78" s="187"/>
      <c r="AT78" s="187"/>
      <c r="AU78" s="187"/>
      <c r="AV78" s="187"/>
      <c r="AW78" s="187"/>
      <c r="AX78" s="187"/>
      <c r="AY78" s="187"/>
      <c r="AZ78" s="187"/>
      <c r="BA78" s="187"/>
      <c r="BB78" s="187"/>
      <c r="BC78" s="126"/>
      <c r="BE78" s="136"/>
      <c r="BF78" s="136"/>
      <c r="BG78" s="136"/>
      <c r="BH78" s="136"/>
      <c r="BI78" s="136"/>
      <c r="BJ78" s="136"/>
      <c r="BK78" s="136"/>
      <c r="BL78" s="136"/>
      <c r="BM78" s="402"/>
      <c r="BN78" s="136"/>
      <c r="BO78" s="1091"/>
      <c r="BP78" s="78"/>
      <c r="BQ78" s="199"/>
      <c r="BR78" s="199"/>
      <c r="BS78" s="199"/>
      <c r="BT78" s="199"/>
      <c r="BU78" s="199"/>
      <c r="BV78" s="199"/>
      <c r="BW78" s="199"/>
      <c r="BX78" s="199"/>
      <c r="BY78" s="199"/>
      <c r="BZ78" s="199"/>
      <c r="CA78" s="199"/>
      <c r="CB78" s="199"/>
      <c r="CC78" s="199"/>
      <c r="CD78" s="199"/>
      <c r="CE78" s="199"/>
      <c r="CF78" s="199"/>
      <c r="CG78" s="199"/>
      <c r="CH78" s="199"/>
      <c r="CI78" s="199"/>
      <c r="CJ78" s="199"/>
      <c r="CK78" s="199"/>
      <c r="CL78" s="199"/>
      <c r="CM78" s="199"/>
      <c r="CN78" s="199"/>
      <c r="CO78" s="199"/>
      <c r="CP78" s="199"/>
      <c r="CQ78" s="199"/>
      <c r="CR78" s="199"/>
      <c r="CS78" s="199"/>
      <c r="CT78" s="199"/>
      <c r="CU78" s="199"/>
      <c r="CV78" s="199"/>
      <c r="CW78" s="199"/>
      <c r="CX78" s="199"/>
      <c r="CY78" s="199"/>
      <c r="CZ78" s="199"/>
      <c r="DA78" s="199"/>
      <c r="DB78" s="199"/>
    </row>
    <row r="79" spans="2:108" ht="20" hidden="1" x14ac:dyDescent="0.2">
      <c r="B79" s="330"/>
      <c r="C79" s="412"/>
      <c r="D79" s="37"/>
      <c r="E79" s="37"/>
      <c r="F79" s="37"/>
      <c r="G79" s="1008"/>
      <c r="H79"/>
      <c r="I79"/>
      <c r="J79"/>
      <c r="K79"/>
      <c r="L79"/>
      <c r="M79"/>
      <c r="N79"/>
      <c r="O79" s="995"/>
      <c r="U79" s="212"/>
      <c r="V79" s="187"/>
      <c r="AB79" s="187"/>
      <c r="AC79" s="187"/>
      <c r="AD79" s="187"/>
      <c r="AE79" s="187"/>
      <c r="AF79" s="187"/>
      <c r="AG79" s="187"/>
      <c r="AH79" s="187"/>
      <c r="AI79" s="187"/>
      <c r="AJ79" s="187"/>
      <c r="AK79" s="187"/>
      <c r="AL79" s="187"/>
      <c r="AM79" s="187"/>
      <c r="AN79" s="187"/>
      <c r="AO79" s="187"/>
      <c r="AP79" s="187"/>
      <c r="AQ79" s="187"/>
      <c r="AR79" s="187"/>
      <c r="AS79" s="187"/>
      <c r="AT79" s="187"/>
      <c r="AU79" s="187"/>
      <c r="AV79" s="187"/>
      <c r="AW79" s="187"/>
      <c r="AX79" s="187"/>
      <c r="AY79" s="187"/>
      <c r="AZ79" s="187"/>
      <c r="BA79" s="187"/>
      <c r="BB79" s="187"/>
      <c r="BC79" s="126"/>
      <c r="BE79" s="136"/>
      <c r="BF79" s="136"/>
      <c r="BG79" s="136"/>
      <c r="BH79" s="136"/>
      <c r="BI79" s="136"/>
      <c r="BJ79" s="136"/>
      <c r="BK79" s="136"/>
      <c r="BL79" s="136"/>
      <c r="BM79" s="402"/>
      <c r="BN79" s="136"/>
      <c r="BO79" s="1091"/>
      <c r="BP79" s="78"/>
      <c r="BQ79" s="199"/>
      <c r="BR79" s="199"/>
      <c r="BS79" s="199"/>
      <c r="BT79" s="199"/>
      <c r="BU79" s="199"/>
      <c r="BV79" s="199"/>
      <c r="BW79" s="199"/>
      <c r="BX79" s="199"/>
      <c r="BY79" s="199"/>
      <c r="BZ79" s="199"/>
      <c r="CA79" s="199"/>
      <c r="CB79" s="199"/>
      <c r="CC79" s="199"/>
      <c r="CD79" s="199"/>
      <c r="CE79" s="199"/>
      <c r="CF79" s="199"/>
      <c r="CG79" s="199"/>
      <c r="CH79" s="199"/>
      <c r="CI79" s="199"/>
      <c r="CJ79" s="199"/>
      <c r="CK79" s="199"/>
      <c r="CL79" s="199"/>
      <c r="CM79" s="199"/>
      <c r="CN79" s="199"/>
      <c r="CO79" s="199"/>
      <c r="CP79" s="199"/>
      <c r="CQ79" s="199"/>
      <c r="CR79" s="199"/>
      <c r="CS79" s="199"/>
      <c r="CT79" s="199"/>
      <c r="CU79" s="199"/>
      <c r="CV79" s="199"/>
      <c r="CW79" s="199"/>
      <c r="CX79" s="199"/>
      <c r="CY79" s="199"/>
      <c r="CZ79" s="199"/>
      <c r="DA79" s="199"/>
      <c r="DB79" s="199"/>
    </row>
    <row r="80" spans="2:108" ht="20" hidden="1" x14ac:dyDescent="0.2">
      <c r="B80" s="330"/>
      <c r="C80" s="412"/>
      <c r="D80" s="37"/>
      <c r="E80" s="37"/>
      <c r="F80" s="37"/>
      <c r="G80" s="998"/>
      <c r="H80"/>
      <c r="I80"/>
      <c r="J80"/>
      <c r="K80"/>
      <c r="L80"/>
      <c r="M80"/>
      <c r="N80"/>
      <c r="O80" s="995"/>
      <c r="U80" s="212"/>
      <c r="V80" s="187"/>
      <c r="AB80" s="187"/>
      <c r="AC80" s="187"/>
      <c r="AD80" s="187"/>
      <c r="AE80" s="187"/>
      <c r="AF80" s="187"/>
      <c r="AG80" s="187"/>
      <c r="AH80" s="187"/>
      <c r="AI80" s="187"/>
      <c r="AJ80" s="187"/>
      <c r="AK80" s="187"/>
      <c r="AL80" s="187"/>
      <c r="AM80" s="187"/>
      <c r="AN80" s="187"/>
      <c r="AO80" s="187"/>
      <c r="AP80" s="187"/>
      <c r="AQ80" s="187"/>
      <c r="AR80" s="187"/>
      <c r="AS80" s="187"/>
      <c r="AT80" s="187"/>
      <c r="AU80" s="187"/>
      <c r="AV80" s="187"/>
      <c r="AW80" s="187"/>
      <c r="AX80" s="187"/>
      <c r="AY80" s="187"/>
      <c r="AZ80" s="187"/>
      <c r="BA80" s="187"/>
      <c r="BB80" s="187"/>
      <c r="BC80" s="126"/>
      <c r="BE80" s="136"/>
      <c r="BF80" s="136"/>
      <c r="BG80" s="136"/>
      <c r="BH80" s="136"/>
      <c r="BI80" s="136"/>
      <c r="BJ80" s="136"/>
      <c r="BK80" s="136"/>
      <c r="BL80" s="136"/>
      <c r="BM80" s="402"/>
      <c r="BN80" s="136"/>
      <c r="BO80" s="1091"/>
      <c r="BP80" s="78"/>
      <c r="BQ80" s="199"/>
      <c r="BR80" s="199"/>
      <c r="BS80" s="199"/>
      <c r="BT80" s="199"/>
      <c r="BU80" s="199"/>
      <c r="BV80" s="199"/>
      <c r="BW80" s="199"/>
      <c r="BX80" s="199"/>
      <c r="BY80" s="199"/>
      <c r="BZ80" s="199"/>
      <c r="CA80" s="199"/>
      <c r="CB80" s="199"/>
      <c r="CC80" s="199"/>
      <c r="CD80" s="199"/>
      <c r="CE80" s="199"/>
      <c r="CF80" s="199"/>
      <c r="CG80" s="199"/>
      <c r="CH80" s="199"/>
      <c r="CI80" s="199"/>
      <c r="CJ80" s="199"/>
      <c r="CK80" s="199"/>
      <c r="CL80" s="199"/>
      <c r="CM80" s="199"/>
      <c r="CN80" s="199"/>
      <c r="CO80" s="199"/>
      <c r="CP80" s="199"/>
      <c r="CQ80" s="199"/>
      <c r="CR80" s="199"/>
      <c r="CS80" s="199"/>
      <c r="CT80" s="199"/>
      <c r="CU80" s="199"/>
      <c r="CV80" s="199"/>
      <c r="CW80" s="199"/>
      <c r="CX80" s="199"/>
      <c r="CY80" s="199"/>
      <c r="CZ80" s="199"/>
      <c r="DA80" s="199"/>
      <c r="DB80" s="199"/>
    </row>
    <row r="81" spans="2:108" ht="20" hidden="1" x14ac:dyDescent="0.2">
      <c r="B81" s="330"/>
      <c r="C81" s="412"/>
      <c r="D81" s="37"/>
      <c r="E81" s="37"/>
      <c r="F81" s="37"/>
      <c r="G81" s="998"/>
      <c r="H81"/>
      <c r="I81"/>
      <c r="J81"/>
      <c r="K81"/>
      <c r="L81"/>
      <c r="M81"/>
      <c r="N81"/>
      <c r="O81" s="995"/>
      <c r="U81" s="212"/>
      <c r="V81" s="187"/>
      <c r="AB81" s="187"/>
      <c r="AC81" s="187"/>
      <c r="AD81" s="187"/>
      <c r="AE81" s="187"/>
      <c r="AF81" s="187"/>
      <c r="AG81" s="187"/>
      <c r="AH81" s="187"/>
      <c r="AI81" s="187"/>
      <c r="AJ81" s="187"/>
      <c r="AK81" s="187"/>
      <c r="AL81" s="187"/>
      <c r="AM81" s="187"/>
      <c r="AN81" s="187"/>
      <c r="AO81" s="187"/>
      <c r="AP81" s="187"/>
      <c r="AQ81" s="187"/>
      <c r="AR81" s="187"/>
      <c r="AS81" s="187"/>
      <c r="AT81" s="187"/>
      <c r="AU81" s="187"/>
      <c r="AV81" s="187"/>
      <c r="AW81" s="187"/>
      <c r="AX81" s="187"/>
      <c r="AY81" s="187"/>
      <c r="AZ81" s="187"/>
      <c r="BA81" s="187"/>
      <c r="BB81" s="187"/>
      <c r="BC81" s="126"/>
      <c r="BE81" s="136"/>
      <c r="BF81" s="136"/>
      <c r="BG81" s="136"/>
      <c r="BH81" s="136"/>
      <c r="BI81" s="136"/>
      <c r="BJ81" s="136"/>
      <c r="BK81" s="136"/>
      <c r="BL81" s="136"/>
      <c r="BM81" s="402"/>
      <c r="BN81" s="136"/>
      <c r="BO81" s="1091"/>
      <c r="BP81" s="78"/>
      <c r="BQ81" s="199"/>
      <c r="BR81" s="199"/>
      <c r="BS81" s="199"/>
      <c r="BT81" s="199"/>
      <c r="BU81" s="199"/>
      <c r="BV81" s="199"/>
      <c r="BW81" s="199"/>
      <c r="BX81" s="199"/>
      <c r="BY81" s="199"/>
      <c r="BZ81" s="199"/>
      <c r="CA81" s="199"/>
      <c r="CB81" s="199"/>
      <c r="CC81" s="199"/>
      <c r="CD81" s="199"/>
      <c r="CE81" s="199"/>
      <c r="CF81" s="199"/>
      <c r="CG81" s="199"/>
      <c r="CH81" s="199"/>
      <c r="CI81" s="199"/>
      <c r="CJ81" s="199"/>
      <c r="CK81" s="199"/>
      <c r="CL81" s="199"/>
      <c r="CM81" s="199"/>
      <c r="CN81" s="199"/>
      <c r="CO81" s="199"/>
      <c r="CP81" s="199"/>
      <c r="CQ81" s="199"/>
      <c r="CR81" s="199"/>
      <c r="CS81" s="199"/>
      <c r="CT81" s="199"/>
      <c r="CU81" s="199"/>
      <c r="CV81" s="199"/>
      <c r="CW81" s="199"/>
      <c r="CX81" s="199"/>
      <c r="CY81" s="199"/>
      <c r="CZ81" s="199"/>
      <c r="DA81" s="199"/>
      <c r="DB81" s="199"/>
    </row>
    <row r="82" spans="2:108" ht="21" hidden="1" thickBot="1" x14ac:dyDescent="0.25">
      <c r="B82" s="330"/>
      <c r="C82" s="412"/>
      <c r="D82" s="37"/>
      <c r="E82" s="37"/>
      <c r="F82" s="37"/>
      <c r="G82" s="998"/>
      <c r="H82"/>
      <c r="I82"/>
      <c r="J82"/>
      <c r="K82"/>
      <c r="L82"/>
      <c r="M82"/>
      <c r="N82"/>
      <c r="O82" s="995"/>
      <c r="U82" s="212"/>
      <c r="V82" s="187"/>
      <c r="AB82" s="187"/>
      <c r="AC82" s="187"/>
      <c r="AD82" s="187"/>
      <c r="AE82" s="187"/>
      <c r="AF82" s="187"/>
      <c r="AG82" s="187"/>
      <c r="AH82" s="187"/>
      <c r="AI82" s="187"/>
      <c r="AJ82" s="187"/>
      <c r="AK82" s="187"/>
      <c r="AL82" s="187"/>
      <c r="AM82" s="187"/>
      <c r="AN82" s="187"/>
      <c r="AO82" s="187"/>
      <c r="AP82" s="187"/>
      <c r="AQ82" s="187"/>
      <c r="AR82" s="187"/>
      <c r="AS82" s="187"/>
      <c r="AT82" s="187"/>
      <c r="AU82" s="187"/>
      <c r="AV82" s="187"/>
      <c r="AW82" s="187"/>
      <c r="AX82" s="187"/>
      <c r="AY82" s="187"/>
      <c r="AZ82" s="187"/>
      <c r="BA82" s="187"/>
      <c r="BB82" s="187"/>
      <c r="BC82" s="126"/>
      <c r="BE82" s="136"/>
      <c r="BF82" s="136"/>
      <c r="BG82" s="136"/>
      <c r="BH82" s="136"/>
      <c r="BI82" s="136"/>
      <c r="BJ82" s="136"/>
      <c r="BK82" s="136"/>
      <c r="BL82" s="136"/>
      <c r="BM82" s="402"/>
      <c r="BN82" s="136"/>
      <c r="BO82" s="1091"/>
      <c r="BP82" s="78"/>
      <c r="BQ82" s="199"/>
      <c r="BR82" s="199"/>
      <c r="BS82" s="199"/>
      <c r="BT82" s="199"/>
      <c r="BU82" s="199"/>
      <c r="BV82" s="199"/>
      <c r="BW82" s="199"/>
      <c r="BX82" s="199"/>
      <c r="BY82" s="199"/>
      <c r="BZ82" s="199"/>
      <c r="CA82" s="199"/>
      <c r="CB82" s="199"/>
      <c r="CC82" s="199"/>
      <c r="CD82" s="199"/>
      <c r="CE82" s="199"/>
      <c r="CF82" s="199"/>
      <c r="CG82" s="199"/>
      <c r="CH82" s="199"/>
      <c r="CI82" s="199"/>
      <c r="CJ82" s="199"/>
      <c r="CK82" s="199"/>
      <c r="CL82" s="199"/>
      <c r="CM82" s="199"/>
      <c r="CN82" s="199"/>
      <c r="CO82" s="199"/>
      <c r="CP82" s="199"/>
      <c r="CQ82" s="199"/>
      <c r="CR82" s="199"/>
      <c r="CS82" s="199"/>
      <c r="CT82" s="199"/>
      <c r="CU82" s="199"/>
      <c r="CV82" s="199"/>
      <c r="CW82" s="199"/>
      <c r="CX82" s="199"/>
      <c r="CY82" s="199"/>
      <c r="CZ82" s="199"/>
      <c r="DA82" s="199"/>
      <c r="DB82" s="199"/>
    </row>
    <row r="83" spans="2:108" ht="21" hidden="1" thickBot="1" x14ac:dyDescent="0.25">
      <c r="B83" s="330"/>
      <c r="C83" s="412"/>
      <c r="D83" s="37"/>
      <c r="E83" s="37"/>
      <c r="F83" s="37"/>
      <c r="G83" s="998"/>
      <c r="H83"/>
      <c r="I83"/>
      <c r="J83"/>
      <c r="K83" s="988">
        <v>5</v>
      </c>
      <c r="L83"/>
      <c r="M83" s="988">
        <v>51</v>
      </c>
      <c r="N83"/>
      <c r="O83" s="995"/>
      <c r="U83" s="212"/>
      <c r="V83" s="187"/>
      <c r="AB83" s="187"/>
      <c r="AC83" s="187"/>
      <c r="AD83" s="187"/>
      <c r="AE83" s="187"/>
      <c r="AF83" s="187"/>
      <c r="AG83" s="187"/>
      <c r="AH83" s="187"/>
      <c r="AI83" s="187"/>
      <c r="AJ83" s="187"/>
      <c r="AK83" s="187"/>
      <c r="AL83" s="187"/>
      <c r="AM83" s="187"/>
      <c r="AN83" s="187"/>
      <c r="AO83" s="187"/>
      <c r="AP83" s="187"/>
      <c r="AQ83" s="187"/>
      <c r="AR83" s="187"/>
      <c r="AS83" s="187"/>
      <c r="AT83" s="187"/>
      <c r="AU83" s="187"/>
      <c r="AV83" s="187"/>
      <c r="AW83" s="187"/>
      <c r="AX83" s="187"/>
      <c r="AY83" s="187"/>
      <c r="AZ83" s="187"/>
      <c r="BA83" s="187"/>
      <c r="BB83" s="187"/>
      <c r="BC83" s="126"/>
      <c r="BE83" s="136"/>
      <c r="BF83" s="136"/>
      <c r="BG83" s="136"/>
      <c r="BH83" s="136"/>
      <c r="BI83" s="136"/>
      <c r="BJ83" s="136"/>
      <c r="BK83" s="136"/>
      <c r="BL83" s="136"/>
      <c r="BM83" s="402"/>
      <c r="BN83" s="136"/>
      <c r="BO83" s="1091"/>
      <c r="BP83" s="78"/>
      <c r="BQ83" s="199"/>
      <c r="BR83" s="199"/>
      <c r="BS83" s="199"/>
      <c r="BT83" s="199"/>
      <c r="BU83" s="199"/>
      <c r="BV83" s="199"/>
      <c r="BW83" s="199"/>
      <c r="BX83" s="199"/>
      <c r="BY83" s="199"/>
      <c r="BZ83" s="199"/>
      <c r="CA83" s="199"/>
      <c r="CB83" s="199"/>
      <c r="CC83" s="199"/>
      <c r="CD83" s="199"/>
      <c r="CE83" s="199"/>
      <c r="CF83" s="199"/>
      <c r="CG83" s="199"/>
      <c r="CH83" s="199"/>
      <c r="CI83" s="199"/>
      <c r="CJ83" s="199"/>
      <c r="CK83" s="199"/>
      <c r="CL83" s="199"/>
      <c r="CM83" s="199"/>
      <c r="CN83" s="199"/>
      <c r="CO83" s="199"/>
      <c r="CP83" s="199"/>
      <c r="CQ83" s="199"/>
      <c r="CR83" s="199"/>
      <c r="CS83" s="199"/>
      <c r="CT83" s="199"/>
      <c r="CU83" s="199"/>
      <c r="CV83" s="199"/>
      <c r="CW83" s="199"/>
      <c r="CX83" s="199"/>
      <c r="CY83" s="199"/>
      <c r="CZ83" s="199"/>
      <c r="DA83" s="199"/>
      <c r="DB83" s="199"/>
    </row>
    <row r="84" spans="2:108" ht="64" hidden="1" thickBot="1" x14ac:dyDescent="0.25">
      <c r="B84" s="330"/>
      <c r="C84" s="412"/>
      <c r="D84" s="37"/>
      <c r="E84" s="37"/>
      <c r="F84" s="37"/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U84" s="212"/>
      <c r="V84" s="187"/>
      <c r="AB84" s="187"/>
      <c r="AC84" s="187"/>
      <c r="AD84" s="187"/>
      <c r="AE84" s="187"/>
      <c r="AF84" s="187"/>
      <c r="AG84" s="187"/>
      <c r="AH84" s="187"/>
      <c r="AI84" s="187"/>
      <c r="AJ84" s="187"/>
      <c r="AK84" s="187"/>
      <c r="AL84" s="187"/>
      <c r="AM84" s="187"/>
      <c r="AN84" s="187"/>
      <c r="AO84" s="187"/>
      <c r="AP84" s="187"/>
      <c r="AQ84" s="187"/>
      <c r="AR84" s="187"/>
      <c r="AS84" s="187"/>
      <c r="AT84" s="187"/>
      <c r="AU84" s="187"/>
      <c r="AV84" s="187"/>
      <c r="AW84" s="187"/>
      <c r="AX84" s="187"/>
      <c r="AY84" s="187"/>
      <c r="AZ84" s="187"/>
      <c r="BA84" s="187"/>
      <c r="BB84" s="187"/>
      <c r="BC84" s="126"/>
      <c r="BE84" s="136"/>
      <c r="BF84" s="136"/>
      <c r="BG84" s="136"/>
      <c r="BH84" s="136"/>
      <c r="BI84" s="136"/>
      <c r="BJ84" s="136"/>
      <c r="BK84" s="136"/>
      <c r="BL84" s="136"/>
      <c r="BM84" s="402"/>
      <c r="BN84" s="136"/>
      <c r="BO84" s="1091"/>
      <c r="BP84" s="78"/>
      <c r="BQ84" s="199"/>
      <c r="BR84" s="199"/>
      <c r="BS84" s="199"/>
      <c r="BT84" s="199"/>
      <c r="BU84" s="199"/>
      <c r="BV84" s="199"/>
      <c r="BW84" s="199"/>
      <c r="BX84" s="199"/>
      <c r="BY84" s="199"/>
      <c r="BZ84" s="199"/>
      <c r="CA84" s="199"/>
      <c r="CB84" s="199"/>
      <c r="CC84" s="199"/>
      <c r="CD84" s="199"/>
      <c r="CE84" s="199"/>
      <c r="CF84" s="199"/>
      <c r="CG84" s="199"/>
      <c r="CH84" s="199"/>
      <c r="CI84" s="199"/>
      <c r="CJ84" s="199"/>
      <c r="CK84" s="199"/>
      <c r="CL84" s="199"/>
      <c r="CM84" s="199"/>
      <c r="CN84" s="199"/>
      <c r="CO84" s="199"/>
      <c r="CP84" s="199"/>
      <c r="CQ84" s="199"/>
      <c r="CR84" s="199"/>
      <c r="CS84" s="199"/>
      <c r="CT84" s="199"/>
      <c r="CU84" s="199"/>
      <c r="CV84" s="199"/>
      <c r="CW84" s="199"/>
      <c r="CX84" s="199"/>
      <c r="CY84" s="199"/>
      <c r="CZ84" s="199"/>
      <c r="DA84" s="199"/>
      <c r="DB84" s="199"/>
    </row>
    <row r="85" spans="2:108" ht="47.25" hidden="1" customHeight="1" thickBot="1" x14ac:dyDescent="0.3">
      <c r="B85" s="330"/>
      <c r="C85" s="412"/>
      <c r="D85" s="37"/>
      <c r="E85" s="37"/>
      <c r="F85" s="37"/>
      <c r="G85" s="998"/>
      <c r="H85"/>
      <c r="I85"/>
      <c r="J85" s="1087" t="s">
        <v>264</v>
      </c>
      <c r="K85" s="1080">
        <f>+MIN(J19:K20)</f>
        <v>33.855268726195511</v>
      </c>
      <c r="L85" s="1081">
        <f>+$E$22/(BQ27)</f>
        <v>33.855268726195511</v>
      </c>
      <c r="M85" s="1081">
        <f>+MIN(K25:L26)</f>
        <v>33.855268726195511</v>
      </c>
      <c r="N85"/>
      <c r="O85" s="995"/>
      <c r="U85" s="212"/>
      <c r="V85" s="187"/>
      <c r="AB85" s="187"/>
      <c r="AC85" s="187"/>
      <c r="AD85" s="187"/>
      <c r="AE85" s="187"/>
      <c r="AF85" s="187"/>
      <c r="AG85" s="187"/>
      <c r="AH85" s="187"/>
      <c r="AI85" s="187"/>
      <c r="AJ85" s="187"/>
      <c r="AK85" s="187"/>
      <c r="AL85" s="187"/>
      <c r="AM85" s="187"/>
      <c r="AN85" s="187"/>
      <c r="AO85" s="187"/>
      <c r="AP85" s="187"/>
      <c r="AQ85" s="187"/>
      <c r="AR85" s="187"/>
      <c r="AS85" s="187"/>
      <c r="AT85" s="187"/>
      <c r="AU85" s="187"/>
      <c r="AV85" s="187"/>
      <c r="AW85" s="187"/>
      <c r="AX85" s="187"/>
      <c r="AY85" s="187"/>
      <c r="AZ85" s="187"/>
      <c r="BA85" s="187"/>
      <c r="BB85" s="187"/>
      <c r="BC85" s="126"/>
      <c r="BE85" s="136"/>
      <c r="BF85" s="136"/>
      <c r="BG85" s="136"/>
      <c r="BH85" s="136"/>
      <c r="BI85" s="136"/>
      <c r="BJ85" s="136"/>
      <c r="BK85" s="136"/>
      <c r="BL85" s="136"/>
      <c r="BM85" s="402"/>
      <c r="BN85" s="136"/>
      <c r="BO85" s="1091"/>
      <c r="BP85" s="78"/>
      <c r="BQ85" s="199"/>
      <c r="BR85" s="199"/>
      <c r="BS85" s="199"/>
      <c r="BT85" s="199"/>
      <c r="BU85" s="199"/>
      <c r="BV85" s="199"/>
      <c r="BW85" s="199"/>
      <c r="BX85" s="199"/>
      <c r="BY85" s="199"/>
      <c r="BZ85" s="199"/>
      <c r="CA85" s="199"/>
      <c r="CB85" s="199"/>
      <c r="CC85" s="199"/>
      <c r="CD85" s="199"/>
      <c r="CE85" s="199"/>
      <c r="CF85" s="199"/>
      <c r="CG85" s="199"/>
      <c r="CH85" s="199"/>
      <c r="CI85" s="199"/>
      <c r="CJ85" s="199"/>
      <c r="CK85" s="199"/>
      <c r="CL85" s="199"/>
      <c r="CM85" s="199"/>
      <c r="CN85" s="199"/>
      <c r="CO85" s="199"/>
      <c r="CP85" s="199"/>
      <c r="CQ85" s="199"/>
      <c r="CR85" s="199"/>
      <c r="CS85" s="199"/>
      <c r="CT85" s="199"/>
      <c r="CU85" s="199"/>
      <c r="CV85" s="199"/>
      <c r="CW85" s="199"/>
      <c r="CX85" s="199"/>
      <c r="CY85" s="199"/>
      <c r="CZ85" s="199"/>
      <c r="DA85" s="199"/>
      <c r="DB85" s="199"/>
    </row>
    <row r="86" spans="2:108" ht="21" hidden="1" thickBot="1" x14ac:dyDescent="0.25">
      <c r="B86" s="330"/>
      <c r="C86" s="412"/>
      <c r="D86" s="37"/>
      <c r="E86" s="37"/>
      <c r="F86" s="37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U86" s="212"/>
      <c r="V86" s="187"/>
      <c r="AB86" s="187"/>
      <c r="AC86" s="187"/>
      <c r="AD86" s="187"/>
      <c r="AE86" s="187"/>
      <c r="AF86" s="187"/>
      <c r="AG86" s="187"/>
      <c r="AH86" s="187"/>
      <c r="AI86" s="187"/>
      <c r="AJ86" s="187"/>
      <c r="AK86" s="187"/>
      <c r="AL86" s="187"/>
      <c r="AM86" s="187"/>
      <c r="AN86" s="187"/>
      <c r="AO86" s="187"/>
      <c r="AP86" s="187"/>
      <c r="AQ86" s="187"/>
      <c r="AR86" s="187"/>
      <c r="AS86" s="187"/>
      <c r="AT86" s="187"/>
      <c r="AU86" s="187"/>
      <c r="AV86" s="187"/>
      <c r="AW86" s="187"/>
      <c r="AX86" s="187"/>
      <c r="AY86" s="187"/>
      <c r="AZ86" s="187"/>
      <c r="BA86" s="187"/>
      <c r="BB86" s="187"/>
      <c r="BC86" s="126"/>
      <c r="BE86" s="136"/>
      <c r="BF86" s="136"/>
      <c r="BG86" s="136"/>
      <c r="BH86" s="136"/>
      <c r="BI86" s="136"/>
      <c r="BJ86" s="136"/>
      <c r="BK86" s="136"/>
      <c r="BL86" s="136"/>
      <c r="BM86" s="402"/>
      <c r="BN86" s="136"/>
      <c r="BO86" s="1091"/>
      <c r="BP86" s="78"/>
      <c r="BQ86" s="199"/>
      <c r="BR86" s="199"/>
      <c r="BS86" s="199"/>
      <c r="BT86" s="199"/>
      <c r="BU86" s="199"/>
      <c r="BV86" s="199"/>
      <c r="BW86" s="199"/>
      <c r="BX86" s="199"/>
      <c r="BY86" s="199"/>
      <c r="BZ86" s="199"/>
      <c r="CA86" s="199"/>
      <c r="CB86" s="199"/>
      <c r="CC86" s="199"/>
      <c r="CD86" s="199"/>
      <c r="CE86" s="199"/>
      <c r="CF86" s="199"/>
      <c r="CG86" s="199"/>
      <c r="CH86" s="199"/>
      <c r="CI86" s="199"/>
      <c r="CJ86" s="199"/>
      <c r="CK86" s="199"/>
      <c r="CL86" s="199"/>
      <c r="CM86" s="199"/>
      <c r="CN86" s="199"/>
      <c r="CO86" s="199"/>
      <c r="CP86" s="199"/>
      <c r="CQ86" s="199"/>
      <c r="CR86" s="199"/>
      <c r="CS86" s="199"/>
      <c r="CT86" s="199"/>
      <c r="CU86" s="199"/>
      <c r="CV86" s="199"/>
      <c r="CW86" s="199"/>
      <c r="CX86" s="199"/>
      <c r="CY86" s="199"/>
      <c r="CZ86" s="199"/>
      <c r="DA86" s="199"/>
      <c r="DB86" s="199"/>
    </row>
    <row r="87" spans="2:108" ht="20" hidden="1" x14ac:dyDescent="0.2">
      <c r="B87" s="330"/>
      <c r="C87" s="412"/>
      <c r="D87" s="37"/>
      <c r="E87" s="37"/>
      <c r="F87" s="37"/>
      <c r="G87" s="998"/>
      <c r="H87"/>
      <c r="I87"/>
      <c r="J87"/>
      <c r="K87"/>
      <c r="L87"/>
      <c r="M87"/>
      <c r="N87"/>
      <c r="O87" s="995"/>
      <c r="U87" s="212"/>
      <c r="V87" s="187"/>
      <c r="AB87" s="187"/>
      <c r="AC87" s="187"/>
      <c r="AD87" s="187"/>
      <c r="AE87" s="187"/>
      <c r="AF87" s="187"/>
      <c r="AG87" s="187"/>
      <c r="AH87" s="187"/>
      <c r="AI87" s="187"/>
      <c r="AJ87" s="187"/>
      <c r="AK87" s="187"/>
      <c r="AL87" s="187"/>
      <c r="AM87" s="187"/>
      <c r="AN87" s="187"/>
      <c r="AO87" s="187"/>
      <c r="AP87" s="187"/>
      <c r="AQ87" s="187"/>
      <c r="AR87" s="187"/>
      <c r="AS87" s="187"/>
      <c r="AT87" s="187"/>
      <c r="AU87" s="187"/>
      <c r="AV87" s="187"/>
      <c r="AW87" s="187"/>
      <c r="AX87" s="187"/>
      <c r="AY87" s="187"/>
      <c r="AZ87" s="187"/>
      <c r="BA87" s="187"/>
      <c r="BB87" s="187"/>
      <c r="BC87" s="126"/>
      <c r="BE87" s="136"/>
      <c r="BF87" s="136"/>
      <c r="BG87" s="136"/>
      <c r="BH87" s="136"/>
      <c r="BI87" s="136"/>
      <c r="BJ87" s="136"/>
      <c r="BK87" s="136"/>
      <c r="BL87" s="136"/>
      <c r="BM87" s="402"/>
      <c r="BN87" s="136"/>
      <c r="BO87" s="1091"/>
      <c r="BP87" s="78"/>
      <c r="BQ87" s="199"/>
      <c r="BR87" s="199"/>
      <c r="BS87" s="199"/>
      <c r="BT87" s="199"/>
      <c r="BU87" s="199"/>
      <c r="BV87" s="199"/>
      <c r="BW87" s="199"/>
      <c r="BX87" s="199"/>
      <c r="BY87" s="199"/>
      <c r="BZ87" s="199"/>
      <c r="CA87" s="199"/>
      <c r="CB87" s="199"/>
      <c r="CC87" s="199"/>
      <c r="CD87" s="199"/>
      <c r="CE87" s="199"/>
      <c r="CF87" s="199"/>
      <c r="CG87" s="199"/>
      <c r="CH87" s="199"/>
      <c r="CI87" s="199"/>
      <c r="CJ87" s="199"/>
      <c r="CK87" s="199"/>
      <c r="CL87" s="199"/>
      <c r="CM87" s="199"/>
      <c r="CN87" s="199"/>
      <c r="CO87" s="199"/>
      <c r="CP87" s="199"/>
      <c r="CQ87" s="199"/>
      <c r="CR87" s="199"/>
      <c r="CS87" s="199"/>
      <c r="CT87" s="199"/>
      <c r="CU87" s="199"/>
      <c r="CV87" s="199"/>
      <c r="CW87" s="199"/>
      <c r="CX87" s="199"/>
      <c r="CY87" s="199"/>
      <c r="CZ87" s="199"/>
      <c r="DA87" s="199"/>
      <c r="DB87" s="199"/>
    </row>
    <row r="88" spans="2:108" ht="149.25" hidden="1" customHeight="1" thickBot="1" x14ac:dyDescent="0.3">
      <c r="E88" s="397"/>
      <c r="F88" s="397"/>
      <c r="G88" s="998"/>
      <c r="H88"/>
      <c r="I88"/>
      <c r="J88"/>
      <c r="K88"/>
      <c r="L88"/>
      <c r="M88"/>
      <c r="N88"/>
      <c r="O88" s="995"/>
      <c r="BN88" s="86"/>
      <c r="BO88" s="18"/>
      <c r="BP88" s="96"/>
      <c r="BQ88" s="89"/>
      <c r="BR88" s="89"/>
      <c r="BS88" s="89"/>
      <c r="BT88" s="89"/>
      <c r="BU88" s="89"/>
      <c r="BV88" s="89"/>
      <c r="BW88" s="89"/>
      <c r="BX88" s="89"/>
      <c r="BY88" s="89"/>
      <c r="BZ88" s="94"/>
      <c r="CA88" s="89"/>
      <c r="CB88" s="89"/>
      <c r="CC88" s="89"/>
      <c r="CD88" s="89"/>
      <c r="CE88" s="89"/>
      <c r="CF88" s="89"/>
      <c r="CG88" s="89"/>
      <c r="CH88" s="89"/>
      <c r="CI88" s="89"/>
      <c r="CJ88" s="89"/>
      <c r="CK88" s="89"/>
      <c r="CL88" s="89"/>
      <c r="CM88" s="89"/>
      <c r="CN88" s="37"/>
      <c r="CO88" s="95"/>
      <c r="CP88" s="95"/>
      <c r="CQ88" s="95"/>
      <c r="CR88" s="95"/>
      <c r="CS88" s="92"/>
      <c r="CT88" s="92"/>
      <c r="CU88" s="92"/>
      <c r="CV88" s="92"/>
      <c r="CW88" s="92"/>
      <c r="CX88" s="92"/>
      <c r="CY88" s="92"/>
      <c r="CZ88" s="92"/>
      <c r="DA88" s="92"/>
      <c r="DB88" s="92"/>
      <c r="DC88" s="17"/>
      <c r="DD88" s="78"/>
    </row>
    <row r="89" spans="2:108" ht="24" hidden="1" thickBot="1" x14ac:dyDescent="0.3">
      <c r="E89" s="397"/>
      <c r="F89" s="397"/>
      <c r="G89" s="998"/>
      <c r="H89"/>
      <c r="I89"/>
      <c r="J89"/>
      <c r="K89"/>
      <c r="L89"/>
      <c r="M89"/>
      <c r="N89"/>
      <c r="O89" s="995"/>
      <c r="BN89" s="86"/>
      <c r="BO89" s="18"/>
      <c r="BP89" s="96">
        <v>36</v>
      </c>
      <c r="BQ89" s="89"/>
      <c r="BR89" s="89"/>
      <c r="BS89" s="89"/>
      <c r="BT89" s="89"/>
      <c r="BU89" s="89"/>
      <c r="BV89" s="89"/>
      <c r="BW89" s="89"/>
      <c r="BX89" s="89"/>
      <c r="BY89" s="89"/>
      <c r="BZ89" s="94"/>
      <c r="CA89" s="89"/>
      <c r="CB89" s="89"/>
      <c r="CC89" s="89"/>
      <c r="CD89" s="89"/>
      <c r="CE89" s="89"/>
      <c r="CF89" s="89"/>
      <c r="CG89" s="89"/>
      <c r="CH89" s="98"/>
      <c r="CI89" s="99"/>
      <c r="CJ89" s="100"/>
      <c r="CK89" s="89"/>
      <c r="CL89" s="89"/>
      <c r="CM89" s="89"/>
      <c r="CN89" s="37"/>
      <c r="CO89" s="95"/>
      <c r="CP89" s="95"/>
      <c r="CQ89" s="95"/>
      <c r="CR89" s="95"/>
      <c r="CS89" s="92"/>
      <c r="CT89" s="92"/>
      <c r="CU89" s="92"/>
      <c r="CV89" s="92"/>
      <c r="CW89" s="92"/>
      <c r="CX89" s="92"/>
      <c r="CY89" s="101" t="b">
        <f>IF(CZ59=36,35)</f>
        <v>0</v>
      </c>
      <c r="CZ89" s="102"/>
      <c r="DA89" s="103" t="b">
        <f>IF(CZ59=36,37)</f>
        <v>0</v>
      </c>
      <c r="DB89" s="92"/>
      <c r="DC89" s="17"/>
      <c r="DD89" s="78"/>
    </row>
    <row r="90" spans="2:108" ht="24" hidden="1" thickBot="1" x14ac:dyDescent="0.3">
      <c r="E90" s="397"/>
      <c r="F90" s="397"/>
      <c r="G90" s="998"/>
      <c r="H90"/>
      <c r="I90"/>
      <c r="J90"/>
      <c r="K90"/>
      <c r="L90"/>
      <c r="M90"/>
      <c r="N90"/>
      <c r="O90" s="995"/>
      <c r="BN90" s="86"/>
      <c r="BO90" s="18"/>
      <c r="BP90" s="96">
        <v>35</v>
      </c>
      <c r="BQ90" s="89"/>
      <c r="BR90" s="89"/>
      <c r="BS90" s="89"/>
      <c r="BT90" s="89"/>
      <c r="BU90" s="89"/>
      <c r="BV90" s="89"/>
      <c r="BW90" s="89"/>
      <c r="BX90" s="89"/>
      <c r="BY90" s="89"/>
      <c r="BZ90" s="94"/>
      <c r="CA90" s="89"/>
      <c r="CB90" s="89"/>
      <c r="CC90" s="89"/>
      <c r="CD90" s="89"/>
      <c r="CE90" s="89"/>
      <c r="CF90" s="89"/>
      <c r="CG90" s="89"/>
      <c r="CH90" s="104"/>
      <c r="CI90" s="89"/>
      <c r="CJ90" s="105"/>
      <c r="CK90" s="89"/>
      <c r="CL90" s="89"/>
      <c r="CM90" s="89"/>
      <c r="CN90" s="37"/>
      <c r="CO90" s="95"/>
      <c r="CP90" s="95"/>
      <c r="CQ90" s="95"/>
      <c r="CR90" s="95"/>
      <c r="CS90" s="92"/>
      <c r="CT90" s="92"/>
      <c r="CU90" s="92"/>
      <c r="CV90" s="92"/>
      <c r="CW90" s="101" t="b">
        <f>IF(CY59=35,33)</f>
        <v>0</v>
      </c>
      <c r="CX90" s="102"/>
      <c r="CY90" s="102"/>
      <c r="CZ90" s="102"/>
      <c r="DA90" s="103" t="b">
        <f>IF(CY59=35,37)</f>
        <v>0</v>
      </c>
      <c r="DB90" s="92"/>
      <c r="DC90" s="17"/>
      <c r="DD90" s="78"/>
    </row>
    <row r="91" spans="2:108" ht="24" hidden="1" thickBot="1" x14ac:dyDescent="0.3">
      <c r="E91" s="397"/>
      <c r="F91" s="397"/>
      <c r="G91" s="998"/>
      <c r="H91"/>
      <c r="I91"/>
      <c r="J91"/>
      <c r="K91"/>
      <c r="L91"/>
      <c r="M91"/>
      <c r="N91"/>
      <c r="O91" s="995"/>
      <c r="BN91" s="86"/>
      <c r="BO91" s="18"/>
      <c r="BP91" s="96">
        <v>34</v>
      </c>
      <c r="BQ91" s="89"/>
      <c r="BR91" s="89"/>
      <c r="BS91" s="89"/>
      <c r="BT91" s="89"/>
      <c r="BU91" s="89"/>
      <c r="BV91" s="89"/>
      <c r="BW91" s="89"/>
      <c r="BX91" s="89"/>
      <c r="BY91" s="89"/>
      <c r="BZ91" s="94"/>
      <c r="CA91" s="89"/>
      <c r="CB91" s="89"/>
      <c r="CC91" s="89"/>
      <c r="CD91" s="89"/>
      <c r="CE91" s="89"/>
      <c r="CF91" s="89"/>
      <c r="CG91" s="89"/>
      <c r="CH91" s="104"/>
      <c r="CI91" s="89"/>
      <c r="CJ91" s="105"/>
      <c r="CK91" s="89"/>
      <c r="CL91" s="89"/>
      <c r="CM91" s="89"/>
      <c r="CN91" s="37"/>
      <c r="CO91" s="95"/>
      <c r="CP91" s="95"/>
      <c r="CQ91" s="95"/>
      <c r="CR91" s="95"/>
      <c r="CS91" s="92"/>
      <c r="CT91" s="92"/>
      <c r="CU91" s="101" t="b">
        <f>IF(CX59=34,31)</f>
        <v>0</v>
      </c>
      <c r="CV91" s="102"/>
      <c r="CW91" s="102"/>
      <c r="CX91" s="102"/>
      <c r="CY91" s="102"/>
      <c r="CZ91" s="102"/>
      <c r="DA91" s="103" t="b">
        <f>IF(CX59=34,37)</f>
        <v>0</v>
      </c>
      <c r="DB91" s="92"/>
      <c r="DC91" s="17"/>
      <c r="DD91" s="78"/>
    </row>
    <row r="92" spans="2:108" ht="24" hidden="1" thickBot="1" x14ac:dyDescent="0.3">
      <c r="E92" s="397"/>
      <c r="F92" s="397"/>
      <c r="G92" s="998"/>
      <c r="H92"/>
      <c r="I92"/>
      <c r="J92"/>
      <c r="K92"/>
      <c r="L92"/>
      <c r="M92"/>
      <c r="N92"/>
      <c r="O92" s="995"/>
      <c r="BN92" s="86"/>
      <c r="BO92" s="18"/>
      <c r="BP92" s="96">
        <v>33</v>
      </c>
      <c r="BQ92" s="89"/>
      <c r="BR92" s="89"/>
      <c r="BS92" s="89"/>
      <c r="BT92" s="89"/>
      <c r="BU92" s="89"/>
      <c r="BV92" s="89"/>
      <c r="BW92" s="89"/>
      <c r="BX92" s="89"/>
      <c r="BY92" s="89"/>
      <c r="BZ92" s="94"/>
      <c r="CA92" s="89"/>
      <c r="CB92" s="89"/>
      <c r="CC92" s="89"/>
      <c r="CD92" s="89"/>
      <c r="CE92" s="89"/>
      <c r="CF92" s="89"/>
      <c r="CG92" s="89"/>
      <c r="CH92" s="104"/>
      <c r="CI92" s="89"/>
      <c r="CJ92" s="105"/>
      <c r="CK92" s="89"/>
      <c r="CL92" s="89"/>
      <c r="CM92" s="89"/>
      <c r="CN92" s="37"/>
      <c r="CO92" s="95"/>
      <c r="CP92" s="95"/>
      <c r="CQ92" s="95"/>
      <c r="CR92" s="95"/>
      <c r="CS92" s="101" t="b">
        <f>IF(CW59=33,29)</f>
        <v>0</v>
      </c>
      <c r="CT92" s="102"/>
      <c r="CU92" s="102"/>
      <c r="CV92" s="102"/>
      <c r="CW92" s="102"/>
      <c r="CX92" s="102"/>
      <c r="CY92" s="102"/>
      <c r="CZ92" s="102"/>
      <c r="DA92" s="103" t="b">
        <f>IF(CW59=33,37)</f>
        <v>0</v>
      </c>
      <c r="DB92" s="92"/>
      <c r="DC92" s="17"/>
      <c r="DD92" s="78"/>
    </row>
    <row r="93" spans="2:108" ht="21" hidden="1" thickBot="1" x14ac:dyDescent="0.25">
      <c r="E93" s="397"/>
      <c r="F93" s="397"/>
      <c r="G93" s="998"/>
      <c r="H93"/>
      <c r="I93"/>
      <c r="J93"/>
      <c r="K93"/>
      <c r="L93"/>
      <c r="M93"/>
      <c r="N93"/>
      <c r="O93" s="995"/>
      <c r="BN93" s="86"/>
      <c r="BP93" s="96">
        <v>32</v>
      </c>
      <c r="BQ93" s="89"/>
      <c r="BR93" s="89"/>
      <c r="BS93" s="89"/>
      <c r="BT93" s="89"/>
      <c r="BU93" s="89"/>
      <c r="BV93" s="89"/>
      <c r="BW93" s="89"/>
      <c r="BX93" s="89"/>
      <c r="BY93" s="89"/>
      <c r="BZ93" s="107"/>
      <c r="CA93" s="107"/>
      <c r="CB93" s="107"/>
      <c r="CC93" s="107"/>
      <c r="CD93" s="107"/>
      <c r="CE93" s="107"/>
      <c r="CF93" s="107"/>
      <c r="CG93" s="107"/>
      <c r="CH93" s="109"/>
      <c r="CI93" s="107"/>
      <c r="CJ93" s="110"/>
      <c r="CK93" s="107"/>
      <c r="CL93" s="107"/>
      <c r="CM93" s="107"/>
      <c r="CN93" s="108"/>
      <c r="CO93" s="78"/>
      <c r="CP93" s="78"/>
      <c r="CQ93" s="101" t="b">
        <f>IF(CV59=32,27)</f>
        <v>0</v>
      </c>
      <c r="CR93" s="111"/>
      <c r="CS93" s="111"/>
      <c r="CT93" s="111"/>
      <c r="CU93" s="111"/>
      <c r="CV93" s="111"/>
      <c r="CW93" s="111"/>
      <c r="CX93" s="111"/>
      <c r="CY93" s="111"/>
      <c r="CZ93" s="111"/>
      <c r="DA93" s="103" t="b">
        <f>IF(CV59=32,37)</f>
        <v>0</v>
      </c>
      <c r="DB93" s="78"/>
      <c r="DC93" s="78"/>
      <c r="DD93" s="78"/>
    </row>
    <row r="94" spans="2:108" ht="21" hidden="1" thickBot="1" x14ac:dyDescent="0.25">
      <c r="E94" s="397"/>
      <c r="F94" s="397"/>
      <c r="G94" s="998"/>
      <c r="H94"/>
      <c r="I94"/>
      <c r="J94"/>
      <c r="K94"/>
      <c r="L94"/>
      <c r="M94"/>
      <c r="N94"/>
      <c r="O94" s="995"/>
      <c r="BN94" s="86"/>
      <c r="BP94" s="96">
        <v>31</v>
      </c>
      <c r="BQ94" s="107"/>
      <c r="BR94" s="107"/>
      <c r="BS94" s="107"/>
      <c r="BT94" s="107"/>
      <c r="BU94" s="107"/>
      <c r="BV94" s="108"/>
      <c r="BW94" s="107"/>
      <c r="BX94" s="107"/>
      <c r="BY94" s="107"/>
      <c r="BZ94" s="107"/>
      <c r="CA94" s="107"/>
      <c r="CB94" s="107"/>
      <c r="CC94" s="107"/>
      <c r="CD94" s="107"/>
      <c r="CE94" s="107"/>
      <c r="CF94" s="107"/>
      <c r="CG94" s="107"/>
      <c r="CH94" s="109"/>
      <c r="CI94" s="107"/>
      <c r="CJ94" s="110"/>
      <c r="CK94" s="107"/>
      <c r="CL94" s="107"/>
      <c r="CM94" s="107"/>
      <c r="CN94" s="108"/>
      <c r="CO94" s="101" t="b">
        <f>IF(CU59=31,25)</f>
        <v>0</v>
      </c>
      <c r="CP94" s="111"/>
      <c r="CQ94" s="111"/>
      <c r="CR94" s="111"/>
      <c r="CS94" s="111"/>
      <c r="CT94" s="111"/>
      <c r="CU94" s="111"/>
      <c r="CV94" s="111"/>
      <c r="CW94" s="111"/>
      <c r="CX94" s="111"/>
      <c r="CY94" s="111"/>
      <c r="CZ94" s="111"/>
      <c r="DA94" s="103" t="b">
        <f>IF(CU59=31,37)</f>
        <v>0</v>
      </c>
      <c r="DB94" s="78"/>
      <c r="DC94" s="78"/>
      <c r="DD94" s="78"/>
    </row>
    <row r="95" spans="2:108" ht="21" hidden="1" thickBot="1" x14ac:dyDescent="0.25">
      <c r="E95" s="397"/>
      <c r="F95" s="397"/>
      <c r="G95" s="998"/>
      <c r="H95"/>
      <c r="I95"/>
      <c r="J95"/>
      <c r="K95"/>
      <c r="L95"/>
      <c r="M95"/>
      <c r="N95"/>
      <c r="O95" s="995"/>
      <c r="BN95" s="86"/>
      <c r="BP95" s="96">
        <v>30</v>
      </c>
      <c r="BQ95" s="107"/>
      <c r="BR95" s="107"/>
      <c r="BS95" s="107"/>
      <c r="BT95" s="107"/>
      <c r="BU95" s="107"/>
      <c r="BV95" s="108"/>
      <c r="BW95" s="107"/>
      <c r="BX95" s="107"/>
      <c r="BY95" s="107"/>
      <c r="BZ95" s="107"/>
      <c r="CA95" s="107"/>
      <c r="CB95" s="107"/>
      <c r="CC95" s="107"/>
      <c r="CD95" s="107"/>
      <c r="CE95" s="107"/>
      <c r="CF95" s="107"/>
      <c r="CG95" s="107"/>
      <c r="CH95" s="109"/>
      <c r="CI95" s="107"/>
      <c r="CJ95" s="110"/>
      <c r="CK95" s="107"/>
      <c r="CL95" s="107"/>
      <c r="CM95" s="101" t="b">
        <f>IF(CT59=30,23)</f>
        <v>0</v>
      </c>
      <c r="CN95" s="112"/>
      <c r="CO95" s="111"/>
      <c r="CP95" s="111"/>
      <c r="CQ95" s="111"/>
      <c r="CR95" s="111"/>
      <c r="CS95" s="111"/>
      <c r="CT95" s="111"/>
      <c r="CU95" s="111"/>
      <c r="CV95" s="111"/>
      <c r="CW95" s="111"/>
      <c r="CX95" s="111"/>
      <c r="CY95" s="111"/>
      <c r="CZ95" s="111"/>
      <c r="DA95" s="103" t="b">
        <f>IF(CT59=30,37)</f>
        <v>0</v>
      </c>
      <c r="DB95" s="78"/>
      <c r="DC95" s="78"/>
      <c r="DD95" s="78"/>
    </row>
    <row r="96" spans="2:108" ht="21" hidden="1" thickBot="1" x14ac:dyDescent="0.25">
      <c r="E96" s="397"/>
      <c r="F96" s="397"/>
      <c r="G96" s="998"/>
      <c r="H96"/>
      <c r="I96"/>
      <c r="J96"/>
      <c r="K96"/>
      <c r="L96"/>
      <c r="M96"/>
      <c r="N96"/>
      <c r="O96" s="995"/>
      <c r="BE96" s="114"/>
      <c r="BF96" s="114"/>
      <c r="BG96" s="114"/>
      <c r="BH96" s="114"/>
      <c r="BN96" s="86"/>
      <c r="BO96" s="114"/>
      <c r="BP96" s="96">
        <v>29</v>
      </c>
      <c r="BQ96" s="78"/>
      <c r="BR96" s="78"/>
      <c r="BS96" s="78"/>
      <c r="BT96" s="78"/>
      <c r="BU96" s="78"/>
      <c r="BV96" s="78"/>
      <c r="BW96" s="78"/>
      <c r="BX96" s="78"/>
      <c r="BY96" s="78"/>
      <c r="BZ96" s="78"/>
      <c r="CA96" s="78"/>
      <c r="CB96" s="78"/>
      <c r="CC96" s="78"/>
      <c r="CD96" s="78"/>
      <c r="CE96" s="78"/>
      <c r="CF96" s="78"/>
      <c r="CG96" s="78"/>
      <c r="CH96" s="115"/>
      <c r="CI96" s="78"/>
      <c r="CJ96" s="116"/>
      <c r="CK96" s="117" t="b">
        <f>IF(CS59=29,21)</f>
        <v>0</v>
      </c>
      <c r="CL96" s="111"/>
      <c r="CM96" s="111"/>
      <c r="CN96" s="111"/>
      <c r="CO96" s="111"/>
      <c r="CP96" s="111"/>
      <c r="CQ96" s="111"/>
      <c r="CR96" s="118"/>
      <c r="CS96" s="111"/>
      <c r="CT96" s="118"/>
      <c r="CU96" s="119"/>
      <c r="CV96" s="119"/>
      <c r="CW96" s="119"/>
      <c r="CX96" s="119"/>
      <c r="CY96" s="119"/>
      <c r="CZ96" s="119"/>
      <c r="DA96" s="103" t="b">
        <f>IF(CS59=29,37)</f>
        <v>0</v>
      </c>
      <c r="DB96" s="76"/>
      <c r="DC96" s="78"/>
      <c r="DD96" s="78"/>
    </row>
    <row r="97" spans="5:108" ht="21" hidden="1" thickBot="1" x14ac:dyDescent="0.25">
      <c r="E97" s="397"/>
      <c r="F97" s="397"/>
      <c r="G97" s="998"/>
      <c r="H97"/>
      <c r="I97"/>
      <c r="J97"/>
      <c r="K97"/>
      <c r="L97"/>
      <c r="M97"/>
      <c r="N97"/>
      <c r="O97" s="995"/>
      <c r="BE97" s="114"/>
      <c r="BF97" s="114"/>
      <c r="BG97" s="114"/>
      <c r="BH97" s="114"/>
      <c r="BN97" s="86"/>
      <c r="BO97" s="114"/>
      <c r="BP97" s="96">
        <v>28</v>
      </c>
      <c r="BQ97" s="78"/>
      <c r="BR97" s="78"/>
      <c r="BS97" s="78"/>
      <c r="BT97" s="78"/>
      <c r="BU97" s="78"/>
      <c r="BV97" s="78"/>
      <c r="BW97" s="78"/>
      <c r="BX97" s="78"/>
      <c r="BY97" s="78"/>
      <c r="BZ97" s="78"/>
      <c r="CA97" s="78"/>
      <c r="CB97" s="78"/>
      <c r="CC97" s="78"/>
      <c r="CD97" s="78"/>
      <c r="CE97" s="78"/>
      <c r="CF97" s="78"/>
      <c r="CG97" s="78"/>
      <c r="CH97" s="115"/>
      <c r="CI97" s="78"/>
      <c r="CJ97" s="116"/>
      <c r="CK97" s="120" t="b">
        <f>IF(CR59=28,21)</f>
        <v>0</v>
      </c>
      <c r="CL97" s="121"/>
      <c r="CM97" s="121"/>
      <c r="CN97" s="121"/>
      <c r="CO97" s="121"/>
      <c r="CP97" s="122"/>
      <c r="CQ97" s="121"/>
      <c r="CR97" s="121"/>
      <c r="CS97" s="121"/>
      <c r="CT97" s="122"/>
      <c r="CU97" s="123"/>
      <c r="CV97" s="123"/>
      <c r="CW97" s="123"/>
      <c r="CX97" s="123"/>
      <c r="CY97" s="124" t="b">
        <f>IF(CR59=28,35)</f>
        <v>0</v>
      </c>
      <c r="CZ97" s="76"/>
      <c r="DA97" s="76"/>
      <c r="DB97" s="76"/>
      <c r="DC97" s="78"/>
      <c r="DD97" s="78"/>
    </row>
    <row r="98" spans="5:108" ht="21" hidden="1" thickBot="1" x14ac:dyDescent="0.25">
      <c r="E98" s="397"/>
      <c r="F98" s="397"/>
      <c r="G98" s="998"/>
      <c r="H98"/>
      <c r="I98"/>
      <c r="J98"/>
      <c r="K98"/>
      <c r="L98"/>
      <c r="M98"/>
      <c r="N98"/>
      <c r="O98" s="995"/>
      <c r="BE98" s="114"/>
      <c r="BF98" s="114"/>
      <c r="BG98" s="114"/>
      <c r="BH98" s="114"/>
      <c r="BN98" s="86"/>
      <c r="BO98" s="114"/>
      <c r="BP98" s="96">
        <v>27</v>
      </c>
      <c r="BQ98" s="78"/>
      <c r="BR98" s="78"/>
      <c r="BS98" s="78"/>
      <c r="BT98" s="78"/>
      <c r="BU98" s="78"/>
      <c r="BV98" s="78"/>
      <c r="BW98" s="78"/>
      <c r="BX98" s="78"/>
      <c r="BY98" s="78"/>
      <c r="BZ98" s="78"/>
      <c r="CA98" s="78"/>
      <c r="CB98" s="78"/>
      <c r="CC98" s="78"/>
      <c r="CD98" s="78"/>
      <c r="CE98" s="78"/>
      <c r="CF98" s="78"/>
      <c r="CG98" s="78"/>
      <c r="CH98" s="115"/>
      <c r="CI98" s="78"/>
      <c r="CJ98" s="116"/>
      <c r="CK98" s="120" t="b">
        <f>IF(CQ59=27,21)</f>
        <v>0</v>
      </c>
      <c r="CL98" s="121"/>
      <c r="CM98" s="121"/>
      <c r="CN98" s="122"/>
      <c r="CO98" s="121"/>
      <c r="CP98" s="121"/>
      <c r="CQ98" s="121"/>
      <c r="CR98" s="121"/>
      <c r="CS98" s="121"/>
      <c r="CT98" s="122"/>
      <c r="CU98" s="123"/>
      <c r="CV98" s="123"/>
      <c r="CW98" s="124" t="b">
        <f>IF(CQ59=27,33)</f>
        <v>0</v>
      </c>
      <c r="CX98" s="76"/>
      <c r="CY98" s="76"/>
      <c r="CZ98" s="76"/>
      <c r="DA98" s="76"/>
      <c r="DB98" s="76"/>
      <c r="DC98" s="78"/>
      <c r="DD98" s="78"/>
    </row>
    <row r="99" spans="5:108" ht="21" hidden="1" thickBot="1" x14ac:dyDescent="0.25">
      <c r="E99" s="397"/>
      <c r="F99" s="397"/>
      <c r="G99" s="998"/>
      <c r="H99"/>
      <c r="I99"/>
      <c r="J99"/>
      <c r="K99"/>
      <c r="L99"/>
      <c r="M99"/>
      <c r="N99"/>
      <c r="O99" s="995"/>
      <c r="BN99" s="86"/>
      <c r="BP99" s="96">
        <v>26</v>
      </c>
      <c r="BQ99" s="78"/>
      <c r="BR99" s="78"/>
      <c r="BS99" s="78"/>
      <c r="BT99" s="78"/>
      <c r="BU99" s="78"/>
      <c r="BV99" s="78"/>
      <c r="BW99" s="78"/>
      <c r="BX99" s="78"/>
      <c r="BY99" s="78"/>
      <c r="BZ99" s="78"/>
      <c r="CA99" s="78"/>
      <c r="CB99" s="78"/>
      <c r="CC99" s="78"/>
      <c r="CD99" s="78"/>
      <c r="CE99" s="78"/>
      <c r="CF99" s="78"/>
      <c r="CG99" s="78"/>
      <c r="CH99" s="115"/>
      <c r="CI99" s="78"/>
      <c r="CJ99" s="116"/>
      <c r="CK99" s="120" t="b">
        <f>IF(CP59=26,21)</f>
        <v>0</v>
      </c>
      <c r="CL99" s="122"/>
      <c r="CM99" s="121"/>
      <c r="CN99" s="121"/>
      <c r="CO99" s="121"/>
      <c r="CP99" s="121"/>
      <c r="CQ99" s="121"/>
      <c r="CR99" s="121"/>
      <c r="CS99" s="121"/>
      <c r="CT99" s="122"/>
      <c r="CU99" s="124" t="b">
        <f>IF(CP59=26,31)</f>
        <v>0</v>
      </c>
      <c r="CV99" s="76"/>
      <c r="CW99" s="76"/>
      <c r="CX99" s="76"/>
      <c r="CY99" s="76"/>
      <c r="CZ99" s="76"/>
      <c r="DA99" s="76"/>
      <c r="DB99" s="76"/>
      <c r="DC99" s="78"/>
      <c r="DD99" s="78"/>
    </row>
    <row r="100" spans="5:108" ht="21" hidden="1" thickBot="1" x14ac:dyDescent="0.25">
      <c r="E100" s="397"/>
      <c r="F100" s="397"/>
      <c r="G100" s="998"/>
      <c r="H100"/>
      <c r="I100"/>
      <c r="J100"/>
      <c r="K100"/>
      <c r="L100"/>
      <c r="M100"/>
      <c r="N100"/>
      <c r="O100" s="995"/>
      <c r="BE100" s="126"/>
      <c r="BF100" s="126"/>
      <c r="BG100" s="126"/>
      <c r="BH100" s="126"/>
      <c r="BN100" s="86"/>
      <c r="BO100" s="126"/>
      <c r="BP100" s="96">
        <v>25</v>
      </c>
      <c r="BQ100" s="78"/>
      <c r="BR100" s="78"/>
      <c r="BS100" s="78"/>
      <c r="BT100" s="78"/>
      <c r="BU100" s="78"/>
      <c r="BV100" s="78"/>
      <c r="BW100" s="78"/>
      <c r="BX100" s="78"/>
      <c r="BY100" s="78"/>
      <c r="BZ100" s="78"/>
      <c r="CA100" s="78"/>
      <c r="CC100" s="78"/>
      <c r="CD100" s="78"/>
      <c r="CE100" s="78"/>
      <c r="CF100" s="78"/>
      <c r="CG100" s="78"/>
      <c r="CH100" s="115"/>
      <c r="CI100" s="78"/>
      <c r="CK100" s="128" t="b">
        <f>IF(CO59=25,21)</f>
        <v>0</v>
      </c>
      <c r="CL100" s="121"/>
      <c r="CM100" s="121"/>
      <c r="CN100" s="121"/>
      <c r="CO100" s="121"/>
      <c r="CP100" s="121"/>
      <c r="CQ100" s="121"/>
      <c r="CR100" s="121"/>
      <c r="CS100" s="124" t="b">
        <f>IF(CO59=25,29)</f>
        <v>0</v>
      </c>
      <c r="CU100" s="76"/>
      <c r="CV100" s="76"/>
      <c r="CW100" s="76"/>
      <c r="CX100" s="76"/>
      <c r="CY100" s="76"/>
      <c r="CZ100" s="76"/>
      <c r="DA100" s="76"/>
      <c r="DB100" s="76"/>
      <c r="DC100" s="78"/>
      <c r="DD100" s="78"/>
    </row>
    <row r="101" spans="5:108" ht="21" hidden="1" thickBot="1" x14ac:dyDescent="0.25">
      <c r="E101" s="397"/>
      <c r="F101" s="397"/>
      <c r="G101" s="998"/>
      <c r="H101"/>
      <c r="I101"/>
      <c r="J101"/>
      <c r="K101"/>
      <c r="L101"/>
      <c r="M101"/>
      <c r="N101"/>
      <c r="O101" s="995"/>
      <c r="BE101" s="126"/>
      <c r="BF101" s="126"/>
      <c r="BG101" s="126"/>
      <c r="BH101" s="126"/>
      <c r="BN101" s="86"/>
      <c r="BO101" s="126"/>
      <c r="BP101" s="96">
        <v>24</v>
      </c>
      <c r="BQ101" s="78"/>
      <c r="BR101" s="78"/>
      <c r="BS101" s="78"/>
      <c r="BT101" s="78"/>
      <c r="BU101" s="78"/>
      <c r="BV101" s="78"/>
      <c r="BW101" s="78"/>
      <c r="BX101" s="78"/>
      <c r="BY101" s="78"/>
      <c r="BZ101" s="78"/>
      <c r="CA101" s="78"/>
      <c r="CB101" s="117" t="b">
        <f>IF(CN59=24,12)</f>
        <v>0</v>
      </c>
      <c r="CC101" s="111"/>
      <c r="CD101" s="111"/>
      <c r="CE101" s="111"/>
      <c r="CF101" s="111"/>
      <c r="CG101" s="111"/>
      <c r="CH101" s="118"/>
      <c r="CI101" s="111"/>
      <c r="CJ101" s="129"/>
      <c r="CK101" s="111"/>
      <c r="CL101" s="111"/>
      <c r="CM101" s="111"/>
      <c r="CN101" s="111"/>
      <c r="CO101" s="111"/>
      <c r="CP101" s="111"/>
      <c r="CQ101" s="111"/>
      <c r="CR101" s="111"/>
      <c r="CS101" s="111"/>
      <c r="CT101" s="118"/>
      <c r="CU101" s="119"/>
      <c r="CV101" s="119"/>
      <c r="CW101" s="119"/>
      <c r="CX101" s="119"/>
      <c r="CY101" s="119"/>
      <c r="CZ101" s="103" t="b">
        <f>IF(CN59=24,36)</f>
        <v>0</v>
      </c>
      <c r="DA101" s="76"/>
      <c r="DB101" s="76"/>
      <c r="DC101" s="78"/>
      <c r="DD101" s="78"/>
    </row>
    <row r="102" spans="5:108" ht="21" hidden="1" thickBot="1" x14ac:dyDescent="0.25">
      <c r="E102" s="397"/>
      <c r="F102" s="397"/>
      <c r="G102" s="998"/>
      <c r="H102"/>
      <c r="I102"/>
      <c r="J102"/>
      <c r="K102"/>
      <c r="L102"/>
      <c r="M102"/>
      <c r="N102"/>
      <c r="O102" s="995"/>
      <c r="BE102" s="126"/>
      <c r="BF102" s="126"/>
      <c r="BG102" s="126"/>
      <c r="BH102" s="126"/>
      <c r="BN102" s="86"/>
      <c r="BO102" s="126"/>
      <c r="BP102" s="96">
        <v>23</v>
      </c>
      <c r="BQ102" s="78"/>
      <c r="BR102" s="78"/>
      <c r="BS102" s="78"/>
      <c r="BT102" s="78"/>
      <c r="BU102" s="78"/>
      <c r="BV102" s="78"/>
      <c r="BW102" s="78"/>
      <c r="BX102" s="78"/>
      <c r="BY102" s="78"/>
      <c r="BZ102" s="78"/>
      <c r="CA102" s="78"/>
      <c r="CB102" s="120" t="b">
        <f>IF(CM59=23,12)</f>
        <v>0</v>
      </c>
      <c r="CC102" s="121"/>
      <c r="CD102" s="121"/>
      <c r="CE102" s="121"/>
      <c r="CF102" s="122"/>
      <c r="CG102" s="121"/>
      <c r="CH102" s="132"/>
      <c r="CI102" s="121"/>
      <c r="CJ102" s="133"/>
      <c r="CK102" s="121"/>
      <c r="CL102" s="121"/>
      <c r="CM102" s="121"/>
      <c r="CN102" s="121"/>
      <c r="CO102" s="121"/>
      <c r="CP102" s="121"/>
      <c r="CQ102" s="121"/>
      <c r="CR102" s="121"/>
      <c r="CS102" s="121"/>
      <c r="CT102" s="122"/>
      <c r="CU102" s="123"/>
      <c r="CV102" s="123"/>
      <c r="CW102" s="123"/>
      <c r="CX102" s="124" t="b">
        <f>IF(CM59=23,34)</f>
        <v>0</v>
      </c>
      <c r="CY102" s="76"/>
      <c r="CZ102" s="76"/>
      <c r="DA102" s="76"/>
      <c r="DB102" s="76"/>
      <c r="DC102" s="78"/>
      <c r="DD102" s="78"/>
    </row>
    <row r="103" spans="5:108" ht="21" hidden="1" thickBot="1" x14ac:dyDescent="0.25">
      <c r="E103" s="397"/>
      <c r="F103" s="397"/>
      <c r="G103" s="998"/>
      <c r="H103"/>
      <c r="I103"/>
      <c r="J103"/>
      <c r="K103"/>
      <c r="L103"/>
      <c r="M103"/>
      <c r="N103"/>
      <c r="O103" s="995"/>
      <c r="U103" s="114"/>
      <c r="AB103" s="114"/>
      <c r="AC103" s="114"/>
      <c r="AD103" s="114"/>
      <c r="AE103" s="114"/>
      <c r="BE103" s="126"/>
      <c r="BF103" s="126"/>
      <c r="BG103" s="126"/>
      <c r="BH103" s="126"/>
      <c r="BN103" s="86"/>
      <c r="BO103" s="126"/>
      <c r="BP103" s="96">
        <v>22</v>
      </c>
      <c r="BQ103" s="76"/>
      <c r="BR103" s="76"/>
      <c r="BS103" s="76"/>
      <c r="BT103" s="76"/>
      <c r="BU103" s="76"/>
      <c r="BV103" s="76"/>
      <c r="BW103" s="76"/>
      <c r="BX103" s="76"/>
      <c r="BY103" s="76"/>
      <c r="BZ103" s="76"/>
      <c r="CA103" s="76"/>
      <c r="CB103" s="120" t="b">
        <f>IF(CL59=22,12)</f>
        <v>0</v>
      </c>
      <c r="CC103" s="123"/>
      <c r="CD103" s="123"/>
      <c r="CE103" s="123"/>
      <c r="CF103" s="122"/>
      <c r="CG103" s="123"/>
      <c r="CH103" s="134"/>
      <c r="CI103" s="123"/>
      <c r="CJ103" s="135"/>
      <c r="CK103" s="123"/>
      <c r="CL103" s="123"/>
      <c r="CM103" s="123"/>
      <c r="CN103" s="123"/>
      <c r="CO103" s="121"/>
      <c r="CP103" s="121"/>
      <c r="CQ103" s="122"/>
      <c r="CR103" s="121"/>
      <c r="CS103" s="121"/>
      <c r="CT103" s="121"/>
      <c r="CU103" s="121"/>
      <c r="CV103" s="124" t="b">
        <f>IF(CL59=22,32)</f>
        <v>0</v>
      </c>
      <c r="CW103" s="78"/>
      <c r="CX103" s="78"/>
      <c r="CY103" s="78"/>
      <c r="CZ103" s="78"/>
      <c r="DA103" s="78"/>
      <c r="DB103" s="78"/>
      <c r="DC103" s="78"/>
      <c r="DD103" s="78"/>
    </row>
    <row r="104" spans="5:108" ht="21" hidden="1" thickBot="1" x14ac:dyDescent="0.25">
      <c r="E104" s="397"/>
      <c r="F104" s="397"/>
      <c r="G104" s="998"/>
      <c r="H104"/>
      <c r="I104"/>
      <c r="J104"/>
      <c r="K104"/>
      <c r="L104"/>
      <c r="M104"/>
      <c r="N104"/>
      <c r="O104" s="995"/>
      <c r="BE104" s="126"/>
      <c r="BF104" s="126"/>
      <c r="BG104" s="126"/>
      <c r="BH104" s="126"/>
      <c r="BN104" s="86"/>
      <c r="BO104" s="126"/>
      <c r="BP104" s="96">
        <v>21</v>
      </c>
      <c r="BQ104" s="78"/>
      <c r="BR104" s="78"/>
      <c r="BS104" s="78"/>
      <c r="BT104" s="78"/>
      <c r="BU104" s="78"/>
      <c r="BV104" s="78"/>
      <c r="BW104" s="78"/>
      <c r="BX104" s="78"/>
      <c r="BY104" s="78"/>
      <c r="BZ104" s="78"/>
      <c r="CA104" s="78"/>
      <c r="CB104" s="120" t="b">
        <f>IF(CK59=21,12)</f>
        <v>0</v>
      </c>
      <c r="CC104" s="121"/>
      <c r="CD104" s="121"/>
      <c r="CE104" s="121"/>
      <c r="CF104" s="121"/>
      <c r="CG104" s="121"/>
      <c r="CH104" s="132"/>
      <c r="CI104" s="121"/>
      <c r="CJ104" s="133"/>
      <c r="CK104" s="121"/>
      <c r="CL104" s="121"/>
      <c r="CM104" s="121"/>
      <c r="CN104" s="121"/>
      <c r="CO104" s="121"/>
      <c r="CP104" s="121"/>
      <c r="CQ104" s="121"/>
      <c r="CR104" s="121"/>
      <c r="CS104" s="121"/>
      <c r="CT104" s="124" t="b">
        <f>IF(CK59=21,30)</f>
        <v>0</v>
      </c>
      <c r="CU104" s="76"/>
      <c r="CV104" s="76"/>
      <c r="CW104" s="76"/>
      <c r="CX104" s="76"/>
      <c r="CY104" s="76"/>
      <c r="CZ104" s="76"/>
      <c r="DA104" s="76"/>
      <c r="DB104" s="76"/>
      <c r="DC104" s="78"/>
      <c r="DD104" s="78"/>
    </row>
    <row r="105" spans="5:108" ht="21" hidden="1" thickBot="1" x14ac:dyDescent="0.25">
      <c r="E105" s="397"/>
      <c r="F105" s="397"/>
      <c r="G105" s="998"/>
      <c r="H105"/>
      <c r="I105"/>
      <c r="J105"/>
      <c r="K105"/>
      <c r="L105"/>
      <c r="M105"/>
      <c r="N105"/>
      <c r="O105" s="995"/>
      <c r="T105" s="401"/>
      <c r="BE105" s="136"/>
      <c r="BF105" s="136"/>
      <c r="BG105" s="136"/>
      <c r="BH105" s="136"/>
      <c r="BN105" s="86"/>
      <c r="BO105" s="1091"/>
      <c r="BP105" s="96">
        <v>20</v>
      </c>
      <c r="BQ105" s="78"/>
      <c r="BR105" s="78"/>
      <c r="BS105" s="78"/>
      <c r="BT105" s="78"/>
      <c r="BU105" s="78"/>
      <c r="BV105" s="78"/>
      <c r="BW105" s="78"/>
      <c r="BX105" s="78"/>
      <c r="CA105" s="137"/>
      <c r="CB105" s="117" t="b">
        <f>IF(CJ59=20,12)</f>
        <v>0</v>
      </c>
      <c r="CC105" s="111"/>
      <c r="CD105" s="111"/>
      <c r="CE105" s="111"/>
      <c r="CF105" s="111"/>
      <c r="CG105" s="111"/>
      <c r="CH105" s="138"/>
      <c r="CI105" s="111"/>
      <c r="CJ105" s="129"/>
      <c r="CK105" s="111"/>
      <c r="CL105" s="111"/>
      <c r="CM105" s="111"/>
      <c r="CN105" s="111"/>
      <c r="CO105" s="111"/>
      <c r="CP105" s="111"/>
      <c r="CQ105" s="111"/>
      <c r="CR105" s="103" t="b">
        <f>IF(CJ59=20,28)</f>
        <v>0</v>
      </c>
      <c r="CS105" s="137"/>
      <c r="CU105" s="76"/>
      <c r="CV105" s="76"/>
      <c r="CW105" s="76"/>
      <c r="CX105" s="76"/>
      <c r="CY105" s="76"/>
      <c r="CZ105" s="76"/>
      <c r="DA105" s="76"/>
      <c r="DB105" s="76"/>
      <c r="DC105" s="78"/>
      <c r="DD105" s="78"/>
    </row>
    <row r="106" spans="5:108" ht="21" hidden="1" thickBot="1" x14ac:dyDescent="0.25">
      <c r="E106" s="397"/>
      <c r="F106" s="397"/>
      <c r="G106" s="998"/>
      <c r="H106"/>
      <c r="I106"/>
      <c r="J106"/>
      <c r="K106"/>
      <c r="L106"/>
      <c r="M106"/>
      <c r="N106"/>
      <c r="O106" s="995"/>
      <c r="U106" s="114"/>
      <c r="AB106" s="114"/>
      <c r="AC106" s="114"/>
      <c r="AD106" s="114"/>
      <c r="AE106" s="114"/>
      <c r="BE106" s="136"/>
      <c r="BF106" s="136"/>
      <c r="BG106" s="136"/>
      <c r="BH106" s="136"/>
      <c r="BN106" s="86"/>
      <c r="BO106" s="1091"/>
      <c r="BP106" s="96">
        <v>19</v>
      </c>
      <c r="BQ106" s="78"/>
      <c r="BR106" s="78"/>
      <c r="BS106" s="78"/>
      <c r="BT106" s="78"/>
      <c r="BU106" s="78"/>
      <c r="BV106" s="78"/>
      <c r="BW106" s="78"/>
      <c r="BX106" s="78"/>
      <c r="BZ106" s="139"/>
      <c r="CA106" s="139"/>
      <c r="CB106" s="117" t="b">
        <f>IF(CI59=19,12)</f>
        <v>0</v>
      </c>
      <c r="CC106" s="119"/>
      <c r="CD106" s="119"/>
      <c r="CE106" s="118"/>
      <c r="CF106" s="119"/>
      <c r="CG106" s="119"/>
      <c r="CH106" s="140"/>
      <c r="CI106" s="119"/>
      <c r="CJ106" s="141"/>
      <c r="CK106" s="118"/>
      <c r="CL106" s="119"/>
      <c r="CM106" s="119"/>
      <c r="CN106" s="119"/>
      <c r="CO106" s="111"/>
      <c r="CP106" s="103" t="b">
        <f>IF(CI59=19,26)</f>
        <v>0</v>
      </c>
      <c r="CQ106" s="142"/>
      <c r="CR106" s="137"/>
      <c r="CT106" s="78"/>
      <c r="CU106" s="78"/>
      <c r="CV106" s="78"/>
      <c r="CW106" s="78"/>
      <c r="CX106" s="78"/>
      <c r="CY106" s="78"/>
      <c r="CZ106" s="78"/>
      <c r="DA106" s="78"/>
      <c r="DB106" s="78"/>
      <c r="DC106" s="78"/>
      <c r="DD106" s="78"/>
    </row>
    <row r="107" spans="5:108" ht="21" hidden="1" thickBot="1" x14ac:dyDescent="0.25">
      <c r="E107" s="397"/>
      <c r="F107" s="397"/>
      <c r="G107" s="998"/>
      <c r="H107"/>
      <c r="I107"/>
      <c r="J107"/>
      <c r="K107"/>
      <c r="L107"/>
      <c r="M107"/>
      <c r="N107"/>
      <c r="O107" s="995"/>
      <c r="U107" s="114"/>
      <c r="AB107" s="114"/>
      <c r="AC107" s="114"/>
      <c r="AD107" s="114"/>
      <c r="AE107" s="114"/>
      <c r="BE107" s="136"/>
      <c r="BF107" s="136"/>
      <c r="BG107" s="136"/>
      <c r="BH107" s="136"/>
      <c r="BN107" s="86"/>
      <c r="BO107" s="1091"/>
      <c r="BP107" s="96">
        <v>18</v>
      </c>
      <c r="BQ107" s="76"/>
      <c r="BR107" s="76"/>
      <c r="BS107" s="76"/>
      <c r="BT107" s="76"/>
      <c r="BU107" s="76"/>
      <c r="BV107" s="76"/>
      <c r="BW107" s="76"/>
      <c r="BX107" s="76"/>
      <c r="BZ107" s="117" t="b">
        <f>IF(CH59=18,10)</f>
        <v>0</v>
      </c>
      <c r="CA107" s="119"/>
      <c r="CB107" s="119"/>
      <c r="CC107" s="119"/>
      <c r="CD107" s="119"/>
      <c r="CE107" s="118"/>
      <c r="CF107" s="119"/>
      <c r="CG107" s="119"/>
      <c r="CH107" s="140"/>
      <c r="CI107" s="119"/>
      <c r="CJ107" s="141"/>
      <c r="CK107" s="118"/>
      <c r="CL107" s="119"/>
      <c r="CM107" s="119"/>
      <c r="CN107" s="119"/>
      <c r="CO107" s="111"/>
      <c r="CP107" s="103" t="b">
        <f>IF(CH59=18,26)</f>
        <v>0</v>
      </c>
      <c r="CR107" s="78"/>
      <c r="CS107" s="78"/>
      <c r="CT107" s="78"/>
      <c r="CU107" s="78"/>
      <c r="CV107" s="78"/>
      <c r="CW107" s="78"/>
      <c r="CX107" s="78"/>
      <c r="CY107" s="78"/>
      <c r="CZ107" s="78"/>
      <c r="DA107" s="78"/>
      <c r="DB107" s="78"/>
      <c r="DC107" s="78"/>
      <c r="DD107" s="78"/>
    </row>
    <row r="108" spans="5:108" ht="21" hidden="1" thickBot="1" x14ac:dyDescent="0.25">
      <c r="E108" s="397"/>
      <c r="F108" s="397"/>
      <c r="G108" s="998"/>
      <c r="H108"/>
      <c r="I108"/>
      <c r="J108"/>
      <c r="K108"/>
      <c r="L108"/>
      <c r="M108"/>
      <c r="N108"/>
      <c r="O108" s="995"/>
      <c r="U108" s="114"/>
      <c r="AB108" s="114"/>
      <c r="AC108" s="114"/>
      <c r="AD108" s="114"/>
      <c r="AE108" s="114"/>
      <c r="BE108" s="136"/>
      <c r="BF108" s="136"/>
      <c r="BG108" s="136"/>
      <c r="BH108" s="136"/>
      <c r="BN108" s="86"/>
      <c r="BO108" s="1091"/>
      <c r="BP108" s="96">
        <v>17</v>
      </c>
      <c r="BQ108" s="76"/>
      <c r="BR108" s="76"/>
      <c r="BS108" s="76"/>
      <c r="BT108" s="76"/>
      <c r="BU108" s="76"/>
      <c r="BV108" s="76"/>
      <c r="BW108" s="76"/>
      <c r="BX108" s="117">
        <f>IF(CG59=17,8)</f>
        <v>8</v>
      </c>
      <c r="BY108" s="118"/>
      <c r="BZ108" s="118"/>
      <c r="CA108" s="119"/>
      <c r="CB108" s="119"/>
      <c r="CC108" s="119"/>
      <c r="CD108" s="119"/>
      <c r="CE108" s="119"/>
      <c r="CF108" s="119"/>
      <c r="CG108" s="119"/>
      <c r="CH108" s="140"/>
      <c r="CI108" s="119"/>
      <c r="CJ108" s="141"/>
      <c r="CK108" s="119"/>
      <c r="CL108" s="119"/>
      <c r="CM108" s="119"/>
      <c r="CN108" s="118"/>
      <c r="CO108" s="118"/>
      <c r="CP108" s="103">
        <f>IF(CG59=17,26)</f>
        <v>26</v>
      </c>
      <c r="CQ108" s="78"/>
      <c r="CR108" s="78"/>
      <c r="CS108" s="78"/>
      <c r="CT108" s="78"/>
      <c r="CU108" s="78"/>
      <c r="CV108" s="78"/>
      <c r="CW108" s="78"/>
      <c r="CX108" s="78"/>
      <c r="CY108" s="78"/>
      <c r="CZ108" s="78"/>
      <c r="DA108" s="78"/>
      <c r="DB108" s="78"/>
      <c r="DC108" s="78"/>
      <c r="DD108" s="78"/>
    </row>
    <row r="109" spans="5:108" ht="21" hidden="1" thickBot="1" x14ac:dyDescent="0.25">
      <c r="E109" s="397"/>
      <c r="F109" s="397"/>
      <c r="G109" s="998"/>
      <c r="H109"/>
      <c r="I109"/>
      <c r="J109"/>
      <c r="K109"/>
      <c r="L109"/>
      <c r="M109"/>
      <c r="N109"/>
      <c r="O109" s="995"/>
      <c r="U109" s="114"/>
      <c r="AB109" s="114"/>
      <c r="AC109" s="114"/>
      <c r="AD109" s="114"/>
      <c r="AE109" s="114"/>
      <c r="BE109" s="136"/>
      <c r="BF109" s="136"/>
      <c r="BG109" s="136"/>
      <c r="BH109" s="136"/>
      <c r="BN109" s="86"/>
      <c r="BO109" s="1091"/>
      <c r="BP109" s="96">
        <v>16</v>
      </c>
      <c r="BQ109" s="76"/>
      <c r="BR109" s="76"/>
      <c r="BS109" s="76"/>
      <c r="BT109" s="76"/>
      <c r="BU109" s="76"/>
      <c r="BV109" s="145" t="b">
        <f>IF(CF59=16,6)</f>
        <v>0</v>
      </c>
      <c r="BW109" s="146"/>
      <c r="BX109" s="147"/>
      <c r="BY109" s="147"/>
      <c r="BZ109" s="146"/>
      <c r="CA109" s="146"/>
      <c r="CB109" s="146"/>
      <c r="CC109" s="146"/>
      <c r="CD109" s="146"/>
      <c r="CE109" s="146"/>
      <c r="CF109" s="146"/>
      <c r="CG109" s="146"/>
      <c r="CH109" s="148"/>
      <c r="CI109" s="146"/>
      <c r="CJ109" s="149"/>
      <c r="CK109" s="146"/>
      <c r="CL109" s="146"/>
      <c r="CM109" s="147"/>
      <c r="CN109" s="147"/>
      <c r="CO109" s="150"/>
      <c r="CP109" s="151" t="b">
        <f>IF(CF59=16,26)</f>
        <v>0</v>
      </c>
      <c r="CQ109" s="78"/>
      <c r="CR109" s="78"/>
      <c r="CS109" s="78"/>
      <c r="CT109" s="78"/>
      <c r="CU109" s="78"/>
      <c r="CV109" s="78"/>
      <c r="CW109" s="78"/>
      <c r="CX109" s="78"/>
      <c r="CY109" s="78"/>
      <c r="CZ109" s="78"/>
      <c r="DA109" s="78"/>
      <c r="DB109" s="78"/>
      <c r="DC109" s="78"/>
      <c r="DD109" s="78"/>
    </row>
    <row r="110" spans="5:108" ht="21" hidden="1" thickBot="1" x14ac:dyDescent="0.25">
      <c r="E110" s="397"/>
      <c r="F110" s="397"/>
      <c r="G110" s="998"/>
      <c r="H110"/>
      <c r="I110"/>
      <c r="J110"/>
      <c r="K110"/>
      <c r="L110"/>
      <c r="M110"/>
      <c r="N110"/>
      <c r="O110" s="995"/>
      <c r="U110" s="114"/>
      <c r="AB110" s="114"/>
      <c r="AC110" s="114"/>
      <c r="AD110" s="114"/>
      <c r="AE110" s="114"/>
      <c r="BE110" s="136"/>
      <c r="BF110" s="136"/>
      <c r="BG110" s="136"/>
      <c r="BH110" s="136"/>
      <c r="BN110" s="86"/>
      <c r="BO110" s="1091"/>
      <c r="BP110" s="96">
        <v>15</v>
      </c>
      <c r="BQ110" s="76"/>
      <c r="BR110" s="76"/>
      <c r="BS110" s="76"/>
      <c r="BT110" s="117" t="b">
        <f>IF(CE59=15,4)</f>
        <v>0</v>
      </c>
      <c r="BU110" s="119"/>
      <c r="BV110" s="119"/>
      <c r="BW110" s="119"/>
      <c r="BX110" s="118"/>
      <c r="BY110" s="119"/>
      <c r="BZ110" s="119"/>
      <c r="CA110" s="118"/>
      <c r="CB110" s="119"/>
      <c r="CC110" s="119"/>
      <c r="CD110" s="119"/>
      <c r="CE110" s="119"/>
      <c r="CF110" s="119"/>
      <c r="CG110" s="119"/>
      <c r="CH110" s="140"/>
      <c r="CI110" s="118"/>
      <c r="CJ110" s="141"/>
      <c r="CK110" s="119"/>
      <c r="CL110" s="118"/>
      <c r="CM110" s="119"/>
      <c r="CN110" s="119"/>
      <c r="CO110" s="111"/>
      <c r="CP110" s="103" t="b">
        <f>IF(CE59=15,26)</f>
        <v>0</v>
      </c>
      <c r="CQ110" s="78"/>
      <c r="CR110" s="78"/>
      <c r="CS110" s="78"/>
      <c r="CT110" s="78"/>
      <c r="CU110" s="78"/>
      <c r="CV110" s="78"/>
      <c r="CW110" s="78"/>
      <c r="CX110" s="78"/>
      <c r="CY110" s="78"/>
      <c r="CZ110" s="78"/>
      <c r="DA110" s="78"/>
      <c r="DB110" s="78"/>
      <c r="DC110" s="78"/>
      <c r="DD110" s="78"/>
    </row>
    <row r="111" spans="5:108" ht="21" hidden="1" thickBot="1" x14ac:dyDescent="0.25">
      <c r="E111" s="397"/>
      <c r="F111" s="397"/>
      <c r="G111" s="998"/>
      <c r="H111"/>
      <c r="I111"/>
      <c r="J111"/>
      <c r="K111"/>
      <c r="L111"/>
      <c r="M111"/>
      <c r="N111"/>
      <c r="O111" s="995"/>
      <c r="U111" s="114"/>
      <c r="AB111" s="114"/>
      <c r="AC111" s="114"/>
      <c r="AD111" s="114"/>
      <c r="AE111" s="114"/>
      <c r="BE111" s="136"/>
      <c r="BF111" s="136"/>
      <c r="BG111" s="136"/>
      <c r="BH111" s="136"/>
      <c r="BN111" s="86"/>
      <c r="BO111" s="1091"/>
      <c r="BP111" s="96">
        <v>14</v>
      </c>
      <c r="BQ111" s="76"/>
      <c r="BR111" s="117" t="b">
        <f>IF(CD59=14,2)</f>
        <v>0</v>
      </c>
      <c r="BS111" s="119"/>
      <c r="BT111" s="119"/>
      <c r="BU111" s="119"/>
      <c r="BV111" s="118"/>
      <c r="BW111" s="119"/>
      <c r="BX111" s="119"/>
      <c r="BY111" s="118"/>
      <c r="BZ111" s="119"/>
      <c r="CA111" s="119"/>
      <c r="CB111" s="119"/>
      <c r="CC111" s="119"/>
      <c r="CD111" s="119"/>
      <c r="CE111" s="119"/>
      <c r="CF111" s="119"/>
      <c r="CG111" s="119"/>
      <c r="CH111" s="140"/>
      <c r="CI111" s="118"/>
      <c r="CJ111" s="141"/>
      <c r="CK111" s="119"/>
      <c r="CL111" s="118"/>
      <c r="CM111" s="119"/>
      <c r="CN111" s="119"/>
      <c r="CO111" s="111"/>
      <c r="CP111" s="103" t="b">
        <f>IF(CD59=14,26)</f>
        <v>0</v>
      </c>
      <c r="CQ111" s="78"/>
      <c r="CR111" s="78"/>
      <c r="CS111" s="78"/>
      <c r="CT111" s="78"/>
      <c r="CU111" s="78"/>
      <c r="CV111" s="78"/>
      <c r="CW111" s="78"/>
      <c r="CX111" s="78"/>
      <c r="CY111" s="78"/>
      <c r="CZ111" s="78"/>
      <c r="DA111" s="78"/>
      <c r="DB111" s="78"/>
      <c r="DC111" s="78"/>
      <c r="DD111" s="78"/>
    </row>
    <row r="112" spans="5:108" ht="21" hidden="1" thickBot="1" x14ac:dyDescent="0.25">
      <c r="E112" s="397"/>
      <c r="F112" s="397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E112" s="136"/>
      <c r="BF112" s="136"/>
      <c r="BG112" s="136"/>
      <c r="BH112" s="136"/>
      <c r="BN112" s="86"/>
      <c r="BO112" s="1091"/>
      <c r="BP112" s="96">
        <v>13</v>
      </c>
      <c r="BQ112" s="76"/>
      <c r="BR112" s="76"/>
      <c r="BS112" s="76"/>
      <c r="BU112" s="152"/>
      <c r="BV112" s="152"/>
      <c r="BW112" s="91"/>
      <c r="BX112" s="152"/>
      <c r="BY112" s="120" t="b">
        <f>IF(CC59=13,9)</f>
        <v>0</v>
      </c>
      <c r="BZ112" s="123"/>
      <c r="CA112" s="123"/>
      <c r="CB112" s="123"/>
      <c r="CC112" s="123"/>
      <c r="CD112" s="123"/>
      <c r="CE112" s="123"/>
      <c r="CF112" s="123"/>
      <c r="CG112" s="124" t="b">
        <f>IF(CC59=13,17)</f>
        <v>0</v>
      </c>
      <c r="CH112" s="153"/>
      <c r="CI112" s="91"/>
      <c r="CJ112" s="154"/>
      <c r="CK112" s="152"/>
      <c r="CM112" s="76"/>
      <c r="CN112" s="76"/>
      <c r="CO112" s="78"/>
      <c r="CP112" s="78"/>
      <c r="CQ112" s="78"/>
      <c r="CR112" s="78"/>
      <c r="CS112" s="78"/>
      <c r="CT112" s="78"/>
      <c r="CU112" s="78"/>
      <c r="CV112" s="78"/>
      <c r="CW112" s="78"/>
      <c r="CX112" s="78"/>
      <c r="CY112" s="78"/>
      <c r="CZ112" s="78"/>
      <c r="DA112" s="78"/>
      <c r="DB112" s="78"/>
      <c r="DC112" s="78"/>
      <c r="DD112" s="78"/>
    </row>
    <row r="113" spans="2:108" ht="21" hidden="1" thickBot="1" x14ac:dyDescent="0.25">
      <c r="D113" s="397"/>
      <c r="E113" s="397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E113" s="136"/>
      <c r="BF113" s="136"/>
      <c r="BG113" s="136"/>
      <c r="BH113" s="136"/>
      <c r="BN113" s="86"/>
      <c r="BO113" s="1091"/>
      <c r="BP113" s="96">
        <v>12</v>
      </c>
      <c r="BQ113" s="76"/>
      <c r="BS113" s="139"/>
      <c r="BT113" s="139"/>
      <c r="BU113" s="142"/>
      <c r="BV113" s="139"/>
      <c r="BW113" s="117" t="b">
        <f>IF(CB59=12,7)</f>
        <v>0</v>
      </c>
      <c r="BX113" s="119"/>
      <c r="BY113" s="119"/>
      <c r="BZ113" s="119"/>
      <c r="CA113" s="119"/>
      <c r="CB113" s="119"/>
      <c r="CC113" s="119"/>
      <c r="CD113" s="119"/>
      <c r="CE113" s="119"/>
      <c r="CF113" s="119"/>
      <c r="CG113" s="103" t="b">
        <f>IF(CB59=12,17)</f>
        <v>0</v>
      </c>
      <c r="CH113" s="155"/>
      <c r="CI113" s="142"/>
      <c r="CJ113" s="156"/>
      <c r="CK113" s="139"/>
      <c r="CM113" s="76"/>
      <c r="CN113" s="76"/>
      <c r="CO113" s="78"/>
      <c r="CP113" s="78"/>
      <c r="CQ113" s="78"/>
      <c r="CR113" s="78"/>
      <c r="CS113" s="78"/>
      <c r="CT113" s="78"/>
      <c r="CU113" s="78"/>
      <c r="CV113" s="78"/>
      <c r="CW113" s="78"/>
      <c r="CX113" s="78"/>
      <c r="CY113" s="78"/>
      <c r="CZ113" s="78"/>
      <c r="DA113" s="78"/>
      <c r="DB113" s="78"/>
      <c r="DC113" s="78"/>
      <c r="DD113" s="78"/>
    </row>
    <row r="114" spans="2:108" ht="21" hidden="1" thickBot="1" x14ac:dyDescent="0.25">
      <c r="D114" s="397"/>
      <c r="E114" s="397"/>
      <c r="F114" s="397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E114" s="136"/>
      <c r="BF114" s="136"/>
      <c r="BG114" s="136"/>
      <c r="BH114" s="136"/>
      <c r="BN114" s="86"/>
      <c r="BO114" s="1091"/>
      <c r="BP114" s="96">
        <v>11</v>
      </c>
      <c r="BR114" s="152"/>
      <c r="BS114" s="91"/>
      <c r="BT114" s="152"/>
      <c r="BU114" s="117" t="b">
        <f>IF(CA59=11,5)</f>
        <v>0</v>
      </c>
      <c r="BV114" s="119"/>
      <c r="BW114" s="119"/>
      <c r="BX114" s="119"/>
      <c r="BY114" s="119"/>
      <c r="BZ114" s="119"/>
      <c r="CA114" s="119"/>
      <c r="CB114" s="119"/>
      <c r="CC114" s="119"/>
      <c r="CD114" s="119"/>
      <c r="CE114" s="119"/>
      <c r="CF114" s="119"/>
      <c r="CG114" s="103" t="b">
        <f>IF(CA59=11,17)</f>
        <v>0</v>
      </c>
      <c r="CH114" s="153"/>
      <c r="CI114" s="91"/>
      <c r="CJ114" s="154"/>
      <c r="CL114" s="76"/>
      <c r="CM114" s="76"/>
      <c r="CN114" s="76"/>
      <c r="CO114" s="78"/>
      <c r="CP114" s="78"/>
      <c r="CQ114" s="78"/>
      <c r="CR114" s="78"/>
      <c r="CS114" s="78"/>
      <c r="CT114" s="78"/>
      <c r="CU114" s="78"/>
      <c r="CV114" s="78"/>
      <c r="CW114" s="78"/>
      <c r="CX114" s="78"/>
      <c r="CY114" s="78"/>
      <c r="CZ114" s="78"/>
      <c r="DA114" s="78"/>
      <c r="DB114" s="78"/>
      <c r="DC114" s="78"/>
      <c r="DD114" s="78"/>
    </row>
    <row r="115" spans="2:108" ht="21" hidden="1" thickBot="1" x14ac:dyDescent="0.25">
      <c r="B115" s="399"/>
      <c r="C115" s="399"/>
      <c r="D115" s="397"/>
      <c r="E115" s="397"/>
      <c r="F115" s="397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36"/>
      <c r="BF115" s="136"/>
      <c r="BG115" s="136"/>
      <c r="BH115" s="136"/>
      <c r="BN115" s="86"/>
      <c r="BO115" s="1091"/>
      <c r="BP115" s="96">
        <v>10</v>
      </c>
      <c r="BR115" s="152"/>
      <c r="BS115" s="117" t="b">
        <f>IF(BZ59=10,3)</f>
        <v>0</v>
      </c>
      <c r="BT115" s="119"/>
      <c r="BU115" s="119"/>
      <c r="BV115" s="119"/>
      <c r="BW115" s="119"/>
      <c r="BX115" s="119"/>
      <c r="BY115" s="119"/>
      <c r="BZ115" s="119"/>
      <c r="CA115" s="119"/>
      <c r="CB115" s="119"/>
      <c r="CC115" s="119"/>
      <c r="CD115" s="119"/>
      <c r="CE115" s="119"/>
      <c r="CF115" s="119"/>
      <c r="CG115" s="103" t="b">
        <f>IF(BZ59=10,17)</f>
        <v>0</v>
      </c>
      <c r="CH115" s="153"/>
      <c r="CJ115" s="157"/>
      <c r="CK115" s="76"/>
      <c r="CL115" s="76"/>
      <c r="CM115" s="76"/>
      <c r="CN115" s="76"/>
      <c r="CO115" s="78"/>
      <c r="CP115" s="78"/>
      <c r="CQ115" s="78"/>
      <c r="CR115" s="78"/>
      <c r="CS115" s="78"/>
      <c r="CT115" s="78"/>
      <c r="CU115" s="78"/>
      <c r="CV115" s="78"/>
      <c r="CW115" s="78"/>
      <c r="CX115" s="78"/>
      <c r="CY115" s="78"/>
      <c r="CZ115" s="78"/>
      <c r="DA115" s="78"/>
      <c r="DB115" s="78"/>
      <c r="DC115" s="78"/>
      <c r="DD115" s="78"/>
    </row>
    <row r="116" spans="2:108" ht="21" hidden="1" thickBot="1" x14ac:dyDescent="0.25">
      <c r="B116" s="399"/>
      <c r="C116" s="399"/>
      <c r="D116" s="397"/>
      <c r="E116" s="397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F116" s="136"/>
      <c r="BG116" s="136"/>
      <c r="BH116" s="136"/>
      <c r="BN116" s="86"/>
      <c r="BO116" s="1091"/>
      <c r="BP116" s="96">
        <v>9</v>
      </c>
      <c r="BQ116" s="117" t="b">
        <f>IF(BY59=9,1)</f>
        <v>0</v>
      </c>
      <c r="BR116" s="119"/>
      <c r="BS116" s="119"/>
      <c r="BT116" s="119"/>
      <c r="BU116" s="119"/>
      <c r="BV116" s="119"/>
      <c r="BW116" s="119"/>
      <c r="BX116" s="119"/>
      <c r="BY116" s="119"/>
      <c r="BZ116" s="119"/>
      <c r="CA116" s="119"/>
      <c r="CB116" s="119"/>
      <c r="CC116" s="119"/>
      <c r="CD116" s="119"/>
      <c r="CE116" s="119"/>
      <c r="CF116" s="119"/>
      <c r="CG116" s="103" t="b">
        <f>IF(BY59=9,17)</f>
        <v>0</v>
      </c>
      <c r="CH116" s="76"/>
      <c r="CI116" s="76"/>
      <c r="CJ116" s="157"/>
      <c r="CK116" s="76"/>
      <c r="CL116" s="76"/>
      <c r="CM116" s="76"/>
      <c r="CN116" s="76"/>
      <c r="CO116" s="78"/>
      <c r="CP116" s="78"/>
      <c r="CQ116" s="78"/>
      <c r="CR116" s="78"/>
      <c r="CS116" s="78"/>
      <c r="CT116" s="78"/>
      <c r="CU116" s="78"/>
      <c r="CV116" s="78"/>
      <c r="CW116" s="78"/>
      <c r="CX116" s="78"/>
      <c r="CY116" s="78"/>
      <c r="CZ116" s="78"/>
      <c r="DA116" s="78"/>
      <c r="DB116" s="78"/>
      <c r="DC116" s="78"/>
      <c r="DD116" s="78"/>
    </row>
    <row r="117" spans="2:108" ht="21" hidden="1" thickBot="1" x14ac:dyDescent="0.25">
      <c r="B117" s="401"/>
      <c r="E117" s="397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E117" s="136"/>
      <c r="BF117" s="136"/>
      <c r="BG117" s="136"/>
      <c r="BH117" s="136"/>
      <c r="BN117" s="86"/>
      <c r="BO117" s="1091"/>
      <c r="BP117" s="96">
        <v>8</v>
      </c>
      <c r="BQ117" s="117" t="b">
        <f>IF(BX59=8,1)</f>
        <v>0</v>
      </c>
      <c r="BR117" s="119"/>
      <c r="BS117" s="118"/>
      <c r="BT117" s="119"/>
      <c r="BU117" s="119"/>
      <c r="BV117" s="119"/>
      <c r="BW117" s="119"/>
      <c r="BX117" s="119"/>
      <c r="BY117" s="119"/>
      <c r="BZ117" s="119"/>
      <c r="CA117" s="119"/>
      <c r="CB117" s="119"/>
      <c r="CC117" s="118"/>
      <c r="CD117" s="119"/>
      <c r="CE117" s="103" t="b">
        <f>IF(BX59=8,15)</f>
        <v>0</v>
      </c>
      <c r="CF117" s="76"/>
      <c r="CG117" s="76"/>
      <c r="CH117" s="158"/>
      <c r="CI117" s="76"/>
      <c r="CJ117" s="157"/>
      <c r="CK117" s="76"/>
      <c r="CL117" s="76"/>
      <c r="CM117" s="76"/>
      <c r="CN117" s="76"/>
      <c r="CO117" s="78"/>
      <c r="CP117" s="78"/>
      <c r="CQ117" s="78"/>
      <c r="CR117" s="78"/>
      <c r="CS117" s="78"/>
      <c r="CT117" s="78"/>
      <c r="CU117" s="78"/>
      <c r="CV117" s="78"/>
      <c r="CW117" s="78"/>
      <c r="CX117" s="78"/>
      <c r="CY117" s="78"/>
      <c r="CZ117" s="78"/>
      <c r="DA117" s="78"/>
      <c r="DB117" s="78"/>
      <c r="DC117" s="78"/>
      <c r="DD117" s="78"/>
    </row>
    <row r="118" spans="2:108" ht="21" hidden="1" thickBot="1" x14ac:dyDescent="0.25">
      <c r="B118" s="399"/>
      <c r="C118" s="399"/>
      <c r="D118" s="397"/>
      <c r="E118" s="397"/>
      <c r="F118" s="397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F118" s="136"/>
      <c r="BG118" s="136"/>
      <c r="BH118" s="136"/>
      <c r="BN118" s="86"/>
      <c r="BO118" s="1091"/>
      <c r="BP118" s="96">
        <v>7</v>
      </c>
      <c r="BQ118" s="117" t="b">
        <f>IF(BW59=7,1)</f>
        <v>0</v>
      </c>
      <c r="BR118" s="118"/>
      <c r="BS118" s="119"/>
      <c r="BT118" s="119"/>
      <c r="BU118" s="119"/>
      <c r="BV118" s="119"/>
      <c r="BW118" s="119"/>
      <c r="BX118" s="119"/>
      <c r="BY118" s="119"/>
      <c r="BZ118" s="119"/>
      <c r="CA118" s="118"/>
      <c r="CB118" s="118"/>
      <c r="CC118" s="103" t="b">
        <f>IF(BW59=7,13)</f>
        <v>0</v>
      </c>
      <c r="CD118" s="76"/>
      <c r="CE118" s="76"/>
      <c r="CF118" s="76"/>
      <c r="CG118" s="76"/>
      <c r="CH118" s="158"/>
      <c r="CI118" s="76"/>
      <c r="CJ118" s="157"/>
      <c r="CK118" s="76"/>
      <c r="CL118" s="76"/>
      <c r="CM118" s="76"/>
      <c r="CN118" s="76"/>
      <c r="CO118" s="78"/>
      <c r="CP118" s="78"/>
      <c r="CQ118" s="78"/>
      <c r="CR118" s="78"/>
      <c r="CS118" s="78"/>
      <c r="CT118" s="78"/>
      <c r="CU118" s="78"/>
      <c r="CV118" s="78"/>
      <c r="CW118" s="78"/>
      <c r="CX118" s="78"/>
      <c r="CY118" s="78"/>
      <c r="CZ118" s="78"/>
      <c r="DA118" s="78"/>
      <c r="DB118" s="78"/>
      <c r="DC118" s="78"/>
      <c r="DD118" s="78"/>
    </row>
    <row r="119" spans="2:108" ht="21" hidden="1" thickBot="1" x14ac:dyDescent="0.25">
      <c r="B119" s="399"/>
      <c r="C119" s="399"/>
      <c r="D119" s="397"/>
      <c r="E119" s="397"/>
      <c r="F119" s="397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F119" s="136"/>
      <c r="BG119" s="136"/>
      <c r="BH119" s="136"/>
      <c r="BN119" s="86"/>
      <c r="BO119" s="1091"/>
      <c r="BP119" s="96">
        <v>6</v>
      </c>
      <c r="BQ119" s="120" t="b">
        <f>IF(BV59=6,1)</f>
        <v>0</v>
      </c>
      <c r="BR119" s="123"/>
      <c r="BS119" s="123"/>
      <c r="BT119" s="123"/>
      <c r="BU119" s="123"/>
      <c r="BV119" s="123"/>
      <c r="BW119" s="123"/>
      <c r="BX119" s="123"/>
      <c r="BY119" s="123"/>
      <c r="BZ119" s="123"/>
      <c r="CA119" s="124" t="b">
        <f>IF(BV59=6,11)</f>
        <v>0</v>
      </c>
      <c r="CB119" s="76"/>
      <c r="CC119" s="76"/>
      <c r="CD119" s="76"/>
      <c r="CE119" s="76"/>
      <c r="CF119" s="76"/>
      <c r="CG119" s="76"/>
      <c r="CH119" s="158"/>
      <c r="CI119" s="76"/>
      <c r="CJ119" s="157"/>
      <c r="CK119" s="76"/>
      <c r="CL119" s="76"/>
      <c r="CM119" s="76"/>
      <c r="CN119" s="76"/>
      <c r="CO119" s="78"/>
      <c r="CP119" s="78"/>
      <c r="CQ119" s="78"/>
      <c r="CR119" s="78"/>
      <c r="CS119" s="78"/>
      <c r="CT119" s="78"/>
      <c r="CU119" s="78"/>
      <c r="CV119" s="78"/>
      <c r="CW119" s="78"/>
      <c r="CX119" s="78"/>
      <c r="CY119" s="78"/>
      <c r="CZ119" s="78"/>
      <c r="DA119" s="78"/>
      <c r="DB119" s="78"/>
      <c r="DC119" s="78"/>
      <c r="DD119" s="78"/>
    </row>
    <row r="120" spans="2:108" ht="21" hidden="1" thickBot="1" x14ac:dyDescent="0.25">
      <c r="B120" s="19"/>
      <c r="C120" s="399"/>
      <c r="D120" s="397"/>
      <c r="E120" s="19"/>
      <c r="F120" s="397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E120" s="136"/>
      <c r="BF120" s="136"/>
      <c r="BG120" s="136"/>
      <c r="BH120" s="136"/>
      <c r="BN120" s="86"/>
      <c r="BO120" s="1091"/>
      <c r="BP120" s="96">
        <v>5</v>
      </c>
      <c r="BQ120" s="120" t="b">
        <f>IF(BU59=5,1)</f>
        <v>0</v>
      </c>
      <c r="BR120" s="122"/>
      <c r="BS120" s="123"/>
      <c r="BT120" s="123"/>
      <c r="BU120" s="123"/>
      <c r="BV120" s="123"/>
      <c r="BW120" s="123"/>
      <c r="BX120" s="122"/>
      <c r="BY120" s="124" t="b">
        <f>IF(BU59=5,9)</f>
        <v>0</v>
      </c>
      <c r="BZ120" s="76"/>
      <c r="CA120" s="76"/>
      <c r="CB120" s="76"/>
      <c r="CC120" s="76"/>
      <c r="CD120" s="76"/>
      <c r="CE120" s="76"/>
      <c r="CF120" s="76"/>
      <c r="CG120" s="76"/>
      <c r="CH120" s="158"/>
      <c r="CI120" s="76"/>
      <c r="CJ120" s="157"/>
      <c r="CK120" s="76"/>
      <c r="CL120" s="76"/>
      <c r="CM120" s="76"/>
      <c r="CN120" s="76"/>
      <c r="CO120" s="78"/>
      <c r="CP120" s="78"/>
      <c r="CQ120" s="78"/>
      <c r="CR120" s="78"/>
      <c r="CS120" s="78"/>
      <c r="CT120" s="78"/>
      <c r="CU120" s="78"/>
      <c r="CV120" s="78"/>
      <c r="CW120" s="78"/>
      <c r="CX120" s="78"/>
      <c r="CY120" s="78"/>
      <c r="CZ120" s="78"/>
      <c r="DA120" s="78"/>
      <c r="DB120" s="78"/>
      <c r="DC120" s="78"/>
      <c r="DD120" s="78"/>
    </row>
    <row r="121" spans="2:108" ht="21" hidden="1" thickBot="1" x14ac:dyDescent="0.25">
      <c r="B121" s="399"/>
      <c r="C121" s="399"/>
      <c r="D121" s="397"/>
      <c r="E121" s="397"/>
      <c r="F121" s="397"/>
      <c r="G121" s="998"/>
      <c r="H121"/>
      <c r="I121"/>
      <c r="J121"/>
      <c r="K121"/>
      <c r="L121"/>
      <c r="M121"/>
      <c r="N121"/>
      <c r="O121" s="995"/>
      <c r="U121" s="114"/>
      <c r="AB121" s="114"/>
      <c r="AC121" s="114"/>
      <c r="AD121" s="114"/>
      <c r="AE121" s="114"/>
      <c r="BF121" s="136"/>
      <c r="BG121" s="136"/>
      <c r="BH121" s="136"/>
      <c r="BN121" s="86"/>
      <c r="BO121" s="1091"/>
      <c r="BP121" s="96">
        <v>4</v>
      </c>
      <c r="BQ121" s="120" t="b">
        <f>IF(BT59=4,1)</f>
        <v>0</v>
      </c>
      <c r="BR121" s="123"/>
      <c r="BS121" s="123"/>
      <c r="BT121" s="123"/>
      <c r="BU121" s="123"/>
      <c r="BV121" s="123"/>
      <c r="BW121" s="124" t="b">
        <f>IF(BT59=4,7)</f>
        <v>0</v>
      </c>
      <c r="BX121" s="76"/>
      <c r="BY121" s="159"/>
      <c r="BZ121" s="159"/>
      <c r="CA121" s="76"/>
      <c r="CB121" s="159"/>
      <c r="CC121" s="76"/>
      <c r="CD121" s="76"/>
      <c r="CE121" s="76"/>
      <c r="CF121" s="76"/>
      <c r="CG121" s="76"/>
      <c r="CH121" s="158"/>
      <c r="CI121" s="76"/>
      <c r="CJ121" s="157"/>
      <c r="CK121" s="76"/>
      <c r="CL121" s="76"/>
      <c r="CM121" s="76"/>
      <c r="CN121" s="76"/>
      <c r="CO121" s="78"/>
      <c r="CP121" s="78"/>
      <c r="CQ121" s="78"/>
      <c r="CR121" s="78"/>
      <c r="CS121" s="78"/>
      <c r="CT121" s="78"/>
      <c r="CU121" s="78"/>
      <c r="CV121" s="78"/>
      <c r="CW121" s="78"/>
      <c r="CX121" s="78"/>
      <c r="CY121" s="78"/>
      <c r="CZ121" s="78"/>
      <c r="DA121" s="78"/>
      <c r="DB121" s="78"/>
      <c r="DC121" s="78"/>
      <c r="DD121" s="78"/>
    </row>
    <row r="122" spans="2:108" ht="21" hidden="1" thickBot="1" x14ac:dyDescent="0.25">
      <c r="B122" s="399"/>
      <c r="C122" s="399"/>
      <c r="D122" s="397"/>
      <c r="E122" s="397"/>
      <c r="F122" s="397"/>
      <c r="G122" s="998"/>
      <c r="H122"/>
      <c r="I122"/>
      <c r="J122"/>
      <c r="K122"/>
      <c r="L122"/>
      <c r="M122"/>
      <c r="N122"/>
      <c r="O122" s="995"/>
      <c r="U122" s="114"/>
      <c r="AB122" s="114"/>
      <c r="AC122" s="114"/>
      <c r="AD122" s="114"/>
      <c r="AE122" s="114"/>
      <c r="BE122" s="136"/>
      <c r="BF122" s="136"/>
      <c r="BG122" s="136"/>
      <c r="BH122" s="136"/>
      <c r="BN122" s="86"/>
      <c r="BO122" s="1091"/>
      <c r="BP122" s="96">
        <v>3</v>
      </c>
      <c r="BQ122" s="120" t="b">
        <f>IF(BS59=3,1)</f>
        <v>0</v>
      </c>
      <c r="BR122" s="123"/>
      <c r="BS122" s="123"/>
      <c r="BT122" s="123"/>
      <c r="BU122" s="124" t="b">
        <f>IF(BS59=3,5)</f>
        <v>0</v>
      </c>
      <c r="BV122" s="76"/>
      <c r="BW122" s="76"/>
      <c r="BX122" s="76"/>
      <c r="BY122" s="76"/>
      <c r="BZ122" s="76"/>
      <c r="CA122" s="76"/>
      <c r="CB122" s="76"/>
      <c r="CC122" s="76"/>
      <c r="CD122" s="76"/>
      <c r="CE122" s="76"/>
      <c r="CF122" s="76"/>
      <c r="CG122" s="76"/>
      <c r="CH122" s="158"/>
      <c r="CI122" s="76"/>
      <c r="CJ122" s="157"/>
      <c r="CK122" s="76"/>
      <c r="CL122" s="76"/>
      <c r="CM122" s="76"/>
      <c r="CN122" s="76"/>
      <c r="CO122" s="78"/>
      <c r="CP122" s="78"/>
      <c r="CQ122" s="78"/>
      <c r="CR122" s="78"/>
      <c r="CS122" s="78"/>
      <c r="CT122" s="78"/>
      <c r="CU122" s="78"/>
      <c r="CV122" s="78"/>
      <c r="CW122" s="78"/>
      <c r="CX122" s="78"/>
      <c r="CY122" s="78"/>
      <c r="CZ122" s="78"/>
      <c r="DA122" s="78"/>
      <c r="DB122" s="78"/>
      <c r="DC122" s="78"/>
      <c r="DD122" s="78"/>
    </row>
    <row r="123" spans="2:108" ht="20" hidden="1" x14ac:dyDescent="0.2">
      <c r="B123" s="399"/>
      <c r="C123" s="399"/>
      <c r="D123" s="397"/>
      <c r="E123" s="397"/>
      <c r="F123" s="397"/>
      <c r="G123" s="998"/>
      <c r="H123"/>
      <c r="I123"/>
      <c r="J123"/>
      <c r="K123"/>
      <c r="L123"/>
      <c r="M123"/>
      <c r="N123"/>
      <c r="O123" s="995"/>
      <c r="U123" s="114"/>
      <c r="AB123" s="114"/>
      <c r="AC123" s="114"/>
      <c r="AD123" s="114"/>
      <c r="AE123" s="114"/>
      <c r="BE123" s="136"/>
      <c r="BF123" s="136"/>
      <c r="BG123" s="136"/>
      <c r="BH123" s="136"/>
      <c r="BN123" s="86"/>
      <c r="BO123" s="1091"/>
      <c r="BP123" s="96">
        <v>2</v>
      </c>
      <c r="BQ123" s="160" t="b">
        <f>IF(BR59=2,1)</f>
        <v>0</v>
      </c>
      <c r="BR123" s="161"/>
      <c r="BS123" s="162" t="b">
        <f>IF(BR59=2,3)</f>
        <v>0</v>
      </c>
      <c r="BT123" s="76"/>
      <c r="BU123" s="76"/>
      <c r="BV123" s="76"/>
      <c r="BW123" s="76"/>
      <c r="BX123" s="76"/>
      <c r="BY123" s="76"/>
      <c r="BZ123" s="76"/>
      <c r="CA123" s="76"/>
      <c r="CB123" s="76"/>
      <c r="CC123" s="76"/>
      <c r="CD123" s="76"/>
      <c r="CE123" s="76"/>
      <c r="CF123" s="76"/>
      <c r="CG123" s="76"/>
      <c r="CH123" s="158"/>
      <c r="CI123" s="76"/>
      <c r="CJ123" s="157"/>
      <c r="CK123" s="76"/>
      <c r="CL123" s="76"/>
      <c r="CM123" s="76"/>
      <c r="CN123" s="76"/>
      <c r="CO123" s="78"/>
      <c r="CP123" s="78"/>
      <c r="CQ123" s="78"/>
      <c r="CR123" s="78"/>
      <c r="CS123" s="78"/>
      <c r="CT123" s="78"/>
      <c r="CU123" s="78"/>
      <c r="CV123" s="78"/>
      <c r="CW123" s="78"/>
      <c r="CX123" s="78"/>
      <c r="CY123" s="78"/>
      <c r="CZ123" s="78"/>
      <c r="DA123" s="78"/>
      <c r="DB123" s="78"/>
      <c r="DC123" s="78"/>
      <c r="DD123" s="78"/>
    </row>
    <row r="124" spans="2:108" ht="54" hidden="1" customHeight="1" thickBot="1" x14ac:dyDescent="0.25">
      <c r="B124" s="399"/>
      <c r="C124" s="399"/>
      <c r="D124" s="397"/>
      <c r="E124" s="397"/>
      <c r="F124" s="39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114"/>
      <c r="AB124" s="114"/>
      <c r="AC124" s="114"/>
      <c r="AD124" s="114"/>
      <c r="AE124" s="114"/>
      <c r="BE124" s="136"/>
      <c r="BF124" s="136"/>
      <c r="BG124" s="136"/>
      <c r="BH124" s="136"/>
      <c r="BN124" s="86"/>
      <c r="BO124" s="1091"/>
      <c r="BP124" s="163"/>
      <c r="BQ124" s="164">
        <f>SUM(BQ89:BQ123)</f>
        <v>0</v>
      </c>
      <c r="BR124" s="164">
        <f t="shared" ref="BR124:DA124" si="2">SUM(BR89:BR123)</f>
        <v>0</v>
      </c>
      <c r="BS124" s="164">
        <f t="shared" si="2"/>
        <v>0</v>
      </c>
      <c r="BT124" s="164">
        <f t="shared" si="2"/>
        <v>0</v>
      </c>
      <c r="BU124" s="164">
        <f t="shared" si="2"/>
        <v>0</v>
      </c>
      <c r="BV124" s="164">
        <f t="shared" si="2"/>
        <v>0</v>
      </c>
      <c r="BW124" s="164">
        <f t="shared" si="2"/>
        <v>0</v>
      </c>
      <c r="BX124" s="164">
        <f t="shared" si="2"/>
        <v>8</v>
      </c>
      <c r="BY124" s="164">
        <f t="shared" si="2"/>
        <v>0</v>
      </c>
      <c r="BZ124" s="164">
        <f t="shared" si="2"/>
        <v>0</v>
      </c>
      <c r="CA124" s="164">
        <f t="shared" si="2"/>
        <v>0</v>
      </c>
      <c r="CB124" s="164">
        <f t="shared" si="2"/>
        <v>0</v>
      </c>
      <c r="CC124" s="164">
        <f t="shared" si="2"/>
        <v>0</v>
      </c>
      <c r="CD124" s="164">
        <f t="shared" si="2"/>
        <v>0</v>
      </c>
      <c r="CE124" s="164">
        <f t="shared" si="2"/>
        <v>0</v>
      </c>
      <c r="CF124" s="164">
        <f t="shared" si="2"/>
        <v>0</v>
      </c>
      <c r="CG124" s="165">
        <f t="shared" si="2"/>
        <v>0</v>
      </c>
      <c r="CH124" s="166"/>
      <c r="CI124" s="167"/>
      <c r="CJ124" s="168"/>
      <c r="CK124" s="169">
        <f t="shared" si="2"/>
        <v>0</v>
      </c>
      <c r="CL124" s="164">
        <f t="shared" si="2"/>
        <v>0</v>
      </c>
      <c r="CM124" s="164">
        <f t="shared" si="2"/>
        <v>0</v>
      </c>
      <c r="CN124" s="164">
        <f t="shared" si="2"/>
        <v>0</v>
      </c>
      <c r="CO124" s="164">
        <f t="shared" si="2"/>
        <v>0</v>
      </c>
      <c r="CP124" s="164">
        <f t="shared" si="2"/>
        <v>26</v>
      </c>
      <c r="CQ124" s="164">
        <f t="shared" si="2"/>
        <v>0</v>
      </c>
      <c r="CR124" s="164">
        <f t="shared" si="2"/>
        <v>0</v>
      </c>
      <c r="CS124" s="164">
        <f t="shared" si="2"/>
        <v>0</v>
      </c>
      <c r="CT124" s="164">
        <f t="shared" si="2"/>
        <v>0</v>
      </c>
      <c r="CU124" s="164">
        <f t="shared" si="2"/>
        <v>0</v>
      </c>
      <c r="CV124" s="164">
        <f t="shared" si="2"/>
        <v>0</v>
      </c>
      <c r="CW124" s="164">
        <f t="shared" si="2"/>
        <v>0</v>
      </c>
      <c r="CX124" s="164">
        <f t="shared" si="2"/>
        <v>0</v>
      </c>
      <c r="CY124" s="164">
        <f t="shared" si="2"/>
        <v>0</v>
      </c>
      <c r="CZ124" s="164">
        <f t="shared" si="2"/>
        <v>0</v>
      </c>
      <c r="DA124" s="164">
        <f t="shared" si="2"/>
        <v>0</v>
      </c>
      <c r="DB124" s="78"/>
      <c r="DC124" s="78"/>
      <c r="DD124" s="78"/>
    </row>
    <row r="125" spans="2:108" ht="147.75" customHeight="1" thickBot="1" x14ac:dyDescent="0.25">
      <c r="B125" s="399"/>
      <c r="C125" s="399"/>
      <c r="D125" s="397"/>
      <c r="E125" s="397"/>
      <c r="F125" s="39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114"/>
      <c r="AB125" s="114"/>
      <c r="AC125" s="114"/>
      <c r="AD125" s="114"/>
      <c r="AE125" s="114"/>
      <c r="BE125" s="136"/>
      <c r="BF125" s="136"/>
      <c r="BG125" s="136"/>
      <c r="BH125" s="136"/>
      <c r="BN125" s="86"/>
      <c r="BO125" s="1091"/>
      <c r="BP125" s="163"/>
      <c r="BQ125" s="170"/>
      <c r="BR125" s="170"/>
      <c r="BS125" s="170"/>
      <c r="BT125" s="170"/>
      <c r="BU125" s="170"/>
      <c r="BV125" s="170"/>
      <c r="BW125" s="170"/>
      <c r="BX125" s="170"/>
      <c r="BY125" s="170"/>
      <c r="BZ125" s="170"/>
      <c r="CA125" s="170"/>
      <c r="CB125" s="170"/>
      <c r="CC125" s="170"/>
      <c r="CD125" s="170"/>
      <c r="CE125" s="170"/>
      <c r="CF125" s="170"/>
      <c r="CG125" s="170"/>
      <c r="CH125" s="170"/>
      <c r="CI125" s="170"/>
      <c r="CJ125" s="170"/>
      <c r="CK125" s="171"/>
      <c r="CL125" s="170"/>
      <c r="CM125" s="170"/>
      <c r="CN125" s="170"/>
      <c r="CO125" s="170"/>
      <c r="CP125" s="170"/>
      <c r="CQ125" s="170"/>
      <c r="CR125" s="170"/>
      <c r="CS125" s="170"/>
      <c r="CT125" s="170"/>
      <c r="CU125" s="170"/>
      <c r="CV125" s="170"/>
      <c r="CW125" s="170"/>
      <c r="CX125" s="170"/>
      <c r="CY125" s="170"/>
      <c r="CZ125" s="170"/>
      <c r="DA125" s="170"/>
      <c r="DB125" s="78"/>
      <c r="DC125" s="78"/>
      <c r="DD125" s="78"/>
    </row>
    <row r="126" spans="2:108" ht="48.75" customHeight="1" thickBot="1" x14ac:dyDescent="0.3">
      <c r="B126" s="399"/>
      <c r="C126" s="399"/>
      <c r="D126" s="397"/>
      <c r="E126" s="397"/>
      <c r="F126" s="397"/>
      <c r="G126" s="998"/>
      <c r="H126" s="1087" t="s">
        <v>265</v>
      </c>
      <c r="I126" s="1080">
        <f>+MIN(K31:L32)</f>
        <v>42.488236867815331</v>
      </c>
      <c r="J126" s="1080">
        <f>+MIN(J37:K38)</f>
        <v>67.710537452391023</v>
      </c>
      <c r="K126" s="1082">
        <f>+MIN(J43:L44)</f>
        <v>67.710537452391023</v>
      </c>
      <c r="L126" s="1083">
        <f>+MIN(J49:L50)</f>
        <v>29.297828705361503</v>
      </c>
      <c r="M126" s="1084">
        <f>+MIN(J55:L56)</f>
        <v>67.710537452391023</v>
      </c>
      <c r="N126"/>
      <c r="O126" s="995"/>
      <c r="U126" s="114"/>
      <c r="AB126" s="114"/>
      <c r="AC126" s="114"/>
      <c r="AD126" s="114"/>
      <c r="AE126" s="114"/>
      <c r="BE126" s="136"/>
      <c r="BF126" s="136"/>
      <c r="BG126" s="136"/>
      <c r="BH126" s="136"/>
      <c r="BN126" s="86"/>
      <c r="BO126" s="1095" t="s">
        <v>128</v>
      </c>
      <c r="BP126" s="172" t="s">
        <v>124</v>
      </c>
      <c r="BQ126" s="750" t="str">
        <f>IF(BQ124=1,17,"")</f>
        <v/>
      </c>
      <c r="BR126" s="751" t="str">
        <f>IF(BR124=2,16,"")</f>
        <v/>
      </c>
      <c r="BS126" s="751" t="str">
        <f>IF(BS124=3,15,"")</f>
        <v/>
      </c>
      <c r="BT126" s="751" t="str">
        <f>IF(BT124=4,14,"")</f>
        <v/>
      </c>
      <c r="BU126" s="751" t="str">
        <f>IF(BU124=5,13,"")</f>
        <v/>
      </c>
      <c r="BV126" s="751" t="str">
        <f>IF(BV124=6,12,"")</f>
        <v/>
      </c>
      <c r="BW126" s="751" t="str">
        <f>IF(BW124=7,11,"")</f>
        <v/>
      </c>
      <c r="BX126" s="751">
        <f>IF(BX124=8,10,"")</f>
        <v>10</v>
      </c>
      <c r="BY126" s="751" t="str">
        <f>IF(BY124=9,9,"")</f>
        <v/>
      </c>
      <c r="BZ126" s="751" t="str">
        <f>IF(BZ124=10,8,"")</f>
        <v/>
      </c>
      <c r="CA126" s="751" t="str">
        <f>IF(CA124=11,7,"")</f>
        <v/>
      </c>
      <c r="CB126" s="752" t="str">
        <f>IF(CB124=12,"6  ADS ","")</f>
        <v/>
      </c>
      <c r="CC126" s="751" t="str">
        <f>IF(CC124=13,5,"")</f>
        <v/>
      </c>
      <c r="CD126" s="751" t="str">
        <f>IF(CD124=14,4,"")</f>
        <v/>
      </c>
      <c r="CE126" s="751" t="str">
        <f>IF(CE124=15,3,"")</f>
        <v/>
      </c>
      <c r="CF126" s="751" t="str">
        <f>IF(CF124=16,2,"")</f>
        <v/>
      </c>
      <c r="CG126" s="751" t="str">
        <f>IF(CG124=17,1,"")</f>
        <v/>
      </c>
      <c r="CH126" s="173"/>
      <c r="CI126" s="174"/>
      <c r="CJ126" s="175"/>
      <c r="CK126" s="753" t="str">
        <f>IF(CK124=21,1,"")</f>
        <v/>
      </c>
      <c r="CL126" s="753" t="str">
        <f>IF(CL124=22,2,"")</f>
        <v/>
      </c>
      <c r="CM126" s="753" t="str">
        <f>IF(CM124=23,3,"")</f>
        <v/>
      </c>
      <c r="CN126" s="753" t="str">
        <f>IF(CN124=24,4,"")</f>
        <v/>
      </c>
      <c r="CO126" s="753" t="str">
        <f>IF(CO124=25,5,"")</f>
        <v/>
      </c>
      <c r="CP126" s="754" t="str">
        <f>IF(CP124=26,"6  ADS ","")</f>
        <v xml:space="preserve">6  ADS </v>
      </c>
      <c r="CQ126" s="753" t="str">
        <f>IF(CQ124=27,7,"")</f>
        <v/>
      </c>
      <c r="CR126" s="753" t="str">
        <f>IF(CR124=28,8,"")</f>
        <v/>
      </c>
      <c r="CS126" s="753" t="str">
        <f>IF(CS124=29,9,"")</f>
        <v/>
      </c>
      <c r="CT126" s="753" t="str">
        <f>IF(CT124=30,10,"")</f>
        <v/>
      </c>
      <c r="CU126" s="753" t="str">
        <f>IF(CU124=31,11,"")</f>
        <v/>
      </c>
      <c r="CV126" s="753" t="str">
        <f>IF(CV124=32,12,"")</f>
        <v/>
      </c>
      <c r="CW126" s="753" t="str">
        <f>IF(CW124=33,13,"")</f>
        <v/>
      </c>
      <c r="CX126" s="753" t="str">
        <f>IF(CX124=34,14,"")</f>
        <v/>
      </c>
      <c r="CY126" s="753" t="str">
        <f>IF(CY124=35,15,"")</f>
        <v/>
      </c>
      <c r="CZ126" s="753" t="str">
        <f>IF(CZ124=36,16,"")</f>
        <v/>
      </c>
      <c r="DA126" s="755" t="str">
        <f>IF(DA124=37,17,"")</f>
        <v/>
      </c>
      <c r="DB126" s="340"/>
      <c r="DC126" s="78"/>
      <c r="DD126" s="78"/>
    </row>
    <row r="127" spans="2:108" ht="45.75" customHeight="1" thickBot="1" x14ac:dyDescent="0.3">
      <c r="B127" s="399"/>
      <c r="C127" s="399"/>
      <c r="D127" s="397"/>
      <c r="E127" s="397"/>
      <c r="F127" s="397"/>
      <c r="G127" s="1011"/>
      <c r="H127" s="131"/>
      <c r="I127" s="131"/>
      <c r="J127" s="131"/>
      <c r="K127" s="131"/>
      <c r="L127" s="131"/>
      <c r="M127" s="131"/>
      <c r="N127" s="131"/>
      <c r="O127" s="1012"/>
      <c r="U127" s="114"/>
      <c r="AB127" s="114"/>
      <c r="AC127" s="114"/>
      <c r="AD127" s="114"/>
      <c r="AE127" s="114"/>
      <c r="BE127" s="136"/>
      <c r="BF127" s="136"/>
      <c r="BG127" s="136"/>
      <c r="BH127" s="136"/>
      <c r="BL127" s="968">
        <v>6</v>
      </c>
      <c r="BM127" s="1762" t="b">
        <f>AND(BO127&gt;=10,$BB$142&gt;=10,$BA$142&gt;=10,$BA$166&gt;=10,$BB$166&gt;=10,$BA$198&gt;=10,$BB$198&gt;=10)</f>
        <v>1</v>
      </c>
      <c r="BN127" s="84" t="str">
        <f>IF(BM127=TRUE,"O K","OVERLOAD")</f>
        <v>O K</v>
      </c>
      <c r="BO127" s="982">
        <f>SUM(I132:M132)</f>
        <v>67.710537452391023</v>
      </c>
      <c r="BP127" s="788" t="s">
        <v>185</v>
      </c>
      <c r="BQ127" s="789">
        <v>-10</v>
      </c>
      <c r="BR127" s="789">
        <v>-9</v>
      </c>
      <c r="BS127" s="789">
        <v>-8</v>
      </c>
      <c r="BT127" s="789">
        <v>-7</v>
      </c>
      <c r="BU127" s="789">
        <v>-6</v>
      </c>
      <c r="BV127" s="789">
        <v>-5</v>
      </c>
      <c r="BW127" s="789">
        <v>-4</v>
      </c>
      <c r="BX127" s="789">
        <v>-3</v>
      </c>
      <c r="BY127" s="789">
        <v>-2</v>
      </c>
      <c r="BZ127" s="789">
        <v>-1</v>
      </c>
      <c r="CA127" s="789">
        <v>0</v>
      </c>
      <c r="CB127" s="789">
        <v>1</v>
      </c>
      <c r="CC127" s="789">
        <v>2</v>
      </c>
      <c r="CD127" s="789">
        <v>3</v>
      </c>
      <c r="CE127" s="789">
        <v>4</v>
      </c>
      <c r="CF127" s="789">
        <v>5</v>
      </c>
      <c r="CG127" s="789">
        <v>6</v>
      </c>
      <c r="CH127" s="789">
        <v>7</v>
      </c>
      <c r="CI127" s="789">
        <v>8</v>
      </c>
      <c r="CJ127" s="789">
        <v>9</v>
      </c>
      <c r="CK127" s="789">
        <v>10</v>
      </c>
      <c r="CL127" s="789">
        <v>11</v>
      </c>
      <c r="CM127" s="789">
        <v>12</v>
      </c>
      <c r="CN127" s="789">
        <v>13</v>
      </c>
      <c r="CO127" s="789">
        <v>14</v>
      </c>
      <c r="CP127" s="789">
        <v>15</v>
      </c>
      <c r="CQ127" s="789">
        <v>16</v>
      </c>
      <c r="CR127" s="789">
        <v>17</v>
      </c>
      <c r="CS127" s="789">
        <v>18</v>
      </c>
      <c r="CT127" s="789">
        <v>19</v>
      </c>
      <c r="CU127" s="789">
        <v>20</v>
      </c>
      <c r="CV127" s="789">
        <v>21</v>
      </c>
      <c r="CW127" s="789">
        <v>22</v>
      </c>
      <c r="CX127" s="789">
        <v>23</v>
      </c>
      <c r="CY127" s="789">
        <v>24</v>
      </c>
      <c r="CZ127" s="789">
        <v>25</v>
      </c>
      <c r="DA127" s="791">
        <v>26</v>
      </c>
      <c r="DB127" s="78"/>
      <c r="DC127" s="78"/>
      <c r="DD127" s="78"/>
    </row>
    <row r="128" spans="2:108" ht="31" hidden="1" thickBot="1" x14ac:dyDescent="0.25">
      <c r="B128" s="330"/>
      <c r="C128" s="412"/>
      <c r="D128" s="37"/>
      <c r="E128" s="37"/>
      <c r="F128" s="37"/>
      <c r="G128" s="998"/>
      <c r="H128" s="201"/>
      <c r="I128" s="201"/>
      <c r="J128" s="201"/>
      <c r="K128" s="201"/>
      <c r="L128" s="201"/>
      <c r="M128" s="201"/>
      <c r="N128" s="201"/>
      <c r="O128" s="1013"/>
      <c r="U128" s="212"/>
      <c r="V128" s="187"/>
      <c r="AB128" s="187"/>
      <c r="AC128" s="187"/>
      <c r="AD128" s="187"/>
      <c r="AE128" s="187"/>
      <c r="AF128" s="187"/>
      <c r="AG128" s="187"/>
      <c r="AH128" s="187"/>
      <c r="AI128" s="187"/>
      <c r="AJ128" s="187"/>
      <c r="AK128" s="187"/>
      <c r="AL128" s="187"/>
      <c r="AM128" s="187"/>
      <c r="AN128" s="187"/>
      <c r="AO128" s="187"/>
      <c r="AP128" s="187"/>
      <c r="AQ128" s="187"/>
      <c r="AR128" s="187"/>
      <c r="AS128" s="187"/>
      <c r="AT128" s="187"/>
      <c r="AU128" s="187"/>
      <c r="AV128" s="187"/>
      <c r="AW128" s="187"/>
      <c r="AX128" s="187"/>
      <c r="AY128" s="187"/>
      <c r="AZ128" s="187"/>
      <c r="BA128" s="187"/>
      <c r="BB128" s="187"/>
      <c r="BC128" s="126"/>
      <c r="BE128" s="136"/>
      <c r="BF128" s="136"/>
      <c r="BG128" s="136"/>
      <c r="BH128" s="136"/>
      <c r="BI128" s="136"/>
      <c r="BJ128" s="136"/>
      <c r="BK128" s="136"/>
      <c r="BL128" s="136"/>
      <c r="BM128" s="402"/>
      <c r="BN128" s="136"/>
      <c r="BO128" s="1091"/>
      <c r="BP128" s="78"/>
      <c r="BQ128" s="199"/>
      <c r="BR128" s="199"/>
      <c r="BS128" s="199"/>
      <c r="BT128" s="199"/>
      <c r="BU128" s="199"/>
      <c r="BV128" s="199"/>
      <c r="BW128" s="199"/>
      <c r="BX128" s="199"/>
      <c r="BY128" s="199"/>
      <c r="BZ128" s="199"/>
      <c r="CA128" s="199"/>
      <c r="CB128" s="199"/>
      <c r="CC128" s="199"/>
      <c r="CD128" s="199"/>
      <c r="CE128" s="199"/>
      <c r="CF128" s="199"/>
      <c r="CG128" s="199"/>
      <c r="CH128" s="199"/>
      <c r="CI128" s="199"/>
      <c r="CJ128" s="199"/>
      <c r="CK128" s="199"/>
      <c r="CL128" s="199"/>
      <c r="CM128" s="199"/>
      <c r="CN128" s="199"/>
      <c r="CO128" s="199"/>
      <c r="CP128" s="199"/>
      <c r="CQ128" s="199"/>
      <c r="CR128" s="199"/>
      <c r="CS128" s="199"/>
      <c r="CT128" s="199"/>
      <c r="CU128" s="199"/>
      <c r="CV128" s="199"/>
      <c r="CW128" s="199"/>
      <c r="CX128" s="199"/>
      <c r="CY128" s="199"/>
      <c r="CZ128" s="199"/>
      <c r="DA128" s="199"/>
      <c r="DB128" s="199"/>
    </row>
    <row r="129" spans="2:142" ht="51.75" customHeight="1" thickBot="1" x14ac:dyDescent="0.25">
      <c r="B129" s="408"/>
      <c r="D129" s="409" t="str">
        <f>IF(BL66&gt;0," ","change the angle of frame or of cabinets")</f>
        <v xml:space="preserve"> </v>
      </c>
      <c r="E129" s="37"/>
      <c r="F129" s="37"/>
      <c r="G129" s="998"/>
      <c r="H129"/>
      <c r="I129"/>
      <c r="J129"/>
      <c r="K129"/>
      <c r="L129"/>
      <c r="M129"/>
      <c r="N129"/>
      <c r="O129" s="995"/>
      <c r="U129" s="212"/>
      <c r="V129" s="187"/>
      <c r="AB129" s="187"/>
      <c r="AC129" s="187"/>
      <c r="AD129" s="187"/>
      <c r="AE129" s="187"/>
      <c r="AF129" s="187"/>
      <c r="AG129" s="187"/>
      <c r="AH129" s="187"/>
      <c r="AI129" s="187"/>
      <c r="AJ129" s="187"/>
      <c r="AK129" s="187"/>
      <c r="AL129" s="187"/>
      <c r="AM129" s="187"/>
      <c r="AN129" s="187"/>
      <c r="AO129" s="187"/>
      <c r="AP129" s="187"/>
      <c r="AQ129" s="187"/>
      <c r="AR129" s="187"/>
      <c r="AS129" s="187"/>
      <c r="AT129" s="187"/>
      <c r="AU129" s="187"/>
      <c r="AV129" s="187"/>
      <c r="AW129" s="187"/>
      <c r="AX129" s="187"/>
      <c r="AY129" s="187"/>
      <c r="AZ129" s="187"/>
      <c r="BA129" s="187"/>
      <c r="BB129" s="187"/>
      <c r="BC129" s="126"/>
      <c r="BE129" s="136"/>
      <c r="BF129" s="136"/>
      <c r="BG129" s="136"/>
      <c r="BH129" s="136"/>
      <c r="BI129" s="136"/>
      <c r="BJ129" s="136"/>
      <c r="BK129" s="136"/>
      <c r="BL129" s="136"/>
      <c r="BM129" s="402"/>
      <c r="BN129" s="136"/>
      <c r="BO129" s="1091"/>
      <c r="BP129" s="78"/>
      <c r="BQ129" s="199"/>
      <c r="BR129" s="199"/>
      <c r="BS129" s="199"/>
      <c r="BT129" s="199"/>
      <c r="BU129" s="199"/>
      <c r="BV129" s="199"/>
      <c r="BW129" s="199"/>
      <c r="BX129" s="199"/>
      <c r="BY129" s="199"/>
      <c r="BZ129" s="199"/>
      <c r="CA129" s="199"/>
      <c r="CB129" s="199"/>
      <c r="CC129" s="199"/>
      <c r="CD129" s="199"/>
      <c r="CE129" s="199"/>
      <c r="CF129" s="199"/>
      <c r="CG129" s="199"/>
      <c r="CH129" s="199"/>
      <c r="CI129" s="199"/>
      <c r="CJ129" s="199"/>
      <c r="CK129" s="199"/>
      <c r="CL129" s="199"/>
      <c r="CM129" s="199"/>
      <c r="CN129" s="199"/>
      <c r="CO129" s="199"/>
      <c r="CP129" s="199"/>
      <c r="CQ129" s="199"/>
      <c r="CR129" s="199"/>
      <c r="CS129" s="199"/>
      <c r="CT129" s="199"/>
      <c r="CU129" s="199"/>
      <c r="CV129" s="199"/>
      <c r="CW129" s="199"/>
      <c r="CX129" s="199"/>
      <c r="CY129" s="199"/>
      <c r="CZ129" s="199"/>
      <c r="DA129" s="199"/>
      <c r="DB129" s="199"/>
    </row>
    <row r="130" spans="2:142" ht="51.75" customHeight="1" thickBot="1" x14ac:dyDescent="0.3">
      <c r="B130" s="1846" t="s">
        <v>116</v>
      </c>
      <c r="D130" s="409" t="str">
        <f>IF(DD66&lt;0," ","change the angle of frame or of cabinets")</f>
        <v xml:space="preserve"> </v>
      </c>
      <c r="E130" s="37"/>
      <c r="F130" s="37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U130" s="212"/>
      <c r="V130" s="187"/>
      <c r="AB130" s="187"/>
      <c r="AC130" s="187"/>
      <c r="AD130" s="187"/>
      <c r="AE130" s="187"/>
      <c r="AF130" s="187"/>
      <c r="AG130" s="187"/>
      <c r="AH130" s="187"/>
      <c r="AI130" s="187"/>
      <c r="AJ130" s="187"/>
      <c r="AK130" s="187"/>
      <c r="AL130" s="187"/>
      <c r="AM130" s="187"/>
      <c r="AN130" s="187"/>
      <c r="AO130" s="187"/>
      <c r="AP130" s="187"/>
      <c r="AQ130" s="187"/>
      <c r="AR130" s="187"/>
      <c r="AS130" s="187"/>
      <c r="AT130" s="187"/>
      <c r="AU130" s="187"/>
      <c r="AV130" s="187"/>
      <c r="AW130" s="187"/>
      <c r="AX130" s="187"/>
      <c r="AY130" s="187"/>
      <c r="AZ130" s="187"/>
      <c r="BA130" s="187"/>
      <c r="BB130" s="187"/>
      <c r="BC130" s="126"/>
      <c r="BE130" s="136"/>
      <c r="BF130" s="136"/>
      <c r="BG130" s="136"/>
      <c r="BH130" s="136"/>
      <c r="BI130" s="136"/>
      <c r="BJ130" s="136"/>
      <c r="BK130" s="136"/>
      <c r="BL130" s="136"/>
      <c r="BM130" s="402"/>
      <c r="BN130" s="136"/>
      <c r="BO130" s="1091"/>
      <c r="BP130" s="78"/>
      <c r="BQ130" s="199"/>
      <c r="BR130" s="199"/>
      <c r="BS130" s="199"/>
      <c r="BT130" s="199"/>
      <c r="BU130" s="199"/>
      <c r="BV130" s="199"/>
      <c r="BW130" s="199"/>
      <c r="BX130" s="199"/>
      <c r="BY130" s="199"/>
      <c r="BZ130" s="199"/>
      <c r="CA130" s="199"/>
      <c r="CB130" s="199"/>
      <c r="CC130" s="199"/>
      <c r="CD130" s="199"/>
      <c r="CE130" s="199"/>
      <c r="CF130" s="199"/>
      <c r="CG130" s="199"/>
      <c r="CH130" s="199"/>
      <c r="CI130" s="199"/>
      <c r="CJ130" s="199"/>
      <c r="CK130" s="199"/>
      <c r="CL130" s="199"/>
      <c r="CM130" s="199"/>
      <c r="CN130" s="199"/>
      <c r="CO130" s="199"/>
      <c r="CP130" s="199"/>
      <c r="CQ130" s="199"/>
      <c r="CR130" s="199"/>
      <c r="CS130" s="199"/>
      <c r="CT130" s="199"/>
      <c r="CU130" s="199"/>
      <c r="CV130" s="199"/>
      <c r="CW130" s="199"/>
      <c r="CX130" s="199"/>
      <c r="CY130" s="199"/>
      <c r="CZ130" s="199"/>
      <c r="DA130" s="199"/>
      <c r="DB130" s="199"/>
    </row>
    <row r="131" spans="2:142" ht="51.75" customHeight="1" thickBot="1" x14ac:dyDescent="0.3">
      <c r="B131" s="1847"/>
      <c r="C131" s="213"/>
      <c r="D131" s="409" t="str">
        <f>IF(BL66&gt;(+COS(($B$132*-1)*3.14159265358979/180)*451.5)," ","USE EXBAR AR AT THE FRONT")</f>
        <v xml:space="preserve"> </v>
      </c>
      <c r="E131" s="37"/>
      <c r="F131" s="37"/>
      <c r="G131" s="1014"/>
      <c r="H131" s="209"/>
      <c r="I131" s="1085">
        <f>COUNTIF(CK124:DA124,"&gt;0")</f>
        <v>1</v>
      </c>
      <c r="J131" s="1085">
        <f>COUNTIF(BQ124:CG124,"&gt;0")</f>
        <v>1</v>
      </c>
      <c r="K131" s="1085" t="b">
        <f>AND(IF(SUM(BQ126:CA126)&gt;0,1,0),IF(CP126="6  ADS ",1,0))</f>
        <v>1</v>
      </c>
      <c r="L131" s="1085" t="b">
        <f>AND(IF(SUM(CQ126:DA126)&gt;0,1,0),IF(CB126="6  ADS ",1,0))</f>
        <v>0</v>
      </c>
      <c r="M131" s="1085" t="b">
        <f>AND(IF(CP126="6  ADS ",1,0),IF(CB126="6  ADS ",1,0))</f>
        <v>0</v>
      </c>
      <c r="N131" s="209"/>
      <c r="O131" s="1015"/>
      <c r="U131" s="212"/>
      <c r="V131" s="187"/>
      <c r="AB131" s="187"/>
      <c r="AC131" s="187"/>
      <c r="AD131" s="187"/>
      <c r="AE131" s="187"/>
      <c r="AF131" s="187"/>
      <c r="AG131" s="187"/>
      <c r="AH131" s="187"/>
      <c r="AI131" s="187"/>
      <c r="AJ131" s="187"/>
      <c r="AK131" s="187"/>
      <c r="AL131" s="187"/>
      <c r="AM131" s="187"/>
      <c r="AN131" s="187"/>
      <c r="AO131" s="187"/>
      <c r="AP131" s="187"/>
      <c r="AQ131" s="187"/>
      <c r="AR131" s="187"/>
      <c r="AS131" s="187"/>
      <c r="AT131" s="187"/>
      <c r="AU131" s="187"/>
      <c r="AV131" s="187"/>
      <c r="AW131" s="187"/>
      <c r="AX131" s="187"/>
      <c r="AY131" s="187"/>
      <c r="AZ131" s="187"/>
      <c r="BA131" s="187"/>
      <c r="BB131" s="187"/>
      <c r="BC131" s="126"/>
      <c r="BE131" s="136"/>
      <c r="BF131" s="136"/>
      <c r="BG131" s="136"/>
      <c r="BH131" s="136"/>
      <c r="BI131" s="136"/>
      <c r="BJ131" s="136"/>
      <c r="BK131" s="136"/>
      <c r="BL131" s="136"/>
      <c r="BM131" s="402"/>
      <c r="BN131" s="136"/>
      <c r="BO131" s="1091"/>
      <c r="BP131" s="948"/>
      <c r="BQ131" s="199"/>
      <c r="BR131" s="199"/>
      <c r="BS131" s="199"/>
      <c r="BT131" s="199"/>
      <c r="BU131" s="199"/>
      <c r="BV131" s="199"/>
      <c r="BW131" s="199"/>
      <c r="BX131" s="199"/>
      <c r="BY131" s="199"/>
      <c r="BZ131" s="199"/>
      <c r="CA131" s="199"/>
      <c r="CB131" s="199"/>
      <c r="CC131" s="199"/>
      <c r="CD131" s="199"/>
      <c r="CE131" s="199"/>
      <c r="CF131" s="199"/>
      <c r="CG131" s="199"/>
      <c r="CH131" s="199"/>
      <c r="CI131" s="199"/>
      <c r="CJ131" s="199"/>
      <c r="CK131" s="199"/>
      <c r="CL131" s="199"/>
      <c r="CM131" s="199"/>
      <c r="CN131" s="199"/>
      <c r="CO131" s="199"/>
      <c r="CP131" s="199"/>
      <c r="CQ131" s="199"/>
      <c r="CR131" s="199"/>
      <c r="CS131" s="199"/>
      <c r="CT131" s="199"/>
      <c r="CU131" s="199"/>
      <c r="CV131" s="199"/>
      <c r="CW131" s="199"/>
      <c r="CX131" s="199"/>
      <c r="CY131" s="199"/>
      <c r="CZ131" s="199"/>
      <c r="DA131" s="199"/>
      <c r="DB131" s="199"/>
    </row>
    <row r="132" spans="2:142" ht="51.75" customHeight="1" thickBot="1" x14ac:dyDescent="0.3">
      <c r="B132" s="4">
        <v>0</v>
      </c>
      <c r="C132" s="213"/>
      <c r="D132" s="341" t="str">
        <f>IF(DD66&lt;-(+COS(($B$132*-1)*3.14159265358979/180)*365.5)," ","USE EXBAR AR AT THE BACK")</f>
        <v xml:space="preserve"> </v>
      </c>
      <c r="E132" s="37"/>
      <c r="F132" s="37"/>
      <c r="G132" s="1016"/>
      <c r="H132" s="1017"/>
      <c r="I132" s="1086">
        <f>IF(I131=2,I126,0)</f>
        <v>0</v>
      </c>
      <c r="J132" s="1086">
        <f>IF(J131=2,J126,0)</f>
        <v>0</v>
      </c>
      <c r="K132" s="1086">
        <f t="shared" ref="K132:M132" si="3">IF(K131=TRUE,K126,0)</f>
        <v>67.710537452391023</v>
      </c>
      <c r="L132" s="1086">
        <f t="shared" si="3"/>
        <v>0</v>
      </c>
      <c r="M132" s="1086">
        <f t="shared" si="3"/>
        <v>0</v>
      </c>
      <c r="N132" s="1017"/>
      <c r="O132" s="1018"/>
      <c r="U132" s="212"/>
      <c r="V132" s="187"/>
      <c r="AB132" s="187"/>
      <c r="AC132" s="187"/>
      <c r="AD132" s="187"/>
      <c r="AE132" s="187"/>
      <c r="AF132" s="187"/>
      <c r="AG132" s="187"/>
      <c r="AH132" s="187"/>
      <c r="AI132" s="187"/>
      <c r="AJ132" s="187"/>
      <c r="AK132" s="187"/>
      <c r="AL132" s="187"/>
      <c r="AM132" s="187"/>
      <c r="AN132" s="187"/>
      <c r="AO132" s="187"/>
      <c r="AP132" s="187"/>
      <c r="AQ132" s="187"/>
      <c r="AR132" s="187"/>
      <c r="AS132" s="187"/>
      <c r="AT132" s="187"/>
      <c r="AU132" s="187"/>
      <c r="AV132" s="187"/>
      <c r="AW132" s="187"/>
      <c r="AX132" s="187"/>
      <c r="AY132" s="187"/>
      <c r="AZ132" s="187"/>
      <c r="BA132" s="187"/>
      <c r="BB132" s="187"/>
      <c r="BC132" s="126"/>
      <c r="BE132" s="136"/>
      <c r="BF132" s="136"/>
      <c r="BG132" s="136"/>
      <c r="BH132" s="136"/>
      <c r="BI132" s="136"/>
      <c r="BJ132" s="136"/>
      <c r="BK132" s="136"/>
      <c r="BL132" s="136"/>
      <c r="BM132" s="402"/>
      <c r="BN132" s="136"/>
      <c r="BO132" s="1091"/>
      <c r="BP132" s="78"/>
      <c r="BQ132" s="199"/>
      <c r="BR132" s="199"/>
      <c r="BS132" s="199"/>
      <c r="BT132" s="199"/>
      <c r="BU132" s="199"/>
      <c r="BV132" s="199"/>
      <c r="BW132" s="199"/>
      <c r="BX132" s="199"/>
      <c r="BY132" s="199"/>
      <c r="BZ132" s="199"/>
      <c r="CA132" s="199"/>
      <c r="CB132" s="199"/>
      <c r="CC132" s="199"/>
      <c r="CD132" s="199"/>
      <c r="CE132" s="199"/>
      <c r="CF132" s="199"/>
      <c r="CG132" s="199"/>
      <c r="CH132" s="199"/>
      <c r="CI132" s="199"/>
      <c r="CJ132" s="199"/>
      <c r="CK132" s="199"/>
      <c r="CL132" s="199"/>
      <c r="CM132" s="199"/>
      <c r="CN132" s="199"/>
      <c r="CO132" s="199"/>
      <c r="CP132" s="199"/>
      <c r="CQ132" s="199"/>
      <c r="CR132" s="199"/>
      <c r="CS132" s="199"/>
      <c r="CT132" s="199"/>
      <c r="CU132" s="199"/>
      <c r="CV132" s="199"/>
      <c r="CW132" s="199"/>
      <c r="CX132" s="199"/>
      <c r="CY132" s="199"/>
      <c r="CZ132" s="199"/>
      <c r="DA132" s="199"/>
      <c r="DB132" s="199"/>
    </row>
    <row r="133" spans="2:142" ht="21" hidden="1" thickBot="1" x14ac:dyDescent="0.25">
      <c r="B133" s="713"/>
      <c r="C133" s="714"/>
      <c r="D133" s="37"/>
      <c r="E133" s="37"/>
      <c r="F133" s="37"/>
      <c r="G133" s="37"/>
      <c r="U133" s="212"/>
      <c r="V133" s="187"/>
      <c r="AB133" s="187"/>
      <c r="AC133" s="187"/>
      <c r="AD133" s="187"/>
      <c r="AE133" s="187"/>
      <c r="AF133" s="187"/>
      <c r="AG133" s="187"/>
      <c r="AH133" s="187"/>
      <c r="AI133" s="187"/>
      <c r="AJ133" s="187"/>
      <c r="AK133" s="187"/>
      <c r="AL133" s="187"/>
      <c r="AM133" s="187"/>
      <c r="AN133" s="187"/>
      <c r="AO133" s="187"/>
      <c r="AP133" s="187"/>
      <c r="AQ133" s="187"/>
      <c r="AR133" s="187"/>
      <c r="AS133" s="187"/>
      <c r="AT133" s="187"/>
      <c r="AU133" s="187"/>
      <c r="AV133" s="187"/>
      <c r="AW133" s="187"/>
      <c r="AX133" s="187"/>
      <c r="AY133" s="187"/>
      <c r="AZ133" s="187"/>
      <c r="BA133" s="187"/>
      <c r="BB133" s="187"/>
      <c r="BC133" s="126"/>
      <c r="BE133" s="136"/>
      <c r="BF133" s="136"/>
      <c r="BG133" s="136"/>
      <c r="BH133" s="136"/>
      <c r="BI133" s="136"/>
      <c r="BJ133" s="136"/>
      <c r="BK133" s="136"/>
      <c r="BL133" s="136"/>
      <c r="BM133" s="402"/>
      <c r="BN133" s="136"/>
      <c r="BO133" s="1091"/>
      <c r="BP133" s="78"/>
      <c r="BQ133" s="199"/>
      <c r="BR133" s="199"/>
      <c r="BS133" s="199"/>
      <c r="BT133" s="199"/>
      <c r="BU133" s="199"/>
      <c r="BV133" s="199"/>
      <c r="BW133" s="199"/>
      <c r="BX133" s="199"/>
      <c r="BY133" s="199"/>
      <c r="BZ133" s="199"/>
      <c r="CA133" s="199"/>
      <c r="CB133" s="199"/>
      <c r="CC133" s="199"/>
      <c r="CD133" s="199"/>
      <c r="CE133" s="199"/>
      <c r="CF133" s="199"/>
      <c r="CG133" s="199"/>
      <c r="CH133" s="199"/>
      <c r="CI133" s="199"/>
      <c r="CJ133" s="199"/>
      <c r="CK133" s="199"/>
      <c r="CL133" s="199"/>
      <c r="CM133" s="199"/>
      <c r="CN133" s="199"/>
      <c r="CO133" s="199"/>
      <c r="CP133" s="199"/>
      <c r="CQ133" s="199"/>
      <c r="CR133" s="199"/>
      <c r="CS133" s="199"/>
      <c r="CT133" s="199"/>
      <c r="CU133" s="199"/>
      <c r="CV133" s="199"/>
      <c r="CW133" s="199"/>
      <c r="CX133" s="199"/>
      <c r="CY133" s="199"/>
      <c r="CZ133" s="199"/>
      <c r="DA133" s="199"/>
      <c r="DB133" s="199"/>
    </row>
    <row r="134" spans="2:142" ht="41.25" hidden="1" customHeight="1" thickBot="1" x14ac:dyDescent="0.35">
      <c r="B134"/>
      <c r="D134" s="543"/>
      <c r="E134" s="543"/>
      <c r="F134" s="543"/>
      <c r="G134" s="543"/>
      <c r="V134" s="437"/>
      <c r="W134" s="437"/>
      <c r="X134" s="437"/>
      <c r="Y134" s="437"/>
      <c r="Z134" s="437"/>
      <c r="AA134" s="437"/>
      <c r="AB134" s="464"/>
      <c r="AC134" s="464"/>
      <c r="AD134" s="464"/>
      <c r="AE134" s="464"/>
      <c r="AF134" s="437"/>
      <c r="AG134" s="437"/>
      <c r="AH134" s="546"/>
      <c r="AI134" s="547"/>
      <c r="AJ134" s="543"/>
      <c r="AK134" s="415"/>
      <c r="AL134" s="292"/>
      <c r="AM134" s="543"/>
      <c r="AN134" s="415"/>
      <c r="AO134" s="292"/>
      <c r="AP134" s="445"/>
      <c r="AQ134" s="292"/>
      <c r="AR134" s="445"/>
      <c r="AS134" s="445"/>
      <c r="AT134" s="445"/>
      <c r="AU134" s="445"/>
      <c r="AV134" s="445"/>
      <c r="AW134" s="445"/>
      <c r="AX134" s="445"/>
      <c r="AY134" s="544"/>
      <c r="AZ134" s="544"/>
      <c r="BA134" s="544"/>
      <c r="BB134" s="544"/>
      <c r="BD134" s="545"/>
      <c r="BM134" s="214"/>
      <c r="BN134" s="214"/>
      <c r="BO134" s="214"/>
    </row>
    <row r="135" spans="2:142" ht="47.25" hidden="1" customHeight="1" thickBot="1" x14ac:dyDescent="0.35">
      <c r="B135"/>
      <c r="C135"/>
      <c r="D135" s="543"/>
      <c r="E135" s="543"/>
      <c r="F135" s="543"/>
      <c r="G135" s="543"/>
      <c r="V135" s="437"/>
      <c r="W135" s="437"/>
      <c r="X135" s="437"/>
      <c r="Y135" s="437"/>
      <c r="Z135" s="437"/>
      <c r="AA135" s="437"/>
      <c r="AB135" s="464"/>
      <c r="AC135" s="464"/>
      <c r="AD135" s="464"/>
      <c r="AE135" s="464"/>
      <c r="AF135" s="437"/>
      <c r="AG135" s="437"/>
      <c r="AH135" s="437"/>
      <c r="AI135" s="437"/>
      <c r="AJ135" s="543"/>
      <c r="AK135" s="415"/>
      <c r="AL135" s="292"/>
      <c r="AM135" s="543"/>
      <c r="AN135" s="415"/>
      <c r="AO135" s="292"/>
      <c r="AP135" s="445"/>
      <c r="AQ135" s="292"/>
      <c r="AR135" s="445"/>
      <c r="AS135" s="445"/>
      <c r="AT135" s="445"/>
      <c r="AU135" s="445"/>
      <c r="AV135" s="445"/>
      <c r="AW135" s="445"/>
      <c r="AX135" s="445"/>
      <c r="AY135" s="544"/>
      <c r="AZ135" s="544"/>
      <c r="BA135" s="544"/>
      <c r="BB135" s="544"/>
      <c r="BD135" s="545"/>
      <c r="BM135" s="214"/>
      <c r="BN135" s="214"/>
      <c r="BO135" s="214"/>
    </row>
    <row r="136" spans="2:142" ht="191" hidden="1" x14ac:dyDescent="0.3">
      <c r="B136"/>
      <c r="D136" s="543"/>
      <c r="E136" s="543"/>
      <c r="F136" s="543"/>
      <c r="G136" s="543"/>
      <c r="V136" s="437"/>
      <c r="W136" s="437"/>
      <c r="X136" s="437"/>
      <c r="Y136" s="437"/>
      <c r="Z136" s="437"/>
      <c r="AA136" s="437"/>
      <c r="AB136" s="464"/>
      <c r="AC136" s="464"/>
      <c r="AD136" s="464"/>
      <c r="AE136" s="464"/>
      <c r="AF136" s="437"/>
      <c r="AG136" s="437"/>
      <c r="AH136" s="437"/>
      <c r="AI136" s="437"/>
      <c r="AJ136" s="543"/>
      <c r="AK136" s="415"/>
      <c r="AL136" s="797" t="s">
        <v>174</v>
      </c>
      <c r="AM136" s="794"/>
      <c r="AN136" s="794"/>
      <c r="AO136" s="794"/>
      <c r="AP136" s="876" t="s">
        <v>178</v>
      </c>
      <c r="AQ136" s="292"/>
      <c r="AR136" s="445"/>
      <c r="AS136" s="445"/>
      <c r="AT136" s="445"/>
      <c r="AU136" s="445"/>
      <c r="AV136" s="445"/>
      <c r="AW136" s="445"/>
      <c r="AX136" s="445"/>
      <c r="AY136" s="544"/>
      <c r="AZ136" s="544"/>
      <c r="BA136" s="544"/>
      <c r="BB136" s="544"/>
      <c r="BD136" s="545"/>
      <c r="BM136" s="214"/>
      <c r="BN136" s="214"/>
      <c r="BO136" s="214"/>
    </row>
    <row r="137" spans="2:142" ht="12.75" customHeight="1" thickBot="1" x14ac:dyDescent="0.35">
      <c r="D137" s="543"/>
      <c r="E137" s="543"/>
      <c r="F137" s="543"/>
      <c r="G137" s="543"/>
      <c r="V137" s="437"/>
      <c r="W137" s="437"/>
      <c r="X137" s="437"/>
      <c r="Y137" s="437"/>
      <c r="Z137" s="437"/>
      <c r="AA137" s="437"/>
      <c r="AB137" s="464"/>
      <c r="AC137" s="464"/>
      <c r="AD137" s="464"/>
      <c r="AE137" s="464"/>
      <c r="AF137" s="437"/>
      <c r="AG137" s="437"/>
      <c r="AH137" s="437"/>
      <c r="AI137" s="437"/>
      <c r="AJ137" s="543"/>
      <c r="AK137" s="415"/>
      <c r="AL137" s="877" t="s">
        <v>175</v>
      </c>
      <c r="AM137" s="797" t="s">
        <v>176</v>
      </c>
      <c r="AN137" s="797" t="s">
        <v>177</v>
      </c>
      <c r="AO137" s="798" t="s">
        <v>181</v>
      </c>
      <c r="AP137" s="799" t="s">
        <v>179</v>
      </c>
      <c r="AQ137" s="292"/>
      <c r="AR137" s="445"/>
      <c r="AS137" s="445"/>
      <c r="AT137" s="445"/>
      <c r="AU137" s="445"/>
      <c r="AV137" s="445"/>
      <c r="AW137" s="445"/>
      <c r="AX137" s="445"/>
      <c r="AY137" s="544"/>
      <c r="AZ137" s="544"/>
      <c r="BA137" s="544"/>
      <c r="BB137" s="544"/>
      <c r="BD137" s="545"/>
      <c r="BM137" s="214"/>
      <c r="BN137" s="214"/>
      <c r="BO137" s="214"/>
    </row>
    <row r="138" spans="2:142" ht="77.25" customHeight="1" thickBot="1" x14ac:dyDescent="0.35">
      <c r="B138" s="345" t="s">
        <v>211</v>
      </c>
      <c r="C138" s="412"/>
      <c r="D138" s="37"/>
      <c r="E138" s="37"/>
      <c r="F138" s="37"/>
      <c r="G138" s="37"/>
      <c r="T138" s="187"/>
      <c r="AL138" s="877">
        <v>6.8623010000000004</v>
      </c>
      <c r="AM138" s="797">
        <f>+$B$132-AL138</f>
        <v>-6.8623010000000004</v>
      </c>
      <c r="AN138" s="800">
        <f>COS(AM138*3.14159265358979/180)</f>
        <v>0.99283617366519983</v>
      </c>
      <c r="AO138" s="793">
        <f>+AN138*378.71303</f>
        <v>375.99999562235405</v>
      </c>
      <c r="AP138" s="801">
        <f>+((AP142*(AR142-31))+(AO138*31)+(AP161*31))/(AR142+31)</f>
        <v>264.04070887786077</v>
      </c>
      <c r="AQ138" s="1100" t="s">
        <v>266</v>
      </c>
      <c r="BD138" s="136"/>
      <c r="BM138" s="214"/>
      <c r="BN138" s="214"/>
      <c r="BO138" s="214"/>
      <c r="EK138" s="78"/>
      <c r="EL138" s="78"/>
    </row>
    <row r="139" spans="2:142" ht="39" customHeight="1" thickBot="1" x14ac:dyDescent="0.35">
      <c r="B139" s="27">
        <v>1</v>
      </c>
      <c r="C139" s="216"/>
      <c r="D139" s="549" t="s">
        <v>109</v>
      </c>
      <c r="E139" s="330"/>
      <c r="F139" s="330"/>
      <c r="G139" s="330"/>
      <c r="H139" s="342" t="s">
        <v>87</v>
      </c>
      <c r="I139" s="342" t="s">
        <v>88</v>
      </c>
      <c r="J139" s="342" t="s">
        <v>89</v>
      </c>
      <c r="K139"/>
      <c r="L139"/>
      <c r="M139"/>
      <c r="N139"/>
      <c r="O139"/>
      <c r="P139" s="342" t="s">
        <v>90</v>
      </c>
      <c r="Q139" s="342" t="s">
        <v>91</v>
      </c>
      <c r="R139" s="330"/>
      <c r="S139" s="342" t="s">
        <v>92</v>
      </c>
      <c r="T139" s="414"/>
      <c r="W139" s="1850" t="s">
        <v>93</v>
      </c>
      <c r="X139" s="1850"/>
      <c r="Y139" s="1850"/>
      <c r="Z139" s="1850"/>
      <c r="AA139" s="1850"/>
      <c r="AZ139" s="415"/>
      <c r="BA139" s="1848" t="s">
        <v>52</v>
      </c>
      <c r="BB139" s="1849"/>
      <c r="BD139" s="136"/>
      <c r="BM139" s="214"/>
      <c r="BN139" s="214"/>
      <c r="BO139" s="214"/>
      <c r="EK139" s="78"/>
      <c r="EL139" s="78"/>
    </row>
    <row r="140" spans="2:142" ht="79" hidden="1" thickBot="1" x14ac:dyDescent="0.35">
      <c r="C140" s="416"/>
      <c r="D140" s="550" t="s">
        <v>13</v>
      </c>
      <c r="H140" s="356" t="s">
        <v>4</v>
      </c>
      <c r="I140" s="356" t="s">
        <v>1</v>
      </c>
      <c r="J140" s="377" t="s">
        <v>73</v>
      </c>
      <c r="K140" s="316" t="s">
        <v>2</v>
      </c>
      <c r="L140" s="316" t="s">
        <v>3</v>
      </c>
      <c r="M140" s="316" t="s">
        <v>8</v>
      </c>
      <c r="N140" s="316" t="s">
        <v>5</v>
      </c>
      <c r="O140" s="316" t="s">
        <v>6</v>
      </c>
      <c r="P140" s="316" t="s">
        <v>7</v>
      </c>
      <c r="Q140" s="316" t="s">
        <v>9</v>
      </c>
      <c r="R140" s="356" t="s">
        <v>10</v>
      </c>
      <c r="S140" s="316" t="s">
        <v>11</v>
      </c>
      <c r="T140" s="418" t="s">
        <v>12</v>
      </c>
      <c r="W140" s="356" t="s">
        <v>111</v>
      </c>
      <c r="X140" s="316" t="s">
        <v>94</v>
      </c>
      <c r="Y140" s="356" t="s">
        <v>110</v>
      </c>
      <c r="Z140" s="419" t="s">
        <v>95</v>
      </c>
      <c r="AA140" s="419" t="s">
        <v>96</v>
      </c>
      <c r="AC140" s="316" t="s">
        <v>99</v>
      </c>
      <c r="AD140" s="316"/>
      <c r="AE140" s="316"/>
      <c r="AF140" s="420"/>
      <c r="AG140" s="420"/>
      <c r="AH140" s="420"/>
      <c r="AI140" s="420"/>
      <c r="AJ140" s="420"/>
      <c r="AK140" s="420"/>
      <c r="AL140" s="420"/>
      <c r="AM140" s="420"/>
      <c r="AN140" s="420"/>
      <c r="AO140" s="420"/>
      <c r="AP140" s="420" t="s">
        <v>135</v>
      </c>
      <c r="AQ140" s="420"/>
      <c r="AR140" s="420" t="s">
        <v>135</v>
      </c>
      <c r="AS140" s="420"/>
      <c r="AT140" s="420"/>
      <c r="AU140" s="420" t="s">
        <v>135</v>
      </c>
      <c r="AV140" s="420"/>
      <c r="AW140" s="420"/>
      <c r="AX140" s="420"/>
      <c r="AY140" s="415"/>
      <c r="AZ140" s="415"/>
      <c r="BA140" s="420"/>
      <c r="BB140" s="420"/>
      <c r="BC140" s="231"/>
      <c r="BD140" s="136"/>
      <c r="BM140" s="214"/>
      <c r="BN140" s="214"/>
      <c r="BO140" s="214"/>
      <c r="EK140" s="78"/>
      <c r="EL140" s="78"/>
    </row>
    <row r="141" spans="2:142" ht="42" customHeight="1" thickBot="1" x14ac:dyDescent="0.35">
      <c r="B141" s="421"/>
      <c r="C141" s="422"/>
      <c r="D141" s="551" t="s">
        <v>22</v>
      </c>
      <c r="E141" s="37"/>
      <c r="F141" s="330"/>
      <c r="G141" s="240"/>
      <c r="H141" s="356"/>
      <c r="I141" s="356"/>
      <c r="J141" s="377"/>
      <c r="K141" s="316"/>
      <c r="L141" s="316"/>
      <c r="M141" s="316"/>
      <c r="N141" s="316"/>
      <c r="O141" s="316"/>
      <c r="P141" s="316"/>
      <c r="Q141" s="316"/>
      <c r="R141" s="356"/>
      <c r="S141" s="316"/>
      <c r="T141" s="418"/>
      <c r="V141" s="420"/>
      <c r="W141" s="420"/>
      <c r="X141" s="420"/>
      <c r="Y141" s="420"/>
      <c r="Z141" s="420"/>
      <c r="AA141" s="420"/>
      <c r="AB141" s="420"/>
      <c r="AC141" s="423">
        <f>SUM(AC142:AC153)</f>
        <v>334.49993130661176</v>
      </c>
      <c r="AD141" s="424"/>
      <c r="AE141" s="424"/>
      <c r="AF141" s="420" t="s">
        <v>38</v>
      </c>
      <c r="AH141" s="425" t="s">
        <v>31</v>
      </c>
      <c r="AI141" s="425"/>
      <c r="AJ141" s="10" t="s">
        <v>108</v>
      </c>
      <c r="AK141" s="426" t="s">
        <v>32</v>
      </c>
      <c r="AL141" s="9" t="s">
        <v>33</v>
      </c>
      <c r="AM141" s="8" t="s">
        <v>107</v>
      </c>
      <c r="AN141" s="427" t="s">
        <v>34</v>
      </c>
      <c r="AO141" s="9" t="s">
        <v>35</v>
      </c>
      <c r="AP141" s="428" t="s">
        <v>48</v>
      </c>
      <c r="AQ141" s="367" t="s">
        <v>154</v>
      </c>
      <c r="AR141" s="428" t="s">
        <v>155</v>
      </c>
      <c r="AS141" s="420" t="s">
        <v>46</v>
      </c>
      <c r="AT141" s="420" t="s">
        <v>72</v>
      </c>
      <c r="AU141" s="428" t="s">
        <v>71</v>
      </c>
      <c r="AV141" s="553"/>
      <c r="AW141" s="429" t="s">
        <v>41</v>
      </c>
      <c r="AX141" s="429" t="s">
        <v>42</v>
      </c>
      <c r="AY141" s="430" t="s">
        <v>23</v>
      </c>
      <c r="AZ141" s="430" t="s">
        <v>24</v>
      </c>
      <c r="BA141" s="431" t="s">
        <v>23</v>
      </c>
      <c r="BB141" s="431" t="s">
        <v>24</v>
      </c>
      <c r="BD141" s="136"/>
      <c r="BM141" s="214"/>
      <c r="BN141" s="214"/>
      <c r="BO141" s="214"/>
      <c r="EK141" s="78"/>
      <c r="EL141" s="78"/>
    </row>
    <row r="142" spans="2:142" ht="23" thickBot="1" x14ac:dyDescent="0.35">
      <c r="B142" s="255">
        <v>1</v>
      </c>
      <c r="C142" s="715">
        <f>+(B132*-1)+D142</f>
        <v>0</v>
      </c>
      <c r="D142" s="25">
        <v>0</v>
      </c>
      <c r="E142" s="432" t="s">
        <v>80</v>
      </c>
      <c r="F142" s="258"/>
      <c r="G142" s="258"/>
      <c r="H142" s="14">
        <v>414.62658399999998</v>
      </c>
      <c r="I142" s="15">
        <v>36.220413100000002</v>
      </c>
      <c r="J142" s="342">
        <f>+I142-C142</f>
        <v>36.220413100000002</v>
      </c>
      <c r="K142" s="280"/>
      <c r="L142" s="280"/>
      <c r="M142" s="280"/>
      <c r="N142" s="280"/>
      <c r="O142" s="280"/>
      <c r="P142" s="342">
        <f>COS(J142*3.14159265358979/180)</f>
        <v>0.80674984242354264</v>
      </c>
      <c r="Q142" s="342">
        <f>+P142*H142</f>
        <v>334.49993130661176</v>
      </c>
      <c r="R142" s="377">
        <v>334.5</v>
      </c>
      <c r="S142" s="342">
        <f>+Q142</f>
        <v>334.49993130661176</v>
      </c>
      <c r="T142" s="258">
        <f t="shared" ref="T142:T153" si="4">+S142</f>
        <v>334.49993130661176</v>
      </c>
      <c r="U142" s="258"/>
      <c r="V142" s="258">
        <f t="shared" ref="V142:V153" si="5">IF(B142&lt;($B$139+1),T142,0)</f>
        <v>334.49993130661176</v>
      </c>
      <c r="W142" s="13">
        <v>36.220415500000001</v>
      </c>
      <c r="X142" s="419">
        <f>+W142+AI155</f>
        <v>36.220415500000001</v>
      </c>
      <c r="Y142" s="13">
        <v>414.6266</v>
      </c>
      <c r="Z142" s="419">
        <f>+COS(X142*3.14159265358979/180)*Y142</f>
        <v>334.49993395207258</v>
      </c>
      <c r="AA142" s="716">
        <f>+AC141-Z142</f>
        <v>-2.6454608246240241E-6</v>
      </c>
      <c r="AB142" s="280"/>
      <c r="AC142" s="514">
        <f>IF(AD142=1,AF142)</f>
        <v>334.49993130661176</v>
      </c>
      <c r="AD142" s="514">
        <f t="shared" ref="AD142:AD153" si="6">MAX(AE$142:AE$153)</f>
        <v>1</v>
      </c>
      <c r="AE142" s="514">
        <f>IF(V142=0,0,1)</f>
        <v>1</v>
      </c>
      <c r="AF142" s="437">
        <f>SUM(V142:V153)/($B$139)</f>
        <v>334.49993130661176</v>
      </c>
      <c r="AH142" s="450">
        <f>+D142+C142</f>
        <v>0</v>
      </c>
      <c r="AI142" s="717">
        <f t="shared" ref="AI142:AI153" si="7">IF(B142&lt;($B$139+1),AH142)</f>
        <v>0</v>
      </c>
      <c r="AJ142" s="11">
        <f>53.779595+AI142</f>
        <v>53.779595</v>
      </c>
      <c r="AK142" s="718">
        <f>SIN(AJ142*3.14159265358979/180)</f>
        <v>0.8067499259590819</v>
      </c>
      <c r="AL142" s="11">
        <f>+AK142*414.6266</f>
        <v>334.49997885066585</v>
      </c>
      <c r="AM142" s="11">
        <f>59.2910885-AI142</f>
        <v>59.291088500000001</v>
      </c>
      <c r="AN142" s="442">
        <f>SIN(AM142*3.14159265358979/180)</f>
        <v>0.85977285389573432</v>
      </c>
      <c r="AO142" s="11">
        <f>+AN142*479.7721</f>
        <v>412.49502763654965</v>
      </c>
      <c r="AP142" s="519">
        <f t="shared" ref="AP142:AP153" si="8">+((AF142*AQ142)+($AG$166*$AQ$166)+($AQ$198*$AG$198))/AR142</f>
        <v>214.20958340651416</v>
      </c>
      <c r="AQ142" s="382">
        <f>72*B139</f>
        <v>72</v>
      </c>
      <c r="AR142" s="519">
        <f t="shared" ref="AR142:AR153" si="9">+AQ142+$AQ$198+$AQ$166+31+1.3</f>
        <v>170.3</v>
      </c>
      <c r="AS142" s="444">
        <f>+AO142+AL142</f>
        <v>746.99500648721551</v>
      </c>
      <c r="AT142" s="445">
        <f>+V142-AL142</f>
        <v>-4.7544054098125343E-5</v>
      </c>
      <c r="AU142" s="446">
        <f>+AP142-AT142</f>
        <v>214.20963095056825</v>
      </c>
      <c r="AV142" s="719"/>
      <c r="AW142" s="447">
        <f>+((AS142-AU142)/AS142)*AR142</f>
        <v>121.46446584772973</v>
      </c>
      <c r="AX142" s="447">
        <f>+(AU142/AS142)*AR142</f>
        <v>48.835534152270284</v>
      </c>
      <c r="AY142" s="448">
        <f>2*$C$21/AW142</f>
        <v>95.501181510500288</v>
      </c>
      <c r="AZ142" s="448">
        <f>2*$D$21/AX142</f>
        <v>237.53195703421491</v>
      </c>
      <c r="BA142" s="449">
        <f>ABS(AY142)</f>
        <v>95.501181510500288</v>
      </c>
      <c r="BB142" s="449">
        <f>ABS(AZ142)</f>
        <v>237.53195703421491</v>
      </c>
      <c r="BC142" s="91"/>
      <c r="BD142" s="136"/>
      <c r="BM142" s="214"/>
      <c r="BN142" s="214"/>
      <c r="BO142" s="214"/>
      <c r="EK142" s="78"/>
      <c r="EL142" s="78"/>
    </row>
    <row r="143" spans="2:142" ht="23" thickBot="1" x14ac:dyDescent="0.35">
      <c r="B143" s="277">
        <v>2</v>
      </c>
      <c r="C143" s="278"/>
      <c r="D143" s="25">
        <v>0</v>
      </c>
      <c r="E143" s="257" t="s">
        <v>80</v>
      </c>
      <c r="F143" s="258"/>
      <c r="G143" s="258"/>
      <c r="H143" s="5">
        <v>479.77208100000001</v>
      </c>
      <c r="I143" s="5">
        <v>61.416098300000002</v>
      </c>
      <c r="J143" s="258">
        <f>+I143+D143</f>
        <v>61.416098300000002</v>
      </c>
      <c r="K143" s="258">
        <f t="shared" ref="K143:K153" si="10">+J143/2</f>
        <v>30.708049150000001</v>
      </c>
      <c r="L143" s="258">
        <f t="shared" ref="L143:L153" si="11">SIN(K143*3.14159265358979/180)</f>
        <v>0.51066370850547771</v>
      </c>
      <c r="M143" s="258">
        <f t="shared" ref="M143:M153" si="12">+L143*H143</f>
        <v>245.00219012085046</v>
      </c>
      <c r="N143" s="258">
        <f t="shared" ref="N143:N153" si="13">+M143*2</f>
        <v>490.00438024170091</v>
      </c>
      <c r="O143" s="258">
        <f>+C142+(D143/2)</f>
        <v>0</v>
      </c>
      <c r="P143" s="258">
        <f t="shared" ref="P143:P153" si="14">SIN(O143*3.14159265358979/180)</f>
        <v>0</v>
      </c>
      <c r="Q143" s="258">
        <f t="shared" ref="Q143:Q153" si="15">+P143*N143</f>
        <v>0</v>
      </c>
      <c r="R143" s="258">
        <f t="shared" ref="R143:R153" si="16">+T142</f>
        <v>334.49993130661176</v>
      </c>
      <c r="S143" s="258">
        <f>+R143+Q143</f>
        <v>334.49993130661176</v>
      </c>
      <c r="T143" s="258">
        <f t="shared" si="4"/>
        <v>334.49993130661176</v>
      </c>
      <c r="U143" s="258"/>
      <c r="V143" s="258">
        <f t="shared" si="5"/>
        <v>0</v>
      </c>
      <c r="W143" s="258"/>
      <c r="X143" s="258"/>
      <c r="Y143" s="258"/>
      <c r="Z143" s="258"/>
      <c r="AA143" s="258"/>
      <c r="AB143" s="258"/>
      <c r="AC143" s="514" t="b">
        <f>IF(AD143=2,AF143)</f>
        <v>0</v>
      </c>
      <c r="AD143" s="514">
        <f t="shared" si="6"/>
        <v>1</v>
      </c>
      <c r="AE143" s="514">
        <f>IF(V143=0,0,2)</f>
        <v>0</v>
      </c>
      <c r="AF143" s="437" t="e">
        <f>SUM(V143:V153)/($B$139-B142)</f>
        <v>#DIV/0!</v>
      </c>
      <c r="AG143" s="437"/>
      <c r="AH143" s="450">
        <f>SUM(D143)+$C$142</f>
        <v>0</v>
      </c>
      <c r="AI143" s="717" t="b">
        <f t="shared" si="7"/>
        <v>0</v>
      </c>
      <c r="AJ143" s="11">
        <f t="shared" ref="AJ143:AJ153" si="17">53.779595+AI143</f>
        <v>53.779595</v>
      </c>
      <c r="AK143" s="718">
        <f>SIN(AJ143*3.14159265358979/180)</f>
        <v>0.8067499259590819</v>
      </c>
      <c r="AL143" s="11">
        <f t="shared" ref="AL143:AL153" si="18">+AK143*414.6266</f>
        <v>334.49997885066585</v>
      </c>
      <c r="AM143" s="11">
        <f t="shared" ref="AM143:AM153" si="19">59.2910885-AI143</f>
        <v>59.291088500000001</v>
      </c>
      <c r="AN143" s="442">
        <f t="shared" ref="AN143:AN153" si="20">SIN(AM143*3.14159265358979/180)</f>
        <v>0.85977285389573432</v>
      </c>
      <c r="AO143" s="11">
        <f t="shared" ref="AO143:AO153" si="21">+AN143*479.7721</f>
        <v>412.49502763654965</v>
      </c>
      <c r="AP143" s="519" t="e">
        <f t="shared" si="8"/>
        <v>#DIV/0!</v>
      </c>
      <c r="AQ143" s="382">
        <f t="shared" ref="AQ143:AQ153" si="22">72*($B$139-B142)</f>
        <v>0</v>
      </c>
      <c r="AR143" s="519">
        <f t="shared" si="9"/>
        <v>98.3</v>
      </c>
      <c r="AS143" s="444">
        <f t="shared" ref="AS143:AS153" si="23">+AO143+AL143</f>
        <v>746.99500648721551</v>
      </c>
      <c r="AT143" s="445">
        <f t="shared" ref="AT143:AT153" si="24">+V143-AL143</f>
        <v>-334.49997885066585</v>
      </c>
      <c r="AU143" s="446" t="e">
        <f t="shared" ref="AU143:AU153" si="25">+AP143-AT143</f>
        <v>#DIV/0!</v>
      </c>
      <c r="AV143" s="719"/>
      <c r="AW143" s="447" t="e">
        <f t="shared" ref="AW143:AW153" si="26">+((AS143-AU143)/AS143)*AR143</f>
        <v>#DIV/0!</v>
      </c>
      <c r="AX143" s="447" t="e">
        <f t="shared" ref="AX143:AX153" si="27">+(AU143/AS143)*AR143</f>
        <v>#DIV/0!</v>
      </c>
      <c r="AY143" s="448" t="e">
        <f t="shared" ref="AY143:AY153" si="28">2*$C$21/AW143</f>
        <v>#DIV/0!</v>
      </c>
      <c r="AZ143" s="448" t="e">
        <f t="shared" ref="AZ143:AZ153" si="29">2*$D$21/AX143</f>
        <v>#DIV/0!</v>
      </c>
      <c r="BA143" s="451" t="e">
        <f>ABS(AY143)</f>
        <v>#DIV/0!</v>
      </c>
      <c r="BB143" s="451" t="e">
        <f>ABS(AZ143)</f>
        <v>#DIV/0!</v>
      </c>
      <c r="BD143" s="136"/>
      <c r="BM143" s="214"/>
      <c r="BN143" s="214"/>
      <c r="BO143" s="214"/>
      <c r="EK143" s="78"/>
      <c r="EL143" s="78"/>
    </row>
    <row r="144" spans="2:142" ht="23" thickBot="1" x14ac:dyDescent="0.35">
      <c r="B144" s="277">
        <v>3</v>
      </c>
      <c r="C144" s="278"/>
      <c r="D144" s="25">
        <v>0</v>
      </c>
      <c r="E144" s="257" t="s">
        <v>80</v>
      </c>
      <c r="F144" s="258"/>
      <c r="G144" s="258"/>
      <c r="H144" s="5">
        <v>479.77208100000001</v>
      </c>
      <c r="I144" s="5">
        <v>61.416098300000002</v>
      </c>
      <c r="J144" s="258">
        <f t="shared" ref="J144:J153" si="30">+I144+D144</f>
        <v>61.416098300000002</v>
      </c>
      <c r="K144" s="258">
        <f t="shared" si="10"/>
        <v>30.708049150000001</v>
      </c>
      <c r="L144" s="258">
        <f t="shared" si="11"/>
        <v>0.51066370850547771</v>
      </c>
      <c r="M144" s="258">
        <f t="shared" si="12"/>
        <v>245.00219012085046</v>
      </c>
      <c r="N144" s="258">
        <f t="shared" si="13"/>
        <v>490.00438024170091</v>
      </c>
      <c r="O144" s="258">
        <f>+C142+D143+(D144/2)</f>
        <v>0</v>
      </c>
      <c r="P144" s="258">
        <f t="shared" si="14"/>
        <v>0</v>
      </c>
      <c r="Q144" s="258">
        <f t="shared" si="15"/>
        <v>0</v>
      </c>
      <c r="R144" s="258">
        <f t="shared" si="16"/>
        <v>334.49993130661176</v>
      </c>
      <c r="S144" s="258">
        <f t="shared" ref="S144:S153" si="31">+S143+Q144</f>
        <v>334.49993130661176</v>
      </c>
      <c r="T144" s="258">
        <f t="shared" si="4"/>
        <v>334.49993130661176</v>
      </c>
      <c r="U144" s="258"/>
      <c r="V144" s="258">
        <f t="shared" si="5"/>
        <v>0</v>
      </c>
      <c r="W144" s="258"/>
      <c r="X144" s="258"/>
      <c r="Y144" s="258"/>
      <c r="Z144" s="258"/>
      <c r="AA144" s="258"/>
      <c r="AB144" s="258"/>
      <c r="AC144" s="514" t="b">
        <f>IF(AD144=3,AF144)</f>
        <v>0</v>
      </c>
      <c r="AD144" s="514">
        <f t="shared" si="6"/>
        <v>1</v>
      </c>
      <c r="AE144" s="514">
        <f>IF(V144=0,0,3)</f>
        <v>0</v>
      </c>
      <c r="AF144" s="437">
        <f>SUM(V144:V153)/($B$139-B143)</f>
        <v>0</v>
      </c>
      <c r="AG144" s="437"/>
      <c r="AH144" s="450">
        <f>SUM(D143:D144)+$C$142</f>
        <v>0</v>
      </c>
      <c r="AI144" s="717" t="b">
        <f t="shared" si="7"/>
        <v>0</v>
      </c>
      <c r="AJ144" s="11">
        <f t="shared" si="17"/>
        <v>53.779595</v>
      </c>
      <c r="AK144" s="718">
        <f t="shared" ref="AK144:AK153" si="32">SIN(AJ144*3.14159265358979/180)</f>
        <v>0.8067499259590819</v>
      </c>
      <c r="AL144" s="11">
        <f t="shared" si="18"/>
        <v>334.49997885066585</v>
      </c>
      <c r="AM144" s="11">
        <f t="shared" si="19"/>
        <v>59.291088500000001</v>
      </c>
      <c r="AN144" s="442">
        <f t="shared" si="20"/>
        <v>0.85977285389573432</v>
      </c>
      <c r="AO144" s="11">
        <f t="shared" si="21"/>
        <v>412.49502763654965</v>
      </c>
      <c r="AP144" s="519">
        <f t="shared" si="8"/>
        <v>471.32688213130473</v>
      </c>
      <c r="AQ144" s="382">
        <f t="shared" si="22"/>
        <v>-72</v>
      </c>
      <c r="AR144" s="519">
        <f t="shared" si="9"/>
        <v>26.3</v>
      </c>
      <c r="AS144" s="444">
        <f t="shared" si="23"/>
        <v>746.99500648721551</v>
      </c>
      <c r="AT144" s="445">
        <f t="shared" si="24"/>
        <v>-334.49997885066585</v>
      </c>
      <c r="AU144" s="446">
        <f t="shared" si="25"/>
        <v>805.82686098197064</v>
      </c>
      <c r="AV144" s="719"/>
      <c r="AW144" s="447">
        <f t="shared" si="26"/>
        <v>-2.071336166607348</v>
      </c>
      <c r="AX144" s="447">
        <f t="shared" si="27"/>
        <v>28.37133616660735</v>
      </c>
      <c r="AY144" s="448">
        <f t="shared" si="28"/>
        <v>-5600.2498227990191</v>
      </c>
      <c r="AZ144" s="448">
        <f t="shared" si="29"/>
        <v>408.86336589437866</v>
      </c>
      <c r="BA144" s="451">
        <f t="shared" ref="BA144:BB153" si="33">ABS(AY144)</f>
        <v>5600.2498227990191</v>
      </c>
      <c r="BB144" s="451">
        <f t="shared" si="33"/>
        <v>408.86336589437866</v>
      </c>
      <c r="BD144" s="136"/>
      <c r="BM144" s="214"/>
      <c r="BN144" s="214"/>
      <c r="BO144" s="214"/>
      <c r="EK144" s="78"/>
      <c r="EL144" s="78"/>
    </row>
    <row r="145" spans="2:142" ht="23" thickBot="1" x14ac:dyDescent="0.35">
      <c r="B145" s="277">
        <v>4</v>
      </c>
      <c r="C145" s="278"/>
      <c r="D145" s="25">
        <v>0</v>
      </c>
      <c r="E145" s="257" t="s">
        <v>80</v>
      </c>
      <c r="F145" s="258"/>
      <c r="G145" s="258"/>
      <c r="H145" s="5">
        <v>479.77208100000001</v>
      </c>
      <c r="I145" s="5">
        <v>61.416098300000002</v>
      </c>
      <c r="J145" s="258">
        <f t="shared" si="30"/>
        <v>61.416098300000002</v>
      </c>
      <c r="K145" s="258">
        <f t="shared" si="10"/>
        <v>30.708049150000001</v>
      </c>
      <c r="L145" s="258">
        <f t="shared" si="11"/>
        <v>0.51066370850547771</v>
      </c>
      <c r="M145" s="258">
        <f t="shared" si="12"/>
        <v>245.00219012085046</v>
      </c>
      <c r="N145" s="258">
        <f t="shared" si="13"/>
        <v>490.00438024170091</v>
      </c>
      <c r="O145" s="258">
        <f>+C142+D143+D144+(D145/2)</f>
        <v>0</v>
      </c>
      <c r="P145" s="258">
        <f t="shared" si="14"/>
        <v>0</v>
      </c>
      <c r="Q145" s="258">
        <f t="shared" si="15"/>
        <v>0</v>
      </c>
      <c r="R145" s="258">
        <f t="shared" si="16"/>
        <v>334.49993130661176</v>
      </c>
      <c r="S145" s="258">
        <f t="shared" si="31"/>
        <v>334.49993130661176</v>
      </c>
      <c r="T145" s="258">
        <f t="shared" si="4"/>
        <v>334.49993130661176</v>
      </c>
      <c r="U145" s="258"/>
      <c r="V145" s="258">
        <f t="shared" si="5"/>
        <v>0</v>
      </c>
      <c r="W145" s="258"/>
      <c r="X145" s="258"/>
      <c r="Y145" s="258"/>
      <c r="Z145" s="258"/>
      <c r="AA145" s="258"/>
      <c r="AB145" s="258"/>
      <c r="AC145" s="514" t="b">
        <f>IF(AD145=4,AF145)</f>
        <v>0</v>
      </c>
      <c r="AD145" s="514">
        <f t="shared" si="6"/>
        <v>1</v>
      </c>
      <c r="AE145" s="514">
        <f>IF(V145=0,0,4)</f>
        <v>0</v>
      </c>
      <c r="AF145" s="437">
        <f>SUM(V145:V153)/($B$139-B144)</f>
        <v>0</v>
      </c>
      <c r="AG145" s="437"/>
      <c r="AH145" s="450">
        <f>SUM(D143:D145)+$C$142</f>
        <v>0</v>
      </c>
      <c r="AI145" s="717" t="b">
        <f t="shared" si="7"/>
        <v>0</v>
      </c>
      <c r="AJ145" s="11">
        <f t="shared" si="17"/>
        <v>53.779595</v>
      </c>
      <c r="AK145" s="718">
        <f t="shared" si="32"/>
        <v>0.8067499259590819</v>
      </c>
      <c r="AL145" s="11">
        <f t="shared" si="18"/>
        <v>334.49997885066585</v>
      </c>
      <c r="AM145" s="11">
        <f t="shared" si="19"/>
        <v>59.291088500000001</v>
      </c>
      <c r="AN145" s="442">
        <f t="shared" si="20"/>
        <v>0.85977285389573432</v>
      </c>
      <c r="AO145" s="11">
        <f t="shared" si="21"/>
        <v>412.49502763654965</v>
      </c>
      <c r="AP145" s="519">
        <f t="shared" si="8"/>
        <v>-271.24501094208568</v>
      </c>
      <c r="AQ145" s="382">
        <f t="shared" si="22"/>
        <v>-144</v>
      </c>
      <c r="AR145" s="519">
        <f t="shared" si="9"/>
        <v>-45.7</v>
      </c>
      <c r="AS145" s="444">
        <f t="shared" si="23"/>
        <v>746.99500648721551</v>
      </c>
      <c r="AT145" s="445">
        <f t="shared" si="24"/>
        <v>-334.49997885066585</v>
      </c>
      <c r="AU145" s="446">
        <f t="shared" si="25"/>
        <v>63.25496790858017</v>
      </c>
      <c r="AV145" s="719"/>
      <c r="AW145" s="447">
        <f t="shared" si="26"/>
        <v>-41.830158825269756</v>
      </c>
      <c r="AX145" s="447">
        <f t="shared" si="27"/>
        <v>-3.8698411747302459</v>
      </c>
      <c r="AY145" s="448">
        <f t="shared" si="28"/>
        <v>-277.31188036972969</v>
      </c>
      <c r="AZ145" s="448">
        <f t="shared" si="29"/>
        <v>-2997.5390400378897</v>
      </c>
      <c r="BA145" s="451">
        <f t="shared" si="33"/>
        <v>277.31188036972969</v>
      </c>
      <c r="BB145" s="451">
        <f t="shared" si="33"/>
        <v>2997.5390400378897</v>
      </c>
      <c r="BD145" s="136"/>
      <c r="BM145" s="214"/>
      <c r="BN145" s="214"/>
      <c r="BO145" s="214"/>
      <c r="EK145" s="78"/>
      <c r="EL145" s="78"/>
    </row>
    <row r="146" spans="2:142" ht="23" thickBot="1" x14ac:dyDescent="0.35">
      <c r="B146" s="277">
        <v>5</v>
      </c>
      <c r="C146" s="278"/>
      <c r="D146" s="25">
        <v>0</v>
      </c>
      <c r="E146" s="257" t="s">
        <v>80</v>
      </c>
      <c r="F146" s="258"/>
      <c r="G146" s="258"/>
      <c r="H146" s="5">
        <v>479.77208100000001</v>
      </c>
      <c r="I146" s="5">
        <v>61.416098300000002</v>
      </c>
      <c r="J146" s="258">
        <f t="shared" si="30"/>
        <v>61.416098300000002</v>
      </c>
      <c r="K146" s="258">
        <f t="shared" si="10"/>
        <v>30.708049150000001</v>
      </c>
      <c r="L146" s="258">
        <f t="shared" si="11"/>
        <v>0.51066370850547771</v>
      </c>
      <c r="M146" s="258">
        <f t="shared" si="12"/>
        <v>245.00219012085046</v>
      </c>
      <c r="N146" s="258">
        <f t="shared" si="13"/>
        <v>490.00438024170091</v>
      </c>
      <c r="O146" s="258">
        <f>+C142+D143+D144+D145+(D146/2)</f>
        <v>0</v>
      </c>
      <c r="P146" s="258">
        <f t="shared" si="14"/>
        <v>0</v>
      </c>
      <c r="Q146" s="258">
        <f t="shared" si="15"/>
        <v>0</v>
      </c>
      <c r="R146" s="258">
        <f t="shared" si="16"/>
        <v>334.49993130661176</v>
      </c>
      <c r="S146" s="258">
        <f t="shared" si="31"/>
        <v>334.49993130661176</v>
      </c>
      <c r="T146" s="258">
        <f t="shared" si="4"/>
        <v>334.49993130661176</v>
      </c>
      <c r="U146" s="258"/>
      <c r="V146" s="258">
        <f t="shared" si="5"/>
        <v>0</v>
      </c>
      <c r="W146" s="258"/>
      <c r="X146" s="258"/>
      <c r="Y146" s="258"/>
      <c r="Z146" s="258"/>
      <c r="AA146" s="258"/>
      <c r="AB146" s="258"/>
      <c r="AC146" s="514" t="b">
        <f>IF(AD146=5,AF146)</f>
        <v>0</v>
      </c>
      <c r="AD146" s="514">
        <f t="shared" si="6"/>
        <v>1</v>
      </c>
      <c r="AE146" s="514">
        <f>IF(V146=0,0,5)</f>
        <v>0</v>
      </c>
      <c r="AF146" s="437">
        <f>SUM(V146:V153)/($B$139-B145)</f>
        <v>0</v>
      </c>
      <c r="AG146" s="437"/>
      <c r="AH146" s="450">
        <f>SUM(D143:D146)+$C$142</f>
        <v>0</v>
      </c>
      <c r="AI146" s="717" t="b">
        <f t="shared" si="7"/>
        <v>0</v>
      </c>
      <c r="AJ146" s="11">
        <f t="shared" si="17"/>
        <v>53.779595</v>
      </c>
      <c r="AK146" s="718">
        <f t="shared" si="32"/>
        <v>0.8067499259590819</v>
      </c>
      <c r="AL146" s="11">
        <f t="shared" si="18"/>
        <v>334.49997885066585</v>
      </c>
      <c r="AM146" s="11">
        <f t="shared" si="19"/>
        <v>59.291088500000001</v>
      </c>
      <c r="AN146" s="442">
        <f t="shared" si="20"/>
        <v>0.85977285389573432</v>
      </c>
      <c r="AO146" s="11">
        <f t="shared" si="21"/>
        <v>412.49502763654965</v>
      </c>
      <c r="AP146" s="519">
        <f t="shared" si="8"/>
        <v>-105.31773152126861</v>
      </c>
      <c r="AQ146" s="382">
        <f t="shared" si="22"/>
        <v>-216</v>
      </c>
      <c r="AR146" s="519">
        <f t="shared" si="9"/>
        <v>-117.7</v>
      </c>
      <c r="AS146" s="444">
        <f t="shared" si="23"/>
        <v>746.99500648721551</v>
      </c>
      <c r="AT146" s="445">
        <f t="shared" si="24"/>
        <v>-334.49997885066585</v>
      </c>
      <c r="AU146" s="446">
        <f t="shared" si="25"/>
        <v>229.18224732939723</v>
      </c>
      <c r="AV146" s="719"/>
      <c r="AW146" s="447">
        <f t="shared" si="26"/>
        <v>-81.588981483932173</v>
      </c>
      <c r="AX146" s="447">
        <f t="shared" si="27"/>
        <v>-36.111018516067844</v>
      </c>
      <c r="AY146" s="448">
        <f t="shared" si="28"/>
        <v>-142.17606089719922</v>
      </c>
      <c r="AZ146" s="448">
        <f t="shared" si="29"/>
        <v>-321.23159292332065</v>
      </c>
      <c r="BA146" s="451">
        <f t="shared" si="33"/>
        <v>142.17606089719922</v>
      </c>
      <c r="BB146" s="451">
        <f t="shared" si="33"/>
        <v>321.23159292332065</v>
      </c>
      <c r="BD146" s="136"/>
      <c r="BM146" s="214"/>
      <c r="BN146" s="214"/>
      <c r="BO146" s="214"/>
      <c r="EK146" s="78"/>
      <c r="EL146" s="78"/>
    </row>
    <row r="147" spans="2:142" ht="23" thickBot="1" x14ac:dyDescent="0.35">
      <c r="B147" s="277">
        <v>6</v>
      </c>
      <c r="C147" s="278"/>
      <c r="D147" s="25">
        <v>0</v>
      </c>
      <c r="E147" s="257" t="s">
        <v>80</v>
      </c>
      <c r="F147" s="258"/>
      <c r="G147" s="258"/>
      <c r="H147" s="5">
        <v>479.77208100000001</v>
      </c>
      <c r="I147" s="5">
        <v>61.416098300000002</v>
      </c>
      <c r="J147" s="258">
        <f t="shared" si="30"/>
        <v>61.416098300000002</v>
      </c>
      <c r="K147" s="258">
        <f t="shared" si="10"/>
        <v>30.708049150000001</v>
      </c>
      <c r="L147" s="258">
        <f t="shared" si="11"/>
        <v>0.51066370850547771</v>
      </c>
      <c r="M147" s="258">
        <f t="shared" si="12"/>
        <v>245.00219012085046</v>
      </c>
      <c r="N147" s="258">
        <f t="shared" si="13"/>
        <v>490.00438024170091</v>
      </c>
      <c r="O147" s="258">
        <f>+C142+D143+D144+D145+D146+(D147/2)</f>
        <v>0</v>
      </c>
      <c r="P147" s="258">
        <f t="shared" si="14"/>
        <v>0</v>
      </c>
      <c r="Q147" s="258">
        <f t="shared" si="15"/>
        <v>0</v>
      </c>
      <c r="R147" s="258">
        <f t="shared" si="16"/>
        <v>334.49993130661176</v>
      </c>
      <c r="S147" s="258">
        <f t="shared" si="31"/>
        <v>334.49993130661176</v>
      </c>
      <c r="T147" s="258">
        <f t="shared" si="4"/>
        <v>334.49993130661176</v>
      </c>
      <c r="U147" s="258"/>
      <c r="V147" s="258">
        <f t="shared" si="5"/>
        <v>0</v>
      </c>
      <c r="W147" s="258"/>
      <c r="X147" s="258"/>
      <c r="Y147" s="258"/>
      <c r="Z147" s="258"/>
      <c r="AA147" s="258"/>
      <c r="AB147" s="258"/>
      <c r="AC147" s="514" t="b">
        <f>IF(AD147=6,AF147)</f>
        <v>0</v>
      </c>
      <c r="AD147" s="514">
        <f t="shared" si="6"/>
        <v>1</v>
      </c>
      <c r="AE147" s="514">
        <f>IF(V147=0,0,6)</f>
        <v>0</v>
      </c>
      <c r="AF147" s="437">
        <f>SUM(V147:V153)/($B$139-B146)</f>
        <v>0</v>
      </c>
      <c r="AG147" s="437"/>
      <c r="AH147" s="450">
        <f>SUM(D143:D147)+$C$142</f>
        <v>0</v>
      </c>
      <c r="AI147" s="717" t="b">
        <f t="shared" si="7"/>
        <v>0</v>
      </c>
      <c r="AJ147" s="11">
        <f t="shared" si="17"/>
        <v>53.779595</v>
      </c>
      <c r="AK147" s="718">
        <f t="shared" si="32"/>
        <v>0.8067499259590819</v>
      </c>
      <c r="AL147" s="11">
        <f t="shared" si="18"/>
        <v>334.49997885066585</v>
      </c>
      <c r="AM147" s="11">
        <f t="shared" si="19"/>
        <v>59.291088500000001</v>
      </c>
      <c r="AN147" s="442">
        <f t="shared" si="20"/>
        <v>0.85977285389573432</v>
      </c>
      <c r="AO147" s="11">
        <f t="shared" si="21"/>
        <v>412.49502763654965</v>
      </c>
      <c r="AP147" s="519">
        <f t="shared" si="8"/>
        <v>-65.344739061957384</v>
      </c>
      <c r="AQ147" s="382">
        <f t="shared" si="22"/>
        <v>-288</v>
      </c>
      <c r="AR147" s="519">
        <f t="shared" si="9"/>
        <v>-189.7</v>
      </c>
      <c r="AS147" s="444">
        <f t="shared" si="23"/>
        <v>746.99500648721551</v>
      </c>
      <c r="AT147" s="445">
        <f t="shared" si="24"/>
        <v>-334.49997885066585</v>
      </c>
      <c r="AU147" s="446">
        <f t="shared" si="25"/>
        <v>269.15523978870846</v>
      </c>
      <c r="AV147" s="719"/>
      <c r="AW147" s="447">
        <f t="shared" si="26"/>
        <v>-121.34780414259457</v>
      </c>
      <c r="AX147" s="447">
        <f t="shared" si="27"/>
        <v>-68.352195857405434</v>
      </c>
      <c r="AY147" s="448">
        <f t="shared" si="28"/>
        <v>-95.592994714341586</v>
      </c>
      <c r="AZ147" s="448">
        <f t="shared" si="29"/>
        <v>-169.70925153889155</v>
      </c>
      <c r="BA147" s="451">
        <f t="shared" si="33"/>
        <v>95.592994714341586</v>
      </c>
      <c r="BB147" s="451">
        <f t="shared" si="33"/>
        <v>169.70925153889155</v>
      </c>
      <c r="BD147" s="136"/>
      <c r="BM147" s="214"/>
      <c r="BN147" s="214"/>
      <c r="BO147" s="214"/>
      <c r="EK147" s="78"/>
      <c r="EL147" s="78"/>
    </row>
    <row r="148" spans="2:142" ht="21" thickBot="1" x14ac:dyDescent="0.25">
      <c r="B148" s="277">
        <v>7</v>
      </c>
      <c r="C148" s="278"/>
      <c r="D148" s="25">
        <v>0</v>
      </c>
      <c r="E148" s="257" t="s">
        <v>80</v>
      </c>
      <c r="F148" s="258"/>
      <c r="G148" s="258"/>
      <c r="H148" s="5">
        <v>479.77208100000001</v>
      </c>
      <c r="I148" s="5">
        <v>61.416098300000002</v>
      </c>
      <c r="J148" s="258">
        <f t="shared" si="30"/>
        <v>61.416098300000002</v>
      </c>
      <c r="K148" s="258">
        <f t="shared" si="10"/>
        <v>30.708049150000001</v>
      </c>
      <c r="L148" s="258">
        <f t="shared" si="11"/>
        <v>0.51066370850547771</v>
      </c>
      <c r="M148" s="258">
        <f t="shared" si="12"/>
        <v>245.00219012085046</v>
      </c>
      <c r="N148" s="258">
        <f t="shared" si="13"/>
        <v>490.00438024170091</v>
      </c>
      <c r="O148" s="258">
        <f>+C142+D143+D144+D145+D146+D147+(D148/2)</f>
        <v>0</v>
      </c>
      <c r="P148" s="258">
        <f t="shared" si="14"/>
        <v>0</v>
      </c>
      <c r="Q148" s="258">
        <f t="shared" si="15"/>
        <v>0</v>
      </c>
      <c r="R148" s="258">
        <f t="shared" si="16"/>
        <v>334.49993130661176</v>
      </c>
      <c r="S148" s="258">
        <f t="shared" si="31"/>
        <v>334.49993130661176</v>
      </c>
      <c r="T148" s="258">
        <f t="shared" si="4"/>
        <v>334.49993130661176</v>
      </c>
      <c r="U148" s="258"/>
      <c r="V148" s="258">
        <f t="shared" si="5"/>
        <v>0</v>
      </c>
      <c r="W148" s="258"/>
      <c r="X148" s="258"/>
      <c r="Y148" s="258"/>
      <c r="Z148" s="258"/>
      <c r="AA148" s="258"/>
      <c r="AB148" s="258"/>
      <c r="AC148" s="514" t="b">
        <f>IF(AD148=7,AF148)</f>
        <v>0</v>
      </c>
      <c r="AD148" s="514">
        <f t="shared" si="6"/>
        <v>1</v>
      </c>
      <c r="AE148" s="514">
        <f>IF(V148=0,0,7)</f>
        <v>0</v>
      </c>
      <c r="AF148" s="437">
        <f>SUM(V148:V153)/($B$139-B147)</f>
        <v>0</v>
      </c>
      <c r="AG148" s="437"/>
      <c r="AH148" s="450">
        <f>SUM(D143:D148)+$C$142</f>
        <v>0</v>
      </c>
      <c r="AI148" s="717" t="b">
        <f t="shared" si="7"/>
        <v>0</v>
      </c>
      <c r="AJ148" s="11">
        <f t="shared" si="17"/>
        <v>53.779595</v>
      </c>
      <c r="AK148" s="718">
        <f t="shared" si="32"/>
        <v>0.8067499259590819</v>
      </c>
      <c r="AL148" s="11">
        <f t="shared" si="18"/>
        <v>334.49997885066585</v>
      </c>
      <c r="AM148" s="11">
        <f t="shared" si="19"/>
        <v>59.291088500000001</v>
      </c>
      <c r="AN148" s="442">
        <f t="shared" si="20"/>
        <v>0.85977285389573432</v>
      </c>
      <c r="AO148" s="11">
        <f t="shared" si="21"/>
        <v>412.49502763654965</v>
      </c>
      <c r="AP148" s="519">
        <f t="shared" si="8"/>
        <v>-47.366820787364603</v>
      </c>
      <c r="AQ148" s="382">
        <f t="shared" si="22"/>
        <v>-360</v>
      </c>
      <c r="AR148" s="519">
        <f t="shared" si="9"/>
        <v>-261.7</v>
      </c>
      <c r="AS148" s="444">
        <f t="shared" si="23"/>
        <v>746.99500648721551</v>
      </c>
      <c r="AT148" s="445">
        <f t="shared" si="24"/>
        <v>-334.49997885066585</v>
      </c>
      <c r="AU148" s="446">
        <f t="shared" si="25"/>
        <v>287.13315806330127</v>
      </c>
      <c r="AV148" s="719"/>
      <c r="AW148" s="447">
        <f t="shared" si="26"/>
        <v>-161.10662680125697</v>
      </c>
      <c r="AX148" s="447">
        <f t="shared" si="27"/>
        <v>-100.59337319874302</v>
      </c>
      <c r="AY148" s="448">
        <f t="shared" si="28"/>
        <v>-72.002004078391494</v>
      </c>
      <c r="AZ148" s="448">
        <f t="shared" si="29"/>
        <v>-115.31574726181813</v>
      </c>
      <c r="BA148" s="451">
        <f t="shared" si="33"/>
        <v>72.002004078391494</v>
      </c>
      <c r="BB148" s="451">
        <f t="shared" si="33"/>
        <v>115.31574726181813</v>
      </c>
      <c r="BD148" s="136"/>
      <c r="BF148" s="388"/>
      <c r="EK148" s="78"/>
      <c r="EL148" s="78"/>
    </row>
    <row r="149" spans="2:142" ht="21" thickBot="1" x14ac:dyDescent="0.25">
      <c r="B149" s="277">
        <v>8</v>
      </c>
      <c r="C149" s="278"/>
      <c r="D149" s="25">
        <v>0</v>
      </c>
      <c r="E149" s="257" t="s">
        <v>80</v>
      </c>
      <c r="F149" s="258"/>
      <c r="G149" s="258"/>
      <c r="H149" s="5">
        <v>479.77208100000001</v>
      </c>
      <c r="I149" s="5">
        <v>61.416098300000002</v>
      </c>
      <c r="J149" s="258">
        <f t="shared" si="30"/>
        <v>61.416098300000002</v>
      </c>
      <c r="K149" s="258">
        <f t="shared" si="10"/>
        <v>30.708049150000001</v>
      </c>
      <c r="L149" s="258">
        <f t="shared" si="11"/>
        <v>0.51066370850547771</v>
      </c>
      <c r="M149" s="258">
        <f t="shared" si="12"/>
        <v>245.00219012085046</v>
      </c>
      <c r="N149" s="258">
        <f t="shared" si="13"/>
        <v>490.00438024170091</v>
      </c>
      <c r="O149" s="258">
        <f>+C142+D143+D144+D145+D146+D147+D148+(D149/2)</f>
        <v>0</v>
      </c>
      <c r="P149" s="258">
        <f t="shared" si="14"/>
        <v>0</v>
      </c>
      <c r="Q149" s="258">
        <f t="shared" si="15"/>
        <v>0</v>
      </c>
      <c r="R149" s="258">
        <f t="shared" si="16"/>
        <v>334.49993130661176</v>
      </c>
      <c r="S149" s="258">
        <f t="shared" si="31"/>
        <v>334.49993130661176</v>
      </c>
      <c r="T149" s="258">
        <f t="shared" si="4"/>
        <v>334.49993130661176</v>
      </c>
      <c r="U149" s="258"/>
      <c r="V149" s="258">
        <f t="shared" si="5"/>
        <v>0</v>
      </c>
      <c r="W149" s="258"/>
      <c r="X149" s="258"/>
      <c r="Y149" s="258"/>
      <c r="Z149" s="258"/>
      <c r="AA149" s="258"/>
      <c r="AB149" s="258"/>
      <c r="AC149" s="514" t="b">
        <f>IF(AD149=8,AF149)</f>
        <v>0</v>
      </c>
      <c r="AD149" s="514">
        <f t="shared" si="6"/>
        <v>1</v>
      </c>
      <c r="AE149" s="514">
        <f>IF(V149=0,0,8)</f>
        <v>0</v>
      </c>
      <c r="AF149" s="437">
        <f>SUM(V149:V153)/($B$139-B148)</f>
        <v>0</v>
      </c>
      <c r="AG149" s="437"/>
      <c r="AH149" s="450">
        <f>SUM(D143:D149)+$C$142</f>
        <v>0</v>
      </c>
      <c r="AI149" s="717" t="b">
        <f t="shared" si="7"/>
        <v>0</v>
      </c>
      <c r="AJ149" s="11">
        <f t="shared" si="17"/>
        <v>53.779595</v>
      </c>
      <c r="AK149" s="718">
        <f t="shared" si="32"/>
        <v>0.8067499259590819</v>
      </c>
      <c r="AL149" s="11">
        <f t="shared" si="18"/>
        <v>334.49997885066585</v>
      </c>
      <c r="AM149" s="11">
        <f t="shared" si="19"/>
        <v>59.291088500000001</v>
      </c>
      <c r="AN149" s="442">
        <f t="shared" si="20"/>
        <v>0.85977285389573432</v>
      </c>
      <c r="AO149" s="11">
        <f t="shared" si="21"/>
        <v>412.49502763654965</v>
      </c>
      <c r="AP149" s="519">
        <f t="shared" si="8"/>
        <v>-37.146829487723451</v>
      </c>
      <c r="AQ149" s="382">
        <f t="shared" si="22"/>
        <v>-432</v>
      </c>
      <c r="AR149" s="519">
        <f t="shared" si="9"/>
        <v>-333.7</v>
      </c>
      <c r="AS149" s="444">
        <f t="shared" si="23"/>
        <v>746.99500648721551</v>
      </c>
      <c r="AT149" s="445">
        <f t="shared" si="24"/>
        <v>-334.49997885066585</v>
      </c>
      <c r="AU149" s="446">
        <f t="shared" si="25"/>
        <v>297.35314936294242</v>
      </c>
      <c r="AV149" s="719"/>
      <c r="AW149" s="447">
        <f t="shared" si="26"/>
        <v>-200.86544945991938</v>
      </c>
      <c r="AX149" s="447">
        <f t="shared" si="27"/>
        <v>-132.83455054008061</v>
      </c>
      <c r="AY149" s="448">
        <f t="shared" si="28"/>
        <v>-57.750101031261032</v>
      </c>
      <c r="AZ149" s="448">
        <f t="shared" si="29"/>
        <v>-87.326677832209725</v>
      </c>
      <c r="BA149" s="451">
        <f t="shared" si="33"/>
        <v>57.750101031261032</v>
      </c>
      <c r="BB149" s="451">
        <f t="shared" si="33"/>
        <v>87.326677832209725</v>
      </c>
      <c r="BD149" s="136"/>
      <c r="BF149" s="388"/>
      <c r="EK149" s="78"/>
      <c r="EL149" s="78"/>
    </row>
    <row r="150" spans="2:142" ht="21" thickBot="1" x14ac:dyDescent="0.25">
      <c r="B150" s="277">
        <v>9</v>
      </c>
      <c r="C150" s="278"/>
      <c r="D150" s="25">
        <v>0</v>
      </c>
      <c r="E150" s="257" t="s">
        <v>80</v>
      </c>
      <c r="F150" s="258"/>
      <c r="G150" s="258"/>
      <c r="H150" s="5">
        <v>479.77208100000001</v>
      </c>
      <c r="I150" s="5">
        <v>61.416098300000002</v>
      </c>
      <c r="J150" s="258">
        <f t="shared" si="30"/>
        <v>61.416098300000002</v>
      </c>
      <c r="K150" s="258">
        <f t="shared" si="10"/>
        <v>30.708049150000001</v>
      </c>
      <c r="L150" s="258">
        <f t="shared" si="11"/>
        <v>0.51066370850547771</v>
      </c>
      <c r="M150" s="258">
        <f t="shared" si="12"/>
        <v>245.00219012085046</v>
      </c>
      <c r="N150" s="258">
        <f t="shared" si="13"/>
        <v>490.00438024170091</v>
      </c>
      <c r="O150" s="258">
        <f>+C142+D143+D144+D145+D146+D147+D148+D149+(D150/2)</f>
        <v>0</v>
      </c>
      <c r="P150" s="258">
        <f t="shared" si="14"/>
        <v>0</v>
      </c>
      <c r="Q150" s="258">
        <f t="shared" si="15"/>
        <v>0</v>
      </c>
      <c r="R150" s="258">
        <f t="shared" si="16"/>
        <v>334.49993130661176</v>
      </c>
      <c r="S150" s="258">
        <f t="shared" si="31"/>
        <v>334.49993130661176</v>
      </c>
      <c r="T150" s="258">
        <f t="shared" si="4"/>
        <v>334.49993130661176</v>
      </c>
      <c r="U150" s="258"/>
      <c r="V150" s="258">
        <f t="shared" si="5"/>
        <v>0</v>
      </c>
      <c r="W150" s="258"/>
      <c r="X150" s="258"/>
      <c r="Y150" s="258"/>
      <c r="Z150" s="258"/>
      <c r="AA150" s="258"/>
      <c r="AB150" s="258"/>
      <c r="AC150" s="514" t="b">
        <f>IF(AD150=9,AF150)</f>
        <v>0</v>
      </c>
      <c r="AD150" s="514">
        <f t="shared" si="6"/>
        <v>1</v>
      </c>
      <c r="AE150" s="514">
        <f>IF(V150=0,0,9)</f>
        <v>0</v>
      </c>
      <c r="AF150" s="437">
        <f>SUM(V150:V153)/($B$139-B149)</f>
        <v>0</v>
      </c>
      <c r="AG150" s="437"/>
      <c r="AH150" s="450">
        <f>SUM(D143:D150)+$C$142</f>
        <v>0</v>
      </c>
      <c r="AI150" s="717" t="b">
        <f t="shared" si="7"/>
        <v>0</v>
      </c>
      <c r="AJ150" s="11">
        <f t="shared" si="17"/>
        <v>53.779595</v>
      </c>
      <c r="AK150" s="718">
        <f t="shared" si="32"/>
        <v>0.8067499259590819</v>
      </c>
      <c r="AL150" s="11">
        <f t="shared" si="18"/>
        <v>334.49997885066585</v>
      </c>
      <c r="AM150" s="11">
        <f t="shared" si="19"/>
        <v>59.291088500000001</v>
      </c>
      <c r="AN150" s="442">
        <f t="shared" si="20"/>
        <v>0.85977285389573432</v>
      </c>
      <c r="AO150" s="11">
        <f t="shared" si="21"/>
        <v>412.49502763654965</v>
      </c>
      <c r="AP150" s="519">
        <f t="shared" si="8"/>
        <v>-30.554343110804329</v>
      </c>
      <c r="AQ150" s="382">
        <f t="shared" si="22"/>
        <v>-504</v>
      </c>
      <c r="AR150" s="519">
        <f t="shared" si="9"/>
        <v>-405.7</v>
      </c>
      <c r="AS150" s="444">
        <f t="shared" si="23"/>
        <v>746.99500648721551</v>
      </c>
      <c r="AT150" s="445">
        <f t="shared" si="24"/>
        <v>-334.49997885066585</v>
      </c>
      <c r="AU150" s="446">
        <f t="shared" si="25"/>
        <v>303.94563573986153</v>
      </c>
      <c r="AV150" s="719"/>
      <c r="AW150" s="447">
        <f t="shared" si="26"/>
        <v>-240.62427211858179</v>
      </c>
      <c r="AX150" s="447">
        <f t="shared" si="27"/>
        <v>-165.07572788141823</v>
      </c>
      <c r="AY150" s="448">
        <f t="shared" si="28"/>
        <v>-48.207938034960236</v>
      </c>
      <c r="AZ150" s="448">
        <f t="shared" si="29"/>
        <v>-70.270779047134255</v>
      </c>
      <c r="BA150" s="451">
        <f t="shared" si="33"/>
        <v>48.207938034960236</v>
      </c>
      <c r="BB150" s="451">
        <f t="shared" si="33"/>
        <v>70.270779047134255</v>
      </c>
      <c r="BD150" s="136"/>
      <c r="BF150" s="388"/>
      <c r="EK150" s="78"/>
      <c r="EL150" s="78"/>
    </row>
    <row r="151" spans="2:142" ht="21" thickBot="1" x14ac:dyDescent="0.25">
      <c r="B151" s="277">
        <v>10</v>
      </c>
      <c r="C151" s="278"/>
      <c r="D151" s="25">
        <v>0</v>
      </c>
      <c r="E151" s="257" t="s">
        <v>80</v>
      </c>
      <c r="F151" s="258"/>
      <c r="G151" s="258"/>
      <c r="H151" s="5">
        <v>479.77208100000001</v>
      </c>
      <c r="I151" s="5">
        <v>61.416098300000002</v>
      </c>
      <c r="J151" s="258">
        <f t="shared" si="30"/>
        <v>61.416098300000002</v>
      </c>
      <c r="K151" s="258">
        <f t="shared" si="10"/>
        <v>30.708049150000001</v>
      </c>
      <c r="L151" s="258">
        <f t="shared" si="11"/>
        <v>0.51066370850547771</v>
      </c>
      <c r="M151" s="258">
        <f>+L151*H151</f>
        <v>245.00219012085046</v>
      </c>
      <c r="N151" s="258">
        <f t="shared" si="13"/>
        <v>490.00438024170091</v>
      </c>
      <c r="O151" s="258">
        <f>+C142+D143+D144+D145+D146+D147+D148+D149+D150+(D151/2)</f>
        <v>0</v>
      </c>
      <c r="P151" s="258">
        <f t="shared" si="14"/>
        <v>0</v>
      </c>
      <c r="Q151" s="258">
        <f t="shared" si="15"/>
        <v>0</v>
      </c>
      <c r="R151" s="258">
        <f t="shared" si="16"/>
        <v>334.49993130661176</v>
      </c>
      <c r="S151" s="258">
        <f t="shared" si="31"/>
        <v>334.49993130661176</v>
      </c>
      <c r="T151" s="258">
        <f t="shared" si="4"/>
        <v>334.49993130661176</v>
      </c>
      <c r="U151" s="258"/>
      <c r="V151" s="258">
        <f t="shared" si="5"/>
        <v>0</v>
      </c>
      <c r="W151" s="258"/>
      <c r="X151" s="258"/>
      <c r="Y151" s="258"/>
      <c r="Z151" s="258"/>
      <c r="AA151" s="258"/>
      <c r="AB151" s="258"/>
      <c r="AC151" s="514" t="b">
        <f>IF(AD151=10,AF151)</f>
        <v>0</v>
      </c>
      <c r="AD151" s="514">
        <f t="shared" si="6"/>
        <v>1</v>
      </c>
      <c r="AE151" s="514">
        <f>IF(V151=0,0,10)</f>
        <v>0</v>
      </c>
      <c r="AF151" s="437">
        <f>SUM(V151:V153)/($B$139-B150)</f>
        <v>0</v>
      </c>
      <c r="AG151" s="437"/>
      <c r="AH151" s="450">
        <f>SUM(D143:D151)+$C$142</f>
        <v>0</v>
      </c>
      <c r="AI151" s="717" t="b">
        <f t="shared" si="7"/>
        <v>0</v>
      </c>
      <c r="AJ151" s="11">
        <f t="shared" si="17"/>
        <v>53.779595</v>
      </c>
      <c r="AK151" s="718">
        <f t="shared" si="32"/>
        <v>0.8067499259590819</v>
      </c>
      <c r="AL151" s="11">
        <f t="shared" si="18"/>
        <v>334.49997885066585</v>
      </c>
      <c r="AM151" s="11">
        <f t="shared" si="19"/>
        <v>59.291088500000001</v>
      </c>
      <c r="AN151" s="442">
        <f t="shared" si="20"/>
        <v>0.85977285389573432</v>
      </c>
      <c r="AO151" s="11">
        <f t="shared" si="21"/>
        <v>412.49502763654965</v>
      </c>
      <c r="AP151" s="519">
        <f t="shared" si="8"/>
        <v>-25.94912497394456</v>
      </c>
      <c r="AQ151" s="382">
        <f t="shared" si="22"/>
        <v>-576</v>
      </c>
      <c r="AR151" s="519">
        <f t="shared" si="9"/>
        <v>-477.7</v>
      </c>
      <c r="AS151" s="444">
        <f t="shared" si="23"/>
        <v>746.99500648721551</v>
      </c>
      <c r="AT151" s="445">
        <f t="shared" si="24"/>
        <v>-334.49997885066585</v>
      </c>
      <c r="AU151" s="446">
        <f t="shared" si="25"/>
        <v>308.55085387672131</v>
      </c>
      <c r="AV151" s="719"/>
      <c r="AW151" s="447">
        <f t="shared" si="26"/>
        <v>-280.3830947772442</v>
      </c>
      <c r="AX151" s="447">
        <f t="shared" si="27"/>
        <v>-197.31690522275579</v>
      </c>
      <c r="AY151" s="448">
        <f t="shared" si="28"/>
        <v>-41.371966484697822</v>
      </c>
      <c r="AZ151" s="448">
        <f t="shared" si="29"/>
        <v>-58.788677974167911</v>
      </c>
      <c r="BA151" s="451">
        <f t="shared" si="33"/>
        <v>41.371966484697822</v>
      </c>
      <c r="BB151" s="451">
        <f t="shared" si="33"/>
        <v>58.788677974167911</v>
      </c>
      <c r="BD151" s="136"/>
      <c r="BF151" s="388"/>
      <c r="EK151" s="78"/>
      <c r="EL151" s="78"/>
    </row>
    <row r="152" spans="2:142" ht="21" hidden="1" thickBot="1" x14ac:dyDescent="0.25">
      <c r="B152" s="277">
        <v>11</v>
      </c>
      <c r="C152" s="278"/>
      <c r="D152" s="25">
        <v>0</v>
      </c>
      <c r="E152" s="257" t="s">
        <v>80</v>
      </c>
      <c r="F152" s="258"/>
      <c r="G152" s="258"/>
      <c r="H152" s="5">
        <v>479.77208100000001</v>
      </c>
      <c r="I152" s="5">
        <v>61.416098300000002</v>
      </c>
      <c r="J152" s="258">
        <f t="shared" si="30"/>
        <v>61.416098300000002</v>
      </c>
      <c r="K152" s="258">
        <f t="shared" si="10"/>
        <v>30.708049150000001</v>
      </c>
      <c r="L152" s="258">
        <f t="shared" si="11"/>
        <v>0.51066370850547771</v>
      </c>
      <c r="M152" s="258">
        <f t="shared" si="12"/>
        <v>245.00219012085046</v>
      </c>
      <c r="N152" s="258">
        <f t="shared" si="13"/>
        <v>490.00438024170091</v>
      </c>
      <c r="O152" s="258">
        <f>+C142+D143+D144+D145+D146+D147+D148+D149+D150+D151+(D152/2)</f>
        <v>0</v>
      </c>
      <c r="P152" s="258">
        <f t="shared" si="14"/>
        <v>0</v>
      </c>
      <c r="Q152" s="258">
        <f t="shared" si="15"/>
        <v>0</v>
      </c>
      <c r="R152" s="258">
        <f t="shared" si="16"/>
        <v>334.49993130661176</v>
      </c>
      <c r="S152" s="258">
        <f t="shared" si="31"/>
        <v>334.49993130661176</v>
      </c>
      <c r="T152" s="258">
        <f t="shared" si="4"/>
        <v>334.49993130661176</v>
      </c>
      <c r="U152" s="258"/>
      <c r="V152" s="258">
        <f t="shared" si="5"/>
        <v>0</v>
      </c>
      <c r="W152" s="258"/>
      <c r="X152" s="258"/>
      <c r="Y152" s="258"/>
      <c r="Z152" s="258"/>
      <c r="AA152" s="258"/>
      <c r="AB152" s="258"/>
      <c r="AC152" s="514" t="b">
        <f>IF(AD152=11,AF152)</f>
        <v>0</v>
      </c>
      <c r="AD152" s="514">
        <f t="shared" si="6"/>
        <v>1</v>
      </c>
      <c r="AE152" s="514">
        <f>IF(V152=0,0,11)</f>
        <v>0</v>
      </c>
      <c r="AF152" s="437">
        <f>SUM(V152:V153)/($B$139-B151)</f>
        <v>0</v>
      </c>
      <c r="AG152" s="437"/>
      <c r="AH152" s="450">
        <f>SUM(D143:D152)+$C$142</f>
        <v>0</v>
      </c>
      <c r="AI152" s="717" t="b">
        <f t="shared" si="7"/>
        <v>0</v>
      </c>
      <c r="AJ152" s="11">
        <f t="shared" si="17"/>
        <v>53.779595</v>
      </c>
      <c r="AK152" s="718">
        <f t="shared" si="32"/>
        <v>0.8067499259590819</v>
      </c>
      <c r="AL152" s="11">
        <f t="shared" si="18"/>
        <v>334.49997885066585</v>
      </c>
      <c r="AM152" s="11">
        <f t="shared" si="19"/>
        <v>59.291088500000001</v>
      </c>
      <c r="AN152" s="442">
        <f t="shared" si="20"/>
        <v>0.85977285389573432</v>
      </c>
      <c r="AO152" s="11">
        <f t="shared" si="21"/>
        <v>412.49502763654965</v>
      </c>
      <c r="AP152" s="519">
        <f t="shared" si="8"/>
        <v>-22.55029470630037</v>
      </c>
      <c r="AQ152" s="382">
        <f t="shared" si="22"/>
        <v>-648</v>
      </c>
      <c r="AR152" s="519">
        <f t="shared" si="9"/>
        <v>-549.70000000000005</v>
      </c>
      <c r="AS152" s="444">
        <f t="shared" si="23"/>
        <v>746.99500648721551</v>
      </c>
      <c r="AT152" s="445">
        <f t="shared" si="24"/>
        <v>-334.49997885066585</v>
      </c>
      <c r="AU152" s="446">
        <f t="shared" si="25"/>
        <v>311.94968414436551</v>
      </c>
      <c r="AV152" s="719"/>
      <c r="AW152" s="447">
        <f t="shared" si="26"/>
        <v>-320.14191743590663</v>
      </c>
      <c r="AX152" s="447">
        <f t="shared" si="27"/>
        <v>-229.55808256409344</v>
      </c>
      <c r="AY152" s="448">
        <f t="shared" si="28"/>
        <v>-36.233930542139504</v>
      </c>
      <c r="AZ152" s="448">
        <f t="shared" si="29"/>
        <v>-50.5318735477817</v>
      </c>
      <c r="BA152" s="451">
        <f t="shared" si="33"/>
        <v>36.233930542139504</v>
      </c>
      <c r="BB152" s="451">
        <f t="shared" si="33"/>
        <v>50.5318735477817</v>
      </c>
      <c r="BD152" s="136"/>
      <c r="BF152" s="388"/>
      <c r="EK152" s="78"/>
      <c r="EL152" s="78"/>
    </row>
    <row r="153" spans="2:142" ht="21" hidden="1" thickBot="1" x14ac:dyDescent="0.25">
      <c r="B153" s="277">
        <v>12</v>
      </c>
      <c r="C153" s="278"/>
      <c r="D153" s="25">
        <v>0</v>
      </c>
      <c r="E153" s="257" t="s">
        <v>80</v>
      </c>
      <c r="F153" s="258"/>
      <c r="G153" s="258"/>
      <c r="H153" s="5">
        <v>479.77208100000001</v>
      </c>
      <c r="I153" s="5">
        <v>61.416098300000002</v>
      </c>
      <c r="J153" s="258">
        <f t="shared" si="30"/>
        <v>61.416098300000002</v>
      </c>
      <c r="K153" s="258">
        <f t="shared" si="10"/>
        <v>30.708049150000001</v>
      </c>
      <c r="L153" s="258">
        <f t="shared" si="11"/>
        <v>0.51066370850547771</v>
      </c>
      <c r="M153" s="258">
        <f t="shared" si="12"/>
        <v>245.00219012085046</v>
      </c>
      <c r="N153" s="258">
        <f t="shared" si="13"/>
        <v>490.00438024170091</v>
      </c>
      <c r="O153" s="258">
        <f>+C142+D143+D144+D145+D146+D147+D148+D149+D150+D151+D152+(D153/2)</f>
        <v>0</v>
      </c>
      <c r="P153" s="258">
        <f t="shared" si="14"/>
        <v>0</v>
      </c>
      <c r="Q153" s="258">
        <f t="shared" si="15"/>
        <v>0</v>
      </c>
      <c r="R153" s="258">
        <f t="shared" si="16"/>
        <v>334.49993130661176</v>
      </c>
      <c r="S153" s="258">
        <f t="shared" si="31"/>
        <v>334.49993130661176</v>
      </c>
      <c r="T153" s="258">
        <f t="shared" si="4"/>
        <v>334.49993130661176</v>
      </c>
      <c r="U153" s="258"/>
      <c r="V153" s="258">
        <f t="shared" si="5"/>
        <v>0</v>
      </c>
      <c r="W153" s="258"/>
      <c r="X153" s="258"/>
      <c r="Y153" s="258"/>
      <c r="Z153" s="258"/>
      <c r="AA153" s="258"/>
      <c r="AB153" s="258"/>
      <c r="AC153" s="514" t="b">
        <f>IF(AD153=12,AF153)</f>
        <v>0</v>
      </c>
      <c r="AD153" s="514">
        <f t="shared" si="6"/>
        <v>1</v>
      </c>
      <c r="AE153" s="514">
        <f>IF(V153=0,0,12)</f>
        <v>0</v>
      </c>
      <c r="AF153" s="437">
        <f>SUM(V153)/($B$139-B152)</f>
        <v>0</v>
      </c>
      <c r="AG153" s="437"/>
      <c r="AH153" s="450">
        <f>SUM(D143:D153)+$C$142</f>
        <v>0</v>
      </c>
      <c r="AI153" s="717" t="b">
        <f t="shared" si="7"/>
        <v>0</v>
      </c>
      <c r="AJ153" s="11">
        <f t="shared" si="17"/>
        <v>53.779595</v>
      </c>
      <c r="AK153" s="718">
        <f t="shared" si="32"/>
        <v>0.8067499259590819</v>
      </c>
      <c r="AL153" s="11">
        <f t="shared" si="18"/>
        <v>334.49997885066585</v>
      </c>
      <c r="AM153" s="11">
        <f t="shared" si="19"/>
        <v>59.291088500000001</v>
      </c>
      <c r="AN153" s="442">
        <f t="shared" si="20"/>
        <v>0.85977285389573432</v>
      </c>
      <c r="AO153" s="11">
        <f t="shared" si="21"/>
        <v>412.49502763654965</v>
      </c>
      <c r="AP153" s="519">
        <f t="shared" si="8"/>
        <v>-19.938711597319148</v>
      </c>
      <c r="AQ153" s="382">
        <f t="shared" si="22"/>
        <v>-720</v>
      </c>
      <c r="AR153" s="519">
        <f t="shared" si="9"/>
        <v>-621.70000000000005</v>
      </c>
      <c r="AS153" s="444">
        <f t="shared" si="23"/>
        <v>746.99500648721551</v>
      </c>
      <c r="AT153" s="445">
        <f t="shared" si="24"/>
        <v>-334.49997885066585</v>
      </c>
      <c r="AU153" s="446">
        <f t="shared" si="25"/>
        <v>314.56126725334673</v>
      </c>
      <c r="AV153" s="719"/>
      <c r="AW153" s="447">
        <f t="shared" si="26"/>
        <v>-359.90074009456902</v>
      </c>
      <c r="AX153" s="447">
        <f t="shared" si="27"/>
        <v>-261.79925990543103</v>
      </c>
      <c r="AY153" s="448">
        <f t="shared" si="28"/>
        <v>-32.231109046766441</v>
      </c>
      <c r="AZ153" s="448">
        <f t="shared" si="29"/>
        <v>-44.308757802410263</v>
      </c>
      <c r="BA153" s="451">
        <f t="shared" si="33"/>
        <v>32.231109046766441</v>
      </c>
      <c r="BB153" s="451">
        <f t="shared" si="33"/>
        <v>44.308757802410263</v>
      </c>
      <c r="BD153" s="136"/>
      <c r="BF153" s="388"/>
      <c r="EK153" s="78"/>
      <c r="EL153" s="78"/>
    </row>
    <row r="154" spans="2:142" ht="37.5" hidden="1" customHeight="1" x14ac:dyDescent="0.2">
      <c r="B154" s="720"/>
      <c r="D154" s="721"/>
      <c r="E154" s="722"/>
      <c r="F154" s="722"/>
      <c r="G154" s="722"/>
      <c r="H154" s="23"/>
      <c r="I154" s="23"/>
      <c r="J154" s="722"/>
      <c r="K154" s="722"/>
      <c r="L154" s="722"/>
      <c r="M154" s="722"/>
      <c r="N154" s="722"/>
      <c r="O154" s="722"/>
      <c r="P154" s="722"/>
      <c r="Q154" s="722"/>
      <c r="R154" s="722"/>
      <c r="S154" s="722"/>
      <c r="T154" s="722"/>
      <c r="U154" s="722"/>
      <c r="V154" s="722"/>
      <c r="W154" s="722"/>
      <c r="X154" s="722"/>
      <c r="Y154" s="722"/>
      <c r="Z154" s="722"/>
      <c r="AA154" s="722"/>
      <c r="AB154" s="722"/>
      <c r="AC154" s="514"/>
      <c r="AD154" s="514"/>
      <c r="AE154" s="514"/>
      <c r="AF154" s="437"/>
      <c r="AG154" s="437"/>
      <c r="AH154" s="450"/>
      <c r="AI154" s="717"/>
      <c r="AJ154" s="24"/>
      <c r="AK154" s="426"/>
      <c r="AL154" s="24"/>
      <c r="AM154" s="24"/>
      <c r="AN154" s="723"/>
      <c r="AO154" s="24"/>
      <c r="AP154" s="446"/>
      <c r="AQ154" s="724"/>
      <c r="AR154" s="446"/>
      <c r="AS154" s="445"/>
      <c r="AT154" s="445"/>
      <c r="AU154" s="446"/>
      <c r="AV154" s="719"/>
      <c r="AW154" s="447"/>
      <c r="AX154" s="447"/>
      <c r="AY154" s="725"/>
      <c r="AZ154" s="725"/>
      <c r="BA154" s="726"/>
      <c r="BB154" s="726"/>
      <c r="BD154" s="136"/>
      <c r="BF154" s="388"/>
      <c r="EK154" s="78"/>
      <c r="EL154" s="78"/>
    </row>
    <row r="155" spans="2:142" ht="22" hidden="1" thickBot="1" x14ac:dyDescent="0.25">
      <c r="B155" s="1923"/>
      <c r="D155" s="721"/>
      <c r="E155" s="722"/>
      <c r="F155" s="722"/>
      <c r="G155" s="722"/>
      <c r="H155" s="23"/>
      <c r="I155" s="23"/>
      <c r="J155" s="722"/>
      <c r="K155" s="722"/>
      <c r="L155" s="722"/>
      <c r="M155" s="722"/>
      <c r="N155" s="722"/>
      <c r="O155" s="722"/>
      <c r="P155" s="722"/>
      <c r="Q155" s="722"/>
      <c r="R155" s="722"/>
      <c r="S155" s="722"/>
      <c r="T155" s="722"/>
      <c r="U155" s="722"/>
      <c r="V155" s="722"/>
      <c r="W155" s="722"/>
      <c r="X155" s="722"/>
      <c r="Y155" s="722"/>
      <c r="Z155" s="722"/>
      <c r="AA155" s="722"/>
      <c r="AB155" s="722"/>
      <c r="AC155" s="514"/>
      <c r="AD155" s="514"/>
      <c r="AE155" s="514"/>
      <c r="AF155" s="437"/>
      <c r="AG155" s="437"/>
      <c r="AH155" s="554" t="s">
        <v>79</v>
      </c>
      <c r="AI155" s="555">
        <f>MAX(AI142:AI153)</f>
        <v>0</v>
      </c>
      <c r="AJ155" s="24"/>
      <c r="AK155" s="426"/>
      <c r="AL155" s="24"/>
      <c r="AM155" s="24"/>
      <c r="AN155" s="723"/>
      <c r="AO155" s="24"/>
      <c r="AP155" s="446"/>
      <c r="AQ155" s="724"/>
      <c r="AR155" s="446"/>
      <c r="AS155" s="445"/>
      <c r="AT155" s="445"/>
      <c r="AU155" s="446"/>
      <c r="AV155" s="719"/>
      <c r="AW155" s="447"/>
      <c r="AX155" s="447"/>
      <c r="AY155" s="725"/>
      <c r="AZ155" s="725"/>
      <c r="BA155" s="726"/>
      <c r="BB155" s="726"/>
      <c r="BD155" s="136"/>
      <c r="BF155" s="388"/>
      <c r="EK155" s="78"/>
      <c r="EL155" s="78"/>
    </row>
    <row r="156" spans="2:142" ht="59.25" hidden="1" customHeight="1" thickBot="1" x14ac:dyDescent="0.25">
      <c r="B156" s="1923"/>
      <c r="D156" s="721"/>
      <c r="E156" s="722"/>
      <c r="F156" s="722"/>
      <c r="G156" s="722"/>
      <c r="H156" s="23"/>
      <c r="I156" s="23"/>
      <c r="J156" s="722"/>
      <c r="K156" s="722"/>
      <c r="L156" s="722"/>
      <c r="M156" s="722"/>
      <c r="N156" s="722"/>
      <c r="O156" s="722"/>
      <c r="P156" s="722"/>
      <c r="Q156" s="722"/>
      <c r="R156" s="722"/>
      <c r="S156" s="722"/>
      <c r="T156" s="722"/>
      <c r="U156" s="722"/>
      <c r="V156" s="722"/>
      <c r="W156" s="722"/>
      <c r="X156" s="722"/>
      <c r="Y156" s="722"/>
      <c r="Z156" s="722"/>
      <c r="AA156" s="722"/>
      <c r="AB156" s="722"/>
      <c r="AC156" s="514"/>
      <c r="AD156" s="514"/>
      <c r="AE156" s="514"/>
      <c r="AF156" s="437"/>
      <c r="AG156" s="437"/>
      <c r="AH156" s="450"/>
      <c r="AI156" s="717"/>
      <c r="AJ156" s="24"/>
      <c r="AK156" s="426"/>
      <c r="AL156" s="855" t="s">
        <v>190</v>
      </c>
      <c r="AM156" s="856"/>
      <c r="AN156" s="856"/>
      <c r="AO156" s="856"/>
      <c r="AP156" s="857"/>
      <c r="AQ156" s="724"/>
      <c r="AR156" s="446"/>
      <c r="AS156" s="445"/>
      <c r="AT156" s="445"/>
      <c r="AU156" s="446"/>
      <c r="AV156" s="719"/>
      <c r="AW156" s="447"/>
      <c r="AX156" s="447"/>
      <c r="AY156" s="725"/>
      <c r="AZ156" s="725"/>
      <c r="BA156" s="726"/>
      <c r="BB156" s="726"/>
      <c r="BD156" s="136"/>
      <c r="BF156" s="388"/>
      <c r="EK156" s="78"/>
      <c r="EL156" s="78"/>
    </row>
    <row r="157" spans="2:142" ht="59.25" hidden="1" customHeight="1" thickBot="1" x14ac:dyDescent="0.25">
      <c r="B157" s="727"/>
      <c r="D157" s="721"/>
      <c r="E157" s="722"/>
      <c r="F157" s="722"/>
      <c r="G157" s="722"/>
      <c r="H157" s="23"/>
      <c r="I157" s="23"/>
      <c r="J157" s="722"/>
      <c r="K157" s="722"/>
      <c r="L157" s="722"/>
      <c r="M157" s="722"/>
      <c r="N157" s="722"/>
      <c r="O157" s="722"/>
      <c r="P157" s="722"/>
      <c r="Q157" s="722"/>
      <c r="R157" s="722"/>
      <c r="S157" s="722"/>
      <c r="T157" s="722"/>
      <c r="U157" s="722"/>
      <c r="V157" s="722"/>
      <c r="W157" s="722"/>
      <c r="X157" s="722"/>
      <c r="Y157" s="722"/>
      <c r="Z157" s="722"/>
      <c r="AA157" s="722"/>
      <c r="AB157" s="722"/>
      <c r="AC157" s="514"/>
      <c r="AD157" s="514"/>
      <c r="AE157" s="514"/>
      <c r="AF157" s="437"/>
      <c r="AG157" s="437"/>
      <c r="AH157" s="450"/>
      <c r="AI157" s="717"/>
      <c r="AJ157" s="24"/>
      <c r="AK157" s="426"/>
      <c r="AL157" s="858" t="s">
        <v>175</v>
      </c>
      <c r="AM157" s="859" t="s">
        <v>176</v>
      </c>
      <c r="AN157" s="859" t="s">
        <v>177</v>
      </c>
      <c r="AO157" s="860" t="s">
        <v>181</v>
      </c>
      <c r="AP157" s="861"/>
      <c r="AQ157" s="724"/>
      <c r="AR157" s="446"/>
      <c r="AS157" s="445"/>
      <c r="AT157" s="445"/>
      <c r="AU157" s="446"/>
      <c r="AV157" s="719"/>
      <c r="AW157" s="447"/>
      <c r="AX157" s="447"/>
      <c r="AY157" s="725"/>
      <c r="AZ157" s="725"/>
      <c r="BA157" s="726"/>
      <c r="BB157" s="726"/>
      <c r="BD157" s="136"/>
      <c r="BF157" s="388"/>
      <c r="EK157" s="78"/>
      <c r="EL157" s="78"/>
    </row>
    <row r="158" spans="2:142" ht="21" hidden="1" thickBot="1" x14ac:dyDescent="0.25">
      <c r="B158" s="720"/>
      <c r="D158" s="721"/>
      <c r="E158" s="722"/>
      <c r="F158" s="722"/>
      <c r="G158" s="722"/>
      <c r="H158" s="23"/>
      <c r="I158" s="23"/>
      <c r="J158" s="722"/>
      <c r="K158" s="722"/>
      <c r="L158" s="722"/>
      <c r="M158" s="722"/>
      <c r="N158" s="722"/>
      <c r="O158" s="722"/>
      <c r="P158" s="722"/>
      <c r="Q158" s="722"/>
      <c r="R158" s="722"/>
      <c r="S158" s="722"/>
      <c r="T158" s="722"/>
      <c r="U158" s="722"/>
      <c r="V158" s="722"/>
      <c r="W158" s="722"/>
      <c r="X158" s="722"/>
      <c r="Y158" s="722"/>
      <c r="Z158" s="722"/>
      <c r="AA158" s="722"/>
      <c r="AB158" s="722"/>
      <c r="AC158" s="514"/>
      <c r="AD158" s="514"/>
      <c r="AE158" s="514"/>
      <c r="AF158" s="437"/>
      <c r="AG158" s="437"/>
      <c r="AH158" s="450"/>
      <c r="AI158" s="717"/>
      <c r="AJ158" s="24"/>
      <c r="AK158" s="426"/>
      <c r="AL158" s="862">
        <v>6.8623010000000004</v>
      </c>
      <c r="AM158" s="863">
        <f>+(AI155*-1)-AL158</f>
        <v>-6.8623010000000004</v>
      </c>
      <c r="AN158" s="864">
        <f>COS(AM158*3.14159265358979/180)</f>
        <v>0.99283617366519983</v>
      </c>
      <c r="AO158" s="865">
        <f>+AN158*378.71303</f>
        <v>375.99999562235405</v>
      </c>
      <c r="AP158" s="866"/>
      <c r="AQ158" s="724"/>
      <c r="AR158" s="446"/>
      <c r="AS158" s="445"/>
      <c r="AT158" s="445"/>
      <c r="AU158" s="446"/>
      <c r="AV158" s="719"/>
      <c r="AW158" s="447"/>
      <c r="AX158" s="447"/>
      <c r="AY158" s="725"/>
      <c r="AZ158" s="725"/>
      <c r="BA158" s="726"/>
      <c r="BB158" s="726"/>
      <c r="BD158" s="136"/>
      <c r="BF158" s="388"/>
      <c r="EK158" s="78"/>
      <c r="EL158" s="78"/>
    </row>
    <row r="159" spans="2:142" ht="21" hidden="1" thickBot="1" x14ac:dyDescent="0.25">
      <c r="U159" s="276"/>
      <c r="AH159"/>
      <c r="AI159"/>
      <c r="AL159" s="867" t="s">
        <v>189</v>
      </c>
      <c r="AM159" s="849"/>
      <c r="AN159" s="849"/>
      <c r="AO159" s="849"/>
      <c r="AP159" s="868"/>
      <c r="BD159" s="136"/>
      <c r="EK159" s="78"/>
      <c r="EL159" s="78"/>
    </row>
    <row r="160" spans="2:142" ht="210" hidden="1" x14ac:dyDescent="0.2">
      <c r="U160" s="276"/>
      <c r="AH160" s="881"/>
      <c r="AI160" s="882"/>
      <c r="AL160" s="869"/>
      <c r="AM160" s="859" t="s">
        <v>194</v>
      </c>
      <c r="AN160" s="859" t="s">
        <v>193</v>
      </c>
      <c r="AO160" s="860" t="s">
        <v>206</v>
      </c>
      <c r="AP160" s="870" t="s">
        <v>191</v>
      </c>
      <c r="BD160" s="136"/>
      <c r="EK160" s="78"/>
      <c r="EL160" s="78"/>
    </row>
    <row r="161" spans="1:142" ht="21" thickBot="1" x14ac:dyDescent="0.25">
      <c r="U161" s="276"/>
      <c r="AH161" s="881"/>
      <c r="AI161" s="882"/>
      <c r="AL161" s="871"/>
      <c r="AM161" s="872">
        <f>+AI155</f>
        <v>0</v>
      </c>
      <c r="AN161" s="873">
        <f>SIN(AM161*3.14159265358979/180)</f>
        <v>0</v>
      </c>
      <c r="AO161" s="874">
        <f>+AN161*((+B139*491.5)+119)</f>
        <v>0</v>
      </c>
      <c r="AP161" s="875">
        <f>+AO158+AO161</f>
        <v>375.99999562235405</v>
      </c>
      <c r="BD161" s="136"/>
      <c r="EK161" s="78"/>
      <c r="EL161" s="78"/>
    </row>
    <row r="162" spans="1:142" ht="68.25" customHeight="1" thickBot="1" x14ac:dyDescent="0.25">
      <c r="B162" s="345" t="s">
        <v>118</v>
      </c>
      <c r="C162" s="454"/>
      <c r="D162" s="455"/>
      <c r="E162" s="37"/>
      <c r="F162" s="37"/>
      <c r="G162" s="37"/>
      <c r="S162" s="728" t="s">
        <v>66</v>
      </c>
      <c r="T162" s="728">
        <f>SUM(V166:V185)/B163</f>
        <v>213.83080000000001</v>
      </c>
      <c r="U162" s="212"/>
      <c r="V162" s="187"/>
      <c r="AB162" s="187"/>
      <c r="AC162" s="187"/>
      <c r="AD162" s="187"/>
      <c r="AE162" s="187"/>
      <c r="AF162" s="187"/>
      <c r="AG162" s="187"/>
      <c r="AH162" s="187"/>
      <c r="AI162" s="187"/>
      <c r="AJ162" s="187"/>
      <c r="AK162" s="187"/>
      <c r="AL162" s="187"/>
      <c r="AM162" s="187"/>
      <c r="AN162" s="187"/>
      <c r="AO162" s="187"/>
      <c r="AP162" s="187"/>
      <c r="AQ162" s="187"/>
      <c r="AR162" s="187"/>
      <c r="AS162" s="187"/>
      <c r="AT162" s="187"/>
      <c r="AU162" s="187"/>
      <c r="AV162" s="187"/>
      <c r="AW162" s="187"/>
      <c r="AX162" s="187"/>
      <c r="AY162" s="187"/>
      <c r="AZ162" s="187"/>
      <c r="BA162" s="187"/>
      <c r="BB162" s="187"/>
      <c r="BC162" s="126"/>
      <c r="BE162" s="136"/>
      <c r="BF162" s="136"/>
      <c r="BG162" s="136"/>
      <c r="BH162" s="136"/>
      <c r="BI162" s="136"/>
      <c r="BJ162" s="136"/>
      <c r="BK162" s="136"/>
      <c r="BL162" s="136"/>
      <c r="BM162" s="402"/>
      <c r="BN162" s="136"/>
      <c r="BO162" s="1091"/>
      <c r="BP162" s="78"/>
      <c r="BQ162" s="199"/>
      <c r="BR162" s="199"/>
      <c r="BS162" s="199"/>
      <c r="BT162" s="199"/>
      <c r="BU162" s="199"/>
      <c r="BV162" s="199"/>
      <c r="BW162" s="199"/>
      <c r="BX162" s="199"/>
      <c r="BY162" s="199"/>
      <c r="BZ162" s="199"/>
      <c r="CA162" s="199"/>
      <c r="CB162" s="199"/>
      <c r="CC162" s="199"/>
      <c r="CD162" s="199"/>
      <c r="CE162" s="199"/>
      <c r="CF162" s="199"/>
      <c r="CG162" s="199"/>
      <c r="CH162" s="199"/>
      <c r="CI162" s="199"/>
      <c r="CJ162" s="199"/>
      <c r="CK162" s="199"/>
      <c r="CL162" s="199"/>
      <c r="CM162" s="199"/>
      <c r="CN162" s="199"/>
      <c r="CO162" s="199"/>
      <c r="CP162" s="199"/>
      <c r="CQ162" s="199"/>
      <c r="CR162" s="199"/>
      <c r="CS162" s="199"/>
      <c r="CT162" s="199"/>
      <c r="CU162" s="199"/>
      <c r="CV162" s="199"/>
      <c r="CW162" s="199"/>
      <c r="CX162" s="199"/>
      <c r="CY162" s="199"/>
      <c r="CZ162" s="199"/>
      <c r="DA162" s="199"/>
      <c r="DB162" s="199"/>
    </row>
    <row r="163" spans="1:142" ht="37.5" customHeight="1" thickBot="1" x14ac:dyDescent="0.3">
      <c r="B163" s="27">
        <v>1</v>
      </c>
      <c r="C163" s="216"/>
      <c r="D163" s="549" t="s">
        <v>139</v>
      </c>
      <c r="E163" s="330"/>
      <c r="F163" s="330"/>
      <c r="G163" s="330"/>
      <c r="H163" s="460"/>
      <c r="I163" s="461"/>
      <c r="J163" s="461"/>
      <c r="K163" s="461"/>
      <c r="L163" s="461"/>
      <c r="M163" s="461"/>
      <c r="N163" s="461"/>
      <c r="O163" s="461"/>
      <c r="P163" s="461"/>
      <c r="Q163" s="461"/>
      <c r="R163" s="461"/>
      <c r="S163" s="462"/>
      <c r="T163" s="463"/>
      <c r="U163" s="401"/>
      <c r="V163" s="464"/>
      <c r="W163" s="1850" t="s">
        <v>93</v>
      </c>
      <c r="X163" s="1850"/>
      <c r="Y163" s="1850"/>
      <c r="Z163" s="1850"/>
      <c r="AA163" s="1850"/>
      <c r="AB163" s="464"/>
      <c r="AC163" s="464"/>
      <c r="AD163" s="464"/>
      <c r="AE163" s="464"/>
      <c r="AF163" s="464"/>
      <c r="AG163" s="464"/>
      <c r="AH163" s="464"/>
      <c r="AI163" s="464"/>
      <c r="AJ163" s="464"/>
      <c r="AK163" s="464"/>
      <c r="AL163" s="464"/>
      <c r="AM163" s="464"/>
      <c r="AN163" s="464"/>
      <c r="AO163" s="464"/>
      <c r="AP163" s="464"/>
      <c r="AQ163" s="464"/>
      <c r="AR163" s="464"/>
      <c r="AS163" s="464"/>
      <c r="AT163" s="464"/>
      <c r="AU163" s="464"/>
      <c r="AV163" s="464"/>
      <c r="AW163" s="464"/>
      <c r="AX163" s="464"/>
      <c r="AY163" s="464"/>
      <c r="AZ163" s="464"/>
      <c r="BA163" s="1848" t="s">
        <v>52</v>
      </c>
      <c r="BB163" s="1849"/>
      <c r="BC163" s="218"/>
      <c r="BE163" s="136"/>
      <c r="BF163" s="136"/>
      <c r="BG163" s="136"/>
      <c r="BH163" s="136"/>
      <c r="BI163" s="136"/>
      <c r="BJ163" s="136"/>
      <c r="BK163" s="136"/>
      <c r="BL163" s="136"/>
      <c r="BM163" s="402"/>
      <c r="BN163" s="136"/>
      <c r="BO163" s="1091"/>
      <c r="BP163" s="76"/>
      <c r="BQ163" s="76"/>
      <c r="BR163" s="76"/>
      <c r="BS163" s="76"/>
      <c r="BT163" s="76"/>
      <c r="BU163" s="76"/>
      <c r="BV163" s="202"/>
      <c r="BW163" s="202"/>
      <c r="BX163" s="202"/>
      <c r="BY163" s="202"/>
      <c r="BZ163" s="202"/>
      <c r="CA163" s="202"/>
      <c r="CB163" s="202"/>
      <c r="CC163" s="202"/>
      <c r="CD163" s="202"/>
      <c r="CE163" s="202"/>
      <c r="CF163" s="202"/>
      <c r="CG163" s="202"/>
      <c r="CH163" s="202"/>
      <c r="CI163" s="202"/>
      <c r="CJ163" s="78"/>
      <c r="CK163" s="78"/>
      <c r="CL163" s="78"/>
      <c r="CM163" s="78"/>
      <c r="CN163" s="78"/>
      <c r="CO163" s="78"/>
      <c r="CP163" s="78"/>
      <c r="CQ163" s="78"/>
      <c r="CR163" s="78"/>
      <c r="CS163" s="78"/>
      <c r="CT163" s="78"/>
      <c r="CU163" s="78"/>
      <c r="CV163" s="78"/>
      <c r="CW163" s="78"/>
      <c r="CX163" s="78"/>
      <c r="CY163" s="78"/>
      <c r="CZ163" s="78"/>
      <c r="DA163" s="78"/>
      <c r="DB163" s="78"/>
      <c r="DC163" s="78"/>
      <c r="DD163" s="78"/>
    </row>
    <row r="164" spans="1:142" ht="77" hidden="1" thickBot="1" x14ac:dyDescent="0.25">
      <c r="C164" s="416"/>
      <c r="D164" s="354"/>
      <c r="H164" s="500" t="s">
        <v>4</v>
      </c>
      <c r="I164" s="500" t="s">
        <v>1</v>
      </c>
      <c r="J164" s="456" t="s">
        <v>0</v>
      </c>
      <c r="K164" s="456" t="s">
        <v>2</v>
      </c>
      <c r="L164" s="456" t="s">
        <v>3</v>
      </c>
      <c r="M164" s="456" t="s">
        <v>8</v>
      </c>
      <c r="N164" s="456" t="s">
        <v>5</v>
      </c>
      <c r="O164" s="456" t="s">
        <v>6</v>
      </c>
      <c r="P164" s="456" t="s">
        <v>7</v>
      </c>
      <c r="Q164" s="456" t="s">
        <v>9</v>
      </c>
      <c r="R164" s="466" t="s">
        <v>10</v>
      </c>
      <c r="S164" s="456" t="s">
        <v>11</v>
      </c>
      <c r="T164" s="467" t="s">
        <v>12</v>
      </c>
      <c r="V164" s="420"/>
      <c r="W164" s="356" t="s">
        <v>140</v>
      </c>
      <c r="X164" s="316" t="s">
        <v>94</v>
      </c>
      <c r="Y164" s="356" t="s">
        <v>141</v>
      </c>
      <c r="Z164" s="419" t="s">
        <v>100</v>
      </c>
      <c r="AA164" s="419" t="s">
        <v>96</v>
      </c>
      <c r="AB164" s="420"/>
      <c r="AC164" s="457" t="s">
        <v>99</v>
      </c>
      <c r="AD164" s="457"/>
      <c r="AE164" s="457"/>
      <c r="AF164" s="420"/>
      <c r="AG164" s="420"/>
      <c r="AH164" s="420"/>
      <c r="AI164" s="420"/>
      <c r="AJ164" s="420"/>
      <c r="AK164" s="420"/>
      <c r="AL164" s="420"/>
      <c r="AM164" s="420"/>
      <c r="AN164" s="420"/>
      <c r="AO164" s="420"/>
      <c r="AP164" s="420"/>
      <c r="AQ164" s="420"/>
      <c r="AR164" s="420"/>
      <c r="AS164" s="420"/>
      <c r="AT164" s="420"/>
      <c r="AU164" s="420" t="s">
        <v>135</v>
      </c>
      <c r="AV164" s="420"/>
      <c r="AW164" s="420"/>
      <c r="AX164" s="420"/>
      <c r="AY164" s="415"/>
      <c r="AZ164" s="420"/>
      <c r="BA164" s="420"/>
      <c r="BB164" s="420"/>
      <c r="BC164" s="231"/>
      <c r="BE164" s="136"/>
      <c r="BF164" s="136"/>
      <c r="BG164" s="136"/>
      <c r="BH164" s="136"/>
      <c r="BI164" s="136"/>
      <c r="BJ164" s="136"/>
      <c r="BK164" s="136"/>
      <c r="BL164" s="136"/>
      <c r="BM164" s="402"/>
      <c r="BN164" s="136"/>
      <c r="BO164" s="1091"/>
      <c r="BP164" s="126"/>
      <c r="BQ164" s="126"/>
      <c r="BR164" s="126"/>
      <c r="BS164" s="126"/>
      <c r="BT164" s="126"/>
      <c r="BU164" s="126"/>
      <c r="BV164" s="203"/>
      <c r="BW164" s="203"/>
      <c r="BX164" s="203"/>
      <c r="BY164" s="203"/>
      <c r="BZ164" s="203"/>
      <c r="CA164" s="203"/>
      <c r="CB164" s="203"/>
      <c r="CC164" s="203"/>
      <c r="CD164" s="203"/>
      <c r="CE164" s="203"/>
      <c r="CF164" s="203"/>
      <c r="CG164" s="203"/>
      <c r="CH164" s="203"/>
      <c r="CI164" s="203"/>
    </row>
    <row r="165" spans="1:142" ht="42.75" customHeight="1" thickBot="1" x14ac:dyDescent="0.25">
      <c r="B165" s="501"/>
      <c r="C165" s="237"/>
      <c r="D165" s="502" t="s">
        <v>22</v>
      </c>
      <c r="E165" s="330"/>
      <c r="F165" s="503"/>
      <c r="G165" s="240"/>
      <c r="H165" s="469"/>
      <c r="I165" s="470"/>
      <c r="R165" s="466"/>
      <c r="T165" s="471"/>
      <c r="V165" s="420"/>
      <c r="W165" s="420"/>
      <c r="X165" s="420"/>
      <c r="Y165" s="420"/>
      <c r="Z165" s="420"/>
      <c r="AA165" s="420"/>
      <c r="AB165" s="420"/>
      <c r="AC165" s="484">
        <f>SUM(AC166:AC185)</f>
        <v>213.83080000000001</v>
      </c>
      <c r="AD165" s="48"/>
      <c r="AE165" s="48"/>
      <c r="AF165" s="420" t="s">
        <v>38</v>
      </c>
      <c r="AG165" s="552" t="s">
        <v>101</v>
      </c>
      <c r="AH165" s="425" t="s">
        <v>31</v>
      </c>
      <c r="AI165" s="504"/>
      <c r="AJ165" s="368" t="s">
        <v>120</v>
      </c>
      <c r="AK165" s="426" t="s">
        <v>32</v>
      </c>
      <c r="AL165" s="472" t="s">
        <v>142</v>
      </c>
      <c r="AM165" s="368" t="s">
        <v>121</v>
      </c>
      <c r="AN165" s="427" t="s">
        <v>34</v>
      </c>
      <c r="AO165" s="472" t="s">
        <v>143</v>
      </c>
      <c r="AP165" s="428" t="s">
        <v>48</v>
      </c>
      <c r="AQ165" s="250" t="s">
        <v>36</v>
      </c>
      <c r="AR165" s="428" t="s">
        <v>144</v>
      </c>
      <c r="AS165" s="420" t="s">
        <v>37</v>
      </c>
      <c r="AT165" s="420" t="s">
        <v>39</v>
      </c>
      <c r="AU165" s="428" t="s">
        <v>145</v>
      </c>
      <c r="AV165" s="420"/>
      <c r="AW165" s="429" t="s">
        <v>41</v>
      </c>
      <c r="AX165" s="429" t="s">
        <v>42</v>
      </c>
      <c r="AY165" s="430" t="s">
        <v>23</v>
      </c>
      <c r="AZ165" s="430" t="s">
        <v>24</v>
      </c>
      <c r="BA165" s="557" t="s">
        <v>23</v>
      </c>
      <c r="BB165" s="557" t="s">
        <v>24</v>
      </c>
      <c r="BE165" s="136"/>
      <c r="BF165" s="136"/>
      <c r="BG165" s="136"/>
      <c r="BH165" s="136"/>
      <c r="BI165" s="136"/>
      <c r="BJ165" s="136"/>
      <c r="BM165" s="402"/>
      <c r="BN165" s="187"/>
      <c r="BO165" s="1091"/>
      <c r="BP165" s="64"/>
      <c r="BS165" s="126"/>
      <c r="BT165" s="126"/>
      <c r="BU165" s="126"/>
      <c r="BV165" s="203"/>
      <c r="BW165" s="203"/>
      <c r="BX165" s="203"/>
      <c r="BY165" s="203"/>
      <c r="BZ165" s="203"/>
      <c r="CA165" s="203"/>
      <c r="CB165" s="203"/>
      <c r="CC165" s="203"/>
      <c r="CD165" s="203"/>
      <c r="CE165" s="203"/>
      <c r="CF165" s="203"/>
      <c r="CG165" s="203"/>
      <c r="CH165" s="203"/>
      <c r="CI165" s="203"/>
      <c r="CR165" s="64"/>
    </row>
    <row r="166" spans="1:142" ht="21" customHeight="1" thickBot="1" x14ac:dyDescent="0.25">
      <c r="B166" s="255">
        <v>1</v>
      </c>
      <c r="C166" s="715">
        <f>+D166+AI155</f>
        <v>0</v>
      </c>
      <c r="D166" s="25">
        <v>0</v>
      </c>
      <c r="E166" s="257" t="s">
        <v>119</v>
      </c>
      <c r="F166" s="258"/>
      <c r="G166" s="258">
        <f>+D166</f>
        <v>0</v>
      </c>
      <c r="H166" s="506">
        <v>279.06049999999999</v>
      </c>
      <c r="I166" s="507">
        <v>79.962900599999998</v>
      </c>
      <c r="J166" s="508">
        <f>+I166-C166</f>
        <v>79.962900599999998</v>
      </c>
      <c r="K166" s="508">
        <f>+J166/2</f>
        <v>39.981450299999999</v>
      </c>
      <c r="L166" s="508">
        <f t="shared" ref="L166:L185" si="34">SIN(K166*3.14159265358979/180)</f>
        <v>0.64253956655634092</v>
      </c>
      <c r="M166" s="508">
        <f t="shared" ref="M166:M185" si="35">+L166*H166</f>
        <v>179.30741271299578</v>
      </c>
      <c r="N166" s="508">
        <f t="shared" ref="N166:N185" si="36">+M166*2</f>
        <v>358.61482542599157</v>
      </c>
      <c r="O166" s="508">
        <f>+C166/2</f>
        <v>0</v>
      </c>
      <c r="P166" s="508">
        <f t="shared" ref="P166:P185" si="37">SIN(O166*3.14159265358979/180)</f>
        <v>0</v>
      </c>
      <c r="Q166" s="508">
        <f t="shared" ref="Q166:Q185" si="38">+P166*N166</f>
        <v>0</v>
      </c>
      <c r="R166" s="509">
        <v>213.83080000000001</v>
      </c>
      <c r="S166" s="508">
        <f>+R166+Q166</f>
        <v>213.83080000000001</v>
      </c>
      <c r="T166" s="510">
        <f t="shared" ref="T166:T185" si="39">+S166</f>
        <v>213.83080000000001</v>
      </c>
      <c r="U166" s="456"/>
      <c r="V166" s="511">
        <f t="shared" ref="V166:V185" si="40">IF(B166&lt;($B$163+1),T166,0)</f>
        <v>213.83080000000001</v>
      </c>
      <c r="W166" s="512">
        <v>39.981450000000002</v>
      </c>
      <c r="X166" s="511">
        <f>+W166+AI188</f>
        <v>39.981450000000002</v>
      </c>
      <c r="Y166" s="512">
        <v>279.06049999999999</v>
      </c>
      <c r="Z166" s="419">
        <f>+COS(X166*3.14159265358979/180)*Y166</f>
        <v>213.83080883710866</v>
      </c>
      <c r="AA166" s="513">
        <f>+AC165-Z166</f>
        <v>-8.8371086519600794E-6</v>
      </c>
      <c r="AB166" s="477" t="str">
        <f>IF(AZ166&lt;0,"use the locking pin"," ")</f>
        <v xml:space="preserve"> </v>
      </c>
      <c r="AC166" s="514">
        <f>IF(AD166=1,AF166)</f>
        <v>213.83080000000001</v>
      </c>
      <c r="AD166" s="514">
        <f t="shared" ref="AD166:AD185" si="41">MAX(AE$166:AE$185)</f>
        <v>1</v>
      </c>
      <c r="AE166" s="514">
        <f>IF(V166=0,0,1)</f>
        <v>1</v>
      </c>
      <c r="AF166" s="511">
        <f>SUM(V166:V185)/($B$163)</f>
        <v>213.83080000000001</v>
      </c>
      <c r="AG166" s="437">
        <f>+AA142+$AF$166</f>
        <v>213.83079735453919</v>
      </c>
      <c r="AH166" s="515">
        <f>C166</f>
        <v>0</v>
      </c>
      <c r="AI166" s="516">
        <f>IF(B166&lt;($B$163+1),AH166)</f>
        <v>0</v>
      </c>
      <c r="AJ166" s="287">
        <f>66.2555484-AH166</f>
        <v>66.255548399999995</v>
      </c>
      <c r="AK166" s="517">
        <f t="shared" ref="AK166:AK185" si="42">SIN(AJ166*3.14159265358979/180)</f>
        <v>0.91535047595051022</v>
      </c>
      <c r="AL166" s="289">
        <f>+AK166*304.3209</f>
        <v>278.56028065668761</v>
      </c>
      <c r="AM166" s="287">
        <f>50.0185497+AH166</f>
        <v>50.018549700000001</v>
      </c>
      <c r="AN166" s="518">
        <f>SIN(AM166*3.14159265358979/180)</f>
        <v>0.76625250760411079</v>
      </c>
      <c r="AO166" s="291">
        <f>+AN166*279.0605</f>
        <v>213.83080789825695</v>
      </c>
      <c r="AP166" s="519">
        <f t="shared" ref="AP166:AP185" si="43">+((AF166*AQ166)+($AQ$198*($AF$198+$AA$166)))/AR166</f>
        <v>184.18866529946104</v>
      </c>
      <c r="AQ166" s="269">
        <f>40.5*B163</f>
        <v>40.5</v>
      </c>
      <c r="AR166" s="519">
        <f t="shared" ref="AR166:AR185" si="44">+AQ166+$AQ$198+1.3</f>
        <v>67.3</v>
      </c>
      <c r="AS166" s="520">
        <f>+AO166+AL166</f>
        <v>492.39108855494453</v>
      </c>
      <c r="AT166" s="521">
        <f>+V166-AO166</f>
        <v>-7.8982569391428115E-6</v>
      </c>
      <c r="AU166" s="522">
        <f>+AP166-AT166</f>
        <v>184.18867319771797</v>
      </c>
      <c r="AV166" s="521"/>
      <c r="AW166" s="523">
        <f>+((AS166-AU166)/AS166)*AR166</f>
        <v>42.125097378213013</v>
      </c>
      <c r="AX166" s="523">
        <f>+(AU166/AS166)*AR166</f>
        <v>25.174902621786984</v>
      </c>
      <c r="AY166" s="448">
        <f t="shared" ref="AY166:AY185" si="45">2*$C$20/AW166</f>
        <v>275.37028332187282</v>
      </c>
      <c r="AZ166" s="448">
        <f t="shared" ref="AZ166:AZ185" si="46">$D$20/AX166</f>
        <v>397.22100022527007</v>
      </c>
      <c r="BA166" s="451">
        <f>ABS(AY166)</f>
        <v>275.37028332187282</v>
      </c>
      <c r="BB166" s="451">
        <f>ABS(AZ166)</f>
        <v>397.22100022527007</v>
      </c>
      <c r="BC166" s="91"/>
      <c r="BM166" s="402"/>
      <c r="BN166" s="187"/>
      <c r="BO166" s="1091"/>
      <c r="BP166" s="64"/>
      <c r="BS166" s="126"/>
      <c r="BT166" s="126"/>
      <c r="BU166" s="126"/>
      <c r="BV166" s="203"/>
      <c r="BW166" s="203"/>
      <c r="BX166" s="203"/>
      <c r="BY166" s="203"/>
      <c r="BZ166" s="203"/>
      <c r="CA166" s="203"/>
      <c r="CB166" s="203"/>
      <c r="CC166" s="203"/>
      <c r="CD166" s="203"/>
      <c r="CE166" s="203"/>
      <c r="CF166" s="203"/>
      <c r="CG166" s="203"/>
      <c r="CH166" s="203"/>
      <c r="CI166" s="203"/>
      <c r="CP166" s="212"/>
      <c r="CR166" s="64"/>
    </row>
    <row r="167" spans="1:142" ht="21" customHeight="1" thickBot="1" x14ac:dyDescent="0.25">
      <c r="B167" s="277">
        <v>2</v>
      </c>
      <c r="C167" s="278"/>
      <c r="D167" s="25">
        <v>0</v>
      </c>
      <c r="E167" s="279" t="s">
        <v>130</v>
      </c>
      <c r="F167" s="258"/>
      <c r="G167" s="258">
        <f>+D167+BC167</f>
        <v>0</v>
      </c>
      <c r="H167" s="506">
        <v>279.06049999999999</v>
      </c>
      <c r="I167" s="507">
        <v>79.962900599999998</v>
      </c>
      <c r="J167" s="474">
        <f t="shared" ref="J167:J185" si="47">+I167-D167</f>
        <v>79.962900599999998</v>
      </c>
      <c r="K167" s="474">
        <f t="shared" ref="K167:K185" si="48">+J167/2</f>
        <v>39.981450299999999</v>
      </c>
      <c r="L167" s="474">
        <f t="shared" si="34"/>
        <v>0.64253956655634092</v>
      </c>
      <c r="M167" s="474">
        <f t="shared" si="35"/>
        <v>179.30741271299578</v>
      </c>
      <c r="N167" s="474">
        <f t="shared" si="36"/>
        <v>358.61482542599157</v>
      </c>
      <c r="O167" s="474">
        <f>+C166+(D167/2)</f>
        <v>0</v>
      </c>
      <c r="P167" s="474">
        <f t="shared" si="37"/>
        <v>0</v>
      </c>
      <c r="Q167" s="474">
        <f t="shared" si="38"/>
        <v>0</v>
      </c>
      <c r="R167" s="474">
        <f t="shared" ref="R167:R185" si="49">+T166</f>
        <v>213.83080000000001</v>
      </c>
      <c r="S167" s="474">
        <f>+R167+Q167</f>
        <v>213.83080000000001</v>
      </c>
      <c r="T167" s="476">
        <f t="shared" si="39"/>
        <v>213.83080000000001</v>
      </c>
      <c r="V167" s="437">
        <f t="shared" si="40"/>
        <v>0</v>
      </c>
      <c r="W167" s="437"/>
      <c r="X167" s="437"/>
      <c r="Y167" s="437"/>
      <c r="Z167" s="437"/>
      <c r="AA167" s="437"/>
      <c r="AB167" s="477" t="e">
        <f t="shared" ref="AB167:AB185" si="50">IF(AZ167&lt;0,"use the locking pin"," ")</f>
        <v>#DIV/0!</v>
      </c>
      <c r="AC167" s="514" t="b">
        <f>IF(AD167=2,AF167)</f>
        <v>0</v>
      </c>
      <c r="AD167" s="514">
        <f t="shared" si="41"/>
        <v>1</v>
      </c>
      <c r="AE167" s="514">
        <f>IF(V167=0,0,2)</f>
        <v>0</v>
      </c>
      <c r="AF167" s="437" t="e">
        <f>SUM(V167:V185)/($B$163-B166)</f>
        <v>#DIV/0!</v>
      </c>
      <c r="AG167" s="437"/>
      <c r="AH167" s="450">
        <f>SUM(D167)+$C$166</f>
        <v>0</v>
      </c>
      <c r="AI167" s="516" t="b">
        <f t="shared" ref="AI167:AI185" si="51">IF(B167&lt;($B$163+1),AH167)</f>
        <v>0</v>
      </c>
      <c r="AJ167" s="287">
        <f t="shared" ref="AJ167:AJ185" si="52">66.2555484-AH167</f>
        <v>66.255548399999995</v>
      </c>
      <c r="AK167" s="441">
        <f t="shared" si="42"/>
        <v>0.91535047595051022</v>
      </c>
      <c r="AL167" s="289">
        <f t="shared" ref="AL167:AL185" si="53">+AK167*304.3209</f>
        <v>278.56028065668761</v>
      </c>
      <c r="AM167" s="287">
        <f t="shared" ref="AM167:AM185" si="54">50.0185497+AH167</f>
        <v>50.018549700000001</v>
      </c>
      <c r="AN167" s="442">
        <f t="shared" ref="AN167:AN185" si="55">SIN(AM167*3.14159265358979/180)</f>
        <v>0.76625250760411079</v>
      </c>
      <c r="AO167" s="291">
        <f t="shared" ref="AO167:AO185" si="56">+AN167*279.0605</f>
        <v>213.83080789825695</v>
      </c>
      <c r="AP167" s="519" t="e">
        <f t="shared" si="43"/>
        <v>#DIV/0!</v>
      </c>
      <c r="AQ167" s="291">
        <f>40.5*($B$163-B166)</f>
        <v>0</v>
      </c>
      <c r="AR167" s="443">
        <f t="shared" si="44"/>
        <v>26.8</v>
      </c>
      <c r="AS167" s="444">
        <f t="shared" ref="AS167:AS185" si="57">+AO167+AL167</f>
        <v>492.39108855494453</v>
      </c>
      <c r="AT167" s="445">
        <f>+V167-AO167</f>
        <v>-213.83080789825695</v>
      </c>
      <c r="AU167" s="446" t="e">
        <f t="shared" ref="AU167:AU185" si="58">+AP167-AT167</f>
        <v>#DIV/0!</v>
      </c>
      <c r="AV167" s="445"/>
      <c r="AW167" s="447" t="e">
        <f t="shared" ref="AW167:AW185" si="59">+((AS167-AU167)/AS167)*AR167</f>
        <v>#DIV/0!</v>
      </c>
      <c r="AX167" s="447" t="e">
        <f t="shared" ref="AX167:AX185" si="60">+(AU167/AS167)*AR167</f>
        <v>#DIV/0!</v>
      </c>
      <c r="AY167" s="448" t="e">
        <f t="shared" si="45"/>
        <v>#DIV/0!</v>
      </c>
      <c r="AZ167" s="448" t="e">
        <f t="shared" si="46"/>
        <v>#DIV/0!</v>
      </c>
      <c r="BA167" s="451" t="e">
        <f t="shared" ref="BA167:BB185" si="61">ABS(AY167)</f>
        <v>#DIV/0!</v>
      </c>
      <c r="BB167" s="451" t="e">
        <f t="shared" si="61"/>
        <v>#DIV/0!</v>
      </c>
      <c r="BM167" s="402"/>
      <c r="BN167" s="136"/>
      <c r="BO167" s="1091"/>
      <c r="BP167" s="126"/>
      <c r="BQ167" s="126"/>
      <c r="BR167" s="126"/>
      <c r="BS167" s="126"/>
      <c r="BT167" s="126"/>
      <c r="BU167" s="126"/>
      <c r="BV167" s="203"/>
      <c r="BW167" s="203"/>
      <c r="BX167" s="203"/>
      <c r="BY167" s="203"/>
      <c r="BZ167" s="203"/>
      <c r="CA167" s="203"/>
      <c r="CB167" s="203"/>
      <c r="CC167" s="203"/>
      <c r="CD167" s="203"/>
      <c r="CE167" s="203"/>
      <c r="CF167" s="203"/>
      <c r="CG167" s="203"/>
      <c r="CH167" s="203"/>
      <c r="CI167" s="203"/>
    </row>
    <row r="168" spans="1:142" ht="21" customHeight="1" thickBot="1" x14ac:dyDescent="0.35">
      <c r="B168" s="277">
        <v>3</v>
      </c>
      <c r="C168" s="278"/>
      <c r="D168" s="25">
        <v>0</v>
      </c>
      <c r="E168" s="279" t="s">
        <v>130</v>
      </c>
      <c r="F168" s="258"/>
      <c r="G168" s="258">
        <f>+D168+BC168</f>
        <v>0</v>
      </c>
      <c r="H168" s="506">
        <v>279.06049999999999</v>
      </c>
      <c r="I168" s="507">
        <v>79.962900599999998</v>
      </c>
      <c r="J168" s="474">
        <f t="shared" si="47"/>
        <v>79.962900599999998</v>
      </c>
      <c r="K168" s="474">
        <f t="shared" si="48"/>
        <v>39.981450299999999</v>
      </c>
      <c r="L168" s="474">
        <f t="shared" si="34"/>
        <v>0.64253956655634092</v>
      </c>
      <c r="M168" s="474">
        <f t="shared" si="35"/>
        <v>179.30741271299578</v>
      </c>
      <c r="N168" s="474">
        <f t="shared" si="36"/>
        <v>358.61482542599157</v>
      </c>
      <c r="O168" s="474">
        <f>+C166+D167+(D168/2)</f>
        <v>0</v>
      </c>
      <c r="P168" s="474">
        <f t="shared" si="37"/>
        <v>0</v>
      </c>
      <c r="Q168" s="474">
        <f t="shared" si="38"/>
        <v>0</v>
      </c>
      <c r="R168" s="474">
        <f t="shared" si="49"/>
        <v>213.83080000000001</v>
      </c>
      <c r="S168" s="474">
        <f t="shared" ref="S168:S185" si="62">+S167+Q168</f>
        <v>213.83080000000001</v>
      </c>
      <c r="T168" s="476">
        <f t="shared" si="39"/>
        <v>213.83080000000001</v>
      </c>
      <c r="V168" s="437">
        <f t="shared" si="40"/>
        <v>0</v>
      </c>
      <c r="W168" s="437"/>
      <c r="X168" s="437"/>
      <c r="Y168" s="437"/>
      <c r="Z168" s="437"/>
      <c r="AA168" s="437"/>
      <c r="AB168" s="477" t="str">
        <f t="shared" si="50"/>
        <v xml:space="preserve"> </v>
      </c>
      <c r="AC168" s="514" t="b">
        <f>IF(AD168=3,AF168)</f>
        <v>0</v>
      </c>
      <c r="AD168" s="514">
        <f t="shared" si="41"/>
        <v>1</v>
      </c>
      <c r="AE168" s="514">
        <f>IF(V168=0,0,3)</f>
        <v>0</v>
      </c>
      <c r="AF168" s="437">
        <f>SUM(V168:V185)/($B$163-B167)</f>
        <v>0</v>
      </c>
      <c r="AG168" s="437"/>
      <c r="AH168" s="450">
        <f>SUM(D167:D168)+$C$166</f>
        <v>0</v>
      </c>
      <c r="AI168" s="516" t="b">
        <f t="shared" si="51"/>
        <v>0</v>
      </c>
      <c r="AJ168" s="287">
        <f t="shared" si="52"/>
        <v>66.255548399999995</v>
      </c>
      <c r="AK168" s="441">
        <f t="shared" si="42"/>
        <v>0.91535047595051022</v>
      </c>
      <c r="AL168" s="289">
        <f t="shared" si="53"/>
        <v>278.56028065668761</v>
      </c>
      <c r="AM168" s="287">
        <f t="shared" si="54"/>
        <v>50.018549700000001</v>
      </c>
      <c r="AN168" s="442">
        <f t="shared" si="55"/>
        <v>0.76625250760411079</v>
      </c>
      <c r="AO168" s="291">
        <f t="shared" si="56"/>
        <v>213.83080789825695</v>
      </c>
      <c r="AP168" s="519">
        <f t="shared" si="43"/>
        <v>-272.68246530319192</v>
      </c>
      <c r="AQ168" s="291">
        <f t="shared" ref="AQ168:AQ185" si="63">40.5*($B$163-B167)</f>
        <v>-40.5</v>
      </c>
      <c r="AR168" s="443">
        <f t="shared" si="44"/>
        <v>-13.7</v>
      </c>
      <c r="AS168" s="444">
        <f t="shared" si="57"/>
        <v>492.39108855494453</v>
      </c>
      <c r="AT168" s="445">
        <f>+V168-AO168</f>
        <v>-213.83080789825695</v>
      </c>
      <c r="AU168" s="446">
        <f t="shared" si="58"/>
        <v>-58.851657404934969</v>
      </c>
      <c r="AV168" s="445"/>
      <c r="AW168" s="447">
        <f t="shared" si="59"/>
        <v>-15.33745389627952</v>
      </c>
      <c r="AX168" s="447">
        <f t="shared" si="60"/>
        <v>1.6374538962795218</v>
      </c>
      <c r="AY168" s="448">
        <f t="shared" si="45"/>
        <v>-756.31849187262219</v>
      </c>
      <c r="AZ168" s="448">
        <f t="shared" si="46"/>
        <v>6107.0421724368043</v>
      </c>
      <c r="BA168" s="451">
        <f t="shared" si="61"/>
        <v>756.31849187262219</v>
      </c>
      <c r="BB168" s="451">
        <f t="shared" si="61"/>
        <v>6107.0421724368043</v>
      </c>
      <c r="BM168" s="214"/>
      <c r="BN168" s="214"/>
      <c r="BO168" s="214"/>
      <c r="BP168" s="126"/>
      <c r="BQ168" s="126"/>
      <c r="BR168" s="126"/>
      <c r="BS168" s="126"/>
      <c r="BT168" s="126"/>
      <c r="BU168" s="126"/>
      <c r="BV168" s="203"/>
      <c r="BW168" s="203"/>
      <c r="BX168" s="203"/>
      <c r="BY168" s="203"/>
      <c r="BZ168" s="203"/>
      <c r="CA168" s="203"/>
      <c r="CB168" s="203"/>
      <c r="CC168" s="203"/>
      <c r="CD168" s="203"/>
      <c r="CE168" s="203"/>
      <c r="CF168" s="203"/>
      <c r="CG168" s="203"/>
      <c r="CH168" s="203"/>
      <c r="CI168" s="203"/>
    </row>
    <row r="169" spans="1:142" ht="21" customHeight="1" thickBot="1" x14ac:dyDescent="0.35">
      <c r="B169" s="277">
        <v>4</v>
      </c>
      <c r="C169" s="278"/>
      <c r="D169" s="25">
        <v>0</v>
      </c>
      <c r="E169" s="279" t="s">
        <v>130</v>
      </c>
      <c r="F169" s="258"/>
      <c r="G169" s="258">
        <f>+D169+BC169</f>
        <v>0</v>
      </c>
      <c r="H169" s="506">
        <v>279.06049999999999</v>
      </c>
      <c r="I169" s="507">
        <v>79.962900599999998</v>
      </c>
      <c r="J169" s="474">
        <f t="shared" si="47"/>
        <v>79.962900599999998</v>
      </c>
      <c r="K169" s="474">
        <f t="shared" si="48"/>
        <v>39.981450299999999</v>
      </c>
      <c r="L169" s="474">
        <f t="shared" si="34"/>
        <v>0.64253956655634092</v>
      </c>
      <c r="M169" s="474">
        <f t="shared" si="35"/>
        <v>179.30741271299578</v>
      </c>
      <c r="N169" s="474">
        <f t="shared" si="36"/>
        <v>358.61482542599157</v>
      </c>
      <c r="O169" s="474">
        <f>+C166+D167+D168+(D169/2)</f>
        <v>0</v>
      </c>
      <c r="P169" s="474">
        <f t="shared" si="37"/>
        <v>0</v>
      </c>
      <c r="Q169" s="474">
        <f t="shared" si="38"/>
        <v>0</v>
      </c>
      <c r="R169" s="474">
        <f t="shared" si="49"/>
        <v>213.83080000000001</v>
      </c>
      <c r="S169" s="474">
        <f t="shared" si="62"/>
        <v>213.83080000000001</v>
      </c>
      <c r="T169" s="476">
        <f t="shared" si="39"/>
        <v>213.83080000000001</v>
      </c>
      <c r="V169" s="437">
        <f t="shared" si="40"/>
        <v>0</v>
      </c>
      <c r="W169" s="437"/>
      <c r="X169" s="437"/>
      <c r="Y169" s="437"/>
      <c r="Z169" s="437"/>
      <c r="AA169" s="437"/>
      <c r="AB169" s="477" t="str">
        <f t="shared" si="50"/>
        <v>use the locking pin</v>
      </c>
      <c r="AC169" s="514" t="b">
        <f>IF(AD169=4,AF169)</f>
        <v>0</v>
      </c>
      <c r="AD169" s="514">
        <f t="shared" si="41"/>
        <v>1</v>
      </c>
      <c r="AE169" s="514">
        <f>IF(V169=0,0,4)</f>
        <v>0</v>
      </c>
      <c r="AF169" s="437">
        <f>SUM(V169:V185)/($B$163-B168)</f>
        <v>0</v>
      </c>
      <c r="AG169" s="437"/>
      <c r="AH169" s="450">
        <f>SUM(D167:D169)+$C$166</f>
        <v>0</v>
      </c>
      <c r="AI169" s="516" t="b">
        <f t="shared" si="51"/>
        <v>0</v>
      </c>
      <c r="AJ169" s="287">
        <f t="shared" si="52"/>
        <v>66.255548399999995</v>
      </c>
      <c r="AK169" s="441">
        <f t="shared" si="42"/>
        <v>0.91535047595051022</v>
      </c>
      <c r="AL169" s="289">
        <f t="shared" si="53"/>
        <v>278.56028065668761</v>
      </c>
      <c r="AM169" s="287">
        <f t="shared" si="54"/>
        <v>50.018549700000001</v>
      </c>
      <c r="AN169" s="442">
        <f t="shared" si="55"/>
        <v>0.76625250760411079</v>
      </c>
      <c r="AO169" s="291">
        <f t="shared" si="56"/>
        <v>213.83080789825695</v>
      </c>
      <c r="AP169" s="519">
        <f t="shared" si="43"/>
        <v>-68.92527259508725</v>
      </c>
      <c r="AQ169" s="291">
        <f t="shared" si="63"/>
        <v>-81</v>
      </c>
      <c r="AR169" s="443">
        <f t="shared" si="44"/>
        <v>-54.2</v>
      </c>
      <c r="AS169" s="444">
        <f t="shared" si="57"/>
        <v>492.39108855494453</v>
      </c>
      <c r="AT169" s="445">
        <f>+V169-AO169</f>
        <v>-213.83080789825695</v>
      </c>
      <c r="AU169" s="446">
        <f t="shared" si="58"/>
        <v>144.9055353031697</v>
      </c>
      <c r="AV169" s="445"/>
      <c r="AW169" s="447">
        <f t="shared" si="59"/>
        <v>-38.249508214128852</v>
      </c>
      <c r="AX169" s="447">
        <f t="shared" si="60"/>
        <v>-15.950491785871153</v>
      </c>
      <c r="AY169" s="448">
        <f t="shared" si="45"/>
        <v>-303.27187306724943</v>
      </c>
      <c r="AZ169" s="448">
        <f t="shared" si="46"/>
        <v>-626.93991722925671</v>
      </c>
      <c r="BA169" s="451">
        <f t="shared" si="61"/>
        <v>303.27187306724943</v>
      </c>
      <c r="BB169" s="451">
        <f t="shared" si="61"/>
        <v>626.93991722925671</v>
      </c>
      <c r="BM169" s="214"/>
      <c r="BN169" s="214"/>
      <c r="BO169" s="214"/>
      <c r="BP169" s="126"/>
      <c r="BQ169" s="126"/>
      <c r="BR169" s="126"/>
      <c r="BS169" s="126"/>
      <c r="BT169" s="126"/>
      <c r="BU169" s="126"/>
      <c r="BV169" s="203"/>
      <c r="BW169" s="203"/>
      <c r="BX169" s="203"/>
      <c r="BY169" s="203"/>
      <c r="BZ169" s="203"/>
      <c r="CA169" s="203"/>
      <c r="CB169" s="203"/>
      <c r="CC169" s="203"/>
      <c r="CD169" s="203"/>
      <c r="CE169" s="203"/>
      <c r="CF169" s="203"/>
      <c r="CG169" s="203"/>
      <c r="CH169" s="203"/>
      <c r="CI169" s="203"/>
    </row>
    <row r="170" spans="1:142" ht="21" customHeight="1" thickBot="1" x14ac:dyDescent="0.35">
      <c r="B170" s="277">
        <v>5</v>
      </c>
      <c r="C170" s="278"/>
      <c r="D170" s="25">
        <v>0</v>
      </c>
      <c r="E170" s="279" t="s">
        <v>130</v>
      </c>
      <c r="F170" s="258"/>
      <c r="G170" s="258">
        <f>+D170+BC170</f>
        <v>0</v>
      </c>
      <c r="H170" s="506">
        <v>279.06049999999999</v>
      </c>
      <c r="I170" s="507">
        <v>79.962900599999998</v>
      </c>
      <c r="J170" s="474">
        <f t="shared" si="47"/>
        <v>79.962900599999998</v>
      </c>
      <c r="K170" s="474">
        <f t="shared" si="48"/>
        <v>39.981450299999999</v>
      </c>
      <c r="L170" s="474">
        <f t="shared" si="34"/>
        <v>0.64253956655634092</v>
      </c>
      <c r="M170" s="474">
        <f t="shared" si="35"/>
        <v>179.30741271299578</v>
      </c>
      <c r="N170" s="474">
        <f t="shared" si="36"/>
        <v>358.61482542599157</v>
      </c>
      <c r="O170" s="474">
        <f>+C166+D167+D168+D169+(D170/2)</f>
        <v>0</v>
      </c>
      <c r="P170" s="474">
        <f t="shared" si="37"/>
        <v>0</v>
      </c>
      <c r="Q170" s="474">
        <f t="shared" si="38"/>
        <v>0</v>
      </c>
      <c r="R170" s="474">
        <f t="shared" si="49"/>
        <v>213.83080000000001</v>
      </c>
      <c r="S170" s="474">
        <f t="shared" si="62"/>
        <v>213.83080000000001</v>
      </c>
      <c r="T170" s="476">
        <f t="shared" si="39"/>
        <v>213.83080000000001</v>
      </c>
      <c r="V170" s="437">
        <f t="shared" si="40"/>
        <v>0</v>
      </c>
      <c r="W170" s="437"/>
      <c r="X170" s="437"/>
      <c r="Y170" s="437"/>
      <c r="Z170" s="437"/>
      <c r="AA170" s="437"/>
      <c r="AB170" s="477" t="str">
        <f t="shared" si="50"/>
        <v>use the locking pin</v>
      </c>
      <c r="AC170" s="514" t="b">
        <f>IF(AD170=5,AF170)</f>
        <v>0</v>
      </c>
      <c r="AD170" s="514">
        <f t="shared" si="41"/>
        <v>1</v>
      </c>
      <c r="AE170" s="514">
        <f>IF(V170=0,0,5)</f>
        <v>0</v>
      </c>
      <c r="AF170" s="437">
        <f>SUM(V170:V185)/($B$163-B169)</f>
        <v>0</v>
      </c>
      <c r="AG170" s="437"/>
      <c r="AH170" s="450">
        <f>SUM(D167:D170)+$C$166</f>
        <v>0</v>
      </c>
      <c r="AI170" s="516" t="b">
        <f t="shared" si="51"/>
        <v>0</v>
      </c>
      <c r="AJ170" s="287">
        <f t="shared" si="52"/>
        <v>66.255548399999995</v>
      </c>
      <c r="AK170" s="441">
        <f t="shared" si="42"/>
        <v>0.91535047595051022</v>
      </c>
      <c r="AL170" s="289">
        <f t="shared" si="53"/>
        <v>278.56028065668761</v>
      </c>
      <c r="AM170" s="287">
        <f t="shared" si="54"/>
        <v>50.018549700000001</v>
      </c>
      <c r="AN170" s="442">
        <f t="shared" si="55"/>
        <v>0.76625250760411079</v>
      </c>
      <c r="AO170" s="291">
        <f t="shared" si="56"/>
        <v>213.83080789825695</v>
      </c>
      <c r="AP170" s="519">
        <f t="shared" si="43"/>
        <v>-39.448255276174542</v>
      </c>
      <c r="AQ170" s="291">
        <f t="shared" si="63"/>
        <v>-121.5</v>
      </c>
      <c r="AR170" s="443">
        <f t="shared" si="44"/>
        <v>-94.7</v>
      </c>
      <c r="AS170" s="444">
        <f t="shared" si="57"/>
        <v>492.39108855494453</v>
      </c>
      <c r="AT170" s="445">
        <f t="shared" ref="AT170:AT185" si="64">+V170-AO170</f>
        <v>-213.83080789825695</v>
      </c>
      <c r="AU170" s="446">
        <f t="shared" si="58"/>
        <v>174.38255262208241</v>
      </c>
      <c r="AV170" s="445"/>
      <c r="AW170" s="447">
        <f t="shared" si="59"/>
        <v>-61.161562531978184</v>
      </c>
      <c r="AX170" s="447">
        <f t="shared" si="60"/>
        <v>-33.538437468021826</v>
      </c>
      <c r="AY170" s="448">
        <f t="shared" si="45"/>
        <v>-189.6616031340757</v>
      </c>
      <c r="AZ170" s="448">
        <f t="shared" si="46"/>
        <v>-298.16535160693707</v>
      </c>
      <c r="BA170" s="451">
        <f t="shared" si="61"/>
        <v>189.6616031340757</v>
      </c>
      <c r="BB170" s="451">
        <f t="shared" si="61"/>
        <v>298.16535160693707</v>
      </c>
      <c r="BM170" s="214"/>
      <c r="BN170" s="214"/>
      <c r="BO170" s="214"/>
      <c r="BP170" s="126"/>
      <c r="BQ170" s="126"/>
      <c r="BR170" s="126"/>
      <c r="BS170" s="126"/>
      <c r="BT170" s="126"/>
      <c r="BU170" s="126"/>
      <c r="BV170" s="203"/>
      <c r="BW170" s="203"/>
      <c r="BX170" s="203"/>
      <c r="BY170" s="203"/>
      <c r="BZ170" s="203"/>
      <c r="CA170" s="203"/>
      <c r="CB170" s="203"/>
      <c r="CC170" s="203"/>
      <c r="CD170" s="203"/>
      <c r="CE170" s="203"/>
      <c r="CF170" s="203"/>
      <c r="CG170" s="203"/>
      <c r="CH170" s="203"/>
      <c r="CI170" s="203"/>
    </row>
    <row r="171" spans="1:142" ht="21" customHeight="1" thickBot="1" x14ac:dyDescent="0.35">
      <c r="B171" s="277">
        <v>6</v>
      </c>
      <c r="C171" s="278"/>
      <c r="D171" s="25">
        <v>0</v>
      </c>
      <c r="E171" s="279" t="s">
        <v>130</v>
      </c>
      <c r="F171" s="258"/>
      <c r="G171" s="258">
        <f t="shared" ref="G171:G185" si="65">+D171+BC171</f>
        <v>0</v>
      </c>
      <c r="H171" s="506">
        <v>279.06049999999999</v>
      </c>
      <c r="I171" s="507">
        <v>79.962900599999998</v>
      </c>
      <c r="J171" s="474">
        <f t="shared" si="47"/>
        <v>79.962900599999998</v>
      </c>
      <c r="K171" s="474">
        <f t="shared" si="48"/>
        <v>39.981450299999999</v>
      </c>
      <c r="L171" s="474">
        <f t="shared" si="34"/>
        <v>0.64253956655634092</v>
      </c>
      <c r="M171" s="474">
        <f t="shared" si="35"/>
        <v>179.30741271299578</v>
      </c>
      <c r="N171" s="474">
        <f t="shared" si="36"/>
        <v>358.61482542599157</v>
      </c>
      <c r="O171" s="474">
        <f>+C166+D167+D168+D169+D170+(D171/2)</f>
        <v>0</v>
      </c>
      <c r="P171" s="474">
        <f t="shared" si="37"/>
        <v>0</v>
      </c>
      <c r="Q171" s="474">
        <f t="shared" si="38"/>
        <v>0</v>
      </c>
      <c r="R171" s="474">
        <f t="shared" si="49"/>
        <v>213.83080000000001</v>
      </c>
      <c r="S171" s="474">
        <f t="shared" si="62"/>
        <v>213.83080000000001</v>
      </c>
      <c r="T171" s="476">
        <f t="shared" si="39"/>
        <v>213.83080000000001</v>
      </c>
      <c r="V171" s="437">
        <f t="shared" si="40"/>
        <v>0</v>
      </c>
      <c r="W171" s="437"/>
      <c r="X171" s="437"/>
      <c r="Y171" s="437"/>
      <c r="Z171" s="437"/>
      <c r="AA171" s="437"/>
      <c r="AB171" s="477" t="str">
        <f t="shared" si="50"/>
        <v>use the locking pin</v>
      </c>
      <c r="AC171" s="514" t="b">
        <f>IF(AD171=6,AF171)</f>
        <v>0</v>
      </c>
      <c r="AD171" s="514">
        <f t="shared" si="41"/>
        <v>1</v>
      </c>
      <c r="AE171" s="514">
        <f>IF(V171=0,0,6)</f>
        <v>0</v>
      </c>
      <c r="AF171" s="437">
        <f>SUM(V171:V185)/($B$163-B170)</f>
        <v>0</v>
      </c>
      <c r="AG171" s="437"/>
      <c r="AH171" s="450">
        <f>SUM(D167:D171)+$C$166</f>
        <v>0</v>
      </c>
      <c r="AI171" s="516" t="b">
        <f t="shared" si="51"/>
        <v>0</v>
      </c>
      <c r="AJ171" s="287">
        <f t="shared" si="52"/>
        <v>66.255548399999995</v>
      </c>
      <c r="AK171" s="441">
        <f t="shared" si="42"/>
        <v>0.91535047595051022</v>
      </c>
      <c r="AL171" s="289">
        <f t="shared" si="53"/>
        <v>278.56028065668761</v>
      </c>
      <c r="AM171" s="287">
        <f t="shared" si="54"/>
        <v>50.018549700000001</v>
      </c>
      <c r="AN171" s="442">
        <f t="shared" si="55"/>
        <v>0.76625250760411079</v>
      </c>
      <c r="AO171" s="291">
        <f t="shared" si="56"/>
        <v>213.83080789825695</v>
      </c>
      <c r="AP171" s="519">
        <f t="shared" si="43"/>
        <v>-27.631285315486164</v>
      </c>
      <c r="AQ171" s="291">
        <f t="shared" si="63"/>
        <v>-162</v>
      </c>
      <c r="AR171" s="443">
        <f t="shared" si="44"/>
        <v>-135.19999999999999</v>
      </c>
      <c r="AS171" s="444">
        <f t="shared" si="57"/>
        <v>492.39108855494453</v>
      </c>
      <c r="AT171" s="445">
        <f t="shared" si="64"/>
        <v>-213.83080789825695</v>
      </c>
      <c r="AU171" s="446">
        <f t="shared" si="58"/>
        <v>186.19952258277078</v>
      </c>
      <c r="AV171" s="445"/>
      <c r="AW171" s="447">
        <f t="shared" si="59"/>
        <v>-84.073616849827488</v>
      </c>
      <c r="AX171" s="447">
        <f t="shared" si="60"/>
        <v>-51.126383150172494</v>
      </c>
      <c r="AY171" s="448">
        <f t="shared" si="45"/>
        <v>-137.97431863458365</v>
      </c>
      <c r="AZ171" s="448">
        <f t="shared" si="46"/>
        <v>-195.59373035693142</v>
      </c>
      <c r="BA171" s="451">
        <f t="shared" si="61"/>
        <v>137.97431863458365</v>
      </c>
      <c r="BB171" s="451">
        <f t="shared" si="61"/>
        <v>195.59373035693142</v>
      </c>
      <c r="BM171" s="214"/>
      <c r="BN171" s="214"/>
      <c r="BO171" s="214"/>
      <c r="CI171" s="236"/>
      <c r="CJ171" s="236"/>
      <c r="CK171" s="236"/>
      <c r="CL171" s="236"/>
      <c r="CM171" s="236"/>
      <c r="CN171" s="236"/>
    </row>
    <row r="172" spans="1:142" ht="21" customHeight="1" thickBot="1" x14ac:dyDescent="0.35">
      <c r="B172" s="277">
        <v>7</v>
      </c>
      <c r="C172" s="278"/>
      <c r="D172" s="25">
        <v>0</v>
      </c>
      <c r="E172" s="279" t="s">
        <v>130</v>
      </c>
      <c r="F172" s="258"/>
      <c r="G172" s="258">
        <f t="shared" si="65"/>
        <v>0</v>
      </c>
      <c r="H172" s="506">
        <v>279.06049999999999</v>
      </c>
      <c r="I172" s="507">
        <v>79.962900599999998</v>
      </c>
      <c r="J172" s="474">
        <f t="shared" si="47"/>
        <v>79.962900599999998</v>
      </c>
      <c r="K172" s="474">
        <f t="shared" si="48"/>
        <v>39.981450299999999</v>
      </c>
      <c r="L172" s="474">
        <f t="shared" si="34"/>
        <v>0.64253956655634092</v>
      </c>
      <c r="M172" s="474">
        <f t="shared" si="35"/>
        <v>179.30741271299578</v>
      </c>
      <c r="N172" s="474">
        <f t="shared" si="36"/>
        <v>358.61482542599157</v>
      </c>
      <c r="O172" s="474">
        <f>+C166+D167+D168+D169+D170+D171+(D172/2)</f>
        <v>0</v>
      </c>
      <c r="P172" s="474">
        <f t="shared" si="37"/>
        <v>0</v>
      </c>
      <c r="Q172" s="474">
        <f t="shared" si="38"/>
        <v>0</v>
      </c>
      <c r="R172" s="474">
        <f t="shared" si="49"/>
        <v>213.83080000000001</v>
      </c>
      <c r="S172" s="474">
        <f t="shared" si="62"/>
        <v>213.83080000000001</v>
      </c>
      <c r="T172" s="476">
        <f t="shared" si="39"/>
        <v>213.83080000000001</v>
      </c>
      <c r="V172" s="437">
        <f t="shared" si="40"/>
        <v>0</v>
      </c>
      <c r="W172" s="437"/>
      <c r="X172" s="437"/>
      <c r="Y172" s="437"/>
      <c r="Z172" s="437"/>
      <c r="AA172" s="437"/>
      <c r="AB172" s="477" t="str">
        <f t="shared" si="50"/>
        <v>use the locking pin</v>
      </c>
      <c r="AC172" s="514" t="b">
        <f>IF(AD172=7,AF172)</f>
        <v>0</v>
      </c>
      <c r="AD172" s="514">
        <f t="shared" si="41"/>
        <v>1</v>
      </c>
      <c r="AE172" s="514">
        <f>IF(V172=0,0,7)</f>
        <v>0</v>
      </c>
      <c r="AF172" s="437">
        <f>SUM(V172:V185)/($B$163-B171)</f>
        <v>0</v>
      </c>
      <c r="AG172" s="437"/>
      <c r="AH172" s="450">
        <f>SUM(D167:D172)+$C$166</f>
        <v>0</v>
      </c>
      <c r="AI172" s="516" t="b">
        <f t="shared" si="51"/>
        <v>0</v>
      </c>
      <c r="AJ172" s="287">
        <f t="shared" si="52"/>
        <v>66.255548399999995</v>
      </c>
      <c r="AK172" s="441">
        <f t="shared" si="42"/>
        <v>0.91535047595051022</v>
      </c>
      <c r="AL172" s="289">
        <f t="shared" si="53"/>
        <v>278.56028065668761</v>
      </c>
      <c r="AM172" s="287">
        <f t="shared" si="54"/>
        <v>50.018549700000001</v>
      </c>
      <c r="AN172" s="442">
        <f t="shared" si="55"/>
        <v>0.76625250760411079</v>
      </c>
      <c r="AO172" s="291">
        <f t="shared" si="56"/>
        <v>213.83080789825695</v>
      </c>
      <c r="AP172" s="519">
        <f t="shared" si="43"/>
        <v>-21.26209319666323</v>
      </c>
      <c r="AQ172" s="291">
        <f t="shared" si="63"/>
        <v>-202.5</v>
      </c>
      <c r="AR172" s="443">
        <f t="shared" si="44"/>
        <v>-175.7</v>
      </c>
      <c r="AS172" s="444">
        <f t="shared" si="57"/>
        <v>492.39108855494453</v>
      </c>
      <c r="AT172" s="445">
        <f t="shared" si="64"/>
        <v>-213.83080789825695</v>
      </c>
      <c r="AU172" s="446">
        <f t="shared" si="58"/>
        <v>192.56871470159371</v>
      </c>
      <c r="AV172" s="445"/>
      <c r="AW172" s="447">
        <f t="shared" si="59"/>
        <v>-106.98567116767681</v>
      </c>
      <c r="AX172" s="447">
        <f t="shared" si="60"/>
        <v>-68.714328832323162</v>
      </c>
      <c r="AY172" s="448">
        <f t="shared" si="45"/>
        <v>-108.42573471188976</v>
      </c>
      <c r="AZ172" s="448">
        <f t="shared" si="46"/>
        <v>-145.53005421041104</v>
      </c>
      <c r="BA172" s="451">
        <f t="shared" si="61"/>
        <v>108.42573471188976</v>
      </c>
      <c r="BB172" s="451">
        <f t="shared" si="61"/>
        <v>145.53005421041104</v>
      </c>
      <c r="BM172" s="214"/>
      <c r="BN172" s="214"/>
      <c r="BO172" s="214"/>
    </row>
    <row r="173" spans="1:142" ht="21" customHeight="1" thickBot="1" x14ac:dyDescent="0.35">
      <c r="B173" s="277">
        <v>8</v>
      </c>
      <c r="C173" s="278"/>
      <c r="D173" s="25">
        <v>0</v>
      </c>
      <c r="E173" s="279" t="s">
        <v>130</v>
      </c>
      <c r="F173" s="258"/>
      <c r="G173" s="258">
        <f t="shared" si="65"/>
        <v>0</v>
      </c>
      <c r="H173" s="506">
        <v>279.06049999999999</v>
      </c>
      <c r="I173" s="507">
        <v>79.962900599999998</v>
      </c>
      <c r="J173" s="474">
        <f t="shared" si="47"/>
        <v>79.962900599999998</v>
      </c>
      <c r="K173" s="474">
        <f t="shared" si="48"/>
        <v>39.981450299999999</v>
      </c>
      <c r="L173" s="474">
        <f t="shared" si="34"/>
        <v>0.64253956655634092</v>
      </c>
      <c r="M173" s="474">
        <f t="shared" si="35"/>
        <v>179.30741271299578</v>
      </c>
      <c r="N173" s="474">
        <f t="shared" si="36"/>
        <v>358.61482542599157</v>
      </c>
      <c r="O173" s="474">
        <f>+C166+D167+D168+D169+D170+D171+D172+(D173/2)</f>
        <v>0</v>
      </c>
      <c r="P173" s="474">
        <f t="shared" si="37"/>
        <v>0</v>
      </c>
      <c r="Q173" s="474">
        <f t="shared" si="38"/>
        <v>0</v>
      </c>
      <c r="R173" s="474">
        <f t="shared" si="49"/>
        <v>213.83080000000001</v>
      </c>
      <c r="S173" s="474">
        <f t="shared" si="62"/>
        <v>213.83080000000001</v>
      </c>
      <c r="T173" s="476">
        <f t="shared" si="39"/>
        <v>213.83080000000001</v>
      </c>
      <c r="V173" s="437">
        <f t="shared" si="40"/>
        <v>0</v>
      </c>
      <c r="W173" s="437"/>
      <c r="X173" s="437"/>
      <c r="Y173" s="437"/>
      <c r="Z173" s="437"/>
      <c r="AA173" s="437"/>
      <c r="AB173" s="477" t="str">
        <f t="shared" si="50"/>
        <v>use the locking pin</v>
      </c>
      <c r="AC173" s="514" t="b">
        <f>IF(AD173=8,AF173)</f>
        <v>0</v>
      </c>
      <c r="AD173" s="514">
        <f t="shared" si="41"/>
        <v>1</v>
      </c>
      <c r="AE173" s="514">
        <f>IF(V173=0,0,8)</f>
        <v>0</v>
      </c>
      <c r="AF173" s="437">
        <f>SUM(V173:V185)/($B$163-B172)</f>
        <v>0</v>
      </c>
      <c r="AG173" s="437"/>
      <c r="AH173" s="450">
        <f>SUM(D167:D173)+$C$166</f>
        <v>0</v>
      </c>
      <c r="AI173" s="516" t="b">
        <f t="shared" si="51"/>
        <v>0</v>
      </c>
      <c r="AJ173" s="287">
        <f t="shared" si="52"/>
        <v>66.255548399999995</v>
      </c>
      <c r="AK173" s="441">
        <f t="shared" si="42"/>
        <v>0.91535047595051022</v>
      </c>
      <c r="AL173" s="289">
        <f t="shared" si="53"/>
        <v>278.56028065668761</v>
      </c>
      <c r="AM173" s="287">
        <f t="shared" si="54"/>
        <v>50.018549700000001</v>
      </c>
      <c r="AN173" s="442">
        <f t="shared" si="55"/>
        <v>0.76625250760411079</v>
      </c>
      <c r="AO173" s="291">
        <f t="shared" si="56"/>
        <v>213.83080789825695</v>
      </c>
      <c r="AP173" s="519">
        <f t="shared" si="43"/>
        <v>-17.279138643171738</v>
      </c>
      <c r="AQ173" s="291">
        <f t="shared" si="63"/>
        <v>-243</v>
      </c>
      <c r="AR173" s="443">
        <f t="shared" si="44"/>
        <v>-216.2</v>
      </c>
      <c r="AS173" s="444">
        <f t="shared" si="57"/>
        <v>492.39108855494453</v>
      </c>
      <c r="AT173" s="445">
        <f t="shared" si="64"/>
        <v>-213.83080789825695</v>
      </c>
      <c r="AU173" s="446">
        <f t="shared" si="58"/>
        <v>196.55166925508522</v>
      </c>
      <c r="AV173" s="445"/>
      <c r="AW173" s="447">
        <f t="shared" si="59"/>
        <v>-129.89772548552614</v>
      </c>
      <c r="AX173" s="447">
        <f t="shared" si="60"/>
        <v>-86.302274514473837</v>
      </c>
      <c r="AY173" s="448">
        <f t="shared" si="45"/>
        <v>-89.301024761149733</v>
      </c>
      <c r="AZ173" s="448">
        <f t="shared" si="46"/>
        <v>-115.87180125041652</v>
      </c>
      <c r="BA173" s="451">
        <f t="shared" si="61"/>
        <v>89.301024761149733</v>
      </c>
      <c r="BB173" s="451">
        <f t="shared" si="61"/>
        <v>115.87180125041652</v>
      </c>
      <c r="BM173" s="214"/>
      <c r="BN173" s="214"/>
      <c r="BO173" s="214"/>
    </row>
    <row r="174" spans="1:142" ht="21" customHeight="1" thickBot="1" x14ac:dyDescent="0.35">
      <c r="B174" s="277">
        <v>9</v>
      </c>
      <c r="C174" s="278"/>
      <c r="D174" s="25">
        <v>0</v>
      </c>
      <c r="E174" s="279" t="s">
        <v>130</v>
      </c>
      <c r="F174" s="258"/>
      <c r="G174" s="258">
        <f t="shared" si="65"/>
        <v>0</v>
      </c>
      <c r="H174" s="506">
        <v>279.06049999999999</v>
      </c>
      <c r="I174" s="507">
        <v>79.962900599999998</v>
      </c>
      <c r="J174" s="474">
        <f t="shared" si="47"/>
        <v>79.962900599999998</v>
      </c>
      <c r="K174" s="474">
        <f t="shared" si="48"/>
        <v>39.981450299999999</v>
      </c>
      <c r="L174" s="474">
        <f t="shared" si="34"/>
        <v>0.64253956655634092</v>
      </c>
      <c r="M174" s="474">
        <f t="shared" si="35"/>
        <v>179.30741271299578</v>
      </c>
      <c r="N174" s="474">
        <f t="shared" si="36"/>
        <v>358.61482542599157</v>
      </c>
      <c r="O174" s="474">
        <f>+C166+D167+D168+D169+D170+D171+D172+D173+(D174/2)</f>
        <v>0</v>
      </c>
      <c r="P174" s="474">
        <f t="shared" si="37"/>
        <v>0</v>
      </c>
      <c r="Q174" s="474">
        <f t="shared" si="38"/>
        <v>0</v>
      </c>
      <c r="R174" s="474">
        <f t="shared" si="49"/>
        <v>213.83080000000001</v>
      </c>
      <c r="S174" s="474">
        <f t="shared" si="62"/>
        <v>213.83080000000001</v>
      </c>
      <c r="T174" s="476">
        <f t="shared" si="39"/>
        <v>213.83080000000001</v>
      </c>
      <c r="V174" s="437">
        <f t="shared" si="40"/>
        <v>0</v>
      </c>
      <c r="W174" s="437"/>
      <c r="X174" s="437"/>
      <c r="Y174" s="437"/>
      <c r="Z174" s="437"/>
      <c r="AA174" s="437"/>
      <c r="AB174" s="477" t="str">
        <f t="shared" si="50"/>
        <v>use the locking pin</v>
      </c>
      <c r="AC174" s="514" t="b">
        <f>IF(AD174=9,AF174)</f>
        <v>0</v>
      </c>
      <c r="AD174" s="514">
        <f t="shared" si="41"/>
        <v>1</v>
      </c>
      <c r="AE174" s="514">
        <f>IF(V174=0,0,9)</f>
        <v>0</v>
      </c>
      <c r="AF174" s="437">
        <f>SUM(V174:V185)/($B$163-B173)</f>
        <v>0</v>
      </c>
      <c r="AG174" s="437"/>
      <c r="AH174" s="450">
        <f>SUM(D167:D174)+$C$166</f>
        <v>0</v>
      </c>
      <c r="AI174" s="516" t="b">
        <f t="shared" si="51"/>
        <v>0</v>
      </c>
      <c r="AJ174" s="287">
        <f t="shared" si="52"/>
        <v>66.255548399999995</v>
      </c>
      <c r="AK174" s="441">
        <f t="shared" si="42"/>
        <v>0.91535047595051022</v>
      </c>
      <c r="AL174" s="289">
        <f t="shared" si="53"/>
        <v>278.56028065668761</v>
      </c>
      <c r="AM174" s="287">
        <f t="shared" si="54"/>
        <v>50.018549700000001</v>
      </c>
      <c r="AN174" s="442">
        <f t="shared" si="55"/>
        <v>0.76625250760411079</v>
      </c>
      <c r="AO174" s="291">
        <f t="shared" si="56"/>
        <v>213.83080789825695</v>
      </c>
      <c r="AP174" s="519">
        <f t="shared" si="43"/>
        <v>-14.552979254591856</v>
      </c>
      <c r="AQ174" s="291">
        <f t="shared" si="63"/>
        <v>-283.5</v>
      </c>
      <c r="AR174" s="443">
        <f t="shared" si="44"/>
        <v>-256.7</v>
      </c>
      <c r="AS174" s="444">
        <f t="shared" si="57"/>
        <v>492.39108855494453</v>
      </c>
      <c r="AT174" s="445">
        <f t="shared" si="64"/>
        <v>-213.83080789825695</v>
      </c>
      <c r="AU174" s="446">
        <f t="shared" si="58"/>
        <v>199.27782864366509</v>
      </c>
      <c r="AV174" s="445"/>
      <c r="AW174" s="447">
        <f t="shared" si="59"/>
        <v>-152.80977980337551</v>
      </c>
      <c r="AX174" s="447">
        <f t="shared" si="60"/>
        <v>-103.89022019662451</v>
      </c>
      <c r="AY174" s="448">
        <f t="shared" si="45"/>
        <v>-75.911371738942591</v>
      </c>
      <c r="AZ174" s="448">
        <f t="shared" si="46"/>
        <v>-96.255451004664536</v>
      </c>
      <c r="BA174" s="451">
        <f t="shared" si="61"/>
        <v>75.911371738942591</v>
      </c>
      <c r="BB174" s="451">
        <f t="shared" si="61"/>
        <v>96.255451004664536</v>
      </c>
      <c r="BM174" s="214"/>
      <c r="BN174" s="214"/>
      <c r="BO174" s="214"/>
    </row>
    <row r="175" spans="1:142" ht="21" customHeight="1" thickBot="1" x14ac:dyDescent="0.35">
      <c r="B175" s="277">
        <v>10</v>
      </c>
      <c r="C175" s="278"/>
      <c r="D175" s="25">
        <v>0</v>
      </c>
      <c r="E175" s="279" t="s">
        <v>130</v>
      </c>
      <c r="F175" s="258"/>
      <c r="G175" s="258">
        <f t="shared" si="65"/>
        <v>0</v>
      </c>
      <c r="H175" s="506">
        <v>279.06049999999999</v>
      </c>
      <c r="I175" s="507">
        <v>79.962900599999998</v>
      </c>
      <c r="J175" s="474">
        <f t="shared" si="47"/>
        <v>79.962900599999998</v>
      </c>
      <c r="K175" s="474">
        <f t="shared" si="48"/>
        <v>39.981450299999999</v>
      </c>
      <c r="L175" s="474">
        <f t="shared" si="34"/>
        <v>0.64253956655634092</v>
      </c>
      <c r="M175" s="474">
        <f t="shared" si="35"/>
        <v>179.30741271299578</v>
      </c>
      <c r="N175" s="474">
        <f t="shared" si="36"/>
        <v>358.61482542599157</v>
      </c>
      <c r="O175" s="474">
        <f>+C166+D167+D168+D169+D170+D171+D172+D173+D174+(D175/2)</f>
        <v>0</v>
      </c>
      <c r="P175" s="474">
        <f t="shared" si="37"/>
        <v>0</v>
      </c>
      <c r="Q175" s="474">
        <f t="shared" si="38"/>
        <v>0</v>
      </c>
      <c r="R175" s="474">
        <f t="shared" si="49"/>
        <v>213.83080000000001</v>
      </c>
      <c r="S175" s="474">
        <f t="shared" si="62"/>
        <v>213.83080000000001</v>
      </c>
      <c r="T175" s="476">
        <f t="shared" si="39"/>
        <v>213.83080000000001</v>
      </c>
      <c r="V175" s="437">
        <f t="shared" si="40"/>
        <v>0</v>
      </c>
      <c r="W175" s="437"/>
      <c r="X175" s="437"/>
      <c r="Y175" s="437"/>
      <c r="Z175" s="437"/>
      <c r="AA175" s="437"/>
      <c r="AB175" s="477" t="str">
        <f t="shared" si="50"/>
        <v>use the locking pin</v>
      </c>
      <c r="AC175" s="514" t="b">
        <f>IF(AD175=10,AF175)</f>
        <v>0</v>
      </c>
      <c r="AD175" s="514">
        <f t="shared" si="41"/>
        <v>1</v>
      </c>
      <c r="AE175" s="514">
        <f>IF(V175=0,0,10)</f>
        <v>0</v>
      </c>
      <c r="AF175" s="437">
        <f>SUM(V175:V185)/($B$163-B174)</f>
        <v>0</v>
      </c>
      <c r="AG175" s="437"/>
      <c r="AH175" s="450">
        <f>SUM(D167:D175)+$C$166</f>
        <v>0</v>
      </c>
      <c r="AI175" s="516" t="b">
        <f t="shared" si="51"/>
        <v>0</v>
      </c>
      <c r="AJ175" s="287">
        <f t="shared" si="52"/>
        <v>66.255548399999995</v>
      </c>
      <c r="AK175" s="441">
        <f t="shared" si="42"/>
        <v>0.91535047595051022</v>
      </c>
      <c r="AL175" s="289">
        <f t="shared" si="53"/>
        <v>278.56028065668761</v>
      </c>
      <c r="AM175" s="287">
        <f t="shared" si="54"/>
        <v>50.018549700000001</v>
      </c>
      <c r="AN175" s="442">
        <f t="shared" si="55"/>
        <v>0.76625250760411079</v>
      </c>
      <c r="AO175" s="291">
        <f t="shared" si="56"/>
        <v>213.83080789825695</v>
      </c>
      <c r="AP175" s="519">
        <f t="shared" si="43"/>
        <v>-12.569817545941216</v>
      </c>
      <c r="AQ175" s="291">
        <f t="shared" si="63"/>
        <v>-324</v>
      </c>
      <c r="AR175" s="443">
        <f t="shared" si="44"/>
        <v>-297.2</v>
      </c>
      <c r="AS175" s="444">
        <f t="shared" si="57"/>
        <v>492.39108855494453</v>
      </c>
      <c r="AT175" s="445">
        <f t="shared" si="64"/>
        <v>-213.83080789825695</v>
      </c>
      <c r="AU175" s="446">
        <f t="shared" si="58"/>
        <v>201.26099035231573</v>
      </c>
      <c r="AV175" s="445"/>
      <c r="AW175" s="447">
        <f t="shared" si="59"/>
        <v>-175.72183412122479</v>
      </c>
      <c r="AX175" s="447">
        <f t="shared" si="60"/>
        <v>-121.47816587877519</v>
      </c>
      <c r="AY175" s="448">
        <f t="shared" si="45"/>
        <v>-66.013424330624375</v>
      </c>
      <c r="AZ175" s="448">
        <f t="shared" si="46"/>
        <v>-82.319319917779666</v>
      </c>
      <c r="BA175" s="451">
        <f t="shared" si="61"/>
        <v>66.013424330624375</v>
      </c>
      <c r="BB175" s="451">
        <f t="shared" si="61"/>
        <v>82.319319917779666</v>
      </c>
      <c r="BM175" s="214"/>
      <c r="BN175" s="214"/>
      <c r="BO175" s="214"/>
    </row>
    <row r="176" spans="1:142" ht="21" customHeight="1" thickBot="1" x14ac:dyDescent="0.35">
      <c r="A176" s="296"/>
      <c r="B176" s="277">
        <v>11</v>
      </c>
      <c r="C176" s="278"/>
      <c r="D176" s="25">
        <v>0</v>
      </c>
      <c r="E176" s="279" t="s">
        <v>130</v>
      </c>
      <c r="F176" s="258"/>
      <c r="G176" s="258">
        <f t="shared" si="65"/>
        <v>0</v>
      </c>
      <c r="H176" s="506">
        <v>279.06049999999999</v>
      </c>
      <c r="I176" s="507">
        <v>79.962900599999998</v>
      </c>
      <c r="J176" s="474">
        <f t="shared" si="47"/>
        <v>79.962900599999998</v>
      </c>
      <c r="K176" s="474">
        <f t="shared" si="48"/>
        <v>39.981450299999999</v>
      </c>
      <c r="L176" s="474">
        <f t="shared" si="34"/>
        <v>0.64253956655634092</v>
      </c>
      <c r="M176" s="474">
        <f t="shared" si="35"/>
        <v>179.30741271299578</v>
      </c>
      <c r="N176" s="474">
        <f t="shared" si="36"/>
        <v>358.61482542599157</v>
      </c>
      <c r="O176" s="474">
        <f>+C166+D167+D168+D169+D170+D171+D172+D173+D174+D175+(D176/2)</f>
        <v>0</v>
      </c>
      <c r="P176" s="474">
        <f t="shared" si="37"/>
        <v>0</v>
      </c>
      <c r="Q176" s="474">
        <f t="shared" si="38"/>
        <v>0</v>
      </c>
      <c r="R176" s="474">
        <f t="shared" si="49"/>
        <v>213.83080000000001</v>
      </c>
      <c r="S176" s="474">
        <f t="shared" si="62"/>
        <v>213.83080000000001</v>
      </c>
      <c r="T176" s="476">
        <f t="shared" si="39"/>
        <v>213.83080000000001</v>
      </c>
      <c r="V176" s="437">
        <f t="shared" si="40"/>
        <v>0</v>
      </c>
      <c r="W176" s="437"/>
      <c r="X176" s="437"/>
      <c r="Y176" s="437"/>
      <c r="Z176" s="437"/>
      <c r="AA176" s="437"/>
      <c r="AB176" s="477" t="str">
        <f t="shared" si="50"/>
        <v>use the locking pin</v>
      </c>
      <c r="AC176" s="514" t="b">
        <f>IF(AD176=11,AF176)</f>
        <v>0</v>
      </c>
      <c r="AD176" s="514">
        <f t="shared" si="41"/>
        <v>1</v>
      </c>
      <c r="AE176" s="514">
        <f>IF(V176=0,0,11)</f>
        <v>0</v>
      </c>
      <c r="AF176" s="437">
        <f>SUM(V176:V185)/($B$163-B175)</f>
        <v>0</v>
      </c>
      <c r="AG176" s="437"/>
      <c r="AH176" s="450">
        <f>SUM(D167:D176)+$C$166</f>
        <v>0</v>
      </c>
      <c r="AI176" s="516" t="b">
        <f t="shared" si="51"/>
        <v>0</v>
      </c>
      <c r="AJ176" s="287">
        <f t="shared" si="52"/>
        <v>66.255548399999995</v>
      </c>
      <c r="AK176" s="441">
        <f t="shared" si="42"/>
        <v>0.91535047595051022</v>
      </c>
      <c r="AL176" s="289">
        <f t="shared" si="53"/>
        <v>278.56028065668761</v>
      </c>
      <c r="AM176" s="287">
        <f t="shared" si="54"/>
        <v>50.018549700000001</v>
      </c>
      <c r="AN176" s="442">
        <f t="shared" si="55"/>
        <v>0.76625250760411079</v>
      </c>
      <c r="AO176" s="291">
        <f t="shared" si="56"/>
        <v>213.83080789825695</v>
      </c>
      <c r="AP176" s="519">
        <f t="shared" si="43"/>
        <v>-11.062332764743054</v>
      </c>
      <c r="AQ176" s="291">
        <f t="shared" si="63"/>
        <v>-364.5</v>
      </c>
      <c r="AR176" s="443">
        <f t="shared" si="44"/>
        <v>-337.7</v>
      </c>
      <c r="AS176" s="444">
        <f t="shared" si="57"/>
        <v>492.39108855494453</v>
      </c>
      <c r="AT176" s="445">
        <f t="shared" si="64"/>
        <v>-213.83080789825695</v>
      </c>
      <c r="AU176" s="446">
        <f t="shared" si="58"/>
        <v>202.7684751335139</v>
      </c>
      <c r="AV176" s="445"/>
      <c r="AW176" s="447">
        <f t="shared" si="59"/>
        <v>-198.6338884390741</v>
      </c>
      <c r="AX176" s="447">
        <f t="shared" si="60"/>
        <v>-139.06611156092586</v>
      </c>
      <c r="AY176" s="448">
        <f t="shared" si="45"/>
        <v>-58.398897041971793</v>
      </c>
      <c r="AZ176" s="448">
        <f t="shared" si="46"/>
        <v>-71.908244846688817</v>
      </c>
      <c r="BA176" s="451">
        <f t="shared" si="61"/>
        <v>58.398897041971793</v>
      </c>
      <c r="BB176" s="451">
        <f t="shared" si="61"/>
        <v>71.908244846688817</v>
      </c>
      <c r="BM176" s="214"/>
      <c r="BN176" s="214"/>
      <c r="BO176" s="214"/>
    </row>
    <row r="177" spans="1:129" ht="21" customHeight="1" thickBot="1" x14ac:dyDescent="0.35">
      <c r="A177" s="296"/>
      <c r="B177" s="277">
        <v>12</v>
      </c>
      <c r="C177" s="278"/>
      <c r="D177" s="25">
        <v>0</v>
      </c>
      <c r="E177" s="279" t="s">
        <v>130</v>
      </c>
      <c r="F177" s="258"/>
      <c r="G177" s="258">
        <f t="shared" si="65"/>
        <v>0</v>
      </c>
      <c r="H177" s="506">
        <v>279.06049999999999</v>
      </c>
      <c r="I177" s="507">
        <v>79.962900599999998</v>
      </c>
      <c r="J177" s="474">
        <f t="shared" si="47"/>
        <v>79.962900599999998</v>
      </c>
      <c r="K177" s="474">
        <f t="shared" si="48"/>
        <v>39.981450299999999</v>
      </c>
      <c r="L177" s="474">
        <f t="shared" si="34"/>
        <v>0.64253956655634092</v>
      </c>
      <c r="M177" s="474">
        <f t="shared" si="35"/>
        <v>179.30741271299578</v>
      </c>
      <c r="N177" s="474">
        <f t="shared" si="36"/>
        <v>358.61482542599157</v>
      </c>
      <c r="O177" s="474">
        <f>+C166+D167+D168+D169+D170+D171+D172+D173+D174+D175+D176+(D177/2)</f>
        <v>0</v>
      </c>
      <c r="P177" s="474">
        <f t="shared" si="37"/>
        <v>0</v>
      </c>
      <c r="Q177" s="474">
        <f t="shared" si="38"/>
        <v>0</v>
      </c>
      <c r="R177" s="474">
        <f t="shared" si="49"/>
        <v>213.83080000000001</v>
      </c>
      <c r="S177" s="474">
        <f t="shared" si="62"/>
        <v>213.83080000000001</v>
      </c>
      <c r="T177" s="476">
        <f t="shared" si="39"/>
        <v>213.83080000000001</v>
      </c>
      <c r="V177" s="437">
        <f t="shared" si="40"/>
        <v>0</v>
      </c>
      <c r="W177" s="437"/>
      <c r="X177" s="437"/>
      <c r="Y177" s="437"/>
      <c r="Z177" s="437"/>
      <c r="AA177" s="437"/>
      <c r="AB177" s="477" t="str">
        <f t="shared" si="50"/>
        <v>use the locking pin</v>
      </c>
      <c r="AC177" s="514" t="b">
        <f>IF(AD177=12,AF177)</f>
        <v>0</v>
      </c>
      <c r="AD177" s="514">
        <f t="shared" si="41"/>
        <v>1</v>
      </c>
      <c r="AE177" s="514">
        <f>IF(V177=0,0,12)</f>
        <v>0</v>
      </c>
      <c r="AF177" s="437">
        <f>SUM(V177:V185)/($B$163-B176)</f>
        <v>0</v>
      </c>
      <c r="AG177" s="437"/>
      <c r="AH177" s="450">
        <f>SUM(D167:D177)+$C$166</f>
        <v>0</v>
      </c>
      <c r="AI177" s="516" t="b">
        <f t="shared" si="51"/>
        <v>0</v>
      </c>
      <c r="AJ177" s="287">
        <f t="shared" si="52"/>
        <v>66.255548399999995</v>
      </c>
      <c r="AK177" s="441">
        <f t="shared" si="42"/>
        <v>0.91535047595051022</v>
      </c>
      <c r="AL177" s="289">
        <f t="shared" si="53"/>
        <v>278.56028065668761</v>
      </c>
      <c r="AM177" s="287">
        <f t="shared" si="54"/>
        <v>50.018549700000001</v>
      </c>
      <c r="AN177" s="442">
        <f t="shared" si="55"/>
        <v>0.76625250760411079</v>
      </c>
      <c r="AO177" s="291">
        <f t="shared" si="56"/>
        <v>213.83080789825695</v>
      </c>
      <c r="AP177" s="519">
        <f t="shared" si="43"/>
        <v>-9.8777096104011886</v>
      </c>
      <c r="AQ177" s="291">
        <f t="shared" si="63"/>
        <v>-405</v>
      </c>
      <c r="AR177" s="443">
        <f t="shared" si="44"/>
        <v>-378.2</v>
      </c>
      <c r="AS177" s="444">
        <f t="shared" si="57"/>
        <v>492.39108855494453</v>
      </c>
      <c r="AT177" s="445">
        <f t="shared" si="64"/>
        <v>-213.83080789825695</v>
      </c>
      <c r="AU177" s="446">
        <f t="shared" si="58"/>
        <v>203.95309828785577</v>
      </c>
      <c r="AV177" s="445"/>
      <c r="AW177" s="447">
        <f t="shared" si="59"/>
        <v>-221.54594275692344</v>
      </c>
      <c r="AX177" s="447">
        <f t="shared" si="60"/>
        <v>-156.65405724307655</v>
      </c>
      <c r="AY177" s="448">
        <f t="shared" si="45"/>
        <v>-52.359342968096371</v>
      </c>
      <c r="AZ177" s="448">
        <f t="shared" si="46"/>
        <v>-63.834925031550419</v>
      </c>
      <c r="BA177" s="451">
        <f t="shared" si="61"/>
        <v>52.359342968096371</v>
      </c>
      <c r="BB177" s="451">
        <f t="shared" si="61"/>
        <v>63.834925031550419</v>
      </c>
      <c r="BM177" s="214"/>
      <c r="BN177" s="214"/>
      <c r="BO177" s="214"/>
    </row>
    <row r="178" spans="1:129" ht="21" customHeight="1" thickBot="1" x14ac:dyDescent="0.35">
      <c r="B178" s="277">
        <v>13</v>
      </c>
      <c r="C178" s="278"/>
      <c r="D178" s="25">
        <v>0</v>
      </c>
      <c r="E178" s="279" t="s">
        <v>130</v>
      </c>
      <c r="F178" s="258"/>
      <c r="G178" s="258">
        <f t="shared" si="65"/>
        <v>0</v>
      </c>
      <c r="H178" s="506">
        <v>279.06049999999999</v>
      </c>
      <c r="I178" s="507">
        <v>79.962900599999998</v>
      </c>
      <c r="J178" s="474">
        <f t="shared" si="47"/>
        <v>79.962900599999998</v>
      </c>
      <c r="K178" s="474">
        <f t="shared" si="48"/>
        <v>39.981450299999999</v>
      </c>
      <c r="L178" s="474">
        <f t="shared" si="34"/>
        <v>0.64253956655634092</v>
      </c>
      <c r="M178" s="474">
        <f t="shared" si="35"/>
        <v>179.30741271299578</v>
      </c>
      <c r="N178" s="474">
        <f t="shared" si="36"/>
        <v>358.61482542599157</v>
      </c>
      <c r="O178" s="474">
        <f>+C166+D167+D168+D169+D170+D171+D172+D173+D174+D175+D176+D177+(D178/2)</f>
        <v>0</v>
      </c>
      <c r="P178" s="474">
        <f t="shared" si="37"/>
        <v>0</v>
      </c>
      <c r="Q178" s="474">
        <f t="shared" si="38"/>
        <v>0</v>
      </c>
      <c r="R178" s="474">
        <f t="shared" si="49"/>
        <v>213.83080000000001</v>
      </c>
      <c r="S178" s="474">
        <f t="shared" si="62"/>
        <v>213.83080000000001</v>
      </c>
      <c r="T178" s="476">
        <f t="shared" si="39"/>
        <v>213.83080000000001</v>
      </c>
      <c r="V178" s="437">
        <f t="shared" si="40"/>
        <v>0</v>
      </c>
      <c r="W178" s="437"/>
      <c r="X178" s="437"/>
      <c r="Y178" s="437"/>
      <c r="Z178" s="437"/>
      <c r="AA178" s="437"/>
      <c r="AB178" s="477" t="str">
        <f t="shared" si="50"/>
        <v>use the locking pin</v>
      </c>
      <c r="AC178" s="514" t="b">
        <f>IF(AD178=13,AF178)</f>
        <v>0</v>
      </c>
      <c r="AD178" s="514">
        <f t="shared" si="41"/>
        <v>1</v>
      </c>
      <c r="AE178" s="514">
        <f>IF(V178=0,0,13)</f>
        <v>0</v>
      </c>
      <c r="AF178" s="437">
        <f>SUM(V178:V185)/($B$163-B177)</f>
        <v>0</v>
      </c>
      <c r="AG178" s="437"/>
      <c r="AH178" s="450">
        <f>SUM(D167:D178)+$C$166</f>
        <v>0</v>
      </c>
      <c r="AI178" s="516" t="b">
        <f t="shared" si="51"/>
        <v>0</v>
      </c>
      <c r="AJ178" s="287">
        <f t="shared" si="52"/>
        <v>66.255548399999995</v>
      </c>
      <c r="AK178" s="441">
        <f t="shared" si="42"/>
        <v>0.91535047595051022</v>
      </c>
      <c r="AL178" s="289">
        <f t="shared" si="53"/>
        <v>278.56028065668761</v>
      </c>
      <c r="AM178" s="287">
        <f t="shared" si="54"/>
        <v>50.018549700000001</v>
      </c>
      <c r="AN178" s="442">
        <f t="shared" si="55"/>
        <v>0.76625250760411079</v>
      </c>
      <c r="AO178" s="291">
        <f t="shared" si="56"/>
        <v>213.83080789825695</v>
      </c>
      <c r="AP178" s="519">
        <f t="shared" si="43"/>
        <v>-8.9222588360490303</v>
      </c>
      <c r="AQ178" s="291">
        <f t="shared" si="63"/>
        <v>-445.5</v>
      </c>
      <c r="AR178" s="443">
        <f t="shared" si="44"/>
        <v>-418.7</v>
      </c>
      <c r="AS178" s="444">
        <f t="shared" si="57"/>
        <v>492.39108855494453</v>
      </c>
      <c r="AT178" s="445">
        <f t="shared" si="64"/>
        <v>-213.83080789825695</v>
      </c>
      <c r="AU178" s="446">
        <f t="shared" si="58"/>
        <v>204.90854906220792</v>
      </c>
      <c r="AV178" s="445"/>
      <c r="AW178" s="447">
        <f t="shared" si="59"/>
        <v>-244.45799707477272</v>
      </c>
      <c r="AX178" s="447">
        <f t="shared" si="60"/>
        <v>-174.24200292522721</v>
      </c>
      <c r="AY178" s="448">
        <f t="shared" si="45"/>
        <v>-47.451914598039892</v>
      </c>
      <c r="AZ178" s="448">
        <f t="shared" si="46"/>
        <v>-57.391443120011182</v>
      </c>
      <c r="BA178" s="451">
        <f t="shared" si="61"/>
        <v>47.451914598039892</v>
      </c>
      <c r="BB178" s="451">
        <f t="shared" si="61"/>
        <v>57.391443120011182</v>
      </c>
      <c r="BM178" s="214"/>
      <c r="BN178" s="214"/>
      <c r="BO178" s="214"/>
      <c r="DE178" s="126"/>
    </row>
    <row r="179" spans="1:129" ht="21" customHeight="1" thickBot="1" x14ac:dyDescent="0.35">
      <c r="B179" s="277">
        <v>14</v>
      </c>
      <c r="C179" s="278"/>
      <c r="D179" s="25">
        <v>0</v>
      </c>
      <c r="E179" s="279" t="s">
        <v>130</v>
      </c>
      <c r="F179" s="258"/>
      <c r="G179" s="258">
        <f t="shared" si="65"/>
        <v>0</v>
      </c>
      <c r="H179" s="506">
        <v>279.06049999999999</v>
      </c>
      <c r="I179" s="507">
        <v>79.962900599999998</v>
      </c>
      <c r="J179" s="474">
        <f t="shared" si="47"/>
        <v>79.962900599999998</v>
      </c>
      <c r="K179" s="474">
        <f t="shared" si="48"/>
        <v>39.981450299999999</v>
      </c>
      <c r="L179" s="474">
        <f t="shared" si="34"/>
        <v>0.64253956655634092</v>
      </c>
      <c r="M179" s="474">
        <f t="shared" si="35"/>
        <v>179.30741271299578</v>
      </c>
      <c r="N179" s="474">
        <f t="shared" si="36"/>
        <v>358.61482542599157</v>
      </c>
      <c r="O179" s="474">
        <f>+C166+D167+D168+D169+D170+D171+D172+D173+D174+D175+D176+D177+D178+(D179/2)</f>
        <v>0</v>
      </c>
      <c r="P179" s="474">
        <f t="shared" si="37"/>
        <v>0</v>
      </c>
      <c r="Q179" s="474">
        <f t="shared" si="38"/>
        <v>0</v>
      </c>
      <c r="R179" s="474">
        <f t="shared" si="49"/>
        <v>213.83080000000001</v>
      </c>
      <c r="S179" s="474">
        <f t="shared" si="62"/>
        <v>213.83080000000001</v>
      </c>
      <c r="T179" s="476">
        <f t="shared" si="39"/>
        <v>213.83080000000001</v>
      </c>
      <c r="V179" s="437">
        <f t="shared" si="40"/>
        <v>0</v>
      </c>
      <c r="W179" s="437"/>
      <c r="X179" s="437"/>
      <c r="Y179" s="437"/>
      <c r="Z179" s="437"/>
      <c r="AA179" s="437"/>
      <c r="AB179" s="477" t="str">
        <f t="shared" si="50"/>
        <v>use the locking pin</v>
      </c>
      <c r="AC179" s="514" t="b">
        <f>IF(AD179=14,AF179)</f>
        <v>0</v>
      </c>
      <c r="AD179" s="514">
        <f t="shared" si="41"/>
        <v>1</v>
      </c>
      <c r="AE179" s="514">
        <f>IF(V179=0,0,14)</f>
        <v>0</v>
      </c>
      <c r="AF179" s="437">
        <f>SUM(V179:V185)/($B$163-B178)</f>
        <v>0</v>
      </c>
      <c r="AG179" s="437"/>
      <c r="AH179" s="450">
        <f>SUM(D167:D179)+$C$166</f>
        <v>0</v>
      </c>
      <c r="AI179" s="516" t="b">
        <f t="shared" si="51"/>
        <v>0</v>
      </c>
      <c r="AJ179" s="287">
        <f t="shared" si="52"/>
        <v>66.255548399999995</v>
      </c>
      <c r="AK179" s="441">
        <f t="shared" si="42"/>
        <v>0.91535047595051022</v>
      </c>
      <c r="AL179" s="289">
        <f t="shared" si="53"/>
        <v>278.56028065668761</v>
      </c>
      <c r="AM179" s="287">
        <f t="shared" si="54"/>
        <v>50.018549700000001</v>
      </c>
      <c r="AN179" s="442">
        <f t="shared" si="55"/>
        <v>0.76625250760411079</v>
      </c>
      <c r="AO179" s="291">
        <f t="shared" si="56"/>
        <v>213.83080789825695</v>
      </c>
      <c r="AP179" s="519">
        <f t="shared" si="43"/>
        <v>-8.1353435859184007</v>
      </c>
      <c r="AQ179" s="291">
        <f t="shared" si="63"/>
        <v>-486</v>
      </c>
      <c r="AR179" s="443">
        <f t="shared" si="44"/>
        <v>-459.2</v>
      </c>
      <c r="AS179" s="444">
        <f t="shared" si="57"/>
        <v>492.39108855494453</v>
      </c>
      <c r="AT179" s="445">
        <f t="shared" si="64"/>
        <v>-213.83080789825695</v>
      </c>
      <c r="AU179" s="446">
        <f t="shared" si="58"/>
        <v>205.69546431233854</v>
      </c>
      <c r="AV179" s="445"/>
      <c r="AW179" s="447">
        <f t="shared" si="59"/>
        <v>-267.37005139262209</v>
      </c>
      <c r="AX179" s="447">
        <f t="shared" si="60"/>
        <v>-191.82994860737787</v>
      </c>
      <c r="AY179" s="448">
        <f t="shared" si="45"/>
        <v>-43.385562218282516</v>
      </c>
      <c r="AZ179" s="448">
        <f t="shared" si="46"/>
        <v>-52.129503618161294</v>
      </c>
      <c r="BA179" s="451">
        <f t="shared" si="61"/>
        <v>43.385562218282516</v>
      </c>
      <c r="BB179" s="451">
        <f t="shared" si="61"/>
        <v>52.129503618161294</v>
      </c>
      <c r="BM179" s="214"/>
      <c r="BN179" s="214"/>
      <c r="BO179" s="214"/>
      <c r="DE179" s="126"/>
    </row>
    <row r="180" spans="1:129" ht="21" customHeight="1" thickBot="1" x14ac:dyDescent="0.35">
      <c r="B180" s="277">
        <v>15</v>
      </c>
      <c r="C180" s="278"/>
      <c r="D180" s="25">
        <v>0</v>
      </c>
      <c r="E180" s="279" t="s">
        <v>130</v>
      </c>
      <c r="F180" s="258"/>
      <c r="G180" s="258">
        <f t="shared" si="65"/>
        <v>0</v>
      </c>
      <c r="H180" s="506">
        <v>279.06049999999999</v>
      </c>
      <c r="I180" s="507">
        <v>79.962900599999998</v>
      </c>
      <c r="J180" s="474">
        <f t="shared" si="47"/>
        <v>79.962900599999998</v>
      </c>
      <c r="K180" s="474">
        <f t="shared" si="48"/>
        <v>39.981450299999999</v>
      </c>
      <c r="L180" s="474">
        <f t="shared" si="34"/>
        <v>0.64253956655634092</v>
      </c>
      <c r="M180" s="474">
        <f t="shared" si="35"/>
        <v>179.30741271299578</v>
      </c>
      <c r="N180" s="474">
        <f t="shared" si="36"/>
        <v>358.61482542599157</v>
      </c>
      <c r="O180" s="474">
        <f>+C166+D167+D168+D169+D170+D171+D172+D173+D174+D175+D176+D177+D178+D179+(D180/2)</f>
        <v>0</v>
      </c>
      <c r="P180" s="474">
        <f t="shared" si="37"/>
        <v>0</v>
      </c>
      <c r="Q180" s="474">
        <f t="shared" si="38"/>
        <v>0</v>
      </c>
      <c r="R180" s="474">
        <f t="shared" si="49"/>
        <v>213.83080000000001</v>
      </c>
      <c r="S180" s="474">
        <f t="shared" si="62"/>
        <v>213.83080000000001</v>
      </c>
      <c r="T180" s="476">
        <f t="shared" si="39"/>
        <v>213.83080000000001</v>
      </c>
      <c r="V180" s="437">
        <f t="shared" si="40"/>
        <v>0</v>
      </c>
      <c r="W180" s="437"/>
      <c r="X180" s="437"/>
      <c r="Y180" s="437"/>
      <c r="Z180" s="437"/>
      <c r="AA180" s="437"/>
      <c r="AB180" s="477" t="str">
        <f t="shared" si="50"/>
        <v>use the locking pin</v>
      </c>
      <c r="AC180" s="514" t="b">
        <f>IF(AD180=15,AF180)</f>
        <v>0</v>
      </c>
      <c r="AD180" s="514">
        <f t="shared" si="41"/>
        <v>1</v>
      </c>
      <c r="AE180" s="514">
        <f>IF(V180=0,0,15)</f>
        <v>0</v>
      </c>
      <c r="AF180" s="437">
        <f>SUM(V180:V185)/($B$163-B179)</f>
        <v>0</v>
      </c>
      <c r="AG180" s="437"/>
      <c r="AH180" s="450">
        <f>SUM(D167:D180)+$C$166</f>
        <v>0</v>
      </c>
      <c r="AI180" s="516" t="b">
        <f t="shared" si="51"/>
        <v>0</v>
      </c>
      <c r="AJ180" s="287">
        <f t="shared" si="52"/>
        <v>66.255548399999995</v>
      </c>
      <c r="AK180" s="441">
        <f t="shared" si="42"/>
        <v>0.91535047595051022</v>
      </c>
      <c r="AL180" s="289">
        <f t="shared" si="53"/>
        <v>278.56028065668761</v>
      </c>
      <c r="AM180" s="287">
        <f t="shared" si="54"/>
        <v>50.018549700000001</v>
      </c>
      <c r="AN180" s="442">
        <f t="shared" si="55"/>
        <v>0.76625250760411079</v>
      </c>
      <c r="AO180" s="291">
        <f t="shared" si="56"/>
        <v>213.83080789825695</v>
      </c>
      <c r="AP180" s="519">
        <f t="shared" si="43"/>
        <v>-7.4759851403916935</v>
      </c>
      <c r="AQ180" s="291">
        <f t="shared" si="63"/>
        <v>-526.5</v>
      </c>
      <c r="AR180" s="443">
        <f t="shared" si="44"/>
        <v>-499.7</v>
      </c>
      <c r="AS180" s="444">
        <f t="shared" si="57"/>
        <v>492.39108855494453</v>
      </c>
      <c r="AT180" s="445">
        <f t="shared" si="64"/>
        <v>-213.83080789825695</v>
      </c>
      <c r="AU180" s="446">
        <f t="shared" si="58"/>
        <v>206.35482275786526</v>
      </c>
      <c r="AV180" s="445"/>
      <c r="AW180" s="447">
        <f t="shared" si="59"/>
        <v>-290.28210571047146</v>
      </c>
      <c r="AX180" s="447">
        <f t="shared" si="60"/>
        <v>-209.41789428952853</v>
      </c>
      <c r="AY180" s="448">
        <f t="shared" si="45"/>
        <v>-39.961126682641222</v>
      </c>
      <c r="AZ180" s="448">
        <f t="shared" si="46"/>
        <v>-47.751411281858289</v>
      </c>
      <c r="BA180" s="451">
        <f t="shared" si="61"/>
        <v>39.961126682641222</v>
      </c>
      <c r="BB180" s="451">
        <f t="shared" si="61"/>
        <v>47.751411281858289</v>
      </c>
      <c r="BM180" s="214"/>
      <c r="BN180" s="214"/>
      <c r="BO180" s="214"/>
      <c r="DE180" s="126"/>
    </row>
    <row r="181" spans="1:129" ht="21" customHeight="1" thickBot="1" x14ac:dyDescent="0.35">
      <c r="B181" s="277">
        <v>16</v>
      </c>
      <c r="C181" s="278"/>
      <c r="D181" s="25">
        <v>0</v>
      </c>
      <c r="E181" s="279" t="s">
        <v>130</v>
      </c>
      <c r="F181" s="258"/>
      <c r="G181" s="258">
        <f t="shared" si="65"/>
        <v>0</v>
      </c>
      <c r="H181" s="506">
        <v>279.06049999999999</v>
      </c>
      <c r="I181" s="507">
        <v>79.962900599999998</v>
      </c>
      <c r="J181" s="474">
        <f t="shared" si="47"/>
        <v>79.962900599999998</v>
      </c>
      <c r="K181" s="474">
        <f t="shared" si="48"/>
        <v>39.981450299999999</v>
      </c>
      <c r="L181" s="474">
        <f t="shared" si="34"/>
        <v>0.64253956655634092</v>
      </c>
      <c r="M181" s="474">
        <f t="shared" si="35"/>
        <v>179.30741271299578</v>
      </c>
      <c r="N181" s="474">
        <f t="shared" si="36"/>
        <v>358.61482542599157</v>
      </c>
      <c r="O181" s="474">
        <f>+C166+D167+D168+D169+D170+D171+D172+D173+D174+D175+D176+D177+D178+D179+D180+(D181/2)</f>
        <v>0</v>
      </c>
      <c r="P181" s="474">
        <f t="shared" si="37"/>
        <v>0</v>
      </c>
      <c r="Q181" s="474">
        <f t="shared" si="38"/>
        <v>0</v>
      </c>
      <c r="R181" s="474">
        <f t="shared" si="49"/>
        <v>213.83080000000001</v>
      </c>
      <c r="S181" s="474">
        <f t="shared" si="62"/>
        <v>213.83080000000001</v>
      </c>
      <c r="T181" s="476">
        <f t="shared" si="39"/>
        <v>213.83080000000001</v>
      </c>
      <c r="V181" s="437">
        <f t="shared" si="40"/>
        <v>0</v>
      </c>
      <c r="W181" s="437"/>
      <c r="X181" s="437"/>
      <c r="Y181" s="437"/>
      <c r="Z181" s="437"/>
      <c r="AA181" s="437"/>
      <c r="AB181" s="477" t="str">
        <f t="shared" si="50"/>
        <v>use the locking pin</v>
      </c>
      <c r="AC181" s="514" t="b">
        <f>IF(AD181=16,AF181)</f>
        <v>0</v>
      </c>
      <c r="AD181" s="514">
        <f t="shared" si="41"/>
        <v>1</v>
      </c>
      <c r="AE181" s="514">
        <f>IF(V181=0,0,16)</f>
        <v>0</v>
      </c>
      <c r="AF181" s="437">
        <f>SUM(V181:V185)/($B$163-B180)</f>
        <v>0</v>
      </c>
      <c r="AG181" s="437"/>
      <c r="AH181" s="450">
        <f>SUM(D167:D181)+$C$166</f>
        <v>0</v>
      </c>
      <c r="AI181" s="516" t="b">
        <f t="shared" si="51"/>
        <v>0</v>
      </c>
      <c r="AJ181" s="287">
        <f t="shared" si="52"/>
        <v>66.255548399999995</v>
      </c>
      <c r="AK181" s="441">
        <f t="shared" si="42"/>
        <v>0.91535047595051022</v>
      </c>
      <c r="AL181" s="289">
        <f t="shared" si="53"/>
        <v>278.56028065668761</v>
      </c>
      <c r="AM181" s="287">
        <f t="shared" si="54"/>
        <v>50.018549700000001</v>
      </c>
      <c r="AN181" s="442">
        <f t="shared" si="55"/>
        <v>0.76625250760411079</v>
      </c>
      <c r="AO181" s="291">
        <f t="shared" si="56"/>
        <v>213.83080789825695</v>
      </c>
      <c r="AP181" s="519">
        <f t="shared" si="43"/>
        <v>-6.9154938442312641</v>
      </c>
      <c r="AQ181" s="291">
        <f t="shared" si="63"/>
        <v>-567</v>
      </c>
      <c r="AR181" s="443">
        <f t="shared" si="44"/>
        <v>-540.20000000000005</v>
      </c>
      <c r="AS181" s="444">
        <f t="shared" si="57"/>
        <v>492.39108855494453</v>
      </c>
      <c r="AT181" s="445">
        <f t="shared" si="64"/>
        <v>-213.83080789825695</v>
      </c>
      <c r="AU181" s="446">
        <f t="shared" si="58"/>
        <v>206.91531405402569</v>
      </c>
      <c r="AV181" s="445"/>
      <c r="AW181" s="447">
        <f t="shared" si="59"/>
        <v>-313.19416002832082</v>
      </c>
      <c r="AX181" s="447">
        <f t="shared" si="60"/>
        <v>-227.00583997167925</v>
      </c>
      <c r="AY181" s="448">
        <f t="shared" si="45"/>
        <v>-37.03772764776668</v>
      </c>
      <c r="AZ181" s="448">
        <f t="shared" si="46"/>
        <v>-44.051730128386026</v>
      </c>
      <c r="BA181" s="451">
        <f t="shared" si="61"/>
        <v>37.03772764776668</v>
      </c>
      <c r="BB181" s="451">
        <f t="shared" si="61"/>
        <v>44.051730128386026</v>
      </c>
      <c r="BM181" s="214"/>
      <c r="BN181" s="214"/>
      <c r="BO181" s="214"/>
      <c r="DE181" s="126"/>
    </row>
    <row r="182" spans="1:129" ht="21" customHeight="1" thickBot="1" x14ac:dyDescent="0.35">
      <c r="B182" s="277">
        <v>17</v>
      </c>
      <c r="C182" s="278"/>
      <c r="D182" s="25">
        <v>0</v>
      </c>
      <c r="E182" s="279" t="s">
        <v>130</v>
      </c>
      <c r="F182" s="258"/>
      <c r="G182" s="258">
        <f t="shared" si="65"/>
        <v>0</v>
      </c>
      <c r="H182" s="506">
        <v>279.06049999999999</v>
      </c>
      <c r="I182" s="507">
        <v>79.962900599999998</v>
      </c>
      <c r="J182" s="474">
        <f t="shared" si="47"/>
        <v>79.962900599999998</v>
      </c>
      <c r="K182" s="474">
        <f t="shared" si="48"/>
        <v>39.981450299999999</v>
      </c>
      <c r="L182" s="474">
        <f t="shared" si="34"/>
        <v>0.64253956655634092</v>
      </c>
      <c r="M182" s="474">
        <f t="shared" si="35"/>
        <v>179.30741271299578</v>
      </c>
      <c r="N182" s="474">
        <f t="shared" si="36"/>
        <v>358.61482542599157</v>
      </c>
      <c r="O182" s="474">
        <f>+C166+D167+D168+D169+D170+D171+D172+D173+D174+D175+D176+D177+D178+D179+D180+D181+(D182/2)</f>
        <v>0</v>
      </c>
      <c r="P182" s="474">
        <f t="shared" si="37"/>
        <v>0</v>
      </c>
      <c r="Q182" s="474">
        <f t="shared" si="38"/>
        <v>0</v>
      </c>
      <c r="R182" s="474">
        <f t="shared" si="49"/>
        <v>213.83080000000001</v>
      </c>
      <c r="S182" s="474">
        <f t="shared" si="62"/>
        <v>213.83080000000001</v>
      </c>
      <c r="T182" s="476">
        <f t="shared" si="39"/>
        <v>213.83080000000001</v>
      </c>
      <c r="V182" s="437">
        <f t="shared" si="40"/>
        <v>0</v>
      </c>
      <c r="W182" s="437"/>
      <c r="X182" s="437"/>
      <c r="Y182" s="437"/>
      <c r="Z182" s="437"/>
      <c r="AA182" s="437"/>
      <c r="AB182" s="477" t="str">
        <f t="shared" si="50"/>
        <v>use the locking pin</v>
      </c>
      <c r="AC182" s="514" t="b">
        <f>IF(AD182=17,AF182)</f>
        <v>0</v>
      </c>
      <c r="AD182" s="514">
        <f t="shared" si="41"/>
        <v>1</v>
      </c>
      <c r="AE182" s="514">
        <f>IF(V182=0,0,17)</f>
        <v>0</v>
      </c>
      <c r="AF182" s="437">
        <f>SUM(V182:V185)/($B$163-B181)</f>
        <v>0</v>
      </c>
      <c r="AG182" s="437"/>
      <c r="AH182" s="450">
        <f>SUM(D167:D182)+$C$166</f>
        <v>0</v>
      </c>
      <c r="AI182" s="516" t="b">
        <f t="shared" si="51"/>
        <v>0</v>
      </c>
      <c r="AJ182" s="287">
        <f t="shared" si="52"/>
        <v>66.255548399999995</v>
      </c>
      <c r="AK182" s="441">
        <f t="shared" si="42"/>
        <v>0.91535047595051022</v>
      </c>
      <c r="AL182" s="289">
        <f t="shared" si="53"/>
        <v>278.56028065668761</v>
      </c>
      <c r="AM182" s="287">
        <f t="shared" si="54"/>
        <v>50.018549700000001</v>
      </c>
      <c r="AN182" s="442">
        <f t="shared" si="55"/>
        <v>0.76625250760411079</v>
      </c>
      <c r="AO182" s="291">
        <f t="shared" si="56"/>
        <v>213.83080789825695</v>
      </c>
      <c r="AP182" s="519">
        <f t="shared" si="43"/>
        <v>-6.4331837001097449</v>
      </c>
      <c r="AQ182" s="291">
        <f t="shared" si="63"/>
        <v>-607.5</v>
      </c>
      <c r="AR182" s="443">
        <f t="shared" si="44"/>
        <v>-580.70000000000005</v>
      </c>
      <c r="AS182" s="444">
        <f t="shared" si="57"/>
        <v>492.39108855494453</v>
      </c>
      <c r="AT182" s="445">
        <f t="shared" si="64"/>
        <v>-213.83080789825695</v>
      </c>
      <c r="AU182" s="446">
        <f t="shared" si="58"/>
        <v>207.39762419814721</v>
      </c>
      <c r="AV182" s="445"/>
      <c r="AW182" s="447">
        <f t="shared" si="59"/>
        <v>-336.10621434617008</v>
      </c>
      <c r="AX182" s="447">
        <f t="shared" si="60"/>
        <v>-244.59378565382994</v>
      </c>
      <c r="AY182" s="448">
        <f t="shared" si="45"/>
        <v>-34.512899508762629</v>
      </c>
      <c r="AZ182" s="448">
        <f t="shared" si="46"/>
        <v>-40.884113115420092</v>
      </c>
      <c r="BA182" s="451">
        <f t="shared" si="61"/>
        <v>34.512899508762629</v>
      </c>
      <c r="BB182" s="451">
        <f t="shared" si="61"/>
        <v>40.884113115420092</v>
      </c>
      <c r="BD182" s="136"/>
      <c r="BM182" s="214"/>
      <c r="BN182" s="214"/>
      <c r="BO182" s="214"/>
      <c r="DF182" s="126"/>
      <c r="DG182" s="126"/>
      <c r="DH182" s="126"/>
      <c r="DI182" s="126"/>
      <c r="DJ182" s="126"/>
      <c r="DK182" s="126"/>
      <c r="DL182" s="203"/>
      <c r="DM182" s="203"/>
      <c r="DN182" s="203"/>
      <c r="DO182" s="203"/>
      <c r="DP182" s="203"/>
      <c r="DQ182" s="203"/>
      <c r="DR182" s="203"/>
      <c r="DS182" s="203"/>
      <c r="DT182" s="203"/>
      <c r="DU182" s="203"/>
      <c r="DV182" s="203"/>
      <c r="DW182" s="203"/>
      <c r="DX182" s="203"/>
      <c r="DY182" s="203"/>
    </row>
    <row r="183" spans="1:129" ht="21" customHeight="1" thickBot="1" x14ac:dyDescent="0.35">
      <c r="B183" s="277">
        <v>18</v>
      </c>
      <c r="C183" s="278"/>
      <c r="D183" s="25">
        <v>0</v>
      </c>
      <c r="E183" s="279" t="s">
        <v>130</v>
      </c>
      <c r="F183" s="258"/>
      <c r="G183" s="258">
        <f t="shared" si="65"/>
        <v>0</v>
      </c>
      <c r="H183" s="506">
        <v>279.06049999999999</v>
      </c>
      <c r="I183" s="507">
        <v>79.962900599999998</v>
      </c>
      <c r="J183" s="474">
        <f t="shared" si="47"/>
        <v>79.962900599999998</v>
      </c>
      <c r="K183" s="474">
        <f t="shared" si="48"/>
        <v>39.981450299999999</v>
      </c>
      <c r="L183" s="474">
        <f t="shared" si="34"/>
        <v>0.64253956655634092</v>
      </c>
      <c r="M183" s="474">
        <f t="shared" si="35"/>
        <v>179.30741271299578</v>
      </c>
      <c r="N183" s="474">
        <f t="shared" si="36"/>
        <v>358.61482542599157</v>
      </c>
      <c r="O183" s="474">
        <f>+C166+D167+D168+D169+D170+D171+D172+D173+D174+D175+D176+D177+D178+D179+D180+D181+D182+(D183/2)</f>
        <v>0</v>
      </c>
      <c r="P183" s="474">
        <f t="shared" si="37"/>
        <v>0</v>
      </c>
      <c r="Q183" s="474">
        <f t="shared" si="38"/>
        <v>0</v>
      </c>
      <c r="R183" s="474">
        <f t="shared" si="49"/>
        <v>213.83080000000001</v>
      </c>
      <c r="S183" s="474">
        <f t="shared" si="62"/>
        <v>213.83080000000001</v>
      </c>
      <c r="T183" s="476">
        <f t="shared" si="39"/>
        <v>213.83080000000001</v>
      </c>
      <c r="V183" s="437">
        <f t="shared" si="40"/>
        <v>0</v>
      </c>
      <c r="W183" s="437"/>
      <c r="X183" s="437"/>
      <c r="Y183" s="437"/>
      <c r="Z183" s="437"/>
      <c r="AA183" s="437"/>
      <c r="AB183" s="477" t="str">
        <f t="shared" si="50"/>
        <v>use the locking pin</v>
      </c>
      <c r="AC183" s="514" t="b">
        <f>IF(AD183=18,AF183)</f>
        <v>0</v>
      </c>
      <c r="AD183" s="514">
        <f t="shared" si="41"/>
        <v>1</v>
      </c>
      <c r="AE183" s="514">
        <f>IF(V183=0,0,18)</f>
        <v>0</v>
      </c>
      <c r="AF183" s="437">
        <f>SUM(V183:V185)/($B$163-B182)</f>
        <v>0</v>
      </c>
      <c r="AG183" s="437"/>
      <c r="AH183" s="450">
        <f>SUM(D167:D183)+$C$166</f>
        <v>0</v>
      </c>
      <c r="AI183" s="516" t="b">
        <f t="shared" si="51"/>
        <v>0</v>
      </c>
      <c r="AJ183" s="287">
        <f t="shared" si="52"/>
        <v>66.255548399999995</v>
      </c>
      <c r="AK183" s="441">
        <f t="shared" si="42"/>
        <v>0.91535047595051022</v>
      </c>
      <c r="AL183" s="289">
        <f t="shared" si="53"/>
        <v>278.56028065668761</v>
      </c>
      <c r="AM183" s="287">
        <f t="shared" si="54"/>
        <v>50.018549700000001</v>
      </c>
      <c r="AN183" s="442">
        <f t="shared" si="55"/>
        <v>0.76625250760411079</v>
      </c>
      <c r="AO183" s="291">
        <f t="shared" si="56"/>
        <v>213.83080789825695</v>
      </c>
      <c r="AP183" s="519">
        <f t="shared" si="43"/>
        <v>-6.0137633204342062</v>
      </c>
      <c r="AQ183" s="291">
        <f t="shared" si="63"/>
        <v>-648</v>
      </c>
      <c r="AR183" s="443">
        <f t="shared" si="44"/>
        <v>-621.20000000000005</v>
      </c>
      <c r="AS183" s="444">
        <f t="shared" si="57"/>
        <v>492.39108855494453</v>
      </c>
      <c r="AT183" s="445">
        <f t="shared" si="64"/>
        <v>-213.83080789825695</v>
      </c>
      <c r="AU183" s="446">
        <f t="shared" si="58"/>
        <v>207.81704457782274</v>
      </c>
      <c r="AV183" s="445"/>
      <c r="AW183" s="447">
        <f t="shared" si="59"/>
        <v>-359.01826866401944</v>
      </c>
      <c r="AX183" s="447">
        <f t="shared" si="60"/>
        <v>-262.1817313359806</v>
      </c>
      <c r="AY183" s="448">
        <f t="shared" si="45"/>
        <v>-32.310333519143683</v>
      </c>
      <c r="AZ183" s="448">
        <f t="shared" si="46"/>
        <v>-38.141482814396404</v>
      </c>
      <c r="BA183" s="451">
        <f t="shared" si="61"/>
        <v>32.310333519143683</v>
      </c>
      <c r="BB183" s="451">
        <f t="shared" si="61"/>
        <v>38.141482814396404</v>
      </c>
      <c r="BD183" s="458"/>
      <c r="BM183" s="214"/>
      <c r="BN183" s="214"/>
      <c r="BO183" s="214"/>
      <c r="DF183" s="126"/>
      <c r="DG183" s="126"/>
      <c r="DH183" s="126"/>
      <c r="DI183" s="126"/>
      <c r="DJ183" s="126"/>
      <c r="DK183" s="126"/>
      <c r="DL183" s="203"/>
      <c r="DM183" s="203"/>
      <c r="DN183" s="203"/>
      <c r="DO183" s="203"/>
      <c r="DP183" s="203"/>
      <c r="DQ183" s="203"/>
      <c r="DR183" s="203"/>
      <c r="DS183" s="203"/>
      <c r="DT183" s="203"/>
      <c r="DU183" s="203"/>
      <c r="DV183" s="203"/>
      <c r="DW183" s="203"/>
      <c r="DX183" s="203"/>
      <c r="DY183" s="203"/>
    </row>
    <row r="184" spans="1:129" ht="21" customHeight="1" thickBot="1" x14ac:dyDescent="0.35">
      <c r="B184" s="277">
        <v>19</v>
      </c>
      <c r="C184" s="278"/>
      <c r="D184" s="25">
        <v>0</v>
      </c>
      <c r="E184" s="279" t="s">
        <v>130</v>
      </c>
      <c r="F184" s="258"/>
      <c r="G184" s="258">
        <f t="shared" si="65"/>
        <v>0</v>
      </c>
      <c r="H184" s="506">
        <v>279.06049999999999</v>
      </c>
      <c r="I184" s="507">
        <v>79.962900599999998</v>
      </c>
      <c r="J184" s="474">
        <f t="shared" si="47"/>
        <v>79.962900599999998</v>
      </c>
      <c r="K184" s="474">
        <f t="shared" si="48"/>
        <v>39.981450299999999</v>
      </c>
      <c r="L184" s="474">
        <f t="shared" si="34"/>
        <v>0.64253956655634092</v>
      </c>
      <c r="M184" s="474">
        <f t="shared" si="35"/>
        <v>179.30741271299578</v>
      </c>
      <c r="N184" s="474">
        <f t="shared" si="36"/>
        <v>358.61482542599157</v>
      </c>
      <c r="O184" s="474">
        <f>+C166+D167+D168+D169+D170+D171+D172+D173+D174+D175+D176+D177+D178+D179+D180+D181+D182+D183+(D184/2)</f>
        <v>0</v>
      </c>
      <c r="P184" s="474">
        <f t="shared" si="37"/>
        <v>0</v>
      </c>
      <c r="Q184" s="474">
        <f t="shared" si="38"/>
        <v>0</v>
      </c>
      <c r="R184" s="474">
        <f t="shared" si="49"/>
        <v>213.83080000000001</v>
      </c>
      <c r="S184" s="474">
        <f t="shared" si="62"/>
        <v>213.83080000000001</v>
      </c>
      <c r="T184" s="476">
        <f t="shared" si="39"/>
        <v>213.83080000000001</v>
      </c>
      <c r="V184" s="437">
        <f t="shared" si="40"/>
        <v>0</v>
      </c>
      <c r="W184" s="437"/>
      <c r="X184" s="437"/>
      <c r="Y184" s="437"/>
      <c r="Z184" s="437"/>
      <c r="AA184" s="437"/>
      <c r="AB184" s="477" t="str">
        <f t="shared" si="50"/>
        <v>use the locking pin</v>
      </c>
      <c r="AC184" s="514" t="b">
        <f>IF(AD184=19,AF184)</f>
        <v>0</v>
      </c>
      <c r="AD184" s="514">
        <f t="shared" si="41"/>
        <v>1</v>
      </c>
      <c r="AE184" s="514">
        <f>IF(V184=0,0,19)</f>
        <v>0</v>
      </c>
      <c r="AF184" s="437">
        <f>SUM(V184:V185)/($B$163-B183)</f>
        <v>0</v>
      </c>
      <c r="AG184" s="437"/>
      <c r="AH184" s="450">
        <f>SUM(D166:D184)+$C$166</f>
        <v>0</v>
      </c>
      <c r="AI184" s="516" t="b">
        <f t="shared" si="51"/>
        <v>0</v>
      </c>
      <c r="AJ184" s="287">
        <f t="shared" si="52"/>
        <v>66.255548399999995</v>
      </c>
      <c r="AK184" s="441">
        <f t="shared" si="42"/>
        <v>0.91535047595051022</v>
      </c>
      <c r="AL184" s="289">
        <f t="shared" si="53"/>
        <v>278.56028065668761</v>
      </c>
      <c r="AM184" s="287">
        <f t="shared" si="54"/>
        <v>50.018549700000001</v>
      </c>
      <c r="AN184" s="442">
        <f t="shared" si="55"/>
        <v>0.76625250760411079</v>
      </c>
      <c r="AO184" s="291">
        <f t="shared" si="56"/>
        <v>213.83080789825695</v>
      </c>
      <c r="AP184" s="519">
        <f t="shared" si="43"/>
        <v>-5.6456850153449132</v>
      </c>
      <c r="AQ184" s="291">
        <f t="shared" si="63"/>
        <v>-688.5</v>
      </c>
      <c r="AR184" s="443">
        <f t="shared" si="44"/>
        <v>-661.7</v>
      </c>
      <c r="AS184" s="444">
        <f t="shared" si="57"/>
        <v>492.39108855494453</v>
      </c>
      <c r="AT184" s="445">
        <f t="shared" si="64"/>
        <v>-213.83080789825695</v>
      </c>
      <c r="AU184" s="446">
        <f t="shared" si="58"/>
        <v>208.18512288291203</v>
      </c>
      <c r="AV184" s="445"/>
      <c r="AW184" s="447">
        <f t="shared" si="59"/>
        <v>-381.93032298186876</v>
      </c>
      <c r="AX184" s="447">
        <f t="shared" si="60"/>
        <v>-279.76967701813129</v>
      </c>
      <c r="AY184" s="448">
        <f t="shared" si="45"/>
        <v>-30.372032022580942</v>
      </c>
      <c r="AZ184" s="448">
        <f t="shared" si="46"/>
        <v>-35.743687831301031</v>
      </c>
      <c r="BA184" s="451">
        <f t="shared" si="61"/>
        <v>30.372032022580942</v>
      </c>
      <c r="BB184" s="451">
        <f t="shared" si="61"/>
        <v>35.743687831301031</v>
      </c>
      <c r="BD184" s="144"/>
      <c r="BM184" s="214"/>
      <c r="BN184" s="214"/>
      <c r="BO184" s="214"/>
      <c r="DF184" s="126"/>
      <c r="DG184" s="126"/>
      <c r="DH184" s="126"/>
      <c r="DI184" s="126"/>
      <c r="DJ184" s="126"/>
      <c r="DK184" s="126"/>
      <c r="DL184" s="203"/>
      <c r="DM184" s="203"/>
      <c r="DN184" s="203"/>
      <c r="DO184" s="203"/>
      <c r="DP184" s="203"/>
      <c r="DQ184" s="203"/>
      <c r="DR184" s="203"/>
      <c r="DS184" s="203"/>
      <c r="DT184" s="203"/>
      <c r="DU184" s="203"/>
      <c r="DV184" s="203"/>
      <c r="DW184" s="203"/>
      <c r="DX184" s="203"/>
      <c r="DY184" s="203"/>
    </row>
    <row r="185" spans="1:129" ht="21" customHeight="1" thickBot="1" x14ac:dyDescent="0.35">
      <c r="B185" s="277">
        <v>20</v>
      </c>
      <c r="C185" s="278"/>
      <c r="D185" s="25">
        <v>0</v>
      </c>
      <c r="E185" s="279" t="s">
        <v>130</v>
      </c>
      <c r="F185" s="258"/>
      <c r="G185" s="258">
        <f t="shared" si="65"/>
        <v>0</v>
      </c>
      <c r="H185" s="506">
        <v>279.06049999999999</v>
      </c>
      <c r="I185" s="507">
        <v>79.962900599999998</v>
      </c>
      <c r="J185" s="474">
        <f t="shared" si="47"/>
        <v>79.962900599999998</v>
      </c>
      <c r="K185" s="474">
        <f t="shared" si="48"/>
        <v>39.981450299999999</v>
      </c>
      <c r="L185" s="474">
        <f t="shared" si="34"/>
        <v>0.64253956655634092</v>
      </c>
      <c r="M185" s="474">
        <f t="shared" si="35"/>
        <v>179.30741271299578</v>
      </c>
      <c r="N185" s="474">
        <f t="shared" si="36"/>
        <v>358.61482542599157</v>
      </c>
      <c r="O185" s="474">
        <f>+C166+D167+D168+D169+D170+D171+D172+D173+D174+D175+D176+D177+D178+D179+D180+D181+D182+D183+D184+(D185/2)</f>
        <v>0</v>
      </c>
      <c r="P185" s="474">
        <f t="shared" si="37"/>
        <v>0</v>
      </c>
      <c r="Q185" s="474">
        <f t="shared" si="38"/>
        <v>0</v>
      </c>
      <c r="R185" s="474">
        <f t="shared" si="49"/>
        <v>213.83080000000001</v>
      </c>
      <c r="S185" s="474">
        <f t="shared" si="62"/>
        <v>213.83080000000001</v>
      </c>
      <c r="T185" s="476">
        <f t="shared" si="39"/>
        <v>213.83080000000001</v>
      </c>
      <c r="V185" s="437">
        <f t="shared" si="40"/>
        <v>0</v>
      </c>
      <c r="W185" s="437"/>
      <c r="X185" s="437"/>
      <c r="Y185" s="437"/>
      <c r="Z185" s="437"/>
      <c r="AA185" s="437"/>
      <c r="AB185" s="477" t="str">
        <f t="shared" si="50"/>
        <v>use the locking pin</v>
      </c>
      <c r="AC185" s="514" t="b">
        <f>IF(AD185=20,AF185)</f>
        <v>0</v>
      </c>
      <c r="AD185" s="514">
        <f t="shared" si="41"/>
        <v>1</v>
      </c>
      <c r="AE185" s="514">
        <f>IF(V185=0,0,20)</f>
        <v>0</v>
      </c>
      <c r="AF185" s="437">
        <f>SUM(V185:V185)/($B$163-B184)</f>
        <v>0</v>
      </c>
      <c r="AG185" s="437"/>
      <c r="AH185" s="450">
        <f>SUM(D167:D185)+$C$166</f>
        <v>0</v>
      </c>
      <c r="AI185" s="516" t="b">
        <f t="shared" si="51"/>
        <v>0</v>
      </c>
      <c r="AJ185" s="287">
        <f t="shared" si="52"/>
        <v>66.255548399999995</v>
      </c>
      <c r="AK185" s="441">
        <f t="shared" si="42"/>
        <v>0.91535047595051022</v>
      </c>
      <c r="AL185" s="289">
        <f t="shared" si="53"/>
        <v>278.56028065668761</v>
      </c>
      <c r="AM185" s="287">
        <f t="shared" si="54"/>
        <v>50.018549700000001</v>
      </c>
      <c r="AN185" s="442">
        <f t="shared" si="55"/>
        <v>0.76625250760411079</v>
      </c>
      <c r="AO185" s="291">
        <f t="shared" si="56"/>
        <v>213.83080789825695</v>
      </c>
      <c r="AP185" s="519">
        <f t="shared" si="43"/>
        <v>-5.3200651874875096</v>
      </c>
      <c r="AQ185" s="291">
        <f t="shared" si="63"/>
        <v>-729</v>
      </c>
      <c r="AR185" s="443">
        <f t="shared" si="44"/>
        <v>-702.2</v>
      </c>
      <c r="AS185" s="444">
        <f t="shared" si="57"/>
        <v>492.39108855494453</v>
      </c>
      <c r="AT185" s="445">
        <f t="shared" si="64"/>
        <v>-213.83080789825695</v>
      </c>
      <c r="AU185" s="446">
        <f t="shared" si="58"/>
        <v>208.51074271076945</v>
      </c>
      <c r="AV185" s="445"/>
      <c r="AW185" s="447">
        <f t="shared" si="59"/>
        <v>-404.84237729971807</v>
      </c>
      <c r="AX185" s="447">
        <f t="shared" si="60"/>
        <v>-297.35762270028198</v>
      </c>
      <c r="AY185" s="448">
        <f t="shared" si="45"/>
        <v>-28.653126872170649</v>
      </c>
      <c r="AZ185" s="448">
        <f t="shared" si="46"/>
        <v>-33.629539775004787</v>
      </c>
      <c r="BA185" s="451">
        <f t="shared" si="61"/>
        <v>28.653126872170649</v>
      </c>
      <c r="BB185" s="451">
        <f t="shared" si="61"/>
        <v>33.629539775004787</v>
      </c>
      <c r="BD185" s="144"/>
      <c r="BM185" s="214"/>
      <c r="BN185" s="214"/>
      <c r="BO185" s="214"/>
      <c r="DF185" s="126"/>
      <c r="DG185" s="126"/>
      <c r="DH185" s="126"/>
      <c r="DI185" s="126"/>
      <c r="DJ185" s="126"/>
      <c r="DK185" s="126"/>
      <c r="DL185" s="203"/>
      <c r="DM185" s="203"/>
      <c r="DN185" s="203"/>
      <c r="DO185" s="203"/>
      <c r="DP185" s="203"/>
      <c r="DQ185" s="203"/>
      <c r="DR185" s="203"/>
      <c r="DS185" s="203"/>
      <c r="DT185" s="203"/>
      <c r="DU185" s="203"/>
      <c r="DV185" s="203"/>
      <c r="DW185" s="203"/>
      <c r="DX185" s="203"/>
      <c r="DY185" s="203"/>
    </row>
    <row r="186" spans="1:129" ht="21" hidden="1" customHeight="1" x14ac:dyDescent="0.3">
      <c r="D186" s="543"/>
      <c r="E186" s="543"/>
      <c r="F186" s="543"/>
      <c r="G186" s="543"/>
      <c r="V186" s="437"/>
      <c r="W186" s="437"/>
      <c r="X186" s="437"/>
      <c r="Y186" s="437"/>
      <c r="Z186" s="437"/>
      <c r="AA186" s="437"/>
      <c r="AB186" s="464"/>
      <c r="AC186" s="464"/>
      <c r="AD186" s="464"/>
      <c r="AE186" s="464"/>
      <c r="AF186" s="437"/>
      <c r="AG186" s="437"/>
      <c r="AH186" s="437"/>
      <c r="AI186" s="437"/>
      <c r="AJ186" s="543"/>
      <c r="AK186" s="415"/>
      <c r="AL186" s="292"/>
      <c r="AM186" s="543"/>
      <c r="AN186" s="415"/>
      <c r="AO186" s="292"/>
      <c r="AP186" s="445"/>
      <c r="AQ186" s="292"/>
      <c r="AR186" s="445"/>
      <c r="AS186" s="445"/>
      <c r="AT186" s="445"/>
      <c r="AU186" s="445"/>
      <c r="AV186" s="445"/>
      <c r="AW186" s="445"/>
      <c r="AX186" s="445"/>
      <c r="AY186" s="544"/>
      <c r="AZ186" s="544"/>
      <c r="BA186" s="544"/>
      <c r="BB186" s="544"/>
      <c r="BD186" s="545"/>
      <c r="BM186" s="214"/>
      <c r="BN186" s="214"/>
      <c r="BO186" s="214"/>
    </row>
    <row r="187" spans="1:129" ht="19" hidden="1" thickBot="1" x14ac:dyDescent="0.25">
      <c r="B187" s="350"/>
      <c r="U187" s="276"/>
    </row>
    <row r="188" spans="1:129" ht="22" hidden="1" thickBot="1" x14ac:dyDescent="0.25">
      <c r="B188" s="350"/>
      <c r="AB188" s="415"/>
      <c r="AC188" s="415"/>
      <c r="AD188" s="415"/>
      <c r="AE188" s="415"/>
      <c r="AH188" s="546" t="s">
        <v>79</v>
      </c>
      <c r="AI188" s="547">
        <f>MAX(AI166:AI185)</f>
        <v>0</v>
      </c>
    </row>
    <row r="189" spans="1:129" ht="21" hidden="1" thickBot="1" x14ac:dyDescent="0.25">
      <c r="B189" s="350"/>
      <c r="AB189" s="415"/>
      <c r="AC189" s="415"/>
      <c r="AD189" s="415"/>
      <c r="AE189" s="415"/>
      <c r="AH189" s="853"/>
      <c r="AI189" s="854"/>
    </row>
    <row r="190" spans="1:129" ht="20" hidden="1" x14ac:dyDescent="0.2">
      <c r="B190" s="350"/>
      <c r="AB190" s="415"/>
      <c r="AC190" s="415"/>
      <c r="AD190" s="415"/>
      <c r="AE190" s="415"/>
      <c r="AH190" s="853"/>
      <c r="AI190" s="854"/>
      <c r="AJ190" s="1769"/>
      <c r="AK190" s="619"/>
      <c r="AL190" s="619"/>
      <c r="AM190" s="619"/>
      <c r="AN190" s="619"/>
      <c r="AO190" s="619"/>
      <c r="AP190" s="619"/>
      <c r="AQ190" s="619"/>
      <c r="AR190" s="619"/>
      <c r="AS190" s="619"/>
      <c r="AT190" s="619"/>
      <c r="AU190" s="619"/>
      <c r="AV190" s="619"/>
      <c r="AW190" s="1770" t="s">
        <v>361</v>
      </c>
      <c r="AX190" s="1770"/>
      <c r="AY190" s="1770"/>
      <c r="AZ190" s="1771"/>
    </row>
    <row r="191" spans="1:129" ht="20" hidden="1" x14ac:dyDescent="0.2">
      <c r="B191" s="350"/>
      <c r="AB191" s="415"/>
      <c r="AC191" s="415"/>
      <c r="AD191" s="415"/>
      <c r="AE191" s="415"/>
      <c r="AH191" s="853"/>
      <c r="AI191" s="854"/>
      <c r="AJ191" s="1772" t="s">
        <v>364</v>
      </c>
      <c r="AK191" s="1773">
        <v>0</v>
      </c>
      <c r="AL191" s="1773">
        <v>0.5</v>
      </c>
      <c r="AM191" s="1773">
        <v>1</v>
      </c>
      <c r="AN191" s="1773">
        <v>2</v>
      </c>
      <c r="AO191" s="1773">
        <v>2.5</v>
      </c>
      <c r="AP191" s="1773">
        <v>3</v>
      </c>
      <c r="AQ191" s="1773">
        <v>4.5</v>
      </c>
      <c r="AR191" s="1773">
        <v>5.5</v>
      </c>
      <c r="AS191" s="1773">
        <v>6.5</v>
      </c>
      <c r="AT191" s="1773">
        <v>8</v>
      </c>
      <c r="AU191" s="1773">
        <v>9</v>
      </c>
      <c r="AV191" s="1773"/>
      <c r="AW191" s="1579" t="s">
        <v>355</v>
      </c>
      <c r="AX191" s="457" t="s">
        <v>362</v>
      </c>
      <c r="AY191" s="1579" t="s">
        <v>367</v>
      </c>
      <c r="AZ191" s="1774"/>
    </row>
    <row r="192" spans="1:129" hidden="1" x14ac:dyDescent="0.2">
      <c r="V192" s="187"/>
      <c r="W192" s="187"/>
      <c r="X192" s="187"/>
      <c r="Y192" s="187"/>
      <c r="Z192" s="187"/>
      <c r="AA192" s="187"/>
      <c r="AB192" s="187"/>
      <c r="AC192" s="187"/>
      <c r="AD192" s="187"/>
      <c r="AE192" s="187"/>
      <c r="AF192" s="187"/>
      <c r="AG192" s="187"/>
      <c r="AH192" s="187"/>
      <c r="AI192" s="187"/>
      <c r="AJ192" s="1772" t="s">
        <v>355</v>
      </c>
      <c r="AK192" s="1773">
        <v>42.229500000000002</v>
      </c>
      <c r="AL192" s="1773">
        <v>44.134999999999998</v>
      </c>
      <c r="AM192" s="1773">
        <v>46.5276</v>
      </c>
      <c r="AN192" s="1773">
        <v>43.849899999999998</v>
      </c>
      <c r="AO192" s="1773">
        <v>45.737900000000003</v>
      </c>
      <c r="AP192" s="1773">
        <v>48.129600000000003</v>
      </c>
      <c r="AQ192" s="1773">
        <v>45.033700000000003</v>
      </c>
      <c r="AR192" s="1773">
        <v>49.315600000000003</v>
      </c>
      <c r="AS192" s="1773">
        <v>46.436199999999999</v>
      </c>
      <c r="AT192" s="1773">
        <v>50.406599999999997</v>
      </c>
      <c r="AU192" s="1773">
        <v>47.3827</v>
      </c>
      <c r="AV192" s="1773"/>
      <c r="AW192" s="1775">
        <f>SUM(AK193:AU193)</f>
        <v>42.229500000000002</v>
      </c>
      <c r="AX192" s="457">
        <f>+SIN((AW192+AI188)*3.14159265358979/180)</f>
        <v>0.6721019199117364</v>
      </c>
      <c r="AY192" s="1579">
        <f>+AX198/AX192</f>
        <v>17.021464603480222</v>
      </c>
      <c r="AZ192" s="1776"/>
      <c r="BA192" s="187"/>
      <c r="BB192" s="187"/>
      <c r="BC192" s="126"/>
    </row>
    <row r="193" spans="2:109" ht="19" thickBot="1" x14ac:dyDescent="0.25">
      <c r="V193" s="187"/>
      <c r="W193" s="187"/>
      <c r="X193" s="187"/>
      <c r="Y193" s="187"/>
      <c r="Z193" s="187"/>
      <c r="AA193" s="187"/>
      <c r="AB193" s="187"/>
      <c r="AC193" s="187"/>
      <c r="AD193" s="187"/>
      <c r="AE193" s="187"/>
      <c r="AF193" s="187"/>
      <c r="AG193" s="187"/>
      <c r="AH193" s="187"/>
      <c r="AI193" s="187"/>
      <c r="AJ193" s="1777"/>
      <c r="AK193" s="1778">
        <f>IF(($D$198=AK191),AK192)</f>
        <v>42.229500000000002</v>
      </c>
      <c r="AL193" s="1778" t="b">
        <f t="shared" ref="AL193:AU193" si="66">IF(($D$198=AL191),AL192)</f>
        <v>0</v>
      </c>
      <c r="AM193" s="1778" t="b">
        <f t="shared" si="66"/>
        <v>0</v>
      </c>
      <c r="AN193" s="1778" t="b">
        <f t="shared" si="66"/>
        <v>0</v>
      </c>
      <c r="AO193" s="1778" t="b">
        <f t="shared" si="66"/>
        <v>0</v>
      </c>
      <c r="AP193" s="1778" t="b">
        <f t="shared" si="66"/>
        <v>0</v>
      </c>
      <c r="AQ193" s="1778" t="b">
        <f t="shared" si="66"/>
        <v>0</v>
      </c>
      <c r="AR193" s="1778" t="b">
        <f t="shared" si="66"/>
        <v>0</v>
      </c>
      <c r="AS193" s="1778" t="b">
        <f t="shared" si="66"/>
        <v>0</v>
      </c>
      <c r="AT193" s="1778" t="b">
        <f t="shared" si="66"/>
        <v>0</v>
      </c>
      <c r="AU193" s="1778" t="b">
        <f t="shared" si="66"/>
        <v>0</v>
      </c>
      <c r="AV193" s="1778"/>
      <c r="AW193" s="1579"/>
      <c r="AX193" s="457"/>
      <c r="AY193" s="1579"/>
      <c r="AZ193" s="1776"/>
      <c r="BA193" s="187"/>
      <c r="BB193" s="187"/>
      <c r="BC193" s="126"/>
    </row>
    <row r="194" spans="2:109" ht="82.5" customHeight="1" thickBot="1" x14ac:dyDescent="0.25">
      <c r="B194" s="345" t="s">
        <v>157</v>
      </c>
      <c r="C194" s="454"/>
      <c r="D194" s="455"/>
      <c r="E194" s="37"/>
      <c r="F194" s="37"/>
      <c r="G194" s="37"/>
      <c r="H194" s="456"/>
      <c r="I194" s="456"/>
      <c r="J194" s="456"/>
      <c r="K194" s="456"/>
      <c r="L194" s="456"/>
      <c r="M194" s="456"/>
      <c r="N194" s="456"/>
      <c r="O194" s="456"/>
      <c r="P194" s="456"/>
      <c r="Q194" s="456"/>
      <c r="R194" s="456"/>
      <c r="S194" s="457" t="s">
        <v>66</v>
      </c>
      <c r="T194" s="457">
        <f>SUM(V198:V205)/B195</f>
        <v>146.5</v>
      </c>
      <c r="U194" s="212"/>
      <c r="V194" s="187"/>
      <c r="W194" s="187"/>
      <c r="X194" s="187"/>
      <c r="Y194" s="187"/>
      <c r="Z194" s="187"/>
      <c r="AA194" s="187"/>
      <c r="AB194" s="187"/>
      <c r="AC194" s="187"/>
      <c r="AD194" s="187"/>
      <c r="AE194" s="187"/>
      <c r="AF194" s="187"/>
      <c r="AG194" s="187"/>
      <c r="AH194" s="187"/>
      <c r="AI194" s="187"/>
      <c r="AJ194" s="1777"/>
      <c r="AK194" s="560"/>
      <c r="AL194" s="560"/>
      <c r="AM194" s="560"/>
      <c r="AN194" s="560"/>
      <c r="AO194" s="560"/>
      <c r="AP194" s="560"/>
      <c r="AQ194" s="560"/>
      <c r="AR194" s="560"/>
      <c r="AS194" s="560"/>
      <c r="AT194" s="560"/>
      <c r="AU194" s="560"/>
      <c r="AV194" s="560"/>
      <c r="AW194" s="1779" t="s">
        <v>363</v>
      </c>
      <c r="AX194" s="1579"/>
      <c r="AY194" s="1780"/>
      <c r="AZ194" s="1781">
        <v>2000</v>
      </c>
      <c r="BA194" s="187"/>
      <c r="BB194" s="187"/>
      <c r="BC194" s="126"/>
    </row>
    <row r="195" spans="2:109" ht="36" customHeight="1" thickBot="1" x14ac:dyDescent="0.3">
      <c r="B195" s="27">
        <v>1</v>
      </c>
      <c r="C195" s="216"/>
      <c r="D195" s="549" t="s">
        <v>53</v>
      </c>
      <c r="E195" s="330"/>
      <c r="F195" s="330"/>
      <c r="G195" s="330"/>
      <c r="H195" s="460"/>
      <c r="I195" s="461"/>
      <c r="J195" s="461"/>
      <c r="K195" s="461"/>
      <c r="L195" s="461"/>
      <c r="M195" s="461"/>
      <c r="N195" s="461"/>
      <c r="O195" s="461"/>
      <c r="P195" s="461"/>
      <c r="Q195" s="461"/>
      <c r="R195" s="461"/>
      <c r="S195" s="462"/>
      <c r="T195" s="463"/>
      <c r="U195" s="401"/>
      <c r="V195" s="464"/>
      <c r="W195" s="464"/>
      <c r="X195" s="464"/>
      <c r="Y195" s="464"/>
      <c r="Z195" s="464"/>
      <c r="AA195" s="464"/>
      <c r="AB195" s="464"/>
      <c r="AC195" s="464"/>
      <c r="AD195" s="464"/>
      <c r="AE195" s="464"/>
      <c r="AF195" s="464"/>
      <c r="AG195" s="464"/>
      <c r="AH195" s="464"/>
      <c r="AI195" s="464"/>
      <c r="AJ195" s="1782"/>
      <c r="AK195" s="655"/>
      <c r="AL195" s="655"/>
      <c r="AM195" s="655"/>
      <c r="AN195" s="655"/>
      <c r="AO195" s="655"/>
      <c r="AP195" s="655"/>
      <c r="AQ195" s="655"/>
      <c r="AR195" s="655"/>
      <c r="AS195" s="655"/>
      <c r="AT195" s="655"/>
      <c r="AU195" s="655"/>
      <c r="AV195" s="655"/>
      <c r="AW195" s="1783" t="s">
        <v>365</v>
      </c>
      <c r="AX195" s="1784"/>
      <c r="AY195" s="1785"/>
      <c r="AZ195" s="1786">
        <f>+AZ194/SIN((AT192)*3.14159265358979/180)</f>
        <v>2595.4251408435985</v>
      </c>
      <c r="BA195" s="1848" t="s">
        <v>52</v>
      </c>
      <c r="BB195" s="1849"/>
      <c r="BC195" s="218"/>
      <c r="BP195" s="305"/>
      <c r="BQ195" s="305"/>
      <c r="BR195" s="305"/>
      <c r="BS195" s="305"/>
      <c r="BT195" s="305"/>
      <c r="BU195" s="305"/>
      <c r="BV195" s="1818"/>
      <c r="BW195" s="1818"/>
      <c r="BX195" s="1818"/>
      <c r="BY195" s="126"/>
    </row>
    <row r="196" spans="2:109" ht="21" hidden="1" thickBot="1" x14ac:dyDescent="0.25">
      <c r="C196" s="416"/>
      <c r="D196" s="354"/>
      <c r="H196" s="465" t="s">
        <v>4</v>
      </c>
      <c r="I196" s="465" t="s">
        <v>1</v>
      </c>
      <c r="J196" s="456" t="s">
        <v>0</v>
      </c>
      <c r="K196" s="456" t="s">
        <v>2</v>
      </c>
      <c r="L196" s="456" t="s">
        <v>3</v>
      </c>
      <c r="M196" s="456" t="s">
        <v>8</v>
      </c>
      <c r="N196" s="456" t="s">
        <v>5</v>
      </c>
      <c r="O196" s="456" t="s">
        <v>6</v>
      </c>
      <c r="P196" s="456" t="s">
        <v>7</v>
      </c>
      <c r="Q196" s="456" t="s">
        <v>9</v>
      </c>
      <c r="R196" s="466" t="s">
        <v>10</v>
      </c>
      <c r="S196" s="456" t="s">
        <v>11</v>
      </c>
      <c r="T196" s="467" t="s">
        <v>12</v>
      </c>
      <c r="V196" s="420"/>
      <c r="W196" s="420"/>
      <c r="X196" s="420"/>
      <c r="Y196" s="420"/>
      <c r="Z196" s="420"/>
      <c r="AA196" s="420"/>
      <c r="AB196" s="420"/>
      <c r="AC196" s="420"/>
      <c r="AD196" s="420"/>
      <c r="AE196" s="420"/>
      <c r="AF196" s="420"/>
      <c r="AG196" s="420"/>
      <c r="AH196" s="420"/>
      <c r="AI196" s="420"/>
      <c r="AJ196" s="560"/>
      <c r="AK196" s="560"/>
      <c r="AL196" s="560"/>
      <c r="AM196" s="560"/>
      <c r="AN196" s="560"/>
      <c r="AO196" s="560"/>
      <c r="AP196" s="560"/>
      <c r="AQ196" s="560"/>
      <c r="AR196" s="560"/>
      <c r="AS196" s="560"/>
      <c r="AT196" s="560"/>
      <c r="AU196" s="560"/>
      <c r="AV196" s="560"/>
      <c r="AW196" s="1788" t="s">
        <v>366</v>
      </c>
      <c r="AX196" s="1789"/>
      <c r="AY196" s="1789"/>
      <c r="AZ196" s="1790">
        <v>2570</v>
      </c>
      <c r="BA196" s="420"/>
      <c r="BB196" s="420"/>
      <c r="BC196" s="231"/>
      <c r="BV196" s="306"/>
      <c r="CI196" s="306"/>
    </row>
    <row r="197" spans="2:109" ht="43.5" customHeight="1" thickBot="1" x14ac:dyDescent="0.25">
      <c r="B197" s="421"/>
      <c r="C197" s="422"/>
      <c r="D197" s="551" t="s">
        <v>22</v>
      </c>
      <c r="E197" s="330"/>
      <c r="F197" s="729" t="s">
        <v>45</v>
      </c>
      <c r="G197" s="240"/>
      <c r="H197" s="730"/>
      <c r="I197" s="731"/>
      <c r="R197" s="187"/>
      <c r="T197" s="471"/>
      <c r="V197" s="420"/>
      <c r="W197" s="420"/>
      <c r="X197" s="420"/>
      <c r="Y197" s="420"/>
      <c r="Z197" s="420"/>
      <c r="AA197" s="420"/>
      <c r="AB197" s="420"/>
      <c r="AC197" s="420"/>
      <c r="AD197" s="420"/>
      <c r="AE197" s="420"/>
      <c r="AF197" s="420" t="s">
        <v>38</v>
      </c>
      <c r="AG197" s="552" t="s">
        <v>102</v>
      </c>
      <c r="AH197" s="425" t="s">
        <v>31</v>
      </c>
      <c r="AI197" s="425"/>
      <c r="AJ197" s="287" t="s">
        <v>60</v>
      </c>
      <c r="AK197" s="426" t="s">
        <v>32</v>
      </c>
      <c r="AL197" s="287" t="s">
        <v>33</v>
      </c>
      <c r="AM197" s="287" t="s">
        <v>61</v>
      </c>
      <c r="AN197" s="427" t="s">
        <v>34</v>
      </c>
      <c r="AO197" s="698" t="s">
        <v>35</v>
      </c>
      <c r="AP197" s="427"/>
      <c r="AQ197" s="473" t="s">
        <v>36</v>
      </c>
      <c r="AR197" s="420"/>
      <c r="AS197" s="420" t="s">
        <v>37</v>
      </c>
      <c r="AT197" s="420" t="s">
        <v>39</v>
      </c>
      <c r="AU197" s="420"/>
      <c r="AV197" s="420" t="s">
        <v>40</v>
      </c>
      <c r="AW197" s="429" t="s">
        <v>41</v>
      </c>
      <c r="AX197" s="429" t="s">
        <v>42</v>
      </c>
      <c r="AY197" s="430" t="s">
        <v>23</v>
      </c>
      <c r="AZ197" s="430" t="s">
        <v>24</v>
      </c>
      <c r="BA197" s="431" t="s">
        <v>23</v>
      </c>
      <c r="BB197" s="431" t="s">
        <v>24</v>
      </c>
      <c r="BP197" s="307"/>
      <c r="BQ197" s="307"/>
      <c r="BR197" s="307"/>
      <c r="BS197" s="307"/>
      <c r="BT197" s="307"/>
      <c r="BU197" s="307"/>
      <c r="BV197" s="1819"/>
      <c r="BW197" s="1819"/>
      <c r="CH197" s="1813"/>
      <c r="CI197" s="1813"/>
    </row>
    <row r="198" spans="2:109" ht="21" customHeight="1" thickBot="1" x14ac:dyDescent="0.25">
      <c r="B198" s="255">
        <v>1</v>
      </c>
      <c r="C198" s="256">
        <f>+D198+AI188</f>
        <v>0</v>
      </c>
      <c r="D198" s="25">
        <v>0</v>
      </c>
      <c r="E198" s="257" t="s">
        <v>158</v>
      </c>
      <c r="F198" s="258"/>
      <c r="G198" s="258">
        <f>+D198</f>
        <v>0</v>
      </c>
      <c r="H198" s="732">
        <v>190.76</v>
      </c>
      <c r="I198" s="733">
        <v>79.651040199999997</v>
      </c>
      <c r="J198" s="508">
        <f>+I198-C198</f>
        <v>79.651040199999997</v>
      </c>
      <c r="K198" s="508">
        <f>+J198/2</f>
        <v>39.825520099999999</v>
      </c>
      <c r="L198" s="508">
        <f t="shared" ref="L198:L205" si="67">SIN(K198*3.14159265358979/180)</f>
        <v>0.64045183696587837</v>
      </c>
      <c r="M198" s="508">
        <f t="shared" ref="M198:M205" si="68">+L198*H198</f>
        <v>122.17259241961095</v>
      </c>
      <c r="N198" s="508">
        <f t="shared" ref="N198:N205" si="69">+M198*2</f>
        <v>244.3451848392219</v>
      </c>
      <c r="O198" s="508">
        <f>+C198/2</f>
        <v>0</v>
      </c>
      <c r="P198" s="508">
        <f t="shared" ref="P198:P205" si="70">SIN(O198*3.14159265358979/180)</f>
        <v>0</v>
      </c>
      <c r="Q198" s="508">
        <f t="shared" ref="Q198:Q205" si="71">+P198*N198</f>
        <v>0</v>
      </c>
      <c r="R198" s="733">
        <v>146.5</v>
      </c>
      <c r="S198" s="508">
        <f>+R198+Q198</f>
        <v>146.5</v>
      </c>
      <c r="T198" s="510">
        <f t="shared" ref="T198:T205" si="72">+S198</f>
        <v>146.5</v>
      </c>
      <c r="U198" s="456"/>
      <c r="V198" s="511">
        <f t="shared" ref="V198:V205" si="73">IF(B198&lt;($B$195+1),T198,0)</f>
        <v>146.5</v>
      </c>
      <c r="W198" s="511"/>
      <c r="X198" s="511"/>
      <c r="Y198" s="511"/>
      <c r="Z198" s="511"/>
      <c r="AA198" s="511"/>
      <c r="AB198" s="477" t="str">
        <f>IF(AZ198&lt;0,"pin in groundstacking hole"," ")</f>
        <v xml:space="preserve"> </v>
      </c>
      <c r="AC198" s="734"/>
      <c r="AD198" s="734"/>
      <c r="AE198" s="734"/>
      <c r="AF198" s="511">
        <f>SUM(V198:V205)/($B$195)</f>
        <v>146.5</v>
      </c>
      <c r="AG198" s="511">
        <f>+AF198+AA142+AA166</f>
        <v>146.49998851743052</v>
      </c>
      <c r="AH198" s="515">
        <f>C198</f>
        <v>0</v>
      </c>
      <c r="AI198" s="516"/>
      <c r="AJ198" s="287">
        <f>69.3447148-AH198</f>
        <v>69.344714800000006</v>
      </c>
      <c r="AK198" s="517">
        <f t="shared" ref="AK198:AK205" si="74">SIN(AJ198*3.14159265358979/180)</f>
        <v>0.93571960494171247</v>
      </c>
      <c r="AL198" s="287">
        <f>+AK198*192.42</f>
        <v>180.0511663828843</v>
      </c>
      <c r="AM198" s="287">
        <f>50.1744799+AH198</f>
        <v>50.174479900000001</v>
      </c>
      <c r="AN198" s="518">
        <f>SIN(AM198*3.14159265358979/180)</f>
        <v>0.76799833627881664</v>
      </c>
      <c r="AO198" s="287">
        <f>+AN198*190.76</f>
        <v>146.50336262854705</v>
      </c>
      <c r="AP198" s="287"/>
      <c r="AQ198" s="269">
        <f>25.5*B195</f>
        <v>25.5</v>
      </c>
      <c r="AR198" s="519"/>
      <c r="AS198" s="520">
        <f>+AO198+AL198</f>
        <v>326.55452901143133</v>
      </c>
      <c r="AT198" s="521">
        <f>+V198-AO198</f>
        <v>-3.3626285470518269E-3</v>
      </c>
      <c r="AU198" s="522"/>
      <c r="AV198" s="521">
        <f>+AF198-AT198</f>
        <v>146.50336262854705</v>
      </c>
      <c r="AW198" s="523">
        <f>+((AS198-AV198)/AS198)*AQ198</f>
        <v>14.059840960291279</v>
      </c>
      <c r="AX198" s="523">
        <f>+(AV198/AS198)*AQ198</f>
        <v>11.440159039708721</v>
      </c>
      <c r="AY198" s="448">
        <f t="shared" ref="AY198:AY205" si="75">2*$C$20/AW198</f>
        <v>825.04489437408847</v>
      </c>
      <c r="AZ198" s="1787">
        <f>AZ196/AY192</f>
        <v>150.98583229286484</v>
      </c>
      <c r="BA198" s="451">
        <f>ABS(AY198)</f>
        <v>825.04489437408847</v>
      </c>
      <c r="BB198" s="451">
        <f>ABS(AZ198)</f>
        <v>150.98583229286484</v>
      </c>
      <c r="BC198" s="91"/>
    </row>
    <row r="199" spans="2:109" ht="21" customHeight="1" thickBot="1" x14ac:dyDescent="0.25">
      <c r="B199" s="277">
        <v>2</v>
      </c>
      <c r="C199" s="278"/>
      <c r="D199" s="25">
        <v>0</v>
      </c>
      <c r="E199" s="279" t="s">
        <v>173</v>
      </c>
      <c r="F199" s="258"/>
      <c r="G199" s="258">
        <f>+D199+BC199</f>
        <v>0</v>
      </c>
      <c r="H199" s="732">
        <v>190.76</v>
      </c>
      <c r="I199" s="733">
        <v>79.651040199999997</v>
      </c>
      <c r="J199" s="474">
        <f t="shared" ref="J199:J205" si="76">+I199-D199</f>
        <v>79.651040199999997</v>
      </c>
      <c r="K199" s="474">
        <f t="shared" ref="K199:K205" si="77">+J199/2</f>
        <v>39.825520099999999</v>
      </c>
      <c r="L199" s="474">
        <f t="shared" si="67"/>
        <v>0.64045183696587837</v>
      </c>
      <c r="M199" s="474">
        <f t="shared" si="68"/>
        <v>122.17259241961095</v>
      </c>
      <c r="N199" s="474">
        <f t="shared" si="69"/>
        <v>244.3451848392219</v>
      </c>
      <c r="O199" s="474">
        <f>+C198+(D199/2)</f>
        <v>0</v>
      </c>
      <c r="P199" s="474">
        <f t="shared" si="70"/>
        <v>0</v>
      </c>
      <c r="Q199" s="474">
        <f t="shared" si="71"/>
        <v>0</v>
      </c>
      <c r="R199" s="474">
        <f t="shared" ref="R199:R205" si="78">+T198</f>
        <v>146.5</v>
      </c>
      <c r="S199" s="474">
        <f>+R199+Q199</f>
        <v>146.5</v>
      </c>
      <c r="T199" s="476">
        <f t="shared" si="72"/>
        <v>146.5</v>
      </c>
      <c r="V199" s="437">
        <f t="shared" si="73"/>
        <v>0</v>
      </c>
      <c r="W199" s="437"/>
      <c r="X199" s="437"/>
      <c r="Y199" s="437"/>
      <c r="Z199" s="437"/>
      <c r="AA199" s="437"/>
      <c r="AB199" s="477" t="e">
        <f t="shared" ref="AB199:AB204" si="79">IF(AZ199&lt;0,"pin in groundstacking hole"," ")</f>
        <v>#DIV/0!</v>
      </c>
      <c r="AC199" s="478"/>
      <c r="AD199" s="478"/>
      <c r="AE199" s="478"/>
      <c r="AF199" s="437" t="e">
        <f>SUM(V199:V206)/($B$195-B198)</f>
        <v>#DIV/0!</v>
      </c>
      <c r="AG199" s="437"/>
      <c r="AH199" s="450">
        <f>SUM(D199)+$C$198</f>
        <v>0</v>
      </c>
      <c r="AI199" s="717"/>
      <c r="AJ199" s="287">
        <f t="shared" ref="AJ199:AJ205" si="80">69.3447148-AH199</f>
        <v>69.344714800000006</v>
      </c>
      <c r="AK199" s="441">
        <f t="shared" si="74"/>
        <v>0.93571960494171247</v>
      </c>
      <c r="AL199" s="287">
        <f t="shared" ref="AL199:AL205" si="81">+AK199*192.42</f>
        <v>180.0511663828843</v>
      </c>
      <c r="AM199" s="287">
        <f t="shared" ref="AM199:AM205" si="82">50.1744799+AH199</f>
        <v>50.174479900000001</v>
      </c>
      <c r="AN199" s="442">
        <f t="shared" ref="AN199:AN205" si="83">SIN(AM199*3.14159265358979/180)</f>
        <v>0.76799833627881664</v>
      </c>
      <c r="AO199" s="287">
        <f t="shared" ref="AO199:AO205" si="84">+AN199*190.76</f>
        <v>146.50336262854705</v>
      </c>
      <c r="AP199" s="443"/>
      <c r="AQ199" s="291">
        <f>25.5*($B$195-B198)</f>
        <v>0</v>
      </c>
      <c r="AR199" s="443"/>
      <c r="AS199" s="444">
        <f t="shared" ref="AS199:AS205" si="85">+AO199+AL199</f>
        <v>326.55452901143133</v>
      </c>
      <c r="AT199" s="445">
        <f>+V199-AO199</f>
        <v>-146.50336262854705</v>
      </c>
      <c r="AU199" s="446"/>
      <c r="AV199" s="445" t="e">
        <f>+AF199-AT199</f>
        <v>#DIV/0!</v>
      </c>
      <c r="AW199" s="447" t="e">
        <f t="shared" ref="AW199:AW205" si="86">+((AS199-AV199)/AS199)*AQ199</f>
        <v>#DIV/0!</v>
      </c>
      <c r="AX199" s="447" t="e">
        <f t="shared" ref="AX199:AX205" si="87">+(AV199/AS199)*AQ199</f>
        <v>#DIV/0!</v>
      </c>
      <c r="AY199" s="448" t="e">
        <f t="shared" si="75"/>
        <v>#DIV/0!</v>
      </c>
      <c r="AZ199" s="448" t="e">
        <f t="shared" ref="AZ199:AZ205" si="88">$D$20/AX199</f>
        <v>#DIV/0!</v>
      </c>
      <c r="BA199" s="451" t="e">
        <f t="shared" ref="BA199:BB205" si="89">ABS(AY199)</f>
        <v>#DIV/0!</v>
      </c>
      <c r="BB199" s="451" t="e">
        <f t="shared" si="89"/>
        <v>#DIV/0!</v>
      </c>
    </row>
    <row r="200" spans="2:109" ht="21" customHeight="1" thickBot="1" x14ac:dyDescent="0.25">
      <c r="B200" s="277">
        <v>3</v>
      </c>
      <c r="C200" s="278"/>
      <c r="D200" s="25">
        <v>0</v>
      </c>
      <c r="E200" s="279" t="s">
        <v>54</v>
      </c>
      <c r="F200" s="258"/>
      <c r="G200" s="258">
        <f t="shared" ref="G200:G205" si="90">+D200+BC200</f>
        <v>0</v>
      </c>
      <c r="H200" s="732">
        <v>190.76</v>
      </c>
      <c r="I200" s="733">
        <v>79.651040199999997</v>
      </c>
      <c r="J200" s="474">
        <f t="shared" si="76"/>
        <v>79.651040199999997</v>
      </c>
      <c r="K200" s="474">
        <f t="shared" si="77"/>
        <v>39.825520099999999</v>
      </c>
      <c r="L200" s="474">
        <f t="shared" si="67"/>
        <v>0.64045183696587837</v>
      </c>
      <c r="M200" s="474">
        <f t="shared" si="68"/>
        <v>122.17259241961095</v>
      </c>
      <c r="N200" s="474">
        <f t="shared" si="69"/>
        <v>244.3451848392219</v>
      </c>
      <c r="O200" s="474">
        <f>+C198+D199+(D200/2)</f>
        <v>0</v>
      </c>
      <c r="P200" s="474">
        <f t="shared" si="70"/>
        <v>0</v>
      </c>
      <c r="Q200" s="474">
        <f t="shared" si="71"/>
        <v>0</v>
      </c>
      <c r="R200" s="474">
        <f t="shared" si="78"/>
        <v>146.5</v>
      </c>
      <c r="S200" s="474">
        <f t="shared" ref="S200:S205" si="91">+S199+Q200</f>
        <v>146.5</v>
      </c>
      <c r="T200" s="476">
        <f t="shared" si="72"/>
        <v>146.5</v>
      </c>
      <c r="V200" s="437">
        <f t="shared" si="73"/>
        <v>0</v>
      </c>
      <c r="W200" s="437"/>
      <c r="X200" s="437"/>
      <c r="Y200" s="437"/>
      <c r="Z200" s="437"/>
      <c r="AA200" s="437"/>
      <c r="AB200" s="477" t="str">
        <f t="shared" si="79"/>
        <v>pin in groundstacking hole</v>
      </c>
      <c r="AC200" s="478"/>
      <c r="AD200" s="478"/>
      <c r="AE200" s="478"/>
      <c r="AF200" s="437">
        <f>SUM(V200:V205)/($B$195-B199)</f>
        <v>0</v>
      </c>
      <c r="AG200" s="437"/>
      <c r="AH200" s="450">
        <f>SUM(D199:D200)+$C$198</f>
        <v>0</v>
      </c>
      <c r="AI200" s="717"/>
      <c r="AJ200" s="287">
        <f t="shared" si="80"/>
        <v>69.344714800000006</v>
      </c>
      <c r="AK200" s="441">
        <f t="shared" si="74"/>
        <v>0.93571960494171247</v>
      </c>
      <c r="AL200" s="287">
        <f t="shared" si="81"/>
        <v>180.0511663828843</v>
      </c>
      <c r="AM200" s="287">
        <f t="shared" si="82"/>
        <v>50.174479900000001</v>
      </c>
      <c r="AN200" s="442">
        <f t="shared" si="83"/>
        <v>0.76799833627881664</v>
      </c>
      <c r="AO200" s="287">
        <f t="shared" si="84"/>
        <v>146.50336262854705</v>
      </c>
      <c r="AP200" s="443"/>
      <c r="AQ200" s="291">
        <f t="shared" ref="AQ200:AQ205" si="92">25.5*($B$195-B199)</f>
        <v>-25.5</v>
      </c>
      <c r="AR200" s="443"/>
      <c r="AS200" s="444">
        <f t="shared" si="85"/>
        <v>326.55452901143133</v>
      </c>
      <c r="AT200" s="445">
        <f>+V200-AO200</f>
        <v>-146.50336262854705</v>
      </c>
      <c r="AU200" s="446"/>
      <c r="AV200" s="445">
        <f>+AF200-AT200</f>
        <v>146.50336262854705</v>
      </c>
      <c r="AW200" s="447">
        <f t="shared" si="86"/>
        <v>-14.059840960291279</v>
      </c>
      <c r="AX200" s="447">
        <f t="shared" si="87"/>
        <v>-11.440159039708721</v>
      </c>
      <c r="AY200" s="448">
        <f t="shared" si="75"/>
        <v>-825.04489437408847</v>
      </c>
      <c r="AZ200" s="448">
        <f t="shared" si="88"/>
        <v>-874.11372213358766</v>
      </c>
      <c r="BA200" s="451">
        <f t="shared" si="89"/>
        <v>825.04489437408847</v>
      </c>
      <c r="BB200" s="451">
        <f t="shared" si="89"/>
        <v>874.11372213358766</v>
      </c>
    </row>
    <row r="201" spans="2:109" ht="21" customHeight="1" thickBot="1" x14ac:dyDescent="0.25">
      <c r="B201" s="277">
        <v>4</v>
      </c>
      <c r="C201" s="278"/>
      <c r="D201" s="25">
        <v>0</v>
      </c>
      <c r="E201" s="279" t="s">
        <v>54</v>
      </c>
      <c r="F201" s="258"/>
      <c r="G201" s="258">
        <f t="shared" si="90"/>
        <v>0</v>
      </c>
      <c r="H201" s="732">
        <v>190.76</v>
      </c>
      <c r="I201" s="733">
        <v>79.651040199999997</v>
      </c>
      <c r="J201" s="474">
        <f t="shared" si="76"/>
        <v>79.651040199999997</v>
      </c>
      <c r="K201" s="474">
        <f t="shared" si="77"/>
        <v>39.825520099999999</v>
      </c>
      <c r="L201" s="474">
        <f t="shared" si="67"/>
        <v>0.64045183696587837</v>
      </c>
      <c r="M201" s="474">
        <f t="shared" si="68"/>
        <v>122.17259241961095</v>
      </c>
      <c r="N201" s="474">
        <f t="shared" si="69"/>
        <v>244.3451848392219</v>
      </c>
      <c r="O201" s="474">
        <f>+C198+D199+D200+(D201/2)</f>
        <v>0</v>
      </c>
      <c r="P201" s="474">
        <f t="shared" si="70"/>
        <v>0</v>
      </c>
      <c r="Q201" s="474">
        <f t="shared" si="71"/>
        <v>0</v>
      </c>
      <c r="R201" s="474">
        <f t="shared" si="78"/>
        <v>146.5</v>
      </c>
      <c r="S201" s="474">
        <f t="shared" si="91"/>
        <v>146.5</v>
      </c>
      <c r="T201" s="476">
        <f t="shared" si="72"/>
        <v>146.5</v>
      </c>
      <c r="V201" s="437">
        <f t="shared" si="73"/>
        <v>0</v>
      </c>
      <c r="W201" s="437"/>
      <c r="X201" s="437"/>
      <c r="Y201" s="437"/>
      <c r="Z201" s="437"/>
      <c r="AA201" s="437"/>
      <c r="AB201" s="477" t="str">
        <f t="shared" si="79"/>
        <v>pin in groundstacking hole</v>
      </c>
      <c r="AC201" s="478"/>
      <c r="AD201" s="478"/>
      <c r="AE201" s="478"/>
      <c r="AF201" s="437">
        <f>SUM(V201:V205)/($B$195-B200)</f>
        <v>0</v>
      </c>
      <c r="AG201" s="437"/>
      <c r="AH201" s="450">
        <f>SUM(D199:D201)+$C$198</f>
        <v>0</v>
      </c>
      <c r="AI201" s="717"/>
      <c r="AJ201" s="287">
        <f t="shared" si="80"/>
        <v>69.344714800000006</v>
      </c>
      <c r="AK201" s="441">
        <f t="shared" si="74"/>
        <v>0.93571960494171247</v>
      </c>
      <c r="AL201" s="287">
        <f t="shared" si="81"/>
        <v>180.0511663828843</v>
      </c>
      <c r="AM201" s="287">
        <f t="shared" si="82"/>
        <v>50.174479900000001</v>
      </c>
      <c r="AN201" s="442">
        <f t="shared" si="83"/>
        <v>0.76799833627881664</v>
      </c>
      <c r="AO201" s="287">
        <f t="shared" si="84"/>
        <v>146.50336262854705</v>
      </c>
      <c r="AP201" s="443"/>
      <c r="AQ201" s="291">
        <f t="shared" si="92"/>
        <v>-51</v>
      </c>
      <c r="AR201" s="443"/>
      <c r="AS201" s="444">
        <f t="shared" si="85"/>
        <v>326.55452901143133</v>
      </c>
      <c r="AT201" s="445">
        <f>+V201-AO201</f>
        <v>-146.50336262854705</v>
      </c>
      <c r="AU201" s="446"/>
      <c r="AV201" s="445">
        <f t="shared" ref="AV201:AV205" si="93">+AF201-AT201</f>
        <v>146.50336262854705</v>
      </c>
      <c r="AW201" s="447">
        <f t="shared" si="86"/>
        <v>-28.119681920582558</v>
      </c>
      <c r="AX201" s="447">
        <f t="shared" si="87"/>
        <v>-22.880318079417442</v>
      </c>
      <c r="AY201" s="448">
        <f t="shared" si="75"/>
        <v>-412.52244718704424</v>
      </c>
      <c r="AZ201" s="448">
        <f t="shared" si="88"/>
        <v>-437.05686106679383</v>
      </c>
      <c r="BA201" s="451">
        <f t="shared" si="89"/>
        <v>412.52244718704424</v>
      </c>
      <c r="BB201" s="451">
        <f t="shared" si="89"/>
        <v>437.05686106679383</v>
      </c>
    </row>
    <row r="202" spans="2:109" ht="21" customHeight="1" thickBot="1" x14ac:dyDescent="0.25">
      <c r="B202" s="277">
        <v>5</v>
      </c>
      <c r="C202" s="278"/>
      <c r="D202" s="25">
        <v>0</v>
      </c>
      <c r="E202" s="279" t="s">
        <v>54</v>
      </c>
      <c r="F202" s="258"/>
      <c r="G202" s="258">
        <f>+D202+BC202</f>
        <v>0</v>
      </c>
      <c r="H202" s="732">
        <v>190.76</v>
      </c>
      <c r="I202" s="733">
        <v>79.651040199999997</v>
      </c>
      <c r="J202" s="474">
        <f t="shared" si="76"/>
        <v>79.651040199999997</v>
      </c>
      <c r="K202" s="474">
        <f t="shared" si="77"/>
        <v>39.825520099999999</v>
      </c>
      <c r="L202" s="474">
        <f t="shared" si="67"/>
        <v>0.64045183696587837</v>
      </c>
      <c r="M202" s="474">
        <f t="shared" si="68"/>
        <v>122.17259241961095</v>
      </c>
      <c r="N202" s="474">
        <f t="shared" si="69"/>
        <v>244.3451848392219</v>
      </c>
      <c r="O202" s="474">
        <f>+C198+D199+D200+D201+(D202/2)</f>
        <v>0</v>
      </c>
      <c r="P202" s="474">
        <f t="shared" si="70"/>
        <v>0</v>
      </c>
      <c r="Q202" s="474">
        <f t="shared" si="71"/>
        <v>0</v>
      </c>
      <c r="R202" s="474">
        <f t="shared" si="78"/>
        <v>146.5</v>
      </c>
      <c r="S202" s="474">
        <f t="shared" si="91"/>
        <v>146.5</v>
      </c>
      <c r="T202" s="476">
        <f t="shared" si="72"/>
        <v>146.5</v>
      </c>
      <c r="V202" s="437">
        <f t="shared" si="73"/>
        <v>0</v>
      </c>
      <c r="W202" s="437"/>
      <c r="X202" s="437"/>
      <c r="Y202" s="437"/>
      <c r="Z202" s="437"/>
      <c r="AA202" s="437"/>
      <c r="AB202" s="477" t="str">
        <f t="shared" si="79"/>
        <v>pin in groundstacking hole</v>
      </c>
      <c r="AC202" s="478"/>
      <c r="AD202" s="478"/>
      <c r="AE202" s="478"/>
      <c r="AF202" s="437">
        <f>SUM(V202:V205)/($B$195-B201)</f>
        <v>0</v>
      </c>
      <c r="AG202" s="437"/>
      <c r="AH202" s="450">
        <f>SUM(D199:D202)+$C$198</f>
        <v>0</v>
      </c>
      <c r="AI202" s="717"/>
      <c r="AJ202" s="287">
        <f t="shared" si="80"/>
        <v>69.344714800000006</v>
      </c>
      <c r="AK202" s="441">
        <f t="shared" si="74"/>
        <v>0.93571960494171247</v>
      </c>
      <c r="AL202" s="287">
        <f t="shared" si="81"/>
        <v>180.0511663828843</v>
      </c>
      <c r="AM202" s="287">
        <f t="shared" si="82"/>
        <v>50.174479900000001</v>
      </c>
      <c r="AN202" s="442">
        <f t="shared" si="83"/>
        <v>0.76799833627881664</v>
      </c>
      <c r="AO202" s="287">
        <f t="shared" si="84"/>
        <v>146.50336262854705</v>
      </c>
      <c r="AP202" s="443"/>
      <c r="AQ202" s="291">
        <f t="shared" si="92"/>
        <v>-76.5</v>
      </c>
      <c r="AR202" s="443"/>
      <c r="AS202" s="444">
        <f t="shared" si="85"/>
        <v>326.55452901143133</v>
      </c>
      <c r="AT202" s="445">
        <f t="shared" ref="AT202:AT205" si="94">+V202-AO202</f>
        <v>-146.50336262854705</v>
      </c>
      <c r="AU202" s="446"/>
      <c r="AV202" s="445">
        <f t="shared" si="93"/>
        <v>146.50336262854705</v>
      </c>
      <c r="AW202" s="447">
        <f t="shared" si="86"/>
        <v>-42.17952288087384</v>
      </c>
      <c r="AX202" s="447">
        <f t="shared" si="87"/>
        <v>-34.32047711912616</v>
      </c>
      <c r="AY202" s="448">
        <f t="shared" si="75"/>
        <v>-275.01496479136279</v>
      </c>
      <c r="AZ202" s="448">
        <f t="shared" si="88"/>
        <v>-291.37124071119592</v>
      </c>
      <c r="BA202" s="451">
        <f t="shared" si="89"/>
        <v>275.01496479136279</v>
      </c>
      <c r="BB202" s="451">
        <f t="shared" si="89"/>
        <v>291.37124071119592</v>
      </c>
      <c r="DE202" s="305"/>
    </row>
    <row r="203" spans="2:109" ht="21" customHeight="1" thickBot="1" x14ac:dyDescent="0.25">
      <c r="B203" s="277">
        <v>6</v>
      </c>
      <c r="C203" s="278"/>
      <c r="D203" s="25">
        <v>0</v>
      </c>
      <c r="E203" s="279" t="s">
        <v>54</v>
      </c>
      <c r="F203" s="258"/>
      <c r="G203" s="258">
        <f t="shared" si="90"/>
        <v>0</v>
      </c>
      <c r="H203" s="732">
        <v>190.76</v>
      </c>
      <c r="I203" s="733">
        <v>79.651040199999997</v>
      </c>
      <c r="J203" s="474">
        <f t="shared" si="76"/>
        <v>79.651040199999997</v>
      </c>
      <c r="K203" s="474">
        <f t="shared" si="77"/>
        <v>39.825520099999999</v>
      </c>
      <c r="L203" s="474">
        <f t="shared" si="67"/>
        <v>0.64045183696587837</v>
      </c>
      <c r="M203" s="474">
        <f t="shared" si="68"/>
        <v>122.17259241961095</v>
      </c>
      <c r="N203" s="474">
        <f t="shared" si="69"/>
        <v>244.3451848392219</v>
      </c>
      <c r="O203" s="474">
        <f>+C198+D199+D200+D201+D202+(D203/2)</f>
        <v>0</v>
      </c>
      <c r="P203" s="474">
        <f t="shared" si="70"/>
        <v>0</v>
      </c>
      <c r="Q203" s="474">
        <f t="shared" si="71"/>
        <v>0</v>
      </c>
      <c r="R203" s="474">
        <f t="shared" si="78"/>
        <v>146.5</v>
      </c>
      <c r="S203" s="474">
        <f t="shared" si="91"/>
        <v>146.5</v>
      </c>
      <c r="T203" s="476">
        <f t="shared" si="72"/>
        <v>146.5</v>
      </c>
      <c r="V203" s="437">
        <f t="shared" si="73"/>
        <v>0</v>
      </c>
      <c r="W203" s="437"/>
      <c r="X203" s="437"/>
      <c r="Y203" s="437"/>
      <c r="Z203" s="437"/>
      <c r="AA203" s="437"/>
      <c r="AB203" s="477" t="str">
        <f t="shared" si="79"/>
        <v>pin in groundstacking hole</v>
      </c>
      <c r="AC203" s="478"/>
      <c r="AD203" s="478"/>
      <c r="AE203" s="478"/>
      <c r="AF203" s="437">
        <f>SUM(V203:V205)/($B$195-B202)</f>
        <v>0</v>
      </c>
      <c r="AG203" s="437"/>
      <c r="AH203" s="450">
        <f>SUM(D199:D203)+$C$198</f>
        <v>0</v>
      </c>
      <c r="AI203" s="717"/>
      <c r="AJ203" s="287">
        <f t="shared" si="80"/>
        <v>69.344714800000006</v>
      </c>
      <c r="AK203" s="441">
        <f t="shared" si="74"/>
        <v>0.93571960494171247</v>
      </c>
      <c r="AL203" s="287">
        <f t="shared" si="81"/>
        <v>180.0511663828843</v>
      </c>
      <c r="AM203" s="287">
        <f t="shared" si="82"/>
        <v>50.174479900000001</v>
      </c>
      <c r="AN203" s="442">
        <f t="shared" si="83"/>
        <v>0.76799833627881664</v>
      </c>
      <c r="AO203" s="287">
        <f t="shared" si="84"/>
        <v>146.50336262854705</v>
      </c>
      <c r="AP203" s="443"/>
      <c r="AQ203" s="291">
        <f t="shared" si="92"/>
        <v>-102</v>
      </c>
      <c r="AR203" s="443"/>
      <c r="AS203" s="444">
        <f t="shared" si="85"/>
        <v>326.55452901143133</v>
      </c>
      <c r="AT203" s="445">
        <f t="shared" si="94"/>
        <v>-146.50336262854705</v>
      </c>
      <c r="AU203" s="446"/>
      <c r="AV203" s="445">
        <f t="shared" si="93"/>
        <v>146.50336262854705</v>
      </c>
      <c r="AW203" s="447">
        <f t="shared" si="86"/>
        <v>-56.239363841165115</v>
      </c>
      <c r="AX203" s="447">
        <f t="shared" si="87"/>
        <v>-45.760636158834885</v>
      </c>
      <c r="AY203" s="448">
        <f t="shared" si="75"/>
        <v>-206.26122359352212</v>
      </c>
      <c r="AZ203" s="448">
        <f t="shared" si="88"/>
        <v>-218.52843053339691</v>
      </c>
      <c r="BA203" s="451">
        <f t="shared" si="89"/>
        <v>206.26122359352212</v>
      </c>
      <c r="BB203" s="451">
        <f t="shared" si="89"/>
        <v>218.52843053339691</v>
      </c>
    </row>
    <row r="204" spans="2:109" ht="21" customHeight="1" thickBot="1" x14ac:dyDescent="0.25">
      <c r="B204" s="277">
        <v>7</v>
      </c>
      <c r="C204" s="278"/>
      <c r="D204" s="25">
        <v>0</v>
      </c>
      <c r="E204" s="279" t="s">
        <v>54</v>
      </c>
      <c r="F204" s="258"/>
      <c r="G204" s="258">
        <f t="shared" si="90"/>
        <v>0</v>
      </c>
      <c r="H204" s="732">
        <v>190.76</v>
      </c>
      <c r="I204" s="733">
        <v>79.651040199999997</v>
      </c>
      <c r="J204" s="474">
        <f t="shared" si="76"/>
        <v>79.651040199999997</v>
      </c>
      <c r="K204" s="474">
        <f t="shared" si="77"/>
        <v>39.825520099999999</v>
      </c>
      <c r="L204" s="474">
        <f t="shared" si="67"/>
        <v>0.64045183696587837</v>
      </c>
      <c r="M204" s="474">
        <f t="shared" si="68"/>
        <v>122.17259241961095</v>
      </c>
      <c r="N204" s="474">
        <f t="shared" si="69"/>
        <v>244.3451848392219</v>
      </c>
      <c r="O204" s="474">
        <f>+C198+D199+D200+D201+D202+D203+(D204/2)</f>
        <v>0</v>
      </c>
      <c r="P204" s="474">
        <f t="shared" si="70"/>
        <v>0</v>
      </c>
      <c r="Q204" s="474">
        <f t="shared" si="71"/>
        <v>0</v>
      </c>
      <c r="R204" s="474">
        <f t="shared" si="78"/>
        <v>146.5</v>
      </c>
      <c r="S204" s="474">
        <f t="shared" si="91"/>
        <v>146.5</v>
      </c>
      <c r="T204" s="476">
        <f t="shared" si="72"/>
        <v>146.5</v>
      </c>
      <c r="V204" s="437">
        <f t="shared" si="73"/>
        <v>0</v>
      </c>
      <c r="W204" s="437"/>
      <c r="X204" s="437"/>
      <c r="Y204" s="437"/>
      <c r="Z204" s="437"/>
      <c r="AA204" s="437"/>
      <c r="AB204" s="477" t="str">
        <f t="shared" si="79"/>
        <v>pin in groundstacking hole</v>
      </c>
      <c r="AC204" s="478"/>
      <c r="AD204" s="478"/>
      <c r="AE204" s="478"/>
      <c r="AF204" s="437">
        <f>SUM(V204:V205)/($B$195-B203)</f>
        <v>0</v>
      </c>
      <c r="AG204" s="437"/>
      <c r="AH204" s="450">
        <f>SUM(D199:D204)+$C$198</f>
        <v>0</v>
      </c>
      <c r="AI204" s="717"/>
      <c r="AJ204" s="287">
        <f t="shared" si="80"/>
        <v>69.344714800000006</v>
      </c>
      <c r="AK204" s="441">
        <f t="shared" si="74"/>
        <v>0.93571960494171247</v>
      </c>
      <c r="AL204" s="287">
        <f t="shared" si="81"/>
        <v>180.0511663828843</v>
      </c>
      <c r="AM204" s="287">
        <f t="shared" si="82"/>
        <v>50.174479900000001</v>
      </c>
      <c r="AN204" s="442">
        <f t="shared" si="83"/>
        <v>0.76799833627881664</v>
      </c>
      <c r="AO204" s="287">
        <f t="shared" si="84"/>
        <v>146.50336262854705</v>
      </c>
      <c r="AP204" s="443"/>
      <c r="AQ204" s="291">
        <f t="shared" si="92"/>
        <v>-127.5</v>
      </c>
      <c r="AR204" s="443"/>
      <c r="AS204" s="444">
        <f t="shared" si="85"/>
        <v>326.55452901143133</v>
      </c>
      <c r="AT204" s="445">
        <f t="shared" si="94"/>
        <v>-146.50336262854705</v>
      </c>
      <c r="AU204" s="446"/>
      <c r="AV204" s="445">
        <f t="shared" si="93"/>
        <v>146.50336262854705</v>
      </c>
      <c r="AW204" s="447">
        <f t="shared" si="86"/>
        <v>-70.299204801456398</v>
      </c>
      <c r="AX204" s="447">
        <f t="shared" si="87"/>
        <v>-57.200795198543602</v>
      </c>
      <c r="AY204" s="448">
        <f t="shared" si="75"/>
        <v>-165.00897887481767</v>
      </c>
      <c r="AZ204" s="448">
        <f t="shared" si="88"/>
        <v>-174.82274442671755</v>
      </c>
      <c r="BA204" s="451">
        <f t="shared" si="89"/>
        <v>165.00897887481767</v>
      </c>
      <c r="BB204" s="451">
        <f t="shared" si="89"/>
        <v>174.82274442671755</v>
      </c>
      <c r="DE204" s="307"/>
    </row>
    <row r="205" spans="2:109" ht="21" customHeight="1" thickBot="1" x14ac:dyDescent="0.25">
      <c r="B205" s="277">
        <v>8</v>
      </c>
      <c r="C205" s="278"/>
      <c r="D205" s="25">
        <v>0</v>
      </c>
      <c r="E205" s="279" t="s">
        <v>54</v>
      </c>
      <c r="F205" s="258"/>
      <c r="G205" s="258">
        <f t="shared" si="90"/>
        <v>0</v>
      </c>
      <c r="H205" s="732">
        <v>190.76</v>
      </c>
      <c r="I205" s="733">
        <v>79.651040199999997</v>
      </c>
      <c r="J205" s="474">
        <f t="shared" si="76"/>
        <v>79.651040199999997</v>
      </c>
      <c r="K205" s="474">
        <f t="shared" si="77"/>
        <v>39.825520099999999</v>
      </c>
      <c r="L205" s="474">
        <f t="shared" si="67"/>
        <v>0.64045183696587837</v>
      </c>
      <c r="M205" s="474">
        <f t="shared" si="68"/>
        <v>122.17259241961095</v>
      </c>
      <c r="N205" s="474">
        <f t="shared" si="69"/>
        <v>244.3451848392219</v>
      </c>
      <c r="O205" s="474">
        <f>+C198+D199+D200+D201+D202+D203+D204+(D205/2)</f>
        <v>0</v>
      </c>
      <c r="P205" s="474">
        <f t="shared" si="70"/>
        <v>0</v>
      </c>
      <c r="Q205" s="474">
        <f t="shared" si="71"/>
        <v>0</v>
      </c>
      <c r="R205" s="474">
        <f t="shared" si="78"/>
        <v>146.5</v>
      </c>
      <c r="S205" s="474">
        <f t="shared" si="91"/>
        <v>146.5</v>
      </c>
      <c r="T205" s="476">
        <f t="shared" si="72"/>
        <v>146.5</v>
      </c>
      <c r="V205" s="437">
        <f t="shared" si="73"/>
        <v>0</v>
      </c>
      <c r="W205" s="437"/>
      <c r="X205" s="437"/>
      <c r="Y205" s="437"/>
      <c r="Z205" s="437"/>
      <c r="AA205" s="437"/>
      <c r="AB205" s="477" t="str">
        <f>IF(AZ205&lt;0,"pin in groundstacking hole"," ")</f>
        <v>pin in groundstacking hole</v>
      </c>
      <c r="AC205" s="478"/>
      <c r="AD205" s="478"/>
      <c r="AE205" s="478"/>
      <c r="AF205" s="437">
        <f>SUM(V205:V205)/($B$195-B204)</f>
        <v>0</v>
      </c>
      <c r="AG205" s="437"/>
      <c r="AH205" s="450">
        <f>SUM(D199:D205)+$C$198</f>
        <v>0</v>
      </c>
      <c r="AI205" s="717"/>
      <c r="AJ205" s="287">
        <f t="shared" si="80"/>
        <v>69.344714800000006</v>
      </c>
      <c r="AK205" s="441">
        <f t="shared" si="74"/>
        <v>0.93571960494171247</v>
      </c>
      <c r="AL205" s="287">
        <f t="shared" si="81"/>
        <v>180.0511663828843</v>
      </c>
      <c r="AM205" s="287">
        <f t="shared" si="82"/>
        <v>50.174479900000001</v>
      </c>
      <c r="AN205" s="442">
        <f t="shared" si="83"/>
        <v>0.76799833627881664</v>
      </c>
      <c r="AO205" s="287">
        <f t="shared" si="84"/>
        <v>146.50336262854705</v>
      </c>
      <c r="AP205" s="443"/>
      <c r="AQ205" s="291">
        <f t="shared" si="92"/>
        <v>-153</v>
      </c>
      <c r="AR205" s="443"/>
      <c r="AS205" s="444">
        <f t="shared" si="85"/>
        <v>326.55452901143133</v>
      </c>
      <c r="AT205" s="445">
        <f t="shared" si="94"/>
        <v>-146.50336262854705</v>
      </c>
      <c r="AU205" s="446"/>
      <c r="AV205" s="445">
        <f t="shared" si="93"/>
        <v>146.50336262854705</v>
      </c>
      <c r="AW205" s="447">
        <f t="shared" si="86"/>
        <v>-84.35904576174768</v>
      </c>
      <c r="AX205" s="447">
        <f t="shared" si="87"/>
        <v>-68.64095423825232</v>
      </c>
      <c r="AY205" s="448">
        <f t="shared" si="75"/>
        <v>-137.50748239568139</v>
      </c>
      <c r="AZ205" s="448">
        <f t="shared" si="88"/>
        <v>-145.68562035559796</v>
      </c>
      <c r="BA205" s="451">
        <f t="shared" si="89"/>
        <v>137.50748239568139</v>
      </c>
      <c r="BB205" s="451">
        <f t="shared" si="89"/>
        <v>145.68562035559796</v>
      </c>
    </row>
    <row r="206" spans="2:109" x14ac:dyDescent="0.2">
      <c r="BD206" s="545"/>
      <c r="BQ206" s="236"/>
      <c r="BR206" s="236"/>
      <c r="BS206" s="236"/>
      <c r="BT206" s="236"/>
      <c r="BU206" s="236"/>
      <c r="BV206" s="236"/>
      <c r="CA206" s="236"/>
      <c r="CB206" s="236"/>
      <c r="CC206" s="236"/>
      <c r="CD206" s="236"/>
      <c r="CI206" s="236"/>
      <c r="CJ206" s="236"/>
      <c r="CK206" s="236"/>
      <c r="CL206" s="236"/>
      <c r="CM206" s="236"/>
      <c r="CN206" s="236"/>
      <c r="DE206" s="126"/>
    </row>
    <row r="207" spans="2:109" x14ac:dyDescent="0.2">
      <c r="BD207" s="545"/>
      <c r="DE207" s="126"/>
    </row>
    <row r="208" spans="2:109" x14ac:dyDescent="0.2">
      <c r="BD208" s="545"/>
      <c r="DE208" s="126"/>
    </row>
    <row r="209" spans="56:109" x14ac:dyDescent="0.2">
      <c r="BD209" s="545"/>
      <c r="DE209" s="235"/>
    </row>
    <row r="210" spans="56:109" x14ac:dyDescent="0.2">
      <c r="BD210" s="545"/>
      <c r="DE210" s="126"/>
    </row>
    <row r="211" spans="56:109" x14ac:dyDescent="0.2">
      <c r="BD211" s="545"/>
    </row>
    <row r="212" spans="56:109" x14ac:dyDescent="0.2">
      <c r="BD212" s="545"/>
      <c r="BF212" s="136"/>
      <c r="BG212" s="136"/>
      <c r="BH212" s="136"/>
      <c r="BI212" s="136"/>
      <c r="BJ212" s="136"/>
      <c r="BK212" s="136"/>
      <c r="BL212" s="212"/>
      <c r="BM212"/>
    </row>
    <row r="213" spans="56:109" x14ac:dyDescent="0.2">
      <c r="BD213" s="545"/>
      <c r="BF213" s="136"/>
      <c r="BG213" s="136"/>
      <c r="BH213" s="297" t="s">
        <v>122</v>
      </c>
      <c r="BI213" s="136"/>
      <c r="BJ213" s="136"/>
      <c r="BK213" s="136"/>
      <c r="BL213" s="136"/>
      <c r="BM213" s="136"/>
    </row>
    <row r="214" spans="56:109" ht="20" x14ac:dyDescent="0.3">
      <c r="BD214" s="545"/>
      <c r="BF214" s="298">
        <v>1</v>
      </c>
      <c r="BG214" s="299">
        <v>-473</v>
      </c>
      <c r="BH214" s="300">
        <f>+COS(($B$132*-1)*3.14159265358979/180)*BG214</f>
        <v>-473</v>
      </c>
      <c r="BI214" s="301">
        <f t="shared" ref="BI214:BI250" si="95">+BH214-D$3</f>
        <v>-689.54069517525784</v>
      </c>
      <c r="BJ214" s="302">
        <f t="shared" ref="BJ214:BJ250" si="96">ABS(BI214)</f>
        <v>689.54069517525784</v>
      </c>
      <c r="BK214" s="303">
        <f>MIN(BJ214:BJ250)</f>
        <v>1.5406951752578095</v>
      </c>
      <c r="BL214" s="302" t="b">
        <f>IF(BK214=BJ214,BF214)</f>
        <v>0</v>
      </c>
      <c r="BM214" s="304">
        <v>1</v>
      </c>
    </row>
    <row r="215" spans="56:109" ht="20" x14ac:dyDescent="0.3">
      <c r="BF215" s="298">
        <v>2</v>
      </c>
      <c r="BG215" s="299">
        <f>+BG214+43</f>
        <v>-430</v>
      </c>
      <c r="BH215" s="42">
        <f>+BH214+$E$2</f>
        <v>-430</v>
      </c>
      <c r="BI215" s="301">
        <f t="shared" si="95"/>
        <v>-646.54069517525784</v>
      </c>
      <c r="BJ215" s="302">
        <f t="shared" si="96"/>
        <v>646.54069517525784</v>
      </c>
      <c r="BK215" s="302">
        <f>+BK214</f>
        <v>1.5406951752578095</v>
      </c>
      <c r="BL215" s="302" t="b">
        <f t="shared" ref="BL215:BL250" si="97">IF(BK215=BJ215,BF215)</f>
        <v>0</v>
      </c>
      <c r="BM215" s="304">
        <v>2</v>
      </c>
    </row>
    <row r="216" spans="56:109" ht="20" x14ac:dyDescent="0.3">
      <c r="BF216" s="298">
        <v>3</v>
      </c>
      <c r="BG216" s="299">
        <f t="shared" ref="BG216:BG250" si="98">+BG215+43</f>
        <v>-387</v>
      </c>
      <c r="BH216" s="42">
        <f t="shared" ref="BH216:BH250" si="99">+BH215+$E$2</f>
        <v>-387</v>
      </c>
      <c r="BI216" s="301">
        <f t="shared" si="95"/>
        <v>-603.54069517525784</v>
      </c>
      <c r="BJ216" s="302">
        <f t="shared" si="96"/>
        <v>603.54069517525784</v>
      </c>
      <c r="BK216" s="302">
        <f t="shared" ref="BK216:BK250" si="100">+BK215</f>
        <v>1.5406951752578095</v>
      </c>
      <c r="BL216" s="302" t="b">
        <f t="shared" si="97"/>
        <v>0</v>
      </c>
      <c r="BM216" s="304">
        <v>3</v>
      </c>
    </row>
    <row r="217" spans="56:109" ht="20" x14ac:dyDescent="0.3">
      <c r="BF217" s="298">
        <v>4</v>
      </c>
      <c r="BG217" s="299">
        <f t="shared" si="98"/>
        <v>-344</v>
      </c>
      <c r="BH217" s="42">
        <f t="shared" si="99"/>
        <v>-344</v>
      </c>
      <c r="BI217" s="301">
        <f t="shared" si="95"/>
        <v>-560.54069517525784</v>
      </c>
      <c r="BJ217" s="302">
        <f t="shared" si="96"/>
        <v>560.54069517525784</v>
      </c>
      <c r="BK217" s="302">
        <f t="shared" si="100"/>
        <v>1.5406951752578095</v>
      </c>
      <c r="BL217" s="302" t="b">
        <f t="shared" si="97"/>
        <v>0</v>
      </c>
      <c r="BM217" s="304">
        <v>4</v>
      </c>
    </row>
    <row r="218" spans="56:109" ht="20" x14ac:dyDescent="0.3">
      <c r="BF218" s="298">
        <v>5</v>
      </c>
      <c r="BG218" s="299">
        <f t="shared" si="98"/>
        <v>-301</v>
      </c>
      <c r="BH218" s="42">
        <f t="shared" si="99"/>
        <v>-301</v>
      </c>
      <c r="BI218" s="301">
        <f t="shared" si="95"/>
        <v>-517.54069517525784</v>
      </c>
      <c r="BJ218" s="302">
        <f t="shared" si="96"/>
        <v>517.54069517525784</v>
      </c>
      <c r="BK218" s="302">
        <f t="shared" si="100"/>
        <v>1.5406951752578095</v>
      </c>
      <c r="BL218" s="302" t="b">
        <f t="shared" si="97"/>
        <v>0</v>
      </c>
      <c r="BM218" s="304">
        <v>5</v>
      </c>
    </row>
    <row r="219" spans="56:109" ht="20" x14ac:dyDescent="0.3">
      <c r="BF219" s="298">
        <v>6</v>
      </c>
      <c r="BG219" s="299">
        <f t="shared" si="98"/>
        <v>-258</v>
      </c>
      <c r="BH219" s="42">
        <f t="shared" si="99"/>
        <v>-258</v>
      </c>
      <c r="BI219" s="301">
        <f t="shared" si="95"/>
        <v>-474.54069517525784</v>
      </c>
      <c r="BJ219" s="302">
        <f t="shared" si="96"/>
        <v>474.54069517525784</v>
      </c>
      <c r="BK219" s="302">
        <f t="shared" si="100"/>
        <v>1.5406951752578095</v>
      </c>
      <c r="BL219" s="302" t="b">
        <f t="shared" si="97"/>
        <v>0</v>
      </c>
      <c r="BM219" s="304">
        <v>6</v>
      </c>
    </row>
    <row r="220" spans="56:109" ht="20" x14ac:dyDescent="0.3">
      <c r="BF220" s="298">
        <v>7</v>
      </c>
      <c r="BG220" s="299">
        <f t="shared" si="98"/>
        <v>-215</v>
      </c>
      <c r="BH220" s="42">
        <f t="shared" si="99"/>
        <v>-215</v>
      </c>
      <c r="BI220" s="301">
        <f t="shared" si="95"/>
        <v>-431.54069517525784</v>
      </c>
      <c r="BJ220" s="302">
        <f t="shared" si="96"/>
        <v>431.54069517525784</v>
      </c>
      <c r="BK220" s="302">
        <f t="shared" si="100"/>
        <v>1.5406951752578095</v>
      </c>
      <c r="BL220" s="302" t="b">
        <f t="shared" si="97"/>
        <v>0</v>
      </c>
      <c r="BM220" s="304">
        <v>7</v>
      </c>
    </row>
    <row r="221" spans="56:109" ht="20" x14ac:dyDescent="0.3">
      <c r="BF221" s="298">
        <v>8</v>
      </c>
      <c r="BG221" s="299">
        <f t="shared" si="98"/>
        <v>-172</v>
      </c>
      <c r="BH221" s="42">
        <f t="shared" si="99"/>
        <v>-172</v>
      </c>
      <c r="BI221" s="301">
        <f t="shared" si="95"/>
        <v>-388.54069517525784</v>
      </c>
      <c r="BJ221" s="302">
        <f t="shared" si="96"/>
        <v>388.54069517525784</v>
      </c>
      <c r="BK221" s="302">
        <f t="shared" si="100"/>
        <v>1.5406951752578095</v>
      </c>
      <c r="BL221" s="302" t="b">
        <f t="shared" si="97"/>
        <v>0</v>
      </c>
      <c r="BM221" s="304">
        <v>8</v>
      </c>
    </row>
    <row r="222" spans="56:109" ht="20" x14ac:dyDescent="0.3">
      <c r="BF222" s="298">
        <v>9</v>
      </c>
      <c r="BG222" s="299">
        <f t="shared" si="98"/>
        <v>-129</v>
      </c>
      <c r="BH222" s="42">
        <f t="shared" si="99"/>
        <v>-129</v>
      </c>
      <c r="BI222" s="301">
        <f t="shared" si="95"/>
        <v>-345.54069517525784</v>
      </c>
      <c r="BJ222" s="302">
        <f t="shared" si="96"/>
        <v>345.54069517525784</v>
      </c>
      <c r="BK222" s="302">
        <f t="shared" si="100"/>
        <v>1.5406951752578095</v>
      </c>
      <c r="BL222" s="302" t="b">
        <f t="shared" si="97"/>
        <v>0</v>
      </c>
      <c r="BM222" s="304">
        <v>9</v>
      </c>
    </row>
    <row r="223" spans="56:109" ht="20" x14ac:dyDescent="0.3">
      <c r="BF223" s="298">
        <v>10</v>
      </c>
      <c r="BG223" s="299">
        <f t="shared" si="98"/>
        <v>-86</v>
      </c>
      <c r="BH223" s="42">
        <f t="shared" si="99"/>
        <v>-86</v>
      </c>
      <c r="BI223" s="301">
        <f t="shared" si="95"/>
        <v>-302.54069517525784</v>
      </c>
      <c r="BJ223" s="302">
        <f t="shared" si="96"/>
        <v>302.54069517525784</v>
      </c>
      <c r="BK223" s="302">
        <f t="shared" si="100"/>
        <v>1.5406951752578095</v>
      </c>
      <c r="BL223" s="302" t="b">
        <f t="shared" si="97"/>
        <v>0</v>
      </c>
      <c r="BM223" s="304">
        <v>10</v>
      </c>
    </row>
    <row r="224" spans="56:109" ht="20" x14ac:dyDescent="0.3">
      <c r="BF224" s="298">
        <v>11</v>
      </c>
      <c r="BG224" s="299">
        <f t="shared" si="98"/>
        <v>-43</v>
      </c>
      <c r="BH224" s="42">
        <f t="shared" si="99"/>
        <v>-43</v>
      </c>
      <c r="BI224" s="301">
        <f t="shared" si="95"/>
        <v>-259.54069517525784</v>
      </c>
      <c r="BJ224" s="302">
        <f t="shared" si="96"/>
        <v>259.54069517525784</v>
      </c>
      <c r="BK224" s="302">
        <f t="shared" si="100"/>
        <v>1.5406951752578095</v>
      </c>
      <c r="BL224" s="302" t="b">
        <f t="shared" si="97"/>
        <v>0</v>
      </c>
      <c r="BM224" s="304">
        <v>11</v>
      </c>
    </row>
    <row r="225" spans="58:65" ht="20" x14ac:dyDescent="0.3">
      <c r="BF225" s="298">
        <v>12</v>
      </c>
      <c r="BG225" s="299">
        <f t="shared" si="98"/>
        <v>0</v>
      </c>
      <c r="BH225" s="42">
        <f t="shared" si="99"/>
        <v>0</v>
      </c>
      <c r="BI225" s="301">
        <f t="shared" si="95"/>
        <v>-216.54069517525781</v>
      </c>
      <c r="BJ225" s="302">
        <f t="shared" si="96"/>
        <v>216.54069517525781</v>
      </c>
      <c r="BK225" s="302">
        <f t="shared" si="100"/>
        <v>1.5406951752578095</v>
      </c>
      <c r="BL225" s="302" t="b">
        <f t="shared" si="97"/>
        <v>0</v>
      </c>
      <c r="BM225" s="304">
        <v>12</v>
      </c>
    </row>
    <row r="226" spans="58:65" ht="20" x14ac:dyDescent="0.3">
      <c r="BF226" s="298">
        <v>13</v>
      </c>
      <c r="BG226" s="299">
        <f t="shared" si="98"/>
        <v>43</v>
      </c>
      <c r="BH226" s="42">
        <f t="shared" si="99"/>
        <v>43</v>
      </c>
      <c r="BI226" s="301">
        <f t="shared" si="95"/>
        <v>-173.54069517525781</v>
      </c>
      <c r="BJ226" s="302">
        <f t="shared" si="96"/>
        <v>173.54069517525781</v>
      </c>
      <c r="BK226" s="302">
        <f t="shared" si="100"/>
        <v>1.5406951752578095</v>
      </c>
      <c r="BL226" s="302" t="b">
        <f t="shared" si="97"/>
        <v>0</v>
      </c>
      <c r="BM226" s="304">
        <v>13</v>
      </c>
    </row>
    <row r="227" spans="58:65" ht="20" x14ac:dyDescent="0.3">
      <c r="BF227" s="298">
        <v>14</v>
      </c>
      <c r="BG227" s="299">
        <f t="shared" si="98"/>
        <v>86</v>
      </c>
      <c r="BH227" s="42">
        <f t="shared" si="99"/>
        <v>86</v>
      </c>
      <c r="BI227" s="301">
        <f t="shared" si="95"/>
        <v>-130.54069517525781</v>
      </c>
      <c r="BJ227" s="302">
        <f t="shared" si="96"/>
        <v>130.54069517525781</v>
      </c>
      <c r="BK227" s="302">
        <f t="shared" si="100"/>
        <v>1.5406951752578095</v>
      </c>
      <c r="BL227" s="302" t="b">
        <f t="shared" si="97"/>
        <v>0</v>
      </c>
      <c r="BM227" s="304">
        <v>14</v>
      </c>
    </row>
    <row r="228" spans="58:65" ht="20" x14ac:dyDescent="0.3">
      <c r="BF228" s="298">
        <v>15</v>
      </c>
      <c r="BG228" s="299">
        <f t="shared" si="98"/>
        <v>129</v>
      </c>
      <c r="BH228" s="42">
        <f t="shared" si="99"/>
        <v>129</v>
      </c>
      <c r="BI228" s="301">
        <f t="shared" si="95"/>
        <v>-87.54069517525781</v>
      </c>
      <c r="BJ228" s="302">
        <f t="shared" si="96"/>
        <v>87.54069517525781</v>
      </c>
      <c r="BK228" s="302">
        <f t="shared" si="100"/>
        <v>1.5406951752578095</v>
      </c>
      <c r="BL228" s="302" t="b">
        <f t="shared" si="97"/>
        <v>0</v>
      </c>
      <c r="BM228" s="304">
        <v>15</v>
      </c>
    </row>
    <row r="229" spans="58:65" ht="20" x14ac:dyDescent="0.3">
      <c r="BF229" s="298">
        <v>16</v>
      </c>
      <c r="BG229" s="299">
        <f t="shared" si="98"/>
        <v>172</v>
      </c>
      <c r="BH229" s="42">
        <f t="shared" si="99"/>
        <v>172</v>
      </c>
      <c r="BI229" s="301">
        <f t="shared" si="95"/>
        <v>-44.54069517525781</v>
      </c>
      <c r="BJ229" s="302">
        <f t="shared" si="96"/>
        <v>44.54069517525781</v>
      </c>
      <c r="BK229" s="302">
        <f t="shared" si="100"/>
        <v>1.5406951752578095</v>
      </c>
      <c r="BL229" s="302" t="b">
        <f t="shared" si="97"/>
        <v>0</v>
      </c>
      <c r="BM229" s="304">
        <v>16</v>
      </c>
    </row>
    <row r="230" spans="58:65" ht="20" x14ac:dyDescent="0.3">
      <c r="BF230" s="298">
        <v>17</v>
      </c>
      <c r="BG230" s="299">
        <f t="shared" si="98"/>
        <v>215</v>
      </c>
      <c r="BH230" s="42">
        <f t="shared" si="99"/>
        <v>215</v>
      </c>
      <c r="BI230" s="301">
        <f t="shared" si="95"/>
        <v>-1.5406951752578095</v>
      </c>
      <c r="BJ230" s="302">
        <f t="shared" si="96"/>
        <v>1.5406951752578095</v>
      </c>
      <c r="BK230" s="302">
        <f t="shared" si="100"/>
        <v>1.5406951752578095</v>
      </c>
      <c r="BL230" s="302">
        <f t="shared" si="97"/>
        <v>17</v>
      </c>
      <c r="BM230" s="304">
        <v>17</v>
      </c>
    </row>
    <row r="231" spans="58:65" ht="20" x14ac:dyDescent="0.3">
      <c r="BF231" s="298">
        <v>18</v>
      </c>
      <c r="BG231" s="299">
        <f t="shared" si="98"/>
        <v>258</v>
      </c>
      <c r="BH231" s="42">
        <f t="shared" si="99"/>
        <v>258</v>
      </c>
      <c r="BI231" s="301">
        <f t="shared" si="95"/>
        <v>41.45930482474219</v>
      </c>
      <c r="BJ231" s="302">
        <f t="shared" si="96"/>
        <v>41.45930482474219</v>
      </c>
      <c r="BK231" s="302">
        <f t="shared" si="100"/>
        <v>1.5406951752578095</v>
      </c>
      <c r="BL231" s="302" t="b">
        <f t="shared" si="97"/>
        <v>0</v>
      </c>
      <c r="BM231" s="304">
        <v>18</v>
      </c>
    </row>
    <row r="232" spans="58:65" ht="20" x14ac:dyDescent="0.3">
      <c r="BF232" s="298">
        <v>19</v>
      </c>
      <c r="BG232" s="299">
        <f t="shared" si="98"/>
        <v>301</v>
      </c>
      <c r="BH232" s="42">
        <f t="shared" si="99"/>
        <v>301</v>
      </c>
      <c r="BI232" s="301">
        <f t="shared" si="95"/>
        <v>84.45930482474219</v>
      </c>
      <c r="BJ232" s="302">
        <f t="shared" si="96"/>
        <v>84.45930482474219</v>
      </c>
      <c r="BK232" s="302">
        <f t="shared" si="100"/>
        <v>1.5406951752578095</v>
      </c>
      <c r="BL232" s="302" t="b">
        <f t="shared" si="97"/>
        <v>0</v>
      </c>
      <c r="BM232" s="304">
        <v>19</v>
      </c>
    </row>
    <row r="233" spans="58:65" ht="20" x14ac:dyDescent="0.3">
      <c r="BF233" s="298">
        <v>20</v>
      </c>
      <c r="BG233" s="299">
        <f t="shared" si="98"/>
        <v>344</v>
      </c>
      <c r="BH233" s="42">
        <f t="shared" si="99"/>
        <v>344</v>
      </c>
      <c r="BI233" s="301">
        <f t="shared" si="95"/>
        <v>127.45930482474219</v>
      </c>
      <c r="BJ233" s="302">
        <f t="shared" si="96"/>
        <v>127.45930482474219</v>
      </c>
      <c r="BK233" s="302">
        <f t="shared" si="100"/>
        <v>1.5406951752578095</v>
      </c>
      <c r="BL233" s="302" t="b">
        <f t="shared" si="97"/>
        <v>0</v>
      </c>
      <c r="BM233" s="304">
        <v>20</v>
      </c>
    </row>
    <row r="234" spans="58:65" ht="20" x14ac:dyDescent="0.3">
      <c r="BF234" s="298">
        <v>21</v>
      </c>
      <c r="BG234" s="299">
        <f t="shared" si="98"/>
        <v>387</v>
      </c>
      <c r="BH234" s="42">
        <f t="shared" si="99"/>
        <v>387</v>
      </c>
      <c r="BI234" s="301">
        <f t="shared" si="95"/>
        <v>170.45930482474219</v>
      </c>
      <c r="BJ234" s="302">
        <f t="shared" si="96"/>
        <v>170.45930482474219</v>
      </c>
      <c r="BK234" s="302">
        <f t="shared" si="100"/>
        <v>1.5406951752578095</v>
      </c>
      <c r="BL234" s="302" t="b">
        <f t="shared" si="97"/>
        <v>0</v>
      </c>
      <c r="BM234" s="304">
        <v>21</v>
      </c>
    </row>
    <row r="235" spans="58:65" ht="20" x14ac:dyDescent="0.3">
      <c r="BF235" s="298">
        <v>22</v>
      </c>
      <c r="BG235" s="299">
        <f t="shared" si="98"/>
        <v>430</v>
      </c>
      <c r="BH235" s="42">
        <f t="shared" si="99"/>
        <v>430</v>
      </c>
      <c r="BI235" s="301">
        <f t="shared" si="95"/>
        <v>213.45930482474219</v>
      </c>
      <c r="BJ235" s="302">
        <f t="shared" si="96"/>
        <v>213.45930482474219</v>
      </c>
      <c r="BK235" s="302">
        <f t="shared" si="100"/>
        <v>1.5406951752578095</v>
      </c>
      <c r="BL235" s="302" t="b">
        <f t="shared" si="97"/>
        <v>0</v>
      </c>
      <c r="BM235" s="304">
        <v>22</v>
      </c>
    </row>
    <row r="236" spans="58:65" ht="20" x14ac:dyDescent="0.3">
      <c r="BF236" s="298">
        <v>23</v>
      </c>
      <c r="BG236" s="299">
        <f t="shared" si="98"/>
        <v>473</v>
      </c>
      <c r="BH236" s="42">
        <f t="shared" si="99"/>
        <v>473</v>
      </c>
      <c r="BI236" s="301">
        <f t="shared" si="95"/>
        <v>256.45930482474216</v>
      </c>
      <c r="BJ236" s="302">
        <f t="shared" si="96"/>
        <v>256.45930482474216</v>
      </c>
      <c r="BK236" s="302">
        <f t="shared" si="100"/>
        <v>1.5406951752578095</v>
      </c>
      <c r="BL236" s="302" t="b">
        <f t="shared" si="97"/>
        <v>0</v>
      </c>
      <c r="BM236" s="304">
        <v>23</v>
      </c>
    </row>
    <row r="237" spans="58:65" ht="20" x14ac:dyDescent="0.3">
      <c r="BF237" s="298">
        <v>24</v>
      </c>
      <c r="BG237" s="299">
        <f t="shared" si="98"/>
        <v>516</v>
      </c>
      <c r="BH237" s="42">
        <f t="shared" si="99"/>
        <v>516</v>
      </c>
      <c r="BI237" s="301">
        <f t="shared" si="95"/>
        <v>299.45930482474216</v>
      </c>
      <c r="BJ237" s="302">
        <f t="shared" si="96"/>
        <v>299.45930482474216</v>
      </c>
      <c r="BK237" s="302">
        <f t="shared" si="100"/>
        <v>1.5406951752578095</v>
      </c>
      <c r="BL237" s="302" t="b">
        <f t="shared" si="97"/>
        <v>0</v>
      </c>
      <c r="BM237" s="304">
        <v>24</v>
      </c>
    </row>
    <row r="238" spans="58:65" ht="20" x14ac:dyDescent="0.3">
      <c r="BF238" s="298">
        <v>25</v>
      </c>
      <c r="BG238" s="299">
        <f t="shared" si="98"/>
        <v>559</v>
      </c>
      <c r="BH238" s="42">
        <f t="shared" si="99"/>
        <v>559</v>
      </c>
      <c r="BI238" s="301">
        <f t="shared" si="95"/>
        <v>342.45930482474216</v>
      </c>
      <c r="BJ238" s="302">
        <f t="shared" si="96"/>
        <v>342.45930482474216</v>
      </c>
      <c r="BK238" s="302">
        <f t="shared" si="100"/>
        <v>1.5406951752578095</v>
      </c>
      <c r="BL238" s="302" t="b">
        <f t="shared" si="97"/>
        <v>0</v>
      </c>
      <c r="BM238" s="304">
        <v>25</v>
      </c>
    </row>
    <row r="239" spans="58:65" ht="20" x14ac:dyDescent="0.3">
      <c r="BF239" s="298">
        <v>26</v>
      </c>
      <c r="BG239" s="299">
        <f t="shared" si="98"/>
        <v>602</v>
      </c>
      <c r="BH239" s="42">
        <f t="shared" si="99"/>
        <v>602</v>
      </c>
      <c r="BI239" s="301">
        <f t="shared" si="95"/>
        <v>385.45930482474216</v>
      </c>
      <c r="BJ239" s="302">
        <f t="shared" si="96"/>
        <v>385.45930482474216</v>
      </c>
      <c r="BK239" s="302">
        <f t="shared" si="100"/>
        <v>1.5406951752578095</v>
      </c>
      <c r="BL239" s="302" t="b">
        <f t="shared" si="97"/>
        <v>0</v>
      </c>
      <c r="BM239" s="304">
        <v>26</v>
      </c>
    </row>
    <row r="240" spans="58:65" ht="20" x14ac:dyDescent="0.3">
      <c r="BF240" s="298">
        <v>27</v>
      </c>
      <c r="BG240" s="299">
        <f t="shared" si="98"/>
        <v>645</v>
      </c>
      <c r="BH240" s="42">
        <f t="shared" si="99"/>
        <v>645</v>
      </c>
      <c r="BI240" s="301">
        <f t="shared" si="95"/>
        <v>428.45930482474216</v>
      </c>
      <c r="BJ240" s="302">
        <f t="shared" si="96"/>
        <v>428.45930482474216</v>
      </c>
      <c r="BK240" s="302">
        <f t="shared" si="100"/>
        <v>1.5406951752578095</v>
      </c>
      <c r="BL240" s="302" t="b">
        <f t="shared" si="97"/>
        <v>0</v>
      </c>
      <c r="BM240" s="304">
        <v>27</v>
      </c>
    </row>
    <row r="241" spans="58:129" ht="20" x14ac:dyDescent="0.3">
      <c r="BF241" s="298">
        <v>28</v>
      </c>
      <c r="BG241" s="299">
        <f t="shared" si="98"/>
        <v>688</v>
      </c>
      <c r="BH241" s="42">
        <f t="shared" si="99"/>
        <v>688</v>
      </c>
      <c r="BI241" s="301">
        <f t="shared" si="95"/>
        <v>471.45930482474216</v>
      </c>
      <c r="BJ241" s="302">
        <f t="shared" si="96"/>
        <v>471.45930482474216</v>
      </c>
      <c r="BK241" s="302">
        <f t="shared" si="100"/>
        <v>1.5406951752578095</v>
      </c>
      <c r="BL241" s="302" t="b">
        <f t="shared" si="97"/>
        <v>0</v>
      </c>
      <c r="BM241" s="304">
        <v>28</v>
      </c>
    </row>
    <row r="242" spans="58:129" ht="20" x14ac:dyDescent="0.3">
      <c r="BF242" s="298">
        <v>29</v>
      </c>
      <c r="BG242" s="299">
        <f t="shared" si="98"/>
        <v>731</v>
      </c>
      <c r="BH242" s="42">
        <f t="shared" si="99"/>
        <v>731</v>
      </c>
      <c r="BI242" s="301">
        <f t="shared" si="95"/>
        <v>514.45930482474216</v>
      </c>
      <c r="BJ242" s="302">
        <f t="shared" si="96"/>
        <v>514.45930482474216</v>
      </c>
      <c r="BK242" s="302">
        <f t="shared" si="100"/>
        <v>1.5406951752578095</v>
      </c>
      <c r="BL242" s="302" t="b">
        <f t="shared" si="97"/>
        <v>0</v>
      </c>
      <c r="BM242" s="304">
        <v>29</v>
      </c>
    </row>
    <row r="243" spans="58:129" ht="20" x14ac:dyDescent="0.3">
      <c r="BF243" s="298">
        <v>30</v>
      </c>
      <c r="BG243" s="299">
        <f t="shared" si="98"/>
        <v>774</v>
      </c>
      <c r="BH243" s="42">
        <f t="shared" si="99"/>
        <v>774</v>
      </c>
      <c r="BI243" s="301">
        <f t="shared" si="95"/>
        <v>557.45930482474216</v>
      </c>
      <c r="BJ243" s="302">
        <f t="shared" si="96"/>
        <v>557.45930482474216</v>
      </c>
      <c r="BK243" s="302">
        <f t="shared" si="100"/>
        <v>1.5406951752578095</v>
      </c>
      <c r="BL243" s="302" t="b">
        <f t="shared" si="97"/>
        <v>0</v>
      </c>
      <c r="BM243" s="304">
        <v>30</v>
      </c>
    </row>
    <row r="244" spans="58:129" ht="20" x14ac:dyDescent="0.3">
      <c r="BF244" s="298">
        <v>31</v>
      </c>
      <c r="BG244" s="299">
        <f t="shared" si="98"/>
        <v>817</v>
      </c>
      <c r="BH244" s="42">
        <f t="shared" si="99"/>
        <v>817</v>
      </c>
      <c r="BI244" s="301">
        <f t="shared" si="95"/>
        <v>600.45930482474216</v>
      </c>
      <c r="BJ244" s="302">
        <f t="shared" si="96"/>
        <v>600.45930482474216</v>
      </c>
      <c r="BK244" s="302">
        <f t="shared" si="100"/>
        <v>1.5406951752578095</v>
      </c>
      <c r="BL244" s="302" t="b">
        <f t="shared" si="97"/>
        <v>0</v>
      </c>
      <c r="BM244" s="304">
        <v>31</v>
      </c>
    </row>
    <row r="245" spans="58:129" ht="20" x14ac:dyDescent="0.3">
      <c r="BF245" s="298">
        <v>32</v>
      </c>
      <c r="BG245" s="299">
        <f t="shared" si="98"/>
        <v>860</v>
      </c>
      <c r="BH245" s="42">
        <f t="shared" si="99"/>
        <v>860</v>
      </c>
      <c r="BI245" s="301">
        <f t="shared" si="95"/>
        <v>643.45930482474216</v>
      </c>
      <c r="BJ245" s="302">
        <f t="shared" si="96"/>
        <v>643.45930482474216</v>
      </c>
      <c r="BK245" s="302">
        <f t="shared" si="100"/>
        <v>1.5406951752578095</v>
      </c>
      <c r="BL245" s="302" t="b">
        <f t="shared" si="97"/>
        <v>0</v>
      </c>
      <c r="BM245" s="304">
        <v>32</v>
      </c>
    </row>
    <row r="246" spans="58:129" ht="20" x14ac:dyDescent="0.3">
      <c r="BF246" s="298">
        <v>33</v>
      </c>
      <c r="BG246" s="299">
        <f t="shared" si="98"/>
        <v>903</v>
      </c>
      <c r="BH246" s="42">
        <f t="shared" si="99"/>
        <v>903</v>
      </c>
      <c r="BI246" s="301">
        <f t="shared" si="95"/>
        <v>686.45930482474216</v>
      </c>
      <c r="BJ246" s="302">
        <f t="shared" si="96"/>
        <v>686.45930482474216</v>
      </c>
      <c r="BK246" s="302">
        <f t="shared" si="100"/>
        <v>1.5406951752578095</v>
      </c>
      <c r="BL246" s="302" t="b">
        <f t="shared" si="97"/>
        <v>0</v>
      </c>
      <c r="BM246" s="304">
        <v>33</v>
      </c>
    </row>
    <row r="247" spans="58:129" ht="20" x14ac:dyDescent="0.3">
      <c r="BF247" s="298">
        <v>34</v>
      </c>
      <c r="BG247" s="299">
        <f t="shared" si="98"/>
        <v>946</v>
      </c>
      <c r="BH247" s="42">
        <f t="shared" si="99"/>
        <v>946</v>
      </c>
      <c r="BI247" s="301">
        <f t="shared" si="95"/>
        <v>729.45930482474216</v>
      </c>
      <c r="BJ247" s="302">
        <f t="shared" si="96"/>
        <v>729.45930482474216</v>
      </c>
      <c r="BK247" s="302">
        <f t="shared" si="100"/>
        <v>1.5406951752578095</v>
      </c>
      <c r="BL247" s="302" t="b">
        <f t="shared" si="97"/>
        <v>0</v>
      </c>
      <c r="BM247" s="304">
        <v>34</v>
      </c>
    </row>
    <row r="248" spans="58:129" ht="20" x14ac:dyDescent="0.3">
      <c r="BF248" s="298">
        <v>35</v>
      </c>
      <c r="BG248" s="299">
        <f t="shared" si="98"/>
        <v>989</v>
      </c>
      <c r="BH248" s="42">
        <f t="shared" si="99"/>
        <v>989</v>
      </c>
      <c r="BI248" s="301">
        <f t="shared" si="95"/>
        <v>772.45930482474216</v>
      </c>
      <c r="BJ248" s="302">
        <f t="shared" si="96"/>
        <v>772.45930482474216</v>
      </c>
      <c r="BK248" s="302">
        <f t="shared" si="100"/>
        <v>1.5406951752578095</v>
      </c>
      <c r="BL248" s="302" t="b">
        <f t="shared" si="97"/>
        <v>0</v>
      </c>
      <c r="BM248" s="304">
        <v>35</v>
      </c>
      <c r="DF248" s="305"/>
      <c r="DG248" s="305"/>
      <c r="DH248" s="305"/>
      <c r="DI248" s="305"/>
      <c r="DJ248" s="305"/>
      <c r="DK248" s="305"/>
      <c r="DL248" s="1818"/>
      <c r="DM248" s="1818"/>
      <c r="DN248" s="1818"/>
      <c r="DO248" s="126"/>
    </row>
    <row r="249" spans="58:129" ht="20" x14ac:dyDescent="0.3">
      <c r="BF249" s="298">
        <v>36</v>
      </c>
      <c r="BG249" s="299">
        <f t="shared" si="98"/>
        <v>1032</v>
      </c>
      <c r="BH249" s="42">
        <f t="shared" si="99"/>
        <v>1032</v>
      </c>
      <c r="BI249" s="301">
        <f t="shared" si="95"/>
        <v>815.45930482474216</v>
      </c>
      <c r="BJ249" s="302">
        <f t="shared" si="96"/>
        <v>815.45930482474216</v>
      </c>
      <c r="BK249" s="302">
        <f t="shared" si="100"/>
        <v>1.5406951752578095</v>
      </c>
      <c r="BL249" s="302" t="b">
        <f t="shared" si="97"/>
        <v>0</v>
      </c>
      <c r="BM249" s="304">
        <v>36</v>
      </c>
      <c r="DL249" s="306"/>
      <c r="DY249" s="306"/>
    </row>
    <row r="250" spans="58:129" ht="20" x14ac:dyDescent="0.3">
      <c r="BF250" s="308">
        <v>37</v>
      </c>
      <c r="BG250" s="309">
        <f t="shared" si="98"/>
        <v>1075</v>
      </c>
      <c r="BH250" s="42">
        <f t="shared" si="99"/>
        <v>1075</v>
      </c>
      <c r="BI250" s="301">
        <f t="shared" si="95"/>
        <v>858.45930482474216</v>
      </c>
      <c r="BJ250" s="302">
        <f t="shared" si="96"/>
        <v>858.45930482474216</v>
      </c>
      <c r="BK250" s="302">
        <f t="shared" si="100"/>
        <v>1.5406951752578095</v>
      </c>
      <c r="BL250" s="302" t="b">
        <f t="shared" si="97"/>
        <v>0</v>
      </c>
      <c r="BM250" s="310">
        <v>37</v>
      </c>
      <c r="DF250" s="307"/>
      <c r="DG250" s="307"/>
      <c r="DH250" s="307"/>
      <c r="DI250" s="307"/>
      <c r="DJ250" s="307"/>
      <c r="DK250" s="307"/>
      <c r="DL250" s="1819"/>
      <c r="DM250" s="1819"/>
      <c r="DX250" s="1813"/>
      <c r="DY250" s="1813"/>
    </row>
    <row r="267" spans="110:134" x14ac:dyDescent="0.2">
      <c r="DF267" s="126"/>
      <c r="DH267" s="126"/>
      <c r="DJ267" s="126"/>
    </row>
    <row r="268" spans="110:134" x14ac:dyDescent="0.2">
      <c r="DF268" s="126"/>
      <c r="DJ268" s="126"/>
    </row>
    <row r="269" spans="110:134" x14ac:dyDescent="0.2">
      <c r="DF269" s="126"/>
      <c r="DG269" s="311"/>
      <c r="DH269" s="311"/>
      <c r="DI269" s="311"/>
      <c r="DJ269" s="311"/>
      <c r="DK269" s="311"/>
      <c r="DL269" s="311"/>
      <c r="DM269" s="311"/>
      <c r="DN269" s="311"/>
      <c r="DO269" s="311"/>
      <c r="DP269" s="311"/>
      <c r="DQ269" s="311"/>
      <c r="DR269" s="311"/>
      <c r="DS269" s="311"/>
      <c r="DT269" s="311"/>
      <c r="DU269" s="311"/>
      <c r="DV269" s="311"/>
      <c r="DW269" s="311"/>
      <c r="DX269" s="311"/>
      <c r="DY269" s="311"/>
      <c r="DZ269" s="311"/>
      <c r="EA269" s="311"/>
      <c r="EB269" s="311"/>
      <c r="EC269" s="311"/>
      <c r="ED269" s="311"/>
    </row>
    <row r="270" spans="110:134" x14ac:dyDescent="0.2">
      <c r="DF270" s="126"/>
    </row>
    <row r="271" spans="110:134" x14ac:dyDescent="0.2">
      <c r="DF271" s="235"/>
      <c r="DG271" s="312"/>
      <c r="DH271" s="312"/>
      <c r="DI271" s="312"/>
      <c r="DJ271" s="312"/>
      <c r="DK271" s="312"/>
      <c r="DL271" s="312"/>
      <c r="DM271" s="312"/>
      <c r="DN271" s="312"/>
      <c r="DO271" s="312"/>
      <c r="DP271" s="312"/>
      <c r="DQ271" s="312"/>
      <c r="DR271" s="312"/>
      <c r="DS271" s="312"/>
      <c r="DT271" s="312"/>
      <c r="DU271" s="312"/>
      <c r="DV271" s="312"/>
      <c r="DW271" s="312"/>
      <c r="DX271" s="312"/>
      <c r="DY271" s="312"/>
      <c r="DZ271" s="312"/>
      <c r="EA271" s="312"/>
      <c r="EB271" s="312"/>
      <c r="EC271" s="312"/>
      <c r="ED271" s="312"/>
    </row>
    <row r="272" spans="110:134" x14ac:dyDescent="0.2">
      <c r="DF272" s="126"/>
      <c r="DG272" s="203"/>
      <c r="DH272" s="203"/>
      <c r="DI272" s="203"/>
      <c r="DJ272" s="203"/>
      <c r="DK272" s="203"/>
      <c r="DL272" s="203"/>
      <c r="DM272" s="203"/>
      <c r="DN272" s="203"/>
      <c r="DO272" s="203"/>
      <c r="DP272" s="203"/>
      <c r="DQ272" s="203"/>
      <c r="DR272" s="203"/>
      <c r="DS272" s="203"/>
      <c r="DT272" s="203"/>
      <c r="DU272" s="203"/>
      <c r="DV272" s="203"/>
      <c r="DW272" s="203"/>
      <c r="DX272" s="203"/>
      <c r="DY272" s="203"/>
      <c r="DZ272" s="203"/>
      <c r="EA272" s="203"/>
      <c r="EB272" s="203"/>
      <c r="EC272" s="203"/>
      <c r="ED272" s="203"/>
    </row>
    <row r="274" spans="111:134" x14ac:dyDescent="0.2">
      <c r="DG274" s="236"/>
      <c r="DH274" s="236"/>
      <c r="DI274" s="236"/>
      <c r="DJ274" s="236"/>
      <c r="DK274" s="236"/>
      <c r="DL274" s="236"/>
      <c r="DM274" s="126"/>
      <c r="DN274" s="126"/>
      <c r="DO274" s="126"/>
      <c r="DP274" s="126"/>
      <c r="DQ274" s="126"/>
      <c r="DR274" s="236"/>
      <c r="DS274" s="236"/>
      <c r="DT274" s="236"/>
      <c r="DU274" s="126"/>
      <c r="DV274" s="126"/>
      <c r="DW274" s="126"/>
      <c r="DX274" s="126"/>
      <c r="DY274" s="126"/>
      <c r="DZ274" s="126"/>
      <c r="EA274" s="126"/>
      <c r="EB274" s="126"/>
      <c r="EC274" s="126"/>
      <c r="ED274" s="126"/>
    </row>
    <row r="275" spans="111:134" x14ac:dyDescent="0.2">
      <c r="DG275" s="236"/>
      <c r="DH275" s="236"/>
      <c r="DI275" s="236"/>
      <c r="DJ275" s="236"/>
      <c r="DK275" s="236"/>
      <c r="DL275" s="236"/>
      <c r="DQ275" s="236"/>
      <c r="DR275" s="236"/>
      <c r="DS275" s="236"/>
      <c r="DT275" s="236"/>
      <c r="DY275" s="236"/>
      <c r="DZ275" s="236"/>
      <c r="EA275" s="236"/>
      <c r="EB275" s="236"/>
      <c r="EC275" s="236"/>
      <c r="ED275" s="236"/>
    </row>
  </sheetData>
  <sheetProtection algorithmName="SHA-512" hashValue="kwL8yEnRaKr7m5twLdb5OFTxsj3MBEyagZu7e5C/ghHDZ2lfXn/Q6AW3GtGDo1iajvpg/o500jntGeDjBqfxGQ==" saltValue="F//kheruPVbEQcgmz4Q5Jg==" spinCount="100000" sheet="1" objects="1" scenarios="1" selectLockedCells="1"/>
  <protectedRanges>
    <protectedRange sqref="B132 B163 D198:D205 B157 B139 D142:D158 B195 D166:D185" name="Range1"/>
  </protectedRanges>
  <mergeCells count="25">
    <mergeCell ref="DG41:DH41"/>
    <mergeCell ref="DX250:DY250"/>
    <mergeCell ref="W163:AA163"/>
    <mergeCell ref="BA163:BB163"/>
    <mergeCell ref="B155:B156"/>
    <mergeCell ref="W139:AA139"/>
    <mergeCell ref="BA139:BB139"/>
    <mergeCell ref="BA195:BB195"/>
    <mergeCell ref="BV195:BX195"/>
    <mergeCell ref="BV197:BW197"/>
    <mergeCell ref="CH197:CI197"/>
    <mergeCell ref="DL248:DN248"/>
    <mergeCell ref="DL250:DM250"/>
    <mergeCell ref="B130:B131"/>
    <mergeCell ref="BQ34:CA35"/>
    <mergeCell ref="CS34:DA35"/>
    <mergeCell ref="CB35:CC35"/>
    <mergeCell ref="CQ35:CR35"/>
    <mergeCell ref="BQ27:BR27"/>
    <mergeCell ref="CQ28:DA29"/>
    <mergeCell ref="BQ29:BR29"/>
    <mergeCell ref="CO29:CP29"/>
    <mergeCell ref="BQ31:CA32"/>
    <mergeCell ref="CB32:CC32"/>
    <mergeCell ref="CZ32:DA32"/>
  </mergeCells>
  <conditionalFormatting sqref="B143:BB143">
    <cfRule type="expression" dxfId="647" priority="95" stopIfTrue="1">
      <formula>$B$139&lt;2</formula>
    </cfRule>
  </conditionalFormatting>
  <conditionalFormatting sqref="B144:BB144">
    <cfRule type="expression" dxfId="646" priority="129" stopIfTrue="1">
      <formula>$B$139&lt;3</formula>
    </cfRule>
  </conditionalFormatting>
  <conditionalFormatting sqref="B145:BB145">
    <cfRule type="expression" dxfId="645" priority="128" stopIfTrue="1">
      <formula>$B$139&lt;4</formula>
    </cfRule>
  </conditionalFormatting>
  <conditionalFormatting sqref="B146:BB146">
    <cfRule type="expression" dxfId="644" priority="127" stopIfTrue="1">
      <formula>$B$139&lt;5</formula>
    </cfRule>
  </conditionalFormatting>
  <conditionalFormatting sqref="B147:BB147">
    <cfRule type="expression" dxfId="643" priority="126" stopIfTrue="1">
      <formula>$B$139&lt;6</formula>
    </cfRule>
  </conditionalFormatting>
  <conditionalFormatting sqref="B148:BB148">
    <cfRule type="expression" dxfId="642" priority="125" stopIfTrue="1">
      <formula>$B$139&lt;7</formula>
    </cfRule>
  </conditionalFormatting>
  <conditionalFormatting sqref="B149:BB149">
    <cfRule type="expression" dxfId="641" priority="124" stopIfTrue="1">
      <formula>$B$139&lt;8</formula>
    </cfRule>
  </conditionalFormatting>
  <conditionalFormatting sqref="B150:BB150">
    <cfRule type="expression" dxfId="640" priority="123" stopIfTrue="1">
      <formula>$B$139&lt;9</formula>
    </cfRule>
  </conditionalFormatting>
  <conditionalFormatting sqref="B151:BB151">
    <cfRule type="expression" dxfId="639" priority="122" stopIfTrue="1">
      <formula>$B$139&lt;10</formula>
    </cfRule>
  </conditionalFormatting>
  <conditionalFormatting sqref="B152:BB152">
    <cfRule type="expression" dxfId="638" priority="121" stopIfTrue="1">
      <formula>$B$139&lt;11</formula>
    </cfRule>
  </conditionalFormatting>
  <conditionalFormatting sqref="B153:BB153">
    <cfRule type="expression" dxfId="637" priority="120" stopIfTrue="1">
      <formula>$B$139&lt;12</formula>
    </cfRule>
  </conditionalFormatting>
  <conditionalFormatting sqref="B167:BB167">
    <cfRule type="expression" dxfId="636" priority="73" stopIfTrue="1">
      <formula>$B$163&lt;2</formula>
    </cfRule>
  </conditionalFormatting>
  <conditionalFormatting sqref="B168:BB168">
    <cfRule type="expression" dxfId="635" priority="70" stopIfTrue="1">
      <formula>$B$163&lt;3</formula>
    </cfRule>
  </conditionalFormatting>
  <conditionalFormatting sqref="B169:BB169">
    <cfRule type="expression" dxfId="634" priority="67" stopIfTrue="1">
      <formula>$B$163&lt;4</formula>
    </cfRule>
  </conditionalFormatting>
  <conditionalFormatting sqref="B170:BB170">
    <cfRule type="expression" dxfId="633" priority="64" stopIfTrue="1">
      <formula>$B$163&lt;5</formula>
    </cfRule>
  </conditionalFormatting>
  <conditionalFormatting sqref="B171:BB171">
    <cfRule type="expression" dxfId="632" priority="61" stopIfTrue="1">
      <formula>$B$163&lt;6</formula>
    </cfRule>
  </conditionalFormatting>
  <conditionalFormatting sqref="B172:BB172">
    <cfRule type="expression" dxfId="631" priority="58" stopIfTrue="1">
      <formula>$B$163&lt;7</formula>
    </cfRule>
  </conditionalFormatting>
  <conditionalFormatting sqref="B173:BB173">
    <cfRule type="expression" dxfId="630" priority="55" stopIfTrue="1">
      <formula>$B$163&lt;8</formula>
    </cfRule>
  </conditionalFormatting>
  <conditionalFormatting sqref="B174:BB174">
    <cfRule type="expression" dxfId="629" priority="52" stopIfTrue="1">
      <formula>$B$163&lt;9</formula>
    </cfRule>
  </conditionalFormatting>
  <conditionalFormatting sqref="B175:BB175">
    <cfRule type="expression" dxfId="628" priority="49" stopIfTrue="1">
      <formula>$B$163&lt;10</formula>
    </cfRule>
  </conditionalFormatting>
  <conditionalFormatting sqref="B176:BB176">
    <cfRule type="expression" dxfId="627" priority="46" stopIfTrue="1">
      <formula>$B$163&lt;11</formula>
    </cfRule>
  </conditionalFormatting>
  <conditionalFormatting sqref="B177:BB177">
    <cfRule type="expression" dxfId="626" priority="43" stopIfTrue="1">
      <formula>$B$163&lt;12</formula>
    </cfRule>
  </conditionalFormatting>
  <conditionalFormatting sqref="B178:BB178">
    <cfRule type="expression" dxfId="625" priority="40" stopIfTrue="1">
      <formula>$B$163&lt;13</formula>
    </cfRule>
  </conditionalFormatting>
  <conditionalFormatting sqref="B179:BB179">
    <cfRule type="expression" dxfId="624" priority="37" stopIfTrue="1">
      <formula>$B$163&lt;14</formula>
    </cfRule>
  </conditionalFormatting>
  <conditionalFormatting sqref="B180:BB180">
    <cfRule type="expression" dxfId="623" priority="34" stopIfTrue="1">
      <formula>$B$163&lt;15</formula>
    </cfRule>
  </conditionalFormatting>
  <conditionalFormatting sqref="B181:BB181">
    <cfRule type="expression" dxfId="622" priority="31" stopIfTrue="1">
      <formula>$B$163&lt;16</formula>
    </cfRule>
  </conditionalFormatting>
  <conditionalFormatting sqref="B182:BB182">
    <cfRule type="expression" dxfId="621" priority="28" stopIfTrue="1">
      <formula>$B$163&lt;17</formula>
    </cfRule>
  </conditionalFormatting>
  <conditionalFormatting sqref="B183:BB183">
    <cfRule type="expression" dxfId="620" priority="25" stopIfTrue="1">
      <formula>$B$163&lt;18</formula>
    </cfRule>
  </conditionalFormatting>
  <conditionalFormatting sqref="B184:BB184">
    <cfRule type="expression" dxfId="619" priority="24" stopIfTrue="1">
      <formula>$B$163&lt;19</formula>
    </cfRule>
  </conditionalFormatting>
  <conditionalFormatting sqref="B185:BB185">
    <cfRule type="expression" dxfId="618" priority="23" stopIfTrue="1">
      <formula>$B$163&lt;20</formula>
    </cfRule>
  </conditionalFormatting>
  <conditionalFormatting sqref="B199:BB199">
    <cfRule type="expression" dxfId="617" priority="20">
      <formula>$B$195&lt;2</formula>
    </cfRule>
  </conditionalFormatting>
  <conditionalFormatting sqref="B200:BB200">
    <cfRule type="expression" dxfId="616" priority="19">
      <formula>$B$195&lt;3</formula>
    </cfRule>
  </conditionalFormatting>
  <conditionalFormatting sqref="B201:BB201">
    <cfRule type="expression" dxfId="615" priority="18">
      <formula>$B$195&lt;4</formula>
    </cfRule>
  </conditionalFormatting>
  <conditionalFormatting sqref="B202:BB202">
    <cfRule type="expression" dxfId="614" priority="17">
      <formula>$B$195&lt;5</formula>
    </cfRule>
  </conditionalFormatting>
  <conditionalFormatting sqref="B203:BB203">
    <cfRule type="expression" dxfId="613" priority="16">
      <formula>$B$195&lt;6</formula>
    </cfRule>
  </conditionalFormatting>
  <conditionalFormatting sqref="B204:BB204">
    <cfRule type="expression" dxfId="612" priority="15">
      <formula>$B$195&lt;7</formula>
    </cfRule>
  </conditionalFormatting>
  <conditionalFormatting sqref="B205:BB205">
    <cfRule type="expression" dxfId="611" priority="14">
      <formula>$B$195&lt;8</formula>
    </cfRule>
  </conditionalFormatting>
  <conditionalFormatting sqref="D129:D130">
    <cfRule type="cellIs" dxfId="610" priority="136" stopIfTrue="1" operator="equal">
      <formula>"change the angle of frame or of cabinets"</formula>
    </cfRule>
  </conditionalFormatting>
  <conditionalFormatting sqref="D131">
    <cfRule type="cellIs" dxfId="609" priority="135" stopIfTrue="1" operator="equal">
      <formula>"USE EXBAR AR AT THE FRONT"</formula>
    </cfRule>
  </conditionalFormatting>
  <conditionalFormatting sqref="D132">
    <cfRule type="cellIs" dxfId="608" priority="134" stopIfTrue="1" operator="equal">
      <formula>"USE EXBAR AR AT THE BACK"</formula>
    </cfRule>
  </conditionalFormatting>
  <conditionalFormatting sqref="D142:D153">
    <cfRule type="cellIs" dxfId="607" priority="132" stopIfTrue="1" operator="notEqual">
      <formula>0</formula>
    </cfRule>
  </conditionalFormatting>
  <conditionalFormatting sqref="D166:D185">
    <cfRule type="cellIs" dxfId="606" priority="76" operator="notEqual">
      <formula>0</formula>
    </cfRule>
  </conditionalFormatting>
  <conditionalFormatting sqref="D198:D205">
    <cfRule type="cellIs" dxfId="605" priority="21" operator="notEqual">
      <formula>0</formula>
    </cfRule>
  </conditionalFormatting>
  <conditionalFormatting sqref="AZ198">
    <cfRule type="expression" dxfId="604" priority="1" stopIfTrue="1">
      <formula>$B$144&lt;1</formula>
    </cfRule>
  </conditionalFormatting>
  <conditionalFormatting sqref="BA142:BB153">
    <cfRule type="cellIs" dxfId="603" priority="130" stopIfTrue="1" operator="lessThan">
      <formula>10</formula>
    </cfRule>
  </conditionalFormatting>
  <conditionalFormatting sqref="BA166:BB185">
    <cfRule type="cellIs" dxfId="602" priority="80" operator="lessThan">
      <formula>10</formula>
    </cfRule>
  </conditionalFormatting>
  <conditionalFormatting sqref="BA198:BB205">
    <cfRule type="cellIs" dxfId="601" priority="22" operator="lessThan">
      <formula>10</formula>
    </cfRule>
  </conditionalFormatting>
  <conditionalFormatting sqref="BL214:BL250">
    <cfRule type="cellIs" dxfId="600" priority="161" stopIfTrue="1" operator="equal">
      <formula>FALSE</formula>
    </cfRule>
  </conditionalFormatting>
  <conditionalFormatting sqref="BN28">
    <cfRule type="cellIs" dxfId="599" priority="10" stopIfTrue="1" operator="equal">
      <formula>"negative force at the motor"</formula>
    </cfRule>
  </conditionalFormatting>
  <conditionalFormatting sqref="BN28:BN29">
    <cfRule type="cellIs" dxfId="598" priority="9" operator="equal">
      <formula>"""OK"""</formula>
    </cfRule>
  </conditionalFormatting>
  <conditionalFormatting sqref="BN29">
    <cfRule type="cellIs" dxfId="597" priority="157" stopIfTrue="1" operator="equal">
      <formula>"overload"</formula>
    </cfRule>
  </conditionalFormatting>
  <conditionalFormatting sqref="BN31">
    <cfRule type="cellIs" dxfId="596" priority="8" stopIfTrue="1" operator="equal">
      <formula>"negative force at the motor"</formula>
    </cfRule>
  </conditionalFormatting>
  <conditionalFormatting sqref="BN31:BN32">
    <cfRule type="cellIs" dxfId="595" priority="7" operator="equal">
      <formula>"""OK"""</formula>
    </cfRule>
  </conditionalFormatting>
  <conditionalFormatting sqref="BN34">
    <cfRule type="cellIs" dxfId="594" priority="6" stopIfTrue="1" operator="equal">
      <formula>"negative force at the motor"</formula>
    </cfRule>
  </conditionalFormatting>
  <conditionalFormatting sqref="BN34:BN35">
    <cfRule type="cellIs" dxfId="593" priority="5" operator="equal">
      <formula>"""OK"""</formula>
    </cfRule>
  </conditionalFormatting>
  <conditionalFormatting sqref="BN58 BN63 BN127 BN32 BN35">
    <cfRule type="cellIs" dxfId="592" priority="155" stopIfTrue="1" operator="equal">
      <formula>"overload"</formula>
    </cfRule>
  </conditionalFormatting>
  <conditionalFormatting sqref="BN58 BN127 BN63">
    <cfRule type="cellIs" dxfId="591" priority="154" operator="equal">
      <formula>"""OK"""</formula>
    </cfRule>
  </conditionalFormatting>
  <conditionalFormatting sqref="BO57:BO58 BN58 BN127">
    <cfRule type="expression" dxfId="590" priority="11">
      <formula>$B$132&lt;&gt;0</formula>
    </cfRule>
  </conditionalFormatting>
  <conditionalFormatting sqref="BO126:BO127">
    <cfRule type="expression" dxfId="589" priority="2">
      <formula>$B$132&lt;&gt;0</formula>
    </cfRule>
  </conditionalFormatting>
  <conditionalFormatting sqref="BQ126:CG126">
    <cfRule type="expression" dxfId="588" priority="4">
      <formula>$B$132=0</formula>
    </cfRule>
  </conditionalFormatting>
  <conditionalFormatting sqref="BQ59:DB61 BV163:CI170">
    <cfRule type="cellIs" dxfId="587" priority="164" stopIfTrue="1" operator="equal">
      <formula>FALSE</formula>
    </cfRule>
  </conditionalFormatting>
  <conditionalFormatting sqref="CB57:CR57">
    <cfRule type="cellIs" dxfId="586" priority="12" operator="equal">
      <formula>0</formula>
    </cfRule>
    <cfRule type="expression" dxfId="585" priority="13">
      <formula>$B$132=0</formula>
    </cfRule>
  </conditionalFormatting>
  <conditionalFormatting sqref="CK126:DA126">
    <cfRule type="expression" dxfId="584" priority="3">
      <formula>$B$132=0</formula>
    </cfRule>
  </conditionalFormatting>
  <dataValidations count="12">
    <dataValidation type="whole" allowBlank="1" showInputMessage="1" showErrorMessage="1" errorTitle="Coda Audio" error="YOU HAVE ENTERED A WRONG NUMBER OF CABINETS" promptTitle="Coda Audio" prompt="ENTER THE NUMBER OF CABINETS FROM 1 UP TO 8" sqref="B195" xr:uid="{00000000-0002-0000-0F00-000000000000}">
      <formula1>1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39" xr:uid="{00000000-0002-0000-0F00-000001000000}">
      <formula1>1</formula1>
      <formula2>10</formula2>
    </dataValidation>
    <dataValidation type="decimal" allowBlank="1" showInputMessage="1" showErrorMessage="1" sqref="G143:G158 D136:D137 G199:G205 F200:F205 F144:F158 F134:G137 D134 D186 F168:F186 G167:G186" xr:uid="{00000000-0002-0000-0F00-000002000000}">
      <formula1>0</formula1>
      <formula2>8</formula2>
    </dataValidation>
    <dataValidation type="decimal" allowBlank="1" showInputMessage="1" showErrorMessage="1" sqref="F142:G142 F166:G166 F198:G198" xr:uid="{00000000-0002-0000-0F00-000003000000}">
      <formula1>0</formula1>
      <formula2>4</formula2>
    </dataValidation>
    <dataValidation type="whole" allowBlank="1" showInputMessage="1" showErrorMessage="1" sqref="D200:D205" xr:uid="{00000000-0002-0000-0F00-000004000000}">
      <formula1>0</formula1>
      <formula2>10</formula2>
    </dataValidation>
    <dataValidation type="custom" allowBlank="1" showInputMessage="1" showErrorMessage="1" sqref="D142:D158" xr:uid="{00000000-0002-0000-0F00-000005000000}">
      <formula1>OR(D142=0,D142=2.5,D142=5)</formula1>
    </dataValidation>
    <dataValidation type="decimal" allowBlank="1" showInputMessage="1" showErrorMessage="1" sqref="B132" xr:uid="{00000000-0002-0000-0F00-000006000000}">
      <formula1>-89.9</formula1>
      <formula2>89.9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63" xr:uid="{00000000-0002-0000-0F00-000007000000}">
      <formula1>1</formula1>
      <formula2>20</formula2>
    </dataValidation>
    <dataValidation type="whole" allowBlank="1" showInputMessage="1" showErrorMessage="1" sqref="D166" xr:uid="{00000000-0002-0000-0F00-000008000000}">
      <formula1>-2</formula1>
      <formula2>4</formula2>
    </dataValidation>
    <dataValidation type="whole" allowBlank="1" showInputMessage="1" showErrorMessage="1" sqref="D199" xr:uid="{00000000-0002-0000-0F00-000009000000}">
      <formula1>0</formula1>
      <formula2>5</formula2>
    </dataValidation>
    <dataValidation type="custom" allowBlank="1" showInputMessage="1" showErrorMessage="1" sqref="D167:D185" xr:uid="{00000000-0002-0000-0F00-00000A000000}">
      <formula1>OR(D167=0,D167=0.5,D167=1,D167=2,D167=2.5,D167=3,D167=4,D167=5,D167=6,D167=7,D167=8)</formula1>
    </dataValidation>
    <dataValidation type="custom" allowBlank="1" showInputMessage="1" showErrorMessage="1" sqref="D198" xr:uid="{00000000-0002-0000-0F00-00000B000000}">
      <formula1>OR(D198=0,D198=0.5,D198=1,D198=2,D198=2.5,D198=3,D198=4.5,D198=5.5,D198=6.5,D198=8,D198=9)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ignoredErrors>
    <ignoredError sqref="BN28:BN34" unlockedFormula="1"/>
  </ignoredErrors>
  <drawing r:id="rId2"/>
  <legacyDrawing r:id="rId3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theme="8" tint="0.39997558519241921"/>
  </sheetPr>
  <dimension ref="A1:EN1048386"/>
  <sheetViews>
    <sheetView topLeftCell="A27" zoomScale="50" zoomScaleNormal="50" workbookViewId="0">
      <selection activeCell="B171" sqref="B171"/>
    </sheetView>
  </sheetViews>
  <sheetFormatPr baseColWidth="10" defaultColWidth="9.1640625" defaultRowHeight="18" x14ac:dyDescent="0.2"/>
  <cols>
    <col min="1" max="1" width="1.5" customWidth="1"/>
    <col min="2" max="2" width="35.5" style="35" customWidth="1"/>
    <col min="3" max="3" width="34.5" style="35" hidden="1" customWidth="1"/>
    <col min="4" max="4" width="34.5" customWidth="1"/>
    <col min="5" max="5" width="50.33203125" customWidth="1"/>
    <col min="6" max="6" width="40.5" hidden="1" customWidth="1"/>
    <col min="7" max="7" width="16.1640625" hidden="1" customWidth="1"/>
    <col min="8" max="16" width="6.5" style="64" hidden="1" customWidth="1"/>
    <col min="17" max="17" width="16.1640625" style="64" hidden="1" customWidth="1"/>
    <col min="18" max="18" width="20.6640625" style="64" hidden="1" customWidth="1"/>
    <col min="19" max="19" width="19.5" style="64" hidden="1" customWidth="1"/>
    <col min="20" max="20" width="22.33203125" style="64" hidden="1" customWidth="1"/>
    <col min="21" max="21" width="13.5" style="64" hidden="1" customWidth="1"/>
    <col min="22" max="22" width="19.5" style="64" hidden="1" customWidth="1"/>
    <col min="23" max="24" width="17.5" style="64" hidden="1" customWidth="1"/>
    <col min="25" max="25" width="14.5" style="64" hidden="1" customWidth="1"/>
    <col min="26" max="27" width="19.5" style="64" hidden="1" customWidth="1"/>
    <col min="28" max="28" width="39.5" style="64" customWidth="1"/>
    <col min="29" max="29" width="23.83203125" style="64" hidden="1" customWidth="1"/>
    <col min="30" max="32" width="22.5" style="64" hidden="1" customWidth="1"/>
    <col min="33" max="41" width="14.83203125" style="64" hidden="1" customWidth="1"/>
    <col min="42" max="42" width="24.83203125" style="64" hidden="1" customWidth="1"/>
    <col min="43" max="43" width="14.83203125" style="64" hidden="1" customWidth="1"/>
    <col min="44" max="47" width="20.6640625" style="64" hidden="1" customWidth="1"/>
    <col min="48" max="48" width="8.83203125" style="64" hidden="1" customWidth="1"/>
    <col min="49" max="50" width="15.1640625" style="64" hidden="1" customWidth="1"/>
    <col min="51" max="52" width="12.5" style="64" hidden="1" customWidth="1"/>
    <col min="53" max="54" width="13.5" style="64" customWidth="1"/>
    <col min="55" max="55" width="15.1640625" hidden="1" customWidth="1"/>
    <col min="56" max="56" width="9.1640625" hidden="1" customWidth="1"/>
    <col min="57" max="57" width="4.83203125" hidden="1" customWidth="1"/>
    <col min="58" max="58" width="6.83203125" hidden="1" customWidth="1"/>
    <col min="59" max="59" width="34.1640625" hidden="1" customWidth="1"/>
    <col min="60" max="60" width="17" hidden="1" customWidth="1"/>
    <col min="61" max="62" width="16.33203125" hidden="1" customWidth="1"/>
    <col min="63" max="63" width="9.33203125" hidden="1" customWidth="1"/>
    <col min="64" max="64" width="14.1640625" hidden="1" customWidth="1"/>
    <col min="65" max="65" width="16.83203125" style="81" hidden="1" customWidth="1"/>
    <col min="66" max="66" width="26.5" customWidth="1"/>
    <col min="67" max="67" width="39.6640625" style="59" customWidth="1"/>
    <col min="68" max="68" width="41.83203125" customWidth="1"/>
    <col min="69" max="79" width="6.5" customWidth="1"/>
    <col min="80" max="80" width="9" customWidth="1"/>
    <col min="81" max="93" width="6.5" customWidth="1"/>
    <col min="94" max="94" width="8" customWidth="1"/>
    <col min="95" max="105" width="6.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36" width="6.5" hidden="1" customWidth="1"/>
    <col min="137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482" t="s">
        <v>104</v>
      </c>
      <c r="E1" s="482" t="s">
        <v>105</v>
      </c>
      <c r="F1" s="482" t="s">
        <v>106</v>
      </c>
      <c r="G1" s="990" t="s">
        <v>220</v>
      </c>
      <c r="H1" s="1073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+COS(($B$132*-1)*3.14159265358979/180)*C2</f>
        <v>688</v>
      </c>
      <c r="E2" s="41">
        <f>+COS(($B$132*-1)*3.14159265358979/180)*43</f>
        <v>43</v>
      </c>
      <c r="F2" s="42">
        <f>+COS((($B$132*-1)+72.969997)*3.14159265358979/180)*162.1867</f>
        <v>47.500013702602963</v>
      </c>
      <c r="G2" s="994" t="s">
        <v>212</v>
      </c>
      <c r="H2" s="1074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216.0626146480854</v>
      </c>
      <c r="D3" s="40">
        <f>+C9-F2</f>
        <v>216.06260094548244</v>
      </c>
      <c r="G3" s="994" t="s">
        <v>213</v>
      </c>
      <c r="H3" s="1075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+COS(($B$132*-1)*3.14159265358979/180)*C4</f>
        <v>1075</v>
      </c>
      <c r="G4" s="996" t="s">
        <v>233</v>
      </c>
      <c r="H4" s="1076">
        <v>860</v>
      </c>
      <c r="I4" s="984">
        <v>1</v>
      </c>
      <c r="J4" s="1721" t="s">
        <v>228</v>
      </c>
      <c r="K4" s="1727"/>
      <c r="L4" s="1727"/>
      <c r="M4" s="1727"/>
      <c r="N4"/>
      <c r="O4" s="995"/>
    </row>
    <row r="5" spans="2:15" ht="38" hidden="1" x14ac:dyDescent="0.2">
      <c r="B5" s="44" t="s">
        <v>115</v>
      </c>
      <c r="C5" s="45">
        <f>+C9+425.5</f>
        <v>689.0626146480854</v>
      </c>
      <c r="D5" s="40">
        <f>+(COS(($B$132*-1)*3.14159265358979/180)*473)+$D$3</f>
        <v>689.06260094548247</v>
      </c>
      <c r="G5" s="996" t="s">
        <v>214</v>
      </c>
      <c r="H5" s="1076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1" hidden="1" thickBot="1" x14ac:dyDescent="0.25">
      <c r="B6" s="73"/>
      <c r="C6" s="73"/>
      <c r="G6" s="996" t="s">
        <v>259</v>
      </c>
      <c r="H6" s="1076">
        <v>602</v>
      </c>
      <c r="I6"/>
      <c r="J6" s="963">
        <f>+H9/H8*BQ29</f>
        <v>156.01205221686621</v>
      </c>
      <c r="K6" s="963">
        <f>((H8-H9)/H8)*BQ29</f>
        <v>-107.25828589909551</v>
      </c>
      <c r="L6" s="963">
        <f>+CO29</f>
        <v>87.046233682229328</v>
      </c>
      <c r="M6" s="961" t="s">
        <v>223</v>
      </c>
      <c r="N6"/>
      <c r="O6" s="995"/>
    </row>
    <row r="7" spans="2:15" ht="55.5" hidden="1" customHeight="1" thickBot="1" x14ac:dyDescent="0.3">
      <c r="B7" s="483" t="s">
        <v>18</v>
      </c>
      <c r="C7" s="1572">
        <f>+C11+C14+30+4.5+0.5+31</f>
        <v>135.80000000000001</v>
      </c>
      <c r="D7" s="1573" t="s">
        <v>272</v>
      </c>
      <c r="G7" s="997" t="s">
        <v>230</v>
      </c>
      <c r="H7" s="1077">
        <f>(+SIN(($B$132*-1)*3.14159265358979/180)*H2)</f>
        <v>0</v>
      </c>
      <c r="I7"/>
      <c r="J7" s="965">
        <f>ABS($H$1/J6)</f>
        <v>115.37570171167872</v>
      </c>
      <c r="K7" s="965">
        <f>ABS($H$1/K6)</f>
        <v>167.81920248971451</v>
      </c>
      <c r="L7" s="965">
        <f>ABS($H$1/L6)</f>
        <v>206.78666081878666</v>
      </c>
      <c r="M7" s="967" t="s">
        <v>222</v>
      </c>
      <c r="N7"/>
      <c r="O7" s="995"/>
    </row>
    <row r="8" spans="2:15" ht="20" hidden="1" x14ac:dyDescent="0.2">
      <c r="B8" s="483" t="s">
        <v>19</v>
      </c>
      <c r="C8" s="483">
        <f>+AS142</f>
        <v>492.39108855494453</v>
      </c>
      <c r="G8" s="997" t="s">
        <v>229</v>
      </c>
      <c r="H8" s="1077">
        <f>(+COS(($B$132*-1)*3.14159265358979/180)*H3)</f>
        <v>215</v>
      </c>
      <c r="I8"/>
      <c r="J8" s="1733">
        <f>ABS($E$22/BQ29)</f>
        <v>164.08988687883198</v>
      </c>
      <c r="K8" s="1733"/>
      <c r="L8" s="1733">
        <f>ABS($E$22/CO29)</f>
        <v>91.90518258612741</v>
      </c>
      <c r="M8" s="1734" t="s">
        <v>350</v>
      </c>
      <c r="N8"/>
      <c r="O8" s="995"/>
    </row>
    <row r="9" spans="2:15" ht="21" hidden="1" thickBot="1" x14ac:dyDescent="0.25">
      <c r="B9" s="483" t="s">
        <v>14</v>
      </c>
      <c r="C9" s="483">
        <f>+AP138</f>
        <v>263.5626146480854</v>
      </c>
      <c r="G9" s="994" t="s">
        <v>227</v>
      </c>
      <c r="H9" s="1077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B10" s="1574" t="s">
        <v>132</v>
      </c>
      <c r="C10" s="1575">
        <v>40.5</v>
      </c>
      <c r="D10" s="1576" t="s">
        <v>273</v>
      </c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483" t="s">
        <v>274</v>
      </c>
      <c r="C11" s="1577">
        <f>+(B139*C10)</f>
        <v>40.5</v>
      </c>
      <c r="G11" s="994" t="s">
        <v>226</v>
      </c>
      <c r="H11" s="1077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1" hidden="1" thickBot="1" x14ac:dyDescent="0.25">
      <c r="B12" s="483" t="s">
        <v>150</v>
      </c>
      <c r="C12" s="394">
        <v>747</v>
      </c>
      <c r="D12" s="397"/>
      <c r="G12" s="998"/>
      <c r="H12" s="37"/>
      <c r="I12"/>
      <c r="J12" s="963">
        <f>(CB32)</f>
        <v>108.50576631777068</v>
      </c>
      <c r="K12" s="963">
        <f>((+H8-H11)/H8*CZ32)</f>
        <v>-60.047314100904508</v>
      </c>
      <c r="L12" s="963">
        <f>(H11/H8*CZ32)</f>
        <v>87.341547783133819</v>
      </c>
      <c r="M12" s="961" t="s">
        <v>223</v>
      </c>
      <c r="N12"/>
      <c r="O12" s="995"/>
    </row>
    <row r="13" spans="2:15" ht="21" hidden="1" thickBot="1" x14ac:dyDescent="0.25">
      <c r="B13" s="1574" t="s">
        <v>275</v>
      </c>
      <c r="C13" s="1575">
        <v>29.3</v>
      </c>
      <c r="D13" s="1576" t="s">
        <v>276</v>
      </c>
      <c r="G13" s="998"/>
      <c r="H13"/>
      <c r="I13"/>
      <c r="J13" s="965">
        <f>ABS($H$1/J12)</f>
        <v>165.88980116766407</v>
      </c>
      <c r="K13" s="965">
        <f>ABS($H$1/K12)</f>
        <v>299.7636159004964</v>
      </c>
      <c r="L13" s="965">
        <f>ABS($H$1/L12)</f>
        <v>206.08748593159129</v>
      </c>
      <c r="M13" s="967" t="s">
        <v>222</v>
      </c>
      <c r="N13"/>
      <c r="O13" s="995"/>
    </row>
    <row r="14" spans="2:15" ht="20" hidden="1" x14ac:dyDescent="0.2">
      <c r="B14" s="483" t="s">
        <v>275</v>
      </c>
      <c r="C14" s="1577">
        <f>+(B171*C13)</f>
        <v>29.3</v>
      </c>
      <c r="D14" s="397"/>
      <c r="G14" s="998"/>
      <c r="H14"/>
      <c r="I14"/>
      <c r="J14" s="1733">
        <f>ABS($E$22/CB32)</f>
        <v>73.728800518961819</v>
      </c>
      <c r="K14" s="1733"/>
      <c r="L14" s="1733">
        <f>ABS($E$22/CZ32)</f>
        <v>293.10220221381871</v>
      </c>
      <c r="M14" s="1734" t="s">
        <v>350</v>
      </c>
      <c r="N14"/>
      <c r="O14" s="995"/>
    </row>
    <row r="15" spans="2:15" ht="19" hidden="1" thickBot="1" x14ac:dyDescent="0.25">
      <c r="B15" s="483" t="s">
        <v>277</v>
      </c>
      <c r="C15" s="394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1" hidden="1" thickBot="1" x14ac:dyDescent="0.25">
      <c r="B16" s="1574"/>
      <c r="C16" s="1575"/>
      <c r="D16" s="1576" t="s">
        <v>278</v>
      </c>
      <c r="G16" s="994" t="s">
        <v>231</v>
      </c>
      <c r="H16" s="1077">
        <f>+D2+H7-BL134</f>
        <v>-1.0626009454824725</v>
      </c>
      <c r="I16" s="984" t="s">
        <v>251</v>
      </c>
      <c r="J16" s="1721" t="s">
        <v>232</v>
      </c>
      <c r="K16" s="1727"/>
      <c r="L16" s="1727"/>
      <c r="M16" s="1727"/>
      <c r="N16"/>
      <c r="O16" s="995"/>
    </row>
    <row r="17" spans="2:144" ht="21" hidden="1" thickBot="1" x14ac:dyDescent="0.25">
      <c r="B17" s="483" t="s">
        <v>279</v>
      </c>
      <c r="C17" s="1577"/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44" ht="21" hidden="1" thickBot="1" x14ac:dyDescent="0.25">
      <c r="B18" s="483" t="s">
        <v>277</v>
      </c>
      <c r="C18" s="394">
        <v>492.38470000000001</v>
      </c>
      <c r="D18" s="1578" t="s">
        <v>280</v>
      </c>
      <c r="G18" s="998"/>
      <c r="H18"/>
      <c r="I18"/>
      <c r="J18" s="963">
        <f>+H16/H8*BQ27</f>
        <v>-0.67116841114660364</v>
      </c>
      <c r="K18" s="963">
        <f>((H8-H16)/H8)*BQ27</f>
        <v>136.47116841114661</v>
      </c>
      <c r="L18" s="963"/>
      <c r="M18" s="961" t="s">
        <v>223</v>
      </c>
      <c r="N18"/>
      <c r="O18" s="995"/>
    </row>
    <row r="19" spans="2:144" ht="20" hidden="1" x14ac:dyDescent="0.2">
      <c r="B19" s="399"/>
      <c r="C19" s="399"/>
      <c r="D19" s="397"/>
      <c r="G19" s="998"/>
      <c r="H19"/>
      <c r="I19"/>
      <c r="J19" s="965">
        <f>ABS($H$1/J18)</f>
        <v>26818.902232376146</v>
      </c>
      <c r="K19" s="965">
        <f>ABS($H$1/K18)</f>
        <v>131.89599099621842</v>
      </c>
      <c r="L19" s="965"/>
      <c r="M19" s="967" t="s">
        <v>222</v>
      </c>
      <c r="N19"/>
      <c r="O19" s="995"/>
    </row>
    <row r="20" spans="2:144" ht="20" hidden="1" x14ac:dyDescent="0.2">
      <c r="B20" s="484" t="s">
        <v>76</v>
      </c>
      <c r="C20" s="1579">
        <v>5800</v>
      </c>
      <c r="D20" s="1579">
        <v>10000</v>
      </c>
      <c r="G20" s="998"/>
      <c r="H20"/>
      <c r="I20"/>
      <c r="J20" s="1733">
        <f>ABS($E$22/BQ27)</f>
        <v>58.910162002945505</v>
      </c>
      <c r="K20" s="1733"/>
      <c r="L20" s="1733"/>
      <c r="M20" s="1734" t="s">
        <v>350</v>
      </c>
      <c r="N20"/>
      <c r="O20" s="995"/>
    </row>
    <row r="21" spans="2:144" ht="20" hidden="1" thickBot="1" x14ac:dyDescent="0.25">
      <c r="B21" s="484" t="s">
        <v>77</v>
      </c>
      <c r="C21" s="1579">
        <v>5800</v>
      </c>
      <c r="D21" s="1579">
        <v>5800</v>
      </c>
      <c r="G21" s="998"/>
      <c r="H21"/>
      <c r="I21"/>
      <c r="J21" s="59"/>
      <c r="K21" s="59"/>
      <c r="L21" s="59"/>
      <c r="M21" s="59"/>
      <c r="N21"/>
      <c r="O21" s="995"/>
    </row>
    <row r="22" spans="2:144" ht="21" hidden="1" thickBot="1" x14ac:dyDescent="0.25">
      <c r="B22" s="484" t="s">
        <v>78</v>
      </c>
      <c r="C22" s="1579">
        <v>8000</v>
      </c>
      <c r="D22" s="1579">
        <v>8000</v>
      </c>
      <c r="E22" s="49">
        <v>8000</v>
      </c>
      <c r="G22" s="994" t="s">
        <v>219</v>
      </c>
      <c r="H22" s="1077">
        <f>(+COS(($B$132*-1)*3.14159265358979/180)*(H4))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</row>
    <row r="23" spans="2:144" ht="20" hidden="1" x14ac:dyDescent="0.2">
      <c r="B23" s="1579"/>
      <c r="C23" s="1579" t="s">
        <v>20</v>
      </c>
      <c r="D23" s="1579" t="s">
        <v>21</v>
      </c>
      <c r="G23" s="994" t="s">
        <v>234</v>
      </c>
      <c r="H23" s="1092">
        <f>+BL134-H22+H7</f>
        <v>-170.93739905451753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44" ht="20" hidden="1" x14ac:dyDescent="0.2">
      <c r="B24" s="1580" t="s">
        <v>64</v>
      </c>
      <c r="C24" s="1579">
        <f>+((C8-C9)/C8)*C7</f>
        <v>63.110213565702885</v>
      </c>
      <c r="D24" s="1579">
        <f>+(C9/C8)*C7</f>
        <v>72.689786434297133</v>
      </c>
      <c r="G24" s="998"/>
      <c r="H24"/>
      <c r="I24"/>
      <c r="J24" s="963"/>
      <c r="K24" s="963">
        <f>((+H8-H23)/H8*BQ27)</f>
        <v>243.7688315888534</v>
      </c>
      <c r="L24" s="963">
        <f>(H23/H8*BQ27)</f>
        <v>-107.9688315888534</v>
      </c>
      <c r="M24" s="961" t="s">
        <v>223</v>
      </c>
      <c r="N24"/>
      <c r="O24" s="995"/>
    </row>
    <row r="25" spans="2:144" ht="20" hidden="1" x14ac:dyDescent="0.2">
      <c r="G25" s="998"/>
      <c r="H25"/>
      <c r="I25"/>
      <c r="J25" s="965"/>
      <c r="K25" s="965">
        <f>ABS($H$1/K24)</f>
        <v>73.840449095474398</v>
      </c>
      <c r="L25" s="965">
        <f>ABS($H$1/L24)</f>
        <v>166.71477995190514</v>
      </c>
      <c r="M25" s="967" t="s">
        <v>222</v>
      </c>
      <c r="N25"/>
      <c r="O25" s="995"/>
    </row>
    <row r="26" spans="2:144" ht="20" hidden="1" x14ac:dyDescent="0.2">
      <c r="G26" s="998"/>
      <c r="H26"/>
      <c r="I26"/>
      <c r="J26" s="1733"/>
      <c r="K26" s="1733"/>
      <c r="L26" s="1733">
        <f>ABS($E$22/BQ27)</f>
        <v>58.910162002945505</v>
      </c>
      <c r="M26" s="1734" t="s">
        <v>350</v>
      </c>
      <c r="N26"/>
      <c r="O26" s="995"/>
    </row>
    <row r="27" spans="2:144" ht="33" customHeight="1" thickBot="1" x14ac:dyDescent="0.25">
      <c r="G27" s="998"/>
      <c r="H27"/>
      <c r="I27"/>
      <c r="J27" s="59"/>
      <c r="K27" s="59"/>
      <c r="L27" s="59"/>
      <c r="M27" s="59"/>
      <c r="N27"/>
      <c r="O27" s="995"/>
      <c r="BE27" s="64"/>
      <c r="BF27" s="64"/>
      <c r="BG27" s="64"/>
      <c r="BH27" s="64"/>
      <c r="BO27" s="64"/>
      <c r="BP27" s="75" t="s">
        <v>25</v>
      </c>
      <c r="BQ27" s="1814">
        <f>+C7</f>
        <v>135.80000000000001</v>
      </c>
      <c r="BR27" s="1814"/>
      <c r="BS27" s="76" t="s">
        <v>17</v>
      </c>
      <c r="BT27" s="76"/>
      <c r="BU27" s="77" t="s">
        <v>281</v>
      </c>
      <c r="BV27" s="78"/>
      <c r="BW27" s="78"/>
      <c r="BX27" s="78"/>
      <c r="BY27" s="78"/>
      <c r="BZ27" s="78"/>
      <c r="CA27" s="78"/>
      <c r="CB27" s="78"/>
      <c r="CC27" s="78"/>
      <c r="CD27" s="78"/>
      <c r="CE27" s="78"/>
      <c r="CF27" s="78"/>
      <c r="CG27" s="78"/>
      <c r="CH27" s="78"/>
      <c r="CI27" s="78"/>
      <c r="CJ27" s="78"/>
      <c r="CK27" s="78"/>
      <c r="CL27" s="78"/>
      <c r="CM27" s="78"/>
      <c r="CN27" s="78"/>
      <c r="CO27" s="78"/>
      <c r="CP27" s="78"/>
      <c r="CQ27" s="78"/>
      <c r="CR27" s="78"/>
      <c r="CS27" s="78"/>
      <c r="CT27" s="78"/>
      <c r="CU27" s="78"/>
      <c r="CV27" s="78"/>
      <c r="CW27" s="78"/>
      <c r="CX27" s="78"/>
      <c r="CY27" s="78"/>
      <c r="CZ27" s="78"/>
      <c r="DA27" s="78"/>
      <c r="DB27" s="78"/>
      <c r="DC27" s="78"/>
      <c r="DD27" s="78"/>
    </row>
    <row r="28" spans="2:144" s="64" customFormat="1" ht="45.75" customHeight="1" thickBot="1" x14ac:dyDescent="0.3">
      <c r="B28" s="73"/>
      <c r="C28" s="73"/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  <c r="BD28"/>
      <c r="BE28" s="85"/>
      <c r="BF28" s="85"/>
      <c r="BG28" s="85"/>
      <c r="BH28" s="85"/>
      <c r="BI28"/>
      <c r="BJ28"/>
      <c r="BK28"/>
      <c r="BL28"/>
      <c r="BM28" s="81" t="b">
        <f>AND(BQ29&gt;0,CO29&gt;0)</f>
        <v>1</v>
      </c>
      <c r="BN28" s="952" t="str">
        <f>IF(BM28=TRUE,"","negative force at the motor")</f>
        <v/>
      </c>
      <c r="BO28" s="1097" t="s">
        <v>128</v>
      </c>
      <c r="BP28" s="945" t="s">
        <v>27</v>
      </c>
      <c r="BQ28" s="946" t="s">
        <v>28</v>
      </c>
      <c r="BR28" s="777"/>
      <c r="BS28" s="777"/>
      <c r="BT28" s="777"/>
      <c r="BU28" s="777"/>
      <c r="BV28" s="777"/>
      <c r="BW28" s="777"/>
      <c r="BX28" s="777"/>
      <c r="BY28" s="777"/>
      <c r="BZ28" s="777"/>
      <c r="CA28" s="777"/>
      <c r="CB28" s="777"/>
      <c r="CC28" s="777"/>
      <c r="CD28" s="777"/>
      <c r="CE28" s="777"/>
      <c r="CF28" s="777"/>
      <c r="CG28" s="777"/>
      <c r="CH28" s="777"/>
      <c r="CI28" s="884"/>
      <c r="CJ28" s="777"/>
      <c r="CK28" s="885"/>
      <c r="CL28" s="885"/>
      <c r="CM28" s="885"/>
      <c r="CN28" s="885"/>
      <c r="CO28" s="777"/>
      <c r="CP28" s="782" t="s">
        <v>29</v>
      </c>
      <c r="CQ28" s="1801"/>
      <c r="CR28" s="1801"/>
      <c r="CS28" s="1801"/>
      <c r="CT28" s="1801"/>
      <c r="CU28" s="1801"/>
      <c r="CV28" s="1801"/>
      <c r="CW28" s="1801"/>
      <c r="CX28" s="1801"/>
      <c r="CY28" s="1801"/>
      <c r="CZ28" s="1801"/>
      <c r="DA28" s="1802"/>
      <c r="DB28" s="78"/>
      <c r="DC28" s="78"/>
      <c r="DD28" s="78"/>
      <c r="DE28"/>
      <c r="DF28"/>
      <c r="DG28"/>
      <c r="DH28"/>
      <c r="DI28"/>
      <c r="DJ28"/>
      <c r="DK28"/>
      <c r="DL28"/>
      <c r="DM28"/>
      <c r="DN28"/>
      <c r="DO28"/>
      <c r="DP28"/>
      <c r="DQ28"/>
      <c r="DR28"/>
      <c r="DS28"/>
      <c r="DT28"/>
      <c r="DU28"/>
      <c r="DV28"/>
      <c r="DW28"/>
      <c r="DX28"/>
      <c r="DY28"/>
      <c r="DZ28"/>
      <c r="EA28"/>
      <c r="EB28"/>
      <c r="EC28"/>
      <c r="ED28"/>
      <c r="EE28"/>
      <c r="EF28"/>
      <c r="EG28"/>
      <c r="EH28"/>
      <c r="EI28"/>
      <c r="EJ28"/>
      <c r="EK28"/>
      <c r="EL28"/>
      <c r="EM28"/>
      <c r="EN28"/>
    </row>
    <row r="29" spans="2:144" ht="45.75" customHeight="1" thickBot="1" x14ac:dyDescent="0.3"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  <c r="U29" s="114"/>
      <c r="BE29" s="85"/>
      <c r="BF29" s="85"/>
      <c r="BG29" s="85"/>
      <c r="BH29" s="85"/>
      <c r="BL29" s="968">
        <v>1</v>
      </c>
      <c r="BM29" s="1762" t="b">
        <f>AND(BO29&gt;=10,$BB$142&gt;=10,$BA$142&gt;=10,$BA$174&gt;=10,$BB$174&gt;=10)</f>
        <v>1</v>
      </c>
      <c r="BN29" s="84" t="str">
        <f>IF(BM29=TRUE,"O K","OVERLOAD")</f>
        <v>O K</v>
      </c>
      <c r="BO29" s="1761">
        <f>+MIN(J7:L8)</f>
        <v>91.90518258612741</v>
      </c>
      <c r="BP29" s="947" t="s">
        <v>138</v>
      </c>
      <c r="BQ29" s="1924">
        <f>+((D4-D5)/D4)*C7</f>
        <v>48.753766317770683</v>
      </c>
      <c r="BR29" s="1810"/>
      <c r="BS29" s="783"/>
      <c r="BT29" s="783"/>
      <c r="BU29" s="783"/>
      <c r="BV29" s="784"/>
      <c r="BW29" s="784"/>
      <c r="BX29" s="784"/>
      <c r="BY29" s="886"/>
      <c r="BZ29" s="886"/>
      <c r="CA29" s="886"/>
      <c r="CB29" s="886"/>
      <c r="CC29" s="886"/>
      <c r="CD29" s="886"/>
      <c r="CE29" s="886"/>
      <c r="CF29" s="886"/>
      <c r="CG29" s="886"/>
      <c r="CH29" s="886"/>
      <c r="CI29" s="887"/>
      <c r="CJ29" s="783"/>
      <c r="CK29" s="783"/>
      <c r="CL29" s="783"/>
      <c r="CM29" s="784"/>
      <c r="CN29" s="784"/>
      <c r="CO29" s="1799">
        <f>+(D5/D4)*C7</f>
        <v>87.046233682229328</v>
      </c>
      <c r="CP29" s="1800"/>
      <c r="CQ29" s="1803"/>
      <c r="CR29" s="1803"/>
      <c r="CS29" s="1803"/>
      <c r="CT29" s="1803"/>
      <c r="CU29" s="1803"/>
      <c r="CV29" s="1803"/>
      <c r="CW29" s="1803"/>
      <c r="CX29" s="1803"/>
      <c r="CY29" s="1803"/>
      <c r="CZ29" s="1803"/>
      <c r="DA29" s="1804"/>
      <c r="DB29" s="78"/>
      <c r="DC29" s="78"/>
      <c r="DD29" s="78"/>
    </row>
    <row r="30" spans="2:144" ht="14.25" customHeight="1" thickBot="1" x14ac:dyDescent="0.3">
      <c r="G30" s="1000"/>
      <c r="H30" s="63"/>
      <c r="I30"/>
      <c r="J30" s="963"/>
      <c r="K30" s="963">
        <f>((+H8-H23)/H8*BQ27)</f>
        <v>243.7688315888534</v>
      </c>
      <c r="L30" s="963">
        <f>(H23/H8*BQ27)</f>
        <v>-107.9688315888534</v>
      </c>
      <c r="M30" s="961" t="s">
        <v>223</v>
      </c>
      <c r="N30"/>
      <c r="O30" s="995"/>
      <c r="BE30" s="85"/>
      <c r="BF30" s="85"/>
      <c r="BG30" s="85"/>
      <c r="BH30" s="85"/>
      <c r="BN30" s="86"/>
      <c r="BO30" s="85"/>
      <c r="BP30" s="87"/>
      <c r="BQ30" s="88"/>
      <c r="BR30" s="88"/>
      <c r="BS30" s="87"/>
      <c r="BT30" s="87"/>
      <c r="BU30" s="87"/>
      <c r="BV30" s="87"/>
      <c r="BW30" s="87"/>
      <c r="BX30" s="87"/>
      <c r="BY30" s="87"/>
      <c r="BZ30" s="87"/>
      <c r="CA30" s="87"/>
      <c r="CB30" s="87"/>
      <c r="CC30" s="87"/>
      <c r="CD30" s="87"/>
      <c r="CE30" s="87"/>
      <c r="CF30" s="87"/>
      <c r="CG30" s="87"/>
      <c r="CH30" s="87"/>
      <c r="CJ30" s="76"/>
      <c r="CK30" s="76"/>
      <c r="CL30" s="88"/>
      <c r="CM30" s="89"/>
      <c r="CN30" s="89"/>
      <c r="CO30" s="89"/>
      <c r="CP30" s="89"/>
      <c r="CQ30" s="89"/>
      <c r="CR30" s="89"/>
      <c r="CS30" s="89"/>
      <c r="CT30" s="89"/>
      <c r="CU30" s="89"/>
      <c r="CV30" s="89"/>
      <c r="CW30" s="89"/>
      <c r="CX30" s="89"/>
      <c r="CY30" s="89"/>
      <c r="CZ30" s="89"/>
      <c r="DA30" s="89"/>
      <c r="DB30" s="89"/>
      <c r="DC30" s="78"/>
      <c r="DD30" s="78"/>
    </row>
    <row r="31" spans="2:144" ht="45.75" customHeight="1" thickBot="1" x14ac:dyDescent="0.3">
      <c r="F31" s="486"/>
      <c r="G31" s="1000"/>
      <c r="H31" s="63"/>
      <c r="I31"/>
      <c r="J31" s="965"/>
      <c r="K31" s="965">
        <f>ABS($H$1/K30)</f>
        <v>73.840449095474398</v>
      </c>
      <c r="L31" s="965">
        <f>ABS($H$1/L30)</f>
        <v>166.71477995190514</v>
      </c>
      <c r="M31" s="967" t="s">
        <v>222</v>
      </c>
      <c r="N31"/>
      <c r="O31" s="995"/>
      <c r="BE31" s="85"/>
      <c r="BF31" s="85"/>
      <c r="BG31" s="85"/>
      <c r="BH31" s="85"/>
      <c r="BM31" s="81" t="b">
        <f>AND(CB32&gt;0,CZ32&gt;0)</f>
        <v>1</v>
      </c>
      <c r="BN31" s="952" t="str">
        <f>IF(BM31=TRUE,"","negative force at the motor")</f>
        <v/>
      </c>
      <c r="BO31" s="1095" t="s">
        <v>128</v>
      </c>
      <c r="BP31" s="742" t="s">
        <v>27</v>
      </c>
      <c r="BQ31" s="1833"/>
      <c r="BR31" s="1834"/>
      <c r="BS31" s="1834"/>
      <c r="BT31" s="1834"/>
      <c r="BU31" s="1834"/>
      <c r="BV31" s="1834"/>
      <c r="BW31" s="1834"/>
      <c r="BX31" s="1834"/>
      <c r="BY31" s="1834"/>
      <c r="BZ31" s="1834"/>
      <c r="CA31" s="1834"/>
      <c r="CB31" s="772" t="s">
        <v>28</v>
      </c>
      <c r="CC31" s="774"/>
      <c r="CD31" s="774"/>
      <c r="CE31" s="774"/>
      <c r="CF31" s="774"/>
      <c r="CG31" s="774"/>
      <c r="CH31" s="774"/>
      <c r="CI31" s="774"/>
      <c r="CJ31" s="774"/>
      <c r="CK31" s="774"/>
      <c r="CL31" s="774"/>
      <c r="CM31" s="774"/>
      <c r="CN31" s="888"/>
      <c r="CO31" s="765"/>
      <c r="CP31" s="765"/>
      <c r="CQ31" s="765"/>
      <c r="CR31" s="765"/>
      <c r="CS31" s="889"/>
      <c r="CT31" s="889"/>
      <c r="CU31" s="888"/>
      <c r="CV31" s="888"/>
      <c r="CW31" s="888"/>
      <c r="CX31" s="888"/>
      <c r="CY31" s="888"/>
      <c r="CZ31" s="765"/>
      <c r="DA31" s="766" t="s">
        <v>29</v>
      </c>
      <c r="DB31" s="90"/>
      <c r="DC31" s="78"/>
      <c r="DD31" s="78"/>
    </row>
    <row r="32" spans="2:144" ht="45.75" customHeight="1" thickBot="1" x14ac:dyDescent="0.3">
      <c r="G32" s="1000"/>
      <c r="H32" s="63"/>
      <c r="I32"/>
      <c r="J32" s="1733"/>
      <c r="K32" s="1733"/>
      <c r="L32" s="1733">
        <f>ABS($E$22/BQ27)*2</f>
        <v>117.82032400589101</v>
      </c>
      <c r="M32" s="1734" t="s">
        <v>350</v>
      </c>
      <c r="N32" s="1730" t="s">
        <v>352</v>
      </c>
      <c r="O32" s="995"/>
      <c r="BL32" s="968">
        <v>2</v>
      </c>
      <c r="BM32" s="1762" t="b">
        <f>AND(BO32&gt;=10,$BB$142&gt;=10,$BA$142&gt;=10,$BA$174&gt;=10,$BB$174&gt;=10)</f>
        <v>1</v>
      </c>
      <c r="BN32" s="84" t="str">
        <f>IF(BM32=TRUE,"O K","OVERLOAD")</f>
        <v>O K</v>
      </c>
      <c r="BO32" s="1761">
        <f>+MIN(J13:L14)</f>
        <v>73.728800518961819</v>
      </c>
      <c r="BP32" s="743" t="s">
        <v>126</v>
      </c>
      <c r="BQ32" s="1835"/>
      <c r="BR32" s="1836"/>
      <c r="BS32" s="1836"/>
      <c r="BT32" s="1836"/>
      <c r="BU32" s="1836"/>
      <c r="BV32" s="1836"/>
      <c r="BW32" s="1836"/>
      <c r="BX32" s="1836"/>
      <c r="BY32" s="1836"/>
      <c r="BZ32" s="1836"/>
      <c r="CA32" s="1836"/>
      <c r="CB32" s="1840">
        <f>+((D4-D3)/D4)*C7</f>
        <v>108.50576631777068</v>
      </c>
      <c r="CC32" s="1841"/>
      <c r="CD32" s="890"/>
      <c r="CE32" s="890"/>
      <c r="CF32" s="890"/>
      <c r="CG32" s="890"/>
      <c r="CH32" s="890"/>
      <c r="CI32" s="890"/>
      <c r="CJ32" s="890"/>
      <c r="CK32" s="890"/>
      <c r="CL32" s="890"/>
      <c r="CM32" s="890"/>
      <c r="CN32" s="891"/>
      <c r="CO32" s="892"/>
      <c r="CP32" s="892"/>
      <c r="CQ32" s="892"/>
      <c r="CR32" s="892"/>
      <c r="CS32" s="893"/>
      <c r="CT32" s="893"/>
      <c r="CU32" s="883"/>
      <c r="CV32" s="883"/>
      <c r="CW32" s="883"/>
      <c r="CX32" s="883"/>
      <c r="CY32" s="883"/>
      <c r="CZ32" s="1797">
        <f>+(D3/D4)*C7</f>
        <v>27.294233682229319</v>
      </c>
      <c r="DA32" s="1798"/>
      <c r="DB32" s="92"/>
      <c r="DC32" s="78"/>
      <c r="DD32" s="78"/>
    </row>
    <row r="33" spans="2:144" ht="16" customHeight="1" thickBot="1" x14ac:dyDescent="0.3">
      <c r="G33" s="1000"/>
      <c r="H33" s="63"/>
      <c r="I33"/>
      <c r="J33" s="59"/>
      <c r="K33" s="59"/>
      <c r="L33" s="59"/>
      <c r="M33" s="59"/>
      <c r="N33"/>
      <c r="O33" s="995"/>
      <c r="BN33" s="86"/>
      <c r="BO33" s="18"/>
      <c r="BP33" s="93"/>
      <c r="BQ33" s="93"/>
      <c r="BR33" s="93"/>
      <c r="BS33" s="93"/>
      <c r="BT33" s="93"/>
      <c r="BU33" s="93"/>
      <c r="BV33" s="93"/>
      <c r="BW33" s="93"/>
      <c r="BX33" s="93"/>
      <c r="BY33" s="94"/>
      <c r="BZ33" s="94"/>
      <c r="CA33" s="89"/>
      <c r="CB33" s="89"/>
      <c r="CC33" s="89"/>
      <c r="CD33" s="89"/>
      <c r="CE33" s="89"/>
      <c r="CF33" s="89"/>
      <c r="CG33" s="89"/>
      <c r="CH33" s="89"/>
      <c r="CI33" s="89"/>
      <c r="CJ33" s="89"/>
      <c r="CK33" s="89"/>
      <c r="CL33" s="89"/>
      <c r="CM33" s="89"/>
      <c r="CN33" s="37"/>
      <c r="CO33" s="95"/>
      <c r="CP33" s="95"/>
      <c r="CQ33" s="95"/>
      <c r="CR33" s="95"/>
      <c r="CS33" s="92"/>
      <c r="CT33" s="92"/>
      <c r="CU33" s="92"/>
      <c r="CV33" s="92"/>
      <c r="CW33" s="92"/>
      <c r="CX33" s="92"/>
      <c r="CY33" s="92"/>
      <c r="CZ33" s="92"/>
      <c r="DA33" s="92"/>
      <c r="DB33" s="92"/>
      <c r="DC33" s="78"/>
      <c r="DD33" s="78"/>
    </row>
    <row r="34" spans="2:144" ht="45.75" customHeight="1" thickBot="1" x14ac:dyDescent="0.25">
      <c r="E34" s="397"/>
      <c r="F34" s="397"/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  <c r="BM34" s="81" t="b">
        <f>AND(CB35&gt;0,CQ35&gt;0)</f>
        <v>1</v>
      </c>
      <c r="BN34" s="952" t="str">
        <f>IF(BM34=TRUE,"","negative force at the motor")</f>
        <v/>
      </c>
      <c r="BO34" s="1095" t="s">
        <v>128</v>
      </c>
      <c r="BP34" s="744" t="s">
        <v>27</v>
      </c>
      <c r="BQ34" s="1822"/>
      <c r="BR34" s="1823"/>
      <c r="BS34" s="1823"/>
      <c r="BT34" s="1823"/>
      <c r="BU34" s="1823"/>
      <c r="BV34" s="1823"/>
      <c r="BW34" s="1823"/>
      <c r="BX34" s="1823"/>
      <c r="BY34" s="1823"/>
      <c r="BZ34" s="1823"/>
      <c r="CA34" s="1823"/>
      <c r="CB34" s="894" t="s">
        <v>28</v>
      </c>
      <c r="CC34" s="895"/>
      <c r="CD34" s="895"/>
      <c r="CE34" s="895"/>
      <c r="CF34" s="895"/>
      <c r="CG34" s="895"/>
      <c r="CH34" s="895"/>
      <c r="CI34" s="896"/>
      <c r="CJ34" s="895"/>
      <c r="CK34" s="897"/>
      <c r="CL34" s="897"/>
      <c r="CM34" s="895"/>
      <c r="CN34" s="895"/>
      <c r="CO34" s="895"/>
      <c r="CP34" s="895"/>
      <c r="CQ34" s="895"/>
      <c r="CR34" s="898" t="s">
        <v>29</v>
      </c>
      <c r="CS34" s="1801"/>
      <c r="CT34" s="1801"/>
      <c r="CU34" s="1801"/>
      <c r="CV34" s="1801"/>
      <c r="CW34" s="1801"/>
      <c r="CX34" s="1801"/>
      <c r="CY34" s="1801"/>
      <c r="CZ34" s="1801"/>
      <c r="DA34" s="1802"/>
      <c r="DB34" s="89"/>
      <c r="DC34" s="78"/>
      <c r="DD34" s="78"/>
    </row>
    <row r="35" spans="2:144" ht="45.75" customHeight="1" thickBot="1" x14ac:dyDescent="0.3">
      <c r="E35" s="397"/>
      <c r="F35" s="397"/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  <c r="BL35" s="968">
        <v>3</v>
      </c>
      <c r="BM35" s="1762" t="b">
        <f>AND(BO35&gt;=10,$BB$142&gt;=10,$BA$142&gt;=10,$BA$174&gt;=10,$BB$174&gt;=10)</f>
        <v>1</v>
      </c>
      <c r="BN35" s="84" t="str">
        <f>IF(BM35=TRUE,"O K","OVERLOAD")</f>
        <v>O K</v>
      </c>
      <c r="BO35" s="983">
        <f>+$E$22/(MAX(CB35,CQ35))</f>
        <v>85.880439946537308</v>
      </c>
      <c r="BP35" s="745" t="s">
        <v>123</v>
      </c>
      <c r="BQ35" s="1824"/>
      <c r="BR35" s="1825"/>
      <c r="BS35" s="1825"/>
      <c r="BT35" s="1825"/>
      <c r="BU35" s="1825"/>
      <c r="BV35" s="1825"/>
      <c r="BW35" s="1825"/>
      <c r="BX35" s="1825"/>
      <c r="BY35" s="1825"/>
      <c r="BZ35" s="1825"/>
      <c r="CA35" s="1825"/>
      <c r="CB35" s="1807">
        <f>+((D2-D3)/D2)*C7</f>
        <v>93.152759871516693</v>
      </c>
      <c r="CC35" s="1808"/>
      <c r="CD35" s="899"/>
      <c r="CE35" s="899"/>
      <c r="CF35" s="899"/>
      <c r="CG35" s="899"/>
      <c r="CH35" s="899"/>
      <c r="CI35" s="900"/>
      <c r="CJ35" s="899"/>
      <c r="CK35" s="901"/>
      <c r="CL35" s="901"/>
      <c r="CM35" s="902"/>
      <c r="CN35" s="902"/>
      <c r="CO35" s="902"/>
      <c r="CP35" s="902"/>
      <c r="CQ35" s="1795">
        <f>+(D3/D2)*C7</f>
        <v>42.647240128483311</v>
      </c>
      <c r="CR35" s="1796"/>
      <c r="CS35" s="1803"/>
      <c r="CT35" s="1803"/>
      <c r="CU35" s="1803"/>
      <c r="CV35" s="1803"/>
      <c r="CW35" s="1803"/>
      <c r="CX35" s="1803"/>
      <c r="CY35" s="1803"/>
      <c r="CZ35" s="1803"/>
      <c r="DA35" s="1804"/>
      <c r="DB35" s="89"/>
      <c r="DC35" s="78"/>
      <c r="DD35" s="78"/>
    </row>
    <row r="36" spans="2:144" ht="18.75" customHeight="1" thickBot="1" x14ac:dyDescent="0.3">
      <c r="E36" s="397"/>
      <c r="F36" s="397"/>
      <c r="G36" s="1000"/>
      <c r="H36" s="63"/>
      <c r="I36"/>
      <c r="J36" s="963">
        <f>+H16/H8*BQ27</f>
        <v>-0.67116841114660364</v>
      </c>
      <c r="K36" s="963">
        <f>((H8-H16)/H8)*BQ27</f>
        <v>136.47116841114661</v>
      </c>
      <c r="L36" s="963"/>
      <c r="M36" s="961" t="s">
        <v>223</v>
      </c>
      <c r="N36"/>
      <c r="O36" s="995"/>
      <c r="BN36" s="86"/>
      <c r="BO36" s="18"/>
      <c r="BP36" s="93"/>
      <c r="BQ36" s="93"/>
      <c r="BR36" s="93"/>
      <c r="BS36" s="93"/>
      <c r="BT36" s="93"/>
      <c r="BU36" s="93"/>
      <c r="BV36" s="93"/>
      <c r="BW36" s="93"/>
      <c r="BX36" s="93"/>
      <c r="BY36" s="94"/>
      <c r="BZ36" s="94"/>
      <c r="CA36" s="89"/>
      <c r="CB36" s="89"/>
      <c r="CC36" s="89"/>
      <c r="CD36" s="89"/>
      <c r="CE36" s="89"/>
      <c r="CF36" s="89"/>
      <c r="CG36" s="89"/>
      <c r="CH36" s="89"/>
      <c r="CI36" s="89"/>
      <c r="CJ36" s="89"/>
      <c r="CK36" s="93"/>
      <c r="CL36" s="89"/>
      <c r="CM36" s="89"/>
      <c r="CN36" s="37"/>
      <c r="CO36" s="95"/>
      <c r="CP36" s="95"/>
      <c r="CQ36" s="95"/>
      <c r="CR36" s="95"/>
      <c r="CS36" s="92"/>
      <c r="CT36" s="92"/>
      <c r="CU36" s="92"/>
      <c r="CV36" s="92"/>
      <c r="CW36" s="92"/>
      <c r="CX36" s="92"/>
      <c r="CY36" s="92"/>
      <c r="CZ36" s="92"/>
      <c r="DA36" s="92"/>
      <c r="DB36" s="92"/>
      <c r="DC36" s="78"/>
      <c r="DD36" s="78"/>
    </row>
    <row r="37" spans="2:144" ht="18.75" hidden="1" customHeight="1" x14ac:dyDescent="0.2">
      <c r="B37" s="399"/>
      <c r="C37" s="399"/>
      <c r="D37" s="397"/>
      <c r="E37" s="397"/>
      <c r="F37" s="397"/>
      <c r="G37" s="1000"/>
      <c r="H37" s="63"/>
      <c r="I37"/>
      <c r="J37" s="965">
        <f>ABS($H$1/J36)</f>
        <v>26818.902232376146</v>
      </c>
      <c r="K37" s="965">
        <f>ABS($H$1/K36)</f>
        <v>131.89599099621842</v>
      </c>
      <c r="L37" s="965"/>
      <c r="M37" s="967" t="s">
        <v>222</v>
      </c>
      <c r="N37"/>
      <c r="O37" s="995"/>
      <c r="U37" s="114"/>
      <c r="AB37" s="114"/>
      <c r="AC37" s="114"/>
      <c r="AD37" s="114"/>
      <c r="AE37" s="114"/>
      <c r="BE37" s="136"/>
      <c r="BF37" s="136"/>
      <c r="BG37" s="136"/>
      <c r="BH37" s="136"/>
      <c r="BN37" s="86"/>
    </row>
    <row r="38" spans="2:144" ht="18.75" hidden="1" customHeight="1" x14ac:dyDescent="0.2">
      <c r="B38" s="399"/>
      <c r="C38" s="399"/>
      <c r="D38" s="397"/>
      <c r="E38" s="397"/>
      <c r="F38" s="397"/>
      <c r="G38" s="1000"/>
      <c r="H38" s="63"/>
      <c r="I38"/>
      <c r="J38" s="1733">
        <f>ABS($E$22/BQ27)*2</f>
        <v>117.82032400589101</v>
      </c>
      <c r="K38" s="1733"/>
      <c r="L38" s="1733"/>
      <c r="M38" s="1734" t="s">
        <v>350</v>
      </c>
      <c r="N38" s="1730" t="s">
        <v>352</v>
      </c>
      <c r="O38" s="995"/>
      <c r="U38" s="114"/>
      <c r="AB38" s="114"/>
      <c r="AC38" s="114"/>
      <c r="AD38" s="114"/>
      <c r="AE38" s="114"/>
      <c r="BE38" s="136"/>
      <c r="BF38" s="136"/>
      <c r="BG38" s="136"/>
      <c r="BH38" s="136"/>
      <c r="BN38" s="86"/>
    </row>
    <row r="39" spans="2:144" ht="24" hidden="1" thickBot="1" x14ac:dyDescent="0.3">
      <c r="B39" s="399"/>
      <c r="C39" s="399"/>
      <c r="D39" s="397"/>
      <c r="E39" s="397"/>
      <c r="F39" s="397"/>
      <c r="G39" s="998"/>
      <c r="H39"/>
      <c r="I39"/>
      <c r="J39" s="59"/>
      <c r="K39" s="59"/>
      <c r="L39" s="59"/>
      <c r="M39" s="59"/>
      <c r="N39"/>
      <c r="O39" s="995"/>
      <c r="U39" s="114"/>
      <c r="AB39" s="114"/>
      <c r="AC39" s="114"/>
      <c r="AD39" s="114"/>
      <c r="AE39" s="114"/>
      <c r="BE39" s="136"/>
      <c r="BF39" s="136"/>
      <c r="BG39" s="136"/>
      <c r="BH39" s="136"/>
      <c r="BN39" s="86"/>
      <c r="BO39" s="17"/>
      <c r="BP39" s="177"/>
      <c r="BQ39" s="178"/>
      <c r="BR39" s="178"/>
      <c r="BS39" s="178"/>
      <c r="BT39" s="178"/>
      <c r="BU39" s="178"/>
      <c r="BV39" s="178"/>
      <c r="BW39" s="178"/>
      <c r="BX39" s="178"/>
      <c r="BY39" s="179"/>
      <c r="BZ39" s="179"/>
      <c r="CA39" s="180"/>
      <c r="CB39" s="180"/>
      <c r="CC39" s="180"/>
      <c r="CD39" s="180"/>
      <c r="CE39" s="180"/>
      <c r="CF39" s="180"/>
      <c r="CG39" s="180"/>
      <c r="CH39" s="180"/>
      <c r="CI39" s="37"/>
      <c r="CJ39" s="89"/>
      <c r="CK39" s="181"/>
      <c r="CL39" s="181"/>
      <c r="CM39" s="89"/>
      <c r="CN39" s="89"/>
      <c r="CO39" s="89"/>
      <c r="CP39" s="89"/>
      <c r="CQ39" s="89"/>
      <c r="CR39" s="89"/>
      <c r="CS39" s="89"/>
      <c r="CT39" s="89"/>
      <c r="CU39" s="89"/>
      <c r="CV39" s="89"/>
      <c r="CW39" s="178"/>
      <c r="CX39" s="178"/>
      <c r="CY39" s="178"/>
      <c r="CZ39" s="178"/>
      <c r="DA39" s="178"/>
      <c r="DB39" s="178"/>
      <c r="DC39" s="178"/>
      <c r="DD39" s="178"/>
    </row>
    <row r="40" spans="2:144" ht="24" hidden="1" thickBot="1" x14ac:dyDescent="0.3">
      <c r="B40" s="399"/>
      <c r="C40" s="399"/>
      <c r="D40" s="397"/>
      <c r="E40" s="397"/>
      <c r="F40" s="397"/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/>
      <c r="O40" s="995"/>
      <c r="U40" s="114"/>
      <c r="AB40" s="114"/>
      <c r="AC40" s="114"/>
      <c r="AD40" s="114"/>
      <c r="AE40" s="114"/>
      <c r="BE40" s="136"/>
      <c r="BF40" s="136"/>
      <c r="BG40" s="136"/>
      <c r="BH40" s="136"/>
      <c r="BN40" s="86"/>
      <c r="BO40" s="17"/>
      <c r="BP40" s="177"/>
      <c r="BQ40" s="178"/>
      <c r="BR40" s="178"/>
      <c r="BS40" s="178"/>
      <c r="BT40" s="178"/>
      <c r="BU40" s="178"/>
      <c r="BV40" s="178"/>
      <c r="BW40" s="178"/>
      <c r="BX40" s="178"/>
      <c r="BY40" s="179"/>
      <c r="BZ40" s="179"/>
      <c r="CA40" s="180"/>
      <c r="CB40" s="180"/>
      <c r="CC40" s="180"/>
      <c r="CD40" s="180"/>
      <c r="CE40" s="180"/>
      <c r="CF40" s="180"/>
      <c r="CG40" s="180"/>
      <c r="CH40" s="180"/>
      <c r="CI40" s="37"/>
      <c r="CJ40" s="89"/>
      <c r="CK40" s="181"/>
      <c r="CL40" s="181"/>
      <c r="CM40" s="89"/>
      <c r="CN40" s="89"/>
      <c r="CO40" s="89"/>
      <c r="CP40" s="89"/>
      <c r="CQ40" s="89"/>
      <c r="CR40" s="89"/>
      <c r="CS40" s="89"/>
      <c r="CT40" s="89"/>
      <c r="CU40" s="89"/>
      <c r="CV40" s="89"/>
      <c r="CW40" s="178"/>
      <c r="CX40" s="178"/>
      <c r="CY40" s="178"/>
      <c r="CZ40" s="178"/>
      <c r="DA40" s="178"/>
      <c r="DB40" s="178"/>
      <c r="DC40" s="178"/>
      <c r="DD40" s="178"/>
    </row>
    <row r="41" spans="2:144" ht="24" hidden="1" thickBot="1" x14ac:dyDescent="0.3">
      <c r="B41" s="399"/>
      <c r="C41" s="399"/>
      <c r="D41" s="397"/>
      <c r="E41" s="397"/>
      <c r="F41" s="397"/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  <c r="U41" s="114"/>
      <c r="AB41" s="114"/>
      <c r="AC41" s="114"/>
      <c r="AD41" s="114"/>
      <c r="AE41" s="114"/>
      <c r="BE41" s="136"/>
      <c r="BF41" s="136"/>
      <c r="BG41" s="136"/>
      <c r="BH41" s="136"/>
      <c r="BN41" s="86"/>
      <c r="BO41" s="17"/>
      <c r="BP41" s="177"/>
      <c r="BQ41" s="178"/>
      <c r="BR41" s="178"/>
      <c r="BS41" s="178"/>
      <c r="BT41" s="178"/>
      <c r="BU41" s="178"/>
      <c r="BV41" s="178"/>
      <c r="BW41" s="178"/>
      <c r="BX41" s="178"/>
      <c r="BY41" s="179"/>
      <c r="BZ41" s="179"/>
      <c r="CA41" s="182">
        <v>16</v>
      </c>
      <c r="CB41" s="180"/>
      <c r="CC41" s="180"/>
      <c r="CD41" s="180"/>
      <c r="CE41" s="180"/>
      <c r="CF41" s="180"/>
      <c r="CG41" s="180"/>
      <c r="CH41" s="180"/>
      <c r="CI41" s="37"/>
      <c r="CJ41" s="89"/>
      <c r="CK41" s="181"/>
      <c r="CL41" s="181"/>
      <c r="CM41" s="89"/>
      <c r="CN41" s="89"/>
      <c r="CO41" s="89"/>
      <c r="CP41" s="117" t="b">
        <f>IF(CQ59=27,15)</f>
        <v>0</v>
      </c>
      <c r="CQ41" s="183"/>
      <c r="CR41" s="103" t="b">
        <f>IF(CQ59=27,17)</f>
        <v>0</v>
      </c>
      <c r="CS41" s="89"/>
      <c r="CT41" s="89"/>
      <c r="CU41" s="89"/>
      <c r="CV41" s="89"/>
      <c r="CW41" s="178"/>
      <c r="CX41" s="178"/>
      <c r="CY41" s="178"/>
      <c r="CZ41" s="178"/>
      <c r="DA41" s="178"/>
      <c r="DB41" s="178"/>
      <c r="DC41" s="178"/>
      <c r="DD41" s="178"/>
      <c r="DG41" s="1814"/>
      <c r="DH41" s="1814"/>
      <c r="DI41" s="76"/>
      <c r="DJ41" s="76"/>
      <c r="DK41" s="77"/>
      <c r="DL41" s="78"/>
      <c r="DM41" s="78"/>
      <c r="DN41" s="78"/>
      <c r="DO41" s="78"/>
      <c r="DP41" s="78"/>
      <c r="DQ41" s="78"/>
      <c r="DR41" s="78"/>
      <c r="DS41" s="78"/>
      <c r="DT41" s="78"/>
      <c r="DU41" s="78"/>
      <c r="DV41" s="78"/>
      <c r="DW41" s="78"/>
      <c r="DX41" s="78"/>
      <c r="DY41" s="78"/>
      <c r="DZ41" s="78"/>
      <c r="EA41" s="78"/>
      <c r="EB41" s="78"/>
      <c r="EC41" s="78"/>
      <c r="ED41" s="78"/>
      <c r="EE41" s="78"/>
      <c r="EF41" s="78"/>
      <c r="EG41" s="78"/>
      <c r="EH41" s="78"/>
      <c r="EI41" s="78"/>
      <c r="EJ41" s="78"/>
      <c r="EK41" s="78"/>
      <c r="EL41" s="78"/>
      <c r="EM41" s="64"/>
      <c r="EN41" s="64"/>
    </row>
    <row r="42" spans="2:144" ht="24" hidden="1" thickBot="1" x14ac:dyDescent="0.3">
      <c r="B42" s="64"/>
      <c r="C42" s="399"/>
      <c r="E42" s="64"/>
      <c r="G42" s="1002" t="s">
        <v>245</v>
      </c>
      <c r="H42" s="1078">
        <f>SUM(BQ124:CA124)</f>
        <v>8</v>
      </c>
      <c r="I42"/>
      <c r="J42" s="963">
        <f>+H43/H8*BQ27/2</f>
        <v>122.22000000000001</v>
      </c>
      <c r="K42" s="963">
        <f>((H8-H43)/H8)*BQ27/2</f>
        <v>-54.320000000000007</v>
      </c>
      <c r="L42" s="963">
        <f>+BQ27/2</f>
        <v>67.900000000000006</v>
      </c>
      <c r="M42" s="961" t="s">
        <v>223</v>
      </c>
      <c r="N42"/>
      <c r="O42" s="995"/>
      <c r="U42" s="114"/>
      <c r="AB42" s="114"/>
      <c r="AC42" s="114"/>
      <c r="AD42" s="114"/>
      <c r="AE42" s="114"/>
      <c r="BE42" s="136"/>
      <c r="BF42" s="136"/>
      <c r="BG42" s="136"/>
      <c r="BH42" s="136"/>
      <c r="BN42" s="86"/>
      <c r="BO42" s="17"/>
      <c r="BP42" s="177"/>
      <c r="BQ42" s="178"/>
      <c r="BR42" s="178"/>
      <c r="BS42" s="178"/>
      <c r="BT42" s="178"/>
      <c r="BU42" s="178"/>
      <c r="BV42" s="178"/>
      <c r="BW42" s="178"/>
      <c r="BX42" s="178"/>
      <c r="BY42" s="179"/>
      <c r="BZ42" s="179"/>
      <c r="CA42" s="182">
        <v>15</v>
      </c>
      <c r="CB42" s="180"/>
      <c r="CC42" s="180"/>
      <c r="CD42" s="180"/>
      <c r="CE42" s="180"/>
      <c r="CF42" s="180"/>
      <c r="CG42" s="180"/>
      <c r="CH42" s="180"/>
      <c r="CI42" s="37"/>
      <c r="CJ42" s="89"/>
      <c r="CK42" s="181"/>
      <c r="CL42" s="181"/>
      <c r="CM42" s="89"/>
      <c r="CN42" s="117" t="b">
        <f>IF(CP59=26,13)</f>
        <v>0</v>
      </c>
      <c r="CO42" s="183"/>
      <c r="CP42" s="183"/>
      <c r="CQ42" s="183"/>
      <c r="CR42" s="103" t="b">
        <f>IF(CP59=26,17)</f>
        <v>0</v>
      </c>
      <c r="CS42" s="89"/>
      <c r="CT42" s="89"/>
      <c r="CU42" s="89"/>
      <c r="CV42" s="89"/>
      <c r="CW42" s="178"/>
      <c r="CX42" s="178"/>
      <c r="CY42" s="178"/>
      <c r="CZ42" s="178"/>
      <c r="DA42" s="178"/>
      <c r="DB42" s="178"/>
      <c r="DC42" s="178"/>
      <c r="DD42" s="178"/>
      <c r="EK42" s="78"/>
      <c r="EL42" s="78"/>
    </row>
    <row r="43" spans="2:144" ht="31" hidden="1" thickBot="1" x14ac:dyDescent="0.35">
      <c r="B43" s="67"/>
      <c r="C43" s="399"/>
      <c r="E43" s="68"/>
      <c r="G43" s="994" t="s">
        <v>243</v>
      </c>
      <c r="H43" s="1077">
        <f>$H$5-((H42-1)*$E$2)</f>
        <v>387</v>
      </c>
      <c r="I43"/>
      <c r="J43" s="965">
        <f>ABS($H$1/J42)</f>
        <v>147.27540500736376</v>
      </c>
      <c r="K43" s="965">
        <f>ABS($H$1/K42)</f>
        <v>331.36966126656841</v>
      </c>
      <c r="L43" s="965">
        <f>ABS($H$1/L42)</f>
        <v>265.09572901325475</v>
      </c>
      <c r="M43" s="967" t="s">
        <v>222</v>
      </c>
      <c r="N43"/>
      <c r="O43" s="995"/>
      <c r="U43" s="114"/>
      <c r="AB43" s="114"/>
      <c r="AC43" s="114"/>
      <c r="AD43" s="114"/>
      <c r="AE43" s="114"/>
      <c r="BE43" s="136"/>
      <c r="BF43" s="136"/>
      <c r="BG43" s="136"/>
      <c r="BH43" s="136"/>
      <c r="BN43" s="86"/>
      <c r="BO43" s="17"/>
      <c r="BP43" s="177"/>
      <c r="BQ43" s="178"/>
      <c r="BR43" s="178"/>
      <c r="BS43" s="178"/>
      <c r="BT43" s="178"/>
      <c r="BU43" s="178"/>
      <c r="BV43" s="178"/>
      <c r="BW43" s="178"/>
      <c r="BX43" s="178"/>
      <c r="BY43" s="179"/>
      <c r="BZ43" s="179"/>
      <c r="CA43" s="182">
        <v>14</v>
      </c>
      <c r="CB43" s="180"/>
      <c r="CC43" s="180"/>
      <c r="CD43" s="180"/>
      <c r="CE43" s="180"/>
      <c r="CF43" s="180"/>
      <c r="CG43" s="180"/>
      <c r="CH43" s="180"/>
      <c r="CI43" s="37"/>
      <c r="CJ43" s="89"/>
      <c r="CK43" s="181"/>
      <c r="CL43" s="117" t="b">
        <f>IF(CO59=25,11)</f>
        <v>0</v>
      </c>
      <c r="CM43" s="183"/>
      <c r="CN43" s="184"/>
      <c r="CO43" s="184"/>
      <c r="CP43" s="184"/>
      <c r="CQ43" s="184"/>
      <c r="CR43" s="124" t="b">
        <f>IF(CO59=25,17)</f>
        <v>0</v>
      </c>
      <c r="CS43" s="89"/>
      <c r="CT43" s="89"/>
      <c r="CU43" s="89"/>
      <c r="CV43" s="89"/>
      <c r="CW43" s="178"/>
      <c r="CX43" s="178"/>
      <c r="CY43" s="178"/>
      <c r="CZ43" s="178"/>
      <c r="DA43" s="178"/>
      <c r="DB43" s="178"/>
      <c r="DC43" s="178"/>
      <c r="DD43" s="178"/>
      <c r="EK43" s="78"/>
      <c r="EL43" s="78"/>
    </row>
    <row r="44" spans="2:144" ht="21" hidden="1" thickBot="1" x14ac:dyDescent="0.25">
      <c r="B44" s="487"/>
      <c r="C44" s="487"/>
      <c r="D44" s="487"/>
      <c r="E44" s="487"/>
      <c r="G44" s="1000"/>
      <c r="H44" s="63"/>
      <c r="I44"/>
      <c r="J44" s="1733"/>
      <c r="K44" s="1733"/>
      <c r="L44" s="1733">
        <f>ABS($E$22/BQ27)*2</f>
        <v>117.82032400589101</v>
      </c>
      <c r="M44" s="1734" t="s">
        <v>350</v>
      </c>
      <c r="N44" s="1730" t="s">
        <v>352</v>
      </c>
      <c r="O44" s="995"/>
      <c r="U44" s="114"/>
      <c r="AB44" s="114"/>
      <c r="AC44" s="114"/>
      <c r="AD44" s="114"/>
      <c r="AE44" s="114"/>
      <c r="BE44" s="136"/>
      <c r="BF44" s="136"/>
      <c r="BG44" s="136"/>
      <c r="BH44" s="136"/>
      <c r="BN44" s="86"/>
      <c r="BO44" s="1091"/>
      <c r="BP44" s="177"/>
      <c r="BQ44" s="178"/>
      <c r="BR44" s="178"/>
      <c r="BS44" s="178"/>
      <c r="BT44" s="178"/>
      <c r="BU44" s="178"/>
      <c r="BV44" s="178"/>
      <c r="BW44" s="178"/>
      <c r="BX44" s="178"/>
      <c r="CA44" s="182">
        <v>13</v>
      </c>
      <c r="CB44" s="178"/>
      <c r="CC44" s="177"/>
      <c r="CD44" s="177"/>
      <c r="CE44" s="177"/>
      <c r="CF44" s="177"/>
      <c r="CG44" s="177"/>
      <c r="CH44" s="177"/>
      <c r="CI44" s="177"/>
      <c r="CJ44" s="117" t="b">
        <f>IF(CN59=24,9)</f>
        <v>0</v>
      </c>
      <c r="CK44" s="185"/>
      <c r="CL44" s="186"/>
      <c r="CM44" s="122"/>
      <c r="CN44" s="186"/>
      <c r="CO44" s="122"/>
      <c r="CP44" s="122"/>
      <c r="CQ44" s="121"/>
      <c r="CR44" s="124" t="b">
        <f>IF(CN59=24,17)</f>
        <v>0</v>
      </c>
      <c r="CS44" s="78"/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EK44" s="78"/>
      <c r="EL44" s="78"/>
    </row>
    <row r="45" spans="2:144" ht="21" hidden="1" thickBot="1" x14ac:dyDescent="0.25">
      <c r="B45" s="488"/>
      <c r="C45" s="489"/>
      <c r="D45" s="488"/>
      <c r="E45" s="488"/>
      <c r="G45" s="998"/>
      <c r="H45" s="1069" t="s">
        <v>263</v>
      </c>
      <c r="I45"/>
      <c r="J45" s="59"/>
      <c r="K45" s="59"/>
      <c r="L45" s="59"/>
      <c r="M45" s="59"/>
      <c r="N45"/>
      <c r="O45" s="995"/>
      <c r="U45" s="114"/>
      <c r="AB45" s="114"/>
      <c r="AC45" s="114"/>
      <c r="AD45" s="114"/>
      <c r="AE45" s="114"/>
      <c r="BE45" s="136"/>
      <c r="BF45" s="136"/>
      <c r="BG45" s="136"/>
      <c r="BH45" s="136"/>
      <c r="BN45" s="86"/>
      <c r="BO45" s="1091"/>
      <c r="BP45" s="177"/>
      <c r="BQ45" s="177"/>
      <c r="BR45" s="178"/>
      <c r="BS45" s="177"/>
      <c r="BT45" s="177"/>
      <c r="BU45" s="177"/>
      <c r="CA45" s="182">
        <v>12</v>
      </c>
      <c r="CB45" s="178"/>
      <c r="CC45" s="177"/>
      <c r="CD45" s="177"/>
      <c r="CE45" s="177"/>
      <c r="CF45" s="177"/>
      <c r="CG45" s="177"/>
      <c r="CH45" s="117" t="b">
        <f>IF(CM59=23,7)</f>
        <v>0</v>
      </c>
      <c r="CI45" s="185"/>
      <c r="CJ45" s="185"/>
      <c r="CK45" s="118"/>
      <c r="CL45" s="185"/>
      <c r="CM45" s="185"/>
      <c r="CN45" s="185"/>
      <c r="CO45" s="118"/>
      <c r="CP45" s="118"/>
      <c r="CQ45" s="111"/>
      <c r="CR45" s="103" t="b">
        <f>IF(CM59=23,17)</f>
        <v>0</v>
      </c>
      <c r="CS45" s="78"/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EK45" s="78"/>
      <c r="EL45" s="78"/>
    </row>
    <row r="46" spans="2:144" ht="21" hidden="1" thickBot="1" x14ac:dyDescent="0.25">
      <c r="B46" s="399"/>
      <c r="C46" s="399"/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  <c r="U46" s="114"/>
      <c r="AB46" s="114"/>
      <c r="AC46" s="114"/>
      <c r="AD46" s="114"/>
      <c r="AE46" s="114"/>
      <c r="BE46" s="136"/>
      <c r="BF46" s="136"/>
      <c r="BG46" s="136"/>
      <c r="BH46" s="136"/>
      <c r="BN46" s="86"/>
      <c r="BO46" s="1091"/>
      <c r="BP46" s="177"/>
      <c r="BQ46" s="177"/>
      <c r="BR46" s="178"/>
      <c r="BS46" s="177"/>
      <c r="BT46" s="177"/>
      <c r="BU46" s="177"/>
      <c r="CA46" s="182">
        <v>11</v>
      </c>
      <c r="CB46" s="178"/>
      <c r="CC46" s="177"/>
      <c r="CD46" s="177"/>
      <c r="CE46" s="177"/>
      <c r="CF46" s="117" t="b">
        <f>IF(CL59=22,5)</f>
        <v>0</v>
      </c>
      <c r="CG46" s="185"/>
      <c r="CH46" s="185"/>
      <c r="CI46" s="118"/>
      <c r="CJ46" s="185"/>
      <c r="CK46" s="118"/>
      <c r="CL46" s="185"/>
      <c r="CM46" s="118"/>
      <c r="CN46" s="185"/>
      <c r="CO46" s="118"/>
      <c r="CP46" s="118"/>
      <c r="CQ46" s="111"/>
      <c r="CR46" s="103" t="b">
        <f>IF(CL59=22,17)</f>
        <v>0</v>
      </c>
      <c r="CS46" s="78"/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DG46" s="107"/>
      <c r="DH46" s="107"/>
      <c r="DI46" s="107"/>
      <c r="DJ46" s="107"/>
      <c r="DK46" s="107"/>
      <c r="DL46" s="108"/>
      <c r="DM46" s="107"/>
      <c r="DN46" s="107"/>
      <c r="DO46" s="107"/>
      <c r="DP46" s="107"/>
      <c r="DQ46" s="107"/>
      <c r="DR46" s="107"/>
      <c r="DS46" s="107"/>
      <c r="DT46" s="107"/>
      <c r="DU46" s="107"/>
      <c r="DV46" s="107"/>
      <c r="DW46" s="107"/>
      <c r="DX46" s="107"/>
      <c r="DY46" s="107"/>
      <c r="DZ46" s="107"/>
      <c r="EA46" s="107"/>
      <c r="EB46" s="107"/>
      <c r="EC46" s="107"/>
      <c r="ED46" s="108"/>
      <c r="EE46" s="78"/>
      <c r="EF46" s="78"/>
      <c r="EG46" s="78"/>
      <c r="EH46" s="78"/>
      <c r="EI46" s="78"/>
      <c r="EJ46" s="78"/>
      <c r="EK46" s="78"/>
      <c r="EL46" s="78"/>
    </row>
    <row r="47" spans="2:144" ht="24" hidden="1" thickBot="1" x14ac:dyDescent="0.3">
      <c r="B47" s="490"/>
      <c r="C47" s="399"/>
      <c r="D47" s="491"/>
      <c r="E47" s="492"/>
      <c r="F47" s="397"/>
      <c r="G47" s="1002" t="s">
        <v>245</v>
      </c>
      <c r="H47" s="1079">
        <f>SUM(CQ124:DA124)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  <c r="U47" s="114"/>
      <c r="AB47" s="114"/>
      <c r="AC47" s="114"/>
      <c r="AD47" s="114"/>
      <c r="AE47" s="114"/>
      <c r="BE47" s="136"/>
      <c r="BF47" s="136"/>
      <c r="BG47" s="136"/>
      <c r="BH47" s="136"/>
      <c r="BN47" s="86"/>
      <c r="BO47" s="1091"/>
      <c r="BP47" s="177"/>
      <c r="BQ47" s="177"/>
      <c r="BR47" s="178"/>
      <c r="BS47" s="177"/>
      <c r="BT47" s="177"/>
      <c r="BU47" s="177"/>
      <c r="CA47" s="182">
        <v>10</v>
      </c>
      <c r="CB47" s="178"/>
      <c r="CC47" s="177"/>
      <c r="CD47" s="117" t="b">
        <f>IF(CK59=21,3)</f>
        <v>0</v>
      </c>
      <c r="CE47" s="185"/>
      <c r="CF47" s="185"/>
      <c r="CG47" s="118"/>
      <c r="CH47" s="118"/>
      <c r="CI47" s="118"/>
      <c r="CJ47" s="185"/>
      <c r="CK47" s="185"/>
      <c r="CL47" s="185"/>
      <c r="CM47" s="118"/>
      <c r="CN47" s="185"/>
      <c r="CO47" s="118"/>
      <c r="CP47" s="118"/>
      <c r="CQ47" s="111"/>
      <c r="CR47" s="103" t="b">
        <f>IF(CK59=21,17)</f>
        <v>0</v>
      </c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DG47" s="107"/>
      <c r="DH47" s="107"/>
      <c r="DI47" s="107"/>
      <c r="DJ47" s="107"/>
      <c r="DK47" s="107"/>
      <c r="DL47" s="108"/>
      <c r="DM47" s="107"/>
      <c r="DN47" s="107"/>
      <c r="DO47" s="107"/>
      <c r="DP47" s="107"/>
      <c r="DQ47" s="107"/>
      <c r="DR47" s="107"/>
      <c r="DS47" s="107"/>
      <c r="DT47" s="107"/>
      <c r="DU47" s="107"/>
      <c r="DV47" s="107"/>
      <c r="DW47" s="107"/>
      <c r="DX47" s="107"/>
      <c r="DY47" s="107"/>
      <c r="DZ47" s="107"/>
      <c r="EA47" s="107"/>
      <c r="EB47" s="107"/>
      <c r="EC47" s="107"/>
      <c r="ED47" s="108"/>
      <c r="EE47" s="78"/>
      <c r="EF47" s="78"/>
      <c r="EG47" s="78"/>
      <c r="EH47" s="78"/>
      <c r="EI47" s="78"/>
      <c r="EJ47" s="78"/>
      <c r="EK47" s="78"/>
      <c r="EL47" s="78"/>
    </row>
    <row r="48" spans="2:144" ht="21" hidden="1" thickBot="1" x14ac:dyDescent="0.25">
      <c r="B48" s="488"/>
      <c r="C48" s="399"/>
      <c r="D48" s="488"/>
      <c r="E48" s="20"/>
      <c r="F48" s="397"/>
      <c r="G48" s="994" t="s">
        <v>243</v>
      </c>
      <c r="H48" s="1077">
        <f>($E$2*(H47-1))-$H$4</f>
        <v>-903</v>
      </c>
      <c r="I48"/>
      <c r="J48" s="963">
        <f>+BQ27/2</f>
        <v>67.900000000000006</v>
      </c>
      <c r="K48" s="963">
        <f>((H8-H48)/H8)*BQ27/2</f>
        <v>353.08000000000004</v>
      </c>
      <c r="L48" s="963">
        <f>+H48/H8*BQ27/2</f>
        <v>-285.18000000000006</v>
      </c>
      <c r="M48" s="961" t="s">
        <v>223</v>
      </c>
      <c r="N48"/>
      <c r="O48" s="995"/>
      <c r="U48" s="114"/>
      <c r="AB48" s="114"/>
      <c r="AC48" s="114"/>
      <c r="AD48" s="114"/>
      <c r="AE48" s="114"/>
      <c r="BE48" s="136"/>
      <c r="BF48" s="136"/>
      <c r="BG48" s="136"/>
      <c r="BH48" s="136"/>
      <c r="BN48" s="86"/>
      <c r="BO48" s="1091"/>
      <c r="BP48" s="177"/>
      <c r="BQ48" s="177"/>
      <c r="BR48" s="178"/>
      <c r="BS48" s="177"/>
      <c r="BT48" s="177"/>
      <c r="BU48" s="177"/>
      <c r="CA48" s="182">
        <v>9</v>
      </c>
      <c r="CB48" s="117" t="b">
        <f>IF(CJ59=20,1)</f>
        <v>0</v>
      </c>
      <c r="CC48" s="185"/>
      <c r="CD48" s="185"/>
      <c r="CE48" s="118"/>
      <c r="CF48" s="185"/>
      <c r="CG48" s="185"/>
      <c r="CH48" s="185"/>
      <c r="CI48" s="185"/>
      <c r="CJ48" s="185"/>
      <c r="CK48" s="185"/>
      <c r="CL48" s="185"/>
      <c r="CM48" s="185"/>
      <c r="CN48" s="185"/>
      <c r="CO48" s="118"/>
      <c r="CP48" s="118"/>
      <c r="CQ48" s="111"/>
      <c r="CR48" s="103" t="b">
        <f>IF(CJ59=20,17)</f>
        <v>0</v>
      </c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EK48" s="78"/>
      <c r="EL48" s="78"/>
    </row>
    <row r="49" spans="2:142" ht="21" hidden="1" thickBot="1" x14ac:dyDescent="0.25">
      <c r="B49" s="399"/>
      <c r="C49" s="399"/>
      <c r="F49" s="397"/>
      <c r="G49" s="998"/>
      <c r="H49"/>
      <c r="I49"/>
      <c r="J49" s="965">
        <f>ABS($H$1/J48)</f>
        <v>265.09572901325475</v>
      </c>
      <c r="K49" s="965">
        <f>ABS($H$1/K48)</f>
        <v>50.979947887164379</v>
      </c>
      <c r="L49" s="965">
        <f>ABS($H$1/L48)</f>
        <v>63.118030717441599</v>
      </c>
      <c r="M49" s="967" t="s">
        <v>222</v>
      </c>
      <c r="O49" s="1581"/>
      <c r="U49" s="114"/>
      <c r="AB49" s="114"/>
      <c r="AC49" s="114"/>
      <c r="AD49" s="114"/>
      <c r="AE49" s="114"/>
      <c r="BE49" s="136"/>
      <c r="BF49" s="136"/>
      <c r="BG49" s="136"/>
      <c r="BH49" s="136"/>
      <c r="BN49" s="86"/>
      <c r="BO49" s="1091"/>
      <c r="BP49" s="177"/>
      <c r="BQ49" s="177"/>
      <c r="BR49" s="178"/>
      <c r="BS49" s="177"/>
      <c r="BT49" s="177"/>
      <c r="BU49" s="177"/>
      <c r="CA49" s="182">
        <v>8</v>
      </c>
      <c r="CB49" s="120" t="b">
        <f>IF(CI59=19,1)</f>
        <v>0</v>
      </c>
      <c r="CC49" s="122"/>
      <c r="CD49" s="186"/>
      <c r="CE49" s="186"/>
      <c r="CF49" s="186"/>
      <c r="CG49" s="186"/>
      <c r="CH49" s="186"/>
      <c r="CI49" s="186"/>
      <c r="CJ49" s="186"/>
      <c r="CK49" s="186"/>
      <c r="CL49" s="186"/>
      <c r="CM49" s="186"/>
      <c r="CN49" s="186"/>
      <c r="CO49" s="122"/>
      <c r="CP49" s="124" t="b">
        <f>IF(CI59=19,15)</f>
        <v>0</v>
      </c>
      <c r="CQ49" s="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EK49" s="78"/>
      <c r="EL49" s="78"/>
    </row>
    <row r="50" spans="2:142" ht="21" hidden="1" thickBot="1" x14ac:dyDescent="0.25">
      <c r="B50" s="399"/>
      <c r="C50" s="399"/>
      <c r="G50" s="998"/>
      <c r="H50"/>
      <c r="I50"/>
      <c r="J50" s="1733">
        <f>ABS($E$22/BQ27)*2</f>
        <v>117.82032400589101</v>
      </c>
      <c r="K50" s="1733"/>
      <c r="L50" s="1733"/>
      <c r="M50" s="1734" t="s">
        <v>350</v>
      </c>
      <c r="N50" s="1730" t="s">
        <v>352</v>
      </c>
      <c r="O50" s="995"/>
      <c r="U50" s="114"/>
      <c r="AB50" s="114"/>
      <c r="AC50" s="114"/>
      <c r="AD50" s="114"/>
      <c r="AE50" s="114"/>
      <c r="BE50" s="136"/>
      <c r="BF50" s="136"/>
      <c r="BG50" s="136"/>
      <c r="BH50" s="136"/>
      <c r="BN50" s="86"/>
      <c r="BO50" s="1091"/>
      <c r="BP50" s="177"/>
      <c r="BQ50" s="177"/>
      <c r="BR50" s="178"/>
      <c r="BS50" s="177"/>
      <c r="BT50" s="177"/>
      <c r="BU50" s="177"/>
      <c r="CA50" s="182">
        <v>7</v>
      </c>
      <c r="CB50" s="120" t="b">
        <f>IF(CH59=18,1)</f>
        <v>0</v>
      </c>
      <c r="CC50" s="186"/>
      <c r="CD50" s="186"/>
      <c r="CE50" s="186"/>
      <c r="CF50" s="186"/>
      <c r="CG50" s="186"/>
      <c r="CH50" s="186"/>
      <c r="CI50" s="186"/>
      <c r="CJ50" s="186"/>
      <c r="CK50" s="186"/>
      <c r="CL50" s="186"/>
      <c r="CM50" s="186"/>
      <c r="CN50" s="124" t="b">
        <f>IF(CH59=18,13)</f>
        <v>0</v>
      </c>
      <c r="CO50" s="178"/>
      <c r="CQ50" s="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EK50" s="78"/>
      <c r="EL50" s="78"/>
    </row>
    <row r="51" spans="2:142" ht="21" hidden="1" thickBot="1" x14ac:dyDescent="0.25">
      <c r="G51" s="998"/>
      <c r="H51"/>
      <c r="I51"/>
      <c r="J51" s="59"/>
      <c r="K51" s="59"/>
      <c r="L51" s="59"/>
      <c r="M51" s="59"/>
      <c r="N51"/>
      <c r="O51" s="995"/>
      <c r="U51" s="114"/>
      <c r="AB51" s="114"/>
      <c r="AC51" s="114"/>
      <c r="AD51" s="114"/>
      <c r="AE51" s="114"/>
      <c r="BE51" s="136"/>
      <c r="BF51" s="136"/>
      <c r="BG51" s="136"/>
      <c r="BH51" s="136"/>
      <c r="BN51" s="86"/>
      <c r="BO51" s="1091"/>
      <c r="BP51" s="177"/>
      <c r="BQ51" s="177"/>
      <c r="BR51" s="178"/>
      <c r="BS51" s="177"/>
      <c r="BT51" s="177"/>
      <c r="BU51" s="177"/>
      <c r="CA51" s="182">
        <v>6</v>
      </c>
      <c r="CB51" s="120">
        <f>IF(CG59=17,1)</f>
        <v>1</v>
      </c>
      <c r="CC51" s="186"/>
      <c r="CD51" s="186"/>
      <c r="CE51" s="186"/>
      <c r="CF51" s="186"/>
      <c r="CG51" s="186"/>
      <c r="CH51" s="186"/>
      <c r="CI51" s="186"/>
      <c r="CJ51" s="186"/>
      <c r="CK51" s="186"/>
      <c r="CL51" s="124">
        <f>IF(CG59=17,11)</f>
        <v>11</v>
      </c>
      <c r="CM51" s="177"/>
      <c r="CN51" s="177"/>
      <c r="CO51" s="178"/>
      <c r="CQ51" s="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EK51" s="78"/>
      <c r="EL51" s="78"/>
    </row>
    <row r="52" spans="2:142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  <c r="U52" s="114"/>
      <c r="AB52" s="114"/>
      <c r="AC52" s="114"/>
      <c r="AD52" s="114"/>
      <c r="AE52" s="114"/>
      <c r="BE52" s="136"/>
      <c r="BF52" s="136"/>
      <c r="BG52" s="136"/>
      <c r="BH52" s="136"/>
      <c r="BN52" s="86"/>
      <c r="BO52" s="1091"/>
      <c r="BP52" s="177"/>
      <c r="BQ52" s="177"/>
      <c r="BR52" s="178"/>
      <c r="BS52" s="177"/>
      <c r="BT52" s="177"/>
      <c r="BU52" s="177"/>
      <c r="CA52" s="182">
        <v>5</v>
      </c>
      <c r="CB52" s="117" t="b">
        <f>IF(CF59=16,1)</f>
        <v>0</v>
      </c>
      <c r="CC52" s="185"/>
      <c r="CD52" s="185"/>
      <c r="CE52" s="118"/>
      <c r="CF52" s="185"/>
      <c r="CG52" s="118"/>
      <c r="CH52" s="185"/>
      <c r="CI52" s="185"/>
      <c r="CJ52" s="103" t="b">
        <f>IF(CF59=16,9)</f>
        <v>0</v>
      </c>
      <c r="CK52" s="177"/>
      <c r="CL52" s="177"/>
      <c r="CM52" s="177"/>
      <c r="CN52" s="177"/>
      <c r="CO52" s="178"/>
      <c r="CQ52" s="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EK52" s="78"/>
      <c r="EL52" s="78"/>
    </row>
    <row r="53" spans="2:142" ht="24" hidden="1" thickBot="1" x14ac:dyDescent="0.3">
      <c r="B53" s="406"/>
      <c r="C53" s="406"/>
      <c r="D53" s="407"/>
      <c r="E53" s="407"/>
      <c r="F53" s="407"/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D53" s="126"/>
      <c r="BE53" s="136"/>
      <c r="BF53" s="136"/>
      <c r="BG53" s="136"/>
      <c r="BH53" s="136"/>
      <c r="BN53" s="86"/>
      <c r="BO53" s="1091"/>
      <c r="BP53" s="177"/>
      <c r="BQ53" s="177"/>
      <c r="BR53" s="178"/>
      <c r="BS53" s="177"/>
      <c r="BT53" s="177"/>
      <c r="BU53" s="177"/>
      <c r="CA53" s="182">
        <v>4</v>
      </c>
      <c r="CB53" s="117" t="b">
        <f>IF(CE59=15,1)</f>
        <v>0</v>
      </c>
      <c r="CC53" s="118"/>
      <c r="CD53" s="118"/>
      <c r="CE53" s="185"/>
      <c r="CF53" s="118"/>
      <c r="CG53" s="118"/>
      <c r="CH53" s="103" t="b">
        <f>IF(CE59=15,7)</f>
        <v>0</v>
      </c>
      <c r="CI53" s="177"/>
      <c r="CJ53" s="177"/>
      <c r="CK53" s="177"/>
      <c r="CL53" s="177"/>
      <c r="CM53" s="177"/>
      <c r="CN53" s="177"/>
      <c r="CO53" s="1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EK53" s="78"/>
      <c r="EL53" s="78"/>
    </row>
    <row r="54" spans="2:142" ht="21" hidden="1" thickBot="1" x14ac:dyDescent="0.25">
      <c r="G54" s="994" t="s">
        <v>243</v>
      </c>
      <c r="H54" s="956"/>
      <c r="I54"/>
      <c r="J54" s="963">
        <f>+((H6-D3)/H6)*BQ27</f>
        <v>87.060296996019076</v>
      </c>
      <c r="K54" s="963"/>
      <c r="L54" s="963">
        <f>+(D3/H6)*BQ27</f>
        <v>48.739703003980928</v>
      </c>
      <c r="M54" s="961" t="s">
        <v>223</v>
      </c>
      <c r="N54"/>
      <c r="O54" s="995"/>
      <c r="BD54" s="126"/>
      <c r="BE54" s="136"/>
      <c r="BF54" s="136"/>
      <c r="BG54" s="136"/>
      <c r="BH54" s="136"/>
      <c r="BN54" s="86"/>
      <c r="BO54" s="1091"/>
      <c r="BP54" s="177"/>
      <c r="BQ54" s="177"/>
      <c r="BR54" s="178"/>
      <c r="BS54" s="177"/>
      <c r="BT54" s="177"/>
      <c r="BU54" s="177"/>
      <c r="CA54" s="182">
        <v>3</v>
      </c>
      <c r="CB54" s="120" t="b">
        <f>IF(CD59=14,1)</f>
        <v>0</v>
      </c>
      <c r="CC54" s="186"/>
      <c r="CD54" s="186"/>
      <c r="CE54" s="186"/>
      <c r="CF54" s="124" t="b">
        <f>IF(CD59=14,5)</f>
        <v>0</v>
      </c>
      <c r="CG54" s="177"/>
      <c r="CH54" s="177"/>
      <c r="CI54" s="177"/>
      <c r="CJ54" s="177"/>
      <c r="CK54" s="177"/>
      <c r="CL54" s="177"/>
      <c r="CM54" s="177"/>
      <c r="CN54" s="177"/>
      <c r="CO54" s="178"/>
      <c r="CQ54" s="78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EK54" s="78"/>
      <c r="EL54" s="78"/>
    </row>
    <row r="55" spans="2:142" ht="24.75" hidden="1" customHeight="1" thickBot="1" x14ac:dyDescent="0.25">
      <c r="B55"/>
      <c r="G55" s="1000"/>
      <c r="H55" s="63"/>
      <c r="I55"/>
      <c r="J55" s="965">
        <f>ABS($H$1/J54)</f>
        <v>206.7532574673283</v>
      </c>
      <c r="K55" s="965"/>
      <c r="L55" s="965">
        <f>ABS($H$1/L54)</f>
        <v>369.30877478941159</v>
      </c>
      <c r="M55" s="967" t="s">
        <v>222</v>
      </c>
      <c r="N55"/>
      <c r="O55" s="995"/>
      <c r="BD55" s="126"/>
      <c r="BE55" s="136"/>
      <c r="BF55" s="136"/>
      <c r="BG55" s="136"/>
      <c r="BH55" s="136"/>
      <c r="BN55" s="86"/>
      <c r="BO55" s="1091"/>
      <c r="BP55" s="177"/>
      <c r="BQ55" s="177"/>
      <c r="BR55" s="178"/>
      <c r="BS55" s="177"/>
      <c r="BT55" s="177"/>
      <c r="BU55" s="177"/>
      <c r="CA55" s="182">
        <v>2</v>
      </c>
      <c r="CB55" s="120" t="b">
        <f>IF(CC59=13,1)</f>
        <v>0</v>
      </c>
      <c r="CC55" s="186"/>
      <c r="CD55" s="124" t="b">
        <f>IF(CC59=13,3)</f>
        <v>0</v>
      </c>
      <c r="CE55" s="177"/>
      <c r="CF55" s="177"/>
      <c r="CG55" s="177"/>
      <c r="CH55" s="177"/>
      <c r="CI55" s="177"/>
      <c r="CJ55" s="177"/>
      <c r="CK55" s="177"/>
      <c r="CL55" s="177"/>
      <c r="CM55" s="177"/>
      <c r="CN55" s="177"/>
      <c r="CO55" s="178"/>
      <c r="CQ55" s="78"/>
      <c r="CR55" s="78"/>
      <c r="CS55" s="78"/>
      <c r="CT55" s="78"/>
      <c r="CU55" s="78"/>
      <c r="CV55" s="78"/>
      <c r="CW55" s="78"/>
      <c r="CX55" s="78"/>
      <c r="CY55" s="78"/>
      <c r="CZ55" s="78"/>
      <c r="DA55" s="78"/>
      <c r="DB55" s="78"/>
      <c r="DC55" s="78"/>
      <c r="DD55" s="78"/>
      <c r="EK55" s="78"/>
      <c r="EL55" s="78"/>
    </row>
    <row r="56" spans="2:142" ht="27.75" hidden="1" customHeight="1" thickBot="1" x14ac:dyDescent="0.25">
      <c r="B56" s="406"/>
      <c r="C56" s="406"/>
      <c r="D56" s="407"/>
      <c r="E56" s="407"/>
      <c r="F56" s="407"/>
      <c r="G56" s="1000"/>
      <c r="H56" s="63"/>
      <c r="J56" s="1733">
        <f>ABS($E$22/BQ27)*2</f>
        <v>117.82032400589101</v>
      </c>
      <c r="K56" s="1733"/>
      <c r="L56" s="1733"/>
      <c r="M56" s="1734" t="s">
        <v>350</v>
      </c>
      <c r="N56" s="1730" t="s">
        <v>352</v>
      </c>
      <c r="O56" s="995"/>
      <c r="BD56" s="126"/>
      <c r="BE56" s="136"/>
      <c r="BF56" s="136"/>
      <c r="BG56" s="136"/>
      <c r="BH56" s="136"/>
      <c r="BN56" s="86"/>
      <c r="BO56" s="1091"/>
      <c r="BP56" s="177"/>
      <c r="BQ56" s="177"/>
      <c r="BR56" s="178"/>
      <c r="BS56" s="177"/>
      <c r="BT56" s="177"/>
      <c r="BU56" s="177"/>
      <c r="BV56" s="76"/>
      <c r="BW56" s="177"/>
      <c r="CA56" s="177"/>
      <c r="CB56" s="177"/>
      <c r="CC56" s="177"/>
      <c r="CD56" s="177"/>
      <c r="CE56" s="177"/>
      <c r="CF56" s="177"/>
      <c r="CG56" s="177"/>
      <c r="CH56" s="177"/>
      <c r="CI56" s="177"/>
      <c r="CJ56" s="177"/>
      <c r="CK56" s="177"/>
      <c r="CL56" s="178"/>
      <c r="CM56" s="107"/>
      <c r="CN56" s="107"/>
      <c r="CO56" s="107"/>
      <c r="CQ56" s="78"/>
      <c r="CR56" s="78"/>
      <c r="CS56" s="78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  <c r="EK56" s="78"/>
      <c r="EL56" s="78"/>
    </row>
    <row r="57" spans="2:142" ht="45.75" customHeight="1" thickBot="1" x14ac:dyDescent="0.3">
      <c r="B57" s="406"/>
      <c r="C57" s="406"/>
      <c r="D57" s="407"/>
      <c r="E57" s="407"/>
      <c r="F57" s="407"/>
      <c r="G57" s="998"/>
      <c r="H57"/>
      <c r="I57"/>
      <c r="J57"/>
      <c r="K57"/>
      <c r="L57"/>
      <c r="M57"/>
      <c r="N57"/>
      <c r="O57" s="995"/>
      <c r="BD57" s="126"/>
      <c r="BE57" s="136"/>
      <c r="BF57" s="136"/>
      <c r="BG57" s="136"/>
      <c r="BH57" s="136"/>
      <c r="BI57" s="136"/>
      <c r="BK57" s="136"/>
      <c r="BL57" s="136"/>
      <c r="BM57" s="402"/>
      <c r="BN57" s="188"/>
      <c r="BO57" s="1095" t="s">
        <v>128</v>
      </c>
      <c r="BP57" s="746" t="s">
        <v>125</v>
      </c>
      <c r="BQ57" s="190"/>
      <c r="BR57" s="191"/>
      <c r="BS57" s="191"/>
      <c r="BT57" s="191"/>
      <c r="BU57" s="191"/>
      <c r="BV57" s="191"/>
      <c r="BW57" s="191"/>
      <c r="BX57" s="191"/>
      <c r="BY57" s="191"/>
      <c r="BZ57" s="191"/>
      <c r="CA57" s="191"/>
      <c r="CB57" s="758">
        <f>SUM(CB41:CB56)</f>
        <v>1</v>
      </c>
      <c r="CC57" s="759">
        <f t="shared" ref="CC57:CR57" si="0">SUM(CC41:CC56)</f>
        <v>0</v>
      </c>
      <c r="CD57" s="759">
        <f t="shared" si="0"/>
        <v>0</v>
      </c>
      <c r="CE57" s="759">
        <f t="shared" si="0"/>
        <v>0</v>
      </c>
      <c r="CF57" s="759">
        <f t="shared" si="0"/>
        <v>0</v>
      </c>
      <c r="CG57" s="759">
        <f t="shared" si="0"/>
        <v>0</v>
      </c>
      <c r="CH57" s="759">
        <f t="shared" si="0"/>
        <v>0</v>
      </c>
      <c r="CI57" s="759">
        <f t="shared" si="0"/>
        <v>0</v>
      </c>
      <c r="CJ57" s="759">
        <f t="shared" si="0"/>
        <v>0</v>
      </c>
      <c r="CK57" s="759">
        <f t="shared" si="0"/>
        <v>0</v>
      </c>
      <c r="CL57" s="759">
        <f t="shared" si="0"/>
        <v>11</v>
      </c>
      <c r="CM57" s="759">
        <f t="shared" si="0"/>
        <v>0</v>
      </c>
      <c r="CN57" s="759">
        <f t="shared" si="0"/>
        <v>0</v>
      </c>
      <c r="CO57" s="759">
        <f t="shared" si="0"/>
        <v>0</v>
      </c>
      <c r="CP57" s="759">
        <f t="shared" si="0"/>
        <v>0</v>
      </c>
      <c r="CQ57" s="759">
        <f t="shared" si="0"/>
        <v>0</v>
      </c>
      <c r="CR57" s="760">
        <f t="shared" si="0"/>
        <v>0</v>
      </c>
      <c r="CS57" s="191"/>
      <c r="CT57" s="191"/>
      <c r="CU57" s="192"/>
      <c r="CV57" s="192"/>
      <c r="CW57" s="192"/>
      <c r="CX57" s="192"/>
      <c r="CY57" s="192"/>
      <c r="CZ57" s="192"/>
      <c r="DA57" s="193"/>
      <c r="DB57" s="89"/>
      <c r="DC57" s="78"/>
      <c r="DD57" s="78"/>
      <c r="EK57" s="78"/>
      <c r="EL57" s="78"/>
    </row>
    <row r="58" spans="2:142" ht="45.75" customHeight="1" thickBot="1" x14ac:dyDescent="0.3">
      <c r="G58" s="998"/>
      <c r="H58"/>
      <c r="I58"/>
      <c r="J58"/>
      <c r="K58"/>
      <c r="L58"/>
      <c r="M58"/>
      <c r="N58"/>
      <c r="O58" s="995"/>
      <c r="BD58" s="136"/>
      <c r="BE58" s="136"/>
      <c r="BF58" s="136"/>
      <c r="BG58" s="136"/>
      <c r="BH58" s="136"/>
      <c r="BI58" s="136"/>
      <c r="BJ58" s="136"/>
      <c r="BK58" s="136"/>
      <c r="BL58" s="968">
        <v>4</v>
      </c>
      <c r="BM58" s="1762" t="b">
        <f>AND(BO58&gt;=10,$BB$142&gt;=10,$BA$142&gt;=10,$BA$174&gt;=10,$BB$174&gt;=10)</f>
        <v>1</v>
      </c>
      <c r="BN58" s="84" t="str">
        <f>IF(BM58=TRUE,"O K","OVERLOAD")</f>
        <v>O K</v>
      </c>
      <c r="BO58" s="982">
        <f>+$E$22/(BQ27/2)</f>
        <v>117.82032400589101</v>
      </c>
      <c r="BP58" s="194"/>
      <c r="BQ58" s="107"/>
      <c r="BR58" s="108"/>
      <c r="BS58" s="107"/>
      <c r="BT58" s="107"/>
      <c r="BU58" s="107"/>
      <c r="BV58" s="108"/>
      <c r="BW58" s="107"/>
      <c r="BX58" s="107"/>
      <c r="BY58" s="107"/>
      <c r="BZ58" s="107"/>
      <c r="CA58" s="107"/>
      <c r="CB58" s="107"/>
      <c r="CC58" s="107"/>
      <c r="CD58" s="107"/>
      <c r="CE58" s="107"/>
      <c r="CF58" s="107"/>
      <c r="CG58" s="107"/>
      <c r="CH58" s="107"/>
      <c r="CI58" s="107"/>
      <c r="CJ58" s="107"/>
      <c r="CK58" s="107"/>
      <c r="CL58" s="107"/>
      <c r="CM58" s="107"/>
      <c r="CN58" s="107"/>
      <c r="CO58" s="107"/>
      <c r="CP58" s="107"/>
      <c r="CQ58" s="107"/>
      <c r="CR58" s="107"/>
      <c r="CS58" s="78"/>
      <c r="CT58" s="78"/>
      <c r="CU58" s="78"/>
      <c r="CV58" s="78"/>
      <c r="CW58" s="78"/>
      <c r="CX58" s="78"/>
      <c r="CY58" s="78"/>
      <c r="CZ58" s="78"/>
      <c r="DA58" s="78"/>
      <c r="DB58" s="78"/>
      <c r="DC58" s="78"/>
      <c r="DD58" s="78"/>
      <c r="EK58" s="78"/>
      <c r="EL58" s="78"/>
    </row>
    <row r="59" spans="2:142" ht="20" hidden="1" x14ac:dyDescent="0.2">
      <c r="B59" s="408"/>
      <c r="C59" s="408"/>
      <c r="G59" s="998"/>
      <c r="H59"/>
      <c r="I59"/>
      <c r="J59"/>
      <c r="K59"/>
      <c r="L59"/>
      <c r="M59"/>
      <c r="N59"/>
      <c r="O59" s="995"/>
      <c r="U59" s="73"/>
      <c r="V59" s="73"/>
      <c r="W59" s="73"/>
      <c r="X59" s="73"/>
      <c r="Y59" s="73"/>
      <c r="Z59" s="73"/>
      <c r="AA59" s="73"/>
      <c r="AF59" s="73"/>
      <c r="AG59" s="73"/>
      <c r="AH59" s="73"/>
      <c r="AI59" s="73"/>
      <c r="AJ59" s="73"/>
      <c r="AK59" s="73"/>
      <c r="AL59" s="73"/>
      <c r="AM59" s="73"/>
      <c r="AN59" s="73"/>
      <c r="AO59" s="73"/>
      <c r="AP59" s="73"/>
      <c r="AQ59" s="73"/>
      <c r="AR59" s="73"/>
      <c r="AS59" s="73"/>
      <c r="AT59" s="73"/>
      <c r="AU59" s="73"/>
      <c r="AV59" s="73"/>
      <c r="AW59" s="73"/>
      <c r="AX59" s="73"/>
      <c r="AY59" s="73"/>
      <c r="AZ59" s="73"/>
      <c r="BA59" s="73"/>
      <c r="BB59" s="73"/>
      <c r="BC59" s="126"/>
      <c r="BD59" s="136"/>
      <c r="BE59" s="136"/>
      <c r="BF59" s="136"/>
      <c r="BG59" s="136"/>
      <c r="BH59" s="136"/>
      <c r="BI59" s="136"/>
      <c r="BJ59" s="136"/>
      <c r="BK59" s="136"/>
      <c r="BL59" s="136"/>
      <c r="BM59" s="402"/>
      <c r="BN59" s="188"/>
      <c r="BO59" s="1091"/>
      <c r="BP59" s="76"/>
      <c r="BQ59" s="195" t="b">
        <f>+BL227</f>
        <v>0</v>
      </c>
      <c r="BR59" s="195" t="b">
        <f>+BL228</f>
        <v>0</v>
      </c>
      <c r="BS59" s="195" t="b">
        <f>+BL229</f>
        <v>0</v>
      </c>
      <c r="BT59" s="195" t="b">
        <f>+BL230</f>
        <v>0</v>
      </c>
      <c r="BU59" s="195" t="b">
        <f>+BL231</f>
        <v>0</v>
      </c>
      <c r="BV59" s="195" t="b">
        <f>+BL232</f>
        <v>0</v>
      </c>
      <c r="BW59" s="195" t="b">
        <f>+BL233</f>
        <v>0</v>
      </c>
      <c r="BX59" s="195" t="b">
        <f>+BL234</f>
        <v>0</v>
      </c>
      <c r="BY59" s="195" t="b">
        <f>+BL235</f>
        <v>0</v>
      </c>
      <c r="BZ59" s="195" t="b">
        <f>+BL236</f>
        <v>0</v>
      </c>
      <c r="CA59" s="195" t="b">
        <f>+BL237</f>
        <v>0</v>
      </c>
      <c r="CB59" s="195" t="b">
        <f>+BL238</f>
        <v>0</v>
      </c>
      <c r="CC59" s="195" t="b">
        <f>+BL239</f>
        <v>0</v>
      </c>
      <c r="CD59" s="195" t="b">
        <f>+BL240</f>
        <v>0</v>
      </c>
      <c r="CE59" s="195" t="b">
        <f>+BL241</f>
        <v>0</v>
      </c>
      <c r="CF59" s="195" t="b">
        <f>+BL242</f>
        <v>0</v>
      </c>
      <c r="CG59" s="195">
        <f>+BL243</f>
        <v>17</v>
      </c>
      <c r="CH59" s="195" t="b">
        <f>+BL244</f>
        <v>0</v>
      </c>
      <c r="CI59" s="195" t="b">
        <f>+BL245</f>
        <v>0</v>
      </c>
      <c r="CJ59" s="195" t="b">
        <f>+BL246</f>
        <v>0</v>
      </c>
      <c r="CK59" s="195" t="b">
        <f>+BL247</f>
        <v>0</v>
      </c>
      <c r="CL59" s="195" t="b">
        <f>+BL248</f>
        <v>0</v>
      </c>
      <c r="CM59" s="195" t="b">
        <f>+BL249</f>
        <v>0</v>
      </c>
      <c r="CN59" s="195" t="b">
        <f>+BL250</f>
        <v>0</v>
      </c>
      <c r="CO59" s="195" t="b">
        <f>+BL251</f>
        <v>0</v>
      </c>
      <c r="CP59" s="195" t="b">
        <f>+BL252</f>
        <v>0</v>
      </c>
      <c r="CQ59" s="195" t="b">
        <f>+BL253</f>
        <v>0</v>
      </c>
      <c r="CR59" s="195" t="b">
        <f>+BL254</f>
        <v>0</v>
      </c>
      <c r="CS59" s="195" t="b">
        <f>+BL255</f>
        <v>0</v>
      </c>
      <c r="CT59" s="195" t="b">
        <f>+BL256</f>
        <v>0</v>
      </c>
      <c r="CU59" s="195" t="b">
        <f>+BL257</f>
        <v>0</v>
      </c>
      <c r="CV59" s="195" t="b">
        <f>+BL258</f>
        <v>0</v>
      </c>
      <c r="CW59" s="195" t="b">
        <f>+BL259</f>
        <v>0</v>
      </c>
      <c r="CX59" s="195" t="b">
        <f>+BL260</f>
        <v>0</v>
      </c>
      <c r="CY59" s="195" t="b">
        <f>+BL261</f>
        <v>0</v>
      </c>
      <c r="CZ59" s="195" t="b">
        <f>+BL262</f>
        <v>0</v>
      </c>
      <c r="DA59" s="195" t="b">
        <f>+BL263</f>
        <v>0</v>
      </c>
      <c r="DB59" s="196"/>
      <c r="DC59" s="78"/>
      <c r="DD59" s="78"/>
      <c r="EK59" s="78"/>
      <c r="EL59" s="78"/>
    </row>
    <row r="60" spans="2:142" ht="45.75" hidden="1" customHeight="1" x14ac:dyDescent="0.2">
      <c r="E60" s="208"/>
      <c r="F60" s="208"/>
      <c r="G60" s="998"/>
      <c r="H60"/>
      <c r="I60"/>
      <c r="J60"/>
      <c r="K60"/>
      <c r="L60"/>
      <c r="M60"/>
      <c r="N60"/>
      <c r="O60" s="995"/>
      <c r="BD60" s="136"/>
      <c r="BE60" s="136"/>
      <c r="BF60" s="136"/>
      <c r="BG60" s="136"/>
      <c r="BH60" s="136"/>
      <c r="BI60" s="136"/>
      <c r="BJ60" s="136"/>
      <c r="BK60" s="136"/>
      <c r="BL60" s="136"/>
      <c r="BM60" s="402"/>
      <c r="BN60" s="188"/>
      <c r="BO60" s="1091"/>
      <c r="BP60" s="78"/>
      <c r="BQ60" s="196" t="b">
        <f t="shared" ref="BQ60:DA60" si="1">+BQ59</f>
        <v>0</v>
      </c>
      <c r="BR60" s="196" t="b">
        <f t="shared" si="1"/>
        <v>0</v>
      </c>
      <c r="BS60" s="196" t="b">
        <f t="shared" si="1"/>
        <v>0</v>
      </c>
      <c r="BT60" s="196" t="b">
        <f t="shared" si="1"/>
        <v>0</v>
      </c>
      <c r="BU60" s="196" t="b">
        <f t="shared" si="1"/>
        <v>0</v>
      </c>
      <c r="BV60" s="196" t="b">
        <f t="shared" si="1"/>
        <v>0</v>
      </c>
      <c r="BW60" s="196" t="b">
        <f t="shared" si="1"/>
        <v>0</v>
      </c>
      <c r="BX60" s="196" t="b">
        <f t="shared" si="1"/>
        <v>0</v>
      </c>
      <c r="BY60" s="196" t="b">
        <f t="shared" si="1"/>
        <v>0</v>
      </c>
      <c r="BZ60" s="196" t="b">
        <f t="shared" si="1"/>
        <v>0</v>
      </c>
      <c r="CA60" s="196" t="b">
        <f t="shared" si="1"/>
        <v>0</v>
      </c>
      <c r="CB60" s="196" t="b">
        <f t="shared" si="1"/>
        <v>0</v>
      </c>
      <c r="CC60" s="196" t="b">
        <f t="shared" si="1"/>
        <v>0</v>
      </c>
      <c r="CD60" s="196" t="b">
        <f t="shared" si="1"/>
        <v>0</v>
      </c>
      <c r="CE60" s="196" t="b">
        <f t="shared" si="1"/>
        <v>0</v>
      </c>
      <c r="CF60" s="196" t="b">
        <f t="shared" si="1"/>
        <v>0</v>
      </c>
      <c r="CG60" s="196">
        <f t="shared" si="1"/>
        <v>17</v>
      </c>
      <c r="CH60" s="196" t="b">
        <f t="shared" si="1"/>
        <v>0</v>
      </c>
      <c r="CI60" s="196" t="b">
        <f t="shared" si="1"/>
        <v>0</v>
      </c>
      <c r="CJ60" s="196" t="b">
        <f t="shared" si="1"/>
        <v>0</v>
      </c>
      <c r="CK60" s="196" t="b">
        <f t="shared" si="1"/>
        <v>0</v>
      </c>
      <c r="CL60" s="196" t="b">
        <f t="shared" si="1"/>
        <v>0</v>
      </c>
      <c r="CM60" s="196" t="b">
        <f t="shared" si="1"/>
        <v>0</v>
      </c>
      <c r="CN60" s="196" t="b">
        <f t="shared" si="1"/>
        <v>0</v>
      </c>
      <c r="CO60" s="196" t="b">
        <f t="shared" si="1"/>
        <v>0</v>
      </c>
      <c r="CP60" s="196" t="b">
        <f t="shared" si="1"/>
        <v>0</v>
      </c>
      <c r="CQ60" s="196" t="b">
        <f t="shared" si="1"/>
        <v>0</v>
      </c>
      <c r="CR60" s="196" t="b">
        <f t="shared" si="1"/>
        <v>0</v>
      </c>
      <c r="CS60" s="196" t="b">
        <f t="shared" si="1"/>
        <v>0</v>
      </c>
      <c r="CT60" s="196" t="b">
        <f t="shared" si="1"/>
        <v>0</v>
      </c>
      <c r="CU60" s="196" t="b">
        <f t="shared" si="1"/>
        <v>0</v>
      </c>
      <c r="CV60" s="196" t="b">
        <f t="shared" si="1"/>
        <v>0</v>
      </c>
      <c r="CW60" s="196" t="b">
        <f t="shared" si="1"/>
        <v>0</v>
      </c>
      <c r="CX60" s="196" t="b">
        <f t="shared" si="1"/>
        <v>0</v>
      </c>
      <c r="CY60" s="196" t="b">
        <f t="shared" si="1"/>
        <v>0</v>
      </c>
      <c r="CZ60" s="196" t="b">
        <f t="shared" si="1"/>
        <v>0</v>
      </c>
      <c r="DA60" s="196" t="b">
        <f t="shared" si="1"/>
        <v>0</v>
      </c>
      <c r="DB60" s="196"/>
      <c r="DC60" s="78"/>
      <c r="DD60" s="78"/>
      <c r="EK60" s="78"/>
      <c r="EL60" s="78"/>
    </row>
    <row r="61" spans="2:142" ht="16" customHeight="1" thickBot="1" x14ac:dyDescent="0.25">
      <c r="E61" s="208"/>
      <c r="F61" s="208"/>
      <c r="G61" s="998"/>
      <c r="H61"/>
      <c r="I61"/>
      <c r="J61"/>
      <c r="K61"/>
      <c r="L61"/>
      <c r="M61"/>
      <c r="N61"/>
      <c r="O61" s="995"/>
      <c r="V61" s="1098"/>
      <c r="W61" s="1098"/>
      <c r="X61" s="1098"/>
      <c r="Y61" s="1098"/>
      <c r="Z61" s="1098"/>
      <c r="AA61" s="1098"/>
      <c r="AF61" s="401"/>
      <c r="AG61" s="401"/>
      <c r="AH61" s="401"/>
      <c r="AI61" s="401"/>
      <c r="AJ61" s="401"/>
      <c r="AK61" s="401"/>
      <c r="AL61" s="401"/>
      <c r="AM61" s="401"/>
      <c r="AN61" s="401"/>
      <c r="AO61" s="401"/>
      <c r="AP61" s="401"/>
      <c r="AQ61" s="401"/>
      <c r="AR61" s="401"/>
      <c r="AS61" s="401"/>
      <c r="AT61" s="401"/>
      <c r="AU61" s="401"/>
      <c r="AV61" s="401"/>
      <c r="AW61" s="401"/>
      <c r="AX61" s="401"/>
      <c r="AY61" s="401"/>
      <c r="AZ61" s="401"/>
      <c r="BA61" s="401"/>
      <c r="BB61" s="401"/>
      <c r="BC61" s="143"/>
      <c r="BD61" s="136"/>
      <c r="BE61" s="136"/>
      <c r="BF61" s="136"/>
      <c r="BG61" s="136"/>
      <c r="BH61" s="136"/>
      <c r="BI61" s="136"/>
      <c r="BJ61" s="136"/>
      <c r="BK61" s="136"/>
      <c r="BL61" s="136"/>
      <c r="BM61" s="402"/>
      <c r="BN61" s="188"/>
      <c r="BO61" s="1091"/>
      <c r="BP61" s="78"/>
      <c r="BQ61" s="196"/>
      <c r="BR61" s="196"/>
      <c r="BS61" s="196"/>
      <c r="BT61" s="196"/>
      <c r="BU61" s="196"/>
      <c r="BV61" s="196"/>
      <c r="BW61" s="196"/>
      <c r="BX61" s="196"/>
      <c r="BY61" s="196"/>
      <c r="BZ61" s="196"/>
      <c r="CA61" s="196"/>
      <c r="CB61" s="196"/>
      <c r="CC61" s="196"/>
      <c r="CD61" s="196"/>
      <c r="CE61" s="196"/>
      <c r="CF61" s="196"/>
      <c r="CG61" s="196"/>
      <c r="CH61" s="196"/>
      <c r="CI61" s="196"/>
      <c r="CJ61" s="196"/>
      <c r="CK61" s="196"/>
      <c r="CL61" s="196"/>
      <c r="CM61" s="196"/>
      <c r="CN61" s="196"/>
      <c r="CO61" s="196"/>
      <c r="CP61" s="196"/>
      <c r="CQ61" s="196"/>
      <c r="CR61" s="196"/>
      <c r="CS61" s="196"/>
      <c r="CT61" s="196"/>
      <c r="CU61" s="196"/>
      <c r="CV61" s="196"/>
      <c r="CW61" s="196"/>
      <c r="CX61" s="196"/>
      <c r="CY61" s="196"/>
      <c r="CZ61" s="196"/>
      <c r="DA61" s="196"/>
      <c r="DB61" s="196"/>
      <c r="DC61" s="78"/>
      <c r="DD61" s="78"/>
      <c r="EK61" s="78"/>
      <c r="EL61" s="78"/>
    </row>
    <row r="62" spans="2:142" ht="45.75" customHeight="1" thickBot="1" x14ac:dyDescent="0.3">
      <c r="E62" s="208"/>
      <c r="F62" s="208"/>
      <c r="G62" s="998"/>
      <c r="H62"/>
      <c r="I62"/>
      <c r="J62"/>
      <c r="K62"/>
      <c r="L62"/>
      <c r="M62"/>
      <c r="N62"/>
      <c r="O62" s="995"/>
      <c r="BD62" s="136"/>
      <c r="BE62" s="136"/>
      <c r="BF62" s="136"/>
      <c r="BG62" s="136"/>
      <c r="BH62" s="136"/>
      <c r="BI62" s="136"/>
      <c r="BJ62" s="136"/>
      <c r="BK62" s="136"/>
      <c r="BL62" s="136"/>
      <c r="BM62" s="402"/>
      <c r="BN62" s="188"/>
      <c r="BO62" s="1095" t="s">
        <v>128</v>
      </c>
      <c r="BP62" s="197" t="s">
        <v>129</v>
      </c>
      <c r="BQ62" s="748" t="str">
        <f>IF(BQ60=1,17,"")</f>
        <v/>
      </c>
      <c r="BR62" s="749" t="str">
        <f>IF(BR60=2,16,"")</f>
        <v/>
      </c>
      <c r="BS62" s="749" t="str">
        <f>IF(BS60=3,15,"")</f>
        <v/>
      </c>
      <c r="BT62" s="749" t="str">
        <f>IF(BT60=4,14,"")</f>
        <v/>
      </c>
      <c r="BU62" s="749" t="str">
        <f>IF(BU60=5,13,"")</f>
        <v/>
      </c>
      <c r="BV62" s="749" t="str">
        <f>IF(BV60=6,12,"")</f>
        <v/>
      </c>
      <c r="BW62" s="749" t="str">
        <f>IF(BW60=7,11,"")</f>
        <v/>
      </c>
      <c r="BX62" s="749" t="str">
        <f>IF(BX60=8,10,"")</f>
        <v/>
      </c>
      <c r="BY62" s="749" t="str">
        <f>IF(BY60=9,9,"")</f>
        <v/>
      </c>
      <c r="BZ62" s="749" t="str">
        <f>IF(BZ60=10,8,"")</f>
        <v/>
      </c>
      <c r="CA62" s="749" t="str">
        <f>IF(CA60=11,7,"")</f>
        <v/>
      </c>
      <c r="CB62" s="928" t="str">
        <f>IF(CB60=12,1,"")</f>
        <v/>
      </c>
      <c r="CC62" s="747" t="str">
        <f>IF(CC60=13,2,"")</f>
        <v/>
      </c>
      <c r="CD62" s="747" t="str">
        <f>IF(CD60=14,3,"")</f>
        <v/>
      </c>
      <c r="CE62" s="747" t="str">
        <f>IF(CE60=15,4,"")</f>
        <v/>
      </c>
      <c r="CF62" s="747" t="str">
        <f>IF(CF60=16,5,"")</f>
        <v/>
      </c>
      <c r="CG62" s="747">
        <f>IF(CG60=17,6,"")</f>
        <v>6</v>
      </c>
      <c r="CH62" s="747" t="str">
        <f>IF(CH60=18,7,"")</f>
        <v/>
      </c>
      <c r="CI62" s="747" t="str">
        <f>IF(CI60=19,8,"")</f>
        <v/>
      </c>
      <c r="CJ62" s="747" t="str">
        <f>IF(CJ60=20,9,"")</f>
        <v/>
      </c>
      <c r="CK62" s="747" t="str">
        <f>IF(CK60=21,10,"")</f>
        <v/>
      </c>
      <c r="CL62" s="747" t="str">
        <f>IF(CL60=22,11,"")</f>
        <v/>
      </c>
      <c r="CM62" s="747" t="str">
        <f>IF(CM60=23,12,"")</f>
        <v/>
      </c>
      <c r="CN62" s="747" t="str">
        <f>IF(CN60=24,13,"")</f>
        <v/>
      </c>
      <c r="CO62" s="747" t="str">
        <f>IF(CO60=25,14,"")</f>
        <v/>
      </c>
      <c r="CP62" s="747" t="str">
        <f>IF(CP60=26,15,"")</f>
        <v/>
      </c>
      <c r="CQ62" s="747" t="str">
        <f>IF(CQ60=27,16,"")</f>
        <v/>
      </c>
      <c r="CR62" s="929" t="str">
        <f>IF(CR60=28,17,"")</f>
        <v/>
      </c>
      <c r="CS62" s="756" t="str">
        <f>IF(CS60=29,9,"")</f>
        <v/>
      </c>
      <c r="CT62" s="756" t="str">
        <f>IF(CT60=30,10,"")</f>
        <v/>
      </c>
      <c r="CU62" s="756" t="str">
        <f>IF(CU60=31,11,"")</f>
        <v/>
      </c>
      <c r="CV62" s="756" t="str">
        <f>IF(CV60=32,12,"")</f>
        <v/>
      </c>
      <c r="CW62" s="756" t="str">
        <f>IF(CW60=33,13,"")</f>
        <v/>
      </c>
      <c r="CX62" s="756" t="str">
        <f>IF(CX60=34,14,"")</f>
        <v/>
      </c>
      <c r="CY62" s="756" t="str">
        <f>IF(CY60=35,15,"")</f>
        <v/>
      </c>
      <c r="CZ62" s="756" t="str">
        <f>IF(CZ60=36,16,"")</f>
        <v/>
      </c>
      <c r="DA62" s="757" t="str">
        <f>IF(DA60=37,17,"")</f>
        <v/>
      </c>
      <c r="DB62" s="198"/>
      <c r="DC62" s="78"/>
      <c r="DD62" s="78"/>
      <c r="EK62" s="78"/>
      <c r="EL62" s="78"/>
    </row>
    <row r="63" spans="2:142" ht="45.75" customHeight="1" thickBot="1" x14ac:dyDescent="0.3">
      <c r="E63" s="208"/>
      <c r="F63" s="208"/>
      <c r="G63" s="998"/>
      <c r="H63"/>
      <c r="I63"/>
      <c r="J63"/>
      <c r="K63"/>
      <c r="L63"/>
      <c r="M63"/>
      <c r="N63"/>
      <c r="O63" s="995"/>
      <c r="BD63" s="136"/>
      <c r="BE63" s="136"/>
      <c r="BF63" s="136"/>
      <c r="BG63" s="136"/>
      <c r="BH63" s="136"/>
      <c r="BI63" s="136"/>
      <c r="BJ63" s="136"/>
      <c r="BK63" s="136"/>
      <c r="BL63" s="968">
        <v>5</v>
      </c>
      <c r="BM63" s="1762" t="b">
        <f>AND(BO63&gt;=10,$BB$142&gt;=10,$BA$142&gt;=10,$BA$174&gt;=10,$BB$174&gt;=10)</f>
        <v>1</v>
      </c>
      <c r="BN63" s="84" t="str">
        <f>IF(BM63=TRUE,"O K","OVERLOAD")</f>
        <v>O K</v>
      </c>
      <c r="BO63" s="982">
        <f>IF(SUM(BQ62:CA62)&gt;0,K85,0)+IF(SUM(CB62:CR62)&gt;0,L85,0)+IF(SUM(CS62:DA62)&gt;0,M85,0)</f>
        <v>58.910162002945505</v>
      </c>
      <c r="BP63" s="788" t="s">
        <v>185</v>
      </c>
      <c r="BQ63" s="789">
        <v>-10</v>
      </c>
      <c r="BR63" s="789">
        <v>-9</v>
      </c>
      <c r="BS63" s="789">
        <v>-8</v>
      </c>
      <c r="BT63" s="789">
        <v>-7</v>
      </c>
      <c r="BU63" s="789">
        <v>-6</v>
      </c>
      <c r="BV63" s="789">
        <v>-5</v>
      </c>
      <c r="BW63" s="789">
        <v>-4</v>
      </c>
      <c r="BX63" s="789">
        <v>-3</v>
      </c>
      <c r="BY63" s="789">
        <v>-2</v>
      </c>
      <c r="BZ63" s="789">
        <v>-1</v>
      </c>
      <c r="CA63" s="789">
        <v>0</v>
      </c>
      <c r="CB63" s="789">
        <v>1</v>
      </c>
      <c r="CC63" s="789">
        <v>2</v>
      </c>
      <c r="CD63" s="789">
        <v>3</v>
      </c>
      <c r="CE63" s="789">
        <v>4</v>
      </c>
      <c r="CF63" s="789">
        <v>5</v>
      </c>
      <c r="CG63" s="789">
        <v>6</v>
      </c>
      <c r="CH63" s="789">
        <v>7</v>
      </c>
      <c r="CI63" s="789">
        <v>8</v>
      </c>
      <c r="CJ63" s="789">
        <v>9</v>
      </c>
      <c r="CK63" s="789">
        <v>10</v>
      </c>
      <c r="CL63" s="789">
        <v>11</v>
      </c>
      <c r="CM63" s="789">
        <v>12</v>
      </c>
      <c r="CN63" s="789">
        <v>13</v>
      </c>
      <c r="CO63" s="789">
        <v>14</v>
      </c>
      <c r="CP63" s="789">
        <v>15</v>
      </c>
      <c r="CQ63" s="789">
        <v>16</v>
      </c>
      <c r="CR63" s="789">
        <v>17</v>
      </c>
      <c r="CS63" s="789">
        <v>18</v>
      </c>
      <c r="CT63" s="789">
        <v>19</v>
      </c>
      <c r="CU63" s="789">
        <v>20</v>
      </c>
      <c r="CV63" s="789">
        <v>21</v>
      </c>
      <c r="CW63" s="789">
        <v>22</v>
      </c>
      <c r="CX63" s="789">
        <v>23</v>
      </c>
      <c r="CY63" s="789">
        <v>24</v>
      </c>
      <c r="CZ63" s="789">
        <v>25</v>
      </c>
      <c r="DA63" s="791">
        <v>26</v>
      </c>
      <c r="DB63" s="198"/>
      <c r="DC63" s="78"/>
      <c r="DD63" s="78"/>
      <c r="EK63" s="78"/>
      <c r="EL63" s="78"/>
    </row>
    <row r="64" spans="2:142" ht="20" hidden="1" x14ac:dyDescent="0.2">
      <c r="G64" s="998"/>
      <c r="H64"/>
      <c r="I64"/>
      <c r="J64"/>
      <c r="K64"/>
      <c r="L64"/>
      <c r="M64"/>
      <c r="N64"/>
      <c r="O64" s="995"/>
      <c r="BD64" s="136"/>
      <c r="BE64" s="136"/>
      <c r="BF64" s="136"/>
      <c r="BG64" s="136"/>
      <c r="BH64" s="136"/>
      <c r="BI64" s="136"/>
      <c r="BJ64" s="136"/>
      <c r="BK64" s="136"/>
      <c r="BL64" s="136"/>
      <c r="BM64" s="402"/>
      <c r="BN64" s="136"/>
      <c r="BP64" s="78"/>
      <c r="BQ64" s="199">
        <v>1</v>
      </c>
      <c r="BR64" s="199">
        <v>2</v>
      </c>
      <c r="BS64" s="199">
        <v>3</v>
      </c>
      <c r="BT64" s="199">
        <v>4</v>
      </c>
      <c r="BU64" s="199">
        <v>5</v>
      </c>
      <c r="BV64" s="199">
        <v>6</v>
      </c>
      <c r="BW64" s="199">
        <v>7</v>
      </c>
      <c r="BX64" s="199">
        <v>8</v>
      </c>
      <c r="BY64" s="199">
        <v>9</v>
      </c>
      <c r="BZ64" s="199">
        <v>10</v>
      </c>
      <c r="CA64" s="199">
        <v>11</v>
      </c>
      <c r="CB64" s="199">
        <v>12</v>
      </c>
      <c r="CC64" s="199">
        <v>13</v>
      </c>
      <c r="CD64" s="199">
        <v>14</v>
      </c>
      <c r="CE64" s="199">
        <v>15</v>
      </c>
      <c r="CF64" s="199">
        <v>16</v>
      </c>
      <c r="CG64" s="199">
        <v>17</v>
      </c>
      <c r="CH64" s="199">
        <v>18</v>
      </c>
      <c r="CI64" s="199">
        <v>19</v>
      </c>
      <c r="CJ64" s="199">
        <v>20</v>
      </c>
      <c r="CK64" s="199">
        <v>21</v>
      </c>
      <c r="CL64" s="199">
        <v>22</v>
      </c>
      <c r="CM64" s="199">
        <v>23</v>
      </c>
      <c r="CN64" s="199">
        <v>24</v>
      </c>
      <c r="CO64" s="199">
        <v>25</v>
      </c>
      <c r="CP64" s="199">
        <v>26</v>
      </c>
      <c r="CQ64" s="199">
        <v>27</v>
      </c>
      <c r="CR64" s="199">
        <v>28</v>
      </c>
      <c r="CS64" s="199">
        <v>29</v>
      </c>
      <c r="CT64" s="199">
        <v>30</v>
      </c>
      <c r="CU64" s="199">
        <v>31</v>
      </c>
      <c r="CV64" s="199">
        <v>32</v>
      </c>
      <c r="CW64" s="199">
        <v>33</v>
      </c>
      <c r="CX64" s="199">
        <v>34</v>
      </c>
      <c r="CY64" s="199">
        <v>35</v>
      </c>
      <c r="CZ64" s="199">
        <v>36</v>
      </c>
      <c r="DA64" s="199">
        <v>37</v>
      </c>
      <c r="DB64" s="199"/>
      <c r="DC64" s="78"/>
      <c r="DD64" s="78"/>
      <c r="EK64" s="78"/>
      <c r="EL64" s="78"/>
    </row>
    <row r="65" spans="2:106" ht="20" hidden="1" x14ac:dyDescent="0.2">
      <c r="G65" s="998"/>
      <c r="H65"/>
      <c r="I65"/>
      <c r="J65"/>
      <c r="K65"/>
      <c r="L65"/>
      <c r="M65"/>
      <c r="N65"/>
      <c r="O65" s="995"/>
      <c r="U65" s="212"/>
      <c r="V65" s="73"/>
      <c r="AB65" s="73"/>
      <c r="AC65" s="73"/>
      <c r="AD65" s="73"/>
      <c r="AE65" s="73"/>
      <c r="AF65" s="73"/>
      <c r="AG65" s="73"/>
      <c r="AH65" s="73"/>
      <c r="AI65" s="73"/>
      <c r="AJ65" s="73"/>
      <c r="AK65" s="73"/>
      <c r="AL65" s="73"/>
      <c r="AM65" s="73"/>
      <c r="AN65" s="73"/>
      <c r="AO65" s="73"/>
      <c r="AP65" s="73"/>
      <c r="AQ65" s="73"/>
      <c r="AR65" s="73"/>
      <c r="AS65" s="73"/>
      <c r="AT65" s="73"/>
      <c r="AU65" s="73"/>
      <c r="AV65" s="73"/>
      <c r="AW65" s="73"/>
      <c r="AX65" s="73"/>
      <c r="AY65" s="73"/>
      <c r="AZ65" s="73"/>
      <c r="BA65" s="73"/>
      <c r="BB65" s="73"/>
      <c r="BC65" s="126"/>
      <c r="BE65" s="136"/>
      <c r="BF65" s="136"/>
      <c r="BG65" s="136"/>
      <c r="BH65" s="136"/>
      <c r="BI65" s="136"/>
      <c r="BJ65" s="136"/>
      <c r="BK65" s="136"/>
      <c r="BM65" s="402"/>
      <c r="BN65" s="136"/>
      <c r="BO65" s="1091"/>
      <c r="BP65" s="78"/>
      <c r="BQ65" s="199"/>
      <c r="BR65" s="199"/>
      <c r="BS65" s="199"/>
      <c r="BT65" s="199"/>
      <c r="BU65" s="199"/>
      <c r="BV65" s="199"/>
      <c r="BW65" s="199"/>
      <c r="BX65" s="199"/>
      <c r="BY65" s="199"/>
      <c r="BZ65" s="199"/>
      <c r="CA65" s="199"/>
      <c r="CB65" s="199"/>
      <c r="CC65" s="199"/>
      <c r="CD65" s="199"/>
      <c r="CE65" s="199"/>
      <c r="CF65" s="199"/>
      <c r="CG65" s="199"/>
      <c r="CH65" s="199"/>
      <c r="CI65" s="199"/>
      <c r="CJ65" s="199"/>
      <c r="CK65" s="199"/>
      <c r="CL65" s="199"/>
      <c r="CM65" s="199"/>
      <c r="CN65" s="199"/>
      <c r="CO65" s="199"/>
      <c r="CP65" s="199"/>
      <c r="CQ65" s="199"/>
      <c r="CR65" s="199"/>
      <c r="CS65" s="199"/>
      <c r="CT65" s="199"/>
      <c r="CU65" s="199"/>
      <c r="CV65" s="199"/>
      <c r="CW65" s="199"/>
      <c r="CX65" s="199"/>
      <c r="CY65" s="199"/>
      <c r="CZ65" s="199"/>
      <c r="DA65" s="199"/>
      <c r="DB65" s="199"/>
    </row>
    <row r="66" spans="2:106" ht="20" hidden="1" x14ac:dyDescent="0.2">
      <c r="B66" s="330"/>
      <c r="C66" s="412"/>
      <c r="D66" s="37"/>
      <c r="E66" s="37"/>
      <c r="F66" s="37"/>
      <c r="G66" s="998"/>
      <c r="H66"/>
      <c r="I66"/>
      <c r="J66"/>
      <c r="K66"/>
      <c r="L66"/>
      <c r="M66"/>
      <c r="N66"/>
      <c r="O66" s="995"/>
      <c r="U66" s="212"/>
      <c r="V66" s="73"/>
      <c r="AB66" s="73"/>
      <c r="AC66" s="73"/>
      <c r="AD66" s="73"/>
      <c r="AE66" s="73"/>
      <c r="AF66" s="73"/>
      <c r="AG66" s="73"/>
      <c r="AH66" s="73"/>
      <c r="AI66" s="73"/>
      <c r="AJ66" s="73"/>
      <c r="AK66" s="73"/>
      <c r="AL66" s="73"/>
      <c r="AM66" s="73"/>
      <c r="AN66" s="73"/>
      <c r="AO66" s="73"/>
      <c r="AP66" s="73"/>
      <c r="AQ66" s="73"/>
      <c r="AR66" s="73"/>
      <c r="AS66" s="73"/>
      <c r="AT66" s="73"/>
      <c r="AU66" s="73"/>
      <c r="AV66" s="73"/>
      <c r="AW66" s="73"/>
      <c r="AX66" s="73"/>
      <c r="AY66" s="73"/>
      <c r="AZ66" s="73"/>
      <c r="BA66" s="73"/>
      <c r="BB66" s="73"/>
      <c r="BC66" s="126"/>
      <c r="BE66" s="136"/>
      <c r="BF66" s="136"/>
      <c r="BG66" s="136"/>
      <c r="BH66" s="136"/>
      <c r="BI66" s="136"/>
      <c r="BJ66" s="136"/>
      <c r="BK66" s="136"/>
      <c r="BM66" s="402"/>
      <c r="BN66" s="136"/>
      <c r="BO66" s="1091"/>
      <c r="BP66" s="78"/>
      <c r="BQ66" s="199"/>
      <c r="BR66" s="199"/>
      <c r="BS66" s="199"/>
      <c r="BT66" s="199"/>
      <c r="BU66" s="199"/>
      <c r="BV66" s="199"/>
      <c r="BW66" s="199"/>
      <c r="BX66" s="199"/>
      <c r="BY66" s="199"/>
      <c r="BZ66" s="199"/>
      <c r="CA66" s="199"/>
      <c r="CB66" s="199"/>
      <c r="CC66" s="199"/>
      <c r="CD66" s="199"/>
      <c r="CE66" s="199"/>
      <c r="CF66" s="199"/>
      <c r="CG66" s="199"/>
      <c r="CH66" s="199"/>
      <c r="CI66" s="199"/>
      <c r="CJ66" s="199"/>
      <c r="CK66" s="199"/>
      <c r="CL66" s="199"/>
      <c r="CM66" s="199"/>
      <c r="CN66" s="199"/>
      <c r="CO66" s="199"/>
      <c r="CP66" s="199"/>
      <c r="CQ66" s="199"/>
      <c r="CR66" s="199"/>
      <c r="CS66" s="199"/>
      <c r="CT66" s="199"/>
      <c r="CU66" s="199"/>
      <c r="CV66" s="199"/>
      <c r="CW66" s="199"/>
      <c r="CX66" s="199"/>
      <c r="CY66" s="199"/>
      <c r="CZ66" s="199"/>
      <c r="DA66" s="199"/>
      <c r="DB66" s="199"/>
    </row>
    <row r="67" spans="2:106" ht="20" hidden="1" x14ac:dyDescent="0.2">
      <c r="B67" s="330"/>
      <c r="C67" s="412"/>
      <c r="D67" s="37"/>
      <c r="E67" s="37"/>
      <c r="F67" s="37"/>
      <c r="G67" s="998"/>
      <c r="H67"/>
      <c r="I67"/>
      <c r="J67"/>
      <c r="K67"/>
      <c r="L67"/>
      <c r="M67"/>
      <c r="N67"/>
      <c r="O67" s="995"/>
      <c r="U67" s="212"/>
      <c r="V67" s="73"/>
      <c r="AB67" s="73"/>
      <c r="AC67" s="73"/>
      <c r="AD67" s="73"/>
      <c r="AE67" s="73"/>
      <c r="AF67" s="73"/>
      <c r="AG67" s="73"/>
      <c r="AH67" s="73"/>
      <c r="AI67" s="73"/>
      <c r="AJ67" s="73"/>
      <c r="AK67" s="73"/>
      <c r="AL67" s="73"/>
      <c r="AM67" s="73"/>
      <c r="AN67" s="73"/>
      <c r="AO67" s="73"/>
      <c r="AP67" s="73"/>
      <c r="AQ67" s="73"/>
      <c r="AR67" s="73"/>
      <c r="AS67" s="73"/>
      <c r="AT67" s="73"/>
      <c r="AU67" s="73"/>
      <c r="AV67" s="73"/>
      <c r="AW67" s="73"/>
      <c r="AX67" s="73"/>
      <c r="AY67" s="73"/>
      <c r="AZ67" s="73"/>
      <c r="BA67" s="73"/>
      <c r="BB67" s="73"/>
      <c r="BC67" s="126"/>
      <c r="BE67" s="136"/>
      <c r="BF67" s="136"/>
      <c r="BG67" s="136"/>
      <c r="BH67" s="136"/>
      <c r="BI67" s="136"/>
      <c r="BJ67" s="136"/>
      <c r="BK67" s="136"/>
      <c r="BL67" s="136"/>
      <c r="BM67" s="402"/>
      <c r="BN67" s="136"/>
      <c r="BO67" s="1091"/>
      <c r="BP67" s="78"/>
      <c r="BQ67" s="199"/>
      <c r="BR67" s="199"/>
      <c r="BS67" s="199"/>
      <c r="BT67" s="199"/>
      <c r="BU67" s="199"/>
      <c r="BV67" s="199"/>
      <c r="BW67" s="199"/>
      <c r="BX67" s="199"/>
      <c r="BY67" s="199"/>
      <c r="BZ67" s="199"/>
      <c r="CA67" s="199"/>
      <c r="CB67" s="199"/>
      <c r="CC67" s="199"/>
      <c r="CD67" s="199"/>
      <c r="CE67" s="199"/>
      <c r="CF67" s="199"/>
      <c r="CG67" s="199"/>
      <c r="CH67" s="199"/>
      <c r="CI67" s="199"/>
      <c r="CJ67" s="199"/>
      <c r="CK67" s="199"/>
      <c r="CL67" s="199"/>
      <c r="CM67" s="199"/>
      <c r="CN67" s="199"/>
      <c r="CO67" s="199"/>
      <c r="CP67" s="199"/>
      <c r="CQ67" s="199"/>
      <c r="CR67" s="199"/>
      <c r="CS67" s="199"/>
      <c r="CT67" s="199"/>
      <c r="CU67" s="199"/>
      <c r="CV67" s="199"/>
      <c r="CW67" s="199"/>
      <c r="CX67" s="199"/>
      <c r="CY67" s="199"/>
      <c r="CZ67" s="199"/>
      <c r="DA67" s="199"/>
      <c r="DB67" s="199"/>
    </row>
    <row r="68" spans="2:106" ht="20" hidden="1" x14ac:dyDescent="0.2">
      <c r="B68" s="330"/>
      <c r="C68" s="412"/>
      <c r="D68" s="37"/>
      <c r="E68" s="37"/>
      <c r="F68" s="37"/>
      <c r="G68" s="998"/>
      <c r="H68"/>
      <c r="I68"/>
      <c r="J68"/>
      <c r="K68"/>
      <c r="L68"/>
      <c r="M68"/>
      <c r="N68"/>
      <c r="O68" s="995"/>
      <c r="U68" s="212"/>
      <c r="V68" s="73"/>
      <c r="AB68" s="73"/>
      <c r="AC68" s="73"/>
      <c r="AD68" s="73"/>
      <c r="AE68" s="73"/>
      <c r="AF68" s="73"/>
      <c r="AG68" s="73"/>
      <c r="AH68" s="73"/>
      <c r="AI68" s="73"/>
      <c r="AJ68" s="73"/>
      <c r="AK68" s="73"/>
      <c r="AL68" s="73"/>
      <c r="AM68" s="73"/>
      <c r="AN68" s="73"/>
      <c r="AO68" s="73"/>
      <c r="AP68" s="73"/>
      <c r="AQ68" s="73"/>
      <c r="AR68" s="73"/>
      <c r="AS68" s="73"/>
      <c r="AT68" s="73"/>
      <c r="AU68" s="73"/>
      <c r="AV68" s="73"/>
      <c r="AW68" s="73"/>
      <c r="AX68" s="73"/>
      <c r="AY68" s="73"/>
      <c r="AZ68" s="73"/>
      <c r="BA68" s="73"/>
      <c r="BB68" s="73"/>
      <c r="BC68" s="126"/>
      <c r="BE68" s="136"/>
      <c r="BF68" s="136"/>
      <c r="BG68" s="136"/>
      <c r="BH68" s="136"/>
      <c r="BI68" s="136"/>
      <c r="BJ68" s="136"/>
      <c r="BK68" s="136"/>
      <c r="BL68" s="136"/>
      <c r="BM68" s="402"/>
      <c r="BN68" s="136"/>
      <c r="BO68" s="1091"/>
      <c r="BP68" s="78"/>
      <c r="BQ68" s="199"/>
      <c r="BR68" s="199"/>
      <c r="BS68" s="199"/>
      <c r="BT68" s="199"/>
      <c r="BU68" s="199"/>
      <c r="BV68" s="199"/>
      <c r="BW68" s="199"/>
      <c r="BX68" s="199"/>
      <c r="BY68" s="199"/>
      <c r="BZ68" s="199"/>
      <c r="CA68" s="199"/>
      <c r="CB68" s="199"/>
      <c r="CC68" s="199"/>
      <c r="CD68" s="199"/>
      <c r="CE68" s="199"/>
      <c r="CF68" s="199"/>
      <c r="CG68" s="199"/>
      <c r="CH68" s="199"/>
      <c r="CI68" s="199"/>
      <c r="CJ68" s="199"/>
      <c r="CK68" s="199"/>
      <c r="CL68" s="199"/>
      <c r="CM68" s="199"/>
      <c r="CN68" s="199"/>
      <c r="CO68" s="199"/>
      <c r="CP68" s="199"/>
      <c r="CQ68" s="199"/>
      <c r="CR68" s="199"/>
      <c r="CS68" s="199"/>
      <c r="CT68" s="199"/>
      <c r="CU68" s="199"/>
      <c r="CV68" s="199"/>
      <c r="CW68" s="199"/>
      <c r="CX68" s="199"/>
      <c r="CY68" s="199"/>
      <c r="CZ68" s="199"/>
      <c r="DA68" s="199"/>
      <c r="DB68" s="199"/>
    </row>
    <row r="69" spans="2:106" ht="20" hidden="1" x14ac:dyDescent="0.2">
      <c r="B69" s="330"/>
      <c r="C69" s="412"/>
      <c r="D69" s="37"/>
      <c r="E69" s="37"/>
      <c r="F69" s="37"/>
      <c r="G69" s="998"/>
      <c r="H69"/>
      <c r="I69"/>
      <c r="J69"/>
      <c r="K69"/>
      <c r="L69"/>
      <c r="M69"/>
      <c r="N69"/>
      <c r="O69" s="995"/>
      <c r="U69" s="212"/>
      <c r="V69" s="73"/>
      <c r="AB69" s="73"/>
      <c r="AC69" s="73"/>
      <c r="AD69" s="73"/>
      <c r="AE69" s="73"/>
      <c r="AF69" s="73"/>
      <c r="AG69" s="73"/>
      <c r="AH69" s="73"/>
      <c r="AI69" s="73"/>
      <c r="AJ69" s="73"/>
      <c r="AK69" s="73"/>
      <c r="AL69" s="73"/>
      <c r="AM69" s="73"/>
      <c r="AN69" s="73"/>
      <c r="AO69" s="73"/>
      <c r="AP69" s="73"/>
      <c r="AQ69" s="73"/>
      <c r="AR69" s="73"/>
      <c r="AS69" s="73"/>
      <c r="AT69" s="73"/>
      <c r="AU69" s="73"/>
      <c r="AV69" s="73"/>
      <c r="AW69" s="73"/>
      <c r="AX69" s="73"/>
      <c r="AY69" s="73"/>
      <c r="AZ69" s="73"/>
      <c r="BA69" s="73"/>
      <c r="BB69" s="73"/>
      <c r="BC69" s="126"/>
      <c r="BE69" s="136"/>
      <c r="BF69" s="136"/>
      <c r="BG69" s="136"/>
      <c r="BH69" s="136"/>
      <c r="BI69" s="136"/>
      <c r="BJ69" s="136"/>
      <c r="BK69" s="136"/>
      <c r="BL69" s="136"/>
      <c r="BM69" s="402"/>
      <c r="BN69" s="136"/>
      <c r="BO69" s="1091"/>
      <c r="BP69" s="78"/>
      <c r="BQ69" s="199"/>
      <c r="BR69" s="199"/>
      <c r="BS69" s="199"/>
      <c r="BT69" s="199"/>
      <c r="BU69" s="199"/>
      <c r="BV69" s="199"/>
      <c r="BW69" s="199"/>
      <c r="BX69" s="199"/>
      <c r="BY69" s="199"/>
      <c r="BZ69" s="199"/>
      <c r="CA69" s="199"/>
      <c r="CB69" s="199"/>
      <c r="CC69" s="199"/>
      <c r="CD69" s="199"/>
      <c r="CE69" s="199"/>
      <c r="CF69" s="199"/>
      <c r="CG69" s="199"/>
      <c r="CH69" s="199"/>
      <c r="CI69" s="199"/>
      <c r="CJ69" s="199"/>
      <c r="CK69" s="199"/>
      <c r="CL69" s="199"/>
      <c r="CM69" s="199"/>
      <c r="CN69" s="199"/>
      <c r="CO69" s="199"/>
      <c r="CP69" s="199"/>
      <c r="CQ69" s="199"/>
      <c r="CR69" s="199"/>
      <c r="CS69" s="199"/>
      <c r="CT69" s="199"/>
      <c r="CU69" s="199"/>
      <c r="CV69" s="199"/>
      <c r="CW69" s="199"/>
      <c r="CX69" s="199"/>
      <c r="CY69" s="199"/>
      <c r="CZ69" s="199"/>
      <c r="DA69" s="199"/>
      <c r="DB69" s="199"/>
    </row>
    <row r="70" spans="2:106" ht="20" hidden="1" x14ac:dyDescent="0.2">
      <c r="B70" s="330"/>
      <c r="C70" s="412"/>
      <c r="D70" s="37"/>
      <c r="E70" s="37"/>
      <c r="F70" s="37"/>
      <c r="G70" s="998"/>
      <c r="H70"/>
      <c r="I70"/>
      <c r="J70"/>
      <c r="K70"/>
      <c r="L70"/>
      <c r="M70"/>
      <c r="N70"/>
      <c r="O70" s="995"/>
      <c r="U70" s="212"/>
      <c r="V70" s="73"/>
      <c r="AB70" s="73"/>
      <c r="AC70" s="73"/>
      <c r="AD70" s="73"/>
      <c r="AE70" s="73"/>
      <c r="AF70" s="73"/>
      <c r="AG70" s="73"/>
      <c r="AH70" s="73"/>
      <c r="AI70" s="73"/>
      <c r="AJ70" s="73"/>
      <c r="AK70" s="73"/>
      <c r="AL70" s="73"/>
      <c r="AM70" s="73"/>
      <c r="AN70" s="73"/>
      <c r="AO70" s="73"/>
      <c r="AP70" s="73"/>
      <c r="AQ70" s="73"/>
      <c r="AR70" s="73"/>
      <c r="AS70" s="73"/>
      <c r="AT70" s="73"/>
      <c r="AU70" s="73"/>
      <c r="AV70" s="73"/>
      <c r="AW70" s="73"/>
      <c r="AX70" s="73"/>
      <c r="AY70" s="73"/>
      <c r="AZ70" s="73"/>
      <c r="BA70" s="73"/>
      <c r="BB70" s="73"/>
      <c r="BC70" s="126"/>
      <c r="BE70" s="136"/>
      <c r="BF70" s="136"/>
      <c r="BG70" s="136"/>
      <c r="BH70" s="136"/>
      <c r="BI70" s="136"/>
      <c r="BJ70" s="136"/>
      <c r="BK70" s="136"/>
      <c r="BL70" s="136"/>
      <c r="BM70" s="402"/>
      <c r="BN70" s="136"/>
      <c r="BO70" s="1091"/>
      <c r="BP70" s="78"/>
      <c r="BQ70" s="199"/>
      <c r="BR70" s="199"/>
      <c r="BS70" s="199"/>
      <c r="BT70" s="199"/>
      <c r="BU70" s="199"/>
      <c r="BV70" s="199"/>
      <c r="BW70" s="199"/>
      <c r="BX70" s="199"/>
      <c r="BY70" s="199"/>
      <c r="BZ70" s="199"/>
      <c r="CA70" s="199"/>
      <c r="CB70" s="199"/>
      <c r="CC70" s="199"/>
      <c r="CD70" s="199"/>
      <c r="CE70" s="199"/>
      <c r="CF70" s="199"/>
      <c r="CG70" s="199"/>
      <c r="CH70" s="199"/>
      <c r="CI70" s="199"/>
      <c r="CJ70" s="199"/>
      <c r="CK70" s="199"/>
      <c r="CL70" s="199"/>
      <c r="CM70" s="199"/>
      <c r="CN70" s="199"/>
      <c r="CO70" s="199"/>
      <c r="CP70" s="199"/>
      <c r="CQ70" s="199"/>
      <c r="CR70" s="199"/>
      <c r="CS70" s="199"/>
      <c r="CT70" s="199"/>
      <c r="CU70" s="199"/>
      <c r="CV70" s="199"/>
      <c r="CW70" s="199"/>
      <c r="CX70" s="199"/>
      <c r="CY70" s="199"/>
      <c r="CZ70" s="199"/>
      <c r="DA70" s="199"/>
      <c r="DB70" s="199"/>
    </row>
    <row r="71" spans="2:106" ht="20" hidden="1" x14ac:dyDescent="0.2">
      <c r="B71" s="330"/>
      <c r="C71" s="412"/>
      <c r="D71" s="37"/>
      <c r="E71" s="37"/>
      <c r="F71" s="37"/>
      <c r="G71" s="998"/>
      <c r="H71"/>
      <c r="I71"/>
      <c r="J71"/>
      <c r="K71"/>
      <c r="L71"/>
      <c r="M71"/>
      <c r="N71"/>
      <c r="O71" s="995"/>
      <c r="U71" s="212"/>
      <c r="V71" s="73"/>
      <c r="AB71" s="73"/>
      <c r="AC71" s="73"/>
      <c r="AD71" s="73"/>
      <c r="AE71" s="73"/>
      <c r="AF71" s="73"/>
      <c r="AG71" s="73"/>
      <c r="AH71" s="73"/>
      <c r="AI71" s="73"/>
      <c r="AJ71" s="73"/>
      <c r="AK71" s="73"/>
      <c r="AL71" s="73"/>
      <c r="AM71" s="73"/>
      <c r="AN71" s="73"/>
      <c r="AO71" s="73"/>
      <c r="AP71" s="73"/>
      <c r="AQ71" s="73"/>
      <c r="AR71" s="73"/>
      <c r="AS71" s="73"/>
      <c r="AT71" s="73"/>
      <c r="AU71" s="73"/>
      <c r="AV71" s="73"/>
      <c r="AW71" s="73"/>
      <c r="AX71" s="73"/>
      <c r="AY71" s="73"/>
      <c r="AZ71" s="73"/>
      <c r="BA71" s="73"/>
      <c r="BB71" s="73"/>
      <c r="BC71" s="126"/>
      <c r="BE71" s="136"/>
      <c r="BF71" s="136"/>
      <c r="BG71" s="136"/>
      <c r="BH71" s="136"/>
      <c r="BI71" s="136"/>
      <c r="BJ71" s="136"/>
      <c r="BK71" s="136"/>
      <c r="BL71" s="136"/>
      <c r="BM71" s="402"/>
      <c r="BN71" s="136"/>
      <c r="BO71" s="1091"/>
      <c r="BP71" s="78"/>
      <c r="BQ71" s="199"/>
      <c r="BR71" s="199"/>
      <c r="BS71" s="199"/>
      <c r="BT71" s="199"/>
      <c r="BU71" s="199"/>
      <c r="BV71" s="199"/>
      <c r="BW71" s="199"/>
      <c r="BX71" s="199"/>
      <c r="BY71" s="199"/>
      <c r="BZ71" s="199"/>
      <c r="CA71" s="199"/>
      <c r="CB71" s="199"/>
      <c r="CC71" s="199"/>
      <c r="CD71" s="199"/>
      <c r="CE71" s="199"/>
      <c r="CF71" s="199"/>
      <c r="CG71" s="199"/>
      <c r="CH71" s="199"/>
      <c r="CI71" s="199"/>
      <c r="CJ71" s="199"/>
      <c r="CK71" s="199"/>
      <c r="CL71" s="199"/>
      <c r="CM71" s="199"/>
      <c r="CN71" s="199"/>
      <c r="CO71" s="199"/>
      <c r="CP71" s="199"/>
      <c r="CQ71" s="199"/>
      <c r="CR71" s="199"/>
      <c r="CS71" s="199"/>
      <c r="CT71" s="199"/>
      <c r="CU71" s="199"/>
      <c r="CV71" s="199"/>
      <c r="CW71" s="199"/>
      <c r="CX71" s="199"/>
      <c r="CY71" s="199"/>
      <c r="CZ71" s="199"/>
      <c r="DA71" s="199"/>
      <c r="DB71" s="199"/>
    </row>
    <row r="72" spans="2:106" ht="20" hidden="1" x14ac:dyDescent="0.2">
      <c r="B72" s="330"/>
      <c r="C72" s="412"/>
      <c r="D72" s="37"/>
      <c r="E72" s="37"/>
      <c r="F72" s="37"/>
      <c r="G72" s="998"/>
      <c r="H72"/>
      <c r="I72"/>
      <c r="J72"/>
      <c r="K72"/>
      <c r="L72"/>
      <c r="M72"/>
      <c r="N72"/>
      <c r="O72" s="995"/>
      <c r="U72" s="212"/>
      <c r="V72" s="73"/>
      <c r="AB72" s="73"/>
      <c r="AC72" s="73"/>
      <c r="AD72" s="73"/>
      <c r="AE72" s="73"/>
      <c r="AF72" s="73"/>
      <c r="AG72" s="73"/>
      <c r="AH72" s="73"/>
      <c r="AI72" s="73"/>
      <c r="AJ72" s="73"/>
      <c r="AK72" s="73"/>
      <c r="AL72" s="73"/>
      <c r="AM72" s="73"/>
      <c r="AN72" s="73"/>
      <c r="AO72" s="73"/>
      <c r="AP72" s="73"/>
      <c r="AQ72" s="73"/>
      <c r="AR72" s="73"/>
      <c r="AS72" s="73"/>
      <c r="AT72" s="73"/>
      <c r="AU72" s="73"/>
      <c r="AV72" s="73"/>
      <c r="AW72" s="73"/>
      <c r="AX72" s="73"/>
      <c r="AY72" s="73"/>
      <c r="AZ72" s="73"/>
      <c r="BA72" s="73"/>
      <c r="BB72" s="73"/>
      <c r="BC72" s="126"/>
      <c r="BE72" s="136"/>
      <c r="BF72" s="136"/>
      <c r="BG72" s="136"/>
      <c r="BH72" s="136"/>
      <c r="BI72" s="136"/>
      <c r="BJ72" s="136"/>
      <c r="BK72" s="136"/>
      <c r="BL72" s="136"/>
      <c r="BM72" s="402"/>
      <c r="BN72" s="136"/>
      <c r="BO72" s="1091"/>
      <c r="BP72" s="78"/>
      <c r="BQ72" s="199"/>
      <c r="BR72" s="199"/>
      <c r="BS72" s="199"/>
      <c r="BT72" s="199"/>
      <c r="BU72" s="199"/>
      <c r="BV72" s="199"/>
      <c r="BW72" s="199"/>
      <c r="BX72" s="199"/>
      <c r="BY72" s="199"/>
      <c r="BZ72" s="199"/>
      <c r="CA72" s="199"/>
      <c r="CB72" s="199"/>
      <c r="CC72" s="199"/>
      <c r="CD72" s="199"/>
      <c r="CE72" s="199"/>
      <c r="CF72" s="199"/>
      <c r="CG72" s="199"/>
      <c r="CH72" s="199"/>
      <c r="CI72" s="199"/>
      <c r="CJ72" s="199"/>
      <c r="CK72" s="199"/>
      <c r="CL72" s="199"/>
      <c r="CM72" s="199"/>
      <c r="CN72" s="199"/>
      <c r="CO72" s="199"/>
      <c r="CP72" s="199"/>
      <c r="CQ72" s="199"/>
      <c r="CR72" s="199"/>
      <c r="CS72" s="199"/>
      <c r="CT72" s="199"/>
      <c r="CU72" s="199"/>
      <c r="CV72" s="199"/>
      <c r="CW72" s="199"/>
      <c r="CX72" s="199"/>
      <c r="CY72" s="199"/>
      <c r="CZ72" s="199"/>
      <c r="DA72" s="199"/>
      <c r="DB72" s="199"/>
    </row>
    <row r="73" spans="2:106" ht="20" hidden="1" x14ac:dyDescent="0.2">
      <c r="B73" s="330"/>
      <c r="C73" s="412"/>
      <c r="D73" s="37"/>
      <c r="E73" s="37"/>
      <c r="F73" s="37"/>
      <c r="G73" s="998"/>
      <c r="H73"/>
      <c r="I73"/>
      <c r="J73"/>
      <c r="K73"/>
      <c r="L73"/>
      <c r="M73"/>
      <c r="N73"/>
      <c r="O73" s="995"/>
      <c r="U73" s="212"/>
      <c r="V73" s="73"/>
      <c r="AB73" s="73"/>
      <c r="AC73" s="73"/>
      <c r="AD73" s="73"/>
      <c r="AE73" s="73"/>
      <c r="AF73" s="73"/>
      <c r="AG73" s="73"/>
      <c r="AH73" s="73"/>
      <c r="AI73" s="73"/>
      <c r="AJ73" s="73"/>
      <c r="AK73" s="73"/>
      <c r="AL73" s="73"/>
      <c r="AM73" s="73"/>
      <c r="AN73" s="73"/>
      <c r="AO73" s="73"/>
      <c r="AP73" s="73"/>
      <c r="AQ73" s="73"/>
      <c r="AR73" s="73"/>
      <c r="AS73" s="73"/>
      <c r="AT73" s="73"/>
      <c r="AU73" s="73"/>
      <c r="AV73" s="73"/>
      <c r="AW73" s="73"/>
      <c r="AX73" s="73"/>
      <c r="AY73" s="73"/>
      <c r="AZ73" s="73"/>
      <c r="BA73" s="73"/>
      <c r="BB73" s="73"/>
      <c r="BC73" s="126"/>
      <c r="BE73" s="136"/>
      <c r="BF73" s="136"/>
      <c r="BG73" s="136"/>
      <c r="BH73" s="136"/>
      <c r="BI73" s="136"/>
      <c r="BJ73" s="136"/>
      <c r="BK73" s="136"/>
      <c r="BL73" s="136"/>
      <c r="BM73" s="402"/>
      <c r="BN73" s="136"/>
      <c r="BO73" s="1091"/>
      <c r="BP73" s="78"/>
      <c r="BQ73" s="199"/>
      <c r="BR73" s="199"/>
      <c r="BS73" s="199"/>
      <c r="BT73" s="199"/>
      <c r="BU73" s="199"/>
      <c r="BV73" s="199"/>
      <c r="BW73" s="199"/>
      <c r="BX73" s="199"/>
      <c r="BY73" s="199"/>
      <c r="BZ73" s="199"/>
      <c r="CA73" s="199"/>
      <c r="CB73" s="199"/>
      <c r="CC73" s="199"/>
      <c r="CD73" s="199"/>
      <c r="CE73" s="199"/>
      <c r="CF73" s="199"/>
      <c r="CG73" s="199"/>
      <c r="CH73" s="199"/>
      <c r="CI73" s="199"/>
      <c r="CJ73" s="199"/>
      <c r="CK73" s="199"/>
      <c r="CL73" s="199"/>
      <c r="CM73" s="199"/>
      <c r="CN73" s="199"/>
      <c r="CO73" s="199"/>
      <c r="CP73" s="199"/>
      <c r="CQ73" s="199"/>
      <c r="CR73" s="199"/>
      <c r="CS73" s="199"/>
      <c r="CT73" s="199"/>
      <c r="CU73" s="199"/>
      <c r="CV73" s="199"/>
      <c r="CW73" s="199"/>
      <c r="CX73" s="199"/>
      <c r="CY73" s="199"/>
      <c r="CZ73" s="199"/>
      <c r="DA73" s="199"/>
      <c r="DB73" s="199"/>
    </row>
    <row r="74" spans="2:106" ht="20" hidden="1" x14ac:dyDescent="0.2">
      <c r="B74" s="330"/>
      <c r="C74" s="412"/>
      <c r="D74" s="37"/>
      <c r="E74" s="37"/>
      <c r="F74" s="37"/>
      <c r="G74" s="998"/>
      <c r="H74"/>
      <c r="I74"/>
      <c r="J74"/>
      <c r="K74"/>
      <c r="L74"/>
      <c r="M74"/>
      <c r="N74"/>
      <c r="O74" s="995"/>
      <c r="U74" s="212"/>
      <c r="V74" s="73"/>
      <c r="AB74" s="73"/>
      <c r="AC74" s="73"/>
      <c r="AD74" s="73"/>
      <c r="AE74" s="73"/>
      <c r="AF74" s="73"/>
      <c r="AG74" s="73"/>
      <c r="AH74" s="73"/>
      <c r="AI74" s="73"/>
      <c r="AJ74" s="73"/>
      <c r="AK74" s="73"/>
      <c r="AL74" s="73"/>
      <c r="AM74" s="73"/>
      <c r="AN74" s="73"/>
      <c r="AO74" s="73"/>
      <c r="AP74" s="73"/>
      <c r="AQ74" s="73"/>
      <c r="AR74" s="73"/>
      <c r="AS74" s="73"/>
      <c r="AT74" s="73"/>
      <c r="AU74" s="73"/>
      <c r="AV74" s="73"/>
      <c r="AW74" s="73"/>
      <c r="AX74" s="73"/>
      <c r="AY74" s="73"/>
      <c r="AZ74" s="73"/>
      <c r="BA74" s="73"/>
      <c r="BB74" s="73"/>
      <c r="BC74" s="126"/>
      <c r="BE74" s="136"/>
      <c r="BF74" s="136"/>
      <c r="BG74" s="136"/>
      <c r="BH74" s="136"/>
      <c r="BI74" s="136"/>
      <c r="BJ74" s="136"/>
      <c r="BK74" s="136"/>
      <c r="BL74" s="136"/>
      <c r="BM74" s="402"/>
      <c r="BN74" s="136"/>
      <c r="BO74" s="1091"/>
      <c r="BP74" s="78"/>
      <c r="BQ74" s="199"/>
      <c r="BR74" s="199"/>
      <c r="BS74" s="199"/>
      <c r="BT74" s="199"/>
      <c r="BU74" s="199"/>
      <c r="BV74" s="199"/>
      <c r="BW74" s="199"/>
      <c r="BX74" s="199"/>
      <c r="BY74" s="199"/>
      <c r="BZ74" s="199"/>
      <c r="CA74" s="199"/>
      <c r="CB74" s="199"/>
      <c r="CC74" s="199"/>
      <c r="CD74" s="199"/>
      <c r="CE74" s="199"/>
      <c r="CF74" s="199"/>
      <c r="CG74" s="199"/>
      <c r="CH74" s="199"/>
      <c r="CI74" s="199"/>
      <c r="CJ74" s="199"/>
      <c r="CK74" s="199"/>
      <c r="CL74" s="199"/>
      <c r="CM74" s="199"/>
      <c r="CN74" s="199"/>
      <c r="CO74" s="199"/>
      <c r="CP74" s="199"/>
      <c r="CQ74" s="199"/>
      <c r="CR74" s="199"/>
      <c r="CS74" s="199"/>
      <c r="CT74" s="199"/>
      <c r="CU74" s="199"/>
      <c r="CV74" s="199"/>
      <c r="CW74" s="199"/>
      <c r="CX74" s="199"/>
      <c r="CY74" s="199"/>
      <c r="CZ74" s="199"/>
      <c r="DA74" s="199"/>
      <c r="DB74" s="199"/>
    </row>
    <row r="75" spans="2:106" ht="20" hidden="1" x14ac:dyDescent="0.2">
      <c r="B75" s="330"/>
      <c r="C75" s="412"/>
      <c r="D75" s="37"/>
      <c r="E75" s="37"/>
      <c r="F75" s="37"/>
      <c r="G75" s="998"/>
      <c r="H75"/>
      <c r="I75"/>
      <c r="J75"/>
      <c r="K75"/>
      <c r="L75"/>
      <c r="M75"/>
      <c r="N75"/>
      <c r="O75" s="995"/>
      <c r="U75" s="212"/>
      <c r="V75" s="73"/>
      <c r="AB75" s="73"/>
      <c r="AC75" s="73"/>
      <c r="AD75" s="73"/>
      <c r="AE75" s="73"/>
      <c r="AF75" s="73"/>
      <c r="AG75" s="73"/>
      <c r="AH75" s="73"/>
      <c r="AI75" s="73"/>
      <c r="AJ75" s="73"/>
      <c r="AK75" s="73"/>
      <c r="AL75" s="73"/>
      <c r="AM75" s="73"/>
      <c r="AN75" s="73"/>
      <c r="AO75" s="73"/>
      <c r="AP75" s="73"/>
      <c r="AQ75" s="73"/>
      <c r="AR75" s="73"/>
      <c r="AS75" s="73"/>
      <c r="AT75" s="73"/>
      <c r="AU75" s="73"/>
      <c r="AV75" s="73"/>
      <c r="AW75" s="73"/>
      <c r="AX75" s="73"/>
      <c r="AY75" s="73"/>
      <c r="AZ75" s="73"/>
      <c r="BA75" s="73"/>
      <c r="BB75" s="73"/>
      <c r="BC75" s="126"/>
      <c r="BE75" s="136"/>
      <c r="BF75" s="136"/>
      <c r="BG75" s="136"/>
      <c r="BH75" s="136"/>
      <c r="BI75" s="136"/>
      <c r="BJ75" s="136"/>
      <c r="BK75" s="136"/>
      <c r="BL75" s="136"/>
      <c r="BM75" s="402"/>
      <c r="BN75" s="136"/>
      <c r="BO75" s="1091"/>
      <c r="BP75" s="78"/>
      <c r="BQ75" s="199"/>
      <c r="BR75" s="199"/>
      <c r="BS75" s="199"/>
      <c r="BT75" s="199"/>
      <c r="BU75" s="199"/>
      <c r="BV75" s="199"/>
      <c r="BW75" s="199"/>
      <c r="BX75" s="199"/>
      <c r="BY75" s="199"/>
      <c r="BZ75" s="199"/>
      <c r="CA75" s="199"/>
      <c r="CB75" s="199"/>
      <c r="CC75" s="199"/>
      <c r="CD75" s="199"/>
      <c r="CE75" s="199"/>
      <c r="CF75" s="199"/>
      <c r="CG75" s="199"/>
      <c r="CH75" s="199"/>
      <c r="CI75" s="199"/>
      <c r="CJ75" s="199"/>
      <c r="CK75" s="199"/>
      <c r="CL75" s="199"/>
      <c r="CM75" s="199"/>
      <c r="CN75" s="199"/>
      <c r="CO75" s="199"/>
      <c r="CP75" s="199"/>
      <c r="CQ75" s="199"/>
      <c r="CR75" s="199"/>
      <c r="CS75" s="199"/>
      <c r="CT75" s="199"/>
      <c r="CU75" s="199"/>
      <c r="CV75" s="199"/>
      <c r="CW75" s="199"/>
      <c r="CX75" s="199"/>
      <c r="CY75" s="199"/>
      <c r="CZ75" s="199"/>
      <c r="DA75" s="199"/>
      <c r="DB75" s="199"/>
    </row>
    <row r="76" spans="2:106" ht="20" hidden="1" x14ac:dyDescent="0.2">
      <c r="B76" s="330"/>
      <c r="C76" s="412"/>
      <c r="D76" s="37"/>
      <c r="E76" s="37"/>
      <c r="F76" s="37"/>
      <c r="G76" s="998"/>
      <c r="H76"/>
      <c r="I76"/>
      <c r="J76"/>
      <c r="K76"/>
      <c r="L76"/>
      <c r="M76"/>
      <c r="N76"/>
      <c r="O76" s="995"/>
      <c r="U76" s="212"/>
      <c r="V76" s="73"/>
      <c r="AB76" s="73"/>
      <c r="AC76" s="73"/>
      <c r="AD76" s="73"/>
      <c r="AE76" s="73"/>
      <c r="AF76" s="73"/>
      <c r="AG76" s="73"/>
      <c r="AH76" s="73"/>
      <c r="AI76" s="73"/>
      <c r="AJ76" s="73"/>
      <c r="AK76" s="73"/>
      <c r="AL76" s="73"/>
      <c r="AM76" s="73"/>
      <c r="AN76" s="73"/>
      <c r="AO76" s="73"/>
      <c r="AP76" s="73"/>
      <c r="AQ76" s="73"/>
      <c r="AR76" s="73"/>
      <c r="AS76" s="73"/>
      <c r="AT76" s="73"/>
      <c r="AU76" s="73"/>
      <c r="AV76" s="73"/>
      <c r="AW76" s="73"/>
      <c r="AX76" s="73"/>
      <c r="AY76" s="73"/>
      <c r="AZ76" s="73"/>
      <c r="BA76" s="73"/>
      <c r="BB76" s="73"/>
      <c r="BC76" s="126"/>
      <c r="BE76" s="136"/>
      <c r="BF76" s="136"/>
      <c r="BG76" s="136"/>
      <c r="BH76" s="136"/>
      <c r="BI76" s="136"/>
      <c r="BJ76" s="136"/>
      <c r="BK76" s="136"/>
      <c r="BL76" s="136"/>
      <c r="BM76" s="402"/>
      <c r="BN76" s="136"/>
      <c r="BO76" s="1091"/>
      <c r="BP76" s="78"/>
      <c r="BQ76" s="199"/>
      <c r="BR76" s="199"/>
      <c r="BS76" s="199"/>
      <c r="BT76" s="199"/>
      <c r="BU76" s="199"/>
      <c r="BV76" s="199"/>
      <c r="BW76" s="199"/>
      <c r="BX76" s="199"/>
      <c r="BY76" s="199"/>
      <c r="BZ76" s="199"/>
      <c r="CA76" s="199"/>
      <c r="CB76" s="199"/>
      <c r="CC76" s="199"/>
      <c r="CD76" s="199"/>
      <c r="CE76" s="199"/>
      <c r="CF76" s="199"/>
      <c r="CG76" s="199"/>
      <c r="CH76" s="199"/>
      <c r="CI76" s="199"/>
      <c r="CJ76" s="199"/>
      <c r="CK76" s="199"/>
      <c r="CL76" s="199"/>
      <c r="CM76" s="199"/>
      <c r="CN76" s="199"/>
      <c r="CO76" s="199"/>
      <c r="CP76" s="199"/>
      <c r="CQ76" s="199"/>
      <c r="CR76" s="199"/>
      <c r="CS76" s="199"/>
      <c r="CT76" s="199"/>
      <c r="CU76" s="199"/>
      <c r="CV76" s="199"/>
      <c r="CW76" s="199"/>
      <c r="CX76" s="199"/>
      <c r="CY76" s="199"/>
      <c r="CZ76" s="199"/>
      <c r="DA76" s="199"/>
      <c r="DB76" s="199"/>
    </row>
    <row r="77" spans="2:106" ht="20" hidden="1" x14ac:dyDescent="0.2">
      <c r="B77" s="330"/>
      <c r="C77" s="412"/>
      <c r="D77" s="37"/>
      <c r="E77" s="37"/>
      <c r="F77" s="37"/>
      <c r="G77" s="998"/>
      <c r="H77"/>
      <c r="I77"/>
      <c r="J77"/>
      <c r="K77"/>
      <c r="L77"/>
      <c r="M77"/>
      <c r="N77"/>
      <c r="O77" s="995"/>
      <c r="U77" s="212"/>
      <c r="V77" s="73"/>
      <c r="AB77" s="73"/>
      <c r="AC77" s="73"/>
      <c r="AD77" s="73"/>
      <c r="AE77" s="73"/>
      <c r="AF77" s="73"/>
      <c r="AG77" s="73"/>
      <c r="AH77" s="73"/>
      <c r="AI77" s="73"/>
      <c r="AJ77" s="73"/>
      <c r="AK77" s="73"/>
      <c r="AL77" s="73"/>
      <c r="AM77" s="73"/>
      <c r="AN77" s="73"/>
      <c r="AO77" s="73"/>
      <c r="AP77" s="73"/>
      <c r="AQ77" s="73"/>
      <c r="AR77" s="73"/>
      <c r="AS77" s="73"/>
      <c r="AT77" s="73"/>
      <c r="AU77" s="73"/>
      <c r="AV77" s="73"/>
      <c r="AW77" s="73"/>
      <c r="AX77" s="73"/>
      <c r="AY77" s="73"/>
      <c r="AZ77" s="73"/>
      <c r="BA77" s="73"/>
      <c r="BB77" s="73"/>
      <c r="BC77" s="126"/>
      <c r="BE77" s="136"/>
      <c r="BF77" s="136"/>
      <c r="BG77" s="136"/>
      <c r="BH77" s="136"/>
      <c r="BI77" s="136"/>
      <c r="BJ77" s="136"/>
      <c r="BK77" s="136"/>
      <c r="BL77" s="136"/>
      <c r="BM77" s="402"/>
      <c r="BN77" s="136"/>
      <c r="BO77" s="1091"/>
      <c r="BP77" s="78"/>
      <c r="BQ77" s="199"/>
      <c r="BR77" s="199"/>
      <c r="BS77" s="199"/>
      <c r="BT77" s="199"/>
      <c r="BU77" s="199"/>
      <c r="BV77" s="199"/>
      <c r="BW77" s="199"/>
      <c r="BX77" s="199"/>
      <c r="BY77" s="199"/>
      <c r="BZ77" s="199"/>
      <c r="CA77" s="199"/>
      <c r="CB77" s="199"/>
      <c r="CC77" s="199"/>
      <c r="CD77" s="199"/>
      <c r="CE77" s="199"/>
      <c r="CF77" s="199"/>
      <c r="CG77" s="199"/>
      <c r="CH77" s="199"/>
      <c r="CI77" s="199"/>
      <c r="CJ77" s="199"/>
      <c r="CK77" s="199"/>
      <c r="CL77" s="199"/>
      <c r="CM77" s="199"/>
      <c r="CN77" s="199"/>
      <c r="CO77" s="199"/>
      <c r="CP77" s="199"/>
      <c r="CQ77" s="199"/>
      <c r="CR77" s="199"/>
      <c r="CS77" s="199"/>
      <c r="CT77" s="199"/>
      <c r="CU77" s="199"/>
      <c r="CV77" s="199"/>
      <c r="CW77" s="199"/>
      <c r="CX77" s="199"/>
      <c r="CY77" s="199"/>
      <c r="CZ77" s="199"/>
      <c r="DA77" s="199"/>
      <c r="DB77" s="199"/>
    </row>
    <row r="78" spans="2:106" ht="20" hidden="1" x14ac:dyDescent="0.2">
      <c r="B78" s="330"/>
      <c r="C78" s="412"/>
      <c r="D78" s="37"/>
      <c r="E78" s="37"/>
      <c r="F78" s="37"/>
      <c r="G78" s="998"/>
      <c r="H78"/>
      <c r="I78"/>
      <c r="J78"/>
      <c r="K78"/>
      <c r="L78"/>
      <c r="M78"/>
      <c r="N78"/>
      <c r="O78" s="995"/>
      <c r="U78" s="212"/>
      <c r="V78" s="73"/>
      <c r="AB78" s="73"/>
      <c r="AC78" s="73"/>
      <c r="AD78" s="73"/>
      <c r="AE78" s="73"/>
      <c r="AF78" s="73"/>
      <c r="AG78" s="73"/>
      <c r="AH78" s="73"/>
      <c r="AI78" s="73"/>
      <c r="AJ78" s="73"/>
      <c r="AK78" s="73"/>
      <c r="AL78" s="73"/>
      <c r="AM78" s="73"/>
      <c r="AN78" s="73"/>
      <c r="AO78" s="73"/>
      <c r="AP78" s="73"/>
      <c r="AQ78" s="73"/>
      <c r="AR78" s="73"/>
      <c r="AS78" s="73"/>
      <c r="AT78" s="73"/>
      <c r="AU78" s="73"/>
      <c r="AV78" s="73"/>
      <c r="AW78" s="73"/>
      <c r="AX78" s="73"/>
      <c r="AY78" s="73"/>
      <c r="AZ78" s="73"/>
      <c r="BA78" s="73"/>
      <c r="BB78" s="73"/>
      <c r="BC78" s="126"/>
      <c r="BE78" s="136"/>
      <c r="BF78" s="136"/>
      <c r="BG78" s="136"/>
      <c r="BH78" s="136"/>
      <c r="BI78" s="136"/>
      <c r="BJ78" s="136"/>
      <c r="BK78" s="136"/>
      <c r="BL78" s="136"/>
      <c r="BM78" s="402"/>
      <c r="BN78" s="136"/>
      <c r="BO78" s="1091"/>
      <c r="BP78" s="78"/>
      <c r="BQ78" s="199"/>
      <c r="BR78" s="199"/>
      <c r="BS78" s="199"/>
      <c r="BT78" s="199"/>
      <c r="BU78" s="199"/>
      <c r="BV78" s="199"/>
      <c r="BW78" s="199"/>
      <c r="BX78" s="199"/>
      <c r="BY78" s="199"/>
      <c r="BZ78" s="199"/>
      <c r="CA78" s="199"/>
      <c r="CB78" s="199"/>
      <c r="CC78" s="199"/>
      <c r="CD78" s="199"/>
      <c r="CE78" s="199"/>
      <c r="CF78" s="199"/>
      <c r="CG78" s="199"/>
      <c r="CH78" s="199"/>
      <c r="CI78" s="199"/>
      <c r="CJ78" s="199"/>
      <c r="CK78" s="199"/>
      <c r="CL78" s="199"/>
      <c r="CM78" s="199"/>
      <c r="CN78" s="199"/>
      <c r="CO78" s="199"/>
      <c r="CP78" s="199"/>
      <c r="CQ78" s="199"/>
      <c r="CR78" s="199"/>
      <c r="CS78" s="199"/>
      <c r="CT78" s="199"/>
      <c r="CU78" s="199"/>
      <c r="CV78" s="199"/>
      <c r="CW78" s="199"/>
      <c r="CX78" s="199"/>
      <c r="CY78" s="199"/>
      <c r="CZ78" s="199"/>
      <c r="DA78" s="199"/>
      <c r="DB78" s="199"/>
    </row>
    <row r="79" spans="2:106" ht="20" hidden="1" x14ac:dyDescent="0.2">
      <c r="B79" s="330"/>
      <c r="C79" s="412"/>
      <c r="D79" s="37"/>
      <c r="E79" s="37"/>
      <c r="F79" s="37"/>
      <c r="G79" s="1008"/>
      <c r="H79"/>
      <c r="I79"/>
      <c r="J79"/>
      <c r="K79"/>
      <c r="L79"/>
      <c r="M79"/>
      <c r="N79"/>
      <c r="O79" s="995"/>
      <c r="U79" s="212"/>
      <c r="V79" s="73"/>
      <c r="AB79" s="73"/>
      <c r="AC79" s="73"/>
      <c r="AD79" s="73"/>
      <c r="AE79" s="73"/>
      <c r="AF79" s="73"/>
      <c r="AG79" s="73"/>
      <c r="AH79" s="73"/>
      <c r="AI79" s="73"/>
      <c r="AJ79" s="73"/>
      <c r="AK79" s="73"/>
      <c r="AL79" s="73"/>
      <c r="AM79" s="73"/>
      <c r="AN79" s="73"/>
      <c r="AO79" s="73"/>
      <c r="AP79" s="73"/>
      <c r="AQ79" s="73"/>
      <c r="AR79" s="73"/>
      <c r="AS79" s="73"/>
      <c r="AT79" s="73"/>
      <c r="AU79" s="73"/>
      <c r="AV79" s="73"/>
      <c r="AW79" s="73"/>
      <c r="AX79" s="73"/>
      <c r="AY79" s="73"/>
      <c r="AZ79" s="73"/>
      <c r="BA79" s="73"/>
      <c r="BB79" s="73"/>
      <c r="BC79" s="126"/>
      <c r="BE79" s="136"/>
      <c r="BF79" s="136"/>
      <c r="BG79" s="136"/>
      <c r="BH79" s="136"/>
      <c r="BI79" s="136"/>
      <c r="BJ79" s="136"/>
      <c r="BK79" s="136"/>
      <c r="BL79" s="136"/>
      <c r="BM79" s="402"/>
      <c r="BN79" s="136"/>
      <c r="BO79" s="1091"/>
      <c r="BP79" s="78"/>
      <c r="BQ79" s="199"/>
      <c r="BR79" s="199"/>
      <c r="BS79" s="199"/>
      <c r="BT79" s="199"/>
      <c r="BU79" s="199"/>
      <c r="BV79" s="199"/>
      <c r="BW79" s="199"/>
      <c r="BX79" s="199"/>
      <c r="BY79" s="199"/>
      <c r="BZ79" s="199"/>
      <c r="CA79" s="199"/>
      <c r="CB79" s="199"/>
      <c r="CC79" s="199"/>
      <c r="CD79" s="199"/>
      <c r="CE79" s="199"/>
      <c r="CF79" s="199"/>
      <c r="CG79" s="199"/>
      <c r="CH79" s="199"/>
      <c r="CI79" s="199"/>
      <c r="CJ79" s="199"/>
      <c r="CK79" s="199"/>
      <c r="CL79" s="199"/>
      <c r="CM79" s="199"/>
      <c r="CN79" s="199"/>
      <c r="CO79" s="199"/>
      <c r="CP79" s="199"/>
      <c r="CQ79" s="199"/>
      <c r="CR79" s="199"/>
      <c r="CS79" s="199"/>
      <c r="CT79" s="199"/>
      <c r="CU79" s="199"/>
      <c r="CV79" s="199"/>
      <c r="CW79" s="199"/>
      <c r="CX79" s="199"/>
      <c r="CY79" s="199"/>
      <c r="CZ79" s="199"/>
      <c r="DA79" s="199"/>
      <c r="DB79" s="199"/>
    </row>
    <row r="80" spans="2:106" ht="20" hidden="1" x14ac:dyDescent="0.2">
      <c r="B80" s="330"/>
      <c r="C80" s="412"/>
      <c r="D80" s="37"/>
      <c r="E80" s="37"/>
      <c r="F80" s="37"/>
      <c r="G80" s="998"/>
      <c r="H80"/>
      <c r="I80"/>
      <c r="J80"/>
      <c r="K80"/>
      <c r="L80"/>
      <c r="M80"/>
      <c r="N80"/>
      <c r="O80" s="995"/>
      <c r="U80" s="212"/>
      <c r="V80" s="73"/>
      <c r="AB80" s="73"/>
      <c r="AC80" s="73"/>
      <c r="AD80" s="73"/>
      <c r="AE80" s="73"/>
      <c r="AF80" s="73"/>
      <c r="AG80" s="73"/>
      <c r="AH80" s="73"/>
      <c r="AI80" s="73"/>
      <c r="AJ80" s="73"/>
      <c r="AK80" s="73"/>
      <c r="AL80" s="73"/>
      <c r="AM80" s="73"/>
      <c r="AN80" s="73"/>
      <c r="AO80" s="73"/>
      <c r="AP80" s="73"/>
      <c r="AQ80" s="73"/>
      <c r="AR80" s="73"/>
      <c r="AS80" s="73"/>
      <c r="AT80" s="73"/>
      <c r="AU80" s="73"/>
      <c r="AV80" s="73"/>
      <c r="AW80" s="73"/>
      <c r="AX80" s="73"/>
      <c r="AY80" s="73"/>
      <c r="AZ80" s="73"/>
      <c r="BA80" s="73"/>
      <c r="BB80" s="73"/>
      <c r="BC80" s="126"/>
      <c r="BE80" s="136"/>
      <c r="BF80" s="136"/>
      <c r="BG80" s="136"/>
      <c r="BH80" s="136"/>
      <c r="BI80" s="136"/>
      <c r="BJ80" s="136"/>
      <c r="BK80" s="136"/>
      <c r="BL80" s="136"/>
      <c r="BM80" s="402"/>
      <c r="BN80" s="136"/>
      <c r="BO80" s="1091"/>
      <c r="BP80" s="78"/>
      <c r="BQ80" s="199"/>
      <c r="BR80" s="199"/>
      <c r="BS80" s="199"/>
      <c r="BT80" s="199"/>
      <c r="BU80" s="199"/>
      <c r="BV80" s="199"/>
      <c r="BW80" s="199"/>
      <c r="BX80" s="199"/>
      <c r="BY80" s="199"/>
      <c r="BZ80" s="199"/>
      <c r="CA80" s="199"/>
      <c r="CB80" s="199"/>
      <c r="CC80" s="199"/>
      <c r="CD80" s="199"/>
      <c r="CE80" s="199"/>
      <c r="CF80" s="199"/>
      <c r="CG80" s="199"/>
      <c r="CH80" s="199"/>
      <c r="CI80" s="199"/>
      <c r="CJ80" s="199"/>
      <c r="CK80" s="199"/>
      <c r="CL80" s="199"/>
      <c r="CM80" s="199"/>
      <c r="CN80" s="199"/>
      <c r="CO80" s="199"/>
      <c r="CP80" s="199"/>
      <c r="CQ80" s="199"/>
      <c r="CR80" s="199"/>
      <c r="CS80" s="199"/>
      <c r="CT80" s="199"/>
      <c r="CU80" s="199"/>
      <c r="CV80" s="199"/>
      <c r="CW80" s="199"/>
      <c r="CX80" s="199"/>
      <c r="CY80" s="199"/>
      <c r="CZ80" s="199"/>
      <c r="DA80" s="199"/>
      <c r="DB80" s="199"/>
    </row>
    <row r="81" spans="2:108" ht="20" hidden="1" x14ac:dyDescent="0.2">
      <c r="B81" s="330"/>
      <c r="C81" s="412"/>
      <c r="D81" s="37"/>
      <c r="E81" s="37"/>
      <c r="F81" s="37"/>
      <c r="G81" s="998"/>
      <c r="H81"/>
      <c r="I81"/>
      <c r="J81"/>
      <c r="K81"/>
      <c r="L81"/>
      <c r="M81"/>
      <c r="N81"/>
      <c r="O81" s="995"/>
      <c r="U81" s="212"/>
      <c r="V81" s="73"/>
      <c r="AB81" s="73"/>
      <c r="AC81" s="73"/>
      <c r="AD81" s="73"/>
      <c r="AE81" s="73"/>
      <c r="AF81" s="73"/>
      <c r="AG81" s="73"/>
      <c r="AH81" s="73"/>
      <c r="AI81" s="73"/>
      <c r="AJ81" s="73"/>
      <c r="AK81" s="73"/>
      <c r="AL81" s="73"/>
      <c r="AM81" s="73"/>
      <c r="AN81" s="73"/>
      <c r="AO81" s="73"/>
      <c r="AP81" s="73"/>
      <c r="AQ81" s="73"/>
      <c r="AR81" s="73"/>
      <c r="AS81" s="73"/>
      <c r="AT81" s="73"/>
      <c r="AU81" s="73"/>
      <c r="AV81" s="73"/>
      <c r="AW81" s="73"/>
      <c r="AX81" s="73"/>
      <c r="AY81" s="73"/>
      <c r="AZ81" s="73"/>
      <c r="BA81" s="73"/>
      <c r="BB81" s="73"/>
      <c r="BC81" s="126"/>
      <c r="BE81" s="136"/>
      <c r="BF81" s="136"/>
      <c r="BG81" s="136"/>
      <c r="BH81" s="136"/>
      <c r="BI81" s="136"/>
      <c r="BJ81" s="136"/>
      <c r="BK81" s="136"/>
      <c r="BL81" s="136"/>
      <c r="BM81" s="402"/>
      <c r="BN81" s="136"/>
      <c r="BO81" s="1091"/>
      <c r="BP81" s="78"/>
      <c r="BQ81" s="199"/>
      <c r="BR81" s="199"/>
      <c r="BS81" s="199"/>
      <c r="BT81" s="199"/>
      <c r="BU81" s="199"/>
      <c r="BV81" s="199"/>
      <c r="BW81" s="199"/>
      <c r="BX81" s="199"/>
      <c r="BY81" s="199"/>
      <c r="BZ81" s="199"/>
      <c r="CA81" s="199"/>
      <c r="CB81" s="199"/>
      <c r="CC81" s="199"/>
      <c r="CD81" s="199"/>
      <c r="CE81" s="199"/>
      <c r="CF81" s="199"/>
      <c r="CG81" s="199"/>
      <c r="CH81" s="199"/>
      <c r="CI81" s="199"/>
      <c r="CJ81" s="199"/>
      <c r="CK81" s="199"/>
      <c r="CL81" s="199"/>
      <c r="CM81" s="199"/>
      <c r="CN81" s="199"/>
      <c r="CO81" s="199"/>
      <c r="CP81" s="199"/>
      <c r="CQ81" s="199"/>
      <c r="CR81" s="199"/>
      <c r="CS81" s="199"/>
      <c r="CT81" s="199"/>
      <c r="CU81" s="199"/>
      <c r="CV81" s="199"/>
      <c r="CW81" s="199"/>
      <c r="CX81" s="199"/>
      <c r="CY81" s="199"/>
      <c r="CZ81" s="199"/>
      <c r="DA81" s="199"/>
      <c r="DB81" s="199"/>
    </row>
    <row r="82" spans="2:108" ht="20" hidden="1" x14ac:dyDescent="0.2">
      <c r="B82" s="330"/>
      <c r="C82" s="412"/>
      <c r="D82" s="37"/>
      <c r="E82" s="37"/>
      <c r="F82" s="37"/>
      <c r="G82" s="998"/>
      <c r="H82"/>
      <c r="I82"/>
      <c r="J82"/>
      <c r="K82"/>
      <c r="L82"/>
      <c r="M82"/>
      <c r="N82"/>
      <c r="O82" s="995"/>
      <c r="U82" s="212"/>
      <c r="V82" s="73"/>
      <c r="AB82" s="73"/>
      <c r="AC82" s="73"/>
      <c r="AD82" s="73"/>
      <c r="AE82" s="73"/>
      <c r="AF82" s="73"/>
      <c r="AG82" s="73"/>
      <c r="AH82" s="73"/>
      <c r="AI82" s="73"/>
      <c r="AJ82" s="73"/>
      <c r="AK82" s="73"/>
      <c r="AL82" s="73"/>
      <c r="AM82" s="73"/>
      <c r="AN82" s="73"/>
      <c r="AO82" s="73"/>
      <c r="AP82" s="73"/>
      <c r="AQ82" s="73"/>
      <c r="AR82" s="73"/>
      <c r="AS82" s="73"/>
      <c r="AT82" s="73"/>
      <c r="AU82" s="73"/>
      <c r="AV82" s="73"/>
      <c r="AW82" s="73"/>
      <c r="AX82" s="73"/>
      <c r="AY82" s="73"/>
      <c r="AZ82" s="73"/>
      <c r="BA82" s="73"/>
      <c r="BB82" s="73"/>
      <c r="BC82" s="126"/>
      <c r="BE82" s="136"/>
      <c r="BF82" s="136"/>
      <c r="BG82" s="136"/>
      <c r="BH82" s="136"/>
      <c r="BI82" s="136"/>
      <c r="BJ82" s="136"/>
      <c r="BK82" s="136"/>
      <c r="BL82" s="136"/>
      <c r="BM82" s="402"/>
      <c r="BN82" s="136"/>
      <c r="BO82" s="1091"/>
      <c r="BP82" s="78"/>
      <c r="BQ82" s="199"/>
      <c r="BR82" s="199"/>
      <c r="BS82" s="199"/>
      <c r="BT82" s="199"/>
      <c r="BU82" s="199"/>
      <c r="BV82" s="199"/>
      <c r="BW82" s="199"/>
      <c r="BX82" s="199"/>
      <c r="BY82" s="199"/>
      <c r="BZ82" s="199"/>
      <c r="CA82" s="199"/>
      <c r="CB82" s="199"/>
      <c r="CC82" s="199"/>
      <c r="CD82" s="199"/>
      <c r="CE82" s="199"/>
      <c r="CF82" s="199"/>
      <c r="CG82" s="199"/>
      <c r="CH82" s="199"/>
      <c r="CI82" s="199"/>
      <c r="CJ82" s="199"/>
      <c r="CK82" s="199"/>
      <c r="CL82" s="199"/>
      <c r="CM82" s="199"/>
      <c r="CN82" s="199"/>
      <c r="CO82" s="199"/>
      <c r="CP82" s="199"/>
      <c r="CQ82" s="199"/>
      <c r="CR82" s="199"/>
      <c r="CS82" s="199"/>
      <c r="CT82" s="199"/>
      <c r="CU82" s="199"/>
      <c r="CV82" s="199"/>
      <c r="CW82" s="199"/>
      <c r="CX82" s="199"/>
      <c r="CY82" s="199"/>
      <c r="CZ82" s="199"/>
      <c r="DA82" s="199"/>
      <c r="DB82" s="199"/>
    </row>
    <row r="83" spans="2:108" ht="21" hidden="1" thickBot="1" x14ac:dyDescent="0.25">
      <c r="B83" s="330"/>
      <c r="C83" s="412"/>
      <c r="D83" s="37"/>
      <c r="E83" s="37"/>
      <c r="F83" s="37"/>
      <c r="G83" s="998"/>
      <c r="H83"/>
      <c r="I83"/>
      <c r="J83"/>
      <c r="K83" s="988">
        <v>5</v>
      </c>
      <c r="L83"/>
      <c r="M83" s="988">
        <v>51</v>
      </c>
      <c r="N83"/>
      <c r="O83" s="995"/>
      <c r="U83" s="212"/>
      <c r="V83" s="73"/>
      <c r="AB83" s="73"/>
      <c r="AC83" s="73"/>
      <c r="AD83" s="73"/>
      <c r="AE83" s="73"/>
      <c r="AF83" s="73"/>
      <c r="AG83" s="73"/>
      <c r="AH83" s="73"/>
      <c r="AI83" s="73"/>
      <c r="AJ83" s="73"/>
      <c r="AK83" s="73"/>
      <c r="AL83" s="73"/>
      <c r="AM83" s="73"/>
      <c r="AN83" s="73"/>
      <c r="AO83" s="73"/>
      <c r="AP83" s="73"/>
      <c r="AQ83" s="73"/>
      <c r="AR83" s="73"/>
      <c r="AS83" s="73"/>
      <c r="AT83" s="73"/>
      <c r="AU83" s="73"/>
      <c r="AV83" s="73"/>
      <c r="AW83" s="73"/>
      <c r="AX83" s="73"/>
      <c r="AY83" s="73"/>
      <c r="AZ83" s="73"/>
      <c r="BA83" s="73"/>
      <c r="BB83" s="73"/>
      <c r="BC83" s="126"/>
      <c r="BE83" s="136"/>
      <c r="BF83" s="136"/>
      <c r="BG83" s="136"/>
      <c r="BH83" s="136"/>
      <c r="BI83" s="136"/>
      <c r="BJ83" s="136"/>
      <c r="BK83" s="136"/>
      <c r="BL83" s="136"/>
      <c r="BM83" s="402"/>
      <c r="BN83" s="136"/>
      <c r="BO83" s="1091"/>
      <c r="BP83" s="78"/>
      <c r="BQ83" s="199"/>
      <c r="BR83" s="199"/>
      <c r="BS83" s="199"/>
      <c r="BT83" s="199"/>
      <c r="BU83" s="199"/>
      <c r="BV83" s="199"/>
      <c r="BW83" s="199"/>
      <c r="BX83" s="199"/>
      <c r="BY83" s="199"/>
      <c r="BZ83" s="199"/>
      <c r="CA83" s="199"/>
      <c r="CB83" s="199"/>
      <c r="CC83" s="199"/>
      <c r="CD83" s="199"/>
      <c r="CE83" s="199"/>
      <c r="CF83" s="199"/>
      <c r="CG83" s="199"/>
      <c r="CH83" s="199"/>
      <c r="CI83" s="199"/>
      <c r="CJ83" s="199"/>
      <c r="CK83" s="199"/>
      <c r="CL83" s="199"/>
      <c r="CM83" s="199"/>
      <c r="CN83" s="199"/>
      <c r="CO83" s="199"/>
      <c r="CP83" s="199"/>
      <c r="CQ83" s="199"/>
      <c r="CR83" s="199"/>
      <c r="CS83" s="199"/>
      <c r="CT83" s="199"/>
      <c r="CU83" s="199"/>
      <c r="CV83" s="199"/>
      <c r="CW83" s="199"/>
      <c r="CX83" s="199"/>
      <c r="CY83" s="199"/>
      <c r="CZ83" s="199"/>
      <c r="DA83" s="199"/>
      <c r="DB83" s="199"/>
    </row>
    <row r="84" spans="2:108" ht="231" hidden="1" x14ac:dyDescent="0.2">
      <c r="B84" s="330"/>
      <c r="C84" s="412"/>
      <c r="D84" s="37"/>
      <c r="E84" s="37"/>
      <c r="F84" s="37"/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U84" s="212"/>
      <c r="V84" s="73"/>
      <c r="AB84" s="73"/>
      <c r="AC84" s="73"/>
      <c r="AD84" s="73"/>
      <c r="AE84" s="73"/>
      <c r="AF84" s="73"/>
      <c r="AG84" s="73"/>
      <c r="AH84" s="73"/>
      <c r="AI84" s="73"/>
      <c r="AJ84" s="73"/>
      <c r="AK84" s="73"/>
      <c r="AL84" s="73"/>
      <c r="AM84" s="73"/>
      <c r="AN84" s="73"/>
      <c r="AO84" s="73"/>
      <c r="AP84" s="73"/>
      <c r="AQ84" s="73"/>
      <c r="AR84" s="73"/>
      <c r="AS84" s="73"/>
      <c r="AT84" s="73"/>
      <c r="AU84" s="73"/>
      <c r="AV84" s="73"/>
      <c r="AW84" s="73"/>
      <c r="AX84" s="73"/>
      <c r="AY84" s="73"/>
      <c r="AZ84" s="73"/>
      <c r="BA84" s="73"/>
      <c r="BB84" s="73"/>
      <c r="BC84" s="126"/>
      <c r="BE84" s="136"/>
      <c r="BF84" s="136"/>
      <c r="BG84" s="136"/>
      <c r="BH84" s="136"/>
      <c r="BI84" s="136"/>
      <c r="BJ84" s="136"/>
      <c r="BK84" s="136"/>
      <c r="BL84" s="136"/>
      <c r="BM84" s="402"/>
      <c r="BN84" s="136"/>
      <c r="BO84" s="1091"/>
      <c r="BP84" s="78"/>
      <c r="BQ84" s="199"/>
      <c r="BR84" s="199"/>
      <c r="BS84" s="199"/>
      <c r="BT84" s="199"/>
      <c r="BU84" s="199"/>
      <c r="BV84" s="199"/>
      <c r="BW84" s="199"/>
      <c r="BX84" s="199"/>
      <c r="BY84" s="199"/>
      <c r="BZ84" s="199"/>
      <c r="CA84" s="199"/>
      <c r="CB84" s="199"/>
      <c r="CC84" s="199"/>
      <c r="CD84" s="199"/>
      <c r="CE84" s="199"/>
      <c r="CF84" s="199"/>
      <c r="CG84" s="199"/>
      <c r="CH84" s="199"/>
      <c r="CI84" s="199"/>
      <c r="CJ84" s="199"/>
      <c r="CK84" s="199"/>
      <c r="CL84" s="199"/>
      <c r="CM84" s="199"/>
      <c r="CN84" s="199"/>
      <c r="CO84" s="199"/>
      <c r="CP84" s="199"/>
      <c r="CQ84" s="199"/>
      <c r="CR84" s="199"/>
      <c r="CS84" s="199"/>
      <c r="CT84" s="199"/>
      <c r="CU84" s="199"/>
      <c r="CV84" s="199"/>
      <c r="CW84" s="199"/>
      <c r="CX84" s="199"/>
      <c r="CY84" s="199"/>
      <c r="CZ84" s="199"/>
      <c r="DA84" s="199"/>
      <c r="DB84" s="199"/>
    </row>
    <row r="85" spans="2:108" ht="47.25" hidden="1" customHeight="1" thickBot="1" x14ac:dyDescent="0.3">
      <c r="B85" s="330"/>
      <c r="C85" s="412"/>
      <c r="D85" s="37"/>
      <c r="E85" s="37"/>
      <c r="F85" s="37"/>
      <c r="G85" s="998"/>
      <c r="H85"/>
      <c r="I85"/>
      <c r="J85" s="1087" t="s">
        <v>264</v>
      </c>
      <c r="K85" s="1080">
        <f>+MIN(J19:K20)</f>
        <v>58.910162002945505</v>
      </c>
      <c r="L85" s="1081">
        <f>+$E$22/(BQ27)</f>
        <v>58.910162002945505</v>
      </c>
      <c r="M85" s="1081">
        <f>+MIN(K25:L26)</f>
        <v>58.910162002945505</v>
      </c>
      <c r="N85"/>
      <c r="O85" s="995"/>
      <c r="U85" s="212"/>
      <c r="V85" s="73"/>
      <c r="AB85" s="73"/>
      <c r="AC85" s="73"/>
      <c r="AD85" s="73"/>
      <c r="AE85" s="73"/>
      <c r="AF85" s="73"/>
      <c r="AG85" s="73"/>
      <c r="AH85" s="73"/>
      <c r="AI85" s="73"/>
      <c r="AJ85" s="73"/>
      <c r="AK85" s="73"/>
      <c r="AL85" s="73"/>
      <c r="AM85" s="73"/>
      <c r="AN85" s="73"/>
      <c r="AO85" s="73"/>
      <c r="AP85" s="73"/>
      <c r="AQ85" s="73"/>
      <c r="AR85" s="73"/>
      <c r="AS85" s="73"/>
      <c r="AT85" s="73"/>
      <c r="AU85" s="73"/>
      <c r="AV85" s="73"/>
      <c r="AW85" s="73"/>
      <c r="AX85" s="73"/>
      <c r="AY85" s="73"/>
      <c r="AZ85" s="73"/>
      <c r="BA85" s="73"/>
      <c r="BB85" s="73"/>
      <c r="BC85" s="126"/>
      <c r="BE85" s="136"/>
      <c r="BF85" s="136"/>
      <c r="BG85" s="136"/>
      <c r="BH85" s="136"/>
      <c r="BI85" s="136"/>
      <c r="BJ85" s="136"/>
      <c r="BK85" s="136"/>
      <c r="BL85" s="136"/>
      <c r="BM85" s="402"/>
      <c r="BN85" s="136"/>
      <c r="BO85" s="1091"/>
      <c r="BP85" s="78"/>
      <c r="BQ85" s="199"/>
      <c r="BR85" s="199"/>
      <c r="BS85" s="199"/>
      <c r="BT85" s="199"/>
      <c r="BU85" s="199"/>
      <c r="BV85" s="199"/>
      <c r="BW85" s="199"/>
      <c r="BX85" s="199"/>
      <c r="BY85" s="199"/>
      <c r="BZ85" s="199"/>
      <c r="CA85" s="199"/>
      <c r="CB85" s="199"/>
      <c r="CC85" s="199"/>
      <c r="CD85" s="199"/>
      <c r="CE85" s="199"/>
      <c r="CF85" s="199"/>
      <c r="CG85" s="199"/>
      <c r="CH85" s="199"/>
      <c r="CI85" s="199"/>
      <c r="CJ85" s="199"/>
      <c r="CK85" s="199"/>
      <c r="CL85" s="199"/>
      <c r="CM85" s="199"/>
      <c r="CN85" s="199"/>
      <c r="CO85" s="199"/>
      <c r="CP85" s="199"/>
      <c r="CQ85" s="199"/>
      <c r="CR85" s="199"/>
      <c r="CS85" s="199"/>
      <c r="CT85" s="199"/>
      <c r="CU85" s="199"/>
      <c r="CV85" s="199"/>
      <c r="CW85" s="199"/>
      <c r="CX85" s="199"/>
      <c r="CY85" s="199"/>
      <c r="CZ85" s="199"/>
      <c r="DA85" s="199"/>
      <c r="DB85" s="199"/>
    </row>
    <row r="86" spans="2:108" ht="21" hidden="1" thickBot="1" x14ac:dyDescent="0.25">
      <c r="B86" s="330"/>
      <c r="C86" s="412"/>
      <c r="D86" s="37"/>
      <c r="E86" s="37"/>
      <c r="F86" s="37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U86" s="212"/>
      <c r="V86" s="73"/>
      <c r="AB86" s="73"/>
      <c r="AC86" s="73"/>
      <c r="AD86" s="73"/>
      <c r="AE86" s="73"/>
      <c r="AF86" s="73"/>
      <c r="AG86" s="73"/>
      <c r="AH86" s="73"/>
      <c r="AI86" s="73"/>
      <c r="AJ86" s="73"/>
      <c r="AK86" s="73"/>
      <c r="AL86" s="73"/>
      <c r="AM86" s="73"/>
      <c r="AN86" s="73"/>
      <c r="AO86" s="73"/>
      <c r="AP86" s="73"/>
      <c r="AQ86" s="73"/>
      <c r="AR86" s="73"/>
      <c r="AS86" s="73"/>
      <c r="AT86" s="73"/>
      <c r="AU86" s="73"/>
      <c r="AV86" s="73"/>
      <c r="AW86" s="73"/>
      <c r="AX86" s="73"/>
      <c r="AY86" s="73"/>
      <c r="AZ86" s="73"/>
      <c r="BA86" s="73"/>
      <c r="BB86" s="73"/>
      <c r="BC86" s="126"/>
      <c r="BE86" s="136"/>
      <c r="BF86" s="136"/>
      <c r="BG86" s="136"/>
      <c r="BH86" s="136"/>
      <c r="BI86" s="136"/>
      <c r="BJ86" s="136"/>
      <c r="BK86" s="136"/>
      <c r="BL86" s="136"/>
      <c r="BM86" s="402"/>
      <c r="BN86" s="136"/>
      <c r="BO86" s="1091"/>
      <c r="BP86" s="78"/>
      <c r="BQ86" s="199"/>
      <c r="BR86" s="199"/>
      <c r="BS86" s="199"/>
      <c r="BT86" s="199"/>
      <c r="BU86" s="199"/>
      <c r="BV86" s="199"/>
      <c r="BW86" s="199"/>
      <c r="BX86" s="199"/>
      <c r="BY86" s="199"/>
      <c r="BZ86" s="199"/>
      <c r="CA86" s="199"/>
      <c r="CB86" s="199"/>
      <c r="CC86" s="199"/>
      <c r="CD86" s="199"/>
      <c r="CE86" s="199"/>
      <c r="CF86" s="199"/>
      <c r="CG86" s="199"/>
      <c r="CH86" s="199"/>
      <c r="CI86" s="199"/>
      <c r="CJ86" s="199"/>
      <c r="CK86" s="199"/>
      <c r="CL86" s="199"/>
      <c r="CM86" s="199"/>
      <c r="CN86" s="199"/>
      <c r="CO86" s="199"/>
      <c r="CP86" s="199"/>
      <c r="CQ86" s="199"/>
      <c r="CR86" s="199"/>
      <c r="CS86" s="199"/>
      <c r="CT86" s="199"/>
      <c r="CU86" s="199"/>
      <c r="CV86" s="199"/>
      <c r="CW86" s="199"/>
      <c r="CX86" s="199"/>
      <c r="CY86" s="199"/>
      <c r="CZ86" s="199"/>
      <c r="DA86" s="199"/>
      <c r="DB86" s="199"/>
    </row>
    <row r="87" spans="2:108" ht="20" hidden="1" x14ac:dyDescent="0.2">
      <c r="B87" s="330"/>
      <c r="C87" s="412"/>
      <c r="D87" s="37"/>
      <c r="E87" s="37"/>
      <c r="F87" s="37"/>
      <c r="G87" s="998"/>
      <c r="H87"/>
      <c r="I87"/>
      <c r="J87"/>
      <c r="K87"/>
      <c r="L87"/>
      <c r="M87"/>
      <c r="N87"/>
      <c r="O87" s="995"/>
      <c r="U87" s="212"/>
      <c r="V87" s="73"/>
      <c r="AB87" s="73"/>
      <c r="AC87" s="73"/>
      <c r="AD87" s="73"/>
      <c r="AE87" s="73"/>
      <c r="AF87" s="73"/>
      <c r="AG87" s="73"/>
      <c r="AH87" s="73"/>
      <c r="AI87" s="73"/>
      <c r="AJ87" s="73"/>
      <c r="AK87" s="73"/>
      <c r="AL87" s="73"/>
      <c r="AM87" s="73"/>
      <c r="AN87" s="73"/>
      <c r="AO87" s="73"/>
      <c r="AP87" s="73"/>
      <c r="AQ87" s="73"/>
      <c r="AR87" s="73"/>
      <c r="AS87" s="73"/>
      <c r="AT87" s="73"/>
      <c r="AU87" s="73"/>
      <c r="AV87" s="73"/>
      <c r="AW87" s="73"/>
      <c r="AX87" s="73"/>
      <c r="AY87" s="73"/>
      <c r="AZ87" s="73"/>
      <c r="BA87" s="73"/>
      <c r="BB87" s="73"/>
      <c r="BC87" s="126"/>
      <c r="BE87" s="136"/>
      <c r="BF87" s="136"/>
      <c r="BG87" s="136"/>
      <c r="BH87" s="136"/>
      <c r="BI87" s="136"/>
      <c r="BJ87" s="136"/>
      <c r="BK87" s="136"/>
      <c r="BL87" s="136"/>
      <c r="BM87" s="402"/>
      <c r="BN87" s="136"/>
      <c r="BO87" s="1091"/>
      <c r="BP87" s="78"/>
      <c r="BQ87" s="199"/>
      <c r="BR87" s="199"/>
      <c r="BS87" s="199"/>
      <c r="BT87" s="199"/>
      <c r="BU87" s="199"/>
      <c r="BV87" s="199"/>
      <c r="BW87" s="199"/>
      <c r="BX87" s="199"/>
      <c r="BY87" s="199"/>
      <c r="BZ87" s="199"/>
      <c r="CA87" s="199"/>
      <c r="CB87" s="199"/>
      <c r="CC87" s="199"/>
      <c r="CD87" s="199"/>
      <c r="CE87" s="199"/>
      <c r="CF87" s="199"/>
      <c r="CG87" s="199"/>
      <c r="CH87" s="199"/>
      <c r="CI87" s="199"/>
      <c r="CJ87" s="199"/>
      <c r="CK87" s="199"/>
      <c r="CL87" s="199"/>
      <c r="CM87" s="199"/>
      <c r="CN87" s="199"/>
      <c r="CO87" s="199"/>
      <c r="CP87" s="199"/>
      <c r="CQ87" s="199"/>
      <c r="CR87" s="199"/>
      <c r="CS87" s="199"/>
      <c r="CT87" s="199"/>
      <c r="CU87" s="199"/>
      <c r="CV87" s="199"/>
      <c r="CW87" s="199"/>
      <c r="CX87" s="199"/>
      <c r="CY87" s="199"/>
      <c r="CZ87" s="199"/>
      <c r="DA87" s="199"/>
      <c r="DB87" s="199"/>
    </row>
    <row r="88" spans="2:108" ht="149.25" hidden="1" customHeight="1" thickBot="1" x14ac:dyDescent="0.3">
      <c r="E88" s="397"/>
      <c r="F88" s="397"/>
      <c r="G88" s="998"/>
      <c r="H88"/>
      <c r="I88"/>
      <c r="J88"/>
      <c r="K88"/>
      <c r="L88"/>
      <c r="M88"/>
      <c r="N88"/>
      <c r="O88" s="995"/>
      <c r="BN88" s="86"/>
      <c r="BO88" s="18"/>
      <c r="BP88" s="1582"/>
      <c r="BQ88" s="89"/>
      <c r="BR88" s="89"/>
      <c r="BS88" s="89"/>
      <c r="BT88" s="89"/>
      <c r="BU88" s="89"/>
      <c r="BV88" s="89"/>
      <c r="BW88" s="89"/>
      <c r="BX88" s="89"/>
      <c r="BY88" s="89"/>
      <c r="BZ88" s="94"/>
      <c r="CA88" s="89"/>
      <c r="CB88" s="89"/>
      <c r="CC88" s="89"/>
      <c r="CD88" s="89"/>
      <c r="CE88" s="89"/>
      <c r="CF88" s="89"/>
      <c r="CG88" s="89"/>
      <c r="CH88" s="89"/>
      <c r="CI88" s="89"/>
      <c r="CJ88" s="89"/>
      <c r="CK88" s="89"/>
      <c r="CL88" s="89"/>
      <c r="CM88" s="89"/>
      <c r="CN88" s="37"/>
      <c r="CO88" s="95"/>
      <c r="CP88" s="95"/>
      <c r="CQ88" s="95"/>
      <c r="CR88" s="95"/>
      <c r="CS88" s="92"/>
      <c r="CT88" s="92"/>
      <c r="CU88" s="92"/>
      <c r="CV88" s="92"/>
      <c r="CW88" s="92"/>
      <c r="CX88" s="92"/>
      <c r="CY88" s="92"/>
      <c r="CZ88" s="92"/>
      <c r="DA88" s="92"/>
      <c r="DB88" s="92"/>
      <c r="DC88" s="17"/>
      <c r="DD88" s="78"/>
    </row>
    <row r="89" spans="2:108" ht="24" hidden="1" thickBot="1" x14ac:dyDescent="0.3">
      <c r="E89" s="397"/>
      <c r="F89" s="397"/>
      <c r="G89" s="998"/>
      <c r="H89"/>
      <c r="I89"/>
      <c r="J89"/>
      <c r="K89"/>
      <c r="L89"/>
      <c r="M89"/>
      <c r="N89"/>
      <c r="O89" s="995"/>
      <c r="BN89" s="86"/>
      <c r="BO89" s="18"/>
      <c r="BP89" s="1582">
        <v>36</v>
      </c>
      <c r="BQ89" s="89"/>
      <c r="BR89" s="89"/>
      <c r="BS89" s="89"/>
      <c r="BT89" s="89"/>
      <c r="BU89" s="89"/>
      <c r="BV89" s="89"/>
      <c r="BW89" s="89"/>
      <c r="BX89" s="89"/>
      <c r="BY89" s="89"/>
      <c r="BZ89" s="94"/>
      <c r="CA89" s="89"/>
      <c r="CB89" s="89"/>
      <c r="CC89" s="89"/>
      <c r="CD89" s="89"/>
      <c r="CE89" s="89"/>
      <c r="CF89" s="89"/>
      <c r="CG89" s="89"/>
      <c r="CH89" s="98"/>
      <c r="CI89" s="99"/>
      <c r="CJ89" s="100"/>
      <c r="CK89" s="89"/>
      <c r="CL89" s="89"/>
      <c r="CM89" s="89"/>
      <c r="CN89" s="37"/>
      <c r="CO89" s="95"/>
      <c r="CP89" s="95"/>
      <c r="CQ89" s="95"/>
      <c r="CR89" s="95"/>
      <c r="CS89" s="92"/>
      <c r="CT89" s="92"/>
      <c r="CU89" s="92"/>
      <c r="CV89" s="92"/>
      <c r="CW89" s="92"/>
      <c r="CX89" s="92"/>
      <c r="CY89" s="101" t="b">
        <f>IF(CZ59=36,35)</f>
        <v>0</v>
      </c>
      <c r="CZ89" s="102"/>
      <c r="DA89" s="103" t="b">
        <f>IF(CZ59=36,37)</f>
        <v>0</v>
      </c>
      <c r="DB89" s="92"/>
      <c r="DC89" s="17"/>
      <c r="DD89" s="78"/>
    </row>
    <row r="90" spans="2:108" ht="24" hidden="1" thickBot="1" x14ac:dyDescent="0.3">
      <c r="E90" s="397"/>
      <c r="F90" s="397"/>
      <c r="G90" s="998"/>
      <c r="H90"/>
      <c r="I90"/>
      <c r="J90"/>
      <c r="K90"/>
      <c r="L90"/>
      <c r="M90"/>
      <c r="N90"/>
      <c r="O90" s="995"/>
      <c r="BN90" s="86"/>
      <c r="BO90" s="18"/>
      <c r="BP90" s="1582">
        <v>35</v>
      </c>
      <c r="BQ90" s="89"/>
      <c r="BR90" s="89"/>
      <c r="BS90" s="89"/>
      <c r="BT90" s="89"/>
      <c r="BU90" s="89"/>
      <c r="BV90" s="89"/>
      <c r="BW90" s="89"/>
      <c r="BX90" s="89"/>
      <c r="BY90" s="89"/>
      <c r="BZ90" s="94"/>
      <c r="CA90" s="89"/>
      <c r="CB90" s="89"/>
      <c r="CC90" s="89"/>
      <c r="CD90" s="89"/>
      <c r="CE90" s="89"/>
      <c r="CF90" s="89"/>
      <c r="CG90" s="89"/>
      <c r="CH90" s="104"/>
      <c r="CI90" s="89"/>
      <c r="CJ90" s="105"/>
      <c r="CK90" s="89"/>
      <c r="CL90" s="89"/>
      <c r="CM90" s="89"/>
      <c r="CN90" s="37"/>
      <c r="CO90" s="95"/>
      <c r="CP90" s="95"/>
      <c r="CQ90" s="95"/>
      <c r="CR90" s="95"/>
      <c r="CS90" s="92"/>
      <c r="CT90" s="92"/>
      <c r="CU90" s="92"/>
      <c r="CV90" s="92"/>
      <c r="CW90" s="101" t="b">
        <f>IF(CY59=35,33)</f>
        <v>0</v>
      </c>
      <c r="CX90" s="102"/>
      <c r="CY90" s="102"/>
      <c r="CZ90" s="102"/>
      <c r="DA90" s="103" t="b">
        <f>IF(CY59=35,37)</f>
        <v>0</v>
      </c>
      <c r="DB90" s="92"/>
      <c r="DC90" s="17"/>
      <c r="DD90" s="78"/>
    </row>
    <row r="91" spans="2:108" ht="24" hidden="1" thickBot="1" x14ac:dyDescent="0.3">
      <c r="E91" s="397"/>
      <c r="F91" s="397"/>
      <c r="G91" s="998"/>
      <c r="H91"/>
      <c r="I91"/>
      <c r="J91"/>
      <c r="K91"/>
      <c r="L91"/>
      <c r="M91"/>
      <c r="N91"/>
      <c r="O91" s="995"/>
      <c r="BN91" s="86"/>
      <c r="BO91" s="18"/>
      <c r="BP91" s="1582">
        <v>34</v>
      </c>
      <c r="BQ91" s="89"/>
      <c r="BR91" s="89"/>
      <c r="BS91" s="89"/>
      <c r="BT91" s="89"/>
      <c r="BU91" s="89"/>
      <c r="BV91" s="89"/>
      <c r="BW91" s="89"/>
      <c r="BX91" s="89"/>
      <c r="BY91" s="89"/>
      <c r="BZ91" s="94"/>
      <c r="CA91" s="89"/>
      <c r="CB91" s="89"/>
      <c r="CC91" s="89"/>
      <c r="CD91" s="89"/>
      <c r="CE91" s="89"/>
      <c r="CF91" s="89"/>
      <c r="CG91" s="89"/>
      <c r="CH91" s="104"/>
      <c r="CI91" s="89"/>
      <c r="CJ91" s="105"/>
      <c r="CK91" s="89"/>
      <c r="CL91" s="89"/>
      <c r="CM91" s="89"/>
      <c r="CN91" s="37"/>
      <c r="CO91" s="95"/>
      <c r="CP91" s="95"/>
      <c r="CQ91" s="95"/>
      <c r="CR91" s="95"/>
      <c r="CS91" s="92"/>
      <c r="CT91" s="92"/>
      <c r="CU91" s="101" t="b">
        <f>IF(CX59=34,31)</f>
        <v>0</v>
      </c>
      <c r="CV91" s="102"/>
      <c r="CW91" s="102"/>
      <c r="CX91" s="102"/>
      <c r="CY91" s="102"/>
      <c r="CZ91" s="102"/>
      <c r="DA91" s="103" t="b">
        <f>IF(CX59=34,37)</f>
        <v>0</v>
      </c>
      <c r="DB91" s="92"/>
      <c r="DC91" s="17"/>
      <c r="DD91" s="78"/>
    </row>
    <row r="92" spans="2:108" ht="24" hidden="1" thickBot="1" x14ac:dyDescent="0.3">
      <c r="E92" s="397"/>
      <c r="F92" s="397"/>
      <c r="G92" s="998"/>
      <c r="H92"/>
      <c r="I92"/>
      <c r="J92"/>
      <c r="K92"/>
      <c r="L92"/>
      <c r="M92"/>
      <c r="N92"/>
      <c r="O92" s="995"/>
      <c r="BN92" s="86"/>
      <c r="BO92" s="18"/>
      <c r="BP92" s="1582">
        <v>33</v>
      </c>
      <c r="BQ92" s="89"/>
      <c r="BR92" s="89"/>
      <c r="BS92" s="89"/>
      <c r="BT92" s="89"/>
      <c r="BU92" s="89"/>
      <c r="BV92" s="89"/>
      <c r="BW92" s="89"/>
      <c r="BX92" s="89"/>
      <c r="BY92" s="89"/>
      <c r="BZ92" s="94"/>
      <c r="CA92" s="89"/>
      <c r="CB92" s="89"/>
      <c r="CC92" s="89"/>
      <c r="CD92" s="89"/>
      <c r="CE92" s="89"/>
      <c r="CF92" s="89"/>
      <c r="CG92" s="89"/>
      <c r="CH92" s="104"/>
      <c r="CI92" s="89"/>
      <c r="CJ92" s="105"/>
      <c r="CK92" s="89"/>
      <c r="CL92" s="89"/>
      <c r="CM92" s="89"/>
      <c r="CN92" s="37"/>
      <c r="CO92" s="95"/>
      <c r="CP92" s="95"/>
      <c r="CQ92" s="95"/>
      <c r="CR92" s="95"/>
      <c r="CS92" s="101" t="b">
        <f>IF(CW59=33,29)</f>
        <v>0</v>
      </c>
      <c r="CT92" s="102"/>
      <c r="CU92" s="102"/>
      <c r="CV92" s="102"/>
      <c r="CW92" s="102"/>
      <c r="CX92" s="102"/>
      <c r="CY92" s="102"/>
      <c r="CZ92" s="102"/>
      <c r="DA92" s="103" t="b">
        <f>IF(CW59=33,37)</f>
        <v>0</v>
      </c>
      <c r="DB92" s="92"/>
      <c r="DC92" s="17"/>
      <c r="DD92" s="78"/>
    </row>
    <row r="93" spans="2:108" ht="21" hidden="1" thickBot="1" x14ac:dyDescent="0.25">
      <c r="E93" s="397"/>
      <c r="F93" s="397"/>
      <c r="G93" s="998"/>
      <c r="H93"/>
      <c r="I93"/>
      <c r="J93"/>
      <c r="K93"/>
      <c r="L93"/>
      <c r="M93"/>
      <c r="N93"/>
      <c r="O93" s="995"/>
      <c r="BN93" s="86"/>
      <c r="BP93" s="1582">
        <v>32</v>
      </c>
      <c r="BQ93" s="89"/>
      <c r="BR93" s="89"/>
      <c r="BS93" s="89"/>
      <c r="BT93" s="89"/>
      <c r="BU93" s="89"/>
      <c r="BV93" s="89"/>
      <c r="BW93" s="89"/>
      <c r="BX93" s="89"/>
      <c r="BY93" s="89"/>
      <c r="BZ93" s="107"/>
      <c r="CA93" s="107"/>
      <c r="CB93" s="107"/>
      <c r="CC93" s="107"/>
      <c r="CD93" s="107"/>
      <c r="CE93" s="107"/>
      <c r="CF93" s="107"/>
      <c r="CG93" s="107"/>
      <c r="CH93" s="109"/>
      <c r="CI93" s="107"/>
      <c r="CJ93" s="110"/>
      <c r="CK93" s="107"/>
      <c r="CL93" s="107"/>
      <c r="CM93" s="107"/>
      <c r="CN93" s="108"/>
      <c r="CO93" s="78"/>
      <c r="CP93" s="78"/>
      <c r="CQ93" s="101" t="b">
        <f>IF(CV59=32,27)</f>
        <v>0</v>
      </c>
      <c r="CR93" s="111"/>
      <c r="CS93" s="111"/>
      <c r="CT93" s="111"/>
      <c r="CU93" s="111"/>
      <c r="CV93" s="111"/>
      <c r="CW93" s="111"/>
      <c r="CX93" s="111"/>
      <c r="CY93" s="111"/>
      <c r="CZ93" s="111"/>
      <c r="DA93" s="103" t="b">
        <f>IF(CV59=32,37)</f>
        <v>0</v>
      </c>
      <c r="DB93" s="78"/>
      <c r="DC93" s="78"/>
      <c r="DD93" s="78"/>
    </row>
    <row r="94" spans="2:108" ht="21" hidden="1" thickBot="1" x14ac:dyDescent="0.25">
      <c r="E94" s="397"/>
      <c r="F94" s="397"/>
      <c r="G94" s="998"/>
      <c r="H94"/>
      <c r="I94"/>
      <c r="J94"/>
      <c r="K94"/>
      <c r="L94"/>
      <c r="M94"/>
      <c r="N94"/>
      <c r="O94" s="995"/>
      <c r="BN94" s="86"/>
      <c r="BP94" s="1582">
        <v>31</v>
      </c>
      <c r="BQ94" s="107"/>
      <c r="BR94" s="107"/>
      <c r="BS94" s="107"/>
      <c r="BT94" s="107"/>
      <c r="BU94" s="107"/>
      <c r="BV94" s="108"/>
      <c r="BW94" s="107"/>
      <c r="BX94" s="107"/>
      <c r="BY94" s="107"/>
      <c r="BZ94" s="107"/>
      <c r="CA94" s="107"/>
      <c r="CB94" s="107"/>
      <c r="CC94" s="107"/>
      <c r="CD94" s="107"/>
      <c r="CE94" s="107"/>
      <c r="CF94" s="107"/>
      <c r="CG94" s="107"/>
      <c r="CH94" s="109"/>
      <c r="CI94" s="107"/>
      <c r="CJ94" s="110"/>
      <c r="CK94" s="107"/>
      <c r="CL94" s="107"/>
      <c r="CM94" s="107"/>
      <c r="CN94" s="108"/>
      <c r="CO94" s="101" t="b">
        <f>IF(CU59=31,25)</f>
        <v>0</v>
      </c>
      <c r="CP94" s="111"/>
      <c r="CQ94" s="111"/>
      <c r="CR94" s="111"/>
      <c r="CS94" s="111"/>
      <c r="CT94" s="111"/>
      <c r="CU94" s="111"/>
      <c r="CV94" s="111"/>
      <c r="CW94" s="111"/>
      <c r="CX94" s="111"/>
      <c r="CY94" s="111"/>
      <c r="CZ94" s="111"/>
      <c r="DA94" s="103" t="b">
        <f>IF(CU59=31,37)</f>
        <v>0</v>
      </c>
      <c r="DB94" s="78"/>
      <c r="DC94" s="78"/>
      <c r="DD94" s="78"/>
    </row>
    <row r="95" spans="2:108" ht="21" hidden="1" thickBot="1" x14ac:dyDescent="0.25">
      <c r="E95" s="397"/>
      <c r="F95" s="397"/>
      <c r="G95" s="998"/>
      <c r="H95"/>
      <c r="I95"/>
      <c r="J95"/>
      <c r="K95"/>
      <c r="L95"/>
      <c r="M95"/>
      <c r="N95"/>
      <c r="O95" s="995"/>
      <c r="BN95" s="86"/>
      <c r="BP95" s="1582">
        <v>30</v>
      </c>
      <c r="BQ95" s="107"/>
      <c r="BR95" s="107"/>
      <c r="BS95" s="107"/>
      <c r="BT95" s="107"/>
      <c r="BU95" s="107"/>
      <c r="BV95" s="108"/>
      <c r="BW95" s="107"/>
      <c r="BX95" s="107"/>
      <c r="BY95" s="107"/>
      <c r="BZ95" s="107"/>
      <c r="CA95" s="107"/>
      <c r="CB95" s="107"/>
      <c r="CC95" s="107"/>
      <c r="CD95" s="107"/>
      <c r="CE95" s="107"/>
      <c r="CF95" s="107"/>
      <c r="CG95" s="107"/>
      <c r="CH95" s="109"/>
      <c r="CI95" s="107"/>
      <c r="CJ95" s="110"/>
      <c r="CK95" s="107"/>
      <c r="CL95" s="107"/>
      <c r="CM95" s="101" t="b">
        <f>IF(CT59=30,23)</f>
        <v>0</v>
      </c>
      <c r="CN95" s="112"/>
      <c r="CO95" s="111"/>
      <c r="CP95" s="111"/>
      <c r="CQ95" s="111"/>
      <c r="CR95" s="111"/>
      <c r="CS95" s="111"/>
      <c r="CT95" s="111"/>
      <c r="CU95" s="111"/>
      <c r="CV95" s="111"/>
      <c r="CW95" s="111"/>
      <c r="CX95" s="111"/>
      <c r="CY95" s="111"/>
      <c r="CZ95" s="111"/>
      <c r="DA95" s="103" t="b">
        <f>IF(CT59=30,37)</f>
        <v>0</v>
      </c>
      <c r="DB95" s="78"/>
      <c r="DC95" s="78"/>
      <c r="DD95" s="78"/>
    </row>
    <row r="96" spans="2:108" ht="21" hidden="1" thickBot="1" x14ac:dyDescent="0.25">
      <c r="E96" s="397"/>
      <c r="F96" s="397"/>
      <c r="G96" s="998"/>
      <c r="H96"/>
      <c r="I96"/>
      <c r="J96"/>
      <c r="K96"/>
      <c r="L96"/>
      <c r="M96"/>
      <c r="N96"/>
      <c r="O96" s="995"/>
      <c r="BE96" s="114"/>
      <c r="BF96" s="114"/>
      <c r="BG96" s="114"/>
      <c r="BH96" s="114"/>
      <c r="BN96" s="86"/>
      <c r="BO96" s="114"/>
      <c r="BP96" s="1582">
        <v>29</v>
      </c>
      <c r="BQ96" s="78"/>
      <c r="BR96" s="78"/>
      <c r="BS96" s="78"/>
      <c r="BT96" s="78"/>
      <c r="BU96" s="78"/>
      <c r="BV96" s="78"/>
      <c r="BW96" s="78"/>
      <c r="BX96" s="78"/>
      <c r="BY96" s="78"/>
      <c r="BZ96" s="78"/>
      <c r="CA96" s="78"/>
      <c r="CB96" s="78"/>
      <c r="CC96" s="78"/>
      <c r="CD96" s="78"/>
      <c r="CE96" s="78"/>
      <c r="CF96" s="78"/>
      <c r="CG96" s="78"/>
      <c r="CH96" s="115"/>
      <c r="CI96" s="78"/>
      <c r="CJ96" s="116"/>
      <c r="CK96" s="117" t="b">
        <f>IF(CS59=29,21)</f>
        <v>0</v>
      </c>
      <c r="CL96" s="111"/>
      <c r="CM96" s="111"/>
      <c r="CN96" s="111"/>
      <c r="CO96" s="111"/>
      <c r="CP96" s="111"/>
      <c r="CQ96" s="111"/>
      <c r="CR96" s="118"/>
      <c r="CS96" s="111"/>
      <c r="CT96" s="118"/>
      <c r="CU96" s="119"/>
      <c r="CV96" s="119"/>
      <c r="CW96" s="119"/>
      <c r="CX96" s="119"/>
      <c r="CY96" s="119"/>
      <c r="CZ96" s="119"/>
      <c r="DA96" s="103" t="b">
        <f>IF(CS59=29,37)</f>
        <v>0</v>
      </c>
      <c r="DB96" s="76"/>
      <c r="DC96" s="78"/>
      <c r="DD96" s="78"/>
    </row>
    <row r="97" spans="5:108" ht="21" hidden="1" thickBot="1" x14ac:dyDescent="0.25">
      <c r="E97" s="397"/>
      <c r="F97" s="397"/>
      <c r="G97" s="998"/>
      <c r="H97"/>
      <c r="I97"/>
      <c r="J97"/>
      <c r="K97"/>
      <c r="L97"/>
      <c r="M97"/>
      <c r="N97"/>
      <c r="O97" s="995"/>
      <c r="BE97" s="114"/>
      <c r="BF97" s="114"/>
      <c r="BG97" s="114"/>
      <c r="BH97" s="114"/>
      <c r="BN97" s="86"/>
      <c r="BO97" s="114"/>
      <c r="BP97" s="1582">
        <v>28</v>
      </c>
      <c r="BQ97" s="78"/>
      <c r="BR97" s="78"/>
      <c r="BS97" s="78"/>
      <c r="BT97" s="78"/>
      <c r="BU97" s="78"/>
      <c r="BV97" s="78"/>
      <c r="BW97" s="78"/>
      <c r="BX97" s="78"/>
      <c r="BY97" s="78"/>
      <c r="BZ97" s="78"/>
      <c r="CA97" s="78"/>
      <c r="CB97" s="78"/>
      <c r="CC97" s="78"/>
      <c r="CD97" s="78"/>
      <c r="CE97" s="78"/>
      <c r="CF97" s="78"/>
      <c r="CG97" s="78"/>
      <c r="CH97" s="115"/>
      <c r="CI97" s="78"/>
      <c r="CJ97" s="116"/>
      <c r="CK97" s="120" t="b">
        <f>IF(CR59=28,21)</f>
        <v>0</v>
      </c>
      <c r="CL97" s="121"/>
      <c r="CM97" s="121"/>
      <c r="CN97" s="121"/>
      <c r="CO97" s="121"/>
      <c r="CP97" s="122"/>
      <c r="CQ97" s="121"/>
      <c r="CR97" s="121"/>
      <c r="CS97" s="121"/>
      <c r="CT97" s="122"/>
      <c r="CU97" s="123"/>
      <c r="CV97" s="123"/>
      <c r="CW97" s="123"/>
      <c r="CX97" s="123"/>
      <c r="CY97" s="124" t="b">
        <f>IF(CR59=28,35)</f>
        <v>0</v>
      </c>
      <c r="CZ97" s="76"/>
      <c r="DA97" s="76"/>
      <c r="DB97" s="76"/>
      <c r="DC97" s="78"/>
      <c r="DD97" s="78"/>
    </row>
    <row r="98" spans="5:108" ht="21" hidden="1" thickBot="1" x14ac:dyDescent="0.25">
      <c r="E98" s="397"/>
      <c r="F98" s="397"/>
      <c r="G98" s="998"/>
      <c r="H98"/>
      <c r="I98"/>
      <c r="J98"/>
      <c r="K98"/>
      <c r="L98"/>
      <c r="M98"/>
      <c r="N98"/>
      <c r="O98" s="995"/>
      <c r="BE98" s="114"/>
      <c r="BF98" s="114"/>
      <c r="BG98" s="114"/>
      <c r="BH98" s="114"/>
      <c r="BN98" s="86"/>
      <c r="BO98" s="114"/>
      <c r="BP98" s="1582">
        <v>27</v>
      </c>
      <c r="BQ98" s="78"/>
      <c r="BR98" s="78"/>
      <c r="BS98" s="78"/>
      <c r="BT98" s="78"/>
      <c r="BU98" s="78"/>
      <c r="BV98" s="78"/>
      <c r="BW98" s="78"/>
      <c r="BX98" s="78"/>
      <c r="BY98" s="78"/>
      <c r="BZ98" s="78"/>
      <c r="CA98" s="78"/>
      <c r="CB98" s="78"/>
      <c r="CC98" s="78"/>
      <c r="CD98" s="78"/>
      <c r="CE98" s="78"/>
      <c r="CF98" s="78"/>
      <c r="CG98" s="78"/>
      <c r="CH98" s="115"/>
      <c r="CI98" s="78"/>
      <c r="CJ98" s="116"/>
      <c r="CK98" s="120" t="b">
        <f>IF(CQ59=27,21)</f>
        <v>0</v>
      </c>
      <c r="CL98" s="121"/>
      <c r="CM98" s="121"/>
      <c r="CN98" s="122"/>
      <c r="CO98" s="121"/>
      <c r="CP98" s="121"/>
      <c r="CQ98" s="121"/>
      <c r="CR98" s="121"/>
      <c r="CS98" s="121"/>
      <c r="CT98" s="122"/>
      <c r="CU98" s="123"/>
      <c r="CV98" s="123"/>
      <c r="CW98" s="124" t="b">
        <f>IF(CQ59=27,33)</f>
        <v>0</v>
      </c>
      <c r="CX98" s="76"/>
      <c r="CY98" s="76"/>
      <c r="CZ98" s="76"/>
      <c r="DA98" s="76"/>
      <c r="DB98" s="76"/>
      <c r="DC98" s="78"/>
      <c r="DD98" s="78"/>
    </row>
    <row r="99" spans="5:108" ht="21" hidden="1" thickBot="1" x14ac:dyDescent="0.25">
      <c r="E99" s="397"/>
      <c r="F99" s="397"/>
      <c r="G99" s="998"/>
      <c r="H99"/>
      <c r="I99"/>
      <c r="J99"/>
      <c r="K99"/>
      <c r="L99"/>
      <c r="M99"/>
      <c r="N99"/>
      <c r="O99" s="995"/>
      <c r="BN99" s="86"/>
      <c r="BP99" s="1582">
        <v>26</v>
      </c>
      <c r="BQ99" s="78"/>
      <c r="BR99" s="78"/>
      <c r="BS99" s="78"/>
      <c r="BT99" s="78"/>
      <c r="BU99" s="78"/>
      <c r="BV99" s="78"/>
      <c r="BW99" s="78"/>
      <c r="BX99" s="78"/>
      <c r="BY99" s="78"/>
      <c r="BZ99" s="78"/>
      <c r="CA99" s="78"/>
      <c r="CB99" s="78"/>
      <c r="CC99" s="78"/>
      <c r="CD99" s="78"/>
      <c r="CE99" s="78"/>
      <c r="CF99" s="78"/>
      <c r="CG99" s="78"/>
      <c r="CH99" s="115"/>
      <c r="CI99" s="78"/>
      <c r="CJ99" s="116"/>
      <c r="CK99" s="120" t="b">
        <f>IF(CP59=26,21)</f>
        <v>0</v>
      </c>
      <c r="CL99" s="122"/>
      <c r="CM99" s="121"/>
      <c r="CN99" s="121"/>
      <c r="CO99" s="121"/>
      <c r="CP99" s="121"/>
      <c r="CQ99" s="121"/>
      <c r="CR99" s="121"/>
      <c r="CS99" s="121"/>
      <c r="CT99" s="122"/>
      <c r="CU99" s="124" t="b">
        <f>IF(CP59=26,31)</f>
        <v>0</v>
      </c>
      <c r="CV99" s="76"/>
      <c r="CW99" s="76"/>
      <c r="CX99" s="76"/>
      <c r="CY99" s="76"/>
      <c r="CZ99" s="76"/>
      <c r="DA99" s="76"/>
      <c r="DB99" s="76"/>
      <c r="DC99" s="78"/>
      <c r="DD99" s="78"/>
    </row>
    <row r="100" spans="5:108" ht="21" hidden="1" thickBot="1" x14ac:dyDescent="0.25">
      <c r="E100" s="397"/>
      <c r="F100" s="397"/>
      <c r="G100" s="998"/>
      <c r="H100"/>
      <c r="I100"/>
      <c r="J100"/>
      <c r="K100"/>
      <c r="L100"/>
      <c r="M100"/>
      <c r="N100"/>
      <c r="O100" s="995"/>
      <c r="BE100" s="126"/>
      <c r="BF100" s="126"/>
      <c r="BG100" s="126"/>
      <c r="BH100" s="126"/>
      <c r="BN100" s="86"/>
      <c r="BO100" s="126"/>
      <c r="BP100" s="1582">
        <v>25</v>
      </c>
      <c r="BQ100" s="78"/>
      <c r="BR100" s="78"/>
      <c r="BS100" s="78"/>
      <c r="BT100" s="78"/>
      <c r="BU100" s="78"/>
      <c r="BV100" s="78"/>
      <c r="BW100" s="78"/>
      <c r="BX100" s="78"/>
      <c r="BY100" s="78"/>
      <c r="BZ100" s="78"/>
      <c r="CA100" s="78"/>
      <c r="CC100" s="78"/>
      <c r="CD100" s="78"/>
      <c r="CE100" s="78"/>
      <c r="CF100" s="78"/>
      <c r="CG100" s="78"/>
      <c r="CH100" s="115"/>
      <c r="CI100" s="78"/>
      <c r="CK100" s="128" t="b">
        <f>IF(CO59=25,21)</f>
        <v>0</v>
      </c>
      <c r="CL100" s="121"/>
      <c r="CM100" s="121"/>
      <c r="CN100" s="121"/>
      <c r="CO100" s="121"/>
      <c r="CP100" s="121"/>
      <c r="CQ100" s="121"/>
      <c r="CR100" s="121"/>
      <c r="CS100" s="124" t="b">
        <f>IF(CO59=25,29)</f>
        <v>0</v>
      </c>
      <c r="CU100" s="76"/>
      <c r="CV100" s="76"/>
      <c r="CW100" s="76"/>
      <c r="CX100" s="76"/>
      <c r="CY100" s="76"/>
      <c r="CZ100" s="76"/>
      <c r="DA100" s="76"/>
      <c r="DB100" s="76"/>
      <c r="DC100" s="78"/>
      <c r="DD100" s="78"/>
    </row>
    <row r="101" spans="5:108" ht="21" hidden="1" thickBot="1" x14ac:dyDescent="0.25">
      <c r="E101" s="397"/>
      <c r="F101" s="397"/>
      <c r="G101" s="998"/>
      <c r="H101"/>
      <c r="I101"/>
      <c r="J101"/>
      <c r="K101"/>
      <c r="L101"/>
      <c r="M101"/>
      <c r="N101"/>
      <c r="O101" s="995"/>
      <c r="BE101" s="126"/>
      <c r="BF101" s="126"/>
      <c r="BG101" s="126"/>
      <c r="BH101" s="126"/>
      <c r="BN101" s="86"/>
      <c r="BO101" s="126"/>
      <c r="BP101" s="1582">
        <v>24</v>
      </c>
      <c r="BQ101" s="78"/>
      <c r="BR101" s="78"/>
      <c r="BS101" s="78"/>
      <c r="BT101" s="78"/>
      <c r="BU101" s="78"/>
      <c r="BV101" s="78"/>
      <c r="BW101" s="78"/>
      <c r="BX101" s="78"/>
      <c r="BY101" s="78"/>
      <c r="BZ101" s="78"/>
      <c r="CA101" s="78"/>
      <c r="CB101" s="117" t="b">
        <f>IF(CN59=24,12)</f>
        <v>0</v>
      </c>
      <c r="CC101" s="111"/>
      <c r="CD101" s="111"/>
      <c r="CE101" s="111"/>
      <c r="CF101" s="111"/>
      <c r="CG101" s="111"/>
      <c r="CH101" s="118"/>
      <c r="CI101" s="111"/>
      <c r="CJ101" s="129"/>
      <c r="CK101" s="111"/>
      <c r="CL101" s="111"/>
      <c r="CM101" s="111"/>
      <c r="CN101" s="111"/>
      <c r="CO101" s="111"/>
      <c r="CP101" s="111"/>
      <c r="CQ101" s="111"/>
      <c r="CR101" s="111"/>
      <c r="CS101" s="111"/>
      <c r="CT101" s="118"/>
      <c r="CU101" s="119"/>
      <c r="CV101" s="119"/>
      <c r="CW101" s="119"/>
      <c r="CX101" s="119"/>
      <c r="CY101" s="119"/>
      <c r="CZ101" s="103" t="b">
        <f>IF(CN59=24,36)</f>
        <v>0</v>
      </c>
      <c r="DA101" s="76"/>
      <c r="DB101" s="76"/>
      <c r="DC101" s="78"/>
      <c r="DD101" s="78"/>
    </row>
    <row r="102" spans="5:108" ht="21" hidden="1" thickBot="1" x14ac:dyDescent="0.25">
      <c r="E102" s="397"/>
      <c r="F102" s="397"/>
      <c r="G102" s="998"/>
      <c r="H102"/>
      <c r="I102"/>
      <c r="J102"/>
      <c r="K102"/>
      <c r="L102"/>
      <c r="M102"/>
      <c r="N102"/>
      <c r="O102" s="995"/>
      <c r="BE102" s="126"/>
      <c r="BF102" s="126"/>
      <c r="BG102" s="126"/>
      <c r="BH102" s="126"/>
      <c r="BN102" s="86"/>
      <c r="BO102" s="126"/>
      <c r="BP102" s="1582">
        <v>23</v>
      </c>
      <c r="BQ102" s="78"/>
      <c r="BR102" s="78"/>
      <c r="BS102" s="78"/>
      <c r="BT102" s="78"/>
      <c r="BU102" s="78"/>
      <c r="BV102" s="78"/>
      <c r="BW102" s="78"/>
      <c r="BX102" s="78"/>
      <c r="BY102" s="78"/>
      <c r="BZ102" s="78"/>
      <c r="CA102" s="78"/>
      <c r="CB102" s="120" t="b">
        <f>IF(CM59=23,12)</f>
        <v>0</v>
      </c>
      <c r="CC102" s="121"/>
      <c r="CD102" s="121"/>
      <c r="CE102" s="121"/>
      <c r="CF102" s="122"/>
      <c r="CG102" s="121"/>
      <c r="CH102" s="132"/>
      <c r="CI102" s="121"/>
      <c r="CJ102" s="133"/>
      <c r="CK102" s="121"/>
      <c r="CL102" s="121"/>
      <c r="CM102" s="121"/>
      <c r="CN102" s="121"/>
      <c r="CO102" s="121"/>
      <c r="CP102" s="121"/>
      <c r="CQ102" s="121"/>
      <c r="CR102" s="121"/>
      <c r="CS102" s="121"/>
      <c r="CT102" s="122"/>
      <c r="CU102" s="123"/>
      <c r="CV102" s="123"/>
      <c r="CW102" s="123"/>
      <c r="CX102" s="124" t="b">
        <f>IF(CM59=23,34)</f>
        <v>0</v>
      </c>
      <c r="CY102" s="76"/>
      <c r="CZ102" s="76"/>
      <c r="DA102" s="76"/>
      <c r="DB102" s="76"/>
      <c r="DC102" s="78"/>
      <c r="DD102" s="78"/>
    </row>
    <row r="103" spans="5:108" ht="21" hidden="1" thickBot="1" x14ac:dyDescent="0.25">
      <c r="E103" s="397"/>
      <c r="F103" s="397"/>
      <c r="G103" s="998"/>
      <c r="H103"/>
      <c r="I103"/>
      <c r="J103"/>
      <c r="K103"/>
      <c r="L103"/>
      <c r="M103"/>
      <c r="N103"/>
      <c r="O103" s="995"/>
      <c r="U103" s="114"/>
      <c r="AB103" s="114"/>
      <c r="AC103" s="114"/>
      <c r="AD103" s="114"/>
      <c r="AE103" s="114"/>
      <c r="BE103" s="126"/>
      <c r="BF103" s="126"/>
      <c r="BG103" s="126"/>
      <c r="BH103" s="126"/>
      <c r="BN103" s="86"/>
      <c r="BO103" s="126"/>
      <c r="BP103" s="1582">
        <v>22</v>
      </c>
      <c r="BQ103" s="76"/>
      <c r="BR103" s="76"/>
      <c r="BS103" s="76"/>
      <c r="BT103" s="76"/>
      <c r="BU103" s="76"/>
      <c r="BV103" s="76"/>
      <c r="BW103" s="76"/>
      <c r="BX103" s="76"/>
      <c r="BY103" s="76"/>
      <c r="BZ103" s="76"/>
      <c r="CA103" s="76"/>
      <c r="CB103" s="120" t="b">
        <f>IF(CL59=22,12)</f>
        <v>0</v>
      </c>
      <c r="CC103" s="123"/>
      <c r="CD103" s="123"/>
      <c r="CE103" s="123"/>
      <c r="CF103" s="122"/>
      <c r="CG103" s="123"/>
      <c r="CH103" s="134"/>
      <c r="CI103" s="123"/>
      <c r="CJ103" s="135"/>
      <c r="CK103" s="123"/>
      <c r="CL103" s="123"/>
      <c r="CM103" s="123"/>
      <c r="CN103" s="123"/>
      <c r="CO103" s="121"/>
      <c r="CP103" s="121"/>
      <c r="CQ103" s="122"/>
      <c r="CR103" s="121"/>
      <c r="CS103" s="121"/>
      <c r="CT103" s="121"/>
      <c r="CU103" s="121"/>
      <c r="CV103" s="124" t="b">
        <f>IF(CL59=22,32)</f>
        <v>0</v>
      </c>
      <c r="CW103" s="78"/>
      <c r="CX103" s="78"/>
      <c r="CY103" s="78"/>
      <c r="CZ103" s="78"/>
      <c r="DA103" s="78"/>
      <c r="DB103" s="78"/>
      <c r="DC103" s="78"/>
      <c r="DD103" s="78"/>
    </row>
    <row r="104" spans="5:108" ht="21" hidden="1" thickBot="1" x14ac:dyDescent="0.25">
      <c r="E104" s="397"/>
      <c r="F104" s="397"/>
      <c r="G104" s="998"/>
      <c r="H104"/>
      <c r="I104"/>
      <c r="J104"/>
      <c r="K104"/>
      <c r="L104"/>
      <c r="M104"/>
      <c r="N104"/>
      <c r="O104" s="995"/>
      <c r="BE104" s="126"/>
      <c r="BF104" s="126"/>
      <c r="BG104" s="126"/>
      <c r="BH104" s="126"/>
      <c r="BN104" s="86"/>
      <c r="BO104" s="126"/>
      <c r="BP104" s="1582">
        <v>21</v>
      </c>
      <c r="BQ104" s="78"/>
      <c r="BR104" s="78"/>
      <c r="BS104" s="78"/>
      <c r="BT104" s="78"/>
      <c r="BU104" s="78"/>
      <c r="BV104" s="78"/>
      <c r="BW104" s="78"/>
      <c r="BX104" s="78"/>
      <c r="BY104" s="78"/>
      <c r="BZ104" s="78"/>
      <c r="CA104" s="78"/>
      <c r="CB104" s="120" t="b">
        <f>IF(CK59=21,12)</f>
        <v>0</v>
      </c>
      <c r="CC104" s="121"/>
      <c r="CD104" s="121"/>
      <c r="CE104" s="121"/>
      <c r="CF104" s="121"/>
      <c r="CG104" s="121"/>
      <c r="CH104" s="132"/>
      <c r="CI104" s="121"/>
      <c r="CJ104" s="133"/>
      <c r="CK104" s="121"/>
      <c r="CL104" s="121"/>
      <c r="CM104" s="121"/>
      <c r="CN104" s="121"/>
      <c r="CO104" s="121"/>
      <c r="CP104" s="121"/>
      <c r="CQ104" s="121"/>
      <c r="CR104" s="121"/>
      <c r="CS104" s="121"/>
      <c r="CT104" s="124" t="b">
        <f>IF(CK59=21,30)</f>
        <v>0</v>
      </c>
      <c r="CU104" s="76"/>
      <c r="CV104" s="76"/>
      <c r="CW104" s="76"/>
      <c r="CX104" s="76"/>
      <c r="CY104" s="76"/>
      <c r="CZ104" s="76"/>
      <c r="DA104" s="76"/>
      <c r="DB104" s="76"/>
      <c r="DC104" s="78"/>
      <c r="DD104" s="78"/>
    </row>
    <row r="105" spans="5:108" ht="21" hidden="1" thickBot="1" x14ac:dyDescent="0.25">
      <c r="E105" s="397"/>
      <c r="F105" s="397"/>
      <c r="G105" s="998"/>
      <c r="H105"/>
      <c r="I105"/>
      <c r="J105"/>
      <c r="K105"/>
      <c r="L105"/>
      <c r="M105"/>
      <c r="N105"/>
      <c r="O105" s="995"/>
      <c r="T105" s="401"/>
      <c r="BE105" s="136"/>
      <c r="BF105" s="136"/>
      <c r="BG105" s="136"/>
      <c r="BH105" s="136"/>
      <c r="BN105" s="86"/>
      <c r="BO105" s="1091"/>
      <c r="BP105" s="1582">
        <v>20</v>
      </c>
      <c r="BQ105" s="78"/>
      <c r="BR105" s="78"/>
      <c r="BS105" s="78"/>
      <c r="BT105" s="78"/>
      <c r="BU105" s="78"/>
      <c r="BV105" s="78"/>
      <c r="BW105" s="78"/>
      <c r="BX105" s="78"/>
      <c r="CA105" s="137"/>
      <c r="CB105" s="117" t="b">
        <f>IF(CJ59=20,12)</f>
        <v>0</v>
      </c>
      <c r="CC105" s="111"/>
      <c r="CD105" s="111"/>
      <c r="CE105" s="111"/>
      <c r="CF105" s="111"/>
      <c r="CG105" s="111"/>
      <c r="CH105" s="138"/>
      <c r="CI105" s="111"/>
      <c r="CJ105" s="129"/>
      <c r="CK105" s="111"/>
      <c r="CL105" s="111"/>
      <c r="CM105" s="111"/>
      <c r="CN105" s="111"/>
      <c r="CO105" s="111"/>
      <c r="CP105" s="111"/>
      <c r="CQ105" s="111"/>
      <c r="CR105" s="103" t="b">
        <f>IF(CJ59=20,28)</f>
        <v>0</v>
      </c>
      <c r="CS105" s="137"/>
      <c r="CU105" s="76"/>
      <c r="CV105" s="76"/>
      <c r="CW105" s="76"/>
      <c r="CX105" s="76"/>
      <c r="CY105" s="76"/>
      <c r="CZ105" s="76"/>
      <c r="DA105" s="76"/>
      <c r="DB105" s="76"/>
      <c r="DC105" s="78"/>
      <c r="DD105" s="78"/>
    </row>
    <row r="106" spans="5:108" ht="21" hidden="1" thickBot="1" x14ac:dyDescent="0.25">
      <c r="E106" s="397"/>
      <c r="F106" s="397"/>
      <c r="G106" s="998"/>
      <c r="H106"/>
      <c r="I106"/>
      <c r="J106"/>
      <c r="K106"/>
      <c r="L106"/>
      <c r="M106"/>
      <c r="N106"/>
      <c r="O106" s="995"/>
      <c r="U106" s="114"/>
      <c r="AB106" s="114"/>
      <c r="AC106" s="114"/>
      <c r="AD106" s="114"/>
      <c r="AE106" s="114"/>
      <c r="BE106" s="136"/>
      <c r="BF106" s="136"/>
      <c r="BG106" s="136"/>
      <c r="BH106" s="136"/>
      <c r="BN106" s="86"/>
      <c r="BO106" s="1091"/>
      <c r="BP106" s="1582">
        <v>19</v>
      </c>
      <c r="BQ106" s="78"/>
      <c r="BR106" s="78"/>
      <c r="BS106" s="78"/>
      <c r="BT106" s="78"/>
      <c r="BU106" s="78"/>
      <c r="BV106" s="78"/>
      <c r="BW106" s="78"/>
      <c r="BX106" s="78"/>
      <c r="BZ106" s="139"/>
      <c r="CA106" s="139"/>
      <c r="CB106" s="117" t="b">
        <f>IF(CI59=19,12)</f>
        <v>0</v>
      </c>
      <c r="CC106" s="119"/>
      <c r="CD106" s="119"/>
      <c r="CE106" s="118"/>
      <c r="CF106" s="119"/>
      <c r="CG106" s="119"/>
      <c r="CH106" s="140"/>
      <c r="CI106" s="119"/>
      <c r="CJ106" s="141"/>
      <c r="CK106" s="118"/>
      <c r="CL106" s="119"/>
      <c r="CM106" s="119"/>
      <c r="CN106" s="119"/>
      <c r="CO106" s="111"/>
      <c r="CP106" s="103" t="b">
        <f>IF(CI59=19,26)</f>
        <v>0</v>
      </c>
      <c r="CQ106" s="142"/>
      <c r="CR106" s="137"/>
      <c r="CT106" s="78"/>
      <c r="CU106" s="78"/>
      <c r="CV106" s="78"/>
      <c r="CW106" s="78"/>
      <c r="CX106" s="78"/>
      <c r="CY106" s="78"/>
      <c r="CZ106" s="78"/>
      <c r="DA106" s="78"/>
      <c r="DB106" s="78"/>
      <c r="DC106" s="78"/>
      <c r="DD106" s="78"/>
    </row>
    <row r="107" spans="5:108" ht="21" hidden="1" thickBot="1" x14ac:dyDescent="0.25">
      <c r="E107" s="397"/>
      <c r="F107" s="397"/>
      <c r="G107" s="998"/>
      <c r="H107"/>
      <c r="I107"/>
      <c r="J107"/>
      <c r="K107"/>
      <c r="L107"/>
      <c r="M107"/>
      <c r="N107"/>
      <c r="O107" s="995"/>
      <c r="U107" s="114"/>
      <c r="AB107" s="114"/>
      <c r="AC107" s="114"/>
      <c r="AD107" s="114"/>
      <c r="AE107" s="114"/>
      <c r="BE107" s="136"/>
      <c r="BF107" s="136"/>
      <c r="BG107" s="136"/>
      <c r="BH107" s="136"/>
      <c r="BN107" s="86"/>
      <c r="BO107" s="1091"/>
      <c r="BP107" s="1582">
        <v>18</v>
      </c>
      <c r="BQ107" s="76"/>
      <c r="BR107" s="76"/>
      <c r="BS107" s="76"/>
      <c r="BT107" s="76"/>
      <c r="BU107" s="76"/>
      <c r="BV107" s="76"/>
      <c r="BW107" s="76"/>
      <c r="BX107" s="76"/>
      <c r="BZ107" s="117" t="b">
        <f>IF(CH59=18,10)</f>
        <v>0</v>
      </c>
      <c r="CA107" s="119"/>
      <c r="CB107" s="119"/>
      <c r="CC107" s="119"/>
      <c r="CD107" s="119"/>
      <c r="CE107" s="118"/>
      <c r="CF107" s="119"/>
      <c r="CG107" s="119"/>
      <c r="CH107" s="140"/>
      <c r="CI107" s="119"/>
      <c r="CJ107" s="141"/>
      <c r="CK107" s="118"/>
      <c r="CL107" s="119"/>
      <c r="CM107" s="119"/>
      <c r="CN107" s="119"/>
      <c r="CO107" s="111"/>
      <c r="CP107" s="103" t="b">
        <f>IF(CH59=18,26)</f>
        <v>0</v>
      </c>
      <c r="CR107" s="78"/>
      <c r="CS107" s="78"/>
      <c r="CT107" s="78"/>
      <c r="CU107" s="78"/>
      <c r="CV107" s="78"/>
      <c r="CW107" s="78"/>
      <c r="CX107" s="78"/>
      <c r="CY107" s="78"/>
      <c r="CZ107" s="78"/>
      <c r="DA107" s="78"/>
      <c r="DB107" s="78"/>
      <c r="DC107" s="78"/>
      <c r="DD107" s="78"/>
    </row>
    <row r="108" spans="5:108" ht="21" hidden="1" thickBot="1" x14ac:dyDescent="0.25">
      <c r="E108" s="397"/>
      <c r="F108" s="397"/>
      <c r="G108" s="998"/>
      <c r="H108"/>
      <c r="I108"/>
      <c r="J108"/>
      <c r="K108"/>
      <c r="L108"/>
      <c r="M108"/>
      <c r="N108"/>
      <c r="O108" s="995"/>
      <c r="U108" s="114"/>
      <c r="AB108" s="114"/>
      <c r="AC108" s="114"/>
      <c r="AD108" s="114"/>
      <c r="AE108" s="114"/>
      <c r="BE108" s="136"/>
      <c r="BF108" s="136"/>
      <c r="BG108" s="136"/>
      <c r="BH108" s="136"/>
      <c r="BN108" s="86"/>
      <c r="BO108" s="1091"/>
      <c r="BP108" s="1582">
        <v>17</v>
      </c>
      <c r="BQ108" s="76"/>
      <c r="BR108" s="76"/>
      <c r="BS108" s="76"/>
      <c r="BT108" s="76"/>
      <c r="BU108" s="76"/>
      <c r="BV108" s="76"/>
      <c r="BW108" s="76"/>
      <c r="BX108" s="117">
        <f>IF(CG59=17,8)</f>
        <v>8</v>
      </c>
      <c r="BY108" s="118"/>
      <c r="BZ108" s="118"/>
      <c r="CA108" s="119"/>
      <c r="CB108" s="119"/>
      <c r="CC108" s="119"/>
      <c r="CD108" s="119"/>
      <c r="CE108" s="119"/>
      <c r="CF108" s="119"/>
      <c r="CG108" s="119"/>
      <c r="CH108" s="140"/>
      <c r="CI108" s="119"/>
      <c r="CJ108" s="141"/>
      <c r="CK108" s="119"/>
      <c r="CL108" s="119"/>
      <c r="CM108" s="119"/>
      <c r="CN108" s="118"/>
      <c r="CO108" s="118"/>
      <c r="CP108" s="103">
        <f>IF(CG59=17,26)</f>
        <v>26</v>
      </c>
      <c r="CQ108" s="78"/>
      <c r="CR108" s="78"/>
      <c r="CS108" s="78"/>
      <c r="CT108" s="78"/>
      <c r="CU108" s="78"/>
      <c r="CV108" s="78"/>
      <c r="CW108" s="78"/>
      <c r="CX108" s="78"/>
      <c r="CY108" s="78"/>
      <c r="CZ108" s="78"/>
      <c r="DA108" s="78"/>
      <c r="DB108" s="78"/>
      <c r="DC108" s="78"/>
      <c r="DD108" s="78"/>
    </row>
    <row r="109" spans="5:108" ht="20" hidden="1" x14ac:dyDescent="0.2">
      <c r="E109" s="397"/>
      <c r="F109" s="397"/>
      <c r="G109" s="998"/>
      <c r="H109"/>
      <c r="I109"/>
      <c r="J109"/>
      <c r="K109"/>
      <c r="L109"/>
      <c r="M109"/>
      <c r="N109"/>
      <c r="O109" s="995"/>
      <c r="U109" s="114"/>
      <c r="AB109" s="114"/>
      <c r="AC109" s="114"/>
      <c r="AD109" s="114"/>
      <c r="AE109" s="114"/>
      <c r="BE109" s="136"/>
      <c r="BF109" s="136"/>
      <c r="BG109" s="136"/>
      <c r="BH109" s="136"/>
      <c r="BN109" s="86"/>
      <c r="BO109" s="1091"/>
      <c r="BP109" s="1582">
        <v>16</v>
      </c>
      <c r="BQ109" s="76"/>
      <c r="BR109" s="76"/>
      <c r="BS109" s="76"/>
      <c r="BT109" s="76"/>
      <c r="BU109" s="76"/>
      <c r="BV109" s="145" t="b">
        <f>IF(CF59=16,6)</f>
        <v>0</v>
      </c>
      <c r="BW109" s="146"/>
      <c r="BX109" s="147"/>
      <c r="BY109" s="147"/>
      <c r="BZ109" s="146"/>
      <c r="CA109" s="146"/>
      <c r="CB109" s="146"/>
      <c r="CC109" s="146"/>
      <c r="CD109" s="146"/>
      <c r="CE109" s="146"/>
      <c r="CF109" s="146"/>
      <c r="CG109" s="146"/>
      <c r="CH109" s="148"/>
      <c r="CI109" s="146"/>
      <c r="CJ109" s="149"/>
      <c r="CK109" s="146"/>
      <c r="CL109" s="146"/>
      <c r="CM109" s="147"/>
      <c r="CN109" s="147"/>
      <c r="CO109" s="150"/>
      <c r="CP109" s="151" t="b">
        <f>IF(CF59=16,26)</f>
        <v>0</v>
      </c>
      <c r="CQ109" s="78"/>
      <c r="CR109" s="78"/>
      <c r="CS109" s="78"/>
      <c r="CT109" s="78"/>
      <c r="CU109" s="78"/>
      <c r="CV109" s="78"/>
      <c r="CW109" s="78"/>
      <c r="CX109" s="78"/>
      <c r="CY109" s="78"/>
      <c r="CZ109" s="78"/>
      <c r="DA109" s="78"/>
      <c r="DB109" s="78"/>
      <c r="DC109" s="78"/>
      <c r="DD109" s="78"/>
    </row>
    <row r="110" spans="5:108" ht="21" hidden="1" thickBot="1" x14ac:dyDescent="0.25">
      <c r="E110" s="397"/>
      <c r="F110" s="397"/>
      <c r="G110" s="998"/>
      <c r="H110"/>
      <c r="I110"/>
      <c r="J110"/>
      <c r="K110"/>
      <c r="L110"/>
      <c r="M110"/>
      <c r="N110"/>
      <c r="O110" s="995"/>
      <c r="U110" s="114"/>
      <c r="AB110" s="114"/>
      <c r="AC110" s="114"/>
      <c r="AD110" s="114"/>
      <c r="AE110" s="114"/>
      <c r="BE110" s="136"/>
      <c r="BF110" s="136"/>
      <c r="BG110" s="136"/>
      <c r="BH110" s="136"/>
      <c r="BN110" s="86"/>
      <c r="BO110" s="1091"/>
      <c r="BP110" s="1582">
        <v>15</v>
      </c>
      <c r="BQ110" s="76"/>
      <c r="BR110" s="76"/>
      <c r="BS110" s="76"/>
      <c r="BT110" s="117" t="b">
        <f>IF(CE59=15,4)</f>
        <v>0</v>
      </c>
      <c r="BU110" s="119"/>
      <c r="BV110" s="119"/>
      <c r="BW110" s="119"/>
      <c r="BX110" s="118"/>
      <c r="BY110" s="119"/>
      <c r="BZ110" s="119"/>
      <c r="CA110" s="118"/>
      <c r="CB110" s="119"/>
      <c r="CC110" s="119"/>
      <c r="CD110" s="119"/>
      <c r="CE110" s="119"/>
      <c r="CF110" s="119"/>
      <c r="CG110" s="119"/>
      <c r="CH110" s="140"/>
      <c r="CI110" s="118"/>
      <c r="CJ110" s="141"/>
      <c r="CK110" s="119"/>
      <c r="CL110" s="118"/>
      <c r="CM110" s="119"/>
      <c r="CN110" s="119"/>
      <c r="CO110" s="111"/>
      <c r="CP110" s="103" t="b">
        <f>IF(CE59=15,26)</f>
        <v>0</v>
      </c>
      <c r="CQ110" s="78"/>
      <c r="CR110" s="78"/>
      <c r="CS110" s="78"/>
      <c r="CT110" s="78"/>
      <c r="CU110" s="78"/>
      <c r="CV110" s="78"/>
      <c r="CW110" s="78"/>
      <c r="CX110" s="78"/>
      <c r="CY110" s="78"/>
      <c r="CZ110" s="78"/>
      <c r="DA110" s="78"/>
      <c r="DB110" s="78"/>
      <c r="DC110" s="78"/>
      <c r="DD110" s="78"/>
    </row>
    <row r="111" spans="5:108" ht="21" hidden="1" thickBot="1" x14ac:dyDescent="0.25">
      <c r="E111" s="397"/>
      <c r="F111" s="397"/>
      <c r="G111" s="998"/>
      <c r="H111"/>
      <c r="I111"/>
      <c r="J111"/>
      <c r="K111"/>
      <c r="L111"/>
      <c r="M111"/>
      <c r="N111"/>
      <c r="O111" s="995"/>
      <c r="U111" s="114"/>
      <c r="AB111" s="114"/>
      <c r="AC111" s="114"/>
      <c r="AD111" s="114"/>
      <c r="AE111" s="114"/>
      <c r="BE111" s="136"/>
      <c r="BF111" s="136"/>
      <c r="BG111" s="136"/>
      <c r="BH111" s="136"/>
      <c r="BN111" s="86"/>
      <c r="BO111" s="1091"/>
      <c r="BP111" s="1582">
        <v>14</v>
      </c>
      <c r="BQ111" s="76"/>
      <c r="BR111" s="117" t="b">
        <f>IF(CD59=14,2)</f>
        <v>0</v>
      </c>
      <c r="BS111" s="119"/>
      <c r="BT111" s="119"/>
      <c r="BU111" s="119"/>
      <c r="BV111" s="118"/>
      <c r="BW111" s="119"/>
      <c r="BX111" s="119"/>
      <c r="BY111" s="118"/>
      <c r="BZ111" s="119"/>
      <c r="CA111" s="119"/>
      <c r="CB111" s="119"/>
      <c r="CC111" s="119"/>
      <c r="CD111" s="119"/>
      <c r="CE111" s="119"/>
      <c r="CF111" s="119"/>
      <c r="CG111" s="119"/>
      <c r="CH111" s="140"/>
      <c r="CI111" s="118"/>
      <c r="CJ111" s="141"/>
      <c r="CK111" s="119"/>
      <c r="CL111" s="118"/>
      <c r="CM111" s="119"/>
      <c r="CN111" s="119"/>
      <c r="CO111" s="111"/>
      <c r="CP111" s="103" t="b">
        <f>IF(CD59=14,26)</f>
        <v>0</v>
      </c>
      <c r="CQ111" s="78"/>
      <c r="CR111" s="78"/>
      <c r="CS111" s="78"/>
      <c r="CT111" s="78"/>
      <c r="CU111" s="78"/>
      <c r="CV111" s="78"/>
      <c r="CW111" s="78"/>
      <c r="CX111" s="78"/>
      <c r="CY111" s="78"/>
      <c r="CZ111" s="78"/>
      <c r="DA111" s="78"/>
      <c r="DB111" s="78"/>
      <c r="DC111" s="78"/>
      <c r="DD111" s="78"/>
    </row>
    <row r="112" spans="5:108" ht="21" hidden="1" thickBot="1" x14ac:dyDescent="0.25">
      <c r="E112" s="397"/>
      <c r="F112" s="397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E112" s="136"/>
      <c r="BF112" s="136"/>
      <c r="BG112" s="136"/>
      <c r="BH112" s="136"/>
      <c r="BN112" s="86"/>
      <c r="BO112" s="1091"/>
      <c r="BP112" s="1582">
        <v>13</v>
      </c>
      <c r="BQ112" s="76"/>
      <c r="BR112" s="76"/>
      <c r="BS112" s="76"/>
      <c r="BU112" s="152"/>
      <c r="BV112" s="152"/>
      <c r="BW112" s="91"/>
      <c r="BX112" s="152"/>
      <c r="BY112" s="120" t="b">
        <f>IF(CC59=13,9)</f>
        <v>0</v>
      </c>
      <c r="BZ112" s="123"/>
      <c r="CA112" s="123"/>
      <c r="CB112" s="123"/>
      <c r="CC112" s="123"/>
      <c r="CD112" s="123"/>
      <c r="CE112" s="123"/>
      <c r="CF112" s="123"/>
      <c r="CG112" s="124" t="b">
        <f>IF(CC59=13,17)</f>
        <v>0</v>
      </c>
      <c r="CH112" s="153"/>
      <c r="CI112" s="91"/>
      <c r="CJ112" s="154"/>
      <c r="CK112" s="152"/>
      <c r="CM112" s="76"/>
      <c r="CN112" s="76"/>
      <c r="CO112" s="78"/>
      <c r="CP112" s="78"/>
      <c r="CQ112" s="78"/>
      <c r="CR112" s="78"/>
      <c r="CS112" s="78"/>
      <c r="CT112" s="78"/>
      <c r="CU112" s="78"/>
      <c r="CV112" s="78"/>
      <c r="CW112" s="78"/>
      <c r="CX112" s="78"/>
      <c r="CY112" s="78"/>
      <c r="CZ112" s="78"/>
      <c r="DA112" s="78"/>
      <c r="DB112" s="78"/>
      <c r="DC112" s="78"/>
      <c r="DD112" s="78"/>
    </row>
    <row r="113" spans="2:108" ht="21" hidden="1" thickBot="1" x14ac:dyDescent="0.25">
      <c r="D113" s="397"/>
      <c r="E113" s="397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E113" s="136"/>
      <c r="BF113" s="136"/>
      <c r="BG113" s="136"/>
      <c r="BH113" s="136"/>
      <c r="BN113" s="86"/>
      <c r="BO113" s="1091"/>
      <c r="BP113" s="1582">
        <v>12</v>
      </c>
      <c r="BQ113" s="76"/>
      <c r="BS113" s="139"/>
      <c r="BT113" s="139"/>
      <c r="BU113" s="142"/>
      <c r="BV113" s="139"/>
      <c r="BW113" s="117" t="b">
        <f>IF(CB59=12,7)</f>
        <v>0</v>
      </c>
      <c r="BX113" s="119"/>
      <c r="BY113" s="119"/>
      <c r="BZ113" s="119"/>
      <c r="CA113" s="119"/>
      <c r="CB113" s="119"/>
      <c r="CC113" s="119"/>
      <c r="CD113" s="119"/>
      <c r="CE113" s="119"/>
      <c r="CF113" s="119"/>
      <c r="CG113" s="103" t="b">
        <f>IF(CB59=12,17)</f>
        <v>0</v>
      </c>
      <c r="CH113" s="155"/>
      <c r="CI113" s="142"/>
      <c r="CJ113" s="156"/>
      <c r="CK113" s="139"/>
      <c r="CM113" s="76"/>
      <c r="CN113" s="76"/>
      <c r="CO113" s="78"/>
      <c r="CP113" s="78"/>
      <c r="CQ113" s="78"/>
      <c r="CR113" s="78"/>
      <c r="CS113" s="78"/>
      <c r="CT113" s="78"/>
      <c r="CU113" s="78"/>
      <c r="CV113" s="78"/>
      <c r="CW113" s="78"/>
      <c r="CX113" s="78"/>
      <c r="CY113" s="78"/>
      <c r="CZ113" s="78"/>
      <c r="DA113" s="78"/>
      <c r="DB113" s="78"/>
      <c r="DC113" s="78"/>
      <c r="DD113" s="78"/>
    </row>
    <row r="114" spans="2:108" ht="21" hidden="1" thickBot="1" x14ac:dyDescent="0.25">
      <c r="D114" s="397"/>
      <c r="E114" s="397"/>
      <c r="F114" s="397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E114" s="136"/>
      <c r="BF114" s="136"/>
      <c r="BG114" s="136"/>
      <c r="BH114" s="136"/>
      <c r="BN114" s="86"/>
      <c r="BO114" s="1091"/>
      <c r="BP114" s="1582">
        <v>11</v>
      </c>
      <c r="BR114" s="152"/>
      <c r="BS114" s="91"/>
      <c r="BT114" s="152"/>
      <c r="BU114" s="117" t="b">
        <f>IF(CA59=11,5)</f>
        <v>0</v>
      </c>
      <c r="BV114" s="119"/>
      <c r="BW114" s="119"/>
      <c r="BX114" s="119"/>
      <c r="BY114" s="119"/>
      <c r="BZ114" s="119"/>
      <c r="CA114" s="119"/>
      <c r="CB114" s="119"/>
      <c r="CC114" s="119"/>
      <c r="CD114" s="119"/>
      <c r="CE114" s="119"/>
      <c r="CF114" s="119"/>
      <c r="CG114" s="103" t="b">
        <f>IF(CA59=11,17)</f>
        <v>0</v>
      </c>
      <c r="CH114" s="153"/>
      <c r="CI114" s="91"/>
      <c r="CJ114" s="154"/>
      <c r="CL114" s="76"/>
      <c r="CM114" s="76"/>
      <c r="CN114" s="76"/>
      <c r="CO114" s="78"/>
      <c r="CP114" s="78"/>
      <c r="CQ114" s="78"/>
      <c r="CR114" s="78"/>
      <c r="CS114" s="78"/>
      <c r="CT114" s="78"/>
      <c r="CU114" s="78"/>
      <c r="CV114" s="78"/>
      <c r="CW114" s="78"/>
      <c r="CX114" s="78"/>
      <c r="CY114" s="78"/>
      <c r="CZ114" s="78"/>
      <c r="DA114" s="78"/>
      <c r="DB114" s="78"/>
      <c r="DC114" s="78"/>
      <c r="DD114" s="78"/>
    </row>
    <row r="115" spans="2:108" ht="21" hidden="1" thickBot="1" x14ac:dyDescent="0.25">
      <c r="B115" s="399"/>
      <c r="C115" s="399"/>
      <c r="D115" s="397"/>
      <c r="E115" s="397"/>
      <c r="F115" s="397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36"/>
      <c r="BF115" s="136"/>
      <c r="BG115" s="136"/>
      <c r="BH115" s="136"/>
      <c r="BN115" s="86"/>
      <c r="BO115" s="1091"/>
      <c r="BP115" s="1582">
        <v>10</v>
      </c>
      <c r="BR115" s="152"/>
      <c r="BS115" s="117" t="b">
        <f>IF(BZ59=10,3)</f>
        <v>0</v>
      </c>
      <c r="BT115" s="119"/>
      <c r="BU115" s="119"/>
      <c r="BV115" s="119"/>
      <c r="BW115" s="119"/>
      <c r="BX115" s="119"/>
      <c r="BY115" s="119"/>
      <c r="BZ115" s="119"/>
      <c r="CA115" s="119"/>
      <c r="CB115" s="119"/>
      <c r="CC115" s="119"/>
      <c r="CD115" s="119"/>
      <c r="CE115" s="119"/>
      <c r="CF115" s="119"/>
      <c r="CG115" s="103" t="b">
        <f>IF(BZ59=10,17)</f>
        <v>0</v>
      </c>
      <c r="CH115" s="153"/>
      <c r="CJ115" s="157"/>
      <c r="CK115" s="76"/>
      <c r="CL115" s="76"/>
      <c r="CM115" s="76"/>
      <c r="CN115" s="76"/>
      <c r="CO115" s="78"/>
      <c r="CP115" s="78"/>
      <c r="CQ115" s="78"/>
      <c r="CR115" s="78"/>
      <c r="CS115" s="78"/>
      <c r="CT115" s="78"/>
      <c r="CU115" s="78"/>
      <c r="CV115" s="78"/>
      <c r="CW115" s="78"/>
      <c r="CX115" s="78"/>
      <c r="CY115" s="78"/>
      <c r="CZ115" s="78"/>
      <c r="DA115" s="78"/>
      <c r="DB115" s="78"/>
      <c r="DC115" s="78"/>
      <c r="DD115" s="78"/>
    </row>
    <row r="116" spans="2:108" ht="21" hidden="1" thickBot="1" x14ac:dyDescent="0.25">
      <c r="B116" s="399"/>
      <c r="C116" s="399"/>
      <c r="D116" s="397"/>
      <c r="E116" s="397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F116" s="136"/>
      <c r="BG116" s="136"/>
      <c r="BH116" s="136"/>
      <c r="BN116" s="86"/>
      <c r="BO116" s="1091"/>
      <c r="BP116" s="1582">
        <v>9</v>
      </c>
      <c r="BQ116" s="117" t="b">
        <f>IF(BY59=9,1)</f>
        <v>0</v>
      </c>
      <c r="BR116" s="119"/>
      <c r="BS116" s="119"/>
      <c r="BT116" s="119"/>
      <c r="BU116" s="119"/>
      <c r="BV116" s="119"/>
      <c r="BW116" s="119"/>
      <c r="BX116" s="119"/>
      <c r="BY116" s="119"/>
      <c r="BZ116" s="119"/>
      <c r="CA116" s="119"/>
      <c r="CB116" s="119"/>
      <c r="CC116" s="119"/>
      <c r="CD116" s="119"/>
      <c r="CE116" s="119"/>
      <c r="CF116" s="119"/>
      <c r="CG116" s="103" t="b">
        <f>IF(BY59=9,17)</f>
        <v>0</v>
      </c>
      <c r="CH116" s="76"/>
      <c r="CI116" s="76"/>
      <c r="CJ116" s="157"/>
      <c r="CK116" s="76"/>
      <c r="CL116" s="76"/>
      <c r="CM116" s="76"/>
      <c r="CN116" s="76"/>
      <c r="CO116" s="78"/>
      <c r="CP116" s="78"/>
      <c r="CQ116" s="78"/>
      <c r="CR116" s="78"/>
      <c r="CS116" s="78"/>
      <c r="CT116" s="78"/>
      <c r="CU116" s="78"/>
      <c r="CV116" s="78"/>
      <c r="CW116" s="78"/>
      <c r="CX116" s="78"/>
      <c r="CY116" s="78"/>
      <c r="CZ116" s="78"/>
      <c r="DA116" s="78"/>
      <c r="DB116" s="78"/>
      <c r="DC116" s="78"/>
      <c r="DD116" s="78"/>
    </row>
    <row r="117" spans="2:108" ht="21" hidden="1" thickBot="1" x14ac:dyDescent="0.25">
      <c r="B117" s="401"/>
      <c r="E117" s="397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E117" s="136"/>
      <c r="BF117" s="136"/>
      <c r="BG117" s="136"/>
      <c r="BH117" s="136"/>
      <c r="BN117" s="86"/>
      <c r="BO117" s="1091"/>
      <c r="BP117" s="1582">
        <v>8</v>
      </c>
      <c r="BQ117" s="117" t="b">
        <f>IF(BX59=8,1)</f>
        <v>0</v>
      </c>
      <c r="BR117" s="119"/>
      <c r="BS117" s="118"/>
      <c r="BT117" s="119"/>
      <c r="BU117" s="119"/>
      <c r="BV117" s="119"/>
      <c r="BW117" s="119"/>
      <c r="BX117" s="119"/>
      <c r="BY117" s="119"/>
      <c r="BZ117" s="119"/>
      <c r="CA117" s="119"/>
      <c r="CB117" s="119"/>
      <c r="CC117" s="118"/>
      <c r="CD117" s="119"/>
      <c r="CE117" s="103" t="b">
        <f>IF(BX59=8,15)</f>
        <v>0</v>
      </c>
      <c r="CF117" s="76"/>
      <c r="CG117" s="76"/>
      <c r="CH117" s="158"/>
      <c r="CI117" s="76"/>
      <c r="CJ117" s="157"/>
      <c r="CK117" s="76"/>
      <c r="CL117" s="76"/>
      <c r="CM117" s="76"/>
      <c r="CN117" s="76"/>
      <c r="CO117" s="78"/>
      <c r="CP117" s="78"/>
      <c r="CQ117" s="78"/>
      <c r="CR117" s="78"/>
      <c r="CS117" s="78"/>
      <c r="CT117" s="78"/>
      <c r="CU117" s="78"/>
      <c r="CV117" s="78"/>
      <c r="CW117" s="78"/>
      <c r="CX117" s="78"/>
      <c r="CY117" s="78"/>
      <c r="CZ117" s="78"/>
      <c r="DA117" s="78"/>
      <c r="DB117" s="78"/>
      <c r="DC117" s="78"/>
      <c r="DD117" s="78"/>
    </row>
    <row r="118" spans="2:108" ht="21" hidden="1" thickBot="1" x14ac:dyDescent="0.25">
      <c r="B118" s="399"/>
      <c r="C118" s="399"/>
      <c r="D118" s="397"/>
      <c r="E118" s="397"/>
      <c r="F118" s="397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F118" s="136"/>
      <c r="BG118" s="136"/>
      <c r="BH118" s="136"/>
      <c r="BN118" s="86"/>
      <c r="BO118" s="1091"/>
      <c r="BP118" s="1582">
        <v>7</v>
      </c>
      <c r="BQ118" s="117" t="b">
        <f>IF(BW59=7,1)</f>
        <v>0</v>
      </c>
      <c r="BR118" s="118"/>
      <c r="BS118" s="119"/>
      <c r="BT118" s="119"/>
      <c r="BU118" s="119"/>
      <c r="BV118" s="119"/>
      <c r="BW118" s="119"/>
      <c r="BX118" s="119"/>
      <c r="BY118" s="119"/>
      <c r="BZ118" s="119"/>
      <c r="CA118" s="118"/>
      <c r="CB118" s="118"/>
      <c r="CC118" s="103" t="b">
        <f>IF(BW59=7,13)</f>
        <v>0</v>
      </c>
      <c r="CD118" s="76"/>
      <c r="CE118" s="76"/>
      <c r="CF118" s="76"/>
      <c r="CG118" s="76"/>
      <c r="CH118" s="158"/>
      <c r="CI118" s="76"/>
      <c r="CJ118" s="157"/>
      <c r="CK118" s="76"/>
      <c r="CL118" s="76"/>
      <c r="CM118" s="76"/>
      <c r="CN118" s="76"/>
      <c r="CO118" s="78"/>
      <c r="CP118" s="78"/>
      <c r="CQ118" s="78"/>
      <c r="CR118" s="78"/>
      <c r="CS118" s="78"/>
      <c r="CT118" s="78"/>
      <c r="CU118" s="78"/>
      <c r="CV118" s="78"/>
      <c r="CW118" s="78"/>
      <c r="CX118" s="78"/>
      <c r="CY118" s="78"/>
      <c r="CZ118" s="78"/>
      <c r="DA118" s="78"/>
      <c r="DB118" s="78"/>
      <c r="DC118" s="78"/>
      <c r="DD118" s="78"/>
    </row>
    <row r="119" spans="2:108" ht="21" hidden="1" thickBot="1" x14ac:dyDescent="0.25">
      <c r="B119" s="399"/>
      <c r="C119" s="399"/>
      <c r="D119" s="397"/>
      <c r="E119" s="397"/>
      <c r="F119" s="397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F119" s="136"/>
      <c r="BG119" s="136"/>
      <c r="BH119" s="136"/>
      <c r="BN119" s="86"/>
      <c r="BO119" s="1091"/>
      <c r="BP119" s="1582">
        <v>6</v>
      </c>
      <c r="BQ119" s="120" t="b">
        <f>IF(BV59=6,1)</f>
        <v>0</v>
      </c>
      <c r="BR119" s="123"/>
      <c r="BS119" s="123"/>
      <c r="BT119" s="123"/>
      <c r="BU119" s="123"/>
      <c r="BV119" s="123"/>
      <c r="BW119" s="123"/>
      <c r="BX119" s="123"/>
      <c r="BY119" s="123"/>
      <c r="BZ119" s="123"/>
      <c r="CA119" s="124" t="b">
        <f>IF(BV59=6,11)</f>
        <v>0</v>
      </c>
      <c r="CB119" s="76"/>
      <c r="CC119" s="76"/>
      <c r="CD119" s="76"/>
      <c r="CE119" s="76"/>
      <c r="CF119" s="76"/>
      <c r="CG119" s="76"/>
      <c r="CH119" s="158"/>
      <c r="CI119" s="76"/>
      <c r="CJ119" s="157"/>
      <c r="CK119" s="76"/>
      <c r="CL119" s="76"/>
      <c r="CM119" s="76"/>
      <c r="CN119" s="76"/>
      <c r="CO119" s="78"/>
      <c r="CP119" s="78"/>
      <c r="CQ119" s="78"/>
      <c r="CR119" s="78"/>
      <c r="CS119" s="78"/>
      <c r="CT119" s="78"/>
      <c r="CU119" s="78"/>
      <c r="CV119" s="78"/>
      <c r="CW119" s="78"/>
      <c r="CX119" s="78"/>
      <c r="CY119" s="78"/>
      <c r="CZ119" s="78"/>
      <c r="DA119" s="78"/>
      <c r="DB119" s="78"/>
      <c r="DC119" s="78"/>
      <c r="DD119" s="78"/>
    </row>
    <row r="120" spans="2:108" ht="21" hidden="1" thickBot="1" x14ac:dyDescent="0.25">
      <c r="B120" s="19"/>
      <c r="C120" s="399"/>
      <c r="D120" s="397"/>
      <c r="E120" s="19"/>
      <c r="F120" s="397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E120" s="136"/>
      <c r="BF120" s="136"/>
      <c r="BG120" s="136"/>
      <c r="BH120" s="136"/>
      <c r="BN120" s="86"/>
      <c r="BO120" s="1091"/>
      <c r="BP120" s="1582">
        <v>5</v>
      </c>
      <c r="BQ120" s="120" t="b">
        <f>IF(BU59=5,1)</f>
        <v>0</v>
      </c>
      <c r="BR120" s="122"/>
      <c r="BS120" s="123"/>
      <c r="BT120" s="123"/>
      <c r="BU120" s="123"/>
      <c r="BV120" s="123"/>
      <c r="BW120" s="123"/>
      <c r="BX120" s="122"/>
      <c r="BY120" s="124" t="b">
        <f>IF(BU59=5,9)</f>
        <v>0</v>
      </c>
      <c r="BZ120" s="76"/>
      <c r="CA120" s="76"/>
      <c r="CB120" s="76"/>
      <c r="CC120" s="76"/>
      <c r="CD120" s="76"/>
      <c r="CE120" s="76"/>
      <c r="CF120" s="76"/>
      <c r="CG120" s="76"/>
      <c r="CH120" s="158"/>
      <c r="CI120" s="76"/>
      <c r="CJ120" s="157"/>
      <c r="CK120" s="76"/>
      <c r="CL120" s="76"/>
      <c r="CM120" s="76"/>
      <c r="CN120" s="76"/>
      <c r="CO120" s="78"/>
      <c r="CP120" s="78"/>
      <c r="CQ120" s="78"/>
      <c r="CR120" s="78"/>
      <c r="CS120" s="78"/>
      <c r="CT120" s="78"/>
      <c r="CU120" s="78"/>
      <c r="CV120" s="78"/>
      <c r="CW120" s="78"/>
      <c r="CX120" s="78"/>
      <c r="CY120" s="78"/>
      <c r="CZ120" s="78"/>
      <c r="DA120" s="78"/>
      <c r="DB120" s="78"/>
      <c r="DC120" s="78"/>
      <c r="DD120" s="78"/>
    </row>
    <row r="121" spans="2:108" ht="21" hidden="1" thickBot="1" x14ac:dyDescent="0.25">
      <c r="B121" s="399"/>
      <c r="C121" s="399"/>
      <c r="D121" s="397"/>
      <c r="E121" s="397"/>
      <c r="F121" s="397"/>
      <c r="G121" s="998"/>
      <c r="H121"/>
      <c r="I121"/>
      <c r="J121"/>
      <c r="K121"/>
      <c r="L121"/>
      <c r="M121"/>
      <c r="N121"/>
      <c r="O121" s="995"/>
      <c r="U121" s="114"/>
      <c r="AB121" s="114"/>
      <c r="AC121" s="114"/>
      <c r="AD121" s="114"/>
      <c r="AE121" s="114"/>
      <c r="BF121" s="136"/>
      <c r="BG121" s="136"/>
      <c r="BH121" s="136"/>
      <c r="BN121" s="86"/>
      <c r="BO121" s="1091"/>
      <c r="BP121" s="1582">
        <v>4</v>
      </c>
      <c r="BQ121" s="120" t="b">
        <f>IF(BT59=4,1)</f>
        <v>0</v>
      </c>
      <c r="BR121" s="123"/>
      <c r="BS121" s="123"/>
      <c r="BT121" s="123"/>
      <c r="BU121" s="123"/>
      <c r="BV121" s="123"/>
      <c r="BW121" s="124" t="b">
        <f>IF(BT59=4,7)</f>
        <v>0</v>
      </c>
      <c r="BX121" s="76"/>
      <c r="BY121" s="159"/>
      <c r="BZ121" s="159"/>
      <c r="CA121" s="76"/>
      <c r="CB121" s="159"/>
      <c r="CC121" s="76"/>
      <c r="CD121" s="76"/>
      <c r="CE121" s="76"/>
      <c r="CF121" s="76"/>
      <c r="CG121" s="76"/>
      <c r="CH121" s="158"/>
      <c r="CI121" s="76"/>
      <c r="CJ121" s="157"/>
      <c r="CK121" s="76"/>
      <c r="CL121" s="76"/>
      <c r="CM121" s="76"/>
      <c r="CN121" s="76"/>
      <c r="CO121" s="78"/>
      <c r="CP121" s="78"/>
      <c r="CQ121" s="78"/>
      <c r="CR121" s="78"/>
      <c r="CS121" s="78"/>
      <c r="CT121" s="78"/>
      <c r="CU121" s="78"/>
      <c r="CV121" s="78"/>
      <c r="CW121" s="78"/>
      <c r="CX121" s="78"/>
      <c r="CY121" s="78"/>
      <c r="CZ121" s="78"/>
      <c r="DA121" s="78"/>
      <c r="DB121" s="78"/>
      <c r="DC121" s="78"/>
      <c r="DD121" s="78"/>
    </row>
    <row r="122" spans="2:108" ht="21" hidden="1" thickBot="1" x14ac:dyDescent="0.25">
      <c r="B122" s="399"/>
      <c r="C122" s="399"/>
      <c r="D122" s="397"/>
      <c r="E122" s="397"/>
      <c r="F122" s="397"/>
      <c r="G122" s="998"/>
      <c r="H122"/>
      <c r="I122"/>
      <c r="J122"/>
      <c r="K122"/>
      <c r="L122"/>
      <c r="M122"/>
      <c r="N122"/>
      <c r="O122" s="995"/>
      <c r="U122" s="114"/>
      <c r="AB122" s="114"/>
      <c r="AC122" s="114"/>
      <c r="AD122" s="114"/>
      <c r="AE122" s="114"/>
      <c r="BE122" s="136"/>
      <c r="BF122" s="136"/>
      <c r="BG122" s="136"/>
      <c r="BH122" s="136"/>
      <c r="BN122" s="86"/>
      <c r="BO122" s="1091"/>
      <c r="BP122" s="1582">
        <v>3</v>
      </c>
      <c r="BQ122" s="120" t="b">
        <f>IF(BS59=3,1)</f>
        <v>0</v>
      </c>
      <c r="BR122" s="123"/>
      <c r="BS122" s="123"/>
      <c r="BT122" s="123"/>
      <c r="BU122" s="124" t="b">
        <f>IF(BS59=3,5)</f>
        <v>0</v>
      </c>
      <c r="BV122" s="76"/>
      <c r="BW122" s="76"/>
      <c r="BX122" s="76"/>
      <c r="BY122" s="76"/>
      <c r="BZ122" s="76"/>
      <c r="CA122" s="76"/>
      <c r="CB122" s="76"/>
      <c r="CC122" s="76"/>
      <c r="CD122" s="76"/>
      <c r="CE122" s="76"/>
      <c r="CF122" s="76"/>
      <c r="CG122" s="76"/>
      <c r="CH122" s="158"/>
      <c r="CI122" s="76"/>
      <c r="CJ122" s="157"/>
      <c r="CK122" s="76"/>
      <c r="CL122" s="76"/>
      <c r="CM122" s="76"/>
      <c r="CN122" s="76"/>
      <c r="CO122" s="78"/>
      <c r="CP122" s="78"/>
      <c r="CQ122" s="78"/>
      <c r="CR122" s="78"/>
      <c r="CS122" s="78"/>
      <c r="CT122" s="78"/>
      <c r="CU122" s="78"/>
      <c r="CV122" s="78"/>
      <c r="CW122" s="78"/>
      <c r="CX122" s="78"/>
      <c r="CY122" s="78"/>
      <c r="CZ122" s="78"/>
      <c r="DA122" s="78"/>
      <c r="DB122" s="78"/>
      <c r="DC122" s="78"/>
      <c r="DD122" s="78"/>
    </row>
    <row r="123" spans="2:108" ht="20" hidden="1" x14ac:dyDescent="0.2">
      <c r="B123" s="399"/>
      <c r="C123" s="399"/>
      <c r="D123" s="397"/>
      <c r="E123" s="397"/>
      <c r="F123" s="397"/>
      <c r="G123" s="998"/>
      <c r="H123"/>
      <c r="I123"/>
      <c r="J123"/>
      <c r="K123"/>
      <c r="L123"/>
      <c r="M123"/>
      <c r="N123"/>
      <c r="O123" s="995"/>
      <c r="U123" s="114"/>
      <c r="AB123" s="114"/>
      <c r="AC123" s="114"/>
      <c r="AD123" s="114"/>
      <c r="AE123" s="114"/>
      <c r="BE123" s="136"/>
      <c r="BF123" s="136"/>
      <c r="BG123" s="136"/>
      <c r="BH123" s="136"/>
      <c r="BN123" s="86"/>
      <c r="BO123" s="1091"/>
      <c r="BP123" s="1582">
        <v>2</v>
      </c>
      <c r="BQ123" s="160" t="b">
        <f>IF(BR59=2,1)</f>
        <v>0</v>
      </c>
      <c r="BR123" s="161"/>
      <c r="BS123" s="162" t="b">
        <f>IF(BR59=2,3)</f>
        <v>0</v>
      </c>
      <c r="BT123" s="76"/>
      <c r="BU123" s="76"/>
      <c r="BV123" s="76"/>
      <c r="BW123" s="76"/>
      <c r="BX123" s="76"/>
      <c r="BY123" s="76"/>
      <c r="BZ123" s="76"/>
      <c r="CA123" s="76"/>
      <c r="CB123" s="76"/>
      <c r="CC123" s="76"/>
      <c r="CD123" s="76"/>
      <c r="CE123" s="76"/>
      <c r="CF123" s="76"/>
      <c r="CG123" s="76"/>
      <c r="CH123" s="158"/>
      <c r="CI123" s="76"/>
      <c r="CJ123" s="157"/>
      <c r="CK123" s="76"/>
      <c r="CL123" s="76"/>
      <c r="CM123" s="76"/>
      <c r="CN123" s="76"/>
      <c r="CO123" s="78"/>
      <c r="CP123" s="78"/>
      <c r="CQ123" s="78"/>
      <c r="CR123" s="78"/>
      <c r="CS123" s="78"/>
      <c r="CT123" s="78"/>
      <c r="CU123" s="78"/>
      <c r="CV123" s="78"/>
      <c r="CW123" s="78"/>
      <c r="CX123" s="78"/>
      <c r="CY123" s="78"/>
      <c r="CZ123" s="78"/>
      <c r="DA123" s="78"/>
      <c r="DB123" s="78"/>
      <c r="DC123" s="78"/>
      <c r="DD123" s="78"/>
    </row>
    <row r="124" spans="2:108" ht="54" hidden="1" customHeight="1" thickBot="1" x14ac:dyDescent="0.25">
      <c r="B124" s="399"/>
      <c r="C124" s="399"/>
      <c r="D124" s="397"/>
      <c r="E124" s="397"/>
      <c r="F124" s="39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114"/>
      <c r="AB124" s="114"/>
      <c r="AC124" s="114"/>
      <c r="AD124" s="114"/>
      <c r="AE124" s="114"/>
      <c r="BE124" s="136"/>
      <c r="BF124" s="136"/>
      <c r="BG124" s="136"/>
      <c r="BH124" s="136"/>
      <c r="BN124" s="86"/>
      <c r="BO124" s="1091"/>
      <c r="BP124" s="163"/>
      <c r="BQ124" s="164">
        <f>SUM(BQ89:BQ123)</f>
        <v>0</v>
      </c>
      <c r="BR124" s="164">
        <f t="shared" ref="BR124:DA124" si="2">SUM(BR89:BR123)</f>
        <v>0</v>
      </c>
      <c r="BS124" s="164">
        <f t="shared" si="2"/>
        <v>0</v>
      </c>
      <c r="BT124" s="164">
        <f t="shared" si="2"/>
        <v>0</v>
      </c>
      <c r="BU124" s="164">
        <f t="shared" si="2"/>
        <v>0</v>
      </c>
      <c r="BV124" s="164">
        <f t="shared" si="2"/>
        <v>0</v>
      </c>
      <c r="BW124" s="164">
        <f t="shared" si="2"/>
        <v>0</v>
      </c>
      <c r="BX124" s="164">
        <f t="shared" si="2"/>
        <v>8</v>
      </c>
      <c r="BY124" s="164">
        <f t="shared" si="2"/>
        <v>0</v>
      </c>
      <c r="BZ124" s="164">
        <f t="shared" si="2"/>
        <v>0</v>
      </c>
      <c r="CA124" s="164">
        <f t="shared" si="2"/>
        <v>0</v>
      </c>
      <c r="CB124" s="164">
        <f t="shared" si="2"/>
        <v>0</v>
      </c>
      <c r="CC124" s="164">
        <f t="shared" si="2"/>
        <v>0</v>
      </c>
      <c r="CD124" s="164">
        <f t="shared" si="2"/>
        <v>0</v>
      </c>
      <c r="CE124" s="164">
        <f t="shared" si="2"/>
        <v>0</v>
      </c>
      <c r="CF124" s="164">
        <f t="shared" si="2"/>
        <v>0</v>
      </c>
      <c r="CG124" s="165">
        <f t="shared" si="2"/>
        <v>0</v>
      </c>
      <c r="CH124" s="166"/>
      <c r="CI124" s="167"/>
      <c r="CJ124" s="168"/>
      <c r="CK124" s="169">
        <f t="shared" si="2"/>
        <v>0</v>
      </c>
      <c r="CL124" s="164">
        <f t="shared" si="2"/>
        <v>0</v>
      </c>
      <c r="CM124" s="164">
        <f t="shared" si="2"/>
        <v>0</v>
      </c>
      <c r="CN124" s="164">
        <f t="shared" si="2"/>
        <v>0</v>
      </c>
      <c r="CO124" s="164">
        <f t="shared" si="2"/>
        <v>0</v>
      </c>
      <c r="CP124" s="164">
        <f t="shared" si="2"/>
        <v>26</v>
      </c>
      <c r="CQ124" s="164">
        <f t="shared" si="2"/>
        <v>0</v>
      </c>
      <c r="CR124" s="164">
        <f t="shared" si="2"/>
        <v>0</v>
      </c>
      <c r="CS124" s="164">
        <f t="shared" si="2"/>
        <v>0</v>
      </c>
      <c r="CT124" s="164">
        <f t="shared" si="2"/>
        <v>0</v>
      </c>
      <c r="CU124" s="164">
        <f t="shared" si="2"/>
        <v>0</v>
      </c>
      <c r="CV124" s="164">
        <f t="shared" si="2"/>
        <v>0</v>
      </c>
      <c r="CW124" s="164">
        <f t="shared" si="2"/>
        <v>0</v>
      </c>
      <c r="CX124" s="164">
        <f t="shared" si="2"/>
        <v>0</v>
      </c>
      <c r="CY124" s="164">
        <f t="shared" si="2"/>
        <v>0</v>
      </c>
      <c r="CZ124" s="164">
        <f t="shared" si="2"/>
        <v>0</v>
      </c>
      <c r="DA124" s="164">
        <f t="shared" si="2"/>
        <v>0</v>
      </c>
      <c r="DB124" s="78"/>
      <c r="DC124" s="78"/>
      <c r="DD124" s="78"/>
    </row>
    <row r="125" spans="2:108" ht="147.75" customHeight="1" thickBot="1" x14ac:dyDescent="0.25">
      <c r="B125" s="399"/>
      <c r="C125" s="399"/>
      <c r="D125" s="397"/>
      <c r="E125" s="397"/>
      <c r="F125" s="39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114"/>
      <c r="AB125" s="114"/>
      <c r="AC125" s="114"/>
      <c r="AD125" s="114"/>
      <c r="AE125" s="114"/>
      <c r="BE125" s="136"/>
      <c r="BF125" s="136"/>
      <c r="BG125" s="136"/>
      <c r="BH125" s="136"/>
      <c r="BN125" s="86"/>
      <c r="BO125" s="1091"/>
      <c r="BP125" s="163"/>
      <c r="BQ125" s="170"/>
      <c r="BR125" s="170"/>
      <c r="BS125" s="170"/>
      <c r="BT125" s="170"/>
      <c r="BU125" s="170"/>
      <c r="BV125" s="170"/>
      <c r="BW125" s="170"/>
      <c r="BX125" s="170"/>
      <c r="BY125" s="170"/>
      <c r="BZ125" s="170"/>
      <c r="CA125" s="170"/>
      <c r="CB125" s="170"/>
      <c r="CC125" s="170"/>
      <c r="CD125" s="170"/>
      <c r="CE125" s="170"/>
      <c r="CF125" s="170"/>
      <c r="CG125" s="170"/>
      <c r="CH125" s="170"/>
      <c r="CI125" s="170"/>
      <c r="CJ125" s="170"/>
      <c r="CK125" s="171"/>
      <c r="CL125" s="170"/>
      <c r="CM125" s="170"/>
      <c r="CN125" s="170"/>
      <c r="CO125" s="170"/>
      <c r="CP125" s="170"/>
      <c r="CQ125" s="170"/>
      <c r="CR125" s="170"/>
      <c r="CS125" s="170"/>
      <c r="CT125" s="170"/>
      <c r="CU125" s="170"/>
      <c r="CV125" s="170"/>
      <c r="CW125" s="170"/>
      <c r="CX125" s="170"/>
      <c r="CY125" s="170"/>
      <c r="CZ125" s="170"/>
      <c r="DA125" s="170"/>
      <c r="DB125" s="78"/>
      <c r="DC125" s="78"/>
      <c r="DD125" s="78"/>
    </row>
    <row r="126" spans="2:108" ht="48.75" customHeight="1" thickBot="1" x14ac:dyDescent="0.3">
      <c r="B126" s="399"/>
      <c r="C126" s="399"/>
      <c r="D126" s="397"/>
      <c r="E126" s="397"/>
      <c r="F126" s="397"/>
      <c r="G126" s="998"/>
      <c r="H126" s="1087" t="s">
        <v>265</v>
      </c>
      <c r="I126" s="1080">
        <f>+MIN(K31:L32)</f>
        <v>73.840449095474398</v>
      </c>
      <c r="J126" s="1080">
        <f>+MIN(J37:K38)</f>
        <v>117.82032400589101</v>
      </c>
      <c r="K126" s="1082">
        <f>+MIN(J43:L44)</f>
        <v>117.82032400589101</v>
      </c>
      <c r="L126" s="1083">
        <f>+MIN(J49:L50)</f>
        <v>50.979947887164379</v>
      </c>
      <c r="M126" s="1084">
        <f>+MIN(J55:L56)</f>
        <v>117.82032400589101</v>
      </c>
      <c r="N126"/>
      <c r="O126" s="995"/>
      <c r="U126" s="114"/>
      <c r="AB126" s="114"/>
      <c r="AC126" s="114"/>
      <c r="AD126" s="114"/>
      <c r="AE126" s="114"/>
      <c r="BE126" s="136"/>
      <c r="BF126" s="136"/>
      <c r="BG126" s="136"/>
      <c r="BH126" s="136"/>
      <c r="BN126" s="86"/>
      <c r="BO126" s="1095" t="s">
        <v>128</v>
      </c>
      <c r="BP126" s="172" t="s">
        <v>124</v>
      </c>
      <c r="BQ126" s="750" t="str">
        <f>IF(BQ124=1,17,"")</f>
        <v/>
      </c>
      <c r="BR126" s="751" t="str">
        <f>IF(BR124=2,16,"")</f>
        <v/>
      </c>
      <c r="BS126" s="751" t="str">
        <f>IF(BS124=3,15,"")</f>
        <v/>
      </c>
      <c r="BT126" s="751" t="str">
        <f>IF(BT124=4,14,"")</f>
        <v/>
      </c>
      <c r="BU126" s="751" t="str">
        <f>IF(BU124=5,13,"")</f>
        <v/>
      </c>
      <c r="BV126" s="751" t="str">
        <f>IF(BV124=6,12,"")</f>
        <v/>
      </c>
      <c r="BW126" s="751" t="str">
        <f>IF(BW124=7,11,"")</f>
        <v/>
      </c>
      <c r="BX126" s="751">
        <f>IF(BX124=8,10,"")</f>
        <v>10</v>
      </c>
      <c r="BY126" s="751" t="str">
        <f>IF(BY124=9,9,"")</f>
        <v/>
      </c>
      <c r="BZ126" s="751" t="str">
        <f>IF(BZ124=10,8,"")</f>
        <v/>
      </c>
      <c r="CA126" s="751" t="str">
        <f>IF(CA124=11,7,"")</f>
        <v/>
      </c>
      <c r="CB126" s="752" t="str">
        <f>IF(CB124=12,"6  ADS ","")</f>
        <v/>
      </c>
      <c r="CC126" s="751" t="str">
        <f>IF(CC124=13,5,"")</f>
        <v/>
      </c>
      <c r="CD126" s="751" t="str">
        <f>IF(CD124=14,4,"")</f>
        <v/>
      </c>
      <c r="CE126" s="751" t="str">
        <f>IF(CE124=15,3,"")</f>
        <v/>
      </c>
      <c r="CF126" s="751" t="str">
        <f>IF(CF124=16,2,"")</f>
        <v/>
      </c>
      <c r="CG126" s="751" t="str">
        <f>IF(CG124=17,1,"")</f>
        <v/>
      </c>
      <c r="CH126" s="173"/>
      <c r="CI126" s="174"/>
      <c r="CJ126" s="175"/>
      <c r="CK126" s="753" t="str">
        <f>IF(CK124=21,1,"")</f>
        <v/>
      </c>
      <c r="CL126" s="753" t="str">
        <f>IF(CL124=22,2,"")</f>
        <v/>
      </c>
      <c r="CM126" s="753" t="str">
        <f>IF(CM124=23,3,"")</f>
        <v/>
      </c>
      <c r="CN126" s="753" t="str">
        <f>IF(CN124=24,4,"")</f>
        <v/>
      </c>
      <c r="CO126" s="753" t="str">
        <f>IF(CO124=25,5,"")</f>
        <v/>
      </c>
      <c r="CP126" s="754" t="str">
        <f>IF(CP124=26,"6  ADS ","")</f>
        <v xml:space="preserve">6  ADS </v>
      </c>
      <c r="CQ126" s="753" t="str">
        <f>IF(CQ124=27,7,"")</f>
        <v/>
      </c>
      <c r="CR126" s="753" t="str">
        <f>IF(CR124=28,8,"")</f>
        <v/>
      </c>
      <c r="CS126" s="753" t="str">
        <f>IF(CS124=29,9,"")</f>
        <v/>
      </c>
      <c r="CT126" s="753" t="str">
        <f>IF(CT124=30,10,"")</f>
        <v/>
      </c>
      <c r="CU126" s="753" t="str">
        <f>IF(CU124=31,11,"")</f>
        <v/>
      </c>
      <c r="CV126" s="753" t="str">
        <f>IF(CV124=32,12,"")</f>
        <v/>
      </c>
      <c r="CW126" s="753" t="str">
        <f>IF(CW124=33,13,"")</f>
        <v/>
      </c>
      <c r="CX126" s="753" t="str">
        <f>IF(CX124=34,14,"")</f>
        <v/>
      </c>
      <c r="CY126" s="753" t="str">
        <f>IF(CY124=35,15,"")</f>
        <v/>
      </c>
      <c r="CZ126" s="753" t="str">
        <f>IF(CZ124=36,16,"")</f>
        <v/>
      </c>
      <c r="DA126" s="755" t="str">
        <f>IF(DA124=37,17,"")</f>
        <v/>
      </c>
      <c r="DB126" s="340"/>
      <c r="DC126" s="78"/>
      <c r="DD126" s="78"/>
    </row>
    <row r="127" spans="2:108" ht="45.75" customHeight="1" thickBot="1" x14ac:dyDescent="0.3">
      <c r="B127" s="399"/>
      <c r="C127" s="399"/>
      <c r="D127" s="397"/>
      <c r="E127" s="397"/>
      <c r="F127" s="397"/>
      <c r="G127" s="1583"/>
      <c r="H127" s="126"/>
      <c r="I127" s="126"/>
      <c r="J127" s="126"/>
      <c r="K127" s="126"/>
      <c r="L127" s="126"/>
      <c r="M127" s="126"/>
      <c r="N127" s="126"/>
      <c r="O127" s="1584"/>
      <c r="U127" s="114"/>
      <c r="AB127" s="114"/>
      <c r="AC127" s="114"/>
      <c r="AD127" s="114"/>
      <c r="AE127" s="114"/>
      <c r="BE127" s="136"/>
      <c r="BF127" s="136"/>
      <c r="BG127" s="136"/>
      <c r="BH127" s="136"/>
      <c r="BL127" s="968">
        <v>6</v>
      </c>
      <c r="BM127" s="1762" t="b">
        <f>AND(BO127&gt;=10,$BB$142&gt;=10,$BA$142&gt;=10,$BA$174&gt;=10,$BB$174&gt;=10)</f>
        <v>1</v>
      </c>
      <c r="BN127" s="84" t="str">
        <f>IF(BM127=TRUE,"O K","OVERLOAD")</f>
        <v>O K</v>
      </c>
      <c r="BO127" s="982">
        <f>SUM(I132:M132)</f>
        <v>117.82032400589101</v>
      </c>
      <c r="BP127" s="788" t="s">
        <v>185</v>
      </c>
      <c r="BQ127" s="789">
        <v>-10</v>
      </c>
      <c r="BR127" s="789">
        <v>-9</v>
      </c>
      <c r="BS127" s="789">
        <v>-8</v>
      </c>
      <c r="BT127" s="789">
        <v>-7</v>
      </c>
      <c r="BU127" s="789">
        <v>-6</v>
      </c>
      <c r="BV127" s="789">
        <v>-5</v>
      </c>
      <c r="BW127" s="789">
        <v>-4</v>
      </c>
      <c r="BX127" s="789">
        <v>-3</v>
      </c>
      <c r="BY127" s="789">
        <v>-2</v>
      </c>
      <c r="BZ127" s="789">
        <v>-1</v>
      </c>
      <c r="CA127" s="789">
        <v>0</v>
      </c>
      <c r="CB127" s="789">
        <v>1</v>
      </c>
      <c r="CC127" s="789">
        <v>2</v>
      </c>
      <c r="CD127" s="789">
        <v>3</v>
      </c>
      <c r="CE127" s="789">
        <v>4</v>
      </c>
      <c r="CF127" s="789">
        <v>5</v>
      </c>
      <c r="CG127" s="789">
        <v>6</v>
      </c>
      <c r="CH127" s="789">
        <v>7</v>
      </c>
      <c r="CI127" s="789">
        <v>8</v>
      </c>
      <c r="CJ127" s="789">
        <v>9</v>
      </c>
      <c r="CK127" s="789">
        <v>10</v>
      </c>
      <c r="CL127" s="789">
        <v>11</v>
      </c>
      <c r="CM127" s="789">
        <v>12</v>
      </c>
      <c r="CN127" s="789">
        <v>13</v>
      </c>
      <c r="CO127" s="789">
        <v>14</v>
      </c>
      <c r="CP127" s="789">
        <v>15</v>
      </c>
      <c r="CQ127" s="789">
        <v>16</v>
      </c>
      <c r="CR127" s="789">
        <v>17</v>
      </c>
      <c r="CS127" s="789">
        <v>18</v>
      </c>
      <c r="CT127" s="789">
        <v>19</v>
      </c>
      <c r="CU127" s="789">
        <v>20</v>
      </c>
      <c r="CV127" s="789">
        <v>21</v>
      </c>
      <c r="CW127" s="789">
        <v>22</v>
      </c>
      <c r="CX127" s="789">
        <v>23</v>
      </c>
      <c r="CY127" s="789">
        <v>24</v>
      </c>
      <c r="CZ127" s="789">
        <v>25</v>
      </c>
      <c r="DA127" s="791">
        <v>26</v>
      </c>
      <c r="DB127" s="78"/>
      <c r="DC127" s="78"/>
      <c r="DD127" s="78"/>
    </row>
    <row r="128" spans="2:108" ht="31" hidden="1" thickBot="1" x14ac:dyDescent="0.25">
      <c r="B128" s="330"/>
      <c r="C128" s="412"/>
      <c r="D128" s="37"/>
      <c r="E128" s="37"/>
      <c r="F128" s="37"/>
      <c r="G128" s="998"/>
      <c r="H128" s="201"/>
      <c r="I128" s="201"/>
      <c r="J128" s="201"/>
      <c r="K128" s="201"/>
      <c r="L128" s="201"/>
      <c r="M128" s="201"/>
      <c r="N128" s="201"/>
      <c r="O128" s="1013"/>
      <c r="U128" s="212"/>
      <c r="V128" s="73"/>
      <c r="AB128" s="73"/>
      <c r="AC128" s="73"/>
      <c r="AD128" s="73"/>
      <c r="AE128" s="73"/>
      <c r="AF128" s="73"/>
      <c r="AG128" s="73"/>
      <c r="AH128" s="73"/>
      <c r="AI128" s="73"/>
      <c r="AJ128" s="73"/>
      <c r="AK128" s="73"/>
      <c r="AL128" s="73"/>
      <c r="AM128" s="73"/>
      <c r="AN128" s="73"/>
      <c r="AO128" s="73"/>
      <c r="AP128" s="73"/>
      <c r="AQ128" s="73"/>
      <c r="AR128" s="73"/>
      <c r="AS128" s="73"/>
      <c r="AT128" s="73"/>
      <c r="AU128" s="73"/>
      <c r="AV128" s="73"/>
      <c r="AW128" s="73"/>
      <c r="AX128" s="73"/>
      <c r="AY128" s="73"/>
      <c r="AZ128" s="73"/>
      <c r="BA128" s="73"/>
      <c r="BB128" s="73"/>
      <c r="BC128" s="126"/>
      <c r="BE128" s="136"/>
      <c r="BF128" s="136"/>
      <c r="BG128" s="136"/>
      <c r="BH128" s="136"/>
      <c r="BI128" s="136"/>
      <c r="BJ128" s="136"/>
      <c r="BK128" s="136"/>
      <c r="BL128" s="136"/>
      <c r="BM128" s="402"/>
      <c r="BN128" s="136"/>
      <c r="BO128" s="1091"/>
      <c r="BP128" s="78"/>
      <c r="BQ128" s="199"/>
      <c r="BR128" s="199"/>
      <c r="BS128" s="199"/>
      <c r="BT128" s="199"/>
      <c r="BU128" s="199"/>
      <c r="BV128" s="199"/>
      <c r="BW128" s="199"/>
      <c r="BX128" s="199"/>
      <c r="BY128" s="199"/>
      <c r="BZ128" s="199"/>
      <c r="CA128" s="199"/>
      <c r="CB128" s="199"/>
      <c r="CC128" s="199"/>
      <c r="CD128" s="199"/>
      <c r="CE128" s="199"/>
      <c r="CF128" s="199"/>
      <c r="CG128" s="199"/>
      <c r="CH128" s="199"/>
      <c r="CI128" s="199"/>
      <c r="CJ128" s="199"/>
      <c r="CK128" s="199"/>
      <c r="CL128" s="199"/>
      <c r="CM128" s="199"/>
      <c r="CN128" s="199"/>
      <c r="CO128" s="199"/>
      <c r="CP128" s="199"/>
      <c r="CQ128" s="199"/>
      <c r="CR128" s="199"/>
      <c r="CS128" s="199"/>
      <c r="CT128" s="199"/>
      <c r="CU128" s="199"/>
      <c r="CV128" s="199"/>
      <c r="CW128" s="199"/>
      <c r="CX128" s="199"/>
      <c r="CY128" s="199"/>
      <c r="CZ128" s="199"/>
      <c r="DA128" s="199"/>
      <c r="DB128" s="199"/>
    </row>
    <row r="129" spans="2:142" ht="51.75" customHeight="1" thickBot="1" x14ac:dyDescent="0.25">
      <c r="B129" s="408"/>
      <c r="D129" s="409" t="str">
        <f>IF(BL134&gt;0," ","change the angle of frame or of cabinets")</f>
        <v xml:space="preserve"> </v>
      </c>
      <c r="E129" s="37"/>
      <c r="F129" s="37"/>
      <c r="G129" s="998"/>
      <c r="H129"/>
      <c r="I129"/>
      <c r="J129"/>
      <c r="K129"/>
      <c r="L129"/>
      <c r="M129"/>
      <c r="N129"/>
      <c r="O129" s="995"/>
      <c r="U129" s="212"/>
      <c r="V129" s="73"/>
      <c r="AB129" s="73"/>
      <c r="AC129" s="73"/>
      <c r="AD129" s="73"/>
      <c r="AE129" s="73"/>
      <c r="AF129" s="73"/>
      <c r="AG129" s="73"/>
      <c r="AH129" s="73"/>
      <c r="AI129" s="73"/>
      <c r="AJ129" s="73"/>
      <c r="AK129" s="73"/>
      <c r="AL129" s="73"/>
      <c r="AM129" s="73"/>
      <c r="AN129" s="73"/>
      <c r="AO129" s="73"/>
      <c r="AP129" s="73"/>
      <c r="AQ129" s="73"/>
      <c r="AR129" s="73"/>
      <c r="AS129" s="73"/>
      <c r="AT129" s="73"/>
      <c r="AU129" s="73"/>
      <c r="AV129" s="73"/>
      <c r="AW129" s="73"/>
      <c r="AX129" s="73"/>
      <c r="AY129" s="73"/>
      <c r="AZ129" s="73"/>
      <c r="BA129" s="73"/>
      <c r="BB129" s="73"/>
      <c r="BC129" s="126"/>
      <c r="BE129" s="136"/>
      <c r="BF129" s="136"/>
      <c r="BG129" s="136"/>
      <c r="BH129" s="136"/>
      <c r="BI129" s="136"/>
      <c r="BJ129" s="136"/>
      <c r="BK129" s="136"/>
      <c r="BL129" s="136"/>
      <c r="BM129" s="402"/>
      <c r="BN129" s="136"/>
      <c r="BO129" s="1091"/>
      <c r="BP129" s="78"/>
      <c r="BQ129" s="199"/>
      <c r="BR129" s="199"/>
      <c r="BS129" s="199"/>
      <c r="BT129" s="199"/>
      <c r="BU129" s="199"/>
      <c r="BV129" s="199"/>
      <c r="BW129" s="199"/>
      <c r="BX129" s="199"/>
      <c r="BY129" s="199"/>
      <c r="BZ129" s="199"/>
      <c r="CA129" s="199"/>
      <c r="CB129" s="199"/>
      <c r="CC129" s="199"/>
      <c r="CD129" s="199"/>
      <c r="CE129" s="199"/>
      <c r="CF129" s="199"/>
      <c r="CG129" s="199"/>
      <c r="CH129" s="199"/>
      <c r="CI129" s="199"/>
      <c r="CJ129" s="199"/>
      <c r="CK129" s="199"/>
      <c r="CL129" s="199"/>
      <c r="CM129" s="199"/>
      <c r="CN129" s="199"/>
      <c r="CO129" s="199"/>
      <c r="CP129" s="199"/>
      <c r="CQ129" s="199"/>
      <c r="CR129" s="199"/>
      <c r="CS129" s="199"/>
      <c r="CT129" s="199"/>
      <c r="CU129" s="199"/>
      <c r="CV129" s="199"/>
      <c r="CW129" s="199"/>
      <c r="CX129" s="199"/>
      <c r="CY129" s="199"/>
      <c r="CZ129" s="199"/>
      <c r="DA129" s="199"/>
      <c r="DB129" s="199"/>
    </row>
    <row r="130" spans="2:142" ht="51.75" customHeight="1" thickBot="1" x14ac:dyDescent="0.3">
      <c r="B130" s="1846" t="s">
        <v>116</v>
      </c>
      <c r="D130" s="409" t="str">
        <f>IF(DD134&lt;0," ","change the angle of frame or of cabinets")</f>
        <v xml:space="preserve"> </v>
      </c>
      <c r="E130" s="37"/>
      <c r="F130" s="37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U130" s="212"/>
      <c r="V130" s="73"/>
      <c r="AB130" s="73"/>
      <c r="AC130" s="73"/>
      <c r="AD130" s="73"/>
      <c r="AE130" s="73"/>
      <c r="AF130" s="73"/>
      <c r="AG130" s="73"/>
      <c r="AH130" s="73"/>
      <c r="AI130" s="73"/>
      <c r="AJ130" s="73"/>
      <c r="AK130" s="73"/>
      <c r="AL130" s="73"/>
      <c r="AM130" s="73"/>
      <c r="AN130" s="73"/>
      <c r="AO130" s="73"/>
      <c r="AP130" s="73"/>
      <c r="AQ130" s="73"/>
      <c r="AR130" s="73"/>
      <c r="AS130" s="73"/>
      <c r="AT130" s="73"/>
      <c r="AU130" s="73"/>
      <c r="AV130" s="73"/>
      <c r="AW130" s="73"/>
      <c r="AX130" s="73"/>
      <c r="AY130" s="73"/>
      <c r="AZ130" s="73"/>
      <c r="BA130" s="73"/>
      <c r="BB130" s="73"/>
      <c r="BC130" s="126"/>
      <c r="BE130" s="136"/>
      <c r="BF130" s="136"/>
      <c r="BG130" s="136"/>
      <c r="BH130" s="136"/>
      <c r="BI130" s="136"/>
      <c r="BJ130" s="136"/>
      <c r="BK130" s="136"/>
      <c r="BL130" s="136"/>
      <c r="BM130" s="402"/>
      <c r="BN130" s="136"/>
      <c r="BO130" s="1091"/>
      <c r="BP130" s="78"/>
      <c r="BQ130" s="199"/>
      <c r="BR130" s="199"/>
      <c r="BS130" s="199"/>
      <c r="BT130" s="199"/>
      <c r="BU130" s="199"/>
      <c r="BV130" s="199"/>
      <c r="BW130" s="199"/>
      <c r="BX130" s="199"/>
      <c r="BY130" s="199"/>
      <c r="BZ130" s="199"/>
      <c r="CA130" s="199"/>
      <c r="CB130" s="199"/>
      <c r="CC130" s="199"/>
      <c r="CD130" s="199"/>
      <c r="CE130" s="199"/>
      <c r="CF130" s="199"/>
      <c r="CG130" s="199"/>
      <c r="CH130" s="199"/>
      <c r="CI130" s="199"/>
      <c r="CJ130" s="199"/>
      <c r="CK130" s="199"/>
      <c r="CL130" s="199"/>
      <c r="CM130" s="199"/>
      <c r="CN130" s="199"/>
      <c r="CO130" s="199"/>
      <c r="CP130" s="199"/>
      <c r="CQ130" s="199"/>
      <c r="CR130" s="199"/>
      <c r="CS130" s="199"/>
      <c r="CT130" s="199"/>
      <c r="CU130" s="199"/>
      <c r="CV130" s="199"/>
      <c r="CW130" s="199"/>
      <c r="CX130" s="199"/>
      <c r="CY130" s="199"/>
      <c r="CZ130" s="199"/>
      <c r="DA130" s="199"/>
      <c r="DB130" s="199"/>
    </row>
    <row r="131" spans="2:142" ht="51.75" customHeight="1" thickBot="1" x14ac:dyDescent="0.3">
      <c r="B131" s="1847"/>
      <c r="C131" s="213"/>
      <c r="D131" s="409" t="str">
        <f>IF(BL134&gt;(+COS(($B$132*-1)*3.14159265358979/180)*451.5)," ","USE EXBAR AR AT THE FRONT")</f>
        <v xml:space="preserve"> </v>
      </c>
      <c r="E131" s="37"/>
      <c r="F131" s="37"/>
      <c r="G131" s="1014"/>
      <c r="H131" s="209"/>
      <c r="I131" s="1085">
        <f>COUNTIF(CK124:DA124,"&gt;0")</f>
        <v>1</v>
      </c>
      <c r="J131" s="1085">
        <f>COUNTIF(BQ124:CG124,"&gt;0")</f>
        <v>1</v>
      </c>
      <c r="K131" s="1085" t="b">
        <f>AND(IF(SUM(BQ126:CA126)&gt;0,1,0),IF(CP126="6  ADS ",1,0))</f>
        <v>1</v>
      </c>
      <c r="L131" s="1085" t="b">
        <f>AND(IF(SUM(CQ126:DA126)&gt;0,1,0),IF(CB126="6  ADS ",1,0))</f>
        <v>0</v>
      </c>
      <c r="M131" s="1085" t="b">
        <f>AND(IF(CP126="6  ADS ",1,0),IF(CB126="6  ADS ",1,0))</f>
        <v>0</v>
      </c>
      <c r="N131" s="209"/>
      <c r="O131" s="1015"/>
      <c r="U131" s="212"/>
      <c r="V131" s="73"/>
      <c r="AB131" s="73"/>
      <c r="AC131" s="73"/>
      <c r="AD131" s="73"/>
      <c r="AE131" s="73"/>
      <c r="AF131" s="73"/>
      <c r="AG131" s="73"/>
      <c r="AH131" s="73"/>
      <c r="AI131" s="73"/>
      <c r="AJ131" s="73"/>
      <c r="AK131" s="73"/>
      <c r="AL131" s="73"/>
      <c r="AM131" s="73"/>
      <c r="AN131" s="73"/>
      <c r="AO131" s="73"/>
      <c r="AP131" s="73"/>
      <c r="AQ131" s="73"/>
      <c r="AR131" s="73"/>
      <c r="AS131" s="73"/>
      <c r="AT131" s="73"/>
      <c r="AU131" s="73"/>
      <c r="AV131" s="73"/>
      <c r="AW131" s="73"/>
      <c r="AX131" s="73"/>
      <c r="AY131" s="73"/>
      <c r="AZ131" s="73"/>
      <c r="BA131" s="73"/>
      <c r="BB131" s="73"/>
      <c r="BC131" s="126"/>
      <c r="BE131" s="136"/>
      <c r="BF131" s="136"/>
      <c r="BG131" s="136"/>
      <c r="BH131" s="136"/>
      <c r="BI131" s="136"/>
      <c r="BJ131" s="136"/>
      <c r="BK131" s="136"/>
      <c r="BL131" s="136"/>
      <c r="BM131" s="402"/>
      <c r="BN131" s="136"/>
      <c r="BO131" s="1091"/>
      <c r="BP131" s="948"/>
      <c r="BQ131" s="199"/>
      <c r="BR131" s="199"/>
      <c r="BS131" s="199"/>
      <c r="BT131" s="199"/>
      <c r="BU131" s="199"/>
      <c r="BV131" s="199"/>
      <c r="BW131" s="199"/>
      <c r="BX131" s="199"/>
      <c r="BY131" s="199"/>
      <c r="BZ131" s="199"/>
      <c r="CA131" s="199"/>
      <c r="CB131" s="199"/>
      <c r="CC131" s="199"/>
      <c r="CD131" s="199"/>
      <c r="CE131" s="199"/>
      <c r="CF131" s="199"/>
      <c r="CG131" s="199"/>
      <c r="CH131" s="199"/>
      <c r="CI131" s="199"/>
      <c r="CJ131" s="199"/>
      <c r="CK131" s="199"/>
      <c r="CL131" s="199"/>
      <c r="CM131" s="199"/>
      <c r="CN131" s="199"/>
      <c r="CO131" s="199"/>
      <c r="CP131" s="199"/>
      <c r="CQ131" s="199"/>
      <c r="CR131" s="199"/>
      <c r="CS131" s="199"/>
      <c r="CT131" s="199"/>
      <c r="CU131" s="199"/>
      <c r="CV131" s="199"/>
      <c r="CW131" s="199"/>
      <c r="CX131" s="199"/>
      <c r="CY131" s="199"/>
      <c r="CZ131" s="199"/>
      <c r="DA131" s="199"/>
      <c r="DB131" s="199"/>
    </row>
    <row r="132" spans="2:142" ht="51.75" customHeight="1" thickBot="1" x14ac:dyDescent="0.3">
      <c r="B132" s="4">
        <v>0</v>
      </c>
      <c r="C132" s="213"/>
      <c r="D132" s="341" t="str">
        <f>IF(DD134&lt;-(+COS(($B$132*-1)*3.14159265358979/180)*365.5)," ","USE EXBAR AR AT THE BACK")</f>
        <v xml:space="preserve"> </v>
      </c>
      <c r="E132" s="37"/>
      <c r="F132" s="37"/>
      <c r="G132" s="1016"/>
      <c r="H132" s="1017"/>
      <c r="I132" s="1086">
        <f>IF(I131=2,I126,0)</f>
        <v>0</v>
      </c>
      <c r="J132" s="1086">
        <f>IF(J131=2,J126,0)</f>
        <v>0</v>
      </c>
      <c r="K132" s="1086">
        <f t="shared" ref="K132:M132" si="3">IF(K131=TRUE,K126,0)</f>
        <v>117.82032400589101</v>
      </c>
      <c r="L132" s="1086">
        <f t="shared" si="3"/>
        <v>0</v>
      </c>
      <c r="M132" s="1086">
        <f t="shared" si="3"/>
        <v>0</v>
      </c>
      <c r="N132" s="1017"/>
      <c r="O132" s="1018"/>
      <c r="U132" s="212"/>
      <c r="V132" s="73"/>
      <c r="AB132" s="73"/>
      <c r="AC132" s="73"/>
      <c r="AD132" s="73"/>
      <c r="AE132" s="73"/>
      <c r="AF132" s="73"/>
      <c r="AG132" s="73"/>
      <c r="AH132" s="73"/>
      <c r="AI132" s="73"/>
      <c r="AJ132" s="73"/>
      <c r="AK132" s="73"/>
      <c r="AL132" s="73"/>
      <c r="AM132" s="73"/>
      <c r="AN132" s="73"/>
      <c r="AO132" s="73"/>
      <c r="AP132" s="73"/>
      <c r="AQ132" s="73"/>
      <c r="AR132" s="73"/>
      <c r="AS132" s="73"/>
      <c r="AT132" s="73"/>
      <c r="AU132" s="73"/>
      <c r="AV132" s="73"/>
      <c r="AW132" s="73"/>
      <c r="AX132" s="73"/>
      <c r="AY132" s="73"/>
      <c r="AZ132" s="73"/>
      <c r="BA132" s="73"/>
      <c r="BB132" s="73"/>
      <c r="BC132" s="126"/>
      <c r="BE132" s="136"/>
      <c r="BF132" s="136"/>
      <c r="BG132" s="136"/>
      <c r="BH132" s="136"/>
      <c r="BI132" s="136"/>
      <c r="BJ132" s="136"/>
      <c r="BK132" s="136"/>
      <c r="BL132" s="136"/>
      <c r="BM132" s="402"/>
      <c r="BN132" s="136"/>
      <c r="BO132" s="1091"/>
      <c r="BP132" s="78"/>
      <c r="BQ132" s="199"/>
      <c r="BR132" s="199"/>
      <c r="BS132" s="199"/>
      <c r="BT132" s="199"/>
      <c r="BU132" s="199"/>
      <c r="BV132" s="199"/>
      <c r="BW132" s="199"/>
      <c r="BX132" s="199"/>
      <c r="BY132" s="199"/>
      <c r="BZ132" s="199"/>
      <c r="CA132" s="199"/>
      <c r="CB132" s="199"/>
      <c r="CC132" s="199"/>
      <c r="CD132" s="199"/>
      <c r="CE132" s="199"/>
      <c r="CF132" s="199"/>
      <c r="CG132" s="199"/>
      <c r="CH132" s="199"/>
      <c r="CI132" s="199"/>
      <c r="CJ132" s="199"/>
      <c r="CK132" s="199"/>
      <c r="CL132" s="199"/>
      <c r="CM132" s="199"/>
      <c r="CN132" s="199"/>
      <c r="CO132" s="199"/>
      <c r="CP132" s="199"/>
      <c r="CQ132" s="199"/>
      <c r="CR132" s="199"/>
      <c r="CS132" s="199"/>
      <c r="CT132" s="199"/>
      <c r="CU132" s="199"/>
      <c r="CV132" s="199"/>
      <c r="CW132" s="199"/>
      <c r="CX132" s="199"/>
      <c r="CY132" s="199"/>
      <c r="CZ132" s="199"/>
      <c r="DA132" s="199"/>
      <c r="DB132" s="199"/>
    </row>
    <row r="133" spans="2:142" ht="21" thickBot="1" x14ac:dyDescent="0.25">
      <c r="D133" s="37"/>
      <c r="E133" s="37"/>
      <c r="F133" s="37"/>
      <c r="G133" s="37"/>
      <c r="U133" s="212"/>
      <c r="V133" s="73"/>
      <c r="AB133" s="73"/>
      <c r="AC133" s="73"/>
      <c r="AD133" s="73"/>
      <c r="AE133" s="73"/>
      <c r="AF133" s="73"/>
      <c r="AG133" s="73"/>
      <c r="AH133" s="73"/>
      <c r="AI133" s="73"/>
      <c r="AJ133" s="73"/>
      <c r="AK133" s="73"/>
      <c r="AL133" s="73"/>
      <c r="AM133" s="73"/>
      <c r="AN133" s="73"/>
      <c r="AO133" s="73"/>
      <c r="AP133" s="73"/>
      <c r="AQ133" s="73"/>
      <c r="AR133" s="73"/>
      <c r="AS133" s="73"/>
      <c r="AT133" s="73"/>
      <c r="AU133" s="73"/>
      <c r="AV133" s="73"/>
      <c r="AW133" s="73"/>
      <c r="AX133" s="73"/>
      <c r="AY133" s="73"/>
      <c r="AZ133" s="73"/>
      <c r="BA133" s="73"/>
      <c r="BB133" s="73"/>
      <c r="BC133" s="126"/>
      <c r="BE133" s="136"/>
      <c r="BF133" s="136"/>
      <c r="BG133" s="136"/>
      <c r="BH133" s="136"/>
      <c r="BI133" s="136"/>
      <c r="BJ133" s="136"/>
      <c r="BK133" s="136"/>
      <c r="BL133" s="1579" t="s">
        <v>59</v>
      </c>
      <c r="BM133" s="402"/>
      <c r="BN133" s="136"/>
      <c r="BO133" s="1091"/>
      <c r="BP133" s="78"/>
      <c r="BQ133" s="199"/>
      <c r="BR133" s="199"/>
      <c r="BS133" s="199"/>
      <c r="BT133" s="199"/>
      <c r="BU133" s="199"/>
      <c r="BV133" s="199"/>
      <c r="BW133" s="199"/>
      <c r="BX133" s="199"/>
      <c r="BY133" s="199"/>
      <c r="BZ133" s="199"/>
      <c r="CA133" s="199"/>
      <c r="CB133" s="199"/>
      <c r="CC133" s="199"/>
      <c r="CD133" s="199"/>
      <c r="CE133" s="199"/>
      <c r="CF133" s="199"/>
      <c r="CG133" s="199"/>
      <c r="CH133" s="199"/>
      <c r="CI133" s="199"/>
      <c r="CJ133" s="199"/>
      <c r="CK133" s="199"/>
      <c r="CL133" s="199"/>
      <c r="CM133" s="199"/>
      <c r="CN133" s="199"/>
      <c r="CO133" s="199"/>
      <c r="CP133" s="199"/>
      <c r="CQ133" s="199"/>
      <c r="CR133" s="199"/>
      <c r="CS133" s="199"/>
      <c r="CT133" s="199"/>
      <c r="CU133" s="199"/>
      <c r="CV133" s="199"/>
      <c r="CW133" s="199"/>
      <c r="CX133" s="199"/>
      <c r="CY133" s="199"/>
      <c r="CZ133" s="199"/>
      <c r="DA133" s="199"/>
      <c r="DB133" s="199"/>
      <c r="DD133" s="1579" t="s">
        <v>58</v>
      </c>
    </row>
    <row r="134" spans="2:142" ht="41.25" hidden="1" customHeight="1" thickBot="1" x14ac:dyDescent="0.35">
      <c r="B134"/>
      <c r="D134" s="543"/>
      <c r="E134" s="543"/>
      <c r="F134" s="543"/>
      <c r="G134" s="543"/>
      <c r="V134" s="437"/>
      <c r="W134" s="437"/>
      <c r="X134" s="437"/>
      <c r="Y134" s="437"/>
      <c r="Z134" s="437"/>
      <c r="AA134" s="437"/>
      <c r="AB134" s="1585"/>
      <c r="AC134" s="1585"/>
      <c r="AD134" s="1585"/>
      <c r="AE134" s="1585"/>
      <c r="AF134" s="437"/>
      <c r="AG134" s="437"/>
      <c r="AH134" s="546"/>
      <c r="AI134" s="547"/>
      <c r="AJ134" s="543"/>
      <c r="AK134" s="415"/>
      <c r="AL134" s="292"/>
      <c r="AM134" s="543"/>
      <c r="AN134" s="415"/>
      <c r="AO134" s="292"/>
      <c r="AP134" s="445"/>
      <c r="AQ134" s="292"/>
      <c r="AR134" s="445"/>
      <c r="AS134" s="445"/>
      <c r="AT134" s="445"/>
      <c r="AU134" s="445"/>
      <c r="AV134" s="445"/>
      <c r="AW134" s="445"/>
      <c r="AX134" s="445"/>
      <c r="AY134" s="1586"/>
      <c r="AZ134" s="1586"/>
      <c r="BA134" s="1586"/>
      <c r="BB134" s="1586"/>
      <c r="BD134" s="545"/>
      <c r="BL134" s="1579">
        <f>-+BI227</f>
        <v>689.06260094548247</v>
      </c>
      <c r="BM134" s="214"/>
      <c r="BN134" s="214"/>
      <c r="BO134" s="214"/>
      <c r="DD134" s="1579">
        <f>+-BI263</f>
        <v>-858.93739905451753</v>
      </c>
    </row>
    <row r="135" spans="2:142" ht="47.25" hidden="1" customHeight="1" thickBot="1" x14ac:dyDescent="0.35">
      <c r="B135"/>
      <c r="C135"/>
      <c r="D135" s="543"/>
      <c r="E135" s="543"/>
      <c r="F135" s="543"/>
      <c r="G135" s="543"/>
      <c r="V135" s="437"/>
      <c r="W135" s="437"/>
      <c r="X135" s="437"/>
      <c r="Y135" s="437"/>
      <c r="Z135" s="437"/>
      <c r="AA135" s="437"/>
      <c r="AB135" s="1585"/>
      <c r="AC135" s="1585"/>
      <c r="AD135" s="1585"/>
      <c r="AE135" s="1585"/>
      <c r="AF135" s="437"/>
      <c r="AG135" s="437"/>
      <c r="AH135" s="437"/>
      <c r="AI135" s="437"/>
      <c r="AJ135" s="543"/>
      <c r="AK135" s="415"/>
      <c r="AL135" s="292"/>
      <c r="AM135" s="543"/>
      <c r="AN135" s="415"/>
      <c r="AO135" s="292"/>
      <c r="AP135" s="445"/>
      <c r="AQ135" s="292"/>
      <c r="AR135" s="445"/>
      <c r="AS135" s="445"/>
      <c r="AT135" s="445"/>
      <c r="AU135" s="445"/>
      <c r="AV135" s="445"/>
      <c r="AW135" s="445"/>
      <c r="AX135" s="445"/>
      <c r="AY135" s="1586"/>
      <c r="AZ135" s="1586"/>
      <c r="BA135" s="1586"/>
      <c r="BB135" s="1586"/>
      <c r="BD135" s="545"/>
      <c r="BM135" s="214"/>
      <c r="BN135" s="214"/>
      <c r="BO135" s="214"/>
    </row>
    <row r="136" spans="2:142" ht="86" hidden="1" x14ac:dyDescent="0.3">
      <c r="B136"/>
      <c r="D136" s="543"/>
      <c r="E136" s="543"/>
      <c r="F136" s="543"/>
      <c r="G136" s="543"/>
      <c r="V136" s="437"/>
      <c r="W136" s="437"/>
      <c r="X136" s="437"/>
      <c r="Y136" s="437"/>
      <c r="Z136" s="437"/>
      <c r="AA136" s="437"/>
      <c r="AB136" s="1585"/>
      <c r="AC136" s="1585"/>
      <c r="AD136" s="1585"/>
      <c r="AE136" s="1585"/>
      <c r="AF136" s="437"/>
      <c r="AG136" s="437"/>
      <c r="AH136" s="437"/>
      <c r="AI136" s="437"/>
      <c r="AJ136" s="543"/>
      <c r="AK136" s="415"/>
      <c r="AL136" s="797" t="s">
        <v>174</v>
      </c>
      <c r="AM136" s="794"/>
      <c r="AN136" s="794"/>
      <c r="AO136" s="794"/>
      <c r="AP136" s="876" t="s">
        <v>178</v>
      </c>
      <c r="AQ136" s="292"/>
      <c r="AR136" s="445"/>
      <c r="AS136" s="445"/>
      <c r="AT136" s="445"/>
      <c r="AU136" s="445"/>
      <c r="AV136" s="445"/>
      <c r="AW136" s="445"/>
      <c r="AX136" s="445"/>
      <c r="AY136" s="1586"/>
      <c r="AZ136" s="1586"/>
      <c r="BA136" s="1586"/>
      <c r="BB136" s="1586"/>
      <c r="BD136" s="545"/>
      <c r="BM136" s="214"/>
      <c r="BN136" s="214"/>
      <c r="BO136" s="214"/>
    </row>
    <row r="137" spans="2:142" ht="59.25" hidden="1" customHeight="1" thickBot="1" x14ac:dyDescent="0.35">
      <c r="D137" s="543"/>
      <c r="E137" s="543"/>
      <c r="F137" s="543"/>
      <c r="G137" s="543"/>
      <c r="V137" s="437"/>
      <c r="W137" s="437"/>
      <c r="X137" s="437"/>
      <c r="Y137" s="437"/>
      <c r="Z137" s="437"/>
      <c r="AA137" s="437"/>
      <c r="AB137" s="1585"/>
      <c r="AC137" s="1585"/>
      <c r="AD137" s="1585"/>
      <c r="AE137" s="1585"/>
      <c r="AF137" s="437"/>
      <c r="AG137" s="437"/>
      <c r="AH137" s="437"/>
      <c r="AI137" s="437"/>
      <c r="AJ137" s="543"/>
      <c r="AK137" s="415"/>
      <c r="AL137" s="877" t="s">
        <v>175</v>
      </c>
      <c r="AM137" s="797" t="s">
        <v>176</v>
      </c>
      <c r="AN137" s="797" t="s">
        <v>177</v>
      </c>
      <c r="AO137" s="798" t="s">
        <v>181</v>
      </c>
      <c r="AP137" s="799" t="s">
        <v>179</v>
      </c>
      <c r="AQ137" s="292"/>
      <c r="AR137" s="445"/>
      <c r="AS137" s="445"/>
      <c r="AT137" s="445"/>
      <c r="AU137" s="445"/>
      <c r="AV137" s="445"/>
      <c r="AW137" s="445"/>
      <c r="AX137" s="445"/>
      <c r="AY137" s="1586"/>
      <c r="AZ137" s="1586"/>
      <c r="BA137" s="1586"/>
      <c r="BB137" s="1586"/>
      <c r="BD137" s="545"/>
      <c r="BM137" s="214"/>
      <c r="BN137" s="214"/>
      <c r="BO137" s="214"/>
    </row>
    <row r="138" spans="2:142" ht="77.25" customHeight="1" thickBot="1" x14ac:dyDescent="0.35">
      <c r="B138" s="345" t="s">
        <v>118</v>
      </c>
      <c r="C138" s="412"/>
      <c r="D138" s="37"/>
      <c r="E138" s="37"/>
      <c r="F138" s="37"/>
      <c r="G138" s="37"/>
      <c r="T138" s="73"/>
      <c r="AL138" s="877">
        <v>6.8623010000000004</v>
      </c>
      <c r="AM138" s="797">
        <f>+$B$132-AL138</f>
        <v>-6.8623010000000004</v>
      </c>
      <c r="AN138" s="800">
        <f>COS(AM138*3.14159265358979/180)</f>
        <v>0.99283617366519983</v>
      </c>
      <c r="AO138" s="793">
        <f>+AN138*378.71303</f>
        <v>375.99999562235405</v>
      </c>
      <c r="AP138" s="1587">
        <f>+((AP142*AR142)+(AO138*31))/(AR142+31)</f>
        <v>263.5626146480854</v>
      </c>
      <c r="BD138" s="136"/>
      <c r="BM138" s="214"/>
      <c r="BN138" s="214"/>
      <c r="BO138" s="214"/>
      <c r="EK138" s="78"/>
      <c r="EL138" s="78"/>
    </row>
    <row r="139" spans="2:142" ht="39" customHeight="1" thickBot="1" x14ac:dyDescent="0.35">
      <c r="B139" s="27">
        <v>1</v>
      </c>
      <c r="C139" s="216"/>
      <c r="D139" s="549" t="s">
        <v>117</v>
      </c>
      <c r="E139" s="330"/>
      <c r="F139" s="330"/>
      <c r="G139" s="330"/>
      <c r="T139" s="1588"/>
      <c r="W139" s="1850" t="s">
        <v>93</v>
      </c>
      <c r="X139" s="1850"/>
      <c r="Y139" s="1850"/>
      <c r="Z139" s="1850"/>
      <c r="AA139" s="1850"/>
      <c r="AZ139" s="415"/>
      <c r="BA139" s="1848" t="s">
        <v>52</v>
      </c>
      <c r="BB139" s="1849"/>
      <c r="BD139" s="136"/>
      <c r="BM139" s="214"/>
      <c r="BN139" s="214"/>
      <c r="BO139" s="214"/>
      <c r="EK139" s="78"/>
      <c r="EL139" s="78"/>
    </row>
    <row r="140" spans="2:142" ht="88" hidden="1" thickBot="1" x14ac:dyDescent="0.35">
      <c r="C140" s="416"/>
      <c r="D140" s="550" t="s">
        <v>13</v>
      </c>
      <c r="H140" s="356" t="s">
        <v>4</v>
      </c>
      <c r="I140" s="356" t="s">
        <v>1</v>
      </c>
      <c r="J140" s="377" t="s">
        <v>282</v>
      </c>
      <c r="K140" s="316" t="s">
        <v>2</v>
      </c>
      <c r="L140" s="316" t="s">
        <v>3</v>
      </c>
      <c r="M140" s="316" t="s">
        <v>8</v>
      </c>
      <c r="N140" s="316" t="s">
        <v>5</v>
      </c>
      <c r="O140" s="316" t="s">
        <v>6</v>
      </c>
      <c r="P140" s="316" t="s">
        <v>7</v>
      </c>
      <c r="Q140" s="316" t="s">
        <v>9</v>
      </c>
      <c r="R140" s="356" t="s">
        <v>10</v>
      </c>
      <c r="S140" s="316" t="s">
        <v>11</v>
      </c>
      <c r="T140" s="418" t="s">
        <v>12</v>
      </c>
      <c r="W140" s="356" t="s">
        <v>140</v>
      </c>
      <c r="X140" s="316" t="s">
        <v>94</v>
      </c>
      <c r="Y140" s="356" t="s">
        <v>141</v>
      </c>
      <c r="Z140" s="419" t="s">
        <v>95</v>
      </c>
      <c r="AA140" s="419" t="s">
        <v>96</v>
      </c>
      <c r="AC140" s="316" t="s">
        <v>99</v>
      </c>
      <c r="AD140" s="316"/>
      <c r="AE140" s="316"/>
      <c r="AF140" s="420"/>
      <c r="AG140" s="420"/>
      <c r="AH140" s="420"/>
      <c r="AI140" s="420"/>
      <c r="AJ140" s="420"/>
      <c r="AK140" s="420"/>
      <c r="AL140" s="420"/>
      <c r="AM140" s="420"/>
      <c r="AN140" s="420"/>
      <c r="AO140" s="420"/>
      <c r="AP140" s="420" t="s">
        <v>283</v>
      </c>
      <c r="AQ140" s="1589" t="s">
        <v>284</v>
      </c>
      <c r="AR140" s="420" t="s">
        <v>283</v>
      </c>
      <c r="AS140" s="420"/>
      <c r="AT140" s="420"/>
      <c r="AU140" s="420" t="s">
        <v>283</v>
      </c>
      <c r="AV140" s="420"/>
      <c r="AW140" s="420"/>
      <c r="AX140" s="420"/>
      <c r="AY140" s="415"/>
      <c r="AZ140" s="415"/>
      <c r="BA140" s="420"/>
      <c r="BB140" s="420"/>
      <c r="BC140" s="231"/>
      <c r="BD140" s="136"/>
      <c r="BM140" s="214"/>
      <c r="BN140" s="214"/>
      <c r="BO140" s="214"/>
      <c r="EK140" s="78"/>
      <c r="EL140" s="78"/>
    </row>
    <row r="141" spans="2:142" ht="42" customHeight="1" thickBot="1" x14ac:dyDescent="0.35">
      <c r="B141" s="421"/>
      <c r="C141" s="422"/>
      <c r="D141" s="551" t="s">
        <v>22</v>
      </c>
      <c r="E141" s="37"/>
      <c r="F141" s="330"/>
      <c r="G141" s="240"/>
      <c r="H141" s="356"/>
      <c r="I141" s="356"/>
      <c r="J141" s="377"/>
      <c r="K141" s="316"/>
      <c r="L141" s="316"/>
      <c r="M141" s="316"/>
      <c r="N141" s="316"/>
      <c r="O141" s="316"/>
      <c r="P141" s="316"/>
      <c r="Q141" s="316"/>
      <c r="R141" s="356"/>
      <c r="S141" s="316"/>
      <c r="T141" s="418"/>
      <c r="V141" s="420"/>
      <c r="W141" s="420"/>
      <c r="X141" s="420"/>
      <c r="Y141" s="420"/>
      <c r="Z141" s="420"/>
      <c r="AA141" s="420"/>
      <c r="AB141" s="420"/>
      <c r="AC141" s="423">
        <f>SUM(AC142:AC161)</f>
        <v>213.83080000000001</v>
      </c>
      <c r="AD141" s="424"/>
      <c r="AE141" s="424"/>
      <c r="AF141" s="420" t="s">
        <v>38</v>
      </c>
      <c r="AH141" s="1590" t="s">
        <v>31</v>
      </c>
      <c r="AI141" s="48"/>
      <c r="AJ141" s="1591" t="s">
        <v>120</v>
      </c>
      <c r="AK141" s="426" t="s">
        <v>32</v>
      </c>
      <c r="AL141" s="1592" t="s">
        <v>142</v>
      </c>
      <c r="AM141" s="1591" t="s">
        <v>121</v>
      </c>
      <c r="AN141" s="427" t="s">
        <v>34</v>
      </c>
      <c r="AO141" s="1592" t="s">
        <v>143</v>
      </c>
      <c r="AP141" s="428" t="s">
        <v>48</v>
      </c>
      <c r="AQ141" s="1593" t="s">
        <v>285</v>
      </c>
      <c r="AR141" s="428" t="s">
        <v>286</v>
      </c>
      <c r="AS141" s="420" t="s">
        <v>46</v>
      </c>
      <c r="AT141" s="420" t="s">
        <v>39</v>
      </c>
      <c r="AU141" s="428" t="s">
        <v>71</v>
      </c>
      <c r="AV141" s="553"/>
      <c r="AW141" s="1594" t="s">
        <v>41</v>
      </c>
      <c r="AX141" s="1594" t="s">
        <v>42</v>
      </c>
      <c r="AY141" s="430" t="s">
        <v>23</v>
      </c>
      <c r="AZ141" s="430" t="s">
        <v>24</v>
      </c>
      <c r="BA141" s="431" t="s">
        <v>23</v>
      </c>
      <c r="BB141" s="431" t="s">
        <v>24</v>
      </c>
      <c r="BD141" s="136"/>
      <c r="BM141" s="214"/>
      <c r="BN141" s="214"/>
      <c r="BO141" s="214"/>
      <c r="EK141" s="78"/>
      <c r="EL141" s="78"/>
    </row>
    <row r="142" spans="2:142" ht="23" thickBot="1" x14ac:dyDescent="0.35">
      <c r="B142" s="255">
        <v>1</v>
      </c>
      <c r="C142" s="256">
        <f>+(B132*-1)+D142</f>
        <v>0</v>
      </c>
      <c r="D142" s="25">
        <v>0</v>
      </c>
      <c r="E142" s="257" t="s">
        <v>119</v>
      </c>
      <c r="F142" s="258"/>
      <c r="G142" s="258"/>
      <c r="H142" s="1632">
        <v>279.06049999999999</v>
      </c>
      <c r="I142" s="1633">
        <v>79.962900599999998</v>
      </c>
      <c r="J142" s="474">
        <f>+I142-C142</f>
        <v>79.962900599999998</v>
      </c>
      <c r="K142" s="474">
        <f t="shared" ref="K142:K161" si="4">+J142/2</f>
        <v>39.981450299999999</v>
      </c>
      <c r="L142" s="474">
        <f t="shared" ref="L142:L161" si="5">SIN(K142*3.14159265358979/180)</f>
        <v>0.64253956655634092</v>
      </c>
      <c r="M142" s="474">
        <f t="shared" ref="M142:M161" si="6">+L142*H142</f>
        <v>179.30741271299578</v>
      </c>
      <c r="N142" s="474">
        <f t="shared" ref="N142:N161" si="7">+M142*2</f>
        <v>358.61482542599157</v>
      </c>
      <c r="O142" s="474">
        <f>+C142/2</f>
        <v>0</v>
      </c>
      <c r="P142" s="474">
        <f t="shared" ref="P142:P161" si="8">SIN(O142*3.14159265358979/180)</f>
        <v>0</v>
      </c>
      <c r="Q142" s="474">
        <f t="shared" ref="Q142:Q161" si="9">+P142*N142</f>
        <v>0</v>
      </c>
      <c r="R142" s="1634">
        <v>213.83080000000001</v>
      </c>
      <c r="S142" s="474">
        <f>+R142+Q142</f>
        <v>213.83080000000001</v>
      </c>
      <c r="T142" s="476">
        <f t="shared" ref="T142:T161" si="10">+S142</f>
        <v>213.83080000000001</v>
      </c>
      <c r="V142" s="1635">
        <f t="shared" ref="V142:V161" si="11">IF(B142&lt;($B$139+1),T142,0)</f>
        <v>213.83080000000001</v>
      </c>
      <c r="W142" s="437">
        <v>39.981450000000002</v>
      </c>
      <c r="X142" s="437">
        <f>+W142+AI163</f>
        <v>39.981450000000002</v>
      </c>
      <c r="Y142" s="437">
        <v>279.06049999999999</v>
      </c>
      <c r="Z142" s="437">
        <f>+COS(X142*3.14159265358979/180)*Y142</f>
        <v>213.83080883710866</v>
      </c>
      <c r="AA142" s="437">
        <f>+AC141-Z142</f>
        <v>-8.8371086519600794E-6</v>
      </c>
      <c r="AB142" s="258" t="str">
        <f>IF(AZ142&lt;0,"use the locking pin"," ")</f>
        <v xml:space="preserve"> </v>
      </c>
      <c r="AC142" s="1636">
        <f>IF(AD142=1,AF142)</f>
        <v>213.83080000000001</v>
      </c>
      <c r="AD142" s="1636">
        <f>MAX(AE$142:AE$161)</f>
        <v>1</v>
      </c>
      <c r="AE142" s="1636">
        <f>IF(V142=0,0,1)</f>
        <v>1</v>
      </c>
      <c r="AF142" s="1637">
        <f>SUM(V142:V161)/($B$139)</f>
        <v>213.83080000000001</v>
      </c>
      <c r="AG142" s="1638"/>
      <c r="AH142" s="450">
        <f>C142</f>
        <v>0</v>
      </c>
      <c r="AI142" s="1639">
        <f t="shared" ref="AI142:AI161" si="12">IF(B142&lt;($B$139+1),AH142)</f>
        <v>0</v>
      </c>
      <c r="AJ142" s="718">
        <f>66.2555484-AH142</f>
        <v>66.255548399999995</v>
      </c>
      <c r="AK142" s="1639">
        <f>SIN(AJ142*3.14159265358979/180)</f>
        <v>0.91535047595051022</v>
      </c>
      <c r="AL142" s="1639">
        <f>+AK142*304.3209</f>
        <v>278.56028065668761</v>
      </c>
      <c r="AM142" s="1640">
        <f>50.0185497+AH142</f>
        <v>50.018549700000001</v>
      </c>
      <c r="AN142" s="1639">
        <f>SIN(AM142*3.14159265358979/180)</f>
        <v>0.76625250760411079</v>
      </c>
      <c r="AO142" s="1641">
        <f>+AN142*279.0605</f>
        <v>213.83080789825695</v>
      </c>
      <c r="AP142" s="439">
        <f>+((AF142*AQ142)+($AG$174*$AQ$174))/AR142</f>
        <v>213.62624200908357</v>
      </c>
      <c r="AQ142" s="444">
        <f>$C$10*B139</f>
        <v>40.5</v>
      </c>
      <c r="AR142" s="444">
        <f>+AQ142+$AQ$174</f>
        <v>69.8</v>
      </c>
      <c r="AS142" s="445">
        <f>+AO142+AL142</f>
        <v>492.39108855494453</v>
      </c>
      <c r="AT142" s="445">
        <f>+V142-AO142</f>
        <v>-7.8982569391428115E-6</v>
      </c>
      <c r="AU142" s="445">
        <f>+AP142-AT142</f>
        <v>213.62624990734051</v>
      </c>
      <c r="AV142" s="447"/>
      <c r="AW142" s="447">
        <f>+((AS142-AU142)/AS142)*AR142</f>
        <v>39.516933165275027</v>
      </c>
      <c r="AX142" s="1597">
        <f>+(AU142/AS142)*AR142</f>
        <v>30.28306683472497</v>
      </c>
      <c r="AY142" s="1597">
        <f>2*$C$21/AW142</f>
        <v>293.54504691657962</v>
      </c>
      <c r="AZ142" s="1642">
        <f>2*$D$21/AX142</f>
        <v>383.05235276562274</v>
      </c>
      <c r="BA142" s="274">
        <f>ABS(AY142)</f>
        <v>293.54504691657962</v>
      </c>
      <c r="BB142" s="275">
        <f>ABS(AZ142)</f>
        <v>383.05235276562274</v>
      </c>
      <c r="BC142" s="91"/>
      <c r="BD142" s="136"/>
      <c r="BM142" s="214"/>
      <c r="BN142" s="214"/>
      <c r="BO142" s="214"/>
      <c r="EK142" s="78"/>
      <c r="EL142" s="78"/>
    </row>
    <row r="143" spans="2:142" ht="23" thickBot="1" x14ac:dyDescent="0.35">
      <c r="B143" s="277">
        <v>2</v>
      </c>
      <c r="C143" s="278"/>
      <c r="D143" s="25">
        <v>0</v>
      </c>
      <c r="E143" s="257" t="s">
        <v>130</v>
      </c>
      <c r="F143" s="258"/>
      <c r="G143" s="258"/>
      <c r="H143" s="1632">
        <v>279.06049999999999</v>
      </c>
      <c r="I143" s="1633">
        <v>79.962900599999998</v>
      </c>
      <c r="J143" s="474">
        <f>+I143-D143</f>
        <v>79.962900599999998</v>
      </c>
      <c r="K143" s="474">
        <f t="shared" si="4"/>
        <v>39.981450299999999</v>
      </c>
      <c r="L143" s="474">
        <f t="shared" si="5"/>
        <v>0.64253956655634092</v>
      </c>
      <c r="M143" s="474">
        <f t="shared" si="6"/>
        <v>179.30741271299578</v>
      </c>
      <c r="N143" s="474">
        <f t="shared" si="7"/>
        <v>358.61482542599157</v>
      </c>
      <c r="O143" s="474">
        <f>+C142+(D143/2)</f>
        <v>0</v>
      </c>
      <c r="P143" s="474">
        <f t="shared" si="8"/>
        <v>0</v>
      </c>
      <c r="Q143" s="474">
        <f t="shared" si="9"/>
        <v>0</v>
      </c>
      <c r="R143" s="474">
        <f t="shared" ref="R143:R161" si="13">+T142</f>
        <v>213.83080000000001</v>
      </c>
      <c r="S143" s="474">
        <f>+R143+Q143</f>
        <v>213.83080000000001</v>
      </c>
      <c r="T143" s="476">
        <f t="shared" si="10"/>
        <v>213.83080000000001</v>
      </c>
      <c r="V143" s="1635">
        <f t="shared" si="11"/>
        <v>0</v>
      </c>
      <c r="W143" s="437"/>
      <c r="X143" s="437"/>
      <c r="Y143" s="437"/>
      <c r="Z143" s="437"/>
      <c r="AA143" s="437"/>
      <c r="AB143" s="280" t="e">
        <f t="shared" ref="AB143:AB161" si="14">IF(AZ143&lt;0,"use the locking pin"," ")</f>
        <v>#DIV/0!</v>
      </c>
      <c r="AC143" s="1636" t="b">
        <f>IF(AD143=2,AF143)</f>
        <v>0</v>
      </c>
      <c r="AD143" s="1636">
        <f t="shared" ref="AD143:AD161" si="15">MAX(AE$142:AE$161)</f>
        <v>1</v>
      </c>
      <c r="AE143" s="1636">
        <f>IF(V143=0,0,2)</f>
        <v>0</v>
      </c>
      <c r="AF143" s="1637" t="e">
        <f>SUM(V143:V161)/($B$139-B142)</f>
        <v>#DIV/0!</v>
      </c>
      <c r="AG143" s="1638"/>
      <c r="AH143" s="450">
        <f>SUM(D143)+$C$142</f>
        <v>0</v>
      </c>
      <c r="AI143" s="1639" t="b">
        <f t="shared" si="12"/>
        <v>0</v>
      </c>
      <c r="AJ143" s="718">
        <f t="shared" ref="AJ143:AJ161" si="16">66.2555484-AH143</f>
        <v>66.255548399999995</v>
      </c>
      <c r="AK143" s="1639">
        <f>SIN(AJ143*3.14159265358979/180)</f>
        <v>0.91535047595051022</v>
      </c>
      <c r="AL143" s="1639">
        <f t="shared" ref="AL143:AL161" si="17">+AK143*304.3209</f>
        <v>278.56028065668761</v>
      </c>
      <c r="AM143" s="1640">
        <f t="shared" ref="AM143:AM161" si="18">50.0185497+AH143</f>
        <v>50.018549700000001</v>
      </c>
      <c r="AN143" s="1639">
        <f t="shared" ref="AN143:AN161" si="19">SIN(AM143*3.14159265358979/180)</f>
        <v>0.76625250760411079</v>
      </c>
      <c r="AO143" s="1641">
        <f t="shared" ref="AO143:AO161" si="20">+AN143*279.0605</f>
        <v>213.83080789825695</v>
      </c>
      <c r="AP143" s="287" t="e">
        <f t="shared" ref="AP143:AP161" si="21">+((AF143*AQ143)+($AG$174*$AQ$174))/AR143</f>
        <v>#DIV/0!</v>
      </c>
      <c r="AQ143" s="444">
        <f>$C$10*($B$139-B142)</f>
        <v>0</v>
      </c>
      <c r="AR143" s="444">
        <f>+AQ143+$AQ$174</f>
        <v>29.3</v>
      </c>
      <c r="AS143" s="445">
        <f t="shared" ref="AS143:AS161" si="22">+AO143+AL143</f>
        <v>492.39108855494453</v>
      </c>
      <c r="AT143" s="445">
        <f t="shared" ref="AT143:AT161" si="23">+V143-AO143</f>
        <v>-213.83080789825695</v>
      </c>
      <c r="AU143" s="445" t="e">
        <f t="shared" ref="AU143:AU161" si="24">+AP143-AT143</f>
        <v>#DIV/0!</v>
      </c>
      <c r="AV143" s="447"/>
      <c r="AW143" s="447" t="e">
        <f t="shared" ref="AW143:AW161" si="25">+((AS143-AU143)/AS143)*AR143</f>
        <v>#DIV/0!</v>
      </c>
      <c r="AX143" s="1597" t="e">
        <f t="shared" ref="AX143:AX161" si="26">+(AU143/AS143)*AR143</f>
        <v>#DIV/0!</v>
      </c>
      <c r="AY143" s="1597" t="e">
        <f t="shared" ref="AY143:AY161" si="27">2*$C$21/AW143</f>
        <v>#DIV/0!</v>
      </c>
      <c r="AZ143" s="1642" t="e">
        <f t="shared" ref="AZ143:AZ161" si="28">2*$D$21/AX143</f>
        <v>#DIV/0!</v>
      </c>
      <c r="BA143" s="274" t="e">
        <f>ABS(AY143)</f>
        <v>#DIV/0!</v>
      </c>
      <c r="BB143" s="294" t="e">
        <f>ABS(AZ143)</f>
        <v>#DIV/0!</v>
      </c>
      <c r="BD143" s="136"/>
      <c r="BM143" s="214"/>
      <c r="BN143" s="214"/>
      <c r="BO143" s="214"/>
      <c r="EK143" s="78"/>
      <c r="EL143" s="78"/>
    </row>
    <row r="144" spans="2:142" ht="23" thickBot="1" x14ac:dyDescent="0.35">
      <c r="B144" s="277">
        <v>3</v>
      </c>
      <c r="C144" s="278"/>
      <c r="D144" s="25">
        <v>0</v>
      </c>
      <c r="E144" s="257" t="s">
        <v>130</v>
      </c>
      <c r="F144" s="258"/>
      <c r="G144" s="258"/>
      <c r="H144" s="1632">
        <v>279.06049999999999</v>
      </c>
      <c r="I144" s="1633">
        <v>79.962900599999998</v>
      </c>
      <c r="J144" s="474">
        <f t="shared" ref="J144:J161" si="29">+I144-D144</f>
        <v>79.962900599999998</v>
      </c>
      <c r="K144" s="474">
        <f t="shared" si="4"/>
        <v>39.981450299999999</v>
      </c>
      <c r="L144" s="474">
        <f t="shared" si="5"/>
        <v>0.64253956655634092</v>
      </c>
      <c r="M144" s="474">
        <f t="shared" si="6"/>
        <v>179.30741271299578</v>
      </c>
      <c r="N144" s="474">
        <f t="shared" si="7"/>
        <v>358.61482542599157</v>
      </c>
      <c r="O144" s="474">
        <f>+C142+D143+(D144/2)</f>
        <v>0</v>
      </c>
      <c r="P144" s="474">
        <f t="shared" si="8"/>
        <v>0</v>
      </c>
      <c r="Q144" s="474">
        <f t="shared" si="9"/>
        <v>0</v>
      </c>
      <c r="R144" s="474">
        <f t="shared" si="13"/>
        <v>213.83080000000001</v>
      </c>
      <c r="S144" s="474">
        <f t="shared" ref="S144:S161" si="30">+R144+Q144</f>
        <v>213.83080000000001</v>
      </c>
      <c r="T144" s="476">
        <f t="shared" si="10"/>
        <v>213.83080000000001</v>
      </c>
      <c r="V144" s="1635">
        <f t="shared" si="11"/>
        <v>0</v>
      </c>
      <c r="W144" s="437"/>
      <c r="X144" s="437"/>
      <c r="Y144" s="437"/>
      <c r="Z144" s="437"/>
      <c r="AA144" s="437"/>
      <c r="AB144" s="295" t="str">
        <f t="shared" si="14"/>
        <v xml:space="preserve"> </v>
      </c>
      <c r="AC144" s="1636" t="b">
        <f>IF(AD144=3,AF144)</f>
        <v>0</v>
      </c>
      <c r="AD144" s="1636">
        <f t="shared" si="15"/>
        <v>1</v>
      </c>
      <c r="AE144" s="1636">
        <f>IF(V144=0,0,3)</f>
        <v>0</v>
      </c>
      <c r="AF144" s="1637">
        <f>SUM(V144:V161)/($B$139-B143)</f>
        <v>0</v>
      </c>
      <c r="AG144" s="1638"/>
      <c r="AH144" s="450">
        <f>SUM(D143:D144)+$C$142</f>
        <v>0</v>
      </c>
      <c r="AI144" s="1639" t="b">
        <f t="shared" si="12"/>
        <v>0</v>
      </c>
      <c r="AJ144" s="718">
        <f t="shared" si="16"/>
        <v>66.255548399999995</v>
      </c>
      <c r="AK144" s="1639">
        <f t="shared" ref="AK144:AK161" si="31">SIN(AJ144*3.14159265358979/180)</f>
        <v>0.91535047595051022</v>
      </c>
      <c r="AL144" s="1639">
        <f t="shared" si="17"/>
        <v>278.56028065668761</v>
      </c>
      <c r="AM144" s="1640">
        <f t="shared" si="18"/>
        <v>50.018549700000001</v>
      </c>
      <c r="AN144" s="1639">
        <f t="shared" si="19"/>
        <v>0.76625250760411079</v>
      </c>
      <c r="AO144" s="1641">
        <f t="shared" si="20"/>
        <v>213.83080789825695</v>
      </c>
      <c r="AP144" s="287">
        <f t="shared" si="21"/>
        <v>-558.12181180661025</v>
      </c>
      <c r="AQ144" s="444">
        <f t="shared" ref="AQ144:AQ161" si="32">$C$10*($B$139-B143)</f>
        <v>-40.5</v>
      </c>
      <c r="AR144" s="444">
        <f t="shared" ref="AR144:AR161" si="33">+AQ144+$AQ$174</f>
        <v>-11.2</v>
      </c>
      <c r="AS144" s="445">
        <f t="shared" si="22"/>
        <v>492.39108855494453</v>
      </c>
      <c r="AT144" s="445">
        <f t="shared" si="23"/>
        <v>-213.83080789825695</v>
      </c>
      <c r="AU144" s="445">
        <f t="shared" si="24"/>
        <v>-344.29100390835333</v>
      </c>
      <c r="AV144" s="447"/>
      <c r="AW144" s="447">
        <f t="shared" si="25"/>
        <v>-19.031293728507986</v>
      </c>
      <c r="AX144" s="1597">
        <f t="shared" si="26"/>
        <v>7.8312937285079851</v>
      </c>
      <c r="AY144" s="1597">
        <f t="shared" si="27"/>
        <v>-609.52240901120365</v>
      </c>
      <c r="AZ144" s="1642">
        <f t="shared" si="28"/>
        <v>1481.2367409707704</v>
      </c>
      <c r="BA144" s="274">
        <f t="shared" ref="BA144:BB159" si="34">ABS(AY144)</f>
        <v>609.52240901120365</v>
      </c>
      <c r="BB144" s="275">
        <f t="shared" si="34"/>
        <v>1481.2367409707704</v>
      </c>
      <c r="BD144" s="136"/>
      <c r="BM144" s="214"/>
      <c r="BN144" s="214"/>
      <c r="BO144" s="214"/>
      <c r="EK144" s="78"/>
      <c r="EL144" s="78"/>
    </row>
    <row r="145" spans="2:142" ht="23" thickBot="1" x14ac:dyDescent="0.35">
      <c r="B145" s="277">
        <v>4</v>
      </c>
      <c r="C145" s="278"/>
      <c r="D145" s="25">
        <v>0</v>
      </c>
      <c r="E145" s="257" t="s">
        <v>130</v>
      </c>
      <c r="F145" s="258"/>
      <c r="G145" s="258"/>
      <c r="H145" s="1632">
        <v>279.06049999999999</v>
      </c>
      <c r="I145" s="1633">
        <v>79.962900599999998</v>
      </c>
      <c r="J145" s="474">
        <f t="shared" si="29"/>
        <v>79.962900599999998</v>
      </c>
      <c r="K145" s="474">
        <f t="shared" si="4"/>
        <v>39.981450299999999</v>
      </c>
      <c r="L145" s="474">
        <f t="shared" si="5"/>
        <v>0.64253956655634092</v>
      </c>
      <c r="M145" s="474">
        <f t="shared" si="6"/>
        <v>179.30741271299578</v>
      </c>
      <c r="N145" s="474">
        <f t="shared" si="7"/>
        <v>358.61482542599157</v>
      </c>
      <c r="O145" s="474">
        <f>+C142+D143+D144+(D145/2)</f>
        <v>0</v>
      </c>
      <c r="P145" s="474">
        <f t="shared" si="8"/>
        <v>0</v>
      </c>
      <c r="Q145" s="474">
        <f t="shared" si="9"/>
        <v>0</v>
      </c>
      <c r="R145" s="474">
        <f t="shared" si="13"/>
        <v>213.83080000000001</v>
      </c>
      <c r="S145" s="474">
        <f t="shared" si="30"/>
        <v>213.83080000000001</v>
      </c>
      <c r="T145" s="476">
        <f t="shared" si="10"/>
        <v>213.83080000000001</v>
      </c>
      <c r="V145" s="1635">
        <f t="shared" si="11"/>
        <v>0</v>
      </c>
      <c r="W145" s="437"/>
      <c r="X145" s="437"/>
      <c r="Y145" s="437"/>
      <c r="Z145" s="437"/>
      <c r="AA145" s="437"/>
      <c r="AB145" s="295" t="str">
        <f t="shared" si="14"/>
        <v>use the locking pin</v>
      </c>
      <c r="AC145" s="1636" t="b">
        <f>IF(AD145=4,AF145)</f>
        <v>0</v>
      </c>
      <c r="AD145" s="1636">
        <f t="shared" si="15"/>
        <v>1</v>
      </c>
      <c r="AE145" s="1636">
        <f>IF(V145=0,0,4)</f>
        <v>0</v>
      </c>
      <c r="AF145" s="1637">
        <f>SUM(V145:V161)/($B$139-B144)</f>
        <v>0</v>
      </c>
      <c r="AG145" s="1638"/>
      <c r="AH145" s="450">
        <f>SUM(D143:D145)+$C$142</f>
        <v>0</v>
      </c>
      <c r="AI145" s="1639" t="b">
        <f t="shared" si="12"/>
        <v>0</v>
      </c>
      <c r="AJ145" s="718">
        <f t="shared" si="16"/>
        <v>66.255548399999995</v>
      </c>
      <c r="AK145" s="1639">
        <f t="shared" si="31"/>
        <v>0.91535047595051022</v>
      </c>
      <c r="AL145" s="1639">
        <f t="shared" si="17"/>
        <v>278.56028065668761</v>
      </c>
      <c r="AM145" s="1640">
        <f t="shared" si="18"/>
        <v>50.018549700000001</v>
      </c>
      <c r="AN145" s="1639">
        <f t="shared" si="19"/>
        <v>0.76625250760411079</v>
      </c>
      <c r="AO145" s="1641">
        <f t="shared" si="20"/>
        <v>213.83080789825695</v>
      </c>
      <c r="AP145" s="287">
        <f t="shared" si="21"/>
        <v>-120.90840023663509</v>
      </c>
      <c r="AQ145" s="444">
        <f t="shared" si="32"/>
        <v>-81</v>
      </c>
      <c r="AR145" s="444">
        <f t="shared" si="33"/>
        <v>-51.7</v>
      </c>
      <c r="AS145" s="445">
        <f t="shared" si="22"/>
        <v>492.39108855494453</v>
      </c>
      <c r="AT145" s="445">
        <f t="shared" si="23"/>
        <v>-213.83080789825695</v>
      </c>
      <c r="AU145" s="445">
        <f t="shared" si="24"/>
        <v>92.922407661621861</v>
      </c>
      <c r="AV145" s="447"/>
      <c r="AW145" s="447">
        <f t="shared" si="25"/>
        <v>-41.943348046357315</v>
      </c>
      <c r="AX145" s="1597">
        <f t="shared" si="26"/>
        <v>-9.7566519536426917</v>
      </c>
      <c r="AY145" s="1597">
        <f t="shared" si="27"/>
        <v>-276.56352056538879</v>
      </c>
      <c r="AZ145" s="1642">
        <f t="shared" si="28"/>
        <v>-1188.9324386188732</v>
      </c>
      <c r="BA145" s="274">
        <f t="shared" si="34"/>
        <v>276.56352056538879</v>
      </c>
      <c r="BB145" s="275">
        <f t="shared" si="34"/>
        <v>1188.9324386188732</v>
      </c>
      <c r="BD145" s="136"/>
      <c r="BM145" s="214"/>
      <c r="BN145" s="214"/>
      <c r="BO145" s="214"/>
      <c r="EK145" s="78"/>
      <c r="EL145" s="78"/>
    </row>
    <row r="146" spans="2:142" ht="23" thickBot="1" x14ac:dyDescent="0.35">
      <c r="B146" s="277">
        <v>5</v>
      </c>
      <c r="C146" s="278"/>
      <c r="D146" s="25">
        <v>0</v>
      </c>
      <c r="E146" s="257" t="s">
        <v>130</v>
      </c>
      <c r="F146" s="258"/>
      <c r="G146" s="258"/>
      <c r="H146" s="1632">
        <v>279.06049999999999</v>
      </c>
      <c r="I146" s="1633">
        <v>79.962900599999998</v>
      </c>
      <c r="J146" s="474">
        <f t="shared" si="29"/>
        <v>79.962900599999998</v>
      </c>
      <c r="K146" s="474">
        <f t="shared" si="4"/>
        <v>39.981450299999999</v>
      </c>
      <c r="L146" s="474">
        <f t="shared" si="5"/>
        <v>0.64253956655634092</v>
      </c>
      <c r="M146" s="474">
        <f t="shared" si="6"/>
        <v>179.30741271299578</v>
      </c>
      <c r="N146" s="474">
        <f t="shared" si="7"/>
        <v>358.61482542599157</v>
      </c>
      <c r="O146" s="474">
        <f>+C142+D143+D144+D145+(D146/2)</f>
        <v>0</v>
      </c>
      <c r="P146" s="474">
        <f t="shared" si="8"/>
        <v>0</v>
      </c>
      <c r="Q146" s="474">
        <f t="shared" si="9"/>
        <v>0</v>
      </c>
      <c r="R146" s="474">
        <f t="shared" si="13"/>
        <v>213.83080000000001</v>
      </c>
      <c r="S146" s="474">
        <f t="shared" si="30"/>
        <v>213.83080000000001</v>
      </c>
      <c r="T146" s="476">
        <f t="shared" si="10"/>
        <v>213.83080000000001</v>
      </c>
      <c r="V146" s="1635">
        <f t="shared" si="11"/>
        <v>0</v>
      </c>
      <c r="W146" s="437"/>
      <c r="X146" s="437"/>
      <c r="Y146" s="437"/>
      <c r="Z146" s="437"/>
      <c r="AA146" s="437"/>
      <c r="AB146" s="295" t="str">
        <f t="shared" si="14"/>
        <v>use the locking pin</v>
      </c>
      <c r="AC146" s="1636" t="b">
        <f>IF(AD146=5,AF146)</f>
        <v>0</v>
      </c>
      <c r="AD146" s="1636">
        <f t="shared" si="15"/>
        <v>1</v>
      </c>
      <c r="AE146" s="1636">
        <f>IF(V146=0,0,5)</f>
        <v>0</v>
      </c>
      <c r="AF146" s="1637">
        <f>SUM(V146:V161)/($B$139-B145)</f>
        <v>0</v>
      </c>
      <c r="AG146" s="1638"/>
      <c r="AH146" s="450">
        <f>SUM(D143:D146)+$C$142</f>
        <v>0</v>
      </c>
      <c r="AI146" s="1639" t="b">
        <f t="shared" si="12"/>
        <v>0</v>
      </c>
      <c r="AJ146" s="718">
        <f t="shared" si="16"/>
        <v>66.255548399999995</v>
      </c>
      <c r="AK146" s="1639">
        <f t="shared" si="31"/>
        <v>0.91535047595051022</v>
      </c>
      <c r="AL146" s="1639">
        <f t="shared" si="17"/>
        <v>278.56028065668761</v>
      </c>
      <c r="AM146" s="1640">
        <f t="shared" si="18"/>
        <v>50.018549700000001</v>
      </c>
      <c r="AN146" s="1639">
        <f t="shared" si="19"/>
        <v>0.76625250760411079</v>
      </c>
      <c r="AO146" s="1641">
        <f t="shared" si="20"/>
        <v>213.83080789825695</v>
      </c>
      <c r="AP146" s="287">
        <f t="shared" si="21"/>
        <v>-67.79787735611751</v>
      </c>
      <c r="AQ146" s="444">
        <f t="shared" si="32"/>
        <v>-121.5</v>
      </c>
      <c r="AR146" s="444">
        <f t="shared" si="33"/>
        <v>-92.2</v>
      </c>
      <c r="AS146" s="445">
        <f t="shared" si="22"/>
        <v>492.39108855494453</v>
      </c>
      <c r="AT146" s="445">
        <f t="shared" si="23"/>
        <v>-213.83080789825695</v>
      </c>
      <c r="AU146" s="445">
        <f t="shared" si="24"/>
        <v>146.03293054213944</v>
      </c>
      <c r="AV146" s="447"/>
      <c r="AW146" s="447">
        <f t="shared" si="25"/>
        <v>-64.855402364206654</v>
      </c>
      <c r="AX146" s="1597">
        <f t="shared" si="26"/>
        <v>-27.344597635793363</v>
      </c>
      <c r="AY146" s="1597">
        <f t="shared" si="27"/>
        <v>-178.85942538538589</v>
      </c>
      <c r="AZ146" s="1642">
        <f t="shared" si="28"/>
        <v>-424.21542106788593</v>
      </c>
      <c r="BA146" s="274">
        <f t="shared" si="34"/>
        <v>178.85942538538589</v>
      </c>
      <c r="BB146" s="275">
        <f t="shared" si="34"/>
        <v>424.21542106788593</v>
      </c>
      <c r="BD146" s="136"/>
      <c r="BM146" s="214"/>
      <c r="BN146" s="214"/>
      <c r="BO146" s="214"/>
      <c r="EK146" s="78"/>
      <c r="EL146" s="78"/>
    </row>
    <row r="147" spans="2:142" ht="23" thickBot="1" x14ac:dyDescent="0.35">
      <c r="B147" s="277">
        <v>6</v>
      </c>
      <c r="C147" s="278"/>
      <c r="D147" s="25">
        <v>0</v>
      </c>
      <c r="E147" s="257" t="s">
        <v>130</v>
      </c>
      <c r="F147" s="258"/>
      <c r="G147" s="258"/>
      <c r="H147" s="1632">
        <v>279.06049999999999</v>
      </c>
      <c r="I147" s="1633">
        <v>79.962900599999998</v>
      </c>
      <c r="J147" s="474">
        <f t="shared" si="29"/>
        <v>79.962900599999998</v>
      </c>
      <c r="K147" s="474">
        <f t="shared" si="4"/>
        <v>39.981450299999999</v>
      </c>
      <c r="L147" s="474">
        <f t="shared" si="5"/>
        <v>0.64253956655634092</v>
      </c>
      <c r="M147" s="474">
        <f t="shared" si="6"/>
        <v>179.30741271299578</v>
      </c>
      <c r="N147" s="474">
        <f t="shared" si="7"/>
        <v>358.61482542599157</v>
      </c>
      <c r="O147" s="474">
        <f>+C142+D143+D144+D145+D146+(D147/2)</f>
        <v>0</v>
      </c>
      <c r="P147" s="474">
        <f t="shared" si="8"/>
        <v>0</v>
      </c>
      <c r="Q147" s="474">
        <f t="shared" si="9"/>
        <v>0</v>
      </c>
      <c r="R147" s="474">
        <f t="shared" si="13"/>
        <v>213.83080000000001</v>
      </c>
      <c r="S147" s="474">
        <f t="shared" si="30"/>
        <v>213.83080000000001</v>
      </c>
      <c r="T147" s="476">
        <f t="shared" si="10"/>
        <v>213.83080000000001</v>
      </c>
      <c r="V147" s="1635">
        <f t="shared" si="11"/>
        <v>0</v>
      </c>
      <c r="W147" s="437"/>
      <c r="X147" s="437"/>
      <c r="Y147" s="437"/>
      <c r="Z147" s="437"/>
      <c r="AA147" s="437"/>
      <c r="AB147" s="295" t="str">
        <f t="shared" si="14"/>
        <v>use the locking pin</v>
      </c>
      <c r="AC147" s="1636" t="b">
        <f>IF(AD147=6,AF147)</f>
        <v>0</v>
      </c>
      <c r="AD147" s="1636">
        <f t="shared" si="15"/>
        <v>1</v>
      </c>
      <c r="AE147" s="1636">
        <f>IF(V147=0,0,6)</f>
        <v>0</v>
      </c>
      <c r="AF147" s="1637">
        <f>SUM(V147:V161)/($B$139-B146)</f>
        <v>0</v>
      </c>
      <c r="AG147" s="1638"/>
      <c r="AH147" s="450">
        <f>SUM(D143:D147)+$C$142</f>
        <v>0</v>
      </c>
      <c r="AI147" s="1639" t="b">
        <f t="shared" si="12"/>
        <v>0</v>
      </c>
      <c r="AJ147" s="718">
        <f t="shared" si="16"/>
        <v>66.255548399999995</v>
      </c>
      <c r="AK147" s="1639">
        <f t="shared" si="31"/>
        <v>0.91535047595051022</v>
      </c>
      <c r="AL147" s="1639">
        <f t="shared" si="17"/>
        <v>278.56028065668761</v>
      </c>
      <c r="AM147" s="1640">
        <f t="shared" si="18"/>
        <v>50.018549700000001</v>
      </c>
      <c r="AN147" s="1639">
        <f t="shared" si="19"/>
        <v>0.76625250760411079</v>
      </c>
      <c r="AO147" s="1641">
        <f t="shared" si="20"/>
        <v>213.83080789825695</v>
      </c>
      <c r="AP147" s="287">
        <f t="shared" si="21"/>
        <v>-47.105985623466729</v>
      </c>
      <c r="AQ147" s="444">
        <f t="shared" si="32"/>
        <v>-162</v>
      </c>
      <c r="AR147" s="444">
        <f t="shared" si="33"/>
        <v>-132.69999999999999</v>
      </c>
      <c r="AS147" s="445">
        <f t="shared" si="22"/>
        <v>492.39108855494453</v>
      </c>
      <c r="AT147" s="445">
        <f t="shared" si="23"/>
        <v>-213.83080789825695</v>
      </c>
      <c r="AU147" s="445">
        <f t="shared" si="24"/>
        <v>166.72482227479023</v>
      </c>
      <c r="AV147" s="447"/>
      <c r="AW147" s="447">
        <f t="shared" si="25"/>
        <v>-87.767456682055965</v>
      </c>
      <c r="AX147" s="1597">
        <f t="shared" si="26"/>
        <v>-44.932543317944031</v>
      </c>
      <c r="AY147" s="1597">
        <f t="shared" si="27"/>
        <v>-132.16743925965463</v>
      </c>
      <c r="AZ147" s="1642">
        <f t="shared" si="28"/>
        <v>-258.16477642758946</v>
      </c>
      <c r="BA147" s="274">
        <f t="shared" si="34"/>
        <v>132.16743925965463</v>
      </c>
      <c r="BB147" s="275">
        <f t="shared" si="34"/>
        <v>258.16477642758946</v>
      </c>
      <c r="BD147" s="136"/>
      <c r="BM147" s="214"/>
      <c r="BN147" s="214"/>
      <c r="BO147" s="214"/>
      <c r="EK147" s="78"/>
      <c r="EL147" s="78"/>
    </row>
    <row r="148" spans="2:142" ht="21" thickBot="1" x14ac:dyDescent="0.25">
      <c r="B148" s="277">
        <v>7</v>
      </c>
      <c r="C148" s="278"/>
      <c r="D148" s="25">
        <v>0</v>
      </c>
      <c r="E148" s="257" t="s">
        <v>130</v>
      </c>
      <c r="F148" s="258"/>
      <c r="G148" s="258"/>
      <c r="H148" s="1632">
        <v>279.06049999999999</v>
      </c>
      <c r="I148" s="1633">
        <v>79.962900599999998</v>
      </c>
      <c r="J148" s="474">
        <f t="shared" si="29"/>
        <v>79.962900599999998</v>
      </c>
      <c r="K148" s="474">
        <f t="shared" si="4"/>
        <v>39.981450299999999</v>
      </c>
      <c r="L148" s="474">
        <f t="shared" si="5"/>
        <v>0.64253956655634092</v>
      </c>
      <c r="M148" s="474">
        <f t="shared" si="6"/>
        <v>179.30741271299578</v>
      </c>
      <c r="N148" s="474">
        <f t="shared" si="7"/>
        <v>358.61482542599157</v>
      </c>
      <c r="O148" s="474">
        <f>+C142+D143+D144+D145+D146+D147+(D148/2)</f>
        <v>0</v>
      </c>
      <c r="P148" s="474">
        <f t="shared" si="8"/>
        <v>0</v>
      </c>
      <c r="Q148" s="474">
        <f t="shared" si="9"/>
        <v>0</v>
      </c>
      <c r="R148" s="474">
        <f t="shared" si="13"/>
        <v>213.83080000000001</v>
      </c>
      <c r="S148" s="474">
        <f t="shared" si="30"/>
        <v>213.83080000000001</v>
      </c>
      <c r="T148" s="476">
        <f t="shared" si="10"/>
        <v>213.83080000000001</v>
      </c>
      <c r="V148" s="1635">
        <f t="shared" si="11"/>
        <v>0</v>
      </c>
      <c r="W148" s="437"/>
      <c r="X148" s="437"/>
      <c r="Y148" s="437"/>
      <c r="Z148" s="437"/>
      <c r="AA148" s="437"/>
      <c r="AB148" s="295" t="str">
        <f t="shared" si="14"/>
        <v>use the locking pin</v>
      </c>
      <c r="AC148" s="1636" t="b">
        <f>IF(AD148=7,AF148)</f>
        <v>0</v>
      </c>
      <c r="AD148" s="1636">
        <f t="shared" si="15"/>
        <v>1</v>
      </c>
      <c r="AE148" s="1636">
        <f>IF(V148=0,0,7)</f>
        <v>0</v>
      </c>
      <c r="AF148" s="1637">
        <f>SUM(V148:V161)/($B$139-B147)</f>
        <v>0</v>
      </c>
      <c r="AG148" s="1638"/>
      <c r="AH148" s="450">
        <f>SUM(D143:D148)+$C$142</f>
        <v>0</v>
      </c>
      <c r="AI148" s="1639" t="b">
        <f t="shared" si="12"/>
        <v>0</v>
      </c>
      <c r="AJ148" s="718">
        <f t="shared" si="16"/>
        <v>66.255548399999995</v>
      </c>
      <c r="AK148" s="1639">
        <f t="shared" si="31"/>
        <v>0.91535047595051022</v>
      </c>
      <c r="AL148" s="1639">
        <f t="shared" si="17"/>
        <v>278.56028065668761</v>
      </c>
      <c r="AM148" s="1640">
        <f t="shared" si="18"/>
        <v>50.018549700000001</v>
      </c>
      <c r="AN148" s="1639">
        <f t="shared" si="19"/>
        <v>0.76625250760411079</v>
      </c>
      <c r="AO148" s="1641">
        <f t="shared" si="20"/>
        <v>213.83080789825695</v>
      </c>
      <c r="AP148" s="287">
        <f t="shared" si="21"/>
        <v>-36.091017853545239</v>
      </c>
      <c r="AQ148" s="444">
        <f t="shared" si="32"/>
        <v>-202.5</v>
      </c>
      <c r="AR148" s="444">
        <f t="shared" si="33"/>
        <v>-173.2</v>
      </c>
      <c r="AS148" s="445">
        <f t="shared" si="22"/>
        <v>492.39108855494453</v>
      </c>
      <c r="AT148" s="445">
        <f t="shared" si="23"/>
        <v>-213.83080789825695</v>
      </c>
      <c r="AU148" s="445">
        <f t="shared" si="24"/>
        <v>177.7397900447117</v>
      </c>
      <c r="AV148" s="447"/>
      <c r="AW148" s="447">
        <f t="shared" si="25"/>
        <v>-110.67951099990529</v>
      </c>
      <c r="AX148" s="1597">
        <f t="shared" si="26"/>
        <v>-62.520489000094692</v>
      </c>
      <c r="AY148" s="1597">
        <f t="shared" si="27"/>
        <v>-104.80711285406679</v>
      </c>
      <c r="AZ148" s="1642">
        <f t="shared" si="28"/>
        <v>-185.53917580494982</v>
      </c>
      <c r="BA148" s="274">
        <f t="shared" si="34"/>
        <v>104.80711285406679</v>
      </c>
      <c r="BB148" s="275">
        <f t="shared" si="34"/>
        <v>185.53917580494982</v>
      </c>
      <c r="BD148" s="136"/>
      <c r="BF148" s="35"/>
      <c r="EK148" s="78"/>
      <c r="EL148" s="78"/>
    </row>
    <row r="149" spans="2:142" ht="21" thickBot="1" x14ac:dyDescent="0.25">
      <c r="B149" s="277">
        <v>8</v>
      </c>
      <c r="C149" s="278"/>
      <c r="D149" s="25">
        <v>0</v>
      </c>
      <c r="E149" s="257" t="s">
        <v>130</v>
      </c>
      <c r="F149" s="258"/>
      <c r="G149" s="258"/>
      <c r="H149" s="1632">
        <v>279.06049999999999</v>
      </c>
      <c r="I149" s="1633">
        <v>79.962900599999998</v>
      </c>
      <c r="J149" s="474">
        <f t="shared" si="29"/>
        <v>79.962900599999998</v>
      </c>
      <c r="K149" s="474">
        <f t="shared" si="4"/>
        <v>39.981450299999999</v>
      </c>
      <c r="L149" s="474">
        <f t="shared" si="5"/>
        <v>0.64253956655634092</v>
      </c>
      <c r="M149" s="474">
        <f t="shared" si="6"/>
        <v>179.30741271299578</v>
      </c>
      <c r="N149" s="474">
        <f t="shared" si="7"/>
        <v>358.61482542599157</v>
      </c>
      <c r="O149" s="474">
        <f>+C142+D143+D144+D145+D146+D147+D148+(D149/2)</f>
        <v>0</v>
      </c>
      <c r="P149" s="474">
        <f t="shared" si="8"/>
        <v>0</v>
      </c>
      <c r="Q149" s="474">
        <f t="shared" si="9"/>
        <v>0</v>
      </c>
      <c r="R149" s="474">
        <f t="shared" si="13"/>
        <v>213.83080000000001</v>
      </c>
      <c r="S149" s="474">
        <f t="shared" si="30"/>
        <v>213.83080000000001</v>
      </c>
      <c r="T149" s="476">
        <f t="shared" si="10"/>
        <v>213.83080000000001</v>
      </c>
      <c r="V149" s="1635">
        <f t="shared" si="11"/>
        <v>0</v>
      </c>
      <c r="W149" s="437"/>
      <c r="X149" s="437"/>
      <c r="Y149" s="437"/>
      <c r="Z149" s="437"/>
      <c r="AA149" s="437"/>
      <c r="AB149" s="295" t="str">
        <f t="shared" si="14"/>
        <v>use the locking pin</v>
      </c>
      <c r="AC149" s="1636" t="b">
        <f>IF(AD149=8,AF149)</f>
        <v>0</v>
      </c>
      <c r="AD149" s="1636">
        <f t="shared" si="15"/>
        <v>1</v>
      </c>
      <c r="AE149" s="1636">
        <f>IF(V149=0,0,8)</f>
        <v>0</v>
      </c>
      <c r="AF149" s="1637">
        <f>SUM(V149:V161)/($B$139-B148)</f>
        <v>0</v>
      </c>
      <c r="AG149" s="1638"/>
      <c r="AH149" s="450">
        <f>SUM(D143:D149)+$C$142</f>
        <v>0</v>
      </c>
      <c r="AI149" s="1639" t="b">
        <f t="shared" si="12"/>
        <v>0</v>
      </c>
      <c r="AJ149" s="718">
        <f t="shared" si="16"/>
        <v>66.255548399999995</v>
      </c>
      <c r="AK149" s="1639">
        <f t="shared" si="31"/>
        <v>0.91535047595051022</v>
      </c>
      <c r="AL149" s="1639">
        <f t="shared" si="17"/>
        <v>278.56028065668761</v>
      </c>
      <c r="AM149" s="1640">
        <f t="shared" si="18"/>
        <v>50.018549700000001</v>
      </c>
      <c r="AN149" s="1639">
        <f t="shared" si="19"/>
        <v>0.76625250760411079</v>
      </c>
      <c r="AO149" s="1641">
        <f t="shared" si="20"/>
        <v>213.83080789825695</v>
      </c>
      <c r="AP149" s="287">
        <f t="shared" si="21"/>
        <v>-29.251119757763384</v>
      </c>
      <c r="AQ149" s="444">
        <f t="shared" si="32"/>
        <v>-243</v>
      </c>
      <c r="AR149" s="444">
        <f t="shared" si="33"/>
        <v>-213.7</v>
      </c>
      <c r="AS149" s="445">
        <f t="shared" si="22"/>
        <v>492.39108855494453</v>
      </c>
      <c r="AT149" s="445">
        <f t="shared" si="23"/>
        <v>-213.83080789825695</v>
      </c>
      <c r="AU149" s="445">
        <f t="shared" si="24"/>
        <v>184.57968814049357</v>
      </c>
      <c r="AV149" s="447"/>
      <c r="AW149" s="447">
        <f t="shared" si="25"/>
        <v>-133.59156531775463</v>
      </c>
      <c r="AX149" s="1597">
        <f t="shared" si="26"/>
        <v>-80.108434682245374</v>
      </c>
      <c r="AY149" s="1597">
        <f t="shared" si="27"/>
        <v>-86.831829333003057</v>
      </c>
      <c r="AZ149" s="1642">
        <f t="shared" si="28"/>
        <v>-144.80372817184676</v>
      </c>
      <c r="BA149" s="274">
        <f t="shared" si="34"/>
        <v>86.831829333003057</v>
      </c>
      <c r="BB149" s="275">
        <f t="shared" si="34"/>
        <v>144.80372817184676</v>
      </c>
      <c r="BD149" s="136"/>
      <c r="BF149" s="35"/>
      <c r="EK149" s="78"/>
      <c r="EL149" s="78"/>
    </row>
    <row r="150" spans="2:142" ht="21" thickBot="1" x14ac:dyDescent="0.25">
      <c r="B150" s="277">
        <v>9</v>
      </c>
      <c r="C150" s="278"/>
      <c r="D150" s="25">
        <v>0</v>
      </c>
      <c r="E150" s="257" t="s">
        <v>130</v>
      </c>
      <c r="F150" s="258"/>
      <c r="G150" s="258"/>
      <c r="H150" s="1632">
        <v>279.06049999999999</v>
      </c>
      <c r="I150" s="1633">
        <v>79.962900599999998</v>
      </c>
      <c r="J150" s="474">
        <f t="shared" si="29"/>
        <v>79.962900599999998</v>
      </c>
      <c r="K150" s="474">
        <f t="shared" si="4"/>
        <v>39.981450299999999</v>
      </c>
      <c r="L150" s="474">
        <f t="shared" si="5"/>
        <v>0.64253956655634092</v>
      </c>
      <c r="M150" s="474">
        <f t="shared" si="6"/>
        <v>179.30741271299578</v>
      </c>
      <c r="N150" s="474">
        <f t="shared" si="7"/>
        <v>358.61482542599157</v>
      </c>
      <c r="O150" s="474">
        <f>+C142+D143+D144+D145+D146+D147+D148+D149+(D150/2)</f>
        <v>0</v>
      </c>
      <c r="P150" s="474">
        <f t="shared" si="8"/>
        <v>0</v>
      </c>
      <c r="Q150" s="474">
        <f t="shared" si="9"/>
        <v>0</v>
      </c>
      <c r="R150" s="474">
        <f t="shared" si="13"/>
        <v>213.83080000000001</v>
      </c>
      <c r="S150" s="474">
        <f t="shared" si="30"/>
        <v>213.83080000000001</v>
      </c>
      <c r="T150" s="476">
        <f t="shared" si="10"/>
        <v>213.83080000000001</v>
      </c>
      <c r="V150" s="1635">
        <f t="shared" si="11"/>
        <v>0</v>
      </c>
      <c r="W150" s="437"/>
      <c r="X150" s="437"/>
      <c r="Y150" s="437"/>
      <c r="Z150" s="437"/>
      <c r="AA150" s="437"/>
      <c r="AB150" s="295" t="str">
        <f t="shared" si="14"/>
        <v>use the locking pin</v>
      </c>
      <c r="AC150" s="1636" t="b">
        <f>IF(AD150=9,AF150)</f>
        <v>0</v>
      </c>
      <c r="AD150" s="1636">
        <f t="shared" si="15"/>
        <v>1</v>
      </c>
      <c r="AE150" s="1636">
        <f>IF(V150=0,0,9)</f>
        <v>0</v>
      </c>
      <c r="AF150" s="1637">
        <f>SUM(V150:V161)/($B$139-B149)</f>
        <v>0</v>
      </c>
      <c r="AG150" s="1638"/>
      <c r="AH150" s="450">
        <f>SUM(D143:D150)+$C$142</f>
        <v>0</v>
      </c>
      <c r="AI150" s="1639" t="b">
        <f t="shared" si="12"/>
        <v>0</v>
      </c>
      <c r="AJ150" s="718">
        <f t="shared" si="16"/>
        <v>66.255548399999995</v>
      </c>
      <c r="AK150" s="1639">
        <f t="shared" si="31"/>
        <v>0.91535047595051022</v>
      </c>
      <c r="AL150" s="1639">
        <f t="shared" si="17"/>
        <v>278.56028065668761</v>
      </c>
      <c r="AM150" s="1640">
        <f t="shared" si="18"/>
        <v>50.018549700000001</v>
      </c>
      <c r="AN150" s="1639">
        <f t="shared" si="19"/>
        <v>0.76625250760411079</v>
      </c>
      <c r="AO150" s="1641">
        <f t="shared" si="20"/>
        <v>213.83080789825695</v>
      </c>
      <c r="AP150" s="287">
        <f t="shared" si="21"/>
        <v>-24.590732856939553</v>
      </c>
      <c r="AQ150" s="444">
        <f t="shared" si="32"/>
        <v>-283.5</v>
      </c>
      <c r="AR150" s="444">
        <f t="shared" si="33"/>
        <v>-254.2</v>
      </c>
      <c r="AS150" s="445">
        <f t="shared" si="22"/>
        <v>492.39108855494453</v>
      </c>
      <c r="AT150" s="445">
        <f t="shared" si="23"/>
        <v>-213.83080789825695</v>
      </c>
      <c r="AU150" s="445">
        <f t="shared" si="24"/>
        <v>189.2400750413174</v>
      </c>
      <c r="AV150" s="447"/>
      <c r="AW150" s="447">
        <f t="shared" si="25"/>
        <v>-156.50361963560394</v>
      </c>
      <c r="AX150" s="1597">
        <f t="shared" si="26"/>
        <v>-97.696380364396049</v>
      </c>
      <c r="AY150" s="1597">
        <f t="shared" si="27"/>
        <v>-74.119691461506918</v>
      </c>
      <c r="AZ150" s="1642">
        <f t="shared" si="28"/>
        <v>-118.73520755562652</v>
      </c>
      <c r="BA150" s="274">
        <f t="shared" si="34"/>
        <v>74.119691461506918</v>
      </c>
      <c r="BB150" s="275">
        <f t="shared" si="34"/>
        <v>118.73520755562652</v>
      </c>
      <c r="BD150" s="136"/>
      <c r="BF150" s="35"/>
      <c r="EK150" s="78"/>
      <c r="EL150" s="78"/>
    </row>
    <row r="151" spans="2:142" ht="21" thickBot="1" x14ac:dyDescent="0.25">
      <c r="B151" s="277">
        <v>10</v>
      </c>
      <c r="C151" s="278"/>
      <c r="D151" s="25">
        <v>0</v>
      </c>
      <c r="E151" s="257" t="s">
        <v>130</v>
      </c>
      <c r="F151" s="258"/>
      <c r="G151" s="258"/>
      <c r="H151" s="1632">
        <v>279.06049999999999</v>
      </c>
      <c r="I151" s="1633">
        <v>79.962900599999998</v>
      </c>
      <c r="J151" s="474">
        <f t="shared" si="29"/>
        <v>79.962900599999998</v>
      </c>
      <c r="K151" s="474">
        <f t="shared" si="4"/>
        <v>39.981450299999999</v>
      </c>
      <c r="L151" s="474">
        <f t="shared" si="5"/>
        <v>0.64253956655634092</v>
      </c>
      <c r="M151" s="474">
        <f>+L151*H151</f>
        <v>179.30741271299578</v>
      </c>
      <c r="N151" s="474">
        <f t="shared" si="7"/>
        <v>358.61482542599157</v>
      </c>
      <c r="O151" s="474">
        <f>+C142+D143+D144+D145+D146+D147+D148+D149+D150+(D151/2)</f>
        <v>0</v>
      </c>
      <c r="P151" s="474">
        <f t="shared" si="8"/>
        <v>0</v>
      </c>
      <c r="Q151" s="474">
        <f t="shared" si="9"/>
        <v>0</v>
      </c>
      <c r="R151" s="474">
        <f t="shared" si="13"/>
        <v>213.83080000000001</v>
      </c>
      <c r="S151" s="474">
        <f t="shared" si="30"/>
        <v>213.83080000000001</v>
      </c>
      <c r="T151" s="476">
        <f t="shared" si="10"/>
        <v>213.83080000000001</v>
      </c>
      <c r="V151" s="1635">
        <f t="shared" si="11"/>
        <v>0</v>
      </c>
      <c r="W151" s="437"/>
      <c r="X151" s="437"/>
      <c r="Y151" s="437"/>
      <c r="Z151" s="437"/>
      <c r="AA151" s="437"/>
      <c r="AB151" s="295" t="str">
        <f t="shared" si="14"/>
        <v>use the locking pin</v>
      </c>
      <c r="AC151" s="1636" t="b">
        <f>IF(AD151=10,AF151)</f>
        <v>0</v>
      </c>
      <c r="AD151" s="1636">
        <f t="shared" si="15"/>
        <v>1</v>
      </c>
      <c r="AE151" s="1636">
        <f>IF(V151=0,0,10)</f>
        <v>0</v>
      </c>
      <c r="AF151" s="1637">
        <f>SUM(V151:V161)/($B$139-B150)</f>
        <v>0</v>
      </c>
      <c r="AG151" s="1638"/>
      <c r="AH151" s="450">
        <f>SUM(D143:D151)+$C$142</f>
        <v>0</v>
      </c>
      <c r="AI151" s="1639" t="b">
        <f t="shared" si="12"/>
        <v>0</v>
      </c>
      <c r="AJ151" s="718">
        <f t="shared" si="16"/>
        <v>66.255548399999995</v>
      </c>
      <c r="AK151" s="1639">
        <f t="shared" si="31"/>
        <v>0.91535047595051022</v>
      </c>
      <c r="AL151" s="1639">
        <f t="shared" si="17"/>
        <v>278.56028065668761</v>
      </c>
      <c r="AM151" s="1640">
        <f t="shared" si="18"/>
        <v>50.018549700000001</v>
      </c>
      <c r="AN151" s="1639">
        <f t="shared" si="19"/>
        <v>0.76625250760411079</v>
      </c>
      <c r="AO151" s="1641">
        <f t="shared" si="20"/>
        <v>213.83080789825695</v>
      </c>
      <c r="AP151" s="287">
        <f t="shared" si="21"/>
        <v>-21.211280258683523</v>
      </c>
      <c r="AQ151" s="444">
        <f t="shared" si="32"/>
        <v>-324</v>
      </c>
      <c r="AR151" s="444">
        <f t="shared" si="33"/>
        <v>-294.7</v>
      </c>
      <c r="AS151" s="445">
        <f t="shared" si="22"/>
        <v>492.39108855494453</v>
      </c>
      <c r="AT151" s="445">
        <f t="shared" si="23"/>
        <v>-213.83080789825695</v>
      </c>
      <c r="AU151" s="445">
        <f t="shared" si="24"/>
        <v>192.61952763957342</v>
      </c>
      <c r="AV151" s="447"/>
      <c r="AW151" s="447">
        <f t="shared" si="25"/>
        <v>-179.41567395345325</v>
      </c>
      <c r="AX151" s="1597">
        <f t="shared" si="26"/>
        <v>-115.28432604654672</v>
      </c>
      <c r="AY151" s="1597">
        <f t="shared" si="27"/>
        <v>-64.654328935661709</v>
      </c>
      <c r="AZ151" s="1642">
        <f t="shared" si="28"/>
        <v>-100.62079033464126</v>
      </c>
      <c r="BA151" s="274">
        <f t="shared" si="34"/>
        <v>64.654328935661709</v>
      </c>
      <c r="BB151" s="275">
        <f t="shared" si="34"/>
        <v>100.62079033464126</v>
      </c>
      <c r="BD151" s="136"/>
      <c r="BF151" s="35"/>
      <c r="EK151" s="78"/>
      <c r="EL151" s="78"/>
    </row>
    <row r="152" spans="2:142" ht="21" thickBot="1" x14ac:dyDescent="0.25">
      <c r="B152" s="277">
        <v>11</v>
      </c>
      <c r="C152" s="278"/>
      <c r="D152" s="25">
        <v>0</v>
      </c>
      <c r="E152" s="257" t="s">
        <v>130</v>
      </c>
      <c r="F152" s="258"/>
      <c r="G152" s="258"/>
      <c r="H152" s="1632">
        <v>279.06049999999999</v>
      </c>
      <c r="I152" s="1633">
        <v>79.962900599999998</v>
      </c>
      <c r="J152" s="474">
        <f t="shared" si="29"/>
        <v>79.962900599999998</v>
      </c>
      <c r="K152" s="474">
        <f t="shared" si="4"/>
        <v>39.981450299999999</v>
      </c>
      <c r="L152" s="474">
        <f t="shared" si="5"/>
        <v>0.64253956655634092</v>
      </c>
      <c r="M152" s="474">
        <f t="shared" si="6"/>
        <v>179.30741271299578</v>
      </c>
      <c r="N152" s="474">
        <f t="shared" si="7"/>
        <v>358.61482542599157</v>
      </c>
      <c r="O152" s="474">
        <f>+C142+D143+D144+D145+D146+D147+D148+D149+D150+D151+(D152/2)</f>
        <v>0</v>
      </c>
      <c r="P152" s="474">
        <f t="shared" si="8"/>
        <v>0</v>
      </c>
      <c r="Q152" s="474">
        <f t="shared" si="9"/>
        <v>0</v>
      </c>
      <c r="R152" s="474">
        <f t="shared" si="13"/>
        <v>213.83080000000001</v>
      </c>
      <c r="S152" s="474">
        <f t="shared" si="30"/>
        <v>213.83080000000001</v>
      </c>
      <c r="T152" s="476">
        <f t="shared" si="10"/>
        <v>213.83080000000001</v>
      </c>
      <c r="V152" s="1635">
        <f t="shared" si="11"/>
        <v>0</v>
      </c>
      <c r="W152" s="437"/>
      <c r="X152" s="437"/>
      <c r="Y152" s="437"/>
      <c r="Z152" s="437"/>
      <c r="AA152" s="437"/>
      <c r="AB152" s="295" t="str">
        <f t="shared" si="14"/>
        <v>use the locking pin</v>
      </c>
      <c r="AC152" s="1636" t="b">
        <f>IF(AD152=11,AF152)</f>
        <v>0</v>
      </c>
      <c r="AD152" s="1636">
        <f t="shared" si="15"/>
        <v>1</v>
      </c>
      <c r="AE152" s="1636">
        <f>IF(V152=0,0,11)</f>
        <v>0</v>
      </c>
      <c r="AF152" s="1637">
        <f>SUM(V152:V161)/($B$139-B151)</f>
        <v>0</v>
      </c>
      <c r="AG152" s="1638"/>
      <c r="AH152" s="450">
        <f>SUM(D143:D152)+$C$142</f>
        <v>0</v>
      </c>
      <c r="AI152" s="1639" t="b">
        <f t="shared" si="12"/>
        <v>0</v>
      </c>
      <c r="AJ152" s="718">
        <f t="shared" si="16"/>
        <v>66.255548399999995</v>
      </c>
      <c r="AK152" s="1639">
        <f t="shared" si="31"/>
        <v>0.91535047595051022</v>
      </c>
      <c r="AL152" s="1639">
        <f t="shared" si="17"/>
        <v>278.56028065668761</v>
      </c>
      <c r="AM152" s="1640">
        <f t="shared" si="18"/>
        <v>50.018549700000001</v>
      </c>
      <c r="AN152" s="1639">
        <f t="shared" si="19"/>
        <v>0.76625250760411079</v>
      </c>
      <c r="AO152" s="1641">
        <f t="shared" si="20"/>
        <v>213.83080789825695</v>
      </c>
      <c r="AP152" s="287">
        <f t="shared" si="21"/>
        <v>-18.648461492344971</v>
      </c>
      <c r="AQ152" s="444">
        <f t="shared" si="32"/>
        <v>-364.5</v>
      </c>
      <c r="AR152" s="444">
        <f t="shared" si="33"/>
        <v>-335.2</v>
      </c>
      <c r="AS152" s="445">
        <f t="shared" si="22"/>
        <v>492.39108855494453</v>
      </c>
      <c r="AT152" s="445">
        <f t="shared" si="23"/>
        <v>-213.83080789825695</v>
      </c>
      <c r="AU152" s="445">
        <f t="shared" si="24"/>
        <v>195.18234640591197</v>
      </c>
      <c r="AV152" s="447"/>
      <c r="AW152" s="447">
        <f t="shared" si="25"/>
        <v>-202.32772827130259</v>
      </c>
      <c r="AX152" s="1597">
        <f t="shared" si="26"/>
        <v>-132.8722717286974</v>
      </c>
      <c r="AY152" s="1597">
        <f t="shared" si="27"/>
        <v>-57.332724976012599</v>
      </c>
      <c r="AZ152" s="1642">
        <f t="shared" si="28"/>
        <v>-87.30188660945926</v>
      </c>
      <c r="BA152" s="274">
        <f t="shared" si="34"/>
        <v>57.332724976012599</v>
      </c>
      <c r="BB152" s="275">
        <f t="shared" si="34"/>
        <v>87.30188660945926</v>
      </c>
      <c r="BD152" s="136"/>
      <c r="BF152" s="35"/>
      <c r="EK152" s="78"/>
      <c r="EL152" s="78"/>
    </row>
    <row r="153" spans="2:142" ht="21" thickBot="1" x14ac:dyDescent="0.25">
      <c r="B153" s="277">
        <v>12</v>
      </c>
      <c r="C153" s="278"/>
      <c r="D153" s="25">
        <v>0</v>
      </c>
      <c r="E153" s="257" t="s">
        <v>130</v>
      </c>
      <c r="F153" s="258"/>
      <c r="G153" s="258"/>
      <c r="H153" s="1632">
        <v>279.06049999999999</v>
      </c>
      <c r="I153" s="1633">
        <v>79.962900599999998</v>
      </c>
      <c r="J153" s="474">
        <f t="shared" si="29"/>
        <v>79.962900599999998</v>
      </c>
      <c r="K153" s="474">
        <f t="shared" si="4"/>
        <v>39.981450299999999</v>
      </c>
      <c r="L153" s="474">
        <f t="shared" si="5"/>
        <v>0.64253956655634092</v>
      </c>
      <c r="M153" s="474">
        <f t="shared" si="6"/>
        <v>179.30741271299578</v>
      </c>
      <c r="N153" s="474">
        <f t="shared" si="7"/>
        <v>358.61482542599157</v>
      </c>
      <c r="O153" s="474">
        <f>+C142+D143+D144+D145+D146+D147+D148+D149+D150+D151+D152+(D153/2)</f>
        <v>0</v>
      </c>
      <c r="P153" s="474">
        <f t="shared" si="8"/>
        <v>0</v>
      </c>
      <c r="Q153" s="474">
        <f t="shared" si="9"/>
        <v>0</v>
      </c>
      <c r="R153" s="474">
        <f t="shared" si="13"/>
        <v>213.83080000000001</v>
      </c>
      <c r="S153" s="474">
        <f t="shared" si="30"/>
        <v>213.83080000000001</v>
      </c>
      <c r="T153" s="476">
        <f t="shared" si="10"/>
        <v>213.83080000000001</v>
      </c>
      <c r="V153" s="1635">
        <f t="shared" si="11"/>
        <v>0</v>
      </c>
      <c r="W153" s="437"/>
      <c r="X153" s="437"/>
      <c r="Y153" s="437"/>
      <c r="Z153" s="437"/>
      <c r="AA153" s="437"/>
      <c r="AB153" s="295" t="str">
        <f t="shared" si="14"/>
        <v>use the locking pin</v>
      </c>
      <c r="AC153" s="1636" t="b">
        <f>IF(AD153=12,AF153)</f>
        <v>0</v>
      </c>
      <c r="AD153" s="1636">
        <f t="shared" si="15"/>
        <v>1</v>
      </c>
      <c r="AE153" s="1636">
        <f>IF(V153=0,0,12)</f>
        <v>0</v>
      </c>
      <c r="AF153" s="1637">
        <f>SUM(V153:V161)/($B$139-B152)</f>
        <v>0</v>
      </c>
      <c r="AG153" s="1638"/>
      <c r="AH153" s="450">
        <f>SUM(D143:D153)+$C$142</f>
        <v>0</v>
      </c>
      <c r="AI153" s="1639" t="b">
        <f t="shared" si="12"/>
        <v>0</v>
      </c>
      <c r="AJ153" s="718">
        <f t="shared" si="16"/>
        <v>66.255548399999995</v>
      </c>
      <c r="AK153" s="1639">
        <f t="shared" si="31"/>
        <v>0.91535047595051022</v>
      </c>
      <c r="AL153" s="1639">
        <f t="shared" si="17"/>
        <v>278.56028065668761</v>
      </c>
      <c r="AM153" s="1640">
        <f t="shared" si="18"/>
        <v>50.018549700000001</v>
      </c>
      <c r="AN153" s="1639">
        <f t="shared" si="19"/>
        <v>0.76625250760411079</v>
      </c>
      <c r="AO153" s="1641">
        <f t="shared" si="20"/>
        <v>213.83080789825695</v>
      </c>
      <c r="AP153" s="287">
        <f t="shared" si="21"/>
        <v>-16.638180176295009</v>
      </c>
      <c r="AQ153" s="444">
        <f t="shared" si="32"/>
        <v>-405</v>
      </c>
      <c r="AR153" s="444">
        <f t="shared" si="33"/>
        <v>-375.7</v>
      </c>
      <c r="AS153" s="445">
        <f t="shared" si="22"/>
        <v>492.39108855494453</v>
      </c>
      <c r="AT153" s="445">
        <f t="shared" si="23"/>
        <v>-213.83080789825695</v>
      </c>
      <c r="AU153" s="445">
        <f t="shared" si="24"/>
        <v>197.19262772196194</v>
      </c>
      <c r="AV153" s="447"/>
      <c r="AW153" s="447">
        <f t="shared" si="25"/>
        <v>-225.23978258915193</v>
      </c>
      <c r="AX153" s="1597">
        <f t="shared" si="26"/>
        <v>-150.46021741084809</v>
      </c>
      <c r="AY153" s="1597">
        <f t="shared" si="27"/>
        <v>-51.5006712697772</v>
      </c>
      <c r="AZ153" s="1642">
        <f t="shared" si="28"/>
        <v>-77.096791428427423</v>
      </c>
      <c r="BA153" s="274">
        <f t="shared" si="34"/>
        <v>51.5006712697772</v>
      </c>
      <c r="BB153" s="275">
        <f t="shared" si="34"/>
        <v>77.096791428427423</v>
      </c>
      <c r="BD153" s="136"/>
      <c r="BF153" s="35"/>
      <c r="EK153" s="78"/>
      <c r="EL153" s="78"/>
    </row>
    <row r="154" spans="2:142" ht="21" thickBot="1" x14ac:dyDescent="0.25">
      <c r="B154" s="277">
        <v>13</v>
      </c>
      <c r="C154" s="278"/>
      <c r="D154" s="25">
        <v>0</v>
      </c>
      <c r="E154" s="257" t="s">
        <v>130</v>
      </c>
      <c r="F154" s="258"/>
      <c r="G154" s="258"/>
      <c r="H154" s="1632">
        <v>279.06049999999999</v>
      </c>
      <c r="I154" s="1633">
        <v>79.962900599999998</v>
      </c>
      <c r="J154" s="474">
        <f t="shared" si="29"/>
        <v>79.962900599999998</v>
      </c>
      <c r="K154" s="474">
        <f t="shared" si="4"/>
        <v>39.981450299999999</v>
      </c>
      <c r="L154" s="474">
        <f t="shared" si="5"/>
        <v>0.64253956655634092</v>
      </c>
      <c r="M154" s="474">
        <f t="shared" si="6"/>
        <v>179.30741271299578</v>
      </c>
      <c r="N154" s="474">
        <f t="shared" si="7"/>
        <v>358.61482542599157</v>
      </c>
      <c r="O154" s="474">
        <f>+C142+D143+D144+D145+D146+D147+D148+D149+D150+D151+D152+D153+(D154/2)</f>
        <v>0</v>
      </c>
      <c r="P154" s="474">
        <f t="shared" si="8"/>
        <v>0</v>
      </c>
      <c r="Q154" s="474">
        <f t="shared" si="9"/>
        <v>0</v>
      </c>
      <c r="R154" s="474">
        <f t="shared" si="13"/>
        <v>213.83080000000001</v>
      </c>
      <c r="S154" s="474">
        <f t="shared" si="30"/>
        <v>213.83080000000001</v>
      </c>
      <c r="T154" s="476">
        <f t="shared" si="10"/>
        <v>213.83080000000001</v>
      </c>
      <c r="V154" s="1635">
        <f t="shared" si="11"/>
        <v>0</v>
      </c>
      <c r="W154" s="437"/>
      <c r="X154" s="437"/>
      <c r="Y154" s="437"/>
      <c r="Z154" s="437"/>
      <c r="AA154" s="437"/>
      <c r="AB154" s="295" t="str">
        <f t="shared" si="14"/>
        <v>use the locking pin</v>
      </c>
      <c r="AC154" s="1636" t="b">
        <f>IF(AD154=13,AF154)</f>
        <v>0</v>
      </c>
      <c r="AD154" s="1636">
        <f t="shared" si="15"/>
        <v>1</v>
      </c>
      <c r="AE154" s="1636">
        <f>IF(V154=0,0,13)</f>
        <v>0</v>
      </c>
      <c r="AF154" s="1637">
        <f>SUM(V154:V161)/($B$139-B153)</f>
        <v>0</v>
      </c>
      <c r="AG154" s="1638"/>
      <c r="AH154" s="450">
        <f>SUM(D143:D154)+$C$142</f>
        <v>0</v>
      </c>
      <c r="AI154" s="1639" t="b">
        <f t="shared" si="12"/>
        <v>0</v>
      </c>
      <c r="AJ154" s="718">
        <f t="shared" si="16"/>
        <v>66.255548399999995</v>
      </c>
      <c r="AK154" s="1639">
        <f t="shared" si="31"/>
        <v>0.91535047595051022</v>
      </c>
      <c r="AL154" s="1639">
        <f t="shared" si="17"/>
        <v>278.56028065668761</v>
      </c>
      <c r="AM154" s="1640">
        <f t="shared" si="18"/>
        <v>50.018549700000001</v>
      </c>
      <c r="AN154" s="1639">
        <f t="shared" si="19"/>
        <v>0.76625250760411079</v>
      </c>
      <c r="AO154" s="1641">
        <f t="shared" si="20"/>
        <v>213.83080789825695</v>
      </c>
      <c r="AP154" s="287">
        <f t="shared" si="21"/>
        <v>-15.019135733383072</v>
      </c>
      <c r="AQ154" s="444">
        <f t="shared" si="32"/>
        <v>-445.5</v>
      </c>
      <c r="AR154" s="444">
        <f t="shared" si="33"/>
        <v>-416.2</v>
      </c>
      <c r="AS154" s="445">
        <f t="shared" si="22"/>
        <v>492.39108855494453</v>
      </c>
      <c r="AT154" s="445">
        <f t="shared" si="23"/>
        <v>-213.83080789825695</v>
      </c>
      <c r="AU154" s="445">
        <f t="shared" si="24"/>
        <v>198.81167216487387</v>
      </c>
      <c r="AV154" s="447"/>
      <c r="AW154" s="447">
        <f t="shared" si="25"/>
        <v>-248.15183690700127</v>
      </c>
      <c r="AX154" s="1597">
        <f t="shared" si="26"/>
        <v>-168.04816309299872</v>
      </c>
      <c r="AY154" s="1597">
        <f t="shared" si="27"/>
        <v>-46.745573776861782</v>
      </c>
      <c r="AZ154" s="1642">
        <f t="shared" si="28"/>
        <v>-69.027829798892242</v>
      </c>
      <c r="BA154" s="274">
        <f t="shared" si="34"/>
        <v>46.745573776861782</v>
      </c>
      <c r="BB154" s="275">
        <f t="shared" si="34"/>
        <v>69.027829798892242</v>
      </c>
      <c r="BD154" s="136"/>
      <c r="BF154" s="35"/>
      <c r="EK154" s="78"/>
      <c r="EL154" s="78"/>
    </row>
    <row r="155" spans="2:142" ht="21" thickBot="1" x14ac:dyDescent="0.25">
      <c r="B155" s="277">
        <v>14</v>
      </c>
      <c r="C155" s="278"/>
      <c r="D155" s="25">
        <v>0</v>
      </c>
      <c r="E155" s="257" t="s">
        <v>130</v>
      </c>
      <c r="F155" s="258"/>
      <c r="G155" s="258"/>
      <c r="H155" s="1632">
        <v>279.06049999999999</v>
      </c>
      <c r="I155" s="1633">
        <v>79.962900599999998</v>
      </c>
      <c r="J155" s="474">
        <f t="shared" si="29"/>
        <v>79.962900599999998</v>
      </c>
      <c r="K155" s="474">
        <f t="shared" si="4"/>
        <v>39.981450299999999</v>
      </c>
      <c r="L155" s="474">
        <f t="shared" si="5"/>
        <v>0.64253956655634092</v>
      </c>
      <c r="M155" s="474">
        <f t="shared" si="6"/>
        <v>179.30741271299578</v>
      </c>
      <c r="N155" s="474">
        <f t="shared" si="7"/>
        <v>358.61482542599157</v>
      </c>
      <c r="O155" s="474">
        <f>+C142+D143+D144+D145+D146+D147+D148+D149+D150+D151+D152+D153+D154+(D155/2)</f>
        <v>0</v>
      </c>
      <c r="P155" s="474">
        <f t="shared" si="8"/>
        <v>0</v>
      </c>
      <c r="Q155" s="474">
        <f t="shared" si="9"/>
        <v>0</v>
      </c>
      <c r="R155" s="474">
        <f t="shared" si="13"/>
        <v>213.83080000000001</v>
      </c>
      <c r="S155" s="474">
        <f t="shared" si="30"/>
        <v>213.83080000000001</v>
      </c>
      <c r="T155" s="476">
        <f t="shared" si="10"/>
        <v>213.83080000000001</v>
      </c>
      <c r="V155" s="1635">
        <f t="shared" si="11"/>
        <v>0</v>
      </c>
      <c r="W155" s="437"/>
      <c r="X155" s="437"/>
      <c r="Y155" s="437"/>
      <c r="Z155" s="437"/>
      <c r="AA155" s="437"/>
      <c r="AB155" s="295" t="str">
        <f t="shared" si="14"/>
        <v>use the locking pin</v>
      </c>
      <c r="AC155" s="1636" t="b">
        <f>IF(AD155=14,AF155)</f>
        <v>0</v>
      </c>
      <c r="AD155" s="1636">
        <f t="shared" si="15"/>
        <v>1</v>
      </c>
      <c r="AE155" s="1636">
        <f>IF(V155=0,0,14)</f>
        <v>0</v>
      </c>
      <c r="AF155" s="1637">
        <f>SUM(V155:V161)/($B$139-B154)</f>
        <v>0</v>
      </c>
      <c r="AG155" s="1638"/>
      <c r="AH155" s="450">
        <f>SUM(D143:D155)+$C$142</f>
        <v>0</v>
      </c>
      <c r="AI155" s="1639" t="b">
        <f t="shared" si="12"/>
        <v>0</v>
      </c>
      <c r="AJ155" s="718">
        <f t="shared" si="16"/>
        <v>66.255548399999995</v>
      </c>
      <c r="AK155" s="1639">
        <f t="shared" si="31"/>
        <v>0.91535047595051022</v>
      </c>
      <c r="AL155" s="1639">
        <f t="shared" si="17"/>
        <v>278.56028065668761</v>
      </c>
      <c r="AM155" s="1640">
        <f t="shared" si="18"/>
        <v>50.018549700000001</v>
      </c>
      <c r="AN155" s="1639">
        <f t="shared" si="19"/>
        <v>0.76625250760411079</v>
      </c>
      <c r="AO155" s="1641">
        <f t="shared" si="20"/>
        <v>213.83080789825695</v>
      </c>
      <c r="AP155" s="287">
        <f t="shared" si="21"/>
        <v>-13.68724390679666</v>
      </c>
      <c r="AQ155" s="444">
        <f t="shared" si="32"/>
        <v>-486</v>
      </c>
      <c r="AR155" s="444">
        <f t="shared" si="33"/>
        <v>-456.7</v>
      </c>
      <c r="AS155" s="445">
        <f t="shared" si="22"/>
        <v>492.39108855494453</v>
      </c>
      <c r="AT155" s="445">
        <f t="shared" si="23"/>
        <v>-213.83080789825695</v>
      </c>
      <c r="AU155" s="445">
        <f t="shared" si="24"/>
        <v>200.1435639914603</v>
      </c>
      <c r="AV155" s="447"/>
      <c r="AW155" s="447">
        <f t="shared" si="25"/>
        <v>-271.06389122485058</v>
      </c>
      <c r="AX155" s="1597">
        <f t="shared" si="26"/>
        <v>-185.63610877514941</v>
      </c>
      <c r="AY155" s="1597">
        <f t="shared" si="27"/>
        <v>-42.794338809139532</v>
      </c>
      <c r="AZ155" s="1642">
        <f t="shared" si="28"/>
        <v>-62.487842890794639</v>
      </c>
      <c r="BA155" s="274">
        <f t="shared" si="34"/>
        <v>42.794338809139532</v>
      </c>
      <c r="BB155" s="275">
        <f t="shared" si="34"/>
        <v>62.487842890794639</v>
      </c>
      <c r="BD155" s="136"/>
      <c r="BF155" s="35"/>
      <c r="EK155" s="78"/>
      <c r="EL155" s="78"/>
    </row>
    <row r="156" spans="2:142" ht="21" thickBot="1" x14ac:dyDescent="0.25">
      <c r="B156" s="277">
        <v>15</v>
      </c>
      <c r="C156" s="278"/>
      <c r="D156" s="25">
        <v>0</v>
      </c>
      <c r="E156" s="257" t="s">
        <v>130</v>
      </c>
      <c r="F156" s="258"/>
      <c r="G156" s="258"/>
      <c r="H156" s="1632">
        <v>279.06049999999999</v>
      </c>
      <c r="I156" s="1633">
        <v>79.962900599999998</v>
      </c>
      <c r="J156" s="474">
        <f t="shared" si="29"/>
        <v>79.962900599999998</v>
      </c>
      <c r="K156" s="474">
        <f t="shared" si="4"/>
        <v>39.981450299999999</v>
      </c>
      <c r="L156" s="474">
        <f t="shared" si="5"/>
        <v>0.64253956655634092</v>
      </c>
      <c r="M156" s="474">
        <f t="shared" si="6"/>
        <v>179.30741271299578</v>
      </c>
      <c r="N156" s="474">
        <f t="shared" si="7"/>
        <v>358.61482542599157</v>
      </c>
      <c r="O156" s="474">
        <f>+C142+D143+D144+D145+D146+D147+D148+D149+D150+D151+D152+D153+D154+D155+(D156/2)</f>
        <v>0</v>
      </c>
      <c r="P156" s="474">
        <f t="shared" si="8"/>
        <v>0</v>
      </c>
      <c r="Q156" s="474">
        <f t="shared" si="9"/>
        <v>0</v>
      </c>
      <c r="R156" s="474">
        <f t="shared" si="13"/>
        <v>213.83080000000001</v>
      </c>
      <c r="S156" s="474">
        <f t="shared" si="30"/>
        <v>213.83080000000001</v>
      </c>
      <c r="T156" s="476">
        <f t="shared" si="10"/>
        <v>213.83080000000001</v>
      </c>
      <c r="V156" s="1635">
        <f t="shared" si="11"/>
        <v>0</v>
      </c>
      <c r="W156" s="437"/>
      <c r="X156" s="437"/>
      <c r="Y156" s="437"/>
      <c r="Z156" s="437"/>
      <c r="AA156" s="437"/>
      <c r="AB156" s="295" t="str">
        <f t="shared" si="14"/>
        <v>use the locking pin</v>
      </c>
      <c r="AC156" s="1636" t="b">
        <f>IF(AD156=15,AF156)</f>
        <v>0</v>
      </c>
      <c r="AD156" s="1636">
        <f t="shared" si="15"/>
        <v>1</v>
      </c>
      <c r="AE156" s="1636">
        <f>IF(V156=0,0,15)</f>
        <v>0</v>
      </c>
      <c r="AF156" s="1637">
        <f>SUM(V156:V161)/($B$139-B155)</f>
        <v>0</v>
      </c>
      <c r="AG156" s="1638"/>
      <c r="AH156" s="450">
        <f>SUM(D143:D156)+$C$142</f>
        <v>0</v>
      </c>
      <c r="AI156" s="1639" t="b">
        <f t="shared" si="12"/>
        <v>0</v>
      </c>
      <c r="AJ156" s="718">
        <f t="shared" si="16"/>
        <v>66.255548399999995</v>
      </c>
      <c r="AK156" s="1639">
        <f t="shared" si="31"/>
        <v>0.91535047595051022</v>
      </c>
      <c r="AL156" s="1639">
        <f t="shared" si="17"/>
        <v>278.56028065668761</v>
      </c>
      <c r="AM156" s="1640">
        <f t="shared" si="18"/>
        <v>50.018549700000001</v>
      </c>
      <c r="AN156" s="1639">
        <f t="shared" si="19"/>
        <v>0.76625250760411079</v>
      </c>
      <c r="AO156" s="1641">
        <f t="shared" si="20"/>
        <v>213.83080789825695</v>
      </c>
      <c r="AP156" s="287">
        <f t="shared" si="21"/>
        <v>-12.572333652924446</v>
      </c>
      <c r="AQ156" s="444">
        <f t="shared" si="32"/>
        <v>-526.5</v>
      </c>
      <c r="AR156" s="444">
        <f t="shared" si="33"/>
        <v>-497.2</v>
      </c>
      <c r="AS156" s="445">
        <f t="shared" si="22"/>
        <v>492.39108855494453</v>
      </c>
      <c r="AT156" s="445">
        <f t="shared" si="23"/>
        <v>-213.83080789825695</v>
      </c>
      <c r="AU156" s="445">
        <f t="shared" si="24"/>
        <v>201.25847424533251</v>
      </c>
      <c r="AV156" s="447"/>
      <c r="AW156" s="447">
        <f t="shared" si="25"/>
        <v>-293.97594554269983</v>
      </c>
      <c r="AX156" s="1597">
        <f t="shared" si="26"/>
        <v>-203.2240544573001</v>
      </c>
      <c r="AY156" s="1597">
        <f t="shared" si="27"/>
        <v>-39.459010765610778</v>
      </c>
      <c r="AZ156" s="1642">
        <f t="shared" si="28"/>
        <v>-57.079857160498214</v>
      </c>
      <c r="BA156" s="274">
        <f t="shared" si="34"/>
        <v>39.459010765610778</v>
      </c>
      <c r="BB156" s="275">
        <f t="shared" si="34"/>
        <v>57.079857160498214</v>
      </c>
      <c r="BD156" s="136"/>
      <c r="BF156" s="35"/>
      <c r="EK156" s="78"/>
      <c r="EL156" s="78"/>
    </row>
    <row r="157" spans="2:142" ht="21" thickBot="1" x14ac:dyDescent="0.25">
      <c r="B157" s="277">
        <v>16</v>
      </c>
      <c r="C157" s="278"/>
      <c r="D157" s="25">
        <v>0</v>
      </c>
      <c r="E157" s="257" t="s">
        <v>130</v>
      </c>
      <c r="F157" s="258"/>
      <c r="G157" s="258"/>
      <c r="H157" s="1632">
        <v>279.06049999999999</v>
      </c>
      <c r="I157" s="1633">
        <v>79.962900599999998</v>
      </c>
      <c r="J157" s="474">
        <f t="shared" si="29"/>
        <v>79.962900599999998</v>
      </c>
      <c r="K157" s="474">
        <f t="shared" si="4"/>
        <v>39.981450299999999</v>
      </c>
      <c r="L157" s="474">
        <f t="shared" si="5"/>
        <v>0.64253956655634092</v>
      </c>
      <c r="M157" s="474">
        <f t="shared" si="6"/>
        <v>179.30741271299578</v>
      </c>
      <c r="N157" s="474">
        <f t="shared" si="7"/>
        <v>358.61482542599157</v>
      </c>
      <c r="O157" s="474">
        <f>+C142+D143+D144+D145+D146+D147+D148+D149+D150+D151+D152+D153+D154+D155+D156+(D157/2)</f>
        <v>0</v>
      </c>
      <c r="P157" s="474">
        <f t="shared" si="8"/>
        <v>0</v>
      </c>
      <c r="Q157" s="474">
        <f t="shared" si="9"/>
        <v>0</v>
      </c>
      <c r="R157" s="474">
        <f t="shared" si="13"/>
        <v>213.83080000000001</v>
      </c>
      <c r="S157" s="474">
        <f t="shared" si="30"/>
        <v>213.83080000000001</v>
      </c>
      <c r="T157" s="476">
        <f t="shared" si="10"/>
        <v>213.83080000000001</v>
      </c>
      <c r="V157" s="1635">
        <f t="shared" si="11"/>
        <v>0</v>
      </c>
      <c r="W157" s="437"/>
      <c r="X157" s="437"/>
      <c r="Y157" s="437"/>
      <c r="Z157" s="437"/>
      <c r="AA157" s="437"/>
      <c r="AB157" s="295" t="str">
        <f t="shared" si="14"/>
        <v>use the locking pin</v>
      </c>
      <c r="AC157" s="1636" t="b">
        <f>IF(AD157=16,AF157)</f>
        <v>0</v>
      </c>
      <c r="AD157" s="1636">
        <f t="shared" si="15"/>
        <v>1</v>
      </c>
      <c r="AE157" s="1636">
        <f>IF(V157=0,0,16)</f>
        <v>0</v>
      </c>
      <c r="AF157" s="1637">
        <f>SUM(V157:V161)/($B$139-B156)</f>
        <v>0</v>
      </c>
      <c r="AG157" s="1638"/>
      <c r="AH157" s="450">
        <f>SUM(D143:D157)+$C$142</f>
        <v>0</v>
      </c>
      <c r="AI157" s="1639" t="b">
        <f t="shared" si="12"/>
        <v>0</v>
      </c>
      <c r="AJ157" s="718">
        <f t="shared" si="16"/>
        <v>66.255548399999995</v>
      </c>
      <c r="AK157" s="1639">
        <f t="shared" si="31"/>
        <v>0.91535047595051022</v>
      </c>
      <c r="AL157" s="1639">
        <f t="shared" si="17"/>
        <v>278.56028065668761</v>
      </c>
      <c r="AM157" s="1640">
        <f t="shared" si="18"/>
        <v>50.018549700000001</v>
      </c>
      <c r="AN157" s="1639">
        <f t="shared" si="19"/>
        <v>0.76625250760411079</v>
      </c>
      <c r="AO157" s="1641">
        <f t="shared" si="20"/>
        <v>213.83080789825695</v>
      </c>
      <c r="AP157" s="287">
        <f t="shared" si="21"/>
        <v>-11.625375287770195</v>
      </c>
      <c r="AQ157" s="444">
        <f t="shared" si="32"/>
        <v>-567</v>
      </c>
      <c r="AR157" s="444">
        <f t="shared" si="33"/>
        <v>-537.70000000000005</v>
      </c>
      <c r="AS157" s="445">
        <f t="shared" si="22"/>
        <v>492.39108855494453</v>
      </c>
      <c r="AT157" s="445">
        <f t="shared" si="23"/>
        <v>-213.83080789825695</v>
      </c>
      <c r="AU157" s="445">
        <f t="shared" si="24"/>
        <v>202.20543261048675</v>
      </c>
      <c r="AV157" s="447"/>
      <c r="AW157" s="447">
        <f t="shared" si="25"/>
        <v>-316.88799986054926</v>
      </c>
      <c r="AX157" s="1597">
        <f t="shared" si="26"/>
        <v>-220.81200013945079</v>
      </c>
      <c r="AY157" s="1597">
        <f t="shared" si="27"/>
        <v>-36.605993300802595</v>
      </c>
      <c r="AZ157" s="1642">
        <f t="shared" si="28"/>
        <v>-52.533376776054652</v>
      </c>
      <c r="BA157" s="274">
        <f t="shared" si="34"/>
        <v>36.605993300802595</v>
      </c>
      <c r="BB157" s="275">
        <f t="shared" si="34"/>
        <v>52.533376776054652</v>
      </c>
      <c r="BD157" s="136"/>
      <c r="BF157" s="35"/>
      <c r="EK157" s="78"/>
      <c r="EL157" s="78"/>
    </row>
    <row r="158" spans="2:142" ht="21" thickBot="1" x14ac:dyDescent="0.25">
      <c r="B158" s="277">
        <v>17</v>
      </c>
      <c r="C158" s="278"/>
      <c r="D158" s="25">
        <v>0</v>
      </c>
      <c r="E158" s="257" t="s">
        <v>130</v>
      </c>
      <c r="F158" s="258"/>
      <c r="G158" s="258"/>
      <c r="H158" s="1632">
        <v>279.06049999999999</v>
      </c>
      <c r="I158" s="1633">
        <v>79.962900599999998</v>
      </c>
      <c r="J158" s="474">
        <f t="shared" si="29"/>
        <v>79.962900599999998</v>
      </c>
      <c r="K158" s="474">
        <f t="shared" si="4"/>
        <v>39.981450299999999</v>
      </c>
      <c r="L158" s="474">
        <f t="shared" si="5"/>
        <v>0.64253956655634092</v>
      </c>
      <c r="M158" s="474">
        <f t="shared" si="6"/>
        <v>179.30741271299578</v>
      </c>
      <c r="N158" s="474">
        <f t="shared" si="7"/>
        <v>358.61482542599157</v>
      </c>
      <c r="O158" s="474">
        <f>+C142+D143+D144+D145+D146+D147+D148+D149+D150+D151+D152+D153+D154+D155+D156+D157+(D158/2)</f>
        <v>0</v>
      </c>
      <c r="P158" s="474">
        <f t="shared" si="8"/>
        <v>0</v>
      </c>
      <c r="Q158" s="474">
        <f t="shared" si="9"/>
        <v>0</v>
      </c>
      <c r="R158" s="474">
        <f t="shared" si="13"/>
        <v>213.83080000000001</v>
      </c>
      <c r="S158" s="474">
        <f t="shared" si="30"/>
        <v>213.83080000000001</v>
      </c>
      <c r="T158" s="476">
        <f t="shared" si="10"/>
        <v>213.83080000000001</v>
      </c>
      <c r="V158" s="1635">
        <f t="shared" si="11"/>
        <v>0</v>
      </c>
      <c r="W158" s="437"/>
      <c r="X158" s="437"/>
      <c r="Y158" s="437"/>
      <c r="Z158" s="437"/>
      <c r="AA158" s="437"/>
      <c r="AB158" s="295" t="str">
        <f t="shared" si="14"/>
        <v>use the locking pin</v>
      </c>
      <c r="AC158" s="1636" t="b">
        <f>IF(AD158=17,AF158)</f>
        <v>0</v>
      </c>
      <c r="AD158" s="1636">
        <f t="shared" si="15"/>
        <v>1</v>
      </c>
      <c r="AE158" s="1636">
        <f>IF(V158=0,0,17)</f>
        <v>0</v>
      </c>
      <c r="AF158" s="1637">
        <f>SUM(V158:V161)/($B$139-B157)</f>
        <v>0</v>
      </c>
      <c r="AG158" s="1638"/>
      <c r="AH158" s="450">
        <f>SUM(D143:D158)+$C$142</f>
        <v>0</v>
      </c>
      <c r="AI158" s="1639" t="b">
        <f t="shared" si="12"/>
        <v>0</v>
      </c>
      <c r="AJ158" s="718">
        <f t="shared" si="16"/>
        <v>66.255548399999995</v>
      </c>
      <c r="AK158" s="1639">
        <f t="shared" si="31"/>
        <v>0.91535047595051022</v>
      </c>
      <c r="AL158" s="1639">
        <f t="shared" si="17"/>
        <v>278.56028065668761</v>
      </c>
      <c r="AM158" s="1640">
        <f t="shared" si="18"/>
        <v>50.018549700000001</v>
      </c>
      <c r="AN158" s="1639">
        <f t="shared" si="19"/>
        <v>0.76625250760411079</v>
      </c>
      <c r="AO158" s="1641">
        <f t="shared" si="20"/>
        <v>213.83080789825695</v>
      </c>
      <c r="AP158" s="287">
        <f t="shared" si="21"/>
        <v>-10.811076257755161</v>
      </c>
      <c r="AQ158" s="444">
        <f t="shared" si="32"/>
        <v>-607.5</v>
      </c>
      <c r="AR158" s="444">
        <f t="shared" si="33"/>
        <v>-578.20000000000005</v>
      </c>
      <c r="AS158" s="445">
        <f t="shared" si="22"/>
        <v>492.39108855494453</v>
      </c>
      <c r="AT158" s="445">
        <f t="shared" si="23"/>
        <v>-213.83080789825695</v>
      </c>
      <c r="AU158" s="445">
        <f t="shared" si="24"/>
        <v>203.01973164050179</v>
      </c>
      <c r="AV158" s="447"/>
      <c r="AW158" s="447">
        <f t="shared" si="25"/>
        <v>-339.80005417839857</v>
      </c>
      <c r="AX158" s="1597">
        <f t="shared" si="26"/>
        <v>-238.39994582160145</v>
      </c>
      <c r="AY158" s="1597">
        <f t="shared" si="27"/>
        <v>-34.137722632350965</v>
      </c>
      <c r="AZ158" s="1642">
        <f t="shared" si="28"/>
        <v>-48.657729178682231</v>
      </c>
      <c r="BA158" s="274">
        <f t="shared" si="34"/>
        <v>34.137722632350965</v>
      </c>
      <c r="BB158" s="275">
        <f t="shared" si="34"/>
        <v>48.657729178682231</v>
      </c>
      <c r="BD158" s="136"/>
      <c r="BF158" s="35"/>
      <c r="EK158" s="78"/>
      <c r="EL158" s="78"/>
    </row>
    <row r="159" spans="2:142" ht="21" thickBot="1" x14ac:dyDescent="0.25">
      <c r="B159" s="277">
        <v>18</v>
      </c>
      <c r="C159" s="278"/>
      <c r="D159" s="25">
        <v>0</v>
      </c>
      <c r="E159" s="257" t="s">
        <v>130</v>
      </c>
      <c r="F159" s="258"/>
      <c r="G159" s="258"/>
      <c r="H159" s="1632">
        <v>279.06049999999999</v>
      </c>
      <c r="I159" s="1633">
        <v>79.962900599999998</v>
      </c>
      <c r="J159" s="474">
        <f t="shared" si="29"/>
        <v>79.962900599999998</v>
      </c>
      <c r="K159" s="474">
        <f t="shared" si="4"/>
        <v>39.981450299999999</v>
      </c>
      <c r="L159" s="474">
        <f t="shared" si="5"/>
        <v>0.64253956655634092</v>
      </c>
      <c r="M159" s="474">
        <f t="shared" si="6"/>
        <v>179.30741271299578</v>
      </c>
      <c r="N159" s="474">
        <f t="shared" si="7"/>
        <v>358.61482542599157</v>
      </c>
      <c r="O159" s="474">
        <f>+C142+D143+D144+D145+D146+D147+D148+D149+D150+D151+D152+D153+D154+D155+D156+D157+D158+(D159/2)</f>
        <v>0</v>
      </c>
      <c r="P159" s="474">
        <f t="shared" si="8"/>
        <v>0</v>
      </c>
      <c r="Q159" s="474">
        <f t="shared" si="9"/>
        <v>0</v>
      </c>
      <c r="R159" s="474">
        <f t="shared" si="13"/>
        <v>213.83080000000001</v>
      </c>
      <c r="S159" s="474">
        <f t="shared" si="30"/>
        <v>213.83080000000001</v>
      </c>
      <c r="T159" s="476">
        <f t="shared" si="10"/>
        <v>213.83080000000001</v>
      </c>
      <c r="V159" s="1635">
        <f t="shared" si="11"/>
        <v>0</v>
      </c>
      <c r="W159" s="437"/>
      <c r="X159" s="437"/>
      <c r="Y159" s="437"/>
      <c r="Z159" s="437"/>
      <c r="AA159" s="437"/>
      <c r="AB159" s="295" t="str">
        <f t="shared" si="14"/>
        <v>use the locking pin</v>
      </c>
      <c r="AC159" s="1636" t="b">
        <f>IF(AD159=18,AF159)</f>
        <v>0</v>
      </c>
      <c r="AD159" s="1636">
        <f t="shared" si="15"/>
        <v>1</v>
      </c>
      <c r="AE159" s="1636">
        <f>IF(V159=0,0,18)</f>
        <v>0</v>
      </c>
      <c r="AF159" s="1637">
        <f>SUM(V159:V161)/($B$139-B158)</f>
        <v>0</v>
      </c>
      <c r="AG159" s="1638"/>
      <c r="AH159" s="450">
        <f>SUM(D143:D159)+$C$142</f>
        <v>0</v>
      </c>
      <c r="AI159" s="1639" t="b">
        <f t="shared" si="12"/>
        <v>0</v>
      </c>
      <c r="AJ159" s="718">
        <f t="shared" si="16"/>
        <v>66.255548399999995</v>
      </c>
      <c r="AK159" s="1639">
        <f t="shared" si="31"/>
        <v>0.91535047595051022</v>
      </c>
      <c r="AL159" s="1639">
        <f t="shared" si="17"/>
        <v>278.56028065668761</v>
      </c>
      <c r="AM159" s="1640">
        <f t="shared" si="18"/>
        <v>50.018549700000001</v>
      </c>
      <c r="AN159" s="1639">
        <f t="shared" si="19"/>
        <v>0.76625250760411079</v>
      </c>
      <c r="AO159" s="1641">
        <f t="shared" si="20"/>
        <v>213.83080789825695</v>
      </c>
      <c r="AP159" s="287">
        <f t="shared" si="21"/>
        <v>-10.103384988256076</v>
      </c>
      <c r="AQ159" s="444">
        <f t="shared" si="32"/>
        <v>-648</v>
      </c>
      <c r="AR159" s="444">
        <f t="shared" si="33"/>
        <v>-618.70000000000005</v>
      </c>
      <c r="AS159" s="445">
        <f t="shared" si="22"/>
        <v>492.39108855494453</v>
      </c>
      <c r="AT159" s="445">
        <f t="shared" si="23"/>
        <v>-213.83080789825695</v>
      </c>
      <c r="AU159" s="445">
        <f t="shared" si="24"/>
        <v>203.72742291000088</v>
      </c>
      <c r="AV159" s="447"/>
      <c r="AW159" s="447">
        <f t="shared" si="25"/>
        <v>-362.71210849624788</v>
      </c>
      <c r="AX159" s="1597">
        <f t="shared" si="26"/>
        <v>-255.98789150375214</v>
      </c>
      <c r="AY159" s="1597">
        <f t="shared" si="27"/>
        <v>-31.981286889185828</v>
      </c>
      <c r="AZ159" s="1642">
        <f t="shared" si="28"/>
        <v>-45.314643328862189</v>
      </c>
      <c r="BA159" s="274">
        <f t="shared" si="34"/>
        <v>31.981286889185828</v>
      </c>
      <c r="BB159" s="275">
        <f t="shared" si="34"/>
        <v>45.314643328862189</v>
      </c>
      <c r="BD159" s="136"/>
      <c r="BF159" s="35"/>
      <c r="EK159" s="78"/>
      <c r="EL159" s="78"/>
    </row>
    <row r="160" spans="2:142" ht="21" thickBot="1" x14ac:dyDescent="0.25">
      <c r="B160" s="277">
        <v>19</v>
      </c>
      <c r="C160" s="278"/>
      <c r="D160" s="25">
        <v>0</v>
      </c>
      <c r="E160" s="257" t="s">
        <v>130</v>
      </c>
      <c r="F160" s="258"/>
      <c r="G160" s="258"/>
      <c r="H160" s="1632">
        <v>279.06049999999999</v>
      </c>
      <c r="I160" s="1633">
        <v>79.962900599999998</v>
      </c>
      <c r="J160" s="474">
        <f t="shared" si="29"/>
        <v>79.962900599999998</v>
      </c>
      <c r="K160" s="474">
        <f t="shared" si="4"/>
        <v>39.981450299999999</v>
      </c>
      <c r="L160" s="474">
        <f t="shared" si="5"/>
        <v>0.64253956655634092</v>
      </c>
      <c r="M160" s="474">
        <f t="shared" si="6"/>
        <v>179.30741271299578</v>
      </c>
      <c r="N160" s="474">
        <f t="shared" si="7"/>
        <v>358.61482542599157</v>
      </c>
      <c r="O160" s="474">
        <f>+C142+D143+D144+D145+D146+D147+D148+D149+D150+D151+D152+D153+D154+D155+D156+D157+D158+D159+(D160/2)</f>
        <v>0</v>
      </c>
      <c r="P160" s="474">
        <f t="shared" si="8"/>
        <v>0</v>
      </c>
      <c r="Q160" s="474">
        <f t="shared" si="9"/>
        <v>0</v>
      </c>
      <c r="R160" s="474">
        <f t="shared" si="13"/>
        <v>213.83080000000001</v>
      </c>
      <c r="S160" s="474">
        <f t="shared" si="30"/>
        <v>213.83080000000001</v>
      </c>
      <c r="T160" s="476">
        <f t="shared" si="10"/>
        <v>213.83080000000001</v>
      </c>
      <c r="V160" s="1635">
        <f t="shared" si="11"/>
        <v>0</v>
      </c>
      <c r="W160" s="437"/>
      <c r="X160" s="437"/>
      <c r="Y160" s="437"/>
      <c r="Z160" s="437"/>
      <c r="AA160" s="437"/>
      <c r="AB160" s="258" t="str">
        <f t="shared" si="14"/>
        <v>use the locking pin</v>
      </c>
      <c r="AC160" s="1636" t="b">
        <f>IF(AD160=19,AF160)</f>
        <v>0</v>
      </c>
      <c r="AD160" s="1636">
        <f t="shared" si="15"/>
        <v>1</v>
      </c>
      <c r="AE160" s="1636">
        <f>IF(V160=0,0,19)</f>
        <v>0</v>
      </c>
      <c r="AF160" s="1637">
        <f>SUM(V160:V161)/($B$139-B159)</f>
        <v>0</v>
      </c>
      <c r="AG160" s="1638"/>
      <c r="AH160" s="450">
        <f>SUM(D143:D160)+$C$142</f>
        <v>0</v>
      </c>
      <c r="AI160" s="1639" t="b">
        <f t="shared" si="12"/>
        <v>0</v>
      </c>
      <c r="AJ160" s="718">
        <f t="shared" si="16"/>
        <v>66.255548399999995</v>
      </c>
      <c r="AK160" s="1639">
        <f t="shared" si="31"/>
        <v>0.91535047595051022</v>
      </c>
      <c r="AL160" s="1639">
        <f t="shared" si="17"/>
        <v>278.56028065668761</v>
      </c>
      <c r="AM160" s="1640">
        <f t="shared" si="18"/>
        <v>50.018549700000001</v>
      </c>
      <c r="AN160" s="1639">
        <f t="shared" si="19"/>
        <v>0.76625250760411079</v>
      </c>
      <c r="AO160" s="1641">
        <f t="shared" si="20"/>
        <v>213.83080789825695</v>
      </c>
      <c r="AP160" s="287">
        <f t="shared" si="21"/>
        <v>-9.4826521423453194</v>
      </c>
      <c r="AQ160" s="444">
        <f t="shared" si="32"/>
        <v>-688.5</v>
      </c>
      <c r="AR160" s="444">
        <f t="shared" si="33"/>
        <v>-659.2</v>
      </c>
      <c r="AS160" s="445">
        <f t="shared" si="22"/>
        <v>492.39108855494453</v>
      </c>
      <c r="AT160" s="445">
        <f t="shared" si="23"/>
        <v>-213.83080789825695</v>
      </c>
      <c r="AU160" s="445">
        <f t="shared" si="24"/>
        <v>204.34815575591162</v>
      </c>
      <c r="AV160" s="447"/>
      <c r="AW160" s="447">
        <f t="shared" si="25"/>
        <v>-385.62416281409725</v>
      </c>
      <c r="AX160" s="1597">
        <f t="shared" si="26"/>
        <v>-273.5758371859028</v>
      </c>
      <c r="AY160" s="1597">
        <f t="shared" si="27"/>
        <v>-30.081102582755324</v>
      </c>
      <c r="AZ160" s="1642">
        <f t="shared" si="28"/>
        <v>-42.401405472506916</v>
      </c>
      <c r="BA160" s="274">
        <f t="shared" ref="BA160:BB161" si="35">ABS(AY160)</f>
        <v>30.081102582755324</v>
      </c>
      <c r="BB160" s="275">
        <f t="shared" si="35"/>
        <v>42.401405472506916</v>
      </c>
      <c r="BD160" s="136"/>
      <c r="BF160" s="35"/>
      <c r="EK160" s="78"/>
      <c r="EL160" s="78"/>
    </row>
    <row r="161" spans="2:142" ht="21" thickBot="1" x14ac:dyDescent="0.25">
      <c r="B161" s="277">
        <v>20</v>
      </c>
      <c r="C161" s="278"/>
      <c r="D161" s="25">
        <v>0</v>
      </c>
      <c r="E161" s="257" t="s">
        <v>130</v>
      </c>
      <c r="F161" s="258"/>
      <c r="G161" s="258"/>
      <c r="H161" s="1632">
        <v>279.06049999999999</v>
      </c>
      <c r="I161" s="1633">
        <v>79.962900599999998</v>
      </c>
      <c r="J161" s="474">
        <f t="shared" si="29"/>
        <v>79.962900599999998</v>
      </c>
      <c r="K161" s="474">
        <f t="shared" si="4"/>
        <v>39.981450299999999</v>
      </c>
      <c r="L161" s="474">
        <f t="shared" si="5"/>
        <v>0.64253956655634092</v>
      </c>
      <c r="M161" s="474">
        <f t="shared" si="6"/>
        <v>179.30741271299578</v>
      </c>
      <c r="N161" s="474">
        <f t="shared" si="7"/>
        <v>358.61482542599157</v>
      </c>
      <c r="O161" s="64">
        <f>+C142+D143+D144+D145+D146+D147+D148+D149+D150+D151+D152+D153+D154+D155+D156+D157+D158+D159+D160+(D161/2)</f>
        <v>0</v>
      </c>
      <c r="P161" s="474">
        <f t="shared" si="8"/>
        <v>0</v>
      </c>
      <c r="Q161" s="474">
        <f t="shared" si="9"/>
        <v>0</v>
      </c>
      <c r="R161" s="474">
        <f t="shared" si="13"/>
        <v>213.83080000000001</v>
      </c>
      <c r="S161" s="474">
        <f t="shared" si="30"/>
        <v>213.83080000000001</v>
      </c>
      <c r="T161" s="476">
        <f t="shared" si="10"/>
        <v>213.83080000000001</v>
      </c>
      <c r="V161" s="1635">
        <f t="shared" si="11"/>
        <v>0</v>
      </c>
      <c r="W161" s="437"/>
      <c r="X161" s="437"/>
      <c r="Y161" s="437"/>
      <c r="Z161" s="437"/>
      <c r="AA161" s="437"/>
      <c r="AB161" s="281" t="str">
        <f t="shared" si="14"/>
        <v>use the locking pin</v>
      </c>
      <c r="AC161" s="1636" t="b">
        <f>IF(AD161=20,AF161)</f>
        <v>0</v>
      </c>
      <c r="AD161" s="1636">
        <f t="shared" si="15"/>
        <v>1</v>
      </c>
      <c r="AE161" s="1636">
        <f>IF(V161=0,0,20)</f>
        <v>0</v>
      </c>
      <c r="AF161" s="1637">
        <f t="shared" ref="AF161" si="36">SUM(V161)/($B$139-B160)</f>
        <v>0</v>
      </c>
      <c r="AG161" s="1638"/>
      <c r="AH161" s="450">
        <f>SUM(D143:D161)+$C$142</f>
        <v>0</v>
      </c>
      <c r="AI161" s="1639" t="b">
        <f t="shared" si="12"/>
        <v>0</v>
      </c>
      <c r="AJ161" s="718">
        <f t="shared" si="16"/>
        <v>66.255548399999995</v>
      </c>
      <c r="AK161" s="1639">
        <f t="shared" si="31"/>
        <v>0.91535047595051022</v>
      </c>
      <c r="AL161" s="1639">
        <f t="shared" si="17"/>
        <v>278.56028065668761</v>
      </c>
      <c r="AM161" s="1640">
        <f t="shared" si="18"/>
        <v>50.018549700000001</v>
      </c>
      <c r="AN161" s="1639">
        <f t="shared" si="19"/>
        <v>0.76625250760411079</v>
      </c>
      <c r="AO161" s="1641">
        <f t="shared" si="20"/>
        <v>213.83080789825695</v>
      </c>
      <c r="AP161" s="287">
        <f t="shared" si="21"/>
        <v>-8.9337777507989617</v>
      </c>
      <c r="AQ161" s="444">
        <f t="shared" si="32"/>
        <v>-729</v>
      </c>
      <c r="AR161" s="444">
        <f t="shared" si="33"/>
        <v>-699.7</v>
      </c>
      <c r="AS161" s="445">
        <f t="shared" si="22"/>
        <v>492.39108855494453</v>
      </c>
      <c r="AT161" s="445">
        <f t="shared" si="23"/>
        <v>-213.83080789825695</v>
      </c>
      <c r="AU161" s="445">
        <f t="shared" si="24"/>
        <v>204.897030147458</v>
      </c>
      <c r="AV161" s="447"/>
      <c r="AW161" s="447">
        <f t="shared" si="25"/>
        <v>-408.53621713194656</v>
      </c>
      <c r="AX161" s="1597">
        <f t="shared" si="26"/>
        <v>-291.16378286805349</v>
      </c>
      <c r="AY161" s="1597">
        <f t="shared" si="27"/>
        <v>-28.394055443690327</v>
      </c>
      <c r="AZ161" s="1642">
        <f t="shared" si="28"/>
        <v>-39.840119831307334</v>
      </c>
      <c r="BA161" s="274">
        <f t="shared" si="35"/>
        <v>28.394055443690327</v>
      </c>
      <c r="BB161" s="275">
        <f t="shared" si="35"/>
        <v>39.840119831307334</v>
      </c>
      <c r="BD161" s="136"/>
      <c r="BF161" s="35"/>
      <c r="EK161" s="78"/>
      <c r="EL161" s="78"/>
    </row>
    <row r="162" spans="2:142" ht="37.5" hidden="1" customHeight="1" x14ac:dyDescent="0.2">
      <c r="B162" s="321"/>
      <c r="D162" s="1599"/>
      <c r="E162" s="543"/>
      <c r="F162" s="543"/>
      <c r="G162" s="543"/>
      <c r="H162" s="66"/>
      <c r="I162" s="66"/>
      <c r="J162" s="543"/>
      <c r="K162" s="543"/>
      <c r="L162" s="543"/>
      <c r="M162" s="543"/>
      <c r="N162" s="543"/>
      <c r="O162" s="543"/>
      <c r="P162" s="543"/>
      <c r="Q162" s="543"/>
      <c r="R162" s="543"/>
      <c r="S162" s="543"/>
      <c r="T162" s="543"/>
      <c r="U162" s="543"/>
      <c r="V162" s="543"/>
      <c r="W162" s="543"/>
      <c r="X162" s="543"/>
      <c r="Y162" s="543"/>
      <c r="Z162" s="543"/>
      <c r="AA162" s="543"/>
      <c r="AB162" s="543"/>
      <c r="AF162" s="437"/>
      <c r="AG162" s="437"/>
      <c r="AH162" s="450"/>
      <c r="AI162" s="717"/>
      <c r="AJ162" s="1600"/>
      <c r="AL162" s="1600"/>
      <c r="AM162" s="1600"/>
      <c r="AN162" s="415"/>
      <c r="AO162" s="1600"/>
      <c r="AP162" s="445"/>
      <c r="AQ162" s="445"/>
      <c r="AR162" s="445"/>
      <c r="AS162" s="445"/>
      <c r="AT162" s="445"/>
      <c r="AU162" s="445"/>
      <c r="AV162" s="445"/>
      <c r="AW162" s="445"/>
      <c r="AX162" s="445"/>
      <c r="AY162" s="1586"/>
      <c r="AZ162" s="1586"/>
      <c r="BA162" s="1586"/>
      <c r="BB162" s="1586"/>
      <c r="BD162" s="136"/>
      <c r="BF162" s="35"/>
      <c r="EK162" s="78"/>
      <c r="EL162" s="78"/>
    </row>
    <row r="163" spans="2:142" ht="43" hidden="1" thickBot="1" x14ac:dyDescent="0.25">
      <c r="B163" s="1923"/>
      <c r="D163" s="1599"/>
      <c r="E163" s="543"/>
      <c r="F163" s="543"/>
      <c r="G163" s="543"/>
      <c r="H163" s="66"/>
      <c r="I163" s="66"/>
      <c r="J163" s="543"/>
      <c r="K163" s="543"/>
      <c r="L163" s="543"/>
      <c r="M163" s="543"/>
      <c r="N163" s="543"/>
      <c r="O163" s="543"/>
      <c r="P163" s="543"/>
      <c r="Q163" s="543"/>
      <c r="R163" s="543"/>
      <c r="S163" s="543"/>
      <c r="T163" s="543"/>
      <c r="U163" s="543"/>
      <c r="V163" s="543"/>
      <c r="W163" s="543"/>
      <c r="X163" s="543"/>
      <c r="Y163" s="543"/>
      <c r="Z163" s="543"/>
      <c r="AA163" s="543"/>
      <c r="AB163" s="543"/>
      <c r="AF163" s="437"/>
      <c r="AG163" s="437"/>
      <c r="AH163" s="554" t="s">
        <v>79</v>
      </c>
      <c r="AI163" s="555">
        <f>MAX(AI142:AI161)</f>
        <v>0</v>
      </c>
      <c r="AJ163" s="1600"/>
      <c r="AL163" s="1600"/>
      <c r="AM163" s="1600"/>
      <c r="AN163" s="415"/>
      <c r="AO163" s="1600"/>
      <c r="AP163" s="445"/>
      <c r="AQ163" s="445"/>
      <c r="AR163" s="445"/>
      <c r="AS163" s="445"/>
      <c r="AT163" s="445"/>
      <c r="AU163" s="445"/>
      <c r="AV163" s="445"/>
      <c r="AW163" s="445"/>
      <c r="AX163" s="445"/>
      <c r="AY163" s="1586"/>
      <c r="AZ163" s="1586"/>
      <c r="BA163" s="1586"/>
      <c r="BB163" s="1586"/>
      <c r="BD163" s="136"/>
      <c r="BF163" s="35"/>
      <c r="EK163" s="78"/>
      <c r="EL163" s="78"/>
    </row>
    <row r="164" spans="2:142" ht="59.25" hidden="1" customHeight="1" thickBot="1" x14ac:dyDescent="0.25">
      <c r="B164" s="1923"/>
      <c r="D164" s="1599"/>
      <c r="E164" s="543"/>
      <c r="F164" s="543"/>
      <c r="G164" s="543"/>
      <c r="H164" s="66"/>
      <c r="I164" s="66"/>
      <c r="J164" s="543"/>
      <c r="K164" s="543"/>
      <c r="L164" s="543"/>
      <c r="M164" s="543"/>
      <c r="N164" s="543"/>
      <c r="O164" s="543"/>
      <c r="P164" s="543"/>
      <c r="Q164" s="543"/>
      <c r="R164" s="543"/>
      <c r="S164" s="543"/>
      <c r="T164" s="543"/>
      <c r="U164" s="543"/>
      <c r="V164" s="543"/>
      <c r="W164" s="543"/>
      <c r="X164" s="543"/>
      <c r="Y164" s="543"/>
      <c r="Z164" s="543"/>
      <c r="AA164" s="543"/>
      <c r="AB164" s="543"/>
      <c r="AF164" s="437"/>
      <c r="AG164" s="437"/>
      <c r="AH164" s="437"/>
      <c r="AI164" s="285"/>
      <c r="AJ164" s="1600"/>
      <c r="AL164" s="1601" t="s">
        <v>190</v>
      </c>
      <c r="AM164" s="1602"/>
      <c r="AN164" s="1602"/>
      <c r="AO164" s="1602"/>
      <c r="AP164" s="1603"/>
      <c r="AQ164" s="445"/>
      <c r="AR164" s="445"/>
      <c r="AS164" s="445"/>
      <c r="AT164" s="445"/>
      <c r="AU164" s="445"/>
      <c r="AV164" s="445"/>
      <c r="AW164" s="445"/>
      <c r="AX164" s="445"/>
      <c r="AY164" s="1586"/>
      <c r="AZ164" s="1586"/>
      <c r="BA164" s="1586"/>
      <c r="BB164" s="1586"/>
      <c r="BD164" s="136"/>
      <c r="BF164" s="35"/>
      <c r="EK164" s="78"/>
      <c r="EL164" s="78"/>
    </row>
    <row r="165" spans="2:142" ht="59.25" hidden="1" customHeight="1" thickBot="1" x14ac:dyDescent="0.25">
      <c r="B165" s="727"/>
      <c r="D165" s="1599"/>
      <c r="E165" s="543"/>
      <c r="F165" s="543"/>
      <c r="G165" s="543"/>
      <c r="H165" s="66"/>
      <c r="I165" s="66"/>
      <c r="J165" s="543"/>
      <c r="K165" s="543"/>
      <c r="L165" s="543"/>
      <c r="M165" s="543"/>
      <c r="N165" s="543"/>
      <c r="O165" s="543"/>
      <c r="P165" s="543"/>
      <c r="Q165" s="543"/>
      <c r="R165" s="543"/>
      <c r="S165" s="543"/>
      <c r="T165" s="543"/>
      <c r="U165" s="543"/>
      <c r="V165" s="543"/>
      <c r="W165" s="543"/>
      <c r="X165" s="543"/>
      <c r="Y165" s="543"/>
      <c r="Z165" s="543"/>
      <c r="AA165" s="543"/>
      <c r="AB165" s="543"/>
      <c r="AF165" s="437"/>
      <c r="AG165" s="437"/>
      <c r="AH165" s="437"/>
      <c r="AI165" s="285"/>
      <c r="AJ165" s="1600"/>
      <c r="AL165" s="1604" t="s">
        <v>175</v>
      </c>
      <c r="AM165" s="1605" t="s">
        <v>176</v>
      </c>
      <c r="AN165" s="1605" t="s">
        <v>177</v>
      </c>
      <c r="AO165" s="1606" t="s">
        <v>181</v>
      </c>
      <c r="AP165" s="1607"/>
      <c r="AQ165" s="445"/>
      <c r="AR165" s="445"/>
      <c r="AS165" s="445"/>
      <c r="AT165" s="445"/>
      <c r="AU165" s="445"/>
      <c r="AV165" s="445"/>
      <c r="AW165" s="445"/>
      <c r="AX165" s="445"/>
      <c r="AY165" s="1586"/>
      <c r="AZ165" s="1586"/>
      <c r="BA165" s="1586"/>
      <c r="BB165" s="1586"/>
      <c r="BD165" s="136"/>
      <c r="BF165" s="35"/>
      <c r="EK165" s="78"/>
      <c r="EL165" s="78"/>
    </row>
    <row r="166" spans="2:142" ht="21" hidden="1" thickBot="1" x14ac:dyDescent="0.25">
      <c r="B166" s="321"/>
      <c r="D166" s="1599"/>
      <c r="E166" s="543"/>
      <c r="F166" s="543"/>
      <c r="G166" s="543"/>
      <c r="H166" s="66"/>
      <c r="I166" s="66"/>
      <c r="J166" s="543"/>
      <c r="K166" s="543"/>
      <c r="L166" s="543"/>
      <c r="M166" s="543"/>
      <c r="N166" s="543"/>
      <c r="O166" s="543"/>
      <c r="P166" s="543"/>
      <c r="Q166" s="543"/>
      <c r="R166" s="543"/>
      <c r="S166" s="543"/>
      <c r="T166" s="543"/>
      <c r="U166" s="543"/>
      <c r="V166" s="543"/>
      <c r="W166" s="543"/>
      <c r="X166" s="543"/>
      <c r="Y166" s="543"/>
      <c r="Z166" s="543"/>
      <c r="AA166" s="543"/>
      <c r="AB166" s="543"/>
      <c r="AF166" s="437"/>
      <c r="AG166" s="437"/>
      <c r="AH166" s="437"/>
      <c r="AI166" s="285"/>
      <c r="AJ166" s="1600"/>
      <c r="AL166" s="1608">
        <v>6.8623010000000004</v>
      </c>
      <c r="AM166" s="1609">
        <f>+(AI163*-1)-AL166</f>
        <v>-6.8623010000000004</v>
      </c>
      <c r="AN166" s="1610">
        <f>COS(AM166*3.14159265358979/180)</f>
        <v>0.99283617366519983</v>
      </c>
      <c r="AO166" s="1611">
        <f>+AN166*378.71303</f>
        <v>375.99999562235405</v>
      </c>
      <c r="AP166" s="1612"/>
      <c r="AQ166" s="445"/>
      <c r="AR166" s="445"/>
      <c r="AS166" s="445"/>
      <c r="AT166" s="445"/>
      <c r="AU166" s="445"/>
      <c r="AV166" s="445"/>
      <c r="AW166" s="445"/>
      <c r="AX166" s="445"/>
      <c r="AY166" s="1586"/>
      <c r="AZ166" s="1586"/>
      <c r="BA166" s="1586"/>
      <c r="BB166" s="1586"/>
      <c r="BD166" s="136"/>
      <c r="BF166" s="35"/>
      <c r="EK166" s="78"/>
      <c r="EL166" s="78"/>
    </row>
    <row r="167" spans="2:142" ht="21" hidden="1" thickBot="1" x14ac:dyDescent="0.25">
      <c r="U167" s="276"/>
      <c r="AH167"/>
      <c r="AI167"/>
      <c r="AL167" s="1601" t="s">
        <v>189</v>
      </c>
      <c r="AM167" s="1613"/>
      <c r="AN167" s="1613"/>
      <c r="AO167" s="1613"/>
      <c r="AP167" s="1614"/>
      <c r="BD167" s="136"/>
      <c r="EK167" s="78"/>
      <c r="EL167" s="78"/>
    </row>
    <row r="168" spans="2:142" ht="126" hidden="1" x14ac:dyDescent="0.2">
      <c r="U168" s="276"/>
      <c r="AH168" s="881"/>
      <c r="AI168" s="882"/>
      <c r="AL168" s="1604"/>
      <c r="AM168" s="1605" t="s">
        <v>194</v>
      </c>
      <c r="AN168" s="1605" t="s">
        <v>193</v>
      </c>
      <c r="AO168" s="1606" t="s">
        <v>206</v>
      </c>
      <c r="AP168" s="1615" t="s">
        <v>191</v>
      </c>
      <c r="AQ168" s="1616" t="s">
        <v>287</v>
      </c>
      <c r="BD168" s="136"/>
      <c r="EK168" s="78"/>
      <c r="EL168" s="78"/>
    </row>
    <row r="169" spans="2:142" ht="21" thickBot="1" x14ac:dyDescent="0.25">
      <c r="U169" s="276"/>
      <c r="AH169" s="881"/>
      <c r="AI169" s="882"/>
      <c r="AL169" s="1617"/>
      <c r="AM169" s="1618">
        <f>+AI163</f>
        <v>0</v>
      </c>
      <c r="AN169" s="1619">
        <f>SIN(AM169*3.14159265358979/180)</f>
        <v>0</v>
      </c>
      <c r="AO169" s="1620">
        <f>+AN169*((+B139*491.5)+119)</f>
        <v>0</v>
      </c>
      <c r="AP169" s="1621">
        <f>+AO166+AO169</f>
        <v>375.99999562235405</v>
      </c>
      <c r="BD169" s="136"/>
      <c r="EK169" s="78"/>
      <c r="EL169" s="78"/>
    </row>
    <row r="170" spans="2:142" ht="68.25" customHeight="1" thickBot="1" x14ac:dyDescent="0.3">
      <c r="B170" s="345" t="s">
        <v>288</v>
      </c>
      <c r="C170" s="454"/>
      <c r="D170" s="455"/>
      <c r="E170" s="37"/>
      <c r="F170" s="37"/>
      <c r="G170" s="37"/>
      <c r="S170" s="728" t="s">
        <v>289</v>
      </c>
      <c r="T170" s="728">
        <f>SUM(V174:V199)/B171</f>
        <v>213.34350003963542</v>
      </c>
      <c r="U170" s="212"/>
      <c r="V170" s="73"/>
      <c r="AB170" s="73"/>
      <c r="AC170" s="73"/>
      <c r="AD170" s="73"/>
      <c r="AE170" s="73"/>
      <c r="AF170" s="73"/>
      <c r="AG170" s="73"/>
      <c r="AH170" s="73"/>
      <c r="AI170" s="73"/>
      <c r="AJ170" s="73"/>
      <c r="AK170" s="73"/>
      <c r="AL170" s="73"/>
      <c r="AM170" s="73"/>
      <c r="AN170" s="73"/>
      <c r="AO170" s="73"/>
      <c r="AP170" s="73"/>
      <c r="AQ170" s="73"/>
      <c r="AR170" s="73"/>
      <c r="AS170" s="73"/>
      <c r="AT170" s="73"/>
      <c r="AU170" s="73"/>
      <c r="AV170" s="73"/>
      <c r="AW170" s="73"/>
      <c r="AX170" s="73"/>
      <c r="AY170" s="73"/>
      <c r="AZ170" s="73"/>
      <c r="BA170" s="73"/>
      <c r="BB170" s="73"/>
      <c r="BC170" s="126"/>
      <c r="BE170" s="136"/>
      <c r="BF170" s="136"/>
      <c r="BG170" s="136"/>
      <c r="BH170" s="136"/>
      <c r="BI170" s="136"/>
      <c r="BJ170" s="136"/>
      <c r="BK170" s="136"/>
      <c r="BL170" s="136"/>
      <c r="BM170" s="402"/>
      <c r="BN170" s="136"/>
      <c r="BO170" s="1717"/>
      <c r="BP170" s="78"/>
      <c r="BQ170" s="199"/>
      <c r="BR170" s="199"/>
      <c r="BS170" s="199"/>
      <c r="BT170" s="199"/>
      <c r="BU170" s="199"/>
      <c r="BV170" s="199"/>
      <c r="BW170" s="199"/>
      <c r="BX170" s="199"/>
      <c r="BY170" s="199"/>
      <c r="BZ170" s="199"/>
      <c r="CA170" s="199"/>
      <c r="CB170" s="199"/>
      <c r="CC170" s="199"/>
      <c r="CD170" s="199"/>
      <c r="CE170" s="199"/>
      <c r="CF170" s="199"/>
      <c r="CG170" s="199"/>
      <c r="CH170" s="199"/>
      <c r="CI170" s="199"/>
      <c r="CJ170" s="199"/>
      <c r="CK170" s="199"/>
      <c r="CL170" s="199"/>
      <c r="CM170" s="199"/>
      <c r="CN170" s="199"/>
      <c r="CO170" s="199"/>
      <c r="CP170" s="199"/>
      <c r="CQ170" s="199"/>
      <c r="CR170" s="199"/>
      <c r="CS170" s="199"/>
      <c r="CT170" s="199"/>
      <c r="CU170" s="199"/>
      <c r="CV170" s="199"/>
      <c r="CW170" s="199"/>
      <c r="CX170" s="199"/>
      <c r="CY170" s="199"/>
      <c r="CZ170" s="199"/>
      <c r="DA170" s="199"/>
      <c r="DB170" s="199"/>
    </row>
    <row r="171" spans="2:142" ht="37.5" customHeight="1" thickBot="1" x14ac:dyDescent="0.3">
      <c r="B171" s="27">
        <v>1</v>
      </c>
      <c r="C171" s="216"/>
      <c r="D171" s="549" t="s">
        <v>290</v>
      </c>
      <c r="E171" s="330"/>
      <c r="F171" s="330"/>
      <c r="G171" s="330"/>
      <c r="H171" s="1622" t="s">
        <v>291</v>
      </c>
      <c r="I171" s="1622" t="s">
        <v>292</v>
      </c>
      <c r="J171" s="1623"/>
      <c r="K171" s="1623"/>
      <c r="L171" s="1623"/>
      <c r="M171" s="1623"/>
      <c r="N171" s="1623"/>
      <c r="O171" s="1623"/>
      <c r="P171" s="1623"/>
      <c r="Q171" s="1623"/>
      <c r="R171" s="1623"/>
      <c r="S171" s="1624"/>
      <c r="T171" s="1625"/>
      <c r="U171" s="401"/>
      <c r="V171" s="1585"/>
      <c r="W171" s="1850" t="s">
        <v>93</v>
      </c>
      <c r="X171" s="1850"/>
      <c r="Y171" s="1850"/>
      <c r="Z171" s="1850"/>
      <c r="AA171" s="1850"/>
      <c r="AB171" s="1585"/>
      <c r="AC171" s="1585"/>
      <c r="AD171" s="1585"/>
      <c r="AE171" s="1585"/>
      <c r="AF171" s="1585"/>
      <c r="AG171" s="1585"/>
      <c r="AH171" s="1585"/>
      <c r="AI171" s="1585"/>
      <c r="AJ171" s="1585"/>
      <c r="AK171" s="1585"/>
      <c r="AL171" s="1585"/>
      <c r="AM171" s="1585"/>
      <c r="AN171" s="1585"/>
      <c r="AO171" s="1585"/>
      <c r="AP171" s="1585"/>
      <c r="AR171" s="1585"/>
      <c r="AS171" s="1585"/>
      <c r="AT171" s="1585"/>
      <c r="AU171" s="1585"/>
      <c r="AV171" s="1585"/>
      <c r="AW171" s="1585"/>
      <c r="AX171" s="1585"/>
      <c r="AY171" s="1585"/>
      <c r="AZ171" s="1585"/>
      <c r="BA171" s="1848" t="s">
        <v>52</v>
      </c>
      <c r="BB171" s="1849"/>
      <c r="BC171" s="218"/>
      <c r="BE171" s="136"/>
      <c r="BF171" s="136"/>
      <c r="BG171" s="136"/>
      <c r="BH171" s="136"/>
      <c r="BI171" s="136"/>
      <c r="BJ171" s="136"/>
      <c r="BK171" s="136"/>
      <c r="BL171" s="136"/>
      <c r="BM171" s="402"/>
      <c r="BN171" s="136"/>
      <c r="BO171" s="1091"/>
      <c r="BP171" s="76"/>
      <c r="BQ171" s="76"/>
      <c r="BR171" s="76"/>
      <c r="BS171" s="76"/>
      <c r="BT171" s="76"/>
      <c r="BU171" s="76"/>
      <c r="BV171" s="202"/>
      <c r="BW171" s="202"/>
      <c r="BX171" s="202"/>
      <c r="BY171" s="202"/>
      <c r="BZ171" s="202"/>
      <c r="CA171" s="202"/>
      <c r="CB171" s="202"/>
      <c r="CC171" s="202"/>
      <c r="CD171" s="202"/>
      <c r="CE171" s="202"/>
      <c r="CF171" s="202"/>
      <c r="CG171" s="202"/>
      <c r="CH171" s="202"/>
      <c r="CI171" s="202"/>
      <c r="CJ171" s="78"/>
      <c r="CK171" s="78"/>
      <c r="CL171" s="78"/>
      <c r="CM171" s="78"/>
      <c r="CN171" s="78"/>
      <c r="CO171" s="78"/>
      <c r="CP171" s="78"/>
      <c r="CQ171" s="78"/>
      <c r="CR171" s="78"/>
      <c r="CS171" s="78"/>
      <c r="CT171" s="78"/>
      <c r="CU171" s="78"/>
      <c r="CV171" s="78"/>
      <c r="CW171" s="78"/>
      <c r="CX171" s="78"/>
      <c r="CY171" s="78"/>
      <c r="CZ171" s="78"/>
      <c r="DA171" s="78"/>
      <c r="DB171" s="78"/>
      <c r="DC171" s="78"/>
      <c r="DD171" s="78"/>
    </row>
    <row r="172" spans="2:142" ht="87" hidden="1" thickBot="1" x14ac:dyDescent="0.3">
      <c r="C172" s="416"/>
      <c r="D172" s="354"/>
      <c r="H172" s="1626" t="s">
        <v>4</v>
      </c>
      <c r="I172" s="1627" t="s">
        <v>1</v>
      </c>
      <c r="J172" s="456" t="s">
        <v>0</v>
      </c>
      <c r="K172" s="456" t="s">
        <v>2</v>
      </c>
      <c r="L172" s="456" t="s">
        <v>3</v>
      </c>
      <c r="M172" s="456" t="s">
        <v>8</v>
      </c>
      <c r="N172" s="456" t="s">
        <v>5</v>
      </c>
      <c r="O172" s="456" t="s">
        <v>6</v>
      </c>
      <c r="P172" s="456" t="s">
        <v>7</v>
      </c>
      <c r="Q172" s="456" t="s">
        <v>9</v>
      </c>
      <c r="R172" s="1628" t="s">
        <v>10</v>
      </c>
      <c r="S172" s="456" t="s">
        <v>11</v>
      </c>
      <c r="T172" s="467" t="s">
        <v>12</v>
      </c>
      <c r="V172" s="420"/>
      <c r="W172" s="1629" t="s">
        <v>293</v>
      </c>
      <c r="X172" s="316" t="s">
        <v>94</v>
      </c>
      <c r="Y172" s="1629" t="s">
        <v>294</v>
      </c>
      <c r="Z172" s="419" t="s">
        <v>100</v>
      </c>
      <c r="AA172" s="419" t="s">
        <v>96</v>
      </c>
      <c r="AB172" s="420"/>
      <c r="AC172" s="457" t="s">
        <v>99</v>
      </c>
      <c r="AD172" s="457"/>
      <c r="AE172" s="457"/>
      <c r="AF172" s="420"/>
      <c r="AG172" s="420"/>
      <c r="AH172" s="420"/>
      <c r="AI172" s="420"/>
      <c r="AJ172" s="1589" t="s">
        <v>295</v>
      </c>
      <c r="AK172" s="420"/>
      <c r="AL172" s="1589" t="s">
        <v>296</v>
      </c>
      <c r="AM172" s="1589" t="s">
        <v>297</v>
      </c>
      <c r="AN172" s="420"/>
      <c r="AO172" s="1589" t="s">
        <v>298</v>
      </c>
      <c r="AP172" s="420"/>
      <c r="AQ172" s="1589" t="s">
        <v>299</v>
      </c>
      <c r="AR172" s="420"/>
      <c r="AS172" s="420"/>
      <c r="AT172" s="420"/>
      <c r="AU172" s="420" t="s">
        <v>300</v>
      </c>
      <c r="AV172" s="420"/>
      <c r="AW172" s="420"/>
      <c r="AX172" s="420"/>
      <c r="AY172" s="415"/>
      <c r="AZ172" s="420"/>
      <c r="BA172" s="420"/>
      <c r="BB172" s="420"/>
      <c r="BC172" s="231"/>
      <c r="BE172" s="136"/>
      <c r="BF172" s="136"/>
      <c r="BG172" s="136"/>
      <c r="BH172" s="136"/>
      <c r="BI172" s="136"/>
      <c r="BJ172" s="136"/>
      <c r="BK172" s="136"/>
      <c r="BL172" s="136"/>
      <c r="BM172" s="402"/>
      <c r="BN172" s="136"/>
      <c r="BO172" s="1091"/>
      <c r="BP172" s="126"/>
      <c r="BQ172" s="126"/>
      <c r="BR172" s="126"/>
      <c r="BS172" s="126"/>
      <c r="BT172" s="126"/>
      <c r="BU172" s="126"/>
      <c r="BV172" s="203"/>
      <c r="BW172" s="203"/>
      <c r="BX172" s="203"/>
      <c r="BY172" s="203"/>
      <c r="BZ172" s="203"/>
      <c r="CA172" s="203"/>
      <c r="CB172" s="203"/>
      <c r="CC172" s="203"/>
      <c r="CD172" s="203"/>
      <c r="CE172" s="203"/>
      <c r="CF172" s="203"/>
      <c r="CG172" s="203"/>
      <c r="CH172" s="203"/>
      <c r="CI172" s="203"/>
    </row>
    <row r="173" spans="2:142" ht="51" customHeight="1" thickBot="1" x14ac:dyDescent="0.25">
      <c r="B173" s="501"/>
      <c r="C173" s="237"/>
      <c r="D173" s="502" t="s">
        <v>22</v>
      </c>
      <c r="E173" s="330"/>
      <c r="F173" s="503"/>
      <c r="G173" s="240"/>
      <c r="H173" s="469"/>
      <c r="I173" s="470"/>
      <c r="R173" s="1628"/>
      <c r="T173" s="471"/>
      <c r="V173" s="420"/>
      <c r="W173" s="420"/>
      <c r="X173" s="420"/>
      <c r="Y173" s="420"/>
      <c r="Z173" s="420"/>
      <c r="AA173" s="420"/>
      <c r="AB173" s="420"/>
      <c r="AC173" s="484">
        <f>SUM(AC174:AC199)</f>
        <v>213.34350003963542</v>
      </c>
      <c r="AD173" s="48"/>
      <c r="AE173" s="48"/>
      <c r="AF173" s="420" t="s">
        <v>38</v>
      </c>
      <c r="AG173" s="552" t="s">
        <v>101</v>
      </c>
      <c r="AH173" s="425" t="s">
        <v>31</v>
      </c>
      <c r="AI173" s="504"/>
      <c r="AJ173" s="1630" t="s">
        <v>301</v>
      </c>
      <c r="AK173" s="426" t="s">
        <v>32</v>
      </c>
      <c r="AL173" s="1631" t="s">
        <v>33</v>
      </c>
      <c r="AM173" s="1630" t="s">
        <v>302</v>
      </c>
      <c r="AN173" s="427" t="s">
        <v>34</v>
      </c>
      <c r="AO173" s="1630" t="s">
        <v>35</v>
      </c>
      <c r="AP173" s="428" t="s">
        <v>48</v>
      </c>
      <c r="AQ173" s="250" t="s">
        <v>36</v>
      </c>
      <c r="AR173" s="428" t="s">
        <v>303</v>
      </c>
      <c r="AS173" s="420" t="s">
        <v>37</v>
      </c>
      <c r="AT173" s="420" t="s">
        <v>39</v>
      </c>
      <c r="AU173" s="428" t="s">
        <v>304</v>
      </c>
      <c r="AV173" s="420" t="s">
        <v>40</v>
      </c>
      <c r="AW173" s="1594" t="s">
        <v>41</v>
      </c>
      <c r="AX173" s="1594" t="s">
        <v>42</v>
      </c>
      <c r="AY173" s="430" t="s">
        <v>23</v>
      </c>
      <c r="AZ173" s="430" t="s">
        <v>24</v>
      </c>
      <c r="BA173" s="557" t="s">
        <v>23</v>
      </c>
      <c r="BB173" s="557" t="s">
        <v>24</v>
      </c>
      <c r="BE173" s="136"/>
      <c r="BF173" s="136"/>
      <c r="BG173" s="136"/>
      <c r="BH173" s="136"/>
      <c r="BI173" s="136"/>
      <c r="BJ173" s="136"/>
      <c r="BM173" s="402"/>
      <c r="BN173" s="73"/>
      <c r="BO173" s="1091"/>
      <c r="BP173" s="64"/>
      <c r="BS173" s="126"/>
      <c r="BT173" s="126"/>
      <c r="BU173" s="126"/>
      <c r="BV173" s="203"/>
      <c r="BW173" s="203"/>
      <c r="BX173" s="203"/>
      <c r="BY173" s="203"/>
      <c r="BZ173" s="203"/>
      <c r="CA173" s="203"/>
      <c r="CB173" s="203"/>
      <c r="CC173" s="203"/>
      <c r="CD173" s="203"/>
      <c r="CE173" s="203"/>
      <c r="CF173" s="203"/>
      <c r="CG173" s="203"/>
      <c r="CH173" s="203"/>
      <c r="CI173" s="203"/>
      <c r="CR173" s="64"/>
    </row>
    <row r="174" spans="2:142" ht="21" customHeight="1" thickBot="1" x14ac:dyDescent="0.25">
      <c r="B174" s="255">
        <v>1</v>
      </c>
      <c r="C174" s="256">
        <f>+D174+AI163</f>
        <v>1</v>
      </c>
      <c r="D174" s="25">
        <v>1</v>
      </c>
      <c r="E174" s="257" t="s">
        <v>337</v>
      </c>
      <c r="F174" s="258"/>
      <c r="G174" s="258">
        <f>+D174</f>
        <v>1</v>
      </c>
      <c r="H174" s="1632">
        <v>251.073172</v>
      </c>
      <c r="I174" s="1633">
        <v>65.636175100000003</v>
      </c>
      <c r="J174" s="474">
        <f>+I174-C174</f>
        <v>64.636175100000003</v>
      </c>
      <c r="K174" s="474">
        <f>+J174/2</f>
        <v>32.318087550000001</v>
      </c>
      <c r="L174" s="474">
        <f t="shared" ref="L174:L199" si="37">SIN(K174*3.14159265358979/180)</f>
        <v>0.53461916118589337</v>
      </c>
      <c r="M174" s="474">
        <f t="shared" ref="M174:M199" si="38">+L174*H174</f>
        <v>134.22852861092153</v>
      </c>
      <c r="N174" s="474">
        <f t="shared" ref="N174:N199" si="39">+M174*2</f>
        <v>268.45705722184306</v>
      </c>
      <c r="O174" s="474">
        <f>+C174/2</f>
        <v>0.5</v>
      </c>
      <c r="P174" s="474">
        <f t="shared" ref="P174:P199" si="40">SIN(O174*3.14159265358979/180)</f>
        <v>8.726535498373926E-3</v>
      </c>
      <c r="Q174" s="474">
        <f t="shared" ref="Q174:Q199" si="41">+P174*N174</f>
        <v>2.3427000396354138</v>
      </c>
      <c r="R174" s="1634">
        <v>211.0008</v>
      </c>
      <c r="S174" s="474">
        <f>+R174+Q174</f>
        <v>213.34350003963542</v>
      </c>
      <c r="T174" s="476">
        <f t="shared" ref="T174:T199" si="42">+S174</f>
        <v>213.34350003963542</v>
      </c>
      <c r="V174" s="1635">
        <f t="shared" ref="V174:V199" si="43">IF(B174&lt;($B$171+1),T174,0)</f>
        <v>213.34350003963542</v>
      </c>
      <c r="W174" s="437">
        <v>32.818087599999998</v>
      </c>
      <c r="X174" s="437">
        <f>+W174+AI201</f>
        <v>33.818087599999998</v>
      </c>
      <c r="Y174" s="437">
        <v>251.073172</v>
      </c>
      <c r="Z174" s="437">
        <f>+COS(X174*3.14159265358979/180)*Y174</f>
        <v>208.59380373499741</v>
      </c>
      <c r="AA174" s="437">
        <f>+AC173-Z174</f>
        <v>4.7496963046380074</v>
      </c>
      <c r="AB174" s="258" t="str">
        <f>IF(AZ174&lt;0,"use the locking pin"," ")</f>
        <v xml:space="preserve"> </v>
      </c>
      <c r="AC174" s="1636">
        <f>IF(AD174=1,AF174)</f>
        <v>213.34350003963542</v>
      </c>
      <c r="AD174" s="1636">
        <f>MAX(AE$174:AE$199)</f>
        <v>1</v>
      </c>
      <c r="AE174" s="1636">
        <f>IF(V174=0,0,1)</f>
        <v>1</v>
      </c>
      <c r="AF174" s="1637">
        <f>SUM(V174:V199)/($B$171)</f>
        <v>213.34350003963542</v>
      </c>
      <c r="AG174" s="1638">
        <f>+AA142+$AF$174</f>
        <v>213.34349120252676</v>
      </c>
      <c r="AH174" s="450">
        <f>C174</f>
        <v>1</v>
      </c>
      <c r="AI174" s="1639">
        <f>IF(B174&lt;($B$171+1),AH174)</f>
        <v>1</v>
      </c>
      <c r="AJ174" s="718">
        <f>75.4990086-AH174</f>
        <v>74.499008599999996</v>
      </c>
      <c r="AK174" s="1639">
        <f t="shared" ref="AK174:AK199" si="44">SIN(AJ174*3.14159265358979/180)</f>
        <v>0.96362582898684701</v>
      </c>
      <c r="AL174" s="1639">
        <f>+AK174*290.642868</f>
        <v>280.07097461561477</v>
      </c>
      <c r="AM174" s="1640">
        <f>57.1819124+AH174</f>
        <v>58.181912400000002</v>
      </c>
      <c r="AN174" s="1639">
        <f>SIN(AM174*3.14159265358979/180)</f>
        <v>0.84972629692714396</v>
      </c>
      <c r="AO174" s="1641">
        <f>+AN174*251.073172</f>
        <v>213.34347670131189</v>
      </c>
      <c r="AP174" s="439"/>
      <c r="AQ174" s="444">
        <f>$C$13*B171</f>
        <v>29.3</v>
      </c>
      <c r="AR174" s="444"/>
      <c r="AS174" s="445">
        <f>+AO174+AL174</f>
        <v>493.41445131692666</v>
      </c>
      <c r="AT174" s="445">
        <f>+V174-AO174</f>
        <v>2.3338323529742411E-5</v>
      </c>
      <c r="AU174" s="445"/>
      <c r="AV174" s="447">
        <f>+AF174-AT174</f>
        <v>213.34347670131189</v>
      </c>
      <c r="AW174" s="447">
        <f>+((AS174-AV174)/AS174)*AQ174</f>
        <v>16.631210404023289</v>
      </c>
      <c r="AX174" s="1597">
        <f>+(AV174/AS174)*AQ174</f>
        <v>12.668789595976712</v>
      </c>
      <c r="AY174" s="1597">
        <f t="shared" ref="AY174:AY199" si="45">2*$C$20/AW174</f>
        <v>697.4838101497304</v>
      </c>
      <c r="AZ174" s="1642">
        <f t="shared" ref="AZ174:AZ199" si="46">$D$20/AX174</f>
        <v>789.34139084413778</v>
      </c>
      <c r="BA174" s="274">
        <f>ABS(AY174)</f>
        <v>697.4838101497304</v>
      </c>
      <c r="BB174" s="275">
        <f>ABS(AZ174)</f>
        <v>789.34139084413778</v>
      </c>
      <c r="BC174" s="1643"/>
      <c r="BM174" s="402"/>
      <c r="BN174" s="73"/>
      <c r="BO174" s="1091"/>
      <c r="BP174" s="64"/>
      <c r="BS174" s="126"/>
      <c r="BT174" s="126"/>
      <c r="BU174" s="126"/>
      <c r="BV174" s="203"/>
      <c r="BW174" s="203"/>
      <c r="BX174" s="203"/>
      <c r="BY174" s="203"/>
      <c r="BZ174" s="203"/>
      <c r="CA174" s="203"/>
      <c r="CB174" s="203"/>
      <c r="CC174" s="203"/>
      <c r="CD174" s="203"/>
      <c r="CE174" s="203"/>
      <c r="CF174" s="203"/>
      <c r="CG174" s="203"/>
      <c r="CH174" s="203"/>
      <c r="CI174" s="203"/>
      <c r="CP174" s="212"/>
      <c r="CR174" s="64"/>
    </row>
    <row r="175" spans="2:142" ht="21" customHeight="1" thickBot="1" x14ac:dyDescent="0.25">
      <c r="B175" s="277">
        <v>2</v>
      </c>
      <c r="C175" s="278"/>
      <c r="D175" s="25">
        <v>1</v>
      </c>
      <c r="E175" s="257" t="s">
        <v>305</v>
      </c>
      <c r="F175" s="258"/>
      <c r="G175" s="258">
        <f>+D175+BC175</f>
        <v>1</v>
      </c>
      <c r="H175" s="1632">
        <v>251.073172</v>
      </c>
      <c r="I175" s="1633">
        <v>65.636175100000003</v>
      </c>
      <c r="J175" s="474">
        <f t="shared" ref="J175:J199" si="47">+I175-D175</f>
        <v>64.636175100000003</v>
      </c>
      <c r="K175" s="474">
        <f t="shared" ref="K175:K199" si="48">+J175/2</f>
        <v>32.318087550000001</v>
      </c>
      <c r="L175" s="474">
        <f t="shared" si="37"/>
        <v>0.53461916118589337</v>
      </c>
      <c r="M175" s="474">
        <f t="shared" si="38"/>
        <v>134.22852861092153</v>
      </c>
      <c r="N175" s="474">
        <f t="shared" si="39"/>
        <v>268.45705722184306</v>
      </c>
      <c r="O175" s="474">
        <f>+C174+(D175/2)</f>
        <v>1.5</v>
      </c>
      <c r="P175" s="474">
        <f t="shared" si="40"/>
        <v>2.6176948307873125E-2</v>
      </c>
      <c r="Q175" s="474">
        <f t="shared" si="41"/>
        <v>7.0273865097799231</v>
      </c>
      <c r="R175" s="474">
        <f t="shared" ref="R175:R199" si="49">+T174</f>
        <v>213.34350003963542</v>
      </c>
      <c r="S175" s="474">
        <f>+R175+Q175</f>
        <v>220.37088654941533</v>
      </c>
      <c r="T175" s="476">
        <f t="shared" si="42"/>
        <v>220.37088654941533</v>
      </c>
      <c r="V175" s="1635">
        <f t="shared" si="43"/>
        <v>0</v>
      </c>
      <c r="W175" s="437"/>
      <c r="X175" s="437"/>
      <c r="Y175" s="437"/>
      <c r="Z175" s="437"/>
      <c r="AA175" s="437"/>
      <c r="AB175" s="280" t="e">
        <f t="shared" ref="AB175:AB199" si="50">IF(AZ175&lt;0,"use the locking pin"," ")</f>
        <v>#DIV/0!</v>
      </c>
      <c r="AC175" s="1636" t="b">
        <f>IF(AD175=2,AF175)</f>
        <v>0</v>
      </c>
      <c r="AD175" s="1636">
        <f t="shared" ref="AD175:AD199" si="51">MAX(AE$174:AE$199)</f>
        <v>1</v>
      </c>
      <c r="AE175" s="1636">
        <f>IF(V175=0,0,2)</f>
        <v>0</v>
      </c>
      <c r="AF175" s="1637" t="e">
        <f>SUM(V175:V199)/($B$171-B174)</f>
        <v>#DIV/0!</v>
      </c>
      <c r="AG175" s="1638"/>
      <c r="AH175" s="450">
        <f>SUM(D175)+$C$174</f>
        <v>2</v>
      </c>
      <c r="AI175" s="1639" t="b">
        <f t="shared" ref="AI175:AI199" si="52">IF(B175&lt;($B$171+1),AH175)</f>
        <v>0</v>
      </c>
      <c r="AJ175" s="718">
        <f t="shared" ref="AJ175:AJ199" si="53">75.4990086-AH175</f>
        <v>73.499008599999996</v>
      </c>
      <c r="AK175" s="1639">
        <f t="shared" si="44"/>
        <v>0.95881482035199095</v>
      </c>
      <c r="AL175" s="1639">
        <f t="shared" ref="AL175:AL199" si="54">+AK175*290.642868</f>
        <v>278.67268926800745</v>
      </c>
      <c r="AM175" s="1640">
        <f t="shared" ref="AM175:AM199" si="55">57.1819124+AH175</f>
        <v>59.181912400000002</v>
      </c>
      <c r="AN175" s="1639">
        <f t="shared" ref="AN175:AN199" si="56">SIN(AM175*3.14159265358979/180)</f>
        <v>0.85879820825488717</v>
      </c>
      <c r="AO175" s="1641">
        <f t="shared" ref="AO175:AO199" si="57">+AN175*251.073172</f>
        <v>215.62119025447112</v>
      </c>
      <c r="AP175" s="287"/>
      <c r="AQ175" s="444">
        <f t="shared" ref="AQ175:AQ199" si="58">$C$13*($B$171-B174)</f>
        <v>0</v>
      </c>
      <c r="AR175" s="444"/>
      <c r="AS175" s="445">
        <f t="shared" ref="AS175:AS199" si="59">+AO175+AL175</f>
        <v>494.29387952247856</v>
      </c>
      <c r="AT175" s="445">
        <f>+V175-AO175</f>
        <v>-215.62119025447112</v>
      </c>
      <c r="AU175" s="445"/>
      <c r="AV175" s="447" t="e">
        <f t="shared" ref="AV175:AV199" si="60">+AF175-AT175</f>
        <v>#DIV/0!</v>
      </c>
      <c r="AW175" s="447" t="e">
        <f t="shared" ref="AW175:AW199" si="61">+((AS175-AV175)/AS175)*AQ175</f>
        <v>#DIV/0!</v>
      </c>
      <c r="AX175" s="1597" t="e">
        <f t="shared" ref="AX175:AX199" si="62">+(AV175/AS175)*AQ175</f>
        <v>#DIV/0!</v>
      </c>
      <c r="AY175" s="1597" t="e">
        <f t="shared" si="45"/>
        <v>#DIV/0!</v>
      </c>
      <c r="AZ175" s="1642" t="e">
        <f t="shared" si="46"/>
        <v>#DIV/0!</v>
      </c>
      <c r="BA175" s="274" t="e">
        <f t="shared" ref="BA175:BB194" si="63">ABS(AY175)</f>
        <v>#DIV/0!</v>
      </c>
      <c r="BB175" s="294" t="e">
        <f t="shared" si="63"/>
        <v>#DIV/0!</v>
      </c>
      <c r="BC175" s="1027"/>
      <c r="BM175" s="402"/>
      <c r="BN175" s="136"/>
      <c r="BO175" s="1091"/>
      <c r="BP175" s="126"/>
      <c r="BQ175" s="126"/>
      <c r="BR175" s="126"/>
      <c r="BS175" s="126"/>
      <c r="BT175" s="126"/>
      <c r="BU175" s="126"/>
      <c r="BV175" s="203"/>
      <c r="BW175" s="203"/>
      <c r="BX175" s="203"/>
      <c r="BY175" s="203"/>
      <c r="BZ175" s="203"/>
      <c r="CA175" s="203"/>
      <c r="CB175" s="203"/>
      <c r="CC175" s="203"/>
      <c r="CD175" s="203"/>
      <c r="CE175" s="203"/>
      <c r="CF175" s="203"/>
      <c r="CG175" s="203"/>
      <c r="CH175" s="203"/>
      <c r="CI175" s="203"/>
    </row>
    <row r="176" spans="2:142" ht="21" customHeight="1" thickBot="1" x14ac:dyDescent="0.35">
      <c r="B176" s="277">
        <v>3</v>
      </c>
      <c r="C176" s="278"/>
      <c r="D176" s="25">
        <v>1</v>
      </c>
      <c r="E176" s="257" t="s">
        <v>305</v>
      </c>
      <c r="F176" s="258"/>
      <c r="G176" s="258">
        <f>+D176+BC176</f>
        <v>1</v>
      </c>
      <c r="H176" s="1632">
        <v>251.073172</v>
      </c>
      <c r="I176" s="1633">
        <v>65.636175100000003</v>
      </c>
      <c r="J176" s="474">
        <f t="shared" si="47"/>
        <v>64.636175100000003</v>
      </c>
      <c r="K176" s="474">
        <f t="shared" si="48"/>
        <v>32.318087550000001</v>
      </c>
      <c r="L176" s="474">
        <f t="shared" si="37"/>
        <v>0.53461916118589337</v>
      </c>
      <c r="M176" s="474">
        <f t="shared" si="38"/>
        <v>134.22852861092153</v>
      </c>
      <c r="N176" s="474">
        <f t="shared" si="39"/>
        <v>268.45705722184306</v>
      </c>
      <c r="O176" s="474">
        <f>+C174+D175+(D176/2)</f>
        <v>2.5</v>
      </c>
      <c r="P176" s="474">
        <f t="shared" si="40"/>
        <v>4.3619387365335958E-2</v>
      </c>
      <c r="Q176" s="474">
        <f t="shared" si="41"/>
        <v>11.709932369917734</v>
      </c>
      <c r="R176" s="474">
        <f t="shared" si="49"/>
        <v>220.37088654941533</v>
      </c>
      <c r="S176" s="474">
        <f t="shared" ref="S176:S199" si="64">+S175+Q176</f>
        <v>232.08081891933307</v>
      </c>
      <c r="T176" s="476">
        <f t="shared" si="42"/>
        <v>232.08081891933307</v>
      </c>
      <c r="V176" s="1635">
        <f t="shared" si="43"/>
        <v>0</v>
      </c>
      <c r="W176" s="437"/>
      <c r="X176" s="437"/>
      <c r="Y176" s="437"/>
      <c r="Z176" s="437"/>
      <c r="AA176" s="437"/>
      <c r="AB176" s="295" t="str">
        <f t="shared" si="50"/>
        <v>use the locking pin</v>
      </c>
      <c r="AC176" s="1636" t="b">
        <f>IF(AD176=3,AF176)</f>
        <v>0</v>
      </c>
      <c r="AD176" s="1636">
        <f t="shared" si="51"/>
        <v>1</v>
      </c>
      <c r="AE176" s="1636">
        <f>IF(V176=0,0,3)</f>
        <v>0</v>
      </c>
      <c r="AF176" s="1637">
        <f>SUM(V176:V199)/($B$171-B175)</f>
        <v>0</v>
      </c>
      <c r="AG176" s="1638"/>
      <c r="AH176" s="450">
        <f>SUM(D175:D176)+$C$174</f>
        <v>3</v>
      </c>
      <c r="AI176" s="1639" t="b">
        <f t="shared" si="52"/>
        <v>0</v>
      </c>
      <c r="AJ176" s="718">
        <f t="shared" si="53"/>
        <v>72.499008599999996</v>
      </c>
      <c r="AK176" s="1639">
        <f t="shared" si="44"/>
        <v>0.95371174743460796</v>
      </c>
      <c r="AL176" s="1639">
        <f t="shared" si="54"/>
        <v>277.18951751968609</v>
      </c>
      <c r="AM176" s="1640">
        <f t="shared" si="55"/>
        <v>60.181912400000002</v>
      </c>
      <c r="AN176" s="1639">
        <f t="shared" si="56"/>
        <v>0.86760852132903066</v>
      </c>
      <c r="AO176" s="1641">
        <f t="shared" si="57"/>
        <v>217.83322350430939</v>
      </c>
      <c r="AP176" s="287"/>
      <c r="AQ176" s="444">
        <f t="shared" si="58"/>
        <v>-29.3</v>
      </c>
      <c r="AR176" s="444"/>
      <c r="AS176" s="445">
        <f t="shared" si="59"/>
        <v>495.02274102399548</v>
      </c>
      <c r="AT176" s="445">
        <f>+V176-AO176</f>
        <v>-217.83322350430939</v>
      </c>
      <c r="AU176" s="445"/>
      <c r="AV176" s="447">
        <f t="shared" si="60"/>
        <v>217.83322350430939</v>
      </c>
      <c r="AW176" s="447">
        <f t="shared" si="61"/>
        <v>-16.406625777487502</v>
      </c>
      <c r="AX176" s="1597">
        <f t="shared" si="62"/>
        <v>-12.893374222512502</v>
      </c>
      <c r="AY176" s="1597">
        <f t="shared" si="45"/>
        <v>-707.03142482332009</v>
      </c>
      <c r="AZ176" s="1642">
        <f t="shared" si="46"/>
        <v>-775.5921628753689</v>
      </c>
      <c r="BA176" s="274">
        <f t="shared" si="63"/>
        <v>707.03142482332009</v>
      </c>
      <c r="BB176" s="275">
        <f t="shared" si="63"/>
        <v>775.5921628753689</v>
      </c>
      <c r="BC176" s="1027"/>
      <c r="BM176" s="214"/>
      <c r="BN176" s="214"/>
      <c r="BO176" s="214"/>
      <c r="BP176" s="126"/>
      <c r="BQ176" s="126"/>
      <c r="BR176" s="126"/>
      <c r="BS176" s="126"/>
      <c r="BT176" s="126"/>
      <c r="BU176" s="126"/>
      <c r="BV176" s="203"/>
      <c r="BW176" s="203"/>
      <c r="BX176" s="203"/>
      <c r="BY176" s="203"/>
      <c r="BZ176" s="203"/>
      <c r="CA176" s="203"/>
      <c r="CB176" s="203"/>
      <c r="CC176" s="203"/>
      <c r="CD176" s="203"/>
      <c r="CE176" s="203"/>
      <c r="CF176" s="203"/>
      <c r="CG176" s="203"/>
      <c r="CH176" s="203"/>
      <c r="CI176" s="203"/>
    </row>
    <row r="177" spans="1:129" ht="21" customHeight="1" thickBot="1" x14ac:dyDescent="0.35">
      <c r="B177" s="277">
        <v>4</v>
      </c>
      <c r="C177" s="278"/>
      <c r="D177" s="25">
        <v>1</v>
      </c>
      <c r="E177" s="257" t="s">
        <v>305</v>
      </c>
      <c r="F177" s="258"/>
      <c r="G177" s="258">
        <f>+D177+BC177</f>
        <v>1</v>
      </c>
      <c r="H177" s="1632">
        <v>251.073172</v>
      </c>
      <c r="I177" s="1633">
        <v>65.636175100000003</v>
      </c>
      <c r="J177" s="474">
        <f t="shared" si="47"/>
        <v>64.636175100000003</v>
      </c>
      <c r="K177" s="474">
        <f t="shared" si="48"/>
        <v>32.318087550000001</v>
      </c>
      <c r="L177" s="474">
        <f t="shared" si="37"/>
        <v>0.53461916118589337</v>
      </c>
      <c r="M177" s="474">
        <f t="shared" si="38"/>
        <v>134.22852861092153</v>
      </c>
      <c r="N177" s="474">
        <f t="shared" si="39"/>
        <v>268.45705722184306</v>
      </c>
      <c r="O177" s="474">
        <f>+C174+D175+D176+(D177/2)</f>
        <v>3.5</v>
      </c>
      <c r="P177" s="474">
        <f t="shared" si="40"/>
        <v>6.1048539534856811E-2</v>
      </c>
      <c r="Q177" s="474">
        <f t="shared" si="41"/>
        <v>16.388911271219001</v>
      </c>
      <c r="R177" s="474">
        <f t="shared" si="49"/>
        <v>232.08081891933307</v>
      </c>
      <c r="S177" s="474">
        <f t="shared" si="64"/>
        <v>248.46973019055207</v>
      </c>
      <c r="T177" s="476">
        <f t="shared" si="42"/>
        <v>248.46973019055207</v>
      </c>
      <c r="V177" s="1635">
        <f t="shared" si="43"/>
        <v>0</v>
      </c>
      <c r="W177" s="437"/>
      <c r="X177" s="437"/>
      <c r="Y177" s="437"/>
      <c r="Z177" s="437"/>
      <c r="AA177" s="437"/>
      <c r="AB177" s="295" t="str">
        <f t="shared" si="50"/>
        <v>use the locking pin</v>
      </c>
      <c r="AC177" s="1636" t="b">
        <f>IF(AD177=4,AF177)</f>
        <v>0</v>
      </c>
      <c r="AD177" s="1636">
        <f t="shared" si="51"/>
        <v>1</v>
      </c>
      <c r="AE177" s="1636">
        <f>IF(V177=0,0,4)</f>
        <v>0</v>
      </c>
      <c r="AF177" s="1637">
        <f>SUM(V177:V199)/($B$171-B176)</f>
        <v>0</v>
      </c>
      <c r="AG177" s="1638"/>
      <c r="AH177" s="450">
        <f>SUM(D175:D177)+$C$174</f>
        <v>4</v>
      </c>
      <c r="AI177" s="1639" t="b">
        <f t="shared" si="52"/>
        <v>0</v>
      </c>
      <c r="AJ177" s="718">
        <f t="shared" si="53"/>
        <v>71.499008599999996</v>
      </c>
      <c r="AK177" s="1639">
        <f t="shared" si="44"/>
        <v>0.94831816468014318</v>
      </c>
      <c r="AL177" s="1639">
        <f t="shared" si="54"/>
        <v>275.62191115913316</v>
      </c>
      <c r="AM177" s="1640">
        <f t="shared" si="55"/>
        <v>61.181912400000002</v>
      </c>
      <c r="AN177" s="1639">
        <f t="shared" si="56"/>
        <v>0.87615455244286489</v>
      </c>
      <c r="AO177" s="1641">
        <f t="shared" si="57"/>
        <v>219.97890264407044</v>
      </c>
      <c r="AP177" s="287"/>
      <c r="AQ177" s="444">
        <f t="shared" si="58"/>
        <v>-58.6</v>
      </c>
      <c r="AR177" s="444"/>
      <c r="AS177" s="445">
        <f t="shared" si="59"/>
        <v>495.60081380320361</v>
      </c>
      <c r="AT177" s="445">
        <f>+V177-AO177</f>
        <v>-219.97890264407044</v>
      </c>
      <c r="AU177" s="445"/>
      <c r="AV177" s="447">
        <f t="shared" si="60"/>
        <v>219.97890264407044</v>
      </c>
      <c r="AW177" s="447">
        <f t="shared" si="61"/>
        <v>-32.589623632738267</v>
      </c>
      <c r="AX177" s="1597">
        <f t="shared" si="62"/>
        <v>-26.010376367261731</v>
      </c>
      <c r="AY177" s="1597">
        <f t="shared" si="45"/>
        <v>-355.94151472025874</v>
      </c>
      <c r="AZ177" s="1642">
        <f t="shared" si="46"/>
        <v>-384.46194929292216</v>
      </c>
      <c r="BA177" s="274">
        <f t="shared" si="63"/>
        <v>355.94151472025874</v>
      </c>
      <c r="BB177" s="275">
        <f t="shared" si="63"/>
        <v>384.46194929292216</v>
      </c>
      <c r="BC177" s="1027"/>
      <c r="BM177" s="214"/>
      <c r="BN177" s="214"/>
      <c r="BO177" s="214"/>
      <c r="BP177" s="126"/>
      <c r="BQ177" s="126"/>
      <c r="BR177" s="126"/>
      <c r="BS177" s="126"/>
      <c r="BT177" s="126"/>
      <c r="BU177" s="126"/>
      <c r="BV177" s="203"/>
      <c r="BW177" s="203"/>
      <c r="BX177" s="203"/>
      <c r="BY177" s="203"/>
      <c r="BZ177" s="203"/>
      <c r="CA177" s="203"/>
      <c r="CB177" s="203"/>
      <c r="CC177" s="203"/>
      <c r="CD177" s="203"/>
      <c r="CE177" s="203"/>
      <c r="CF177" s="203"/>
      <c r="CG177" s="203"/>
      <c r="CH177" s="203"/>
      <c r="CI177" s="203"/>
    </row>
    <row r="178" spans="1:129" ht="21" customHeight="1" thickBot="1" x14ac:dyDescent="0.35">
      <c r="B178" s="277">
        <v>5</v>
      </c>
      <c r="C178" s="278"/>
      <c r="D178" s="25">
        <v>1</v>
      </c>
      <c r="E178" s="257" t="s">
        <v>305</v>
      </c>
      <c r="F178" s="258"/>
      <c r="G178" s="258">
        <f>+D178+BC178</f>
        <v>1</v>
      </c>
      <c r="H178" s="1632">
        <v>251.073172</v>
      </c>
      <c r="I178" s="1633">
        <v>65.636175100000003</v>
      </c>
      <c r="J178" s="474">
        <f t="shared" si="47"/>
        <v>64.636175100000003</v>
      </c>
      <c r="K178" s="474">
        <f t="shared" si="48"/>
        <v>32.318087550000001</v>
      </c>
      <c r="L178" s="474">
        <f t="shared" si="37"/>
        <v>0.53461916118589337</v>
      </c>
      <c r="M178" s="474">
        <f t="shared" si="38"/>
        <v>134.22852861092153</v>
      </c>
      <c r="N178" s="474">
        <f t="shared" si="39"/>
        <v>268.45705722184306</v>
      </c>
      <c r="O178" s="474">
        <f>+C174+D175+D176+D177+(D178/2)</f>
        <v>4.5</v>
      </c>
      <c r="P178" s="474">
        <f t="shared" si="40"/>
        <v>7.845909572784486E-2</v>
      </c>
      <c r="Q178" s="474">
        <f t="shared" si="41"/>
        <v>21.062897951384109</v>
      </c>
      <c r="R178" s="474">
        <f t="shared" si="49"/>
        <v>248.46973019055207</v>
      </c>
      <c r="S178" s="474">
        <f t="shared" si="64"/>
        <v>269.53262814193619</v>
      </c>
      <c r="T178" s="476">
        <f t="shared" si="42"/>
        <v>269.53262814193619</v>
      </c>
      <c r="V178" s="1635">
        <f t="shared" si="43"/>
        <v>0</v>
      </c>
      <c r="W178" s="437"/>
      <c r="X178" s="437"/>
      <c r="Y178" s="437"/>
      <c r="Z178" s="437"/>
      <c r="AA178" s="437"/>
      <c r="AB178" s="295" t="str">
        <f t="shared" si="50"/>
        <v>use the locking pin</v>
      </c>
      <c r="AC178" s="1636" t="b">
        <f>IF(AD178=5,AF178)</f>
        <v>0</v>
      </c>
      <c r="AD178" s="1636">
        <f t="shared" si="51"/>
        <v>1</v>
      </c>
      <c r="AE178" s="1636">
        <f>IF(V178=0,0,5)</f>
        <v>0</v>
      </c>
      <c r="AF178" s="1637">
        <f>SUM(V178:V199)/($B$171-B177)</f>
        <v>0</v>
      </c>
      <c r="AG178" s="1638"/>
      <c r="AH178" s="450">
        <f>SUM(D175:D178)+$C$174</f>
        <v>5</v>
      </c>
      <c r="AI178" s="1639" t="b">
        <f t="shared" si="52"/>
        <v>0</v>
      </c>
      <c r="AJ178" s="718">
        <f t="shared" si="53"/>
        <v>70.499008599999996</v>
      </c>
      <c r="AK178" s="1639">
        <f t="shared" si="44"/>
        <v>0.94263571502615251</v>
      </c>
      <c r="AL178" s="1639">
        <f t="shared" si="54"/>
        <v>273.97034769443167</v>
      </c>
      <c r="AM178" s="1640">
        <f t="shared" si="55"/>
        <v>62.181912400000002</v>
      </c>
      <c r="AN178" s="1639">
        <f t="shared" si="56"/>
        <v>0.88443369839252528</v>
      </c>
      <c r="AO178" s="1641">
        <f t="shared" si="57"/>
        <v>222.05757407910264</v>
      </c>
      <c r="AP178" s="287"/>
      <c r="AQ178" s="444">
        <f t="shared" si="58"/>
        <v>-87.9</v>
      </c>
      <c r="AR178" s="444"/>
      <c r="AS178" s="445">
        <f t="shared" si="59"/>
        <v>496.02792177353433</v>
      </c>
      <c r="AT178" s="445">
        <f t="shared" ref="AT178:AT199" si="65">+V178-AO178</f>
        <v>-222.05757407910264</v>
      </c>
      <c r="AU178" s="445"/>
      <c r="AV178" s="447">
        <f t="shared" si="60"/>
        <v>222.05757407910264</v>
      </c>
      <c r="AW178" s="447">
        <f t="shared" si="61"/>
        <v>-48.549673325316114</v>
      </c>
      <c r="AX178" s="1597">
        <f t="shared" si="62"/>
        <v>-39.350326674683892</v>
      </c>
      <c r="AY178" s="1597">
        <f t="shared" si="45"/>
        <v>-238.93054691165568</v>
      </c>
      <c r="AZ178" s="1642">
        <f t="shared" si="46"/>
        <v>-254.12749639086272</v>
      </c>
      <c r="BA178" s="274">
        <f t="shared" si="63"/>
        <v>238.93054691165568</v>
      </c>
      <c r="BB178" s="275">
        <f t="shared" si="63"/>
        <v>254.12749639086272</v>
      </c>
      <c r="BC178" s="1027"/>
      <c r="BM178" s="214"/>
      <c r="BN178" s="214"/>
      <c r="BO178" s="214"/>
      <c r="BP178" s="126"/>
      <c r="BQ178" s="126"/>
      <c r="BR178" s="126"/>
      <c r="BS178" s="126"/>
      <c r="BT178" s="126"/>
      <c r="BU178" s="126"/>
      <c r="BV178" s="203"/>
      <c r="BW178" s="203"/>
      <c r="BX178" s="203"/>
      <c r="BY178" s="203"/>
      <c r="BZ178" s="203"/>
      <c r="CA178" s="203"/>
      <c r="CB178" s="203"/>
      <c r="CC178" s="203"/>
      <c r="CD178" s="203"/>
      <c r="CE178" s="203"/>
      <c r="CF178" s="203"/>
      <c r="CG178" s="203"/>
      <c r="CH178" s="203"/>
      <c r="CI178" s="203"/>
    </row>
    <row r="179" spans="1:129" ht="21" customHeight="1" thickBot="1" x14ac:dyDescent="0.35">
      <c r="B179" s="277">
        <v>6</v>
      </c>
      <c r="C179" s="278"/>
      <c r="D179" s="25">
        <v>1</v>
      </c>
      <c r="E179" s="257" t="s">
        <v>305</v>
      </c>
      <c r="F179" s="258"/>
      <c r="G179" s="258">
        <f t="shared" ref="G179:G199" si="66">+D179+BC179</f>
        <v>1</v>
      </c>
      <c r="H179" s="1632">
        <v>251.073172</v>
      </c>
      <c r="I179" s="1633">
        <v>65.636175100000003</v>
      </c>
      <c r="J179" s="474">
        <f t="shared" si="47"/>
        <v>64.636175100000003</v>
      </c>
      <c r="K179" s="474">
        <f t="shared" si="48"/>
        <v>32.318087550000001</v>
      </c>
      <c r="L179" s="474">
        <f t="shared" si="37"/>
        <v>0.53461916118589337</v>
      </c>
      <c r="M179" s="474">
        <f t="shared" si="38"/>
        <v>134.22852861092153</v>
      </c>
      <c r="N179" s="474">
        <f t="shared" si="39"/>
        <v>268.45705722184306</v>
      </c>
      <c r="O179" s="474">
        <f>+C174+D175+D176+D177+D178+(D179/2)</f>
        <v>5.5</v>
      </c>
      <c r="P179" s="474">
        <f t="shared" si="40"/>
        <v>9.5845752520223898E-2</v>
      </c>
      <c r="Q179" s="474">
        <f t="shared" si="41"/>
        <v>25.730468668792355</v>
      </c>
      <c r="R179" s="474">
        <f t="shared" si="49"/>
        <v>269.53262814193619</v>
      </c>
      <c r="S179" s="474">
        <f t="shared" si="64"/>
        <v>295.26309681072854</v>
      </c>
      <c r="T179" s="476">
        <f t="shared" si="42"/>
        <v>295.26309681072854</v>
      </c>
      <c r="V179" s="1635">
        <f t="shared" si="43"/>
        <v>0</v>
      </c>
      <c r="W179" s="437"/>
      <c r="X179" s="437"/>
      <c r="Y179" s="437"/>
      <c r="Z179" s="437"/>
      <c r="AA179" s="437"/>
      <c r="AB179" s="295" t="str">
        <f t="shared" si="50"/>
        <v>use the locking pin</v>
      </c>
      <c r="AC179" s="1636" t="b">
        <f>IF(AD179=6,AF179)</f>
        <v>0</v>
      </c>
      <c r="AD179" s="1636">
        <f t="shared" si="51"/>
        <v>1</v>
      </c>
      <c r="AE179" s="1636">
        <f>IF(V179=0,0,6)</f>
        <v>0</v>
      </c>
      <c r="AF179" s="1637">
        <f>SUM(V179:V199)/($B$171-B178)</f>
        <v>0</v>
      </c>
      <c r="AG179" s="1638"/>
      <c r="AH179" s="450">
        <f>SUM(D175:D179)+$C$174</f>
        <v>6</v>
      </c>
      <c r="AI179" s="1639" t="b">
        <f t="shared" si="52"/>
        <v>0</v>
      </c>
      <c r="AJ179" s="718">
        <f t="shared" si="53"/>
        <v>69.499008599999996</v>
      </c>
      <c r="AK179" s="1639">
        <f t="shared" si="44"/>
        <v>0.93666612940184768</v>
      </c>
      <c r="AL179" s="1639">
        <f t="shared" si="54"/>
        <v>272.23533020781213</v>
      </c>
      <c r="AM179" s="1640">
        <f t="shared" si="55"/>
        <v>63.181912400000002</v>
      </c>
      <c r="AN179" s="1639">
        <f t="shared" si="56"/>
        <v>0.8924434372699539</v>
      </c>
      <c r="AO179" s="1641">
        <f t="shared" si="57"/>
        <v>224.06860462595034</v>
      </c>
      <c r="AP179" s="287"/>
      <c r="AQ179" s="444">
        <f t="shared" si="58"/>
        <v>-117.2</v>
      </c>
      <c r="AR179" s="444"/>
      <c r="AS179" s="445">
        <f t="shared" si="59"/>
        <v>496.30393483376247</v>
      </c>
      <c r="AT179" s="445">
        <f t="shared" si="65"/>
        <v>-224.06860462595034</v>
      </c>
      <c r="AU179" s="445"/>
      <c r="AV179" s="447">
        <f t="shared" si="60"/>
        <v>224.06860462595034</v>
      </c>
      <c r="AW179" s="447">
        <f t="shared" si="61"/>
        <v>-64.287180618550863</v>
      </c>
      <c r="AX179" s="1597">
        <f t="shared" si="62"/>
        <v>-52.912819381449147</v>
      </c>
      <c r="AY179" s="1597">
        <f t="shared" si="45"/>
        <v>-180.44032866877157</v>
      </c>
      <c r="AZ179" s="1642">
        <f t="shared" si="46"/>
        <v>-188.99011840419769</v>
      </c>
      <c r="BA179" s="274">
        <f t="shared" si="63"/>
        <v>180.44032866877157</v>
      </c>
      <c r="BB179" s="275">
        <f t="shared" si="63"/>
        <v>188.99011840419769</v>
      </c>
      <c r="BC179" s="1027"/>
      <c r="BM179" s="214"/>
      <c r="BN179" s="214"/>
      <c r="BO179" s="214"/>
      <c r="CI179" s="236"/>
      <c r="CJ179" s="236"/>
      <c r="CK179" s="236"/>
      <c r="CL179" s="236"/>
      <c r="CM179" s="236"/>
      <c r="CN179" s="236"/>
    </row>
    <row r="180" spans="1:129" ht="21" customHeight="1" thickBot="1" x14ac:dyDescent="0.35">
      <c r="B180" s="277">
        <v>7</v>
      </c>
      <c r="C180" s="278"/>
      <c r="D180" s="25">
        <v>1</v>
      </c>
      <c r="E180" s="257" t="s">
        <v>305</v>
      </c>
      <c r="F180" s="258"/>
      <c r="G180" s="258">
        <f t="shared" si="66"/>
        <v>1</v>
      </c>
      <c r="H180" s="1632">
        <v>251.073172</v>
      </c>
      <c r="I180" s="1633">
        <v>65.636175100000003</v>
      </c>
      <c r="J180" s="474">
        <f t="shared" si="47"/>
        <v>64.636175100000003</v>
      </c>
      <c r="K180" s="474">
        <f t="shared" si="48"/>
        <v>32.318087550000001</v>
      </c>
      <c r="L180" s="474">
        <f t="shared" si="37"/>
        <v>0.53461916118589337</v>
      </c>
      <c r="M180" s="474">
        <f t="shared" si="38"/>
        <v>134.22852861092153</v>
      </c>
      <c r="N180" s="474">
        <f t="shared" si="39"/>
        <v>268.45705722184306</v>
      </c>
      <c r="O180" s="474">
        <f>+C174+D175+D176+D177+D178+D179+(D180/2)</f>
        <v>6.5</v>
      </c>
      <c r="P180" s="474">
        <f t="shared" si="40"/>
        <v>0.11320321376790661</v>
      </c>
      <c r="Q180" s="474">
        <f t="shared" si="41"/>
        <v>30.390201636187438</v>
      </c>
      <c r="R180" s="474">
        <f t="shared" si="49"/>
        <v>295.26309681072854</v>
      </c>
      <c r="S180" s="474">
        <f t="shared" si="64"/>
        <v>325.65329844691598</v>
      </c>
      <c r="T180" s="476">
        <f t="shared" si="42"/>
        <v>325.65329844691598</v>
      </c>
      <c r="V180" s="1635">
        <f t="shared" si="43"/>
        <v>0</v>
      </c>
      <c r="W180" s="437"/>
      <c r="X180" s="437"/>
      <c r="Y180" s="437"/>
      <c r="Z180" s="437"/>
      <c r="AA180" s="437"/>
      <c r="AB180" s="295" t="str">
        <f t="shared" si="50"/>
        <v>use the locking pin</v>
      </c>
      <c r="AC180" s="1636" t="b">
        <f>IF(AD180=7,AF180)</f>
        <v>0</v>
      </c>
      <c r="AD180" s="1636">
        <f t="shared" si="51"/>
        <v>1</v>
      </c>
      <c r="AE180" s="1636">
        <f>IF(V180=0,0,7)</f>
        <v>0</v>
      </c>
      <c r="AF180" s="1637">
        <f>SUM(V180:V199)/($B$171-B179)</f>
        <v>0</v>
      </c>
      <c r="AG180" s="1638"/>
      <c r="AH180" s="450">
        <f>SUM(D175:D180)+$C$174</f>
        <v>7</v>
      </c>
      <c r="AI180" s="1639" t="b">
        <f t="shared" si="52"/>
        <v>0</v>
      </c>
      <c r="AJ180" s="718">
        <f t="shared" si="53"/>
        <v>68.499008599999996</v>
      </c>
      <c r="AK180" s="1639">
        <f t="shared" si="44"/>
        <v>0.93041122620083849</v>
      </c>
      <c r="AL180" s="1639">
        <f t="shared" si="54"/>
        <v>270.41738720240846</v>
      </c>
      <c r="AM180" s="1640">
        <f t="shared" si="55"/>
        <v>64.181912400000002</v>
      </c>
      <c r="AN180" s="1639">
        <f t="shared" si="56"/>
        <v>0.90018132923109617</v>
      </c>
      <c r="AO180" s="1641">
        <f t="shared" si="57"/>
        <v>226.01138170522765</v>
      </c>
      <c r="AP180" s="287"/>
      <c r="AQ180" s="444">
        <f t="shared" si="58"/>
        <v>-146.5</v>
      </c>
      <c r="AR180" s="444"/>
      <c r="AS180" s="445">
        <f t="shared" si="59"/>
        <v>496.42876890763614</v>
      </c>
      <c r="AT180" s="445">
        <f t="shared" si="65"/>
        <v>-226.01138170522765</v>
      </c>
      <c r="AU180" s="445"/>
      <c r="AV180" s="447">
        <f t="shared" si="60"/>
        <v>226.01138170522765</v>
      </c>
      <c r="AW180" s="447">
        <f t="shared" si="61"/>
        <v>-79.802279211831276</v>
      </c>
      <c r="AX180" s="1597">
        <f t="shared" si="62"/>
        <v>-66.697720788168724</v>
      </c>
      <c r="AY180" s="1597">
        <f t="shared" si="45"/>
        <v>-145.35925683536385</v>
      </c>
      <c r="AZ180" s="1642">
        <f t="shared" si="46"/>
        <v>-149.93016075856471</v>
      </c>
      <c r="BA180" s="274">
        <f t="shared" si="63"/>
        <v>145.35925683536385</v>
      </c>
      <c r="BB180" s="275">
        <f t="shared" si="63"/>
        <v>149.93016075856471</v>
      </c>
      <c r="BC180" s="1027"/>
      <c r="BM180" s="214"/>
      <c r="BN180" s="214"/>
      <c r="BO180" s="214"/>
    </row>
    <row r="181" spans="1:129" ht="21" customHeight="1" thickBot="1" x14ac:dyDescent="0.35">
      <c r="B181" s="277">
        <v>8</v>
      </c>
      <c r="C181" s="278"/>
      <c r="D181" s="25">
        <v>1</v>
      </c>
      <c r="E181" s="257" t="s">
        <v>305</v>
      </c>
      <c r="F181" s="258"/>
      <c r="G181" s="258">
        <f t="shared" si="66"/>
        <v>1</v>
      </c>
      <c r="H181" s="1632">
        <v>251.073172</v>
      </c>
      <c r="I181" s="1633">
        <v>65.636175100000003</v>
      </c>
      <c r="J181" s="474">
        <f t="shared" si="47"/>
        <v>64.636175100000003</v>
      </c>
      <c r="K181" s="474">
        <f t="shared" si="48"/>
        <v>32.318087550000001</v>
      </c>
      <c r="L181" s="474">
        <f t="shared" si="37"/>
        <v>0.53461916118589337</v>
      </c>
      <c r="M181" s="474">
        <f t="shared" si="38"/>
        <v>134.22852861092153</v>
      </c>
      <c r="N181" s="474">
        <f t="shared" si="39"/>
        <v>268.45705722184306</v>
      </c>
      <c r="O181" s="474">
        <f>+C174+D175+D176+D177+D178+D179+D180+(D181/2)</f>
        <v>7.5</v>
      </c>
      <c r="P181" s="474">
        <f t="shared" si="40"/>
        <v>0.13052619222005146</v>
      </c>
      <c r="Q181" s="474">
        <f t="shared" si="41"/>
        <v>35.040677453767643</v>
      </c>
      <c r="R181" s="474">
        <f t="shared" si="49"/>
        <v>325.65329844691598</v>
      </c>
      <c r="S181" s="474">
        <f t="shared" si="64"/>
        <v>360.69397590068365</v>
      </c>
      <c r="T181" s="476">
        <f t="shared" si="42"/>
        <v>360.69397590068365</v>
      </c>
      <c r="V181" s="1635">
        <f t="shared" si="43"/>
        <v>0</v>
      </c>
      <c r="W181" s="437"/>
      <c r="X181" s="437"/>
      <c r="Y181" s="437"/>
      <c r="Z181" s="437"/>
      <c r="AA181" s="437"/>
      <c r="AB181" s="295" t="str">
        <f t="shared" si="50"/>
        <v>use the locking pin</v>
      </c>
      <c r="AC181" s="1636" t="b">
        <f>IF(AD181=8,AF181)</f>
        <v>0</v>
      </c>
      <c r="AD181" s="1636">
        <f t="shared" si="51"/>
        <v>1</v>
      </c>
      <c r="AE181" s="1636">
        <f>IF(V181=0,0,8)</f>
        <v>0</v>
      </c>
      <c r="AF181" s="1637">
        <f>SUM(V181:V199)/($B$171-B180)</f>
        <v>0</v>
      </c>
      <c r="AG181" s="1638"/>
      <c r="AH181" s="450">
        <f>SUM(D175:D181)+$C$174</f>
        <v>8</v>
      </c>
      <c r="AI181" s="1639" t="b">
        <f t="shared" si="52"/>
        <v>0</v>
      </c>
      <c r="AJ181" s="718">
        <f t="shared" si="53"/>
        <v>67.499008599999996</v>
      </c>
      <c r="AK181" s="1639">
        <f t="shared" si="44"/>
        <v>0.92387291072723265</v>
      </c>
      <c r="AL181" s="1639">
        <f t="shared" si="54"/>
        <v>268.5170724412709</v>
      </c>
      <c r="AM181" s="1640">
        <f t="shared" si="55"/>
        <v>65.181912400000002</v>
      </c>
      <c r="AN181" s="1639">
        <f t="shared" si="56"/>
        <v>0.9076450172391024</v>
      </c>
      <c r="AO181" s="1641">
        <f t="shared" si="57"/>
        <v>227.88531352821613</v>
      </c>
      <c r="AP181" s="287"/>
      <c r="AQ181" s="444">
        <f t="shared" si="58"/>
        <v>-175.8</v>
      </c>
      <c r="AR181" s="444"/>
      <c r="AS181" s="445">
        <f t="shared" si="59"/>
        <v>496.402385969487</v>
      </c>
      <c r="AT181" s="445">
        <f t="shared" si="65"/>
        <v>-227.88531352821613</v>
      </c>
      <c r="AU181" s="445"/>
      <c r="AV181" s="447">
        <f t="shared" si="60"/>
        <v>227.88531352821613</v>
      </c>
      <c r="AW181" s="447">
        <f t="shared" si="61"/>
        <v>-95.094831671653282</v>
      </c>
      <c r="AX181" s="1597">
        <f t="shared" si="62"/>
        <v>-80.705168328346744</v>
      </c>
      <c r="AY181" s="1597">
        <f t="shared" si="45"/>
        <v>-121.98349580188417</v>
      </c>
      <c r="AZ181" s="1642">
        <f t="shared" si="46"/>
        <v>-123.90780178185463</v>
      </c>
      <c r="BA181" s="274">
        <f t="shared" si="63"/>
        <v>121.98349580188417</v>
      </c>
      <c r="BB181" s="275">
        <f t="shared" si="63"/>
        <v>123.90780178185463</v>
      </c>
      <c r="BC181" s="1027"/>
      <c r="BM181" s="214"/>
      <c r="BN181" s="214"/>
      <c r="BO181" s="214"/>
    </row>
    <row r="182" spans="1:129" ht="21" customHeight="1" thickBot="1" x14ac:dyDescent="0.35">
      <c r="B182" s="277">
        <v>9</v>
      </c>
      <c r="C182" s="278"/>
      <c r="D182" s="25">
        <v>1</v>
      </c>
      <c r="E182" s="257" t="s">
        <v>305</v>
      </c>
      <c r="F182" s="258"/>
      <c r="G182" s="258">
        <f t="shared" si="66"/>
        <v>1</v>
      </c>
      <c r="H182" s="1632">
        <v>251.073172</v>
      </c>
      <c r="I182" s="1633">
        <v>65.636175100000003</v>
      </c>
      <c r="J182" s="474">
        <f t="shared" si="47"/>
        <v>64.636175100000003</v>
      </c>
      <c r="K182" s="474">
        <f t="shared" si="48"/>
        <v>32.318087550000001</v>
      </c>
      <c r="L182" s="474">
        <f t="shared" si="37"/>
        <v>0.53461916118589337</v>
      </c>
      <c r="M182" s="474">
        <f t="shared" si="38"/>
        <v>134.22852861092153</v>
      </c>
      <c r="N182" s="474">
        <f t="shared" si="39"/>
        <v>268.45705722184306</v>
      </c>
      <c r="O182" s="474">
        <f>+C174+D175+D176+D177+D178+D179+D180+D181+(D182/2)</f>
        <v>8.5</v>
      </c>
      <c r="P182" s="474">
        <f t="shared" si="40"/>
        <v>0.14780941112961046</v>
      </c>
      <c r="Q182" s="474">
        <f t="shared" si="41"/>
        <v>39.680479541548763</v>
      </c>
      <c r="R182" s="474">
        <f t="shared" si="49"/>
        <v>360.69397590068365</v>
      </c>
      <c r="S182" s="474">
        <f t="shared" si="64"/>
        <v>400.37445544223243</v>
      </c>
      <c r="T182" s="476">
        <f t="shared" si="42"/>
        <v>400.37445544223243</v>
      </c>
      <c r="V182" s="1635">
        <f t="shared" si="43"/>
        <v>0</v>
      </c>
      <c r="W182" s="437"/>
      <c r="X182" s="437"/>
      <c r="Y182" s="437"/>
      <c r="Z182" s="437"/>
      <c r="AA182" s="437"/>
      <c r="AB182" s="295" t="str">
        <f t="shared" si="50"/>
        <v>use the locking pin</v>
      </c>
      <c r="AC182" s="1636" t="b">
        <f>IF(AD182=9,AF182)</f>
        <v>0</v>
      </c>
      <c r="AD182" s="1636">
        <f t="shared" si="51"/>
        <v>1</v>
      </c>
      <c r="AE182" s="1636">
        <f>IF(V182=0,0,9)</f>
        <v>0</v>
      </c>
      <c r="AF182" s="1637">
        <f>SUM(V182:V199)/($B$171-B181)</f>
        <v>0</v>
      </c>
      <c r="AG182" s="1638"/>
      <c r="AH182" s="450">
        <f>SUM(D175:D182)+$C$174</f>
        <v>9</v>
      </c>
      <c r="AI182" s="1639" t="b">
        <f t="shared" si="52"/>
        <v>0</v>
      </c>
      <c r="AJ182" s="718">
        <f t="shared" si="53"/>
        <v>66.499008599999996</v>
      </c>
      <c r="AK182" s="1639">
        <f t="shared" si="44"/>
        <v>0.91705317461526137</v>
      </c>
      <c r="AL182" s="1639">
        <f t="shared" si="54"/>
        <v>266.53496477868435</v>
      </c>
      <c r="AM182" s="1640">
        <f t="shared" si="55"/>
        <v>66.181912400000002</v>
      </c>
      <c r="AN182" s="1639">
        <f t="shared" si="56"/>
        <v>0.91483222778230289</v>
      </c>
      <c r="AO182" s="1641">
        <f t="shared" si="57"/>
        <v>229.68982927712932</v>
      </c>
      <c r="AP182" s="287"/>
      <c r="AQ182" s="444">
        <f t="shared" si="58"/>
        <v>-205.1</v>
      </c>
      <c r="AR182" s="444"/>
      <c r="AS182" s="445">
        <f t="shared" si="59"/>
        <v>496.22479405581367</v>
      </c>
      <c r="AT182" s="445">
        <f t="shared" si="65"/>
        <v>-229.68982927712932</v>
      </c>
      <c r="AU182" s="445"/>
      <c r="AV182" s="447">
        <f t="shared" si="60"/>
        <v>229.68982927712932</v>
      </c>
      <c r="AW182" s="447">
        <f t="shared" si="61"/>
        <v>-110.16442936940284</v>
      </c>
      <c r="AX182" s="1597">
        <f t="shared" si="62"/>
        <v>-94.935570630597155</v>
      </c>
      <c r="AY182" s="1597">
        <f t="shared" si="45"/>
        <v>-105.29714596989319</v>
      </c>
      <c r="AZ182" s="1642">
        <f t="shared" si="46"/>
        <v>-105.33459622748674</v>
      </c>
      <c r="BA182" s="274">
        <f t="shared" si="63"/>
        <v>105.29714596989319</v>
      </c>
      <c r="BB182" s="275">
        <f t="shared" si="63"/>
        <v>105.33459622748674</v>
      </c>
      <c r="BC182" s="1027"/>
      <c r="BM182" s="214"/>
      <c r="BN182" s="214"/>
      <c r="BO182" s="214"/>
    </row>
    <row r="183" spans="1:129" ht="21" customHeight="1" thickBot="1" x14ac:dyDescent="0.35">
      <c r="B183" s="277">
        <v>10</v>
      </c>
      <c r="C183" s="278"/>
      <c r="D183" s="25">
        <v>1</v>
      </c>
      <c r="E183" s="257" t="s">
        <v>305</v>
      </c>
      <c r="F183" s="258"/>
      <c r="G183" s="258">
        <f t="shared" si="66"/>
        <v>1</v>
      </c>
      <c r="H183" s="1632">
        <v>251.073172</v>
      </c>
      <c r="I183" s="1633">
        <v>65.636175100000003</v>
      </c>
      <c r="J183" s="474">
        <f t="shared" si="47"/>
        <v>64.636175100000003</v>
      </c>
      <c r="K183" s="474">
        <f t="shared" si="48"/>
        <v>32.318087550000001</v>
      </c>
      <c r="L183" s="474">
        <f t="shared" si="37"/>
        <v>0.53461916118589337</v>
      </c>
      <c r="M183" s="474">
        <f t="shared" si="38"/>
        <v>134.22852861092153</v>
      </c>
      <c r="N183" s="474">
        <f t="shared" si="39"/>
        <v>268.45705722184306</v>
      </c>
      <c r="O183" s="474">
        <f>+C174+D175+D176+D177+D178+D179+D180+D181+D182+(D183/2)</f>
        <v>9.5</v>
      </c>
      <c r="P183" s="474">
        <f t="shared" si="40"/>
        <v>0.16504760586067749</v>
      </c>
      <c r="Q183" s="474">
        <f t="shared" si="41"/>
        <v>44.308194570868096</v>
      </c>
      <c r="R183" s="474">
        <f t="shared" si="49"/>
        <v>400.37445544223243</v>
      </c>
      <c r="S183" s="474">
        <f t="shared" si="64"/>
        <v>444.68265001310056</v>
      </c>
      <c r="T183" s="476">
        <f t="shared" si="42"/>
        <v>444.68265001310056</v>
      </c>
      <c r="V183" s="1635">
        <f t="shared" si="43"/>
        <v>0</v>
      </c>
      <c r="W183" s="437"/>
      <c r="X183" s="437"/>
      <c r="Y183" s="437"/>
      <c r="Z183" s="437"/>
      <c r="AA183" s="437"/>
      <c r="AB183" s="295" t="str">
        <f t="shared" si="50"/>
        <v>use the locking pin</v>
      </c>
      <c r="AC183" s="1636" t="b">
        <f>IF(AD183=10,AF183)</f>
        <v>0</v>
      </c>
      <c r="AD183" s="1636">
        <f t="shared" si="51"/>
        <v>1</v>
      </c>
      <c r="AE183" s="1636">
        <f>IF(V183=0,0,10)</f>
        <v>0</v>
      </c>
      <c r="AF183" s="1637">
        <f>SUM(V183:V199)/($B$171-B182)</f>
        <v>0</v>
      </c>
      <c r="AG183" s="1638"/>
      <c r="AH183" s="450">
        <f>SUM(D175:D183)+$C$174</f>
        <v>10</v>
      </c>
      <c r="AI183" s="1639" t="b">
        <f t="shared" si="52"/>
        <v>0</v>
      </c>
      <c r="AJ183" s="718">
        <f t="shared" si="53"/>
        <v>65.499008599999996</v>
      </c>
      <c r="AK183" s="1639">
        <f t="shared" si="44"/>
        <v>0.90995409522260873</v>
      </c>
      <c r="AL183" s="1639">
        <f t="shared" si="54"/>
        <v>264.4716679838441</v>
      </c>
      <c r="AM183" s="1640">
        <f t="shared" si="55"/>
        <v>67.181912400000002</v>
      </c>
      <c r="AN183" s="1639">
        <f t="shared" si="56"/>
        <v>0.92174077156674206</v>
      </c>
      <c r="AO183" s="1641">
        <f t="shared" si="57"/>
        <v>231.42437927898933</v>
      </c>
      <c r="AP183" s="287"/>
      <c r="AQ183" s="444">
        <f t="shared" si="58"/>
        <v>-234.4</v>
      </c>
      <c r="AR183" s="444"/>
      <c r="AS183" s="445">
        <f t="shared" si="59"/>
        <v>495.89604726283346</v>
      </c>
      <c r="AT183" s="445">
        <f t="shared" si="65"/>
        <v>-231.42437927898933</v>
      </c>
      <c r="AU183" s="445"/>
      <c r="AV183" s="447">
        <f t="shared" si="60"/>
        <v>231.42437927898933</v>
      </c>
      <c r="AW183" s="447">
        <f t="shared" si="61"/>
        <v>-125.01039142696804</v>
      </c>
      <c r="AX183" s="1597">
        <f t="shared" si="62"/>
        <v>-109.38960857303194</v>
      </c>
      <c r="AY183" s="1597">
        <f t="shared" si="45"/>
        <v>-92.792286045890847</v>
      </c>
      <c r="AZ183" s="1642">
        <f t="shared" si="46"/>
        <v>-91.416361484863401</v>
      </c>
      <c r="BA183" s="274">
        <f t="shared" si="63"/>
        <v>92.792286045890847</v>
      </c>
      <c r="BB183" s="275">
        <f t="shared" si="63"/>
        <v>91.416361484863401</v>
      </c>
      <c r="BC183" s="1027"/>
      <c r="BM183" s="214"/>
      <c r="BN183" s="214"/>
      <c r="BO183" s="214"/>
    </row>
    <row r="184" spans="1:129" ht="21" customHeight="1" thickBot="1" x14ac:dyDescent="0.35">
      <c r="A184" s="296"/>
      <c r="B184" s="277">
        <v>11</v>
      </c>
      <c r="C184" s="278"/>
      <c r="D184" s="25">
        <v>1</v>
      </c>
      <c r="E184" s="257" t="s">
        <v>305</v>
      </c>
      <c r="F184" s="258"/>
      <c r="G184" s="258">
        <f t="shared" si="66"/>
        <v>1</v>
      </c>
      <c r="H184" s="1632">
        <v>251.073172</v>
      </c>
      <c r="I184" s="1633">
        <v>65.636175100000003</v>
      </c>
      <c r="J184" s="474">
        <f t="shared" si="47"/>
        <v>64.636175100000003</v>
      </c>
      <c r="K184" s="474">
        <f t="shared" si="48"/>
        <v>32.318087550000001</v>
      </c>
      <c r="L184" s="474">
        <f t="shared" si="37"/>
        <v>0.53461916118589337</v>
      </c>
      <c r="M184" s="474">
        <f t="shared" si="38"/>
        <v>134.22852861092153</v>
      </c>
      <c r="N184" s="474">
        <f t="shared" si="39"/>
        <v>268.45705722184306</v>
      </c>
      <c r="O184" s="474">
        <f>+C174+D175+D176+D177+D178+D179+D180+D181+D182+D183+(D184/2)</f>
        <v>10.5</v>
      </c>
      <c r="P184" s="474">
        <f t="shared" si="40"/>
        <v>0.18223552549214728</v>
      </c>
      <c r="Q184" s="474">
        <f t="shared" si="41"/>
        <v>48.922412894898024</v>
      </c>
      <c r="R184" s="474">
        <f t="shared" si="49"/>
        <v>444.68265001310056</v>
      </c>
      <c r="S184" s="474">
        <f t="shared" si="64"/>
        <v>493.60506290799856</v>
      </c>
      <c r="T184" s="476">
        <f t="shared" si="42"/>
        <v>493.60506290799856</v>
      </c>
      <c r="V184" s="1635">
        <f t="shared" si="43"/>
        <v>0</v>
      </c>
      <c r="W184" s="437"/>
      <c r="X184" s="437"/>
      <c r="Y184" s="437"/>
      <c r="Z184" s="437"/>
      <c r="AA184" s="437"/>
      <c r="AB184" s="295" t="str">
        <f t="shared" si="50"/>
        <v>use the locking pin</v>
      </c>
      <c r="AC184" s="1636" t="b">
        <f>IF(AD184=11,AF184)</f>
        <v>0</v>
      </c>
      <c r="AD184" s="1636">
        <f t="shared" si="51"/>
        <v>1</v>
      </c>
      <c r="AE184" s="1636">
        <f>IF(V184=0,0,11)</f>
        <v>0</v>
      </c>
      <c r="AF184" s="1637">
        <f>SUM(V184:V199)/($B$171-B183)</f>
        <v>0</v>
      </c>
      <c r="AG184" s="1638"/>
      <c r="AH184" s="450">
        <f>SUM(D175:D184)+$C$174</f>
        <v>11</v>
      </c>
      <c r="AI184" s="1639" t="b">
        <f t="shared" si="52"/>
        <v>0</v>
      </c>
      <c r="AJ184" s="718">
        <f t="shared" si="53"/>
        <v>64.499008599999996</v>
      </c>
      <c r="AK184" s="1639">
        <f t="shared" si="44"/>
        <v>0.902577834997628</v>
      </c>
      <c r="AL184" s="1639">
        <f t="shared" si="54"/>
        <v>262.32781055694142</v>
      </c>
      <c r="AM184" s="1640">
        <f t="shared" si="55"/>
        <v>68.181912400000002</v>
      </c>
      <c r="AN184" s="1639">
        <f t="shared" si="56"/>
        <v>0.9283685441830587</v>
      </c>
      <c r="AO184" s="1641">
        <f t="shared" si="57"/>
        <v>233.08843517306269</v>
      </c>
      <c r="AP184" s="287"/>
      <c r="AQ184" s="444">
        <f t="shared" si="58"/>
        <v>-263.7</v>
      </c>
      <c r="AR184" s="444"/>
      <c r="AS184" s="445">
        <f t="shared" si="59"/>
        <v>495.41624573000411</v>
      </c>
      <c r="AT184" s="445">
        <f t="shared" si="65"/>
        <v>-233.08843517306269</v>
      </c>
      <c r="AU184" s="445"/>
      <c r="AV184" s="447">
        <f t="shared" si="60"/>
        <v>233.08843517306269</v>
      </c>
      <c r="AW184" s="447">
        <f t="shared" si="61"/>
        <v>-139.63176266441099</v>
      </c>
      <c r="AX184" s="1597">
        <f t="shared" si="62"/>
        <v>-124.06823733558899</v>
      </c>
      <c r="AY184" s="1597">
        <f t="shared" si="45"/>
        <v>-83.075653981961665</v>
      </c>
      <c r="AZ184" s="1642">
        <f t="shared" si="46"/>
        <v>-80.6008065783288</v>
      </c>
      <c r="BA184" s="274">
        <f t="shared" si="63"/>
        <v>83.075653981961665</v>
      </c>
      <c r="BB184" s="275">
        <f t="shared" si="63"/>
        <v>80.6008065783288</v>
      </c>
      <c r="BC184" s="1027"/>
      <c r="BM184" s="214"/>
      <c r="BN184" s="214"/>
      <c r="BO184" s="214"/>
    </row>
    <row r="185" spans="1:129" ht="21" customHeight="1" thickBot="1" x14ac:dyDescent="0.35">
      <c r="A185" s="296"/>
      <c r="B185" s="277">
        <v>12</v>
      </c>
      <c r="C185" s="278"/>
      <c r="D185" s="25">
        <v>1</v>
      </c>
      <c r="E185" s="257" t="s">
        <v>305</v>
      </c>
      <c r="F185" s="258"/>
      <c r="G185" s="258">
        <f t="shared" si="66"/>
        <v>1</v>
      </c>
      <c r="H185" s="1632">
        <v>251.073172</v>
      </c>
      <c r="I185" s="1633">
        <v>65.636175100000003</v>
      </c>
      <c r="J185" s="474">
        <f t="shared" si="47"/>
        <v>64.636175100000003</v>
      </c>
      <c r="K185" s="474">
        <f t="shared" si="48"/>
        <v>32.318087550000001</v>
      </c>
      <c r="L185" s="474">
        <f t="shared" si="37"/>
        <v>0.53461916118589337</v>
      </c>
      <c r="M185" s="474">
        <f t="shared" si="38"/>
        <v>134.22852861092153</v>
      </c>
      <c r="N185" s="474">
        <f t="shared" si="39"/>
        <v>268.45705722184306</v>
      </c>
      <c r="O185" s="474">
        <f>+C174+D175+D176+D177+D178+D179+D180+D181+D182+D183+D184+(D185/2)</f>
        <v>11.5</v>
      </c>
      <c r="P185" s="474">
        <f t="shared" si="40"/>
        <v>0.19936793441719697</v>
      </c>
      <c r="Q185" s="474">
        <f t="shared" si="41"/>
        <v>53.521728978038098</v>
      </c>
      <c r="R185" s="474">
        <f t="shared" si="49"/>
        <v>493.60506290799856</v>
      </c>
      <c r="S185" s="474">
        <f t="shared" si="64"/>
        <v>547.1267918860367</v>
      </c>
      <c r="T185" s="476">
        <f t="shared" si="42"/>
        <v>547.1267918860367</v>
      </c>
      <c r="V185" s="1635">
        <f t="shared" si="43"/>
        <v>0</v>
      </c>
      <c r="W185" s="437"/>
      <c r="X185" s="437"/>
      <c r="Y185" s="437"/>
      <c r="Z185" s="437"/>
      <c r="AA185" s="437"/>
      <c r="AB185" s="295" t="str">
        <f t="shared" si="50"/>
        <v>use the locking pin</v>
      </c>
      <c r="AC185" s="1636" t="b">
        <f>IF(AD185=12,AF185)</f>
        <v>0</v>
      </c>
      <c r="AD185" s="1636">
        <f t="shared" si="51"/>
        <v>1</v>
      </c>
      <c r="AE185" s="1636">
        <f>IF(V185=0,0,12)</f>
        <v>0</v>
      </c>
      <c r="AF185" s="1637">
        <f>SUM(V185:V199)/($B$171-B184)</f>
        <v>0</v>
      </c>
      <c r="AG185" s="1638"/>
      <c r="AH185" s="450">
        <f>SUM(D175:D185)+$C$174</f>
        <v>12</v>
      </c>
      <c r="AI185" s="1639" t="b">
        <f t="shared" si="52"/>
        <v>0</v>
      </c>
      <c r="AJ185" s="718">
        <f t="shared" si="53"/>
        <v>63.499008599999996</v>
      </c>
      <c r="AK185" s="1639">
        <f t="shared" si="44"/>
        <v>0.89492664082063922</v>
      </c>
      <c r="AL185" s="1639">
        <f t="shared" si="54"/>
        <v>260.1040455377165</v>
      </c>
      <c r="AM185" s="1640">
        <f t="shared" si="55"/>
        <v>69.181912400000002</v>
      </c>
      <c r="AN185" s="1639">
        <f t="shared" si="56"/>
        <v>0.93471352674750907</v>
      </c>
      <c r="AO185" s="1641">
        <f t="shared" si="57"/>
        <v>234.68149007180395</v>
      </c>
      <c r="AP185" s="287"/>
      <c r="AQ185" s="444">
        <f t="shared" si="58"/>
        <v>-293</v>
      </c>
      <c r="AR185" s="444"/>
      <c r="AS185" s="445">
        <f t="shared" si="59"/>
        <v>494.78553560952048</v>
      </c>
      <c r="AT185" s="445">
        <f t="shared" si="65"/>
        <v>-234.68149007180395</v>
      </c>
      <c r="AU185" s="445"/>
      <c r="AV185" s="447">
        <f t="shared" si="60"/>
        <v>234.68149007180395</v>
      </c>
      <c r="AW185" s="447">
        <f t="shared" si="61"/>
        <v>-154.02731053701507</v>
      </c>
      <c r="AX185" s="1597">
        <f t="shared" si="62"/>
        <v>-138.97268946298493</v>
      </c>
      <c r="AY185" s="1597">
        <f t="shared" si="45"/>
        <v>-75.311319528703621</v>
      </c>
      <c r="AZ185" s="1642">
        <f t="shared" si="46"/>
        <v>-71.956583978059072</v>
      </c>
      <c r="BA185" s="274">
        <f t="shared" si="63"/>
        <v>75.311319528703621</v>
      </c>
      <c r="BB185" s="275">
        <f t="shared" si="63"/>
        <v>71.956583978059072</v>
      </c>
      <c r="BC185" s="1027"/>
      <c r="BM185" s="214"/>
      <c r="BN185" s="214"/>
      <c r="BO185" s="214"/>
    </row>
    <row r="186" spans="1:129" ht="21" customHeight="1" thickBot="1" x14ac:dyDescent="0.35">
      <c r="B186" s="277">
        <v>13</v>
      </c>
      <c r="C186" s="278"/>
      <c r="D186" s="25">
        <v>1</v>
      </c>
      <c r="E186" s="257" t="s">
        <v>305</v>
      </c>
      <c r="F186" s="258"/>
      <c r="G186" s="258">
        <f t="shared" si="66"/>
        <v>1</v>
      </c>
      <c r="H186" s="1632">
        <v>251.073172</v>
      </c>
      <c r="I186" s="1633">
        <v>65.636175100000003</v>
      </c>
      <c r="J186" s="474">
        <f t="shared" si="47"/>
        <v>64.636175100000003</v>
      </c>
      <c r="K186" s="474">
        <f t="shared" si="48"/>
        <v>32.318087550000001</v>
      </c>
      <c r="L186" s="474">
        <f t="shared" si="37"/>
        <v>0.53461916118589337</v>
      </c>
      <c r="M186" s="474">
        <f t="shared" si="38"/>
        <v>134.22852861092153</v>
      </c>
      <c r="N186" s="474">
        <f t="shared" si="39"/>
        <v>268.45705722184306</v>
      </c>
      <c r="O186" s="474">
        <f>+C174+D175+D176+D177+D178+D179+D180+D181+D182+D183+D184+D185+(D186/2)</f>
        <v>12.5</v>
      </c>
      <c r="P186" s="474">
        <f t="shared" si="40"/>
        <v>0.21643961393810265</v>
      </c>
      <c r="Q186" s="474">
        <f t="shared" si="41"/>
        <v>58.104741824054848</v>
      </c>
      <c r="R186" s="474">
        <f t="shared" si="49"/>
        <v>547.1267918860367</v>
      </c>
      <c r="S186" s="474">
        <f t="shared" si="64"/>
        <v>605.23153371009153</v>
      </c>
      <c r="T186" s="476">
        <f t="shared" si="42"/>
        <v>605.23153371009153</v>
      </c>
      <c r="V186" s="1635">
        <f t="shared" si="43"/>
        <v>0</v>
      </c>
      <c r="W186" s="437"/>
      <c r="X186" s="437"/>
      <c r="Y186" s="437"/>
      <c r="Z186" s="437"/>
      <c r="AA186" s="437"/>
      <c r="AB186" s="295" t="str">
        <f t="shared" si="50"/>
        <v>use the locking pin</v>
      </c>
      <c r="AC186" s="1636" t="b">
        <f>IF(AD186=13,AF186)</f>
        <v>0</v>
      </c>
      <c r="AD186" s="1636">
        <f t="shared" si="51"/>
        <v>1</v>
      </c>
      <c r="AE186" s="1636">
        <f>IF(V186=0,0,13)</f>
        <v>0</v>
      </c>
      <c r="AF186" s="1637">
        <f>SUM(V186:V199)/($B$171-B185)</f>
        <v>0</v>
      </c>
      <c r="AG186" s="1638"/>
      <c r="AH186" s="450">
        <f>SUM(D175:D186)+$C$174</f>
        <v>13</v>
      </c>
      <c r="AI186" s="1639" t="b">
        <f t="shared" si="52"/>
        <v>0</v>
      </c>
      <c r="AJ186" s="718">
        <f t="shared" si="53"/>
        <v>62.499008599999996</v>
      </c>
      <c r="AK186" s="1639">
        <f t="shared" si="44"/>
        <v>0.88700284331950752</v>
      </c>
      <c r="AL186" s="1639">
        <f t="shared" si="54"/>
        <v>257.8010503065363</v>
      </c>
      <c r="AM186" s="1640">
        <f t="shared" si="55"/>
        <v>70.181912400000002</v>
      </c>
      <c r="AN186" s="1639">
        <f t="shared" si="56"/>
        <v>0.94077378651693899</v>
      </c>
      <c r="AO186" s="1641">
        <f t="shared" si="57"/>
        <v>236.20305871525869</v>
      </c>
      <c r="AP186" s="287"/>
      <c r="AQ186" s="444">
        <f t="shared" si="58"/>
        <v>-322.3</v>
      </c>
      <c r="AR186" s="444"/>
      <c r="AS186" s="445">
        <f t="shared" si="59"/>
        <v>494.00410902179499</v>
      </c>
      <c r="AT186" s="445">
        <f t="shared" si="65"/>
        <v>-236.20305871525869</v>
      </c>
      <c r="AU186" s="445"/>
      <c r="AV186" s="447">
        <f t="shared" si="60"/>
        <v>236.20305871525869</v>
      </c>
      <c r="AW186" s="447">
        <f t="shared" si="61"/>
        <v>-168.19552104197342</v>
      </c>
      <c r="AX186" s="1597">
        <f t="shared" si="62"/>
        <v>-154.10447895802659</v>
      </c>
      <c r="AY186" s="1597">
        <f t="shared" si="45"/>
        <v>-68.967353756734127</v>
      </c>
      <c r="AZ186" s="1642">
        <f t="shared" si="46"/>
        <v>-64.891040595411241</v>
      </c>
      <c r="BA186" s="274">
        <f t="shared" si="63"/>
        <v>68.967353756734127</v>
      </c>
      <c r="BB186" s="275">
        <f t="shared" si="63"/>
        <v>64.891040595411241</v>
      </c>
      <c r="BC186" s="1027"/>
      <c r="BM186" s="214"/>
      <c r="BN186" s="214"/>
      <c r="BO186" s="214"/>
      <c r="DE186" s="126"/>
    </row>
    <row r="187" spans="1:129" ht="21" customHeight="1" thickBot="1" x14ac:dyDescent="0.35">
      <c r="B187" s="277">
        <v>14</v>
      </c>
      <c r="C187" s="278"/>
      <c r="D187" s="25">
        <v>1</v>
      </c>
      <c r="E187" s="257" t="s">
        <v>305</v>
      </c>
      <c r="F187" s="258"/>
      <c r="G187" s="258">
        <f t="shared" si="66"/>
        <v>1</v>
      </c>
      <c r="H187" s="1632">
        <v>251.073172</v>
      </c>
      <c r="I187" s="1633">
        <v>65.636175100000003</v>
      </c>
      <c r="J187" s="474">
        <f t="shared" si="47"/>
        <v>64.636175100000003</v>
      </c>
      <c r="K187" s="474">
        <f t="shared" si="48"/>
        <v>32.318087550000001</v>
      </c>
      <c r="L187" s="474">
        <f t="shared" si="37"/>
        <v>0.53461916118589337</v>
      </c>
      <c r="M187" s="474">
        <f t="shared" si="38"/>
        <v>134.22852861092153</v>
      </c>
      <c r="N187" s="474">
        <f t="shared" si="39"/>
        <v>268.45705722184306</v>
      </c>
      <c r="O187" s="474">
        <f>+C174+D175+D176+D177+D178+D179+D180+D181+D182+D183+D184+D185+D186+(D187/2)</f>
        <v>13.5</v>
      </c>
      <c r="P187" s="474">
        <f t="shared" si="40"/>
        <v>0.23344536385590517</v>
      </c>
      <c r="Q187" s="474">
        <f t="shared" si="41"/>
        <v>62.670055402838706</v>
      </c>
      <c r="R187" s="474">
        <f t="shared" si="49"/>
        <v>605.23153371009153</v>
      </c>
      <c r="S187" s="474">
        <f t="shared" si="64"/>
        <v>667.9015891129302</v>
      </c>
      <c r="T187" s="476">
        <f t="shared" si="42"/>
        <v>667.9015891129302</v>
      </c>
      <c r="V187" s="1635">
        <f t="shared" si="43"/>
        <v>0</v>
      </c>
      <c r="W187" s="437"/>
      <c r="X187" s="437"/>
      <c r="Y187" s="437"/>
      <c r="Z187" s="437"/>
      <c r="AA187" s="437"/>
      <c r="AB187" s="295" t="str">
        <f t="shared" si="50"/>
        <v>use the locking pin</v>
      </c>
      <c r="AC187" s="1636" t="b">
        <f>IF(AD187=14,AF187)</f>
        <v>0</v>
      </c>
      <c r="AD187" s="1636">
        <f t="shared" si="51"/>
        <v>1</v>
      </c>
      <c r="AE187" s="1636">
        <f>IF(V187=0,0,14)</f>
        <v>0</v>
      </c>
      <c r="AF187" s="1637">
        <f>SUM(V187:V199)/($B$171-B186)</f>
        <v>0</v>
      </c>
      <c r="AG187" s="1638"/>
      <c r="AH187" s="450">
        <f>SUM(D175:D187)+$C$174</f>
        <v>14</v>
      </c>
      <c r="AI187" s="1639" t="b">
        <f t="shared" si="52"/>
        <v>0</v>
      </c>
      <c r="AJ187" s="718">
        <f t="shared" si="53"/>
        <v>61.499008599999996</v>
      </c>
      <c r="AK187" s="1639">
        <f t="shared" si="44"/>
        <v>0.87880885615971105</v>
      </c>
      <c r="AL187" s="1639">
        <f t="shared" si="54"/>
        <v>255.4195263780579</v>
      </c>
      <c r="AM187" s="1640">
        <f t="shared" si="55"/>
        <v>71.181912400000002</v>
      </c>
      <c r="AN187" s="1639">
        <f t="shared" si="56"/>
        <v>0.94654747747751544</v>
      </c>
      <c r="AO187" s="1641">
        <f t="shared" si="57"/>
        <v>237.65267761887836</v>
      </c>
      <c r="AP187" s="287"/>
      <c r="AQ187" s="444">
        <f t="shared" si="58"/>
        <v>-351.6</v>
      </c>
      <c r="AR187" s="444"/>
      <c r="AS187" s="445">
        <f t="shared" si="59"/>
        <v>493.07220399693625</v>
      </c>
      <c r="AT187" s="445">
        <f t="shared" si="65"/>
        <v>-237.65267761887836</v>
      </c>
      <c r="AU187" s="445"/>
      <c r="AV187" s="447">
        <f t="shared" si="60"/>
        <v>237.65267761887836</v>
      </c>
      <c r="AW187" s="447">
        <f t="shared" si="61"/>
        <v>-182.13459356772657</v>
      </c>
      <c r="AX187" s="1597">
        <f t="shared" si="62"/>
        <v>-169.46540643227343</v>
      </c>
      <c r="AY187" s="1597">
        <f t="shared" si="45"/>
        <v>-63.689164001052617</v>
      </c>
      <c r="AZ187" s="1642">
        <f t="shared" si="46"/>
        <v>-59.009093422240625</v>
      </c>
      <c r="BA187" s="274">
        <f t="shared" si="63"/>
        <v>63.689164001052617</v>
      </c>
      <c r="BB187" s="275">
        <f t="shared" si="63"/>
        <v>59.009093422240625</v>
      </c>
      <c r="BC187" s="1027"/>
      <c r="BM187" s="214"/>
      <c r="BN187" s="214"/>
      <c r="BO187" s="214"/>
      <c r="DE187" s="126"/>
    </row>
    <row r="188" spans="1:129" ht="21" customHeight="1" thickBot="1" x14ac:dyDescent="0.35">
      <c r="B188" s="277">
        <v>15</v>
      </c>
      <c r="C188" s="278"/>
      <c r="D188" s="25">
        <v>1</v>
      </c>
      <c r="E188" s="257" t="s">
        <v>305</v>
      </c>
      <c r="F188" s="258"/>
      <c r="G188" s="258">
        <f t="shared" si="66"/>
        <v>1</v>
      </c>
      <c r="H188" s="1632">
        <v>251.073172</v>
      </c>
      <c r="I188" s="1633">
        <v>65.636175100000003</v>
      </c>
      <c r="J188" s="474">
        <f t="shared" si="47"/>
        <v>64.636175100000003</v>
      </c>
      <c r="K188" s="474">
        <f t="shared" si="48"/>
        <v>32.318087550000001</v>
      </c>
      <c r="L188" s="474">
        <f t="shared" si="37"/>
        <v>0.53461916118589337</v>
      </c>
      <c r="M188" s="474">
        <f t="shared" si="38"/>
        <v>134.22852861092153</v>
      </c>
      <c r="N188" s="474">
        <f t="shared" si="39"/>
        <v>268.45705722184306</v>
      </c>
      <c r="O188" s="474">
        <f>+C174+D175+D176+D177+D178+D179+D180+D181+D182+D183+D184+D185+D186+D187+(D188/2)</f>
        <v>14.5</v>
      </c>
      <c r="P188" s="474">
        <f t="shared" si="40"/>
        <v>0.25038000405444116</v>
      </c>
      <c r="Q188" s="474">
        <f t="shared" si="41"/>
        <v>67.216279075648401</v>
      </c>
      <c r="R188" s="474">
        <f t="shared" si="49"/>
        <v>667.9015891129302</v>
      </c>
      <c r="S188" s="474">
        <f t="shared" si="64"/>
        <v>735.11786818857854</v>
      </c>
      <c r="T188" s="476">
        <f t="shared" si="42"/>
        <v>735.11786818857854</v>
      </c>
      <c r="V188" s="1635">
        <f t="shared" si="43"/>
        <v>0</v>
      </c>
      <c r="W188" s="437"/>
      <c r="X188" s="437"/>
      <c r="Y188" s="437"/>
      <c r="Z188" s="437"/>
      <c r="AA188" s="437"/>
      <c r="AB188" s="295" t="str">
        <f t="shared" si="50"/>
        <v>use the locking pin</v>
      </c>
      <c r="AC188" s="1636" t="b">
        <f>IF(AD188=15,AF188)</f>
        <v>0</v>
      </c>
      <c r="AD188" s="1636">
        <f t="shared" si="51"/>
        <v>1</v>
      </c>
      <c r="AE188" s="1636">
        <f>IF(V188=0,0,15)</f>
        <v>0</v>
      </c>
      <c r="AF188" s="1637">
        <f>SUM(V188:V199)/($B$171-B187)</f>
        <v>0</v>
      </c>
      <c r="AG188" s="1638"/>
      <c r="AH188" s="450">
        <f>SUM(D175:D188)+$C$174</f>
        <v>15</v>
      </c>
      <c r="AI188" s="1639" t="b">
        <f t="shared" si="52"/>
        <v>0</v>
      </c>
      <c r="AJ188" s="718">
        <f t="shared" si="53"/>
        <v>60.499008599999996</v>
      </c>
      <c r="AK188" s="1639">
        <f t="shared" si="44"/>
        <v>0.87034717530911587</v>
      </c>
      <c r="AL188" s="1639">
        <f t="shared" si="54"/>
        <v>252.96019918754024</v>
      </c>
      <c r="AM188" s="1640">
        <f t="shared" si="55"/>
        <v>72.181912400000002</v>
      </c>
      <c r="AN188" s="1639">
        <f t="shared" si="56"/>
        <v>0.95203284090704099</v>
      </c>
      <c r="AO188" s="1641">
        <f t="shared" si="57"/>
        <v>239.02990521470213</v>
      </c>
      <c r="AP188" s="287"/>
      <c r="AQ188" s="444">
        <f t="shared" si="58"/>
        <v>-380.90000000000003</v>
      </c>
      <c r="AR188" s="444"/>
      <c r="AS188" s="445">
        <f t="shared" si="59"/>
        <v>491.99010440224237</v>
      </c>
      <c r="AT188" s="445">
        <f t="shared" si="65"/>
        <v>-239.02990521470213</v>
      </c>
      <c r="AU188" s="445"/>
      <c r="AV188" s="447">
        <f t="shared" si="60"/>
        <v>239.02990521470213</v>
      </c>
      <c r="AW188" s="447">
        <f t="shared" si="61"/>
        <v>-195.842434651405</v>
      </c>
      <c r="AX188" s="1597">
        <f t="shared" si="62"/>
        <v>-185.05756534859501</v>
      </c>
      <c r="AY188" s="1597">
        <f t="shared" si="45"/>
        <v>-59.231289789915714</v>
      </c>
      <c r="AZ188" s="1642">
        <f t="shared" si="46"/>
        <v>-54.037239607918153</v>
      </c>
      <c r="BA188" s="274">
        <f t="shared" si="63"/>
        <v>59.231289789915714</v>
      </c>
      <c r="BB188" s="275">
        <f t="shared" si="63"/>
        <v>54.037239607918153</v>
      </c>
      <c r="BC188" s="1027"/>
      <c r="BM188" s="214"/>
      <c r="BN188" s="214"/>
      <c r="BO188" s="214"/>
      <c r="DE188" s="126"/>
    </row>
    <row r="189" spans="1:129" ht="21" customHeight="1" thickBot="1" x14ac:dyDescent="0.35">
      <c r="B189" s="277">
        <v>16</v>
      </c>
      <c r="C189" s="278"/>
      <c r="D189" s="25">
        <v>1</v>
      </c>
      <c r="E189" s="257" t="s">
        <v>305</v>
      </c>
      <c r="F189" s="258"/>
      <c r="G189" s="258">
        <f t="shared" si="66"/>
        <v>1</v>
      </c>
      <c r="H189" s="1632">
        <v>251.073172</v>
      </c>
      <c r="I189" s="1633">
        <v>65.636175100000003</v>
      </c>
      <c r="J189" s="474">
        <f t="shared" si="47"/>
        <v>64.636175100000003</v>
      </c>
      <c r="K189" s="474">
        <f t="shared" si="48"/>
        <v>32.318087550000001</v>
      </c>
      <c r="L189" s="474">
        <f t="shared" si="37"/>
        <v>0.53461916118589337</v>
      </c>
      <c r="M189" s="474">
        <f t="shared" si="38"/>
        <v>134.22852861092153</v>
      </c>
      <c r="N189" s="474">
        <f t="shared" si="39"/>
        <v>268.45705722184306</v>
      </c>
      <c r="O189" s="474">
        <f>+C174+D175+D176+D177+D178+D179+D180+D181+D182+D183+D184+D185+D186+D187+D188+(D189/2)</f>
        <v>15.5</v>
      </c>
      <c r="P189" s="474">
        <f t="shared" si="40"/>
        <v>0.26723837607825657</v>
      </c>
      <c r="Q189" s="474">
        <f t="shared" si="41"/>
        <v>71.742028018712944</v>
      </c>
      <c r="R189" s="474">
        <f t="shared" si="49"/>
        <v>735.11786818857854</v>
      </c>
      <c r="S189" s="474">
        <f t="shared" si="64"/>
        <v>806.85989620729151</v>
      </c>
      <c r="T189" s="476">
        <f t="shared" si="42"/>
        <v>806.85989620729151</v>
      </c>
      <c r="V189" s="1635">
        <f t="shared" si="43"/>
        <v>0</v>
      </c>
      <c r="W189" s="437"/>
      <c r="X189" s="437"/>
      <c r="Y189" s="437"/>
      <c r="Z189" s="437"/>
      <c r="AA189" s="437"/>
      <c r="AB189" s="295" t="str">
        <f t="shared" si="50"/>
        <v>use the locking pin</v>
      </c>
      <c r="AC189" s="1636" t="b">
        <f>IF(AD189=16,AF189)</f>
        <v>0</v>
      </c>
      <c r="AD189" s="1636">
        <f t="shared" si="51"/>
        <v>1</v>
      </c>
      <c r="AE189" s="1636">
        <f>IF(V189=0,0,16)</f>
        <v>0</v>
      </c>
      <c r="AF189" s="1637">
        <f>SUM(V189:V199)/($B$171-B188)</f>
        <v>0</v>
      </c>
      <c r="AG189" s="1638"/>
      <c r="AH189" s="450">
        <f>SUM(D175:D189)+$C$174</f>
        <v>16</v>
      </c>
      <c r="AI189" s="1639" t="b">
        <f t="shared" si="52"/>
        <v>0</v>
      </c>
      <c r="AJ189" s="718">
        <f t="shared" si="53"/>
        <v>59.499008599999996</v>
      </c>
      <c r="AK189" s="1639">
        <f t="shared" si="44"/>
        <v>0.86162037827767901</v>
      </c>
      <c r="AL189" s="1639">
        <f t="shared" si="54"/>
        <v>250.42381786986954</v>
      </c>
      <c r="AM189" s="1640">
        <f t="shared" si="55"/>
        <v>73.181912400000002</v>
      </c>
      <c r="AN189" s="1639">
        <f t="shared" si="56"/>
        <v>0.95722820591067703</v>
      </c>
      <c r="AO189" s="1641">
        <f t="shared" si="57"/>
        <v>240.33432198586283</v>
      </c>
      <c r="AP189" s="287"/>
      <c r="AQ189" s="444">
        <f t="shared" si="58"/>
        <v>-410.2</v>
      </c>
      <c r="AR189" s="444"/>
      <c r="AS189" s="445">
        <f t="shared" si="59"/>
        <v>490.75813985573234</v>
      </c>
      <c r="AT189" s="445">
        <f t="shared" si="65"/>
        <v>-240.33432198586283</v>
      </c>
      <c r="AU189" s="445"/>
      <c r="AV189" s="447">
        <f t="shared" si="60"/>
        <v>240.33432198586283</v>
      </c>
      <c r="AW189" s="447">
        <f t="shared" si="61"/>
        <v>-209.31665060189954</v>
      </c>
      <c r="AX189" s="1597">
        <f t="shared" si="62"/>
        <v>-200.88334939810045</v>
      </c>
      <c r="AY189" s="1597">
        <f t="shared" si="45"/>
        <v>-55.418429287128724</v>
      </c>
      <c r="AZ189" s="1642">
        <f t="shared" si="46"/>
        <v>-49.780133744098954</v>
      </c>
      <c r="BA189" s="274">
        <f t="shared" si="63"/>
        <v>55.418429287128724</v>
      </c>
      <c r="BB189" s="275">
        <f t="shared" si="63"/>
        <v>49.780133744098954</v>
      </c>
      <c r="BC189" s="1027"/>
      <c r="BM189" s="214"/>
      <c r="BN189" s="214"/>
      <c r="BO189" s="214"/>
      <c r="DE189" s="126"/>
    </row>
    <row r="190" spans="1:129" ht="21" customHeight="1" thickBot="1" x14ac:dyDescent="0.35">
      <c r="B190" s="277">
        <v>17</v>
      </c>
      <c r="C190" s="278"/>
      <c r="D190" s="25">
        <v>1</v>
      </c>
      <c r="E190" s="257" t="s">
        <v>305</v>
      </c>
      <c r="F190" s="258"/>
      <c r="G190" s="258">
        <f t="shared" si="66"/>
        <v>1</v>
      </c>
      <c r="H190" s="1632">
        <v>251.073172</v>
      </c>
      <c r="I190" s="1633">
        <v>65.636175100000003</v>
      </c>
      <c r="J190" s="474">
        <f t="shared" si="47"/>
        <v>64.636175100000003</v>
      </c>
      <c r="K190" s="474">
        <f t="shared" si="48"/>
        <v>32.318087550000001</v>
      </c>
      <c r="L190" s="474">
        <f t="shared" si="37"/>
        <v>0.53461916118589337</v>
      </c>
      <c r="M190" s="474">
        <f t="shared" si="38"/>
        <v>134.22852861092153</v>
      </c>
      <c r="N190" s="474">
        <f t="shared" si="39"/>
        <v>268.45705722184306</v>
      </c>
      <c r="O190" s="474">
        <f>+C174+D175+D176+D177+D178+D179+D180+D181+D182+D183+D184+D185+D186+D187+D188+D189+(D190/2)</f>
        <v>16.5</v>
      </c>
      <c r="P190" s="474">
        <f t="shared" si="40"/>
        <v>0.28401534470392237</v>
      </c>
      <c r="Q190" s="474">
        <f t="shared" si="41"/>
        <v>76.245923645062362</v>
      </c>
      <c r="R190" s="474">
        <f t="shared" si="49"/>
        <v>806.85989620729151</v>
      </c>
      <c r="S190" s="474">
        <f t="shared" si="64"/>
        <v>883.10581985235387</v>
      </c>
      <c r="T190" s="476">
        <f t="shared" si="42"/>
        <v>883.10581985235387</v>
      </c>
      <c r="V190" s="1635">
        <f t="shared" si="43"/>
        <v>0</v>
      </c>
      <c r="W190" s="437"/>
      <c r="X190" s="437"/>
      <c r="Y190" s="437"/>
      <c r="Z190" s="437"/>
      <c r="AA190" s="437"/>
      <c r="AB190" s="295" t="str">
        <f t="shared" si="50"/>
        <v>use the locking pin</v>
      </c>
      <c r="AC190" s="1636" t="b">
        <f>IF(AD190=17,AF190)</f>
        <v>0</v>
      </c>
      <c r="AD190" s="1636">
        <f t="shared" si="51"/>
        <v>1</v>
      </c>
      <c r="AE190" s="1636">
        <f>IF(V190=0,0,17)</f>
        <v>0</v>
      </c>
      <c r="AF190" s="1637">
        <f>SUM(V190:V199)/($B$171-B189)</f>
        <v>0</v>
      </c>
      <c r="AG190" s="1638"/>
      <c r="AH190" s="450">
        <f>SUM(D175:D190)+$C$174</f>
        <v>17</v>
      </c>
      <c r="AI190" s="1639" t="b">
        <f t="shared" si="52"/>
        <v>0</v>
      </c>
      <c r="AJ190" s="718">
        <f t="shared" si="53"/>
        <v>58.499008599999996</v>
      </c>
      <c r="AK190" s="1639">
        <f t="shared" si="44"/>
        <v>0.85263112333231494</v>
      </c>
      <c r="AL190" s="1639">
        <f t="shared" si="54"/>
        <v>247.81115503136576</v>
      </c>
      <c r="AM190" s="1640">
        <f t="shared" si="55"/>
        <v>74.181912400000002</v>
      </c>
      <c r="AN190" s="1639">
        <f t="shared" si="56"/>
        <v>0.96213198992991489</v>
      </c>
      <c r="AO190" s="1641">
        <f t="shared" si="57"/>
        <v>241.56553059437579</v>
      </c>
      <c r="AP190" s="287"/>
      <c r="AQ190" s="444">
        <f t="shared" si="58"/>
        <v>-439.5</v>
      </c>
      <c r="AR190" s="444"/>
      <c r="AS190" s="445">
        <f t="shared" si="59"/>
        <v>489.37668562574152</v>
      </c>
      <c r="AT190" s="445">
        <f t="shared" si="65"/>
        <v>-241.56553059437579</v>
      </c>
      <c r="AU190" s="445"/>
      <c r="AV190" s="447">
        <f t="shared" si="60"/>
        <v>241.56553059437579</v>
      </c>
      <c r="AW190" s="447">
        <f t="shared" si="61"/>
        <v>-222.55453893767663</v>
      </c>
      <c r="AX190" s="1597">
        <f t="shared" si="62"/>
        <v>-216.94546106232335</v>
      </c>
      <c r="AY190" s="1597">
        <f t="shared" si="45"/>
        <v>-52.122055363914292</v>
      </c>
      <c r="AZ190" s="1642">
        <f t="shared" si="46"/>
        <v>-46.094534317669982</v>
      </c>
      <c r="BA190" s="274">
        <f t="shared" si="63"/>
        <v>52.122055363914292</v>
      </c>
      <c r="BB190" s="275">
        <f t="shared" si="63"/>
        <v>46.094534317669982</v>
      </c>
      <c r="BC190" s="1027"/>
      <c r="BD190" s="136"/>
      <c r="BM190" s="214"/>
      <c r="BN190" s="214"/>
      <c r="BO190" s="214"/>
      <c r="DF190" s="126"/>
      <c r="DG190" s="126"/>
      <c r="DH190" s="126"/>
      <c r="DI190" s="126"/>
      <c r="DJ190" s="126"/>
      <c r="DK190" s="126"/>
      <c r="DL190" s="203"/>
      <c r="DM190" s="203"/>
      <c r="DN190" s="203"/>
      <c r="DO190" s="203"/>
      <c r="DP190" s="203"/>
      <c r="DQ190" s="203"/>
      <c r="DR190" s="203"/>
      <c r="DS190" s="203"/>
      <c r="DT190" s="203"/>
      <c r="DU190" s="203"/>
      <c r="DV190" s="203"/>
      <c r="DW190" s="203"/>
      <c r="DX190" s="203"/>
      <c r="DY190" s="203"/>
    </row>
    <row r="191" spans="1:129" ht="21" customHeight="1" thickBot="1" x14ac:dyDescent="0.35">
      <c r="B191" s="277">
        <v>18</v>
      </c>
      <c r="C191" s="278"/>
      <c r="D191" s="25">
        <v>1</v>
      </c>
      <c r="E191" s="257" t="s">
        <v>305</v>
      </c>
      <c r="F191" s="258"/>
      <c r="G191" s="258">
        <f t="shared" si="66"/>
        <v>1</v>
      </c>
      <c r="H191" s="1632">
        <v>251.073172</v>
      </c>
      <c r="I191" s="1633">
        <v>65.636175100000003</v>
      </c>
      <c r="J191" s="474">
        <f t="shared" si="47"/>
        <v>64.636175100000003</v>
      </c>
      <c r="K191" s="474">
        <f t="shared" si="48"/>
        <v>32.318087550000001</v>
      </c>
      <c r="L191" s="474">
        <f t="shared" si="37"/>
        <v>0.53461916118589337</v>
      </c>
      <c r="M191" s="474">
        <f t="shared" si="38"/>
        <v>134.22852861092153</v>
      </c>
      <c r="N191" s="474">
        <f t="shared" si="39"/>
        <v>268.45705722184306</v>
      </c>
      <c r="O191" s="474">
        <f>+C174+D175+D176+D177+D178+D179+D180+D181+D182+D183+D184+D185+D186+D187+D188+D189+D190+(D191/2)</f>
        <v>17.5</v>
      </c>
      <c r="P191" s="474">
        <f t="shared" si="40"/>
        <v>0.30070579950427284</v>
      </c>
      <c r="Q191" s="474">
        <f t="shared" si="41"/>
        <v>80.726594024458635</v>
      </c>
      <c r="R191" s="474">
        <f t="shared" si="49"/>
        <v>883.10581985235387</v>
      </c>
      <c r="S191" s="474">
        <f t="shared" si="64"/>
        <v>963.83241387681255</v>
      </c>
      <c r="T191" s="476">
        <f t="shared" si="42"/>
        <v>963.83241387681255</v>
      </c>
      <c r="V191" s="1635">
        <f t="shared" si="43"/>
        <v>0</v>
      </c>
      <c r="W191" s="437"/>
      <c r="X191" s="437"/>
      <c r="Y191" s="437"/>
      <c r="Z191" s="437"/>
      <c r="AA191" s="437"/>
      <c r="AB191" s="295" t="str">
        <f t="shared" si="50"/>
        <v>use the locking pin</v>
      </c>
      <c r="AC191" s="1636" t="b">
        <f>IF(AD191=18,AF191)</f>
        <v>0</v>
      </c>
      <c r="AD191" s="1636">
        <f t="shared" si="51"/>
        <v>1</v>
      </c>
      <c r="AE191" s="1636">
        <f>IF(V191=0,0,18)</f>
        <v>0</v>
      </c>
      <c r="AF191" s="1637">
        <f>SUM(V191:V199)/($B$171-B190)</f>
        <v>0</v>
      </c>
      <c r="AG191" s="1638"/>
      <c r="AH191" s="450">
        <f>SUM(D175:D191)+$C$174</f>
        <v>18</v>
      </c>
      <c r="AI191" s="1639" t="b">
        <f t="shared" si="52"/>
        <v>0</v>
      </c>
      <c r="AJ191" s="718">
        <f t="shared" si="53"/>
        <v>57.499008599999996</v>
      </c>
      <c r="AK191" s="1639">
        <f t="shared" si="44"/>
        <v>0.84338214868716044</v>
      </c>
      <c r="AL191" s="1639">
        <f t="shared" si="54"/>
        <v>245.12300651443877</v>
      </c>
      <c r="AM191" s="1640">
        <f t="shared" si="55"/>
        <v>75.181912400000002</v>
      </c>
      <c r="AN191" s="1639">
        <f t="shared" si="56"/>
        <v>0.96674269922463818</v>
      </c>
      <c r="AO191" s="1641">
        <f t="shared" si="57"/>
        <v>242.72315600217186</v>
      </c>
      <c r="AP191" s="287"/>
      <c r="AQ191" s="444">
        <f t="shared" si="58"/>
        <v>-468.8</v>
      </c>
      <c r="AR191" s="444"/>
      <c r="AS191" s="445">
        <f t="shared" si="59"/>
        <v>487.84616251661066</v>
      </c>
      <c r="AT191" s="445">
        <f t="shared" si="65"/>
        <v>-242.72315600217186</v>
      </c>
      <c r="AU191" s="445"/>
      <c r="AV191" s="447">
        <f t="shared" si="60"/>
        <v>242.72315600217186</v>
      </c>
      <c r="AW191" s="447">
        <f t="shared" si="61"/>
        <v>-235.5530785794717</v>
      </c>
      <c r="AX191" s="1597">
        <f t="shared" si="62"/>
        <v>-233.24692142052831</v>
      </c>
      <c r="AY191" s="1597">
        <f t="shared" si="45"/>
        <v>-49.245800861338999</v>
      </c>
      <c r="AZ191" s="1642">
        <f t="shared" si="46"/>
        <v>-42.873020312969885</v>
      </c>
      <c r="BA191" s="274">
        <f t="shared" si="63"/>
        <v>49.245800861338999</v>
      </c>
      <c r="BB191" s="275">
        <f t="shared" si="63"/>
        <v>42.873020312969885</v>
      </c>
      <c r="BC191" s="1027"/>
      <c r="BD191" s="458"/>
      <c r="BM191" s="214"/>
      <c r="BN191" s="214"/>
      <c r="BO191" s="214"/>
      <c r="DF191" s="126"/>
      <c r="DG191" s="126"/>
      <c r="DH191" s="126"/>
      <c r="DI191" s="126"/>
      <c r="DJ191" s="126"/>
      <c r="DK191" s="126"/>
      <c r="DL191" s="203"/>
      <c r="DM191" s="203"/>
      <c r="DN191" s="203"/>
      <c r="DO191" s="203"/>
      <c r="DP191" s="203"/>
      <c r="DQ191" s="203"/>
      <c r="DR191" s="203"/>
      <c r="DS191" s="203"/>
      <c r="DT191" s="203"/>
      <c r="DU191" s="203"/>
      <c r="DV191" s="203"/>
      <c r="DW191" s="203"/>
      <c r="DX191" s="203"/>
      <c r="DY191" s="203"/>
    </row>
    <row r="192" spans="1:129" ht="21" customHeight="1" thickBot="1" x14ac:dyDescent="0.35">
      <c r="B192" s="277">
        <v>19</v>
      </c>
      <c r="C192" s="278"/>
      <c r="D192" s="25">
        <v>1</v>
      </c>
      <c r="E192" s="257" t="s">
        <v>305</v>
      </c>
      <c r="F192" s="258"/>
      <c r="G192" s="258">
        <f t="shared" si="66"/>
        <v>1</v>
      </c>
      <c r="H192" s="1632">
        <v>251.073172</v>
      </c>
      <c r="I192" s="1633">
        <v>65.636175100000003</v>
      </c>
      <c r="J192" s="474">
        <f t="shared" si="47"/>
        <v>64.636175100000003</v>
      </c>
      <c r="K192" s="474">
        <f t="shared" si="48"/>
        <v>32.318087550000001</v>
      </c>
      <c r="L192" s="474">
        <f t="shared" si="37"/>
        <v>0.53461916118589337</v>
      </c>
      <c r="M192" s="474">
        <f t="shared" si="38"/>
        <v>134.22852861092153</v>
      </c>
      <c r="N192" s="474">
        <f t="shared" si="39"/>
        <v>268.45705722184306</v>
      </c>
      <c r="O192" s="474">
        <f>+C174+D175+D176+D177+D178+D179+D180+D181+D182+D183+D184+D185+D186+D187+D188+D189+D190+D191+(D192/2)</f>
        <v>18.5</v>
      </c>
      <c r="P192" s="474">
        <f t="shared" si="40"/>
        <v>0.31730465640509181</v>
      </c>
      <c r="Q192" s="474">
        <f t="shared" si="41"/>
        <v>85.182674301298988</v>
      </c>
      <c r="R192" s="474">
        <f t="shared" si="49"/>
        <v>963.83241387681255</v>
      </c>
      <c r="S192" s="474">
        <f t="shared" si="64"/>
        <v>1049.0150881781115</v>
      </c>
      <c r="T192" s="476">
        <f t="shared" si="42"/>
        <v>1049.0150881781115</v>
      </c>
      <c r="V192" s="1635">
        <f t="shared" si="43"/>
        <v>0</v>
      </c>
      <c r="W192" s="437"/>
      <c r="X192" s="437"/>
      <c r="Y192" s="437"/>
      <c r="Z192" s="437"/>
      <c r="AA192" s="437"/>
      <c r="AB192" s="258" t="str">
        <f t="shared" si="50"/>
        <v>use the locking pin</v>
      </c>
      <c r="AC192" s="1636" t="b">
        <f>IF(AD192=19,AF192)</f>
        <v>0</v>
      </c>
      <c r="AD192" s="1636">
        <f t="shared" si="51"/>
        <v>1</v>
      </c>
      <c r="AE192" s="1636">
        <f>IF(V192=0,0,19)</f>
        <v>0</v>
      </c>
      <c r="AF192" s="1637">
        <f>SUM(V192:V199)/($B$171-B191)</f>
        <v>0</v>
      </c>
      <c r="AG192" s="1638"/>
      <c r="AH192" s="450">
        <f>SUM(D175:D192)+$C$174</f>
        <v>19</v>
      </c>
      <c r="AI192" s="1639" t="b">
        <f t="shared" si="52"/>
        <v>0</v>
      </c>
      <c r="AJ192" s="718">
        <f t="shared" si="53"/>
        <v>56.499008599999996</v>
      </c>
      <c r="AK192" s="1639">
        <f t="shared" si="44"/>
        <v>0.83387627166948974</v>
      </c>
      <c r="AL192" s="1639">
        <f t="shared" si="54"/>
        <v>242.36019115516766</v>
      </c>
      <c r="AM192" s="1640">
        <f t="shared" si="55"/>
        <v>76.181912400000002</v>
      </c>
      <c r="AN192" s="1639">
        <f t="shared" si="56"/>
        <v>0.97105892932813076</v>
      </c>
      <c r="AO192" s="1641">
        <f t="shared" si="57"/>
        <v>243.80684558533761</v>
      </c>
      <c r="AP192" s="287"/>
      <c r="AQ192" s="444">
        <f t="shared" si="58"/>
        <v>-498.1</v>
      </c>
      <c r="AR192" s="444"/>
      <c r="AS192" s="445">
        <f t="shared" si="59"/>
        <v>486.1670367405053</v>
      </c>
      <c r="AT192" s="445">
        <f t="shared" si="65"/>
        <v>-243.80684558533761</v>
      </c>
      <c r="AU192" s="445"/>
      <c r="AV192" s="447">
        <f t="shared" si="60"/>
        <v>243.80684558533761</v>
      </c>
      <c r="AW192" s="447">
        <f t="shared" si="61"/>
        <v>-248.30891872832561</v>
      </c>
      <c r="AX192" s="1597">
        <f t="shared" si="62"/>
        <v>-249.79108127167441</v>
      </c>
      <c r="AY192" s="1597">
        <f t="shared" si="45"/>
        <v>-46.716002225806243</v>
      </c>
      <c r="AZ192" s="1642">
        <f t="shared" si="46"/>
        <v>-40.033454953997875</v>
      </c>
      <c r="BA192" s="274">
        <f t="shared" si="63"/>
        <v>46.716002225806243</v>
      </c>
      <c r="BB192" s="275">
        <f t="shared" si="63"/>
        <v>40.033454953997875</v>
      </c>
      <c r="BC192" s="1027"/>
      <c r="BD192" s="144"/>
      <c r="BM192" s="214"/>
      <c r="BN192" s="214"/>
      <c r="BO192" s="214"/>
      <c r="DF192" s="126"/>
      <c r="DG192" s="126"/>
      <c r="DH192" s="126"/>
      <c r="DI192" s="126"/>
      <c r="DJ192" s="126"/>
      <c r="DK192" s="126"/>
      <c r="DL192" s="203"/>
      <c r="DM192" s="203"/>
      <c r="DN192" s="203"/>
      <c r="DO192" s="203"/>
      <c r="DP192" s="203"/>
      <c r="DQ192" s="203"/>
      <c r="DR192" s="203"/>
      <c r="DS192" s="203"/>
      <c r="DT192" s="203"/>
      <c r="DU192" s="203"/>
      <c r="DV192" s="203"/>
      <c r="DW192" s="203"/>
      <c r="DX192" s="203"/>
      <c r="DY192" s="203"/>
    </row>
    <row r="193" spans="2:129" ht="21" customHeight="1" thickBot="1" x14ac:dyDescent="0.35">
      <c r="B193" s="277">
        <v>20</v>
      </c>
      <c r="C193" s="278"/>
      <c r="D193" s="25">
        <v>1</v>
      </c>
      <c r="E193" s="257" t="s">
        <v>305</v>
      </c>
      <c r="F193" s="258"/>
      <c r="G193" s="258">
        <f t="shared" si="66"/>
        <v>1</v>
      </c>
      <c r="H193" s="1632">
        <v>251.073172</v>
      </c>
      <c r="I193" s="1633">
        <v>65.636175100000003</v>
      </c>
      <c r="J193" s="474">
        <f t="shared" si="47"/>
        <v>64.636175100000003</v>
      </c>
      <c r="K193" s="474">
        <f t="shared" si="48"/>
        <v>32.318087550000001</v>
      </c>
      <c r="L193" s="474">
        <f t="shared" si="37"/>
        <v>0.53461916118589337</v>
      </c>
      <c r="M193" s="474">
        <f t="shared" si="38"/>
        <v>134.22852861092153</v>
      </c>
      <c r="N193" s="474">
        <f t="shared" si="39"/>
        <v>268.45705722184306</v>
      </c>
      <c r="O193" s="64">
        <f>+C174+D175+D176+D177+D178+D179+D180+D181+D182+D183+D184+D185+D186+D187+D188+D189+D190+D191+D192+(D193/2)</f>
        <v>19.5</v>
      </c>
      <c r="P193" s="474">
        <f t="shared" si="40"/>
        <v>0.33380685923377057</v>
      </c>
      <c r="Q193" s="474">
        <f t="shared" si="41"/>
        <v>89.612807110364059</v>
      </c>
      <c r="R193" s="474">
        <f t="shared" si="49"/>
        <v>1049.0150881781115</v>
      </c>
      <c r="S193" s="474">
        <f t="shared" si="64"/>
        <v>1138.6278952884754</v>
      </c>
      <c r="T193" s="476">
        <f t="shared" si="42"/>
        <v>1138.6278952884754</v>
      </c>
      <c r="V193" s="1635">
        <f t="shared" si="43"/>
        <v>0</v>
      </c>
      <c r="W193" s="437"/>
      <c r="X193" s="437"/>
      <c r="Y193" s="437"/>
      <c r="Z193" s="437"/>
      <c r="AA193" s="437"/>
      <c r="AB193" s="281" t="str">
        <f t="shared" si="50"/>
        <v>use the locking pin</v>
      </c>
      <c r="AC193" s="1636" t="b">
        <f>IF(AD193=20,AF193)</f>
        <v>0</v>
      </c>
      <c r="AD193" s="1636">
        <f t="shared" si="51"/>
        <v>1</v>
      </c>
      <c r="AE193" s="1636">
        <f>IF(V193=0,0,20)</f>
        <v>0</v>
      </c>
      <c r="AF193" s="1637">
        <f>SUM(V193:V199)/($B$171-B192)</f>
        <v>0</v>
      </c>
      <c r="AG193" s="1638"/>
      <c r="AH193" s="450">
        <f>SUM(D175:D193)+$C$174</f>
        <v>20</v>
      </c>
      <c r="AI193" s="1639" t="b">
        <f t="shared" si="52"/>
        <v>0</v>
      </c>
      <c r="AJ193" s="718">
        <f t="shared" si="53"/>
        <v>55.499008599999996</v>
      </c>
      <c r="AK193" s="1639">
        <f t="shared" si="44"/>
        <v>0.82411638786152763</v>
      </c>
      <c r="AL193" s="1639">
        <f t="shared" si="54"/>
        <v>239.52355053387478</v>
      </c>
      <c r="AM193" s="1640">
        <f t="shared" si="55"/>
        <v>77.181912400000002</v>
      </c>
      <c r="AN193" s="1639">
        <f t="shared" si="56"/>
        <v>0.97507936547489105</v>
      </c>
      <c r="AO193" s="1641">
        <f t="shared" si="57"/>
        <v>244.81626924152818</v>
      </c>
      <c r="AP193" s="287"/>
      <c r="AQ193" s="444">
        <f t="shared" si="58"/>
        <v>-527.4</v>
      </c>
      <c r="AR193" s="444"/>
      <c r="AS193" s="445">
        <f t="shared" si="59"/>
        <v>484.33981977540293</v>
      </c>
      <c r="AT193" s="445">
        <f t="shared" si="65"/>
        <v>-244.81626924152818</v>
      </c>
      <c r="AU193" s="445"/>
      <c r="AV193" s="447">
        <f t="shared" si="60"/>
        <v>244.81626924152818</v>
      </c>
      <c r="AW193" s="447">
        <f t="shared" si="61"/>
        <v>-260.81836634895018</v>
      </c>
      <c r="AX193" s="1597">
        <f t="shared" si="62"/>
        <v>-266.58163365104986</v>
      </c>
      <c r="AY193" s="1597">
        <f t="shared" si="45"/>
        <v>-44.475395511374003</v>
      </c>
      <c r="AZ193" s="1642">
        <f t="shared" si="46"/>
        <v>-37.511961582056344</v>
      </c>
      <c r="BA193" s="274">
        <f t="shared" si="63"/>
        <v>44.475395511374003</v>
      </c>
      <c r="BB193" s="275">
        <f t="shared" si="63"/>
        <v>37.511961582056344</v>
      </c>
      <c r="BC193" s="1027"/>
      <c r="BD193" s="144"/>
      <c r="BM193" s="214"/>
      <c r="BN193" s="214"/>
      <c r="BO193" s="214"/>
      <c r="DF193" s="126"/>
      <c r="DG193" s="126"/>
      <c r="DH193" s="126"/>
      <c r="DI193" s="126"/>
      <c r="DJ193" s="126"/>
      <c r="DK193" s="126"/>
      <c r="DL193" s="203"/>
      <c r="DM193" s="203"/>
      <c r="DN193" s="203"/>
      <c r="DO193" s="203"/>
      <c r="DP193" s="203"/>
      <c r="DQ193" s="203"/>
      <c r="DR193" s="203"/>
      <c r="DS193" s="203"/>
      <c r="DT193" s="203"/>
      <c r="DU193" s="203"/>
      <c r="DV193" s="203"/>
      <c r="DW193" s="203"/>
      <c r="DX193" s="203"/>
      <c r="DY193" s="203"/>
    </row>
    <row r="194" spans="2:129" ht="21" customHeight="1" thickBot="1" x14ac:dyDescent="0.35">
      <c r="B194" s="277">
        <v>21</v>
      </c>
      <c r="C194" s="1644"/>
      <c r="D194" s="25">
        <v>1</v>
      </c>
      <c r="E194" s="257" t="s">
        <v>305</v>
      </c>
      <c r="F194" s="258"/>
      <c r="G194" s="258">
        <f t="shared" si="66"/>
        <v>1</v>
      </c>
      <c r="H194" s="1632">
        <v>251.073172</v>
      </c>
      <c r="I194" s="1633">
        <v>65.636175100000003</v>
      </c>
      <c r="J194" s="474">
        <f t="shared" si="47"/>
        <v>64.636175100000003</v>
      </c>
      <c r="K194" s="474">
        <f t="shared" si="48"/>
        <v>32.318087550000001</v>
      </c>
      <c r="L194" s="474">
        <f t="shared" si="37"/>
        <v>0.53461916118589337</v>
      </c>
      <c r="M194" s="474">
        <f t="shared" si="38"/>
        <v>134.22852861092153</v>
      </c>
      <c r="N194" s="474">
        <f t="shared" si="39"/>
        <v>268.45705722184306</v>
      </c>
      <c r="O194" s="1645">
        <f>+C174+D175+D176+D177+D178+D179+D180+D181+D182+D183+D184+D185+D186+D187+D188+D189+D190+D191+D192+D193+(D194/2)</f>
        <v>20.5</v>
      </c>
      <c r="P194" s="474">
        <f t="shared" si="40"/>
        <v>0.35020738125946715</v>
      </c>
      <c r="Q194" s="474">
        <f t="shared" si="41"/>
        <v>94.015642990284576</v>
      </c>
      <c r="R194" s="474">
        <f t="shared" si="49"/>
        <v>1138.6278952884754</v>
      </c>
      <c r="S194" s="474">
        <f t="shared" si="64"/>
        <v>1232.6435382787599</v>
      </c>
      <c r="T194" s="476">
        <f t="shared" si="42"/>
        <v>1232.6435382787599</v>
      </c>
      <c r="V194" s="1635">
        <f t="shared" si="43"/>
        <v>0</v>
      </c>
      <c r="AB194" s="281" t="str">
        <f t="shared" si="50"/>
        <v>use the locking pin</v>
      </c>
      <c r="AC194" s="64" t="b">
        <f>IF(AD194=21,AF194)</f>
        <v>0</v>
      </c>
      <c r="AD194" s="64">
        <f t="shared" si="51"/>
        <v>1</v>
      </c>
      <c r="AE194" s="64">
        <f>IF(V194=0,0,21)</f>
        <v>0</v>
      </c>
      <c r="AF194" s="1637">
        <f>SUM(V194:V199)/($B$171-B193)</f>
        <v>0</v>
      </c>
      <c r="AG194" s="1646"/>
      <c r="AH194" s="450">
        <f>SUM(D175:D194)+$C$174</f>
        <v>21</v>
      </c>
      <c r="AI194" s="1639" t="b">
        <f t="shared" si="52"/>
        <v>0</v>
      </c>
      <c r="AJ194" s="718">
        <f t="shared" si="53"/>
        <v>54.499008599999996</v>
      </c>
      <c r="AK194" s="1639">
        <f t="shared" si="44"/>
        <v>0.81410547021842816</v>
      </c>
      <c r="AL194" s="1639">
        <f t="shared" si="54"/>
        <v>236.61394871877258</v>
      </c>
      <c r="AM194" s="1640">
        <f t="shared" si="55"/>
        <v>78.181912400000002</v>
      </c>
      <c r="AN194" s="1639">
        <f t="shared" si="56"/>
        <v>0.97880278300112167</v>
      </c>
      <c r="AO194" s="1641">
        <f t="shared" si="57"/>
        <v>245.7511194905193</v>
      </c>
      <c r="AP194" s="287"/>
      <c r="AQ194" s="444">
        <f t="shared" si="58"/>
        <v>-556.70000000000005</v>
      </c>
      <c r="AR194" s="444"/>
      <c r="AS194" s="445">
        <f t="shared" si="59"/>
        <v>482.36506820929185</v>
      </c>
      <c r="AT194" s="64">
        <f t="shared" si="65"/>
        <v>-245.7511194905193</v>
      </c>
      <c r="AU194" s="445"/>
      <c r="AV194" s="447">
        <f t="shared" si="60"/>
        <v>245.7511194905193</v>
      </c>
      <c r="AW194" s="447">
        <f t="shared" si="61"/>
        <v>-273.07737216698251</v>
      </c>
      <c r="AX194" s="1597">
        <f t="shared" si="62"/>
        <v>-283.62262783301753</v>
      </c>
      <c r="AY194" s="1597">
        <f t="shared" si="45"/>
        <v>-42.478803380701869</v>
      </c>
      <c r="AZ194" s="1642">
        <f t="shared" si="46"/>
        <v>-35.258117719322051</v>
      </c>
      <c r="BA194" s="274">
        <f t="shared" si="63"/>
        <v>42.478803380701869</v>
      </c>
      <c r="BB194" s="275">
        <f t="shared" si="63"/>
        <v>35.258117719322051</v>
      </c>
      <c r="BC194" s="1027"/>
      <c r="BD194" s="144"/>
      <c r="BM194" s="214"/>
      <c r="BN194" s="214"/>
      <c r="BO194" s="214"/>
      <c r="DF194" s="126"/>
      <c r="DG194" s="126"/>
      <c r="DH194" s="126"/>
      <c r="DI194" s="126"/>
      <c r="DJ194" s="126"/>
      <c r="DK194" s="126"/>
      <c r="DL194" s="203"/>
      <c r="DM194" s="203"/>
      <c r="DN194" s="203"/>
      <c r="DO194" s="203"/>
      <c r="DP194" s="203"/>
      <c r="DQ194" s="203"/>
      <c r="DR194" s="203"/>
      <c r="DS194" s="203"/>
      <c r="DT194" s="203"/>
      <c r="DU194" s="203"/>
      <c r="DV194" s="203"/>
      <c r="DW194" s="203"/>
      <c r="DX194" s="203"/>
      <c r="DY194" s="203"/>
    </row>
    <row r="195" spans="2:129" ht="21" customHeight="1" thickBot="1" x14ac:dyDescent="0.35">
      <c r="B195" s="277">
        <v>22</v>
      </c>
      <c r="C195" s="1644"/>
      <c r="D195" s="25">
        <v>1</v>
      </c>
      <c r="E195" s="257" t="s">
        <v>305</v>
      </c>
      <c r="F195" s="258"/>
      <c r="G195" s="258">
        <f t="shared" si="66"/>
        <v>1</v>
      </c>
      <c r="H195" s="1632">
        <v>251.073172</v>
      </c>
      <c r="I195" s="1633">
        <v>65.636175100000003</v>
      </c>
      <c r="J195" s="474">
        <f t="shared" si="47"/>
        <v>64.636175100000003</v>
      </c>
      <c r="K195" s="474">
        <f t="shared" si="48"/>
        <v>32.318087550000001</v>
      </c>
      <c r="L195" s="474">
        <f t="shared" si="37"/>
        <v>0.53461916118589337</v>
      </c>
      <c r="M195" s="474">
        <f t="shared" si="38"/>
        <v>134.22852861092153</v>
      </c>
      <c r="N195" s="474">
        <f t="shared" si="39"/>
        <v>268.45705722184306</v>
      </c>
      <c r="O195" s="1645">
        <f>+C174+D175+D176+D177+D178+D179+D180+D181+D182+D183+D184+D185+D186+D187+D188+D189+D190+D191+D192+D193+D194+(D195/2)</f>
        <v>21.5</v>
      </c>
      <c r="P195" s="474">
        <f t="shared" si="40"/>
        <v>0.36650122672429686</v>
      </c>
      <c r="Q195" s="474">
        <f t="shared" si="41"/>
        <v>98.389840794600232</v>
      </c>
      <c r="R195" s="474">
        <f t="shared" si="49"/>
        <v>1232.6435382787599</v>
      </c>
      <c r="S195" s="474">
        <f t="shared" si="64"/>
        <v>1331.0333790733603</v>
      </c>
      <c r="T195" s="476">
        <f t="shared" si="42"/>
        <v>1331.0333790733603</v>
      </c>
      <c r="V195" s="1635">
        <f t="shared" si="43"/>
        <v>0</v>
      </c>
      <c r="AB195" s="281" t="str">
        <f t="shared" si="50"/>
        <v>use the locking pin</v>
      </c>
      <c r="AC195" s="64" t="b">
        <f>IF(AD195=22,AF195)</f>
        <v>0</v>
      </c>
      <c r="AD195" s="64">
        <f t="shared" si="51"/>
        <v>1</v>
      </c>
      <c r="AE195" s="64">
        <f>IF(V195=0,0,22)</f>
        <v>0</v>
      </c>
      <c r="AF195" s="1637">
        <f>SUM(V195:V199)/($B$171-B194)</f>
        <v>0</v>
      </c>
      <c r="AG195" s="1646"/>
      <c r="AH195" s="450">
        <f>SUM(D175:D195)+$C$174</f>
        <v>22</v>
      </c>
      <c r="AI195" s="1639" t="b">
        <f t="shared" si="52"/>
        <v>0</v>
      </c>
      <c r="AJ195" s="718">
        <f t="shared" si="53"/>
        <v>53.499008599999996</v>
      </c>
      <c r="AK195" s="1639">
        <f t="shared" si="44"/>
        <v>0.80384656816268329</v>
      </c>
      <c r="AL195" s="1639">
        <f t="shared" si="54"/>
        <v>233.63227200275978</v>
      </c>
      <c r="AM195" s="1640">
        <f t="shared" si="55"/>
        <v>79.181912400000002</v>
      </c>
      <c r="AN195" s="1639">
        <f t="shared" si="56"/>
        <v>0.98222804771777472</v>
      </c>
      <c r="AO195" s="1641">
        <f t="shared" si="57"/>
        <v>246.61111156786907</v>
      </c>
      <c r="AP195" s="287"/>
      <c r="AQ195" s="444">
        <f t="shared" si="58"/>
        <v>-586</v>
      </c>
      <c r="AR195" s="444"/>
      <c r="AS195" s="445">
        <f t="shared" si="59"/>
        <v>480.24338357062885</v>
      </c>
      <c r="AT195" s="64">
        <f t="shared" si="65"/>
        <v>-246.61111156786907</v>
      </c>
      <c r="AU195" s="445"/>
      <c r="AV195" s="447">
        <f t="shared" si="60"/>
        <v>246.61111156786907</v>
      </c>
      <c r="AW195" s="447">
        <f t="shared" si="61"/>
        <v>-285.08151507616191</v>
      </c>
      <c r="AX195" s="1597">
        <f t="shared" si="62"/>
        <v>-300.91848492383809</v>
      </c>
      <c r="AY195" s="1597">
        <f t="shared" si="45"/>
        <v>-40.690116287971051</v>
      </c>
      <c r="AZ195" s="1642">
        <f t="shared" si="46"/>
        <v>-33.231590949060447</v>
      </c>
      <c r="BA195" s="274">
        <f t="shared" ref="BA195:BB199" si="67">ABS(AY195)</f>
        <v>40.690116287971051</v>
      </c>
      <c r="BB195" s="275">
        <f t="shared" si="67"/>
        <v>33.231590949060447</v>
      </c>
      <c r="BC195" s="1027"/>
      <c r="BD195" s="144"/>
      <c r="BM195" s="214"/>
      <c r="BN195" s="214"/>
      <c r="BO195" s="214"/>
      <c r="DF195" s="126"/>
      <c r="DG195" s="126"/>
      <c r="DH195" s="126"/>
      <c r="DI195" s="126"/>
      <c r="DJ195" s="126"/>
      <c r="DK195" s="126"/>
      <c r="DL195" s="203"/>
      <c r="DM195" s="203"/>
      <c r="DN195" s="203"/>
      <c r="DO195" s="203"/>
      <c r="DP195" s="203"/>
      <c r="DQ195" s="203"/>
      <c r="DR195" s="203"/>
      <c r="DS195" s="203"/>
      <c r="DT195" s="203"/>
      <c r="DU195" s="203"/>
      <c r="DV195" s="203"/>
      <c r="DW195" s="203"/>
      <c r="DX195" s="203"/>
      <c r="DY195" s="203"/>
    </row>
    <row r="196" spans="2:129" ht="21" customHeight="1" thickBot="1" x14ac:dyDescent="0.35">
      <c r="B196" s="277">
        <v>23</v>
      </c>
      <c r="C196" s="1644"/>
      <c r="D196" s="25">
        <v>1</v>
      </c>
      <c r="E196" s="257" t="s">
        <v>305</v>
      </c>
      <c r="F196" s="258"/>
      <c r="G196" s="258">
        <f t="shared" si="66"/>
        <v>1</v>
      </c>
      <c r="H196" s="1632">
        <v>251.073172</v>
      </c>
      <c r="I196" s="1633">
        <v>65.636175100000003</v>
      </c>
      <c r="J196" s="474">
        <f t="shared" si="47"/>
        <v>64.636175100000003</v>
      </c>
      <c r="K196" s="474">
        <f t="shared" si="48"/>
        <v>32.318087550000001</v>
      </c>
      <c r="L196" s="474">
        <f t="shared" si="37"/>
        <v>0.53461916118589337</v>
      </c>
      <c r="M196" s="474">
        <f t="shared" si="38"/>
        <v>134.22852861092153</v>
      </c>
      <c r="N196" s="474">
        <f t="shared" si="39"/>
        <v>268.45705722184306</v>
      </c>
      <c r="O196" s="1645">
        <f>+C174+D175+D176+D177+D178+D179+D180+D181+D182+D183+D184+D185+D186+D187+D188+D189+D190+D191+D192+D193+D194+D195+(D196/2)</f>
        <v>22.5</v>
      </c>
      <c r="P196" s="474">
        <f t="shared" si="40"/>
        <v>0.38268343236508939</v>
      </c>
      <c r="Q196" s="474">
        <f t="shared" si="41"/>
        <v>102.73406810028611</v>
      </c>
      <c r="R196" s="474">
        <f t="shared" si="49"/>
        <v>1331.0333790733603</v>
      </c>
      <c r="S196" s="474">
        <f t="shared" si="64"/>
        <v>1433.7674471736464</v>
      </c>
      <c r="T196" s="476">
        <f t="shared" si="42"/>
        <v>1433.7674471736464</v>
      </c>
      <c r="V196" s="1635">
        <f t="shared" si="43"/>
        <v>0</v>
      </c>
      <c r="AB196" s="281" t="str">
        <f t="shared" si="50"/>
        <v>use the locking pin</v>
      </c>
      <c r="AC196" s="64" t="b">
        <f>IF(AD196=23,AF196)</f>
        <v>0</v>
      </c>
      <c r="AD196" s="64">
        <f t="shared" si="51"/>
        <v>1</v>
      </c>
      <c r="AE196" s="64">
        <f>IF(V196=0,0,23)</f>
        <v>0</v>
      </c>
      <c r="AF196" s="1637">
        <f>SUM(V196:V199)/($B$171-B195)</f>
        <v>0</v>
      </c>
      <c r="AG196" s="1646"/>
      <c r="AH196" s="450">
        <f>SUM(D175:D196)+$C$174</f>
        <v>23</v>
      </c>
      <c r="AI196" s="1639" t="b">
        <f t="shared" si="52"/>
        <v>0</v>
      </c>
      <c r="AJ196" s="718">
        <f t="shared" si="53"/>
        <v>52.499008599999996</v>
      </c>
      <c r="AK196" s="1639">
        <f t="shared" si="44"/>
        <v>0.79334280665523971</v>
      </c>
      <c r="AL196" s="1639">
        <f t="shared" si="54"/>
        <v>230.57942863344837</v>
      </c>
      <c r="AM196" s="1640">
        <f t="shared" si="55"/>
        <v>80.181912400000002</v>
      </c>
      <c r="AN196" s="1639">
        <f t="shared" si="56"/>
        <v>0.98535411625603619</v>
      </c>
      <c r="AO196" s="1641">
        <f t="shared" si="57"/>
        <v>247.39598351165978</v>
      </c>
      <c r="AP196" s="287"/>
      <c r="AQ196" s="444">
        <f t="shared" si="58"/>
        <v>-615.30000000000007</v>
      </c>
      <c r="AR196" s="444"/>
      <c r="AS196" s="445">
        <f t="shared" si="59"/>
        <v>477.97541214510818</v>
      </c>
      <c r="AT196" s="64">
        <f t="shared" si="65"/>
        <v>-247.39598351165978</v>
      </c>
      <c r="AU196" s="445"/>
      <c r="AV196" s="447">
        <f t="shared" si="60"/>
        <v>247.39598351165978</v>
      </c>
      <c r="AW196" s="447">
        <f t="shared" si="61"/>
        <v>-296.82598483766554</v>
      </c>
      <c r="AX196" s="1597">
        <f t="shared" si="62"/>
        <v>-318.47401516233452</v>
      </c>
      <c r="AY196" s="1597">
        <f t="shared" si="45"/>
        <v>-39.080136485840526</v>
      </c>
      <c r="AZ196" s="1642">
        <f t="shared" si="46"/>
        <v>-31.399736003274047</v>
      </c>
      <c r="BA196" s="274">
        <f t="shared" si="67"/>
        <v>39.080136485840526</v>
      </c>
      <c r="BB196" s="275">
        <f t="shared" si="67"/>
        <v>31.399736003274047</v>
      </c>
      <c r="BC196" s="1027"/>
      <c r="BD196" s="144"/>
      <c r="BM196" s="214"/>
      <c r="BN196" s="214"/>
      <c r="BO196" s="214"/>
      <c r="DF196" s="126"/>
      <c r="DG196" s="126"/>
      <c r="DH196" s="126"/>
      <c r="DI196" s="126"/>
      <c r="DJ196" s="126"/>
      <c r="DK196" s="126"/>
      <c r="DL196" s="203"/>
      <c r="DM196" s="203"/>
      <c r="DN196" s="203"/>
      <c r="DO196" s="203"/>
      <c r="DP196" s="203"/>
      <c r="DQ196" s="203"/>
      <c r="DR196" s="203"/>
      <c r="DS196" s="203"/>
      <c r="DT196" s="203"/>
      <c r="DU196" s="203"/>
      <c r="DV196" s="203"/>
      <c r="DW196" s="203"/>
      <c r="DX196" s="203"/>
      <c r="DY196" s="203"/>
    </row>
    <row r="197" spans="2:129" ht="21" customHeight="1" thickBot="1" x14ac:dyDescent="0.35">
      <c r="B197" s="277">
        <v>24</v>
      </c>
      <c r="C197" s="1647"/>
      <c r="D197" s="25">
        <v>1</v>
      </c>
      <c r="E197" s="257" t="s">
        <v>305</v>
      </c>
      <c r="F197" s="258"/>
      <c r="G197" s="258">
        <f t="shared" si="66"/>
        <v>1</v>
      </c>
      <c r="H197" s="1632">
        <v>251.073172</v>
      </c>
      <c r="I197" s="1633">
        <v>65.636175100000003</v>
      </c>
      <c r="J197" s="474">
        <f t="shared" si="47"/>
        <v>64.636175100000003</v>
      </c>
      <c r="K197" s="474">
        <f t="shared" si="48"/>
        <v>32.318087550000001</v>
      </c>
      <c r="L197" s="474">
        <f t="shared" si="37"/>
        <v>0.53461916118589337</v>
      </c>
      <c r="M197" s="474">
        <f t="shared" si="38"/>
        <v>134.22852861092153</v>
      </c>
      <c r="N197" s="474">
        <f t="shared" si="39"/>
        <v>268.45705722184306</v>
      </c>
      <c r="O197" s="1645">
        <f>+C174+D175+D176+D177+D178+D179+D180+D181+D182+D183+D184+D185+D186+D187+D188+D189+D190+D191+D192+D193+D194+D195+D196+(D197/2)</f>
        <v>23.5</v>
      </c>
      <c r="P197" s="474">
        <f t="shared" si="40"/>
        <v>0.39874906892524581</v>
      </c>
      <c r="Q197" s="474">
        <f t="shared" si="41"/>
        <v>107.04700161362136</v>
      </c>
      <c r="R197" s="474">
        <f t="shared" si="49"/>
        <v>1433.7674471736464</v>
      </c>
      <c r="S197" s="474">
        <f t="shared" si="64"/>
        <v>1540.8144487872678</v>
      </c>
      <c r="T197" s="476">
        <f t="shared" si="42"/>
        <v>1540.8144487872678</v>
      </c>
      <c r="V197" s="1635">
        <f t="shared" si="43"/>
        <v>0</v>
      </c>
      <c r="AB197" s="281" t="str">
        <f t="shared" si="50"/>
        <v>use the locking pin</v>
      </c>
      <c r="AC197" s="64" t="b">
        <f>IF(AD197=24,AF197)</f>
        <v>0</v>
      </c>
      <c r="AD197" s="64">
        <f t="shared" si="51"/>
        <v>1</v>
      </c>
      <c r="AE197" s="64">
        <f>IF(V197=0,0,24)</f>
        <v>0</v>
      </c>
      <c r="AF197" s="1637">
        <f>SUM(V197:V199)/($B$171-B196)</f>
        <v>0</v>
      </c>
      <c r="AG197" s="1646"/>
      <c r="AH197" s="450">
        <f>SUM(D175:D197)+$C$174</f>
        <v>24</v>
      </c>
      <c r="AI197" s="1639" t="b">
        <f t="shared" si="52"/>
        <v>0</v>
      </c>
      <c r="AJ197" s="718">
        <f t="shared" si="53"/>
        <v>51.499008599999996</v>
      </c>
      <c r="AK197" s="1639">
        <f t="shared" si="44"/>
        <v>0.78259738524360445</v>
      </c>
      <c r="AL197" s="1639">
        <f t="shared" si="54"/>
        <v>227.45634853650211</v>
      </c>
      <c r="AM197" s="1640">
        <f t="shared" si="55"/>
        <v>81.181912400000002</v>
      </c>
      <c r="AN197" s="1639">
        <f t="shared" si="56"/>
        <v>0.9881800363851464</v>
      </c>
      <c r="AO197" s="1641">
        <f t="shared" si="57"/>
        <v>248.10549624229412</v>
      </c>
      <c r="AP197" s="287"/>
      <c r="AQ197" s="444">
        <f t="shared" si="58"/>
        <v>-644.6</v>
      </c>
      <c r="AR197" s="444"/>
      <c r="AS197" s="445">
        <f t="shared" si="59"/>
        <v>475.56184477879623</v>
      </c>
      <c r="AT197" s="64">
        <f t="shared" si="65"/>
        <v>-248.10549624229412</v>
      </c>
      <c r="AU197" s="445"/>
      <c r="AV197" s="447">
        <f t="shared" si="60"/>
        <v>248.10549624229412</v>
      </c>
      <c r="AW197" s="447">
        <f t="shared" si="61"/>
        <v>-308.30556293856506</v>
      </c>
      <c r="AX197" s="1597">
        <f t="shared" si="62"/>
        <v>-336.29443706143502</v>
      </c>
      <c r="AY197" s="1597">
        <f t="shared" si="45"/>
        <v>-37.625010361267762</v>
      </c>
      <c r="AZ197" s="1642">
        <f t="shared" si="46"/>
        <v>-29.73584721585263</v>
      </c>
      <c r="BA197" s="274">
        <f t="shared" si="67"/>
        <v>37.625010361267762</v>
      </c>
      <c r="BB197" s="275">
        <f t="shared" si="67"/>
        <v>29.73584721585263</v>
      </c>
      <c r="BC197" s="1027"/>
      <c r="BD197" s="144"/>
      <c r="BM197" s="214"/>
      <c r="BN197" s="214"/>
      <c r="BO197" s="214"/>
      <c r="DF197" s="126"/>
      <c r="DG197" s="126"/>
      <c r="DH197" s="126"/>
      <c r="DI197" s="126"/>
      <c r="DJ197" s="126"/>
      <c r="DK197" s="126"/>
      <c r="DL197" s="203"/>
      <c r="DM197" s="203"/>
      <c r="DN197" s="203"/>
      <c r="DO197" s="203"/>
      <c r="DP197" s="203"/>
      <c r="DQ197" s="203"/>
      <c r="DR197" s="203"/>
      <c r="DS197" s="203"/>
      <c r="DT197" s="203"/>
      <c r="DU197" s="203"/>
      <c r="DV197" s="203"/>
      <c r="DW197" s="203"/>
      <c r="DX197" s="203"/>
      <c r="DY197" s="203"/>
    </row>
    <row r="198" spans="2:129" ht="21" customHeight="1" thickBot="1" x14ac:dyDescent="0.35">
      <c r="B198" s="277">
        <v>25</v>
      </c>
      <c r="C198" s="1648"/>
      <c r="D198" s="25">
        <v>1</v>
      </c>
      <c r="E198" s="257" t="s">
        <v>305</v>
      </c>
      <c r="F198" s="258"/>
      <c r="G198" s="258">
        <f t="shared" si="66"/>
        <v>1</v>
      </c>
      <c r="H198" s="1632">
        <v>251.073172</v>
      </c>
      <c r="I198" s="1633">
        <v>65.636175100000003</v>
      </c>
      <c r="J198" s="474">
        <f t="shared" si="47"/>
        <v>64.636175100000003</v>
      </c>
      <c r="K198" s="474">
        <f t="shared" si="48"/>
        <v>32.318087550000001</v>
      </c>
      <c r="L198" s="474">
        <f t="shared" si="37"/>
        <v>0.53461916118589337</v>
      </c>
      <c r="M198" s="474">
        <f t="shared" si="38"/>
        <v>134.22852861092153</v>
      </c>
      <c r="N198" s="474">
        <f t="shared" si="39"/>
        <v>268.45705722184306</v>
      </c>
      <c r="O198" s="1645">
        <f>+C174+D175+D176+D177+D178+D179+D180+D181+D182+D183+D184+D185+D186+D187+D188+D189+D190+D191+D192+D193+D194+D195+D196+D197+(D198/2)</f>
        <v>24.5</v>
      </c>
      <c r="P198" s="474">
        <f t="shared" si="40"/>
        <v>0.41469324265623864</v>
      </c>
      <c r="Q198" s="474">
        <f t="shared" si="41"/>
        <v>111.3273275732775</v>
      </c>
      <c r="R198" s="474">
        <f t="shared" si="49"/>
        <v>1540.8144487872678</v>
      </c>
      <c r="S198" s="474">
        <f t="shared" si="64"/>
        <v>1652.1417763605452</v>
      </c>
      <c r="T198" s="476">
        <f t="shared" si="42"/>
        <v>1652.1417763605452</v>
      </c>
      <c r="V198" s="1635">
        <f t="shared" si="43"/>
        <v>0</v>
      </c>
      <c r="AB198" s="281" t="str">
        <f t="shared" si="50"/>
        <v>use the locking pin</v>
      </c>
      <c r="AC198" s="64" t="b">
        <f>IF(AD198=25,AF198)</f>
        <v>0</v>
      </c>
      <c r="AD198" s="64">
        <f t="shared" si="51"/>
        <v>1</v>
      </c>
      <c r="AE198" s="64">
        <f>IF(V198=0,0,25)</f>
        <v>0</v>
      </c>
      <c r="AF198" s="1637">
        <f>SUM(V198:V199)/($B$171-B197)</f>
        <v>0</v>
      </c>
      <c r="AG198" s="1646"/>
      <c r="AH198" s="450">
        <f>SUM(D175:D198)+$C$174</f>
        <v>25</v>
      </c>
      <c r="AI198" s="1639" t="b">
        <f t="shared" si="52"/>
        <v>0</v>
      </c>
      <c r="AJ198" s="718">
        <f t="shared" si="53"/>
        <v>50.499008599999996</v>
      </c>
      <c r="AK198" s="1639">
        <f t="shared" si="44"/>
        <v>0.77161357708723288</v>
      </c>
      <c r="AL198" s="1639">
        <f t="shared" si="54"/>
        <v>224.26398303237247</v>
      </c>
      <c r="AM198" s="1640">
        <f t="shared" si="55"/>
        <v>82.181912400000002</v>
      </c>
      <c r="AN198" s="1639">
        <f t="shared" si="56"/>
        <v>0.99070494730245873</v>
      </c>
      <c r="AO198" s="1641">
        <f t="shared" si="57"/>
        <v>248.73943363532115</v>
      </c>
      <c r="AP198" s="287"/>
      <c r="AQ198" s="444">
        <f t="shared" si="58"/>
        <v>-673.9</v>
      </c>
      <c r="AR198" s="444"/>
      <c r="AS198" s="445">
        <f t="shared" si="59"/>
        <v>473.00341666769361</v>
      </c>
      <c r="AT198" s="64">
        <f t="shared" si="65"/>
        <v>-248.73943363532115</v>
      </c>
      <c r="AU198" s="445"/>
      <c r="AV198" s="447">
        <f t="shared" si="60"/>
        <v>248.73943363532115</v>
      </c>
      <c r="AW198" s="447">
        <f t="shared" si="61"/>
        <v>-319.51460145940666</v>
      </c>
      <c r="AX198" s="1597">
        <f t="shared" si="62"/>
        <v>-354.38539854059326</v>
      </c>
      <c r="AY198" s="1597">
        <f t="shared" si="45"/>
        <v>-36.305070087614581</v>
      </c>
      <c r="AZ198" s="1642">
        <f t="shared" si="46"/>
        <v>-28.21786687933912</v>
      </c>
      <c r="BA198" s="274">
        <f t="shared" si="67"/>
        <v>36.305070087614581</v>
      </c>
      <c r="BB198" s="275">
        <f t="shared" si="67"/>
        <v>28.21786687933912</v>
      </c>
      <c r="BC198" s="1027"/>
      <c r="BD198" s="144"/>
      <c r="BM198" s="214"/>
      <c r="BN198" s="214"/>
      <c r="BO198" s="214"/>
      <c r="DF198" s="126"/>
      <c r="DG198" s="126"/>
      <c r="DH198" s="126"/>
      <c r="DI198" s="126"/>
      <c r="DJ198" s="126"/>
      <c r="DK198" s="126"/>
      <c r="DL198" s="203"/>
      <c r="DM198" s="203"/>
      <c r="DN198" s="203"/>
      <c r="DO198" s="203"/>
      <c r="DP198" s="203"/>
      <c r="DQ198" s="203"/>
      <c r="DR198" s="203"/>
      <c r="DS198" s="203"/>
      <c r="DT198" s="203"/>
      <c r="DU198" s="203"/>
      <c r="DV198" s="203"/>
      <c r="DW198" s="203"/>
      <c r="DX198" s="203"/>
      <c r="DY198" s="203"/>
    </row>
    <row r="199" spans="2:129" ht="21" customHeight="1" thickBot="1" x14ac:dyDescent="0.35">
      <c r="B199" s="277">
        <v>26</v>
      </c>
      <c r="C199" s="1648"/>
      <c r="D199" s="25">
        <v>1</v>
      </c>
      <c r="E199" s="257" t="s">
        <v>305</v>
      </c>
      <c r="F199" s="258"/>
      <c r="G199" s="258">
        <f t="shared" si="66"/>
        <v>1</v>
      </c>
      <c r="H199" s="1632">
        <v>251.073172</v>
      </c>
      <c r="I199" s="1633">
        <v>65.636175100000003</v>
      </c>
      <c r="J199" s="474">
        <f t="shared" si="47"/>
        <v>64.636175100000003</v>
      </c>
      <c r="K199" s="474">
        <f t="shared" si="48"/>
        <v>32.318087550000001</v>
      </c>
      <c r="L199" s="474">
        <f t="shared" si="37"/>
        <v>0.53461916118589337</v>
      </c>
      <c r="M199" s="474">
        <f t="shared" si="38"/>
        <v>134.22852861092153</v>
      </c>
      <c r="N199" s="474">
        <f t="shared" si="39"/>
        <v>268.45705722184306</v>
      </c>
      <c r="O199" s="1645">
        <f>+C174+D175+D176+D177+D178+D179+D180+D181+D182+D183+D184+D185+D186+D187+D188+D189+D190+D191+D192+D193+D194+D195+D196+D197+D198+(D199/2)</f>
        <v>25.5</v>
      </c>
      <c r="P199" s="474">
        <f t="shared" si="40"/>
        <v>0.43051109680829475</v>
      </c>
      <c r="Q199" s="474">
        <f t="shared" si="41"/>
        <v>115.5737421505028</v>
      </c>
      <c r="R199" s="474">
        <f t="shared" si="49"/>
        <v>1652.1417763605452</v>
      </c>
      <c r="S199" s="474">
        <f t="shared" si="64"/>
        <v>1767.715518511048</v>
      </c>
      <c r="T199" s="476">
        <f t="shared" si="42"/>
        <v>1767.715518511048</v>
      </c>
      <c r="V199" s="1635">
        <f t="shared" si="43"/>
        <v>0</v>
      </c>
      <c r="AB199" s="281" t="str">
        <f t="shared" si="50"/>
        <v>use the locking pin</v>
      </c>
      <c r="AC199" s="64" t="b">
        <f>IF(AD199=26,AF199)</f>
        <v>0</v>
      </c>
      <c r="AD199" s="64">
        <f t="shared" si="51"/>
        <v>1</v>
      </c>
      <c r="AE199" s="64">
        <f>IF(V199=0,0,26)</f>
        <v>0</v>
      </c>
      <c r="AF199" s="1637">
        <f t="shared" ref="AF199" si="68">SUM(V199:V199)/($B$171-B198)</f>
        <v>0</v>
      </c>
      <c r="AG199" s="1646"/>
      <c r="AH199" s="450">
        <f>SUM(D175:D199)+$C$174</f>
        <v>26</v>
      </c>
      <c r="AI199" s="1639" t="b">
        <f t="shared" si="52"/>
        <v>0</v>
      </c>
      <c r="AJ199" s="718">
        <f t="shared" si="53"/>
        <v>49.499008599999996</v>
      </c>
      <c r="AK199" s="1639">
        <f t="shared" si="44"/>
        <v>0.76039472796049201</v>
      </c>
      <c r="AL199" s="1639">
        <f t="shared" si="54"/>
        <v>221.0033045465172</v>
      </c>
      <c r="AM199" s="1640">
        <f t="shared" si="55"/>
        <v>83.181912400000002</v>
      </c>
      <c r="AN199" s="1639">
        <f t="shared" si="56"/>
        <v>0.99292807989564835</v>
      </c>
      <c r="AO199" s="1641">
        <f t="shared" si="57"/>
        <v>249.29760258726986</v>
      </c>
      <c r="AP199" s="287"/>
      <c r="AQ199" s="444">
        <f t="shared" si="58"/>
        <v>-703.2</v>
      </c>
      <c r="AR199" s="444"/>
      <c r="AS199" s="445">
        <f t="shared" si="59"/>
        <v>470.30090713378706</v>
      </c>
      <c r="AT199" s="64">
        <f t="shared" si="65"/>
        <v>-249.29760258726986</v>
      </c>
      <c r="AU199" s="445"/>
      <c r="AV199" s="447">
        <f t="shared" si="60"/>
        <v>249.29760258726986</v>
      </c>
      <c r="AW199" s="447">
        <f t="shared" si="61"/>
        <v>-330.44699978199571</v>
      </c>
      <c r="AX199" s="1597">
        <f t="shared" si="62"/>
        <v>-372.75300021800433</v>
      </c>
      <c r="AY199" s="1597">
        <f t="shared" si="45"/>
        <v>-35.103965258128582</v>
      </c>
      <c r="AZ199" s="1642">
        <f t="shared" si="46"/>
        <v>-26.827416530923983</v>
      </c>
      <c r="BA199" s="274">
        <f t="shared" si="67"/>
        <v>35.103965258128582</v>
      </c>
      <c r="BB199" s="275">
        <f t="shared" si="67"/>
        <v>26.827416530923983</v>
      </c>
      <c r="BC199" s="1027"/>
      <c r="BD199" s="545"/>
      <c r="BM199" s="214"/>
      <c r="BN199" s="214"/>
      <c r="BO199" s="214"/>
    </row>
    <row r="200" spans="2:129" ht="19" thickBot="1" x14ac:dyDescent="0.25">
      <c r="B200" s="350"/>
      <c r="U200" s="276"/>
      <c r="AX200" s="447"/>
    </row>
    <row r="201" spans="2:129" ht="43" thickBot="1" x14ac:dyDescent="0.25">
      <c r="B201" s="350"/>
      <c r="AB201" s="415"/>
      <c r="AC201" s="415"/>
      <c r="AD201" s="415"/>
      <c r="AE201" s="415"/>
      <c r="AH201" s="546" t="s">
        <v>79</v>
      </c>
      <c r="AI201" s="547">
        <f>MAX(AI174:AI199)</f>
        <v>1</v>
      </c>
    </row>
    <row r="202" spans="2:129" x14ac:dyDescent="0.2">
      <c r="V202" s="73"/>
      <c r="W202" s="73"/>
      <c r="X202" s="73"/>
      <c r="Y202" s="73"/>
      <c r="Z202" s="73"/>
      <c r="AA202" s="73"/>
      <c r="AB202" s="73"/>
      <c r="AC202" s="73"/>
      <c r="AD202" s="73"/>
      <c r="AE202" s="73"/>
      <c r="AF202" s="73"/>
      <c r="AG202" s="73"/>
      <c r="AH202" s="73"/>
      <c r="AI202" s="73"/>
      <c r="AJ202" s="73"/>
      <c r="AK202" s="73"/>
      <c r="AL202" s="73"/>
      <c r="AM202" s="73"/>
      <c r="AN202" s="73"/>
      <c r="AO202" s="73"/>
      <c r="AP202" s="73"/>
      <c r="AQ202" s="73"/>
      <c r="AR202" s="73"/>
      <c r="AS202" s="73"/>
      <c r="AT202" s="73"/>
      <c r="AU202" s="73"/>
      <c r="AV202" s="73"/>
      <c r="AW202" s="73"/>
      <c r="AX202" s="73"/>
      <c r="AY202" s="73"/>
      <c r="AZ202" s="73"/>
      <c r="BA202" s="73"/>
      <c r="BB202" s="73"/>
      <c r="BC202" s="126"/>
    </row>
    <row r="203" spans="2:129" x14ac:dyDescent="0.2">
      <c r="V203" s="73"/>
      <c r="W203" s="73"/>
      <c r="X203" s="73"/>
      <c r="Y203" s="73"/>
      <c r="Z203" s="73"/>
      <c r="AA203" s="73"/>
      <c r="AB203" s="73"/>
      <c r="AC203" s="73"/>
      <c r="AD203" s="73"/>
      <c r="AE203" s="73"/>
      <c r="AF203" s="73"/>
      <c r="AG203" s="73"/>
      <c r="AH203" s="73"/>
      <c r="AI203" s="73"/>
      <c r="AJ203" s="73"/>
      <c r="AK203" s="73"/>
      <c r="AL203" s="73"/>
      <c r="AM203" s="73"/>
      <c r="AN203" s="73"/>
      <c r="AO203" s="73"/>
      <c r="AP203" s="73"/>
      <c r="AQ203" s="73"/>
      <c r="AR203" s="73"/>
      <c r="AS203" s="73"/>
      <c r="AT203" s="73"/>
      <c r="AU203" s="73"/>
      <c r="AV203" s="73"/>
      <c r="AW203" s="73"/>
      <c r="AX203" s="73"/>
      <c r="AY203" s="73"/>
      <c r="AZ203" s="73"/>
      <c r="BA203" s="73"/>
      <c r="BB203" s="73"/>
      <c r="BC203" s="126"/>
    </row>
    <row r="204" spans="2:129" x14ac:dyDescent="0.2">
      <c r="V204" s="73"/>
      <c r="W204" s="73"/>
      <c r="X204" s="73"/>
      <c r="Y204" s="73"/>
      <c r="Z204" s="73"/>
      <c r="AA204" s="73"/>
      <c r="AB204" s="73"/>
      <c r="AC204" s="73"/>
      <c r="AD204" s="73"/>
      <c r="AE204" s="73"/>
      <c r="AF204" s="73"/>
      <c r="AG204" s="73"/>
      <c r="AH204" s="73"/>
      <c r="AI204" s="73"/>
      <c r="AJ204" s="73"/>
      <c r="AK204" s="73"/>
      <c r="AL204" s="73"/>
      <c r="AM204" s="73"/>
      <c r="AN204" s="73"/>
      <c r="AO204" s="73"/>
      <c r="AP204" s="73"/>
      <c r="AQ204" s="73"/>
      <c r="AR204" s="73"/>
      <c r="AS204" s="73"/>
      <c r="AT204" s="73"/>
      <c r="AU204" s="73"/>
      <c r="AV204" s="73"/>
      <c r="AW204" s="73"/>
      <c r="AX204" s="73"/>
      <c r="AY204" s="73"/>
      <c r="AZ204" s="73"/>
      <c r="BA204" s="73"/>
      <c r="BB204" s="73"/>
      <c r="BC204" s="126"/>
    </row>
    <row r="205" spans="2:129" x14ac:dyDescent="0.2">
      <c r="V205" s="73"/>
      <c r="W205" s="73"/>
      <c r="X205" s="73"/>
      <c r="Y205" s="73"/>
      <c r="Z205" s="73"/>
      <c r="AA205" s="73"/>
      <c r="AB205" s="73"/>
      <c r="AC205" s="73"/>
      <c r="AD205" s="73"/>
      <c r="AE205" s="73"/>
      <c r="AF205" s="73"/>
      <c r="AG205" s="73"/>
      <c r="AH205" s="73"/>
      <c r="AI205" s="73"/>
      <c r="AJ205" s="73"/>
      <c r="AK205" s="73"/>
      <c r="AL205" s="73"/>
      <c r="AM205" s="73"/>
      <c r="AN205" s="73"/>
      <c r="AO205" s="73"/>
      <c r="AP205" s="73"/>
      <c r="AQ205" s="73"/>
      <c r="AR205" s="73"/>
      <c r="AS205" s="73"/>
      <c r="AT205" s="73"/>
      <c r="AU205" s="73"/>
      <c r="AV205" s="73"/>
      <c r="AW205" s="73"/>
      <c r="AX205" s="73"/>
      <c r="AY205" s="73"/>
      <c r="AZ205" s="73"/>
      <c r="BA205" s="73"/>
      <c r="BB205" s="73"/>
      <c r="BC205" s="126"/>
    </row>
    <row r="206" spans="2:129" x14ac:dyDescent="0.2">
      <c r="D206" s="35"/>
      <c r="E206" s="35"/>
      <c r="F206" s="35"/>
      <c r="G206" s="35"/>
      <c r="H206" s="35"/>
      <c r="I206" s="35"/>
      <c r="J206" s="35"/>
      <c r="K206" s="35"/>
      <c r="O206" s="1649"/>
      <c r="T206" s="35"/>
      <c r="V206" s="437"/>
      <c r="AB206" s="35"/>
      <c r="AF206" s="1650"/>
      <c r="AH206" s="1651"/>
      <c r="AI206" s="1651"/>
      <c r="AJ206" s="1651"/>
      <c r="AK206" s="1651"/>
      <c r="AL206" s="1651"/>
      <c r="AM206" s="1651"/>
      <c r="AN206" s="1651"/>
      <c r="AO206" s="1651"/>
      <c r="AP206" s="1651"/>
      <c r="AQ206" s="1651"/>
      <c r="AR206" s="445"/>
      <c r="AS206" s="445"/>
      <c r="AT206" s="445"/>
      <c r="AU206" s="445"/>
      <c r="AV206" s="445"/>
      <c r="AW206" s="445"/>
      <c r="AX206" s="445"/>
      <c r="AY206" s="445"/>
      <c r="AZ206" s="445"/>
      <c r="BA206"/>
      <c r="BB206"/>
      <c r="BD206" s="545"/>
      <c r="BQ206" s="236"/>
      <c r="BR206" s="236"/>
      <c r="BS206" s="236"/>
      <c r="BT206" s="236"/>
      <c r="BU206" s="236"/>
      <c r="BV206" s="236"/>
      <c r="CA206" s="236"/>
      <c r="CB206" s="236"/>
      <c r="CC206" s="236"/>
      <c r="CD206" s="236"/>
      <c r="CI206" s="236"/>
      <c r="CJ206" s="236"/>
      <c r="CK206" s="236"/>
      <c r="CL206" s="236"/>
      <c r="CM206" s="236"/>
      <c r="CN206" s="236"/>
      <c r="DE206" s="126"/>
    </row>
    <row r="207" spans="2:129" x14ac:dyDescent="0.2">
      <c r="D207" s="35"/>
      <c r="E207" s="35"/>
      <c r="F207" s="35"/>
      <c r="G207" s="35"/>
      <c r="H207" s="35"/>
      <c r="I207" s="35"/>
      <c r="J207" s="35"/>
      <c r="K207" s="35"/>
      <c r="L207" s="35"/>
      <c r="M207" s="35"/>
      <c r="N207" s="35"/>
      <c r="O207" s="35"/>
      <c r="P207" s="35"/>
      <c r="Q207" s="35"/>
      <c r="R207" s="35"/>
      <c r="S207" s="35"/>
      <c r="T207" s="35"/>
      <c r="U207" s="35"/>
      <c r="V207" s="35"/>
      <c r="W207" s="35"/>
      <c r="X207" s="35"/>
      <c r="Y207" s="35"/>
      <c r="Z207" s="35"/>
      <c r="AA207" s="35"/>
      <c r="AB207" s="35"/>
      <c r="AC207" s="35"/>
      <c r="AD207" s="35"/>
      <c r="AE207" s="35"/>
      <c r="AF207" s="35"/>
      <c r="AG207" s="35"/>
      <c r="AH207" s="1651"/>
      <c r="AI207" s="1651"/>
      <c r="AJ207" s="1651"/>
      <c r="AK207" s="1651"/>
      <c r="AL207" s="1651"/>
      <c r="AM207" s="1651"/>
      <c r="AN207" s="1651"/>
      <c r="AO207" s="1651"/>
      <c r="AP207" s="1651"/>
      <c r="AQ207" s="1651"/>
      <c r="AR207" s="445"/>
      <c r="AS207" s="445"/>
      <c r="AT207" s="445"/>
      <c r="AU207" s="445"/>
      <c r="AV207" s="445"/>
      <c r="AW207" s="445"/>
      <c r="AX207" s="445"/>
      <c r="AY207" s="445"/>
      <c r="AZ207"/>
      <c r="BA207"/>
      <c r="BB207"/>
      <c r="BD207" s="545"/>
      <c r="DE207" s="126"/>
    </row>
    <row r="208" spans="2:129" x14ac:dyDescent="0.2">
      <c r="D208" s="35"/>
      <c r="E208" s="35"/>
      <c r="F208" s="35"/>
      <c r="G208" s="35"/>
      <c r="H208" s="35"/>
      <c r="I208" s="35"/>
      <c r="J208" s="35"/>
      <c r="K208" s="35"/>
      <c r="L208" s="35"/>
      <c r="M208" s="35"/>
      <c r="N208" s="35"/>
      <c r="O208" s="35"/>
      <c r="P208" s="35"/>
      <c r="Q208" s="35"/>
      <c r="R208" s="35"/>
      <c r="S208" s="35"/>
      <c r="T208" s="35"/>
      <c r="U208" s="35"/>
      <c r="V208" s="35"/>
      <c r="W208" s="35"/>
      <c r="X208" s="35"/>
      <c r="Y208" s="35"/>
      <c r="Z208" s="35"/>
      <c r="AA208" s="35"/>
      <c r="AB208" s="35"/>
      <c r="AC208" s="35"/>
      <c r="AD208" s="35"/>
      <c r="AE208" s="35"/>
      <c r="AF208" s="35"/>
      <c r="AG208" s="35"/>
      <c r="AH208" s="1651"/>
      <c r="AI208" s="1651"/>
      <c r="AJ208" s="1651"/>
      <c r="AK208" s="1651"/>
      <c r="AL208" s="1651"/>
      <c r="AM208" s="1651"/>
      <c r="AN208" s="1651"/>
      <c r="AO208" s="1651"/>
      <c r="AP208" s="1651"/>
      <c r="AQ208" s="1651"/>
      <c r="AR208" s="445"/>
      <c r="AS208" s="445"/>
      <c r="AT208" s="445"/>
      <c r="AU208" s="445"/>
      <c r="AV208" s="445"/>
      <c r="AW208" s="445"/>
      <c r="AX208" s="445"/>
      <c r="AY208" s="445"/>
      <c r="AZ208"/>
      <c r="BA208"/>
      <c r="BB208"/>
      <c r="BD208" s="545"/>
      <c r="DE208" s="126"/>
    </row>
    <row r="209" spans="4:109" x14ac:dyDescent="0.2">
      <c r="D209" s="35"/>
      <c r="E209" s="35"/>
      <c r="F209" s="35"/>
      <c r="G209" s="35"/>
      <c r="H209" s="35"/>
      <c r="I209" s="35"/>
      <c r="J209" s="35"/>
      <c r="K209" s="35"/>
      <c r="L209" s="35"/>
      <c r="M209" s="35"/>
      <c r="N209" s="35"/>
      <c r="O209" s="35"/>
      <c r="P209" s="35"/>
      <c r="Q209" s="35"/>
      <c r="R209" s="35"/>
      <c r="S209" s="35"/>
      <c r="T209" s="35"/>
      <c r="U209" s="35"/>
      <c r="V209" s="35"/>
      <c r="W209" s="35"/>
      <c r="X209" s="35"/>
      <c r="Y209" s="35"/>
      <c r="Z209" s="35"/>
      <c r="AA209" s="35"/>
      <c r="AB209" s="35"/>
      <c r="AC209" s="35"/>
      <c r="AD209" s="35"/>
      <c r="AE209" s="35"/>
      <c r="AF209" s="35"/>
      <c r="AG209" s="35"/>
      <c r="AH209" s="1651"/>
      <c r="AI209" s="1651"/>
      <c r="AJ209" s="1651"/>
      <c r="AK209" s="1651"/>
      <c r="AL209" s="1651"/>
      <c r="AM209" s="1651"/>
      <c r="AN209" s="1651"/>
      <c r="AO209" s="1651"/>
      <c r="AP209" s="1651"/>
      <c r="AQ209" s="1651"/>
      <c r="AR209" s="445"/>
      <c r="AS209" s="445"/>
      <c r="AT209" s="445"/>
      <c r="AU209" s="445"/>
      <c r="AV209" s="445"/>
      <c r="AW209" s="445"/>
      <c r="AX209" s="445"/>
      <c r="AY209" s="445"/>
      <c r="AZ209"/>
      <c r="BA209"/>
      <c r="BB209"/>
      <c r="BD209" s="545"/>
      <c r="DE209" s="211"/>
    </row>
    <row r="210" spans="4:109" x14ac:dyDescent="0.2">
      <c r="D210" s="35"/>
      <c r="E210" s="35"/>
      <c r="F210" s="35"/>
      <c r="G210" s="35"/>
      <c r="H210" s="35"/>
      <c r="I210" s="35"/>
      <c r="J210" s="35"/>
      <c r="K210" s="35"/>
      <c r="L210" s="35"/>
      <c r="M210" s="35"/>
      <c r="N210" s="35"/>
      <c r="O210" s="35"/>
      <c r="P210" s="35"/>
      <c r="Q210" s="35"/>
      <c r="R210" s="35"/>
      <c r="S210" s="35"/>
      <c r="T210" s="35"/>
      <c r="U210" s="35"/>
      <c r="V210" s="35"/>
      <c r="W210" s="35"/>
      <c r="X210" s="35"/>
      <c r="Y210" s="35"/>
      <c r="Z210" s="35"/>
      <c r="AA210" s="35"/>
      <c r="AB210" s="35"/>
      <c r="AC210" s="35"/>
      <c r="AD210" s="35"/>
      <c r="AE210" s="35"/>
      <c r="AF210" s="35"/>
      <c r="AG210" s="35"/>
      <c r="AH210" s="1651"/>
      <c r="AI210" s="1651"/>
      <c r="AJ210" s="1651"/>
      <c r="AK210" s="1651"/>
      <c r="AL210" s="1651"/>
      <c r="AM210" s="1651"/>
      <c r="AN210" s="1651"/>
      <c r="AO210" s="1651"/>
      <c r="AP210" s="1651"/>
      <c r="AQ210" s="1651"/>
      <c r="AR210" s="445"/>
      <c r="AS210" s="445"/>
      <c r="AT210" s="445"/>
      <c r="AU210" s="445"/>
      <c r="AV210" s="445"/>
      <c r="AW210" s="445"/>
      <c r="AX210" s="445"/>
      <c r="AY210" s="445"/>
      <c r="AZ210"/>
      <c r="BA210"/>
      <c r="BB210"/>
      <c r="BD210" s="545"/>
      <c r="DE210" s="126"/>
    </row>
    <row r="211" spans="4:109" ht="20" x14ac:dyDescent="0.2">
      <c r="D211" s="1652"/>
      <c r="E211" s="1653"/>
      <c r="F211" s="543"/>
      <c r="G211" s="543"/>
      <c r="H211" s="1654"/>
      <c r="I211" s="1654"/>
      <c r="O211" s="1649"/>
      <c r="V211" s="437"/>
      <c r="AB211" s="1585"/>
      <c r="AF211" s="1650"/>
      <c r="AH211" s="1651"/>
      <c r="AI211" s="1651"/>
      <c r="AJ211" s="1651"/>
      <c r="AK211" s="1651"/>
      <c r="AL211" s="1651"/>
      <c r="AM211" s="1651"/>
      <c r="AN211" s="1651"/>
      <c r="AO211" s="1651"/>
      <c r="AP211" s="1651"/>
      <c r="AQ211" s="1651"/>
      <c r="AR211" s="445"/>
      <c r="AS211" s="445"/>
      <c r="AT211" s="445"/>
      <c r="AU211" s="445"/>
      <c r="AV211" s="445"/>
      <c r="AW211" s="445"/>
      <c r="AX211" s="445"/>
      <c r="AY211" s="445"/>
      <c r="AZ211"/>
      <c r="BA211"/>
      <c r="BB211"/>
      <c r="BD211" s="545"/>
    </row>
    <row r="212" spans="4:109" ht="20" x14ac:dyDescent="0.2">
      <c r="D212" s="1652"/>
      <c r="E212" s="1653"/>
      <c r="F212" s="543"/>
      <c r="G212" s="543"/>
      <c r="H212" s="1654"/>
      <c r="I212" s="1654"/>
      <c r="O212" s="1649"/>
      <c r="V212" s="437"/>
      <c r="AB212" s="1585"/>
      <c r="AF212" s="1650"/>
      <c r="AH212" s="1651"/>
      <c r="AI212" s="1651"/>
      <c r="AJ212" s="1651"/>
      <c r="AK212" s="1651"/>
      <c r="AL212" s="1651"/>
      <c r="AM212" s="1651"/>
      <c r="AN212" s="1651"/>
      <c r="AO212" s="1651"/>
      <c r="AP212" s="1651"/>
      <c r="AQ212" s="1651"/>
      <c r="AR212" s="445"/>
      <c r="AS212" s="445"/>
      <c r="AT212" s="445"/>
      <c r="AU212" s="445"/>
      <c r="AV212" s="445"/>
      <c r="AW212" s="445"/>
      <c r="AX212" s="445"/>
      <c r="AY212" s="445"/>
      <c r="AZ212"/>
      <c r="BA212"/>
      <c r="BB212"/>
      <c r="BD212" s="545"/>
      <c r="BF212" s="136"/>
      <c r="BG212" s="136"/>
      <c r="BH212" s="136"/>
      <c r="BI212" s="136"/>
      <c r="BJ212" s="136"/>
      <c r="BK212" s="136"/>
      <c r="BL212" s="212"/>
      <c r="BM212"/>
    </row>
    <row r="213" spans="4:109" ht="20" x14ac:dyDescent="0.2">
      <c r="D213" s="1652"/>
      <c r="E213" s="1653"/>
      <c r="F213" s="543"/>
      <c r="G213" s="543"/>
      <c r="H213" s="1654"/>
      <c r="I213" s="1654"/>
      <c r="O213" s="1649"/>
      <c r="V213" s="437"/>
      <c r="AB213" s="1585"/>
      <c r="AF213" s="1650"/>
      <c r="AH213" s="1651"/>
      <c r="AJ213" s="1655"/>
      <c r="AL213" s="1655"/>
      <c r="AM213" s="1655"/>
      <c r="AO213" s="1655"/>
      <c r="AP213" s="445"/>
      <c r="AQ213" s="445"/>
      <c r="AR213" s="445"/>
      <c r="AS213" s="445"/>
      <c r="AT213" s="445"/>
      <c r="AU213" s="445"/>
      <c r="AV213" s="445"/>
      <c r="AW213" s="445"/>
      <c r="AX213" s="445"/>
      <c r="AY213" s="445"/>
      <c r="AZ213"/>
      <c r="BA213"/>
      <c r="BB213"/>
      <c r="BD213" s="545"/>
    </row>
    <row r="214" spans="4:109" ht="20" x14ac:dyDescent="0.2">
      <c r="D214" s="1652"/>
      <c r="E214" s="1653"/>
      <c r="F214" s="543"/>
      <c r="G214" s="543"/>
      <c r="H214" s="1654"/>
      <c r="I214" s="1654"/>
      <c r="O214" s="1649"/>
      <c r="V214" s="437"/>
      <c r="AB214" s="1585"/>
      <c r="AF214" s="1650"/>
      <c r="AH214" s="1651"/>
      <c r="AJ214" s="1655"/>
      <c r="AL214" s="1655"/>
      <c r="AM214" s="1655"/>
      <c r="AO214" s="1655"/>
      <c r="AP214" s="445"/>
      <c r="AQ214" s="445"/>
      <c r="AR214" s="445"/>
      <c r="AS214" s="445"/>
      <c r="AT214" s="445"/>
      <c r="AU214" s="445"/>
      <c r="AV214" s="445"/>
      <c r="AW214" s="445"/>
      <c r="AX214" s="445"/>
      <c r="AY214" s="445"/>
      <c r="AZ214"/>
      <c r="BA214"/>
      <c r="BB214"/>
      <c r="BD214" s="545"/>
    </row>
    <row r="215" spans="4:109" ht="20" x14ac:dyDescent="0.2">
      <c r="D215" s="1652"/>
      <c r="E215" s="1653"/>
      <c r="F215" s="543"/>
      <c r="G215" s="543"/>
      <c r="H215" s="1654"/>
      <c r="I215" s="1654"/>
      <c r="O215" s="1649"/>
      <c r="V215" s="437"/>
      <c r="AB215" s="1585"/>
      <c r="AF215" s="1650"/>
      <c r="AH215" s="1651"/>
      <c r="AJ215" s="1655"/>
      <c r="AL215" s="1655"/>
      <c r="AM215" s="1655"/>
      <c r="AO215" s="1655"/>
      <c r="AP215" s="445"/>
      <c r="AQ215" s="445"/>
      <c r="AR215" s="445"/>
      <c r="AS215" s="445"/>
      <c r="AT215" s="445"/>
      <c r="AU215" s="445"/>
      <c r="AV215" s="445"/>
      <c r="AW215" s="445"/>
      <c r="AX215" s="445"/>
      <c r="AY215" s="445"/>
      <c r="AZ215"/>
      <c r="BA215"/>
      <c r="BB215"/>
    </row>
    <row r="216" spans="4:109" ht="20" x14ac:dyDescent="0.2">
      <c r="D216" s="1652"/>
      <c r="E216" s="1653"/>
      <c r="F216" s="543"/>
      <c r="G216" s="543"/>
      <c r="H216" s="1654"/>
      <c r="I216" s="1654"/>
      <c r="O216" s="1649"/>
      <c r="V216" s="437"/>
      <c r="AB216" s="1585"/>
      <c r="AF216" s="1650"/>
      <c r="AH216" s="1651"/>
      <c r="AJ216" s="1655"/>
      <c r="AL216" s="1655"/>
      <c r="AM216" s="1655"/>
      <c r="AO216" s="1655"/>
      <c r="AP216" s="445"/>
      <c r="AQ216" s="445"/>
      <c r="AR216" s="445"/>
      <c r="AS216" s="445"/>
      <c r="AT216" s="445"/>
      <c r="AU216" s="445"/>
      <c r="AV216" s="445"/>
      <c r="AW216" s="445"/>
      <c r="AX216" s="445"/>
      <c r="AY216" s="445"/>
      <c r="AZ216"/>
      <c r="BA216"/>
      <c r="BB216"/>
    </row>
    <row r="217" spans="4:109" ht="20" x14ac:dyDescent="0.2">
      <c r="D217" s="1652"/>
      <c r="E217" s="1653"/>
      <c r="F217" s="543"/>
      <c r="G217" s="543"/>
      <c r="H217" s="1654"/>
      <c r="I217" s="1654"/>
      <c r="O217" s="1649"/>
      <c r="V217" s="437"/>
      <c r="AB217" s="1585"/>
      <c r="AF217" s="1650"/>
      <c r="AH217" s="1651"/>
      <c r="AJ217" s="1655"/>
      <c r="AL217" s="1655"/>
      <c r="AM217" s="1655"/>
      <c r="AO217" s="1655"/>
      <c r="AP217" s="445"/>
      <c r="AQ217" s="445"/>
      <c r="AR217" s="445"/>
      <c r="AS217" s="445"/>
      <c r="AT217" s="445"/>
      <c r="AU217" s="445"/>
      <c r="AV217" s="445"/>
      <c r="AW217" s="445"/>
      <c r="AX217" s="445"/>
      <c r="AY217" s="445"/>
      <c r="AZ217"/>
      <c r="BA217"/>
      <c r="BB217"/>
    </row>
    <row r="218" spans="4:109" ht="20" x14ac:dyDescent="0.2">
      <c r="D218" s="1652"/>
      <c r="E218" s="1653"/>
      <c r="F218" s="543"/>
      <c r="G218" s="543"/>
      <c r="H218" s="1654"/>
      <c r="I218" s="1654"/>
      <c r="O218" s="1649"/>
      <c r="V218" s="437"/>
      <c r="AB218" s="1585"/>
      <c r="AF218" s="1650"/>
      <c r="AH218" s="1651"/>
      <c r="AJ218" s="1655"/>
      <c r="AL218" s="1655"/>
      <c r="AM218" s="1655"/>
      <c r="AO218" s="1655"/>
      <c r="AP218" s="445"/>
      <c r="AQ218" s="445"/>
      <c r="AR218" s="445"/>
      <c r="AS218" s="445"/>
      <c r="AT218" s="445"/>
      <c r="AU218" s="445"/>
      <c r="AV218" s="445"/>
      <c r="AW218" s="445"/>
      <c r="AX218" s="445"/>
      <c r="AY218" s="445"/>
      <c r="AZ218"/>
      <c r="BA218"/>
      <c r="BB218"/>
    </row>
    <row r="219" spans="4:109" ht="20" x14ac:dyDescent="0.2">
      <c r="D219" s="1652"/>
      <c r="E219" s="1653"/>
      <c r="F219" s="543"/>
      <c r="G219" s="543"/>
      <c r="H219" s="1654"/>
      <c r="I219" s="1654"/>
      <c r="O219" s="1649"/>
      <c r="V219" s="437"/>
      <c r="AB219" s="1585"/>
      <c r="AF219" s="1650"/>
      <c r="AH219" s="1651"/>
      <c r="AJ219" s="1655"/>
      <c r="AL219" s="1655"/>
      <c r="AM219" s="1655"/>
      <c r="AO219" s="1655"/>
      <c r="AP219" s="445"/>
      <c r="AQ219" s="445"/>
      <c r="AR219" s="445"/>
      <c r="AS219" s="445"/>
      <c r="AT219" s="445"/>
      <c r="AU219" s="445"/>
      <c r="AV219" s="445"/>
      <c r="AW219" s="445"/>
      <c r="AX219" s="445"/>
      <c r="AY219" s="445"/>
      <c r="AZ219"/>
      <c r="BA219"/>
      <c r="BB219"/>
    </row>
    <row r="220" spans="4:109" ht="20" x14ac:dyDescent="0.2">
      <c r="D220" s="1652"/>
      <c r="E220" s="1653"/>
      <c r="F220" s="543"/>
      <c r="G220" s="543"/>
      <c r="H220" s="1654"/>
      <c r="I220" s="1654"/>
      <c r="O220" s="1649"/>
      <c r="V220" s="437"/>
      <c r="AB220" s="1585"/>
      <c r="AF220" s="1650"/>
      <c r="AH220" s="1651"/>
      <c r="AJ220" s="1655"/>
      <c r="AL220" s="1655"/>
      <c r="AM220" s="1655"/>
      <c r="AO220" s="1655"/>
      <c r="AP220" s="445"/>
      <c r="AQ220" s="445"/>
      <c r="AR220" s="445"/>
      <c r="AS220" s="445"/>
      <c r="AT220" s="445"/>
      <c r="AU220" s="445"/>
      <c r="AV220" s="445"/>
      <c r="AW220" s="445"/>
      <c r="AX220" s="445"/>
      <c r="AY220" s="445"/>
      <c r="AZ220"/>
      <c r="BA220"/>
      <c r="BB220"/>
    </row>
    <row r="221" spans="4:109" ht="20" x14ac:dyDescent="0.2">
      <c r="D221" s="1652"/>
      <c r="E221" s="1653"/>
      <c r="F221" s="543"/>
      <c r="G221" s="543"/>
      <c r="H221" s="1654"/>
      <c r="I221" s="1654"/>
      <c r="O221" s="1649"/>
      <c r="V221" s="437"/>
      <c r="AB221" s="1585"/>
      <c r="AF221" s="1650"/>
      <c r="AH221" s="1651"/>
      <c r="AJ221" s="1655"/>
      <c r="AL221" s="1655"/>
      <c r="AM221" s="1655"/>
      <c r="AO221" s="1655"/>
      <c r="AP221" s="445"/>
      <c r="AQ221" s="445"/>
      <c r="AR221" s="445"/>
      <c r="AS221" s="445"/>
      <c r="AT221" s="445"/>
      <c r="AU221" s="445"/>
      <c r="AV221" s="445"/>
      <c r="AW221" s="445"/>
      <c r="AX221" s="445"/>
      <c r="AY221" s="445"/>
      <c r="AZ221"/>
      <c r="BA221"/>
      <c r="BB221"/>
    </row>
    <row r="222" spans="4:109" ht="20" x14ac:dyDescent="0.2">
      <c r="D222" s="1652"/>
      <c r="E222" s="1653"/>
      <c r="F222" s="543"/>
      <c r="G222" s="543"/>
      <c r="H222" s="1654"/>
      <c r="I222" s="1654"/>
      <c r="O222" s="1649"/>
      <c r="V222" s="437"/>
      <c r="AB222" s="1585"/>
      <c r="AF222" s="1650"/>
      <c r="AH222" s="1651"/>
      <c r="AJ222" s="1655"/>
      <c r="AL222" s="1655"/>
      <c r="AM222" s="1655"/>
      <c r="AO222" s="1655"/>
      <c r="AP222" s="445"/>
      <c r="AQ222" s="445"/>
      <c r="AR222" s="445"/>
      <c r="AS222" s="445"/>
      <c r="AT222" s="445"/>
      <c r="AU222" s="445"/>
      <c r="AV222" s="445"/>
      <c r="AW222" s="445"/>
      <c r="AX222" s="445"/>
      <c r="AY222" s="445"/>
      <c r="AZ222"/>
      <c r="BA222"/>
      <c r="BB222"/>
    </row>
    <row r="223" spans="4:109" ht="20" x14ac:dyDescent="0.2">
      <c r="D223" s="1652"/>
      <c r="E223" s="1653"/>
      <c r="F223" s="543"/>
      <c r="G223" s="543"/>
      <c r="H223" s="1654"/>
      <c r="I223" s="1654"/>
      <c r="O223" s="1649"/>
      <c r="V223" s="437"/>
      <c r="AB223" s="1585"/>
      <c r="AF223" s="1650"/>
      <c r="AH223" s="1651"/>
      <c r="AJ223" s="1655"/>
      <c r="AL223" s="1655"/>
      <c r="AM223" s="1655"/>
      <c r="AO223" s="1655"/>
      <c r="AP223" s="445"/>
      <c r="AQ223" s="445"/>
      <c r="AR223" s="445"/>
      <c r="AS223" s="445"/>
      <c r="AT223" s="445"/>
      <c r="AU223" s="445"/>
      <c r="AV223" s="445"/>
      <c r="AW223" s="445"/>
      <c r="AX223" s="445"/>
      <c r="AY223" s="445"/>
      <c r="AZ223"/>
      <c r="BA223"/>
      <c r="BB223"/>
    </row>
    <row r="224" spans="4:109" x14ac:dyDescent="0.2">
      <c r="AQ224" s="445"/>
      <c r="AR224" s="445"/>
      <c r="AS224" s="445"/>
      <c r="AT224" s="445"/>
      <c r="AU224" s="445"/>
      <c r="AV224" s="445"/>
      <c r="AW224" s="445"/>
      <c r="AX224" s="445"/>
      <c r="AY224" s="445"/>
      <c r="AZ224"/>
      <c r="BA224"/>
      <c r="BB224"/>
    </row>
    <row r="225" spans="52:65" x14ac:dyDescent="0.2">
      <c r="AZ225"/>
      <c r="BA225"/>
      <c r="BB225"/>
    </row>
    <row r="226" spans="52:65" x14ac:dyDescent="0.2">
      <c r="BF226" s="1656"/>
      <c r="BG226" s="1656"/>
      <c r="BH226" s="297" t="s">
        <v>122</v>
      </c>
      <c r="BI226" s="1656"/>
      <c r="BJ226" s="1656"/>
      <c r="BK226" s="1656"/>
      <c r="BL226" s="1656"/>
      <c r="BM226" s="1656"/>
    </row>
    <row r="227" spans="52:65" ht="20" x14ac:dyDescent="0.3">
      <c r="BF227" s="298">
        <v>1</v>
      </c>
      <c r="BG227" s="1657">
        <v>-473</v>
      </c>
      <c r="BH227" s="300">
        <f>+COS(($B$132*-1)*3.14159265358979/180)*BG227</f>
        <v>-473</v>
      </c>
      <c r="BI227" s="301">
        <f t="shared" ref="BI227:BI263" si="69">+BH227-D$3</f>
        <v>-689.06260094548247</v>
      </c>
      <c r="BJ227" s="302">
        <f t="shared" ref="BJ227:BJ263" si="70">ABS(BI227)</f>
        <v>689.06260094548247</v>
      </c>
      <c r="BK227" s="303">
        <f>MIN(BJ227:BJ263)</f>
        <v>1.0626009454824441</v>
      </c>
      <c r="BL227" s="302" t="b">
        <f>IF(BK227=BJ227,BF227)</f>
        <v>0</v>
      </c>
      <c r="BM227" s="304">
        <v>1</v>
      </c>
    </row>
    <row r="228" spans="52:65" ht="20" x14ac:dyDescent="0.3">
      <c r="BF228" s="298">
        <v>2</v>
      </c>
      <c r="BG228" s="1657">
        <f>+BG227+43</f>
        <v>-430</v>
      </c>
      <c r="BH228" s="42">
        <f>+BH227+$E$2</f>
        <v>-430</v>
      </c>
      <c r="BI228" s="301">
        <f t="shared" si="69"/>
        <v>-646.06260094548247</v>
      </c>
      <c r="BJ228" s="302">
        <f t="shared" si="70"/>
        <v>646.06260094548247</v>
      </c>
      <c r="BK228" s="302">
        <f>+BK227</f>
        <v>1.0626009454824441</v>
      </c>
      <c r="BL228" s="302" t="b">
        <f t="shared" ref="BL228:BL263" si="71">IF(BK228=BJ228,BF228)</f>
        <v>0</v>
      </c>
      <c r="BM228" s="304">
        <v>2</v>
      </c>
    </row>
    <row r="229" spans="52:65" ht="20" x14ac:dyDescent="0.3">
      <c r="BF229" s="298">
        <v>3</v>
      </c>
      <c r="BG229" s="1657">
        <f t="shared" ref="BG229:BG263" si="72">+BG228+43</f>
        <v>-387</v>
      </c>
      <c r="BH229" s="42">
        <f t="shared" ref="BH229:BH263" si="73">+BH228+$E$2</f>
        <v>-387</v>
      </c>
      <c r="BI229" s="301">
        <f t="shared" si="69"/>
        <v>-603.06260094548247</v>
      </c>
      <c r="BJ229" s="302">
        <f t="shared" si="70"/>
        <v>603.06260094548247</v>
      </c>
      <c r="BK229" s="302">
        <f t="shared" ref="BK229:BK263" si="74">+BK228</f>
        <v>1.0626009454824441</v>
      </c>
      <c r="BL229" s="302" t="b">
        <f t="shared" si="71"/>
        <v>0</v>
      </c>
      <c r="BM229" s="304">
        <v>3</v>
      </c>
    </row>
    <row r="230" spans="52:65" ht="20" x14ac:dyDescent="0.3">
      <c r="BF230" s="298">
        <v>4</v>
      </c>
      <c r="BG230" s="1657">
        <f t="shared" si="72"/>
        <v>-344</v>
      </c>
      <c r="BH230" s="42">
        <f t="shared" si="73"/>
        <v>-344</v>
      </c>
      <c r="BI230" s="301">
        <f t="shared" si="69"/>
        <v>-560.06260094548247</v>
      </c>
      <c r="BJ230" s="302">
        <f t="shared" si="70"/>
        <v>560.06260094548247</v>
      </c>
      <c r="BK230" s="302">
        <f t="shared" si="74"/>
        <v>1.0626009454824441</v>
      </c>
      <c r="BL230" s="302" t="b">
        <f t="shared" si="71"/>
        <v>0</v>
      </c>
      <c r="BM230" s="304">
        <v>4</v>
      </c>
    </row>
    <row r="231" spans="52:65" ht="20" x14ac:dyDescent="0.3">
      <c r="BF231" s="298">
        <v>5</v>
      </c>
      <c r="BG231" s="1657">
        <f t="shared" si="72"/>
        <v>-301</v>
      </c>
      <c r="BH231" s="42">
        <f t="shared" si="73"/>
        <v>-301</v>
      </c>
      <c r="BI231" s="301">
        <f t="shared" si="69"/>
        <v>-517.06260094548247</v>
      </c>
      <c r="BJ231" s="302">
        <f t="shared" si="70"/>
        <v>517.06260094548247</v>
      </c>
      <c r="BK231" s="302">
        <f t="shared" si="74"/>
        <v>1.0626009454824441</v>
      </c>
      <c r="BL231" s="302" t="b">
        <f t="shared" si="71"/>
        <v>0</v>
      </c>
      <c r="BM231" s="304">
        <v>5</v>
      </c>
    </row>
    <row r="232" spans="52:65" ht="20" x14ac:dyDescent="0.3">
      <c r="BF232" s="298">
        <v>6</v>
      </c>
      <c r="BG232" s="1657">
        <f t="shared" si="72"/>
        <v>-258</v>
      </c>
      <c r="BH232" s="42">
        <f t="shared" si="73"/>
        <v>-258</v>
      </c>
      <c r="BI232" s="301">
        <f t="shared" si="69"/>
        <v>-474.06260094548247</v>
      </c>
      <c r="BJ232" s="302">
        <f t="shared" si="70"/>
        <v>474.06260094548247</v>
      </c>
      <c r="BK232" s="302">
        <f t="shared" si="74"/>
        <v>1.0626009454824441</v>
      </c>
      <c r="BL232" s="302" t="b">
        <f t="shared" si="71"/>
        <v>0</v>
      </c>
      <c r="BM232" s="304">
        <v>6</v>
      </c>
    </row>
    <row r="233" spans="52:65" ht="20" x14ac:dyDescent="0.3">
      <c r="BF233" s="298">
        <v>7</v>
      </c>
      <c r="BG233" s="1657">
        <f t="shared" si="72"/>
        <v>-215</v>
      </c>
      <c r="BH233" s="42">
        <f t="shared" si="73"/>
        <v>-215</v>
      </c>
      <c r="BI233" s="301">
        <f t="shared" si="69"/>
        <v>-431.06260094548247</v>
      </c>
      <c r="BJ233" s="302">
        <f t="shared" si="70"/>
        <v>431.06260094548247</v>
      </c>
      <c r="BK233" s="302">
        <f t="shared" si="74"/>
        <v>1.0626009454824441</v>
      </c>
      <c r="BL233" s="302" t="b">
        <f t="shared" si="71"/>
        <v>0</v>
      </c>
      <c r="BM233" s="304">
        <v>7</v>
      </c>
    </row>
    <row r="234" spans="52:65" ht="20" x14ac:dyDescent="0.3">
      <c r="BF234" s="298">
        <v>8</v>
      </c>
      <c r="BG234" s="1657">
        <f t="shared" si="72"/>
        <v>-172</v>
      </c>
      <c r="BH234" s="42">
        <f t="shared" si="73"/>
        <v>-172</v>
      </c>
      <c r="BI234" s="301">
        <f t="shared" si="69"/>
        <v>-388.06260094548247</v>
      </c>
      <c r="BJ234" s="302">
        <f t="shared" si="70"/>
        <v>388.06260094548247</v>
      </c>
      <c r="BK234" s="302">
        <f t="shared" si="74"/>
        <v>1.0626009454824441</v>
      </c>
      <c r="BL234" s="302" t="b">
        <f t="shared" si="71"/>
        <v>0</v>
      </c>
      <c r="BM234" s="304">
        <v>8</v>
      </c>
    </row>
    <row r="235" spans="52:65" ht="20" x14ac:dyDescent="0.3">
      <c r="BF235" s="298">
        <v>9</v>
      </c>
      <c r="BG235" s="1657">
        <f t="shared" si="72"/>
        <v>-129</v>
      </c>
      <c r="BH235" s="42">
        <f t="shared" si="73"/>
        <v>-129</v>
      </c>
      <c r="BI235" s="301">
        <f t="shared" si="69"/>
        <v>-345.06260094548247</v>
      </c>
      <c r="BJ235" s="302">
        <f t="shared" si="70"/>
        <v>345.06260094548247</v>
      </c>
      <c r="BK235" s="302">
        <f t="shared" si="74"/>
        <v>1.0626009454824441</v>
      </c>
      <c r="BL235" s="302" t="b">
        <f t="shared" si="71"/>
        <v>0</v>
      </c>
      <c r="BM235" s="304">
        <v>9</v>
      </c>
    </row>
    <row r="236" spans="52:65" ht="20" x14ac:dyDescent="0.3">
      <c r="BF236" s="298">
        <v>10</v>
      </c>
      <c r="BG236" s="1657">
        <f t="shared" si="72"/>
        <v>-86</v>
      </c>
      <c r="BH236" s="42">
        <f t="shared" si="73"/>
        <v>-86</v>
      </c>
      <c r="BI236" s="301">
        <f t="shared" si="69"/>
        <v>-302.06260094548247</v>
      </c>
      <c r="BJ236" s="302">
        <f t="shared" si="70"/>
        <v>302.06260094548247</v>
      </c>
      <c r="BK236" s="302">
        <f t="shared" si="74"/>
        <v>1.0626009454824441</v>
      </c>
      <c r="BL236" s="302" t="b">
        <f t="shared" si="71"/>
        <v>0</v>
      </c>
      <c r="BM236" s="304">
        <v>10</v>
      </c>
    </row>
    <row r="237" spans="52:65" ht="20" x14ac:dyDescent="0.3">
      <c r="BF237" s="298">
        <v>11</v>
      </c>
      <c r="BG237" s="1657">
        <f t="shared" si="72"/>
        <v>-43</v>
      </c>
      <c r="BH237" s="42">
        <f t="shared" si="73"/>
        <v>-43</v>
      </c>
      <c r="BI237" s="301">
        <f t="shared" si="69"/>
        <v>-259.06260094548247</v>
      </c>
      <c r="BJ237" s="302">
        <f t="shared" si="70"/>
        <v>259.06260094548247</v>
      </c>
      <c r="BK237" s="302">
        <f t="shared" si="74"/>
        <v>1.0626009454824441</v>
      </c>
      <c r="BL237" s="302" t="b">
        <f t="shared" si="71"/>
        <v>0</v>
      </c>
      <c r="BM237" s="304">
        <v>11</v>
      </c>
    </row>
    <row r="238" spans="52:65" ht="20" x14ac:dyDescent="0.3">
      <c r="BF238" s="298">
        <v>12</v>
      </c>
      <c r="BG238" s="1657">
        <f t="shared" si="72"/>
        <v>0</v>
      </c>
      <c r="BH238" s="42">
        <f t="shared" si="73"/>
        <v>0</v>
      </c>
      <c r="BI238" s="301">
        <f t="shared" si="69"/>
        <v>-216.06260094548244</v>
      </c>
      <c r="BJ238" s="302">
        <f t="shared" si="70"/>
        <v>216.06260094548244</v>
      </c>
      <c r="BK238" s="302">
        <f t="shared" si="74"/>
        <v>1.0626009454824441</v>
      </c>
      <c r="BL238" s="302" t="b">
        <f t="shared" si="71"/>
        <v>0</v>
      </c>
      <c r="BM238" s="304">
        <v>12</v>
      </c>
    </row>
    <row r="239" spans="52:65" ht="20" x14ac:dyDescent="0.3">
      <c r="BF239" s="298">
        <v>13</v>
      </c>
      <c r="BG239" s="1657">
        <f t="shared" si="72"/>
        <v>43</v>
      </c>
      <c r="BH239" s="42">
        <f t="shared" si="73"/>
        <v>43</v>
      </c>
      <c r="BI239" s="301">
        <f t="shared" si="69"/>
        <v>-173.06260094548244</v>
      </c>
      <c r="BJ239" s="302">
        <f t="shared" si="70"/>
        <v>173.06260094548244</v>
      </c>
      <c r="BK239" s="302">
        <f t="shared" si="74"/>
        <v>1.0626009454824441</v>
      </c>
      <c r="BL239" s="302" t="b">
        <f t="shared" si="71"/>
        <v>0</v>
      </c>
      <c r="BM239" s="304">
        <v>13</v>
      </c>
    </row>
    <row r="240" spans="52:65" ht="20" x14ac:dyDescent="0.3">
      <c r="BF240" s="298">
        <v>14</v>
      </c>
      <c r="BG240" s="1657">
        <f t="shared" si="72"/>
        <v>86</v>
      </c>
      <c r="BH240" s="42">
        <f t="shared" si="73"/>
        <v>86</v>
      </c>
      <c r="BI240" s="301">
        <f t="shared" si="69"/>
        <v>-130.06260094548244</v>
      </c>
      <c r="BJ240" s="302">
        <f t="shared" si="70"/>
        <v>130.06260094548244</v>
      </c>
      <c r="BK240" s="302">
        <f t="shared" si="74"/>
        <v>1.0626009454824441</v>
      </c>
      <c r="BL240" s="302" t="b">
        <f t="shared" si="71"/>
        <v>0</v>
      </c>
      <c r="BM240" s="304">
        <v>14</v>
      </c>
    </row>
    <row r="241" spans="58:129" ht="20" x14ac:dyDescent="0.3">
      <c r="BF241" s="298">
        <v>15</v>
      </c>
      <c r="BG241" s="1657">
        <f t="shared" si="72"/>
        <v>129</v>
      </c>
      <c r="BH241" s="42">
        <f t="shared" si="73"/>
        <v>129</v>
      </c>
      <c r="BI241" s="301">
        <f t="shared" si="69"/>
        <v>-87.062600945482444</v>
      </c>
      <c r="BJ241" s="302">
        <f t="shared" si="70"/>
        <v>87.062600945482444</v>
      </c>
      <c r="BK241" s="302">
        <f t="shared" si="74"/>
        <v>1.0626009454824441</v>
      </c>
      <c r="BL241" s="302" t="b">
        <f t="shared" si="71"/>
        <v>0</v>
      </c>
      <c r="BM241" s="304">
        <v>15</v>
      </c>
    </row>
    <row r="242" spans="58:129" ht="20" x14ac:dyDescent="0.3">
      <c r="BF242" s="298">
        <v>16</v>
      </c>
      <c r="BG242" s="1657">
        <f t="shared" si="72"/>
        <v>172</v>
      </c>
      <c r="BH242" s="42">
        <f t="shared" si="73"/>
        <v>172</v>
      </c>
      <c r="BI242" s="301">
        <f t="shared" si="69"/>
        <v>-44.062600945482444</v>
      </c>
      <c r="BJ242" s="302">
        <f t="shared" si="70"/>
        <v>44.062600945482444</v>
      </c>
      <c r="BK242" s="302">
        <f t="shared" si="74"/>
        <v>1.0626009454824441</v>
      </c>
      <c r="BL242" s="302" t="b">
        <f t="shared" si="71"/>
        <v>0</v>
      </c>
      <c r="BM242" s="304">
        <v>16</v>
      </c>
    </row>
    <row r="243" spans="58:129" ht="20" x14ac:dyDescent="0.3">
      <c r="BF243" s="298">
        <v>17</v>
      </c>
      <c r="BG243" s="1657">
        <f t="shared" si="72"/>
        <v>215</v>
      </c>
      <c r="BH243" s="42">
        <f t="shared" si="73"/>
        <v>215</v>
      </c>
      <c r="BI243" s="301">
        <f t="shared" si="69"/>
        <v>-1.0626009454824441</v>
      </c>
      <c r="BJ243" s="302">
        <f t="shared" si="70"/>
        <v>1.0626009454824441</v>
      </c>
      <c r="BK243" s="302">
        <f t="shared" si="74"/>
        <v>1.0626009454824441</v>
      </c>
      <c r="BL243" s="302">
        <f t="shared" si="71"/>
        <v>17</v>
      </c>
      <c r="BM243" s="304">
        <v>17</v>
      </c>
    </row>
    <row r="244" spans="58:129" ht="20" x14ac:dyDescent="0.3">
      <c r="BF244" s="298">
        <v>18</v>
      </c>
      <c r="BG244" s="1657">
        <f t="shared" si="72"/>
        <v>258</v>
      </c>
      <c r="BH244" s="42">
        <f t="shared" si="73"/>
        <v>258</v>
      </c>
      <c r="BI244" s="301">
        <f t="shared" si="69"/>
        <v>41.937399054517556</v>
      </c>
      <c r="BJ244" s="302">
        <f t="shared" si="70"/>
        <v>41.937399054517556</v>
      </c>
      <c r="BK244" s="302">
        <f t="shared" si="74"/>
        <v>1.0626009454824441</v>
      </c>
      <c r="BL244" s="302" t="b">
        <f t="shared" si="71"/>
        <v>0</v>
      </c>
      <c r="BM244" s="304">
        <v>18</v>
      </c>
    </row>
    <row r="245" spans="58:129" ht="20" x14ac:dyDescent="0.3">
      <c r="BF245" s="298">
        <v>19</v>
      </c>
      <c r="BG245" s="1657">
        <f t="shared" si="72"/>
        <v>301</v>
      </c>
      <c r="BH245" s="42">
        <f t="shared" si="73"/>
        <v>301</v>
      </c>
      <c r="BI245" s="301">
        <f t="shared" si="69"/>
        <v>84.937399054517556</v>
      </c>
      <c r="BJ245" s="302">
        <f t="shared" si="70"/>
        <v>84.937399054517556</v>
      </c>
      <c r="BK245" s="302">
        <f t="shared" si="74"/>
        <v>1.0626009454824441</v>
      </c>
      <c r="BL245" s="302" t="b">
        <f t="shared" si="71"/>
        <v>0</v>
      </c>
      <c r="BM245" s="304">
        <v>19</v>
      </c>
    </row>
    <row r="246" spans="58:129" ht="20" x14ac:dyDescent="0.3">
      <c r="BF246" s="298">
        <v>20</v>
      </c>
      <c r="BG246" s="1657">
        <f t="shared" si="72"/>
        <v>344</v>
      </c>
      <c r="BH246" s="42">
        <f t="shared" si="73"/>
        <v>344</v>
      </c>
      <c r="BI246" s="301">
        <f t="shared" si="69"/>
        <v>127.93739905451756</v>
      </c>
      <c r="BJ246" s="302">
        <f t="shared" si="70"/>
        <v>127.93739905451756</v>
      </c>
      <c r="BK246" s="302">
        <f t="shared" si="74"/>
        <v>1.0626009454824441</v>
      </c>
      <c r="BL246" s="302" t="b">
        <f t="shared" si="71"/>
        <v>0</v>
      </c>
      <c r="BM246" s="304">
        <v>20</v>
      </c>
    </row>
    <row r="247" spans="58:129" ht="20" x14ac:dyDescent="0.3">
      <c r="BF247" s="298">
        <v>21</v>
      </c>
      <c r="BG247" s="1657">
        <f t="shared" si="72"/>
        <v>387</v>
      </c>
      <c r="BH247" s="42">
        <f t="shared" si="73"/>
        <v>387</v>
      </c>
      <c r="BI247" s="301">
        <f t="shared" si="69"/>
        <v>170.93739905451756</v>
      </c>
      <c r="BJ247" s="302">
        <f t="shared" si="70"/>
        <v>170.93739905451756</v>
      </c>
      <c r="BK247" s="302">
        <f t="shared" si="74"/>
        <v>1.0626009454824441</v>
      </c>
      <c r="BL247" s="302" t="b">
        <f t="shared" si="71"/>
        <v>0</v>
      </c>
      <c r="BM247" s="304">
        <v>21</v>
      </c>
    </row>
    <row r="248" spans="58:129" ht="20" x14ac:dyDescent="0.3">
      <c r="BF248" s="298">
        <v>22</v>
      </c>
      <c r="BG248" s="1657">
        <f t="shared" si="72"/>
        <v>430</v>
      </c>
      <c r="BH248" s="42">
        <f t="shared" si="73"/>
        <v>430</v>
      </c>
      <c r="BI248" s="301">
        <f t="shared" si="69"/>
        <v>213.93739905451756</v>
      </c>
      <c r="BJ248" s="302">
        <f t="shared" si="70"/>
        <v>213.93739905451756</v>
      </c>
      <c r="BK248" s="302">
        <f t="shared" si="74"/>
        <v>1.0626009454824441</v>
      </c>
      <c r="BL248" s="302" t="b">
        <f t="shared" si="71"/>
        <v>0</v>
      </c>
      <c r="BM248" s="304">
        <v>22</v>
      </c>
      <c r="DF248" s="305"/>
      <c r="DG248" s="305"/>
      <c r="DH248" s="305"/>
      <c r="DI248" s="305"/>
      <c r="DJ248" s="305"/>
      <c r="DK248" s="305"/>
      <c r="DL248" s="1818"/>
      <c r="DM248" s="1818"/>
      <c r="DN248" s="1818"/>
      <c r="DO248" s="126"/>
    </row>
    <row r="249" spans="58:129" ht="20" x14ac:dyDescent="0.3">
      <c r="BF249" s="298">
        <v>23</v>
      </c>
      <c r="BG249" s="1657">
        <f t="shared" si="72"/>
        <v>473</v>
      </c>
      <c r="BH249" s="42">
        <f t="shared" si="73"/>
        <v>473</v>
      </c>
      <c r="BI249" s="301">
        <f t="shared" si="69"/>
        <v>256.93739905451753</v>
      </c>
      <c r="BJ249" s="302">
        <f t="shared" si="70"/>
        <v>256.93739905451753</v>
      </c>
      <c r="BK249" s="302">
        <f t="shared" si="74"/>
        <v>1.0626009454824441</v>
      </c>
      <c r="BL249" s="302" t="b">
        <f t="shared" si="71"/>
        <v>0</v>
      </c>
      <c r="BM249" s="304">
        <v>23</v>
      </c>
      <c r="DL249" s="306"/>
      <c r="DY249" s="306"/>
    </row>
    <row r="250" spans="58:129" ht="20" x14ac:dyDescent="0.3">
      <c r="BF250" s="298">
        <v>24</v>
      </c>
      <c r="BG250" s="1657">
        <f t="shared" si="72"/>
        <v>516</v>
      </c>
      <c r="BH250" s="42">
        <f t="shared" si="73"/>
        <v>516</v>
      </c>
      <c r="BI250" s="301">
        <f t="shared" si="69"/>
        <v>299.93739905451753</v>
      </c>
      <c r="BJ250" s="302">
        <f t="shared" si="70"/>
        <v>299.93739905451753</v>
      </c>
      <c r="BK250" s="302">
        <f t="shared" si="74"/>
        <v>1.0626009454824441</v>
      </c>
      <c r="BL250" s="302" t="b">
        <f t="shared" si="71"/>
        <v>0</v>
      </c>
      <c r="BM250" s="304">
        <v>24</v>
      </c>
      <c r="DF250" s="307"/>
      <c r="DG250" s="307"/>
      <c r="DH250" s="307"/>
      <c r="DI250" s="307"/>
      <c r="DJ250" s="307"/>
      <c r="DK250" s="307"/>
      <c r="DL250" s="1819"/>
      <c r="DM250" s="1819"/>
      <c r="DX250" s="1813"/>
      <c r="DY250" s="1813"/>
    </row>
    <row r="251" spans="58:129" ht="20" x14ac:dyDescent="0.3">
      <c r="BF251" s="298">
        <v>25</v>
      </c>
      <c r="BG251" s="1657">
        <f t="shared" si="72"/>
        <v>559</v>
      </c>
      <c r="BH251" s="42">
        <f t="shared" si="73"/>
        <v>559</v>
      </c>
      <c r="BI251" s="301">
        <f t="shared" si="69"/>
        <v>342.93739905451753</v>
      </c>
      <c r="BJ251" s="302">
        <f t="shared" si="70"/>
        <v>342.93739905451753</v>
      </c>
      <c r="BK251" s="302">
        <f t="shared" si="74"/>
        <v>1.0626009454824441</v>
      </c>
      <c r="BL251" s="302" t="b">
        <f t="shared" si="71"/>
        <v>0</v>
      </c>
      <c r="BM251" s="304">
        <v>25</v>
      </c>
    </row>
    <row r="252" spans="58:129" ht="20" x14ac:dyDescent="0.3">
      <c r="BF252" s="298">
        <v>26</v>
      </c>
      <c r="BG252" s="1657">
        <f t="shared" si="72"/>
        <v>602</v>
      </c>
      <c r="BH252" s="42">
        <f t="shared" si="73"/>
        <v>602</v>
      </c>
      <c r="BI252" s="301">
        <f t="shared" si="69"/>
        <v>385.93739905451753</v>
      </c>
      <c r="BJ252" s="302">
        <f t="shared" si="70"/>
        <v>385.93739905451753</v>
      </c>
      <c r="BK252" s="302">
        <f t="shared" si="74"/>
        <v>1.0626009454824441</v>
      </c>
      <c r="BL252" s="302" t="b">
        <f t="shared" si="71"/>
        <v>0</v>
      </c>
      <c r="BM252" s="304">
        <v>26</v>
      </c>
    </row>
    <row r="253" spans="58:129" ht="20" x14ac:dyDescent="0.3">
      <c r="BF253" s="298">
        <v>27</v>
      </c>
      <c r="BG253" s="1657">
        <f t="shared" si="72"/>
        <v>645</v>
      </c>
      <c r="BH253" s="42">
        <f t="shared" si="73"/>
        <v>645</v>
      </c>
      <c r="BI253" s="301">
        <f t="shared" si="69"/>
        <v>428.93739905451753</v>
      </c>
      <c r="BJ253" s="302">
        <f t="shared" si="70"/>
        <v>428.93739905451753</v>
      </c>
      <c r="BK253" s="302">
        <f t="shared" si="74"/>
        <v>1.0626009454824441</v>
      </c>
      <c r="BL253" s="302" t="b">
        <f t="shared" si="71"/>
        <v>0</v>
      </c>
      <c r="BM253" s="304">
        <v>27</v>
      </c>
    </row>
    <row r="254" spans="58:129" ht="20" x14ac:dyDescent="0.3">
      <c r="BF254" s="298">
        <v>28</v>
      </c>
      <c r="BG254" s="1657">
        <f t="shared" si="72"/>
        <v>688</v>
      </c>
      <c r="BH254" s="42">
        <f t="shared" si="73"/>
        <v>688</v>
      </c>
      <c r="BI254" s="301">
        <f t="shared" si="69"/>
        <v>471.93739905451753</v>
      </c>
      <c r="BJ254" s="302">
        <f t="shared" si="70"/>
        <v>471.93739905451753</v>
      </c>
      <c r="BK254" s="302">
        <f t="shared" si="74"/>
        <v>1.0626009454824441</v>
      </c>
      <c r="BL254" s="302" t="b">
        <f t="shared" si="71"/>
        <v>0</v>
      </c>
      <c r="BM254" s="304">
        <v>28</v>
      </c>
    </row>
    <row r="255" spans="58:129" ht="20" x14ac:dyDescent="0.3">
      <c r="BF255" s="298">
        <v>29</v>
      </c>
      <c r="BG255" s="1657">
        <f t="shared" si="72"/>
        <v>731</v>
      </c>
      <c r="BH255" s="42">
        <f t="shared" si="73"/>
        <v>731</v>
      </c>
      <c r="BI255" s="301">
        <f t="shared" si="69"/>
        <v>514.93739905451753</v>
      </c>
      <c r="BJ255" s="302">
        <f t="shared" si="70"/>
        <v>514.93739905451753</v>
      </c>
      <c r="BK255" s="302">
        <f t="shared" si="74"/>
        <v>1.0626009454824441</v>
      </c>
      <c r="BL255" s="302" t="b">
        <f t="shared" si="71"/>
        <v>0</v>
      </c>
      <c r="BM255" s="304">
        <v>29</v>
      </c>
    </row>
    <row r="256" spans="58:129" ht="20" x14ac:dyDescent="0.3">
      <c r="BF256" s="298">
        <v>30</v>
      </c>
      <c r="BG256" s="1657">
        <f t="shared" si="72"/>
        <v>774</v>
      </c>
      <c r="BH256" s="42">
        <f t="shared" si="73"/>
        <v>774</v>
      </c>
      <c r="BI256" s="301">
        <f t="shared" si="69"/>
        <v>557.93739905451753</v>
      </c>
      <c r="BJ256" s="302">
        <f t="shared" si="70"/>
        <v>557.93739905451753</v>
      </c>
      <c r="BK256" s="302">
        <f t="shared" si="74"/>
        <v>1.0626009454824441</v>
      </c>
      <c r="BL256" s="302" t="b">
        <f t="shared" si="71"/>
        <v>0</v>
      </c>
      <c r="BM256" s="304">
        <v>30</v>
      </c>
    </row>
    <row r="257" spans="58:114" ht="20" x14ac:dyDescent="0.3">
      <c r="BF257" s="298">
        <v>31</v>
      </c>
      <c r="BG257" s="1657">
        <f t="shared" si="72"/>
        <v>817</v>
      </c>
      <c r="BH257" s="42">
        <f t="shared" si="73"/>
        <v>817</v>
      </c>
      <c r="BI257" s="301">
        <f t="shared" si="69"/>
        <v>600.93739905451753</v>
      </c>
      <c r="BJ257" s="302">
        <f t="shared" si="70"/>
        <v>600.93739905451753</v>
      </c>
      <c r="BK257" s="302">
        <f t="shared" si="74"/>
        <v>1.0626009454824441</v>
      </c>
      <c r="BL257" s="302" t="b">
        <f t="shared" si="71"/>
        <v>0</v>
      </c>
      <c r="BM257" s="304">
        <v>31</v>
      </c>
    </row>
    <row r="258" spans="58:114" ht="20" x14ac:dyDescent="0.3">
      <c r="BF258" s="298">
        <v>32</v>
      </c>
      <c r="BG258" s="1657">
        <f t="shared" si="72"/>
        <v>860</v>
      </c>
      <c r="BH258" s="42">
        <f t="shared" si="73"/>
        <v>860</v>
      </c>
      <c r="BI258" s="301">
        <f t="shared" si="69"/>
        <v>643.93739905451753</v>
      </c>
      <c r="BJ258" s="302">
        <f t="shared" si="70"/>
        <v>643.93739905451753</v>
      </c>
      <c r="BK258" s="302">
        <f t="shared" si="74"/>
        <v>1.0626009454824441</v>
      </c>
      <c r="BL258" s="302" t="b">
        <f t="shared" si="71"/>
        <v>0</v>
      </c>
      <c r="BM258" s="304">
        <v>32</v>
      </c>
    </row>
    <row r="259" spans="58:114" ht="20" x14ac:dyDescent="0.3">
      <c r="BF259" s="298">
        <v>33</v>
      </c>
      <c r="BG259" s="1657">
        <f t="shared" si="72"/>
        <v>903</v>
      </c>
      <c r="BH259" s="42">
        <f t="shared" si="73"/>
        <v>903</v>
      </c>
      <c r="BI259" s="301">
        <f t="shared" si="69"/>
        <v>686.93739905451753</v>
      </c>
      <c r="BJ259" s="302">
        <f t="shared" si="70"/>
        <v>686.93739905451753</v>
      </c>
      <c r="BK259" s="302">
        <f t="shared" si="74"/>
        <v>1.0626009454824441</v>
      </c>
      <c r="BL259" s="302" t="b">
        <f t="shared" si="71"/>
        <v>0</v>
      </c>
      <c r="BM259" s="304">
        <v>33</v>
      </c>
    </row>
    <row r="260" spans="58:114" ht="20" x14ac:dyDescent="0.3">
      <c r="BF260" s="298">
        <v>34</v>
      </c>
      <c r="BG260" s="1657">
        <f t="shared" si="72"/>
        <v>946</v>
      </c>
      <c r="BH260" s="42">
        <f t="shared" si="73"/>
        <v>946</v>
      </c>
      <c r="BI260" s="301">
        <f t="shared" si="69"/>
        <v>729.93739905451753</v>
      </c>
      <c r="BJ260" s="302">
        <f t="shared" si="70"/>
        <v>729.93739905451753</v>
      </c>
      <c r="BK260" s="302">
        <f t="shared" si="74"/>
        <v>1.0626009454824441</v>
      </c>
      <c r="BL260" s="302" t="b">
        <f t="shared" si="71"/>
        <v>0</v>
      </c>
      <c r="BM260" s="304">
        <v>34</v>
      </c>
    </row>
    <row r="261" spans="58:114" ht="20" x14ac:dyDescent="0.3">
      <c r="BF261" s="298">
        <v>35</v>
      </c>
      <c r="BG261" s="1657">
        <f t="shared" si="72"/>
        <v>989</v>
      </c>
      <c r="BH261" s="42">
        <f t="shared" si="73"/>
        <v>989</v>
      </c>
      <c r="BI261" s="301">
        <f t="shared" si="69"/>
        <v>772.93739905451753</v>
      </c>
      <c r="BJ261" s="302">
        <f t="shared" si="70"/>
        <v>772.93739905451753</v>
      </c>
      <c r="BK261" s="302">
        <f t="shared" si="74"/>
        <v>1.0626009454824441</v>
      </c>
      <c r="BL261" s="302" t="b">
        <f t="shared" si="71"/>
        <v>0</v>
      </c>
      <c r="BM261" s="304">
        <v>35</v>
      </c>
    </row>
    <row r="262" spans="58:114" ht="20" x14ac:dyDescent="0.3">
      <c r="BF262" s="298">
        <v>36</v>
      </c>
      <c r="BG262" s="1657">
        <f t="shared" si="72"/>
        <v>1032</v>
      </c>
      <c r="BH262" s="42">
        <f t="shared" si="73"/>
        <v>1032</v>
      </c>
      <c r="BI262" s="301">
        <f t="shared" si="69"/>
        <v>815.93739905451753</v>
      </c>
      <c r="BJ262" s="302">
        <f t="shared" si="70"/>
        <v>815.93739905451753</v>
      </c>
      <c r="BK262" s="302">
        <f t="shared" si="74"/>
        <v>1.0626009454824441</v>
      </c>
      <c r="BL262" s="302" t="b">
        <f t="shared" si="71"/>
        <v>0</v>
      </c>
      <c r="BM262" s="304">
        <v>36</v>
      </c>
    </row>
    <row r="263" spans="58:114" ht="20" x14ac:dyDescent="0.3">
      <c r="BF263" s="298">
        <v>37</v>
      </c>
      <c r="BG263" s="1657">
        <f t="shared" si="72"/>
        <v>1075</v>
      </c>
      <c r="BH263" s="42">
        <f t="shared" si="73"/>
        <v>1075</v>
      </c>
      <c r="BI263" s="301">
        <f t="shared" si="69"/>
        <v>858.93739905451753</v>
      </c>
      <c r="BJ263" s="302">
        <f t="shared" si="70"/>
        <v>858.93739905451753</v>
      </c>
      <c r="BK263" s="302">
        <f t="shared" si="74"/>
        <v>1.0626009454824441</v>
      </c>
      <c r="BL263" s="302" t="b">
        <f t="shared" si="71"/>
        <v>0</v>
      </c>
      <c r="BM263" s="304">
        <v>37</v>
      </c>
    </row>
    <row r="267" spans="58:114" x14ac:dyDescent="0.2">
      <c r="DF267" s="126"/>
      <c r="DH267" s="126"/>
      <c r="DJ267" s="126"/>
    </row>
    <row r="1048385" spans="5:5" ht="19" thickBot="1" x14ac:dyDescent="0.25"/>
    <row r="1048386" spans="5:5" ht="19" thickBot="1" x14ac:dyDescent="0.25">
      <c r="E1048386" s="279"/>
    </row>
  </sheetData>
  <sheetProtection algorithmName="SHA-512" hashValue="vk2Fb3eraAAs6iMmrWoOYzDxygy0gk+pdSjbIRv+5fou3/ew64mT9a2ph+3XONm6ra+WJmx11s7koo90g3EPiA==" saltValue="BLtE/8FBn3puHM3K3WWbEw==" spinCount="100000" sheet="1" objects="1" scenarios="1" selectLockedCells="1"/>
  <protectedRanges>
    <protectedRange sqref="B132 B171 B165 D162:D166 D174 D206:D223 D142" name="Range1"/>
    <protectedRange sqref="B139" name="Range1_1"/>
    <protectedRange sqref="D143:D161" name="Range1_2"/>
    <protectedRange sqref="D175:D199" name="Range1_5"/>
  </protectedRanges>
  <mergeCells count="21">
    <mergeCell ref="DG41:DH41"/>
    <mergeCell ref="DL250:DM250"/>
    <mergeCell ref="DX250:DY250"/>
    <mergeCell ref="W139:AA139"/>
    <mergeCell ref="BA139:BB139"/>
    <mergeCell ref="B130:B131"/>
    <mergeCell ref="B163:B164"/>
    <mergeCell ref="W171:AA171"/>
    <mergeCell ref="BA171:BB171"/>
    <mergeCell ref="DL248:DN248"/>
    <mergeCell ref="BQ34:CA35"/>
    <mergeCell ref="CS34:DA35"/>
    <mergeCell ref="CB35:CC35"/>
    <mergeCell ref="CQ35:CR35"/>
    <mergeCell ref="BQ27:BR27"/>
    <mergeCell ref="CQ28:DA29"/>
    <mergeCell ref="BQ29:BR29"/>
    <mergeCell ref="CO29:CP29"/>
    <mergeCell ref="BQ31:CA32"/>
    <mergeCell ref="CB32:CC32"/>
    <mergeCell ref="CZ32:DA32"/>
  </mergeCells>
  <conditionalFormatting sqref="B143:BB143">
    <cfRule type="expression" dxfId="583" priority="19">
      <formula>$B139&lt;2</formula>
    </cfRule>
  </conditionalFormatting>
  <conditionalFormatting sqref="B144:BB144">
    <cfRule type="expression" dxfId="582" priority="18">
      <formula>$B139&lt;3</formula>
    </cfRule>
  </conditionalFormatting>
  <conditionalFormatting sqref="B145:BB145">
    <cfRule type="expression" dxfId="581" priority="17">
      <formula>$B139&lt;4</formula>
    </cfRule>
  </conditionalFormatting>
  <conditionalFormatting sqref="B146:BB146">
    <cfRule type="expression" dxfId="580" priority="16">
      <formula>$B139&lt;5</formula>
    </cfRule>
  </conditionalFormatting>
  <conditionalFormatting sqref="B147:BB147">
    <cfRule type="expression" dxfId="579" priority="15">
      <formula>$B139&lt;6</formula>
    </cfRule>
  </conditionalFormatting>
  <conditionalFormatting sqref="B148:BB148">
    <cfRule type="expression" dxfId="578" priority="14">
      <formula>$B139&lt;7</formula>
    </cfRule>
  </conditionalFormatting>
  <conditionalFormatting sqref="B149:BB149">
    <cfRule type="expression" dxfId="577" priority="13">
      <formula>$B139&lt;8</formula>
    </cfRule>
  </conditionalFormatting>
  <conditionalFormatting sqref="B150:BB150">
    <cfRule type="expression" dxfId="576" priority="12">
      <formula>$B139&lt;9</formula>
    </cfRule>
  </conditionalFormatting>
  <conditionalFormatting sqref="B151:BB151">
    <cfRule type="expression" dxfId="575" priority="11">
      <formula>$B139&lt;10</formula>
    </cfRule>
  </conditionalFormatting>
  <conditionalFormatting sqref="B152:BB152">
    <cfRule type="expression" dxfId="574" priority="10">
      <formula>$B139&lt;11</formula>
    </cfRule>
  </conditionalFormatting>
  <conditionalFormatting sqref="B153:BB153">
    <cfRule type="expression" dxfId="573" priority="9">
      <formula>$B139&lt;12</formula>
    </cfRule>
  </conditionalFormatting>
  <conditionalFormatting sqref="B154:BB154">
    <cfRule type="expression" dxfId="572" priority="8">
      <formula>$B139&lt;13</formula>
    </cfRule>
  </conditionalFormatting>
  <conditionalFormatting sqref="B155:BB155">
    <cfRule type="expression" dxfId="571" priority="7">
      <formula>$B139&lt;14</formula>
    </cfRule>
  </conditionalFormatting>
  <conditionalFormatting sqref="B156:BB156">
    <cfRule type="expression" dxfId="570" priority="6">
      <formula>$B139&lt;15</formula>
    </cfRule>
  </conditionalFormatting>
  <conditionalFormatting sqref="B157:BB157">
    <cfRule type="expression" dxfId="569" priority="5">
      <formula>$B139&lt;16</formula>
    </cfRule>
  </conditionalFormatting>
  <conditionalFormatting sqref="B158:BB158">
    <cfRule type="expression" dxfId="568" priority="4">
      <formula>$B139&lt;17</formula>
    </cfRule>
  </conditionalFormatting>
  <conditionalFormatting sqref="B159:BB159">
    <cfRule type="expression" dxfId="567" priority="3">
      <formula>$B139&lt;18</formula>
    </cfRule>
  </conditionalFormatting>
  <conditionalFormatting sqref="B160:BB160">
    <cfRule type="expression" dxfId="566" priority="2">
      <formula>$B139&lt;19</formula>
    </cfRule>
  </conditionalFormatting>
  <conditionalFormatting sqref="B161:BB161">
    <cfRule type="expression" dxfId="565" priority="1">
      <formula>$B139&lt;20</formula>
    </cfRule>
  </conditionalFormatting>
  <conditionalFormatting sqref="B175:BB175">
    <cfRule type="expression" dxfId="564" priority="46">
      <formula>$B171&lt;2</formula>
    </cfRule>
  </conditionalFormatting>
  <conditionalFormatting sqref="B176:BB176">
    <cfRule type="expression" dxfId="563" priority="45">
      <formula>$B171&lt;3</formula>
    </cfRule>
  </conditionalFormatting>
  <conditionalFormatting sqref="B177:BB177">
    <cfRule type="expression" dxfId="562" priority="44">
      <formula>$B171&lt;4</formula>
    </cfRule>
  </conditionalFormatting>
  <conditionalFormatting sqref="B178:BB178">
    <cfRule type="expression" dxfId="561" priority="43">
      <formula>$B171&lt;5</formula>
    </cfRule>
  </conditionalFormatting>
  <conditionalFormatting sqref="B179:BB179">
    <cfRule type="expression" dxfId="560" priority="42">
      <formula>$B171&lt;6</formula>
    </cfRule>
  </conditionalFormatting>
  <conditionalFormatting sqref="B180:BB180">
    <cfRule type="expression" dxfId="559" priority="41">
      <formula>$B171&lt;7</formula>
    </cfRule>
  </conditionalFormatting>
  <conditionalFormatting sqref="B181:BB181">
    <cfRule type="expression" dxfId="558" priority="40">
      <formula>$B171&lt;8</formula>
    </cfRule>
  </conditionalFormatting>
  <conditionalFormatting sqref="B182:BB182">
    <cfRule type="expression" dxfId="557" priority="39">
      <formula>$B171&lt;9</formula>
    </cfRule>
  </conditionalFormatting>
  <conditionalFormatting sqref="B183:BB183">
    <cfRule type="expression" dxfId="556" priority="38">
      <formula>$B171&lt;10</formula>
    </cfRule>
  </conditionalFormatting>
  <conditionalFormatting sqref="B184:BB184">
    <cfRule type="expression" dxfId="555" priority="37">
      <formula>$B171&lt;11</formula>
    </cfRule>
  </conditionalFormatting>
  <conditionalFormatting sqref="B185:BB185">
    <cfRule type="expression" dxfId="554" priority="36">
      <formula>$B171&lt;12</formula>
    </cfRule>
  </conditionalFormatting>
  <conditionalFormatting sqref="B186:BB186">
    <cfRule type="expression" dxfId="553" priority="35">
      <formula>$B171&lt;13</formula>
    </cfRule>
  </conditionalFormatting>
  <conditionalFormatting sqref="B187:BB187">
    <cfRule type="expression" dxfId="552" priority="34">
      <formula>$B171&lt;14</formula>
    </cfRule>
  </conditionalFormatting>
  <conditionalFormatting sqref="B188:BB188">
    <cfRule type="expression" dxfId="551" priority="33">
      <formula>$B171&lt;15</formula>
    </cfRule>
  </conditionalFormatting>
  <conditionalFormatting sqref="B189:BB189">
    <cfRule type="expression" dxfId="550" priority="32">
      <formula>$B171&lt;16</formula>
    </cfRule>
  </conditionalFormatting>
  <conditionalFormatting sqref="B190:BB190">
    <cfRule type="expression" dxfId="549" priority="31">
      <formula>$B171&lt;17</formula>
    </cfRule>
  </conditionalFormatting>
  <conditionalFormatting sqref="B191:BB191">
    <cfRule type="expression" dxfId="548" priority="30">
      <formula>$B171&lt;18</formula>
    </cfRule>
  </conditionalFormatting>
  <conditionalFormatting sqref="B192:BB192">
    <cfRule type="expression" dxfId="547" priority="29">
      <formula>$B171&lt;19</formula>
    </cfRule>
  </conditionalFormatting>
  <conditionalFormatting sqref="B193:BB193">
    <cfRule type="expression" dxfId="546" priority="28">
      <formula>$B171&lt;20</formula>
    </cfRule>
  </conditionalFormatting>
  <conditionalFormatting sqref="B194:BB194">
    <cfRule type="expression" dxfId="545" priority="27">
      <formula>$B171&lt;21</formula>
    </cfRule>
  </conditionalFormatting>
  <conditionalFormatting sqref="B195:BB195">
    <cfRule type="expression" dxfId="544" priority="26">
      <formula>$B171&lt;22</formula>
    </cfRule>
  </conditionalFormatting>
  <conditionalFormatting sqref="B196:BB196">
    <cfRule type="expression" dxfId="543" priority="25">
      <formula>$B171&lt;23</formula>
    </cfRule>
  </conditionalFormatting>
  <conditionalFormatting sqref="B197:BB197">
    <cfRule type="expression" dxfId="542" priority="24">
      <formula>$B171&lt;24</formula>
    </cfRule>
  </conditionalFormatting>
  <conditionalFormatting sqref="B198:BB198">
    <cfRule type="expression" dxfId="541" priority="23">
      <formula>$B171&lt;25</formula>
    </cfRule>
  </conditionalFormatting>
  <conditionalFormatting sqref="B199:BB199">
    <cfRule type="expression" dxfId="540" priority="22">
      <formula>$B171&lt;26</formula>
    </cfRule>
  </conditionalFormatting>
  <conditionalFormatting sqref="C206:K207">
    <cfRule type="expression" dxfId="539" priority="51">
      <formula>#REF!&lt;8</formula>
    </cfRule>
  </conditionalFormatting>
  <conditionalFormatting sqref="C208:AR210">
    <cfRule type="expression" dxfId="538" priority="52">
      <formula>#REF!&lt;8</formula>
    </cfRule>
  </conditionalFormatting>
  <conditionalFormatting sqref="D129:D130">
    <cfRule type="cellIs" dxfId="537" priority="94" stopIfTrue="1" operator="equal">
      <formula>"change the angle of frame or of cabinets"</formula>
    </cfRule>
  </conditionalFormatting>
  <conditionalFormatting sqref="D131">
    <cfRule type="cellIs" dxfId="536" priority="93" stopIfTrue="1" operator="equal">
      <formula>"USE EXBAR AR AT THE FRONT"</formula>
    </cfRule>
  </conditionalFormatting>
  <conditionalFormatting sqref="D132">
    <cfRule type="cellIs" dxfId="535" priority="92" stopIfTrue="1" operator="equal">
      <formula>"USE EXBAR AR AT THE BACK"</formula>
    </cfRule>
  </conditionalFormatting>
  <conditionalFormatting sqref="D142:D161">
    <cfRule type="cellIs" dxfId="534" priority="21" operator="notEqual">
      <formula>0</formula>
    </cfRule>
  </conditionalFormatting>
  <conditionalFormatting sqref="D174:D199">
    <cfRule type="cellIs" dxfId="533" priority="48" operator="notEqual">
      <formula>0</formula>
    </cfRule>
  </conditionalFormatting>
  <conditionalFormatting sqref="D211:D223">
    <cfRule type="cellIs" dxfId="532" priority="78" operator="notEqual">
      <formula>0</formula>
    </cfRule>
  </conditionalFormatting>
  <conditionalFormatting sqref="E211">
    <cfRule type="expression" dxfId="531" priority="62">
      <formula>#REF!&lt;2</formula>
    </cfRule>
  </conditionalFormatting>
  <conditionalFormatting sqref="E212">
    <cfRule type="expression" dxfId="530" priority="61">
      <formula>#REF!&lt;2</formula>
    </cfRule>
  </conditionalFormatting>
  <conditionalFormatting sqref="E213:E223">
    <cfRule type="expression" dxfId="529" priority="59">
      <formula>#REF!&lt;2</formula>
    </cfRule>
  </conditionalFormatting>
  <conditionalFormatting sqref="E1048386:E1048576">
    <cfRule type="expression" dxfId="528" priority="60">
      <formula>#REF!&lt;2</formula>
    </cfRule>
  </conditionalFormatting>
  <conditionalFormatting sqref="L206:N206 V206 AQ206:AZ206 B206:B210 AI206:AJ212 AL206:AM212 AO206:AO212 AH206:AH223 AK206:AK223 AN206:AN223 AP206:AP223 L207:AG207 AQ207:AY224 B211:C223 F211:G223 J211:N223 P211:T223 V211:V223 AB211:AB223">
    <cfRule type="expression" dxfId="527" priority="75">
      <formula>#REF!&lt;8</formula>
    </cfRule>
  </conditionalFormatting>
  <conditionalFormatting sqref="P206:T206">
    <cfRule type="expression" dxfId="526" priority="50">
      <formula>#REF!&lt;8</formula>
    </cfRule>
  </conditionalFormatting>
  <conditionalFormatting sqref="AB206">
    <cfRule type="expression" dxfId="525" priority="49">
      <formula>#REF!&lt;8</formula>
    </cfRule>
  </conditionalFormatting>
  <conditionalFormatting sqref="AF206 AF211:AF223">
    <cfRule type="expression" dxfId="524" priority="76">
      <formula>#REF!&lt;7</formula>
    </cfRule>
  </conditionalFormatting>
  <conditionalFormatting sqref="AQ206 D211:D223 AQ211:AQ223">
    <cfRule type="expression" dxfId="523" priority="77">
      <formula>#REF!&lt;2</formula>
    </cfRule>
  </conditionalFormatting>
  <conditionalFormatting sqref="AX200">
    <cfRule type="expression" dxfId="522" priority="79" stopIfTrue="1">
      <formula>$B$171&lt;20</formula>
    </cfRule>
  </conditionalFormatting>
  <conditionalFormatting sqref="BA142:BB161">
    <cfRule type="cellIs" dxfId="521" priority="20" operator="lessThan">
      <formula>10</formula>
    </cfRule>
  </conditionalFormatting>
  <conditionalFormatting sqref="BA174:BB199">
    <cfRule type="cellIs" dxfId="520" priority="47" operator="lessThan">
      <formula>10</formula>
    </cfRule>
  </conditionalFormatting>
  <conditionalFormatting sqref="BL227:BL263">
    <cfRule type="cellIs" dxfId="519" priority="98" stopIfTrue="1" operator="equal">
      <formula>FALSE</formula>
    </cfRule>
  </conditionalFormatting>
  <conditionalFormatting sqref="BN28">
    <cfRule type="cellIs" dxfId="518" priority="71" stopIfTrue="1" operator="equal">
      <formula>"negative force at the motor"</formula>
    </cfRule>
  </conditionalFormatting>
  <conditionalFormatting sqref="BN28:BN29">
    <cfRule type="cellIs" dxfId="517" priority="70" operator="equal">
      <formula>"""OK"""</formula>
    </cfRule>
  </conditionalFormatting>
  <conditionalFormatting sqref="BN29">
    <cfRule type="cellIs" dxfId="516" priority="97" stopIfTrue="1" operator="equal">
      <formula>"overload"</formula>
    </cfRule>
  </conditionalFormatting>
  <conditionalFormatting sqref="BN31">
    <cfRule type="cellIs" dxfId="515" priority="69" stopIfTrue="1" operator="equal">
      <formula>"negative force at the motor"</formula>
    </cfRule>
  </conditionalFormatting>
  <conditionalFormatting sqref="BN31:BN32">
    <cfRule type="cellIs" dxfId="514" priority="68" operator="equal">
      <formula>"""OK"""</formula>
    </cfRule>
  </conditionalFormatting>
  <conditionalFormatting sqref="BN34">
    <cfRule type="cellIs" dxfId="513" priority="67" stopIfTrue="1" operator="equal">
      <formula>"negative force at the motor"</formula>
    </cfRule>
  </conditionalFormatting>
  <conditionalFormatting sqref="BN34:BN35">
    <cfRule type="cellIs" dxfId="512" priority="66" operator="equal">
      <formula>"""OK"""</formula>
    </cfRule>
  </conditionalFormatting>
  <conditionalFormatting sqref="BN58 BN63 BN127 BN32 BN35">
    <cfRule type="cellIs" dxfId="511" priority="96" stopIfTrue="1" operator="equal">
      <formula>"overload"</formula>
    </cfRule>
  </conditionalFormatting>
  <conditionalFormatting sqref="BN58 BN127 BN63">
    <cfRule type="cellIs" dxfId="510" priority="95" operator="equal">
      <formula>"""OK"""</formula>
    </cfRule>
  </conditionalFormatting>
  <conditionalFormatting sqref="BO57:BO58 BN58 BN127">
    <cfRule type="expression" dxfId="509" priority="72">
      <formula>$B$132&lt;&gt;0</formula>
    </cfRule>
  </conditionalFormatting>
  <conditionalFormatting sqref="BO126:BO127">
    <cfRule type="expression" dxfId="508" priority="63">
      <formula>$B$132&lt;&gt;0</formula>
    </cfRule>
  </conditionalFormatting>
  <conditionalFormatting sqref="BQ126:CG126">
    <cfRule type="expression" dxfId="507" priority="65">
      <formula>$B$132=0</formula>
    </cfRule>
  </conditionalFormatting>
  <conditionalFormatting sqref="BQ59:DB61 BV171:CI178">
    <cfRule type="cellIs" dxfId="506" priority="99" stopIfTrue="1" operator="equal">
      <formula>FALSE</formula>
    </cfRule>
  </conditionalFormatting>
  <conditionalFormatting sqref="CB57:CR57">
    <cfRule type="expression" dxfId="505" priority="74">
      <formula>$B$132=0</formula>
    </cfRule>
    <cfRule type="cellIs" dxfId="504" priority="73" operator="equal">
      <formula>0</formula>
    </cfRule>
  </conditionalFormatting>
  <conditionalFormatting sqref="CK126:DA126">
    <cfRule type="expression" dxfId="503" priority="64">
      <formula>$B$132=0</formula>
    </cfRule>
  </conditionalFormatting>
  <dataValidations count="11">
    <dataValidation type="custom" allowBlank="1" showInputMessage="1" showErrorMessage="1" sqref="D143:D161" xr:uid="{00000000-0002-0000-1000-000000000000}">
      <formula1>OR(D143=0,D143=0.5,D143=1,D143=2,D143=2.5,D143=3,D143=4,D143=5,D143=6,D143=7,D143=8)</formula1>
    </dataValidation>
    <dataValidation type="custom" allowBlank="1" showInputMessage="1" showErrorMessage="1" sqref="D206:D223" xr:uid="{00000000-0002-0000-1000-000001000000}">
      <formula1>OR(D206=0.5,D206=1,D206=2,D206=2.5,D206=3,D206=4,D206=5,D206=6,D206=7,D206=8,D206=9,D206=10)</formula1>
    </dataValidation>
    <dataValidation type="whole" allowBlank="1" showInputMessage="1" showErrorMessage="1" sqref="D142" xr:uid="{00000000-0002-0000-1000-000002000000}">
      <formula1>-2</formula1>
      <formula2>4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39" xr:uid="{00000000-0002-0000-1000-000003000000}">
      <formula1>1</formula1>
      <formula2>20</formula2>
    </dataValidation>
    <dataValidation type="decimal" allowBlank="1" showInputMessage="1" showErrorMessage="1" sqref="B132" xr:uid="{00000000-0002-0000-1000-000004000000}">
      <formula1>-89.9</formula1>
      <formula2>89.9</formula2>
    </dataValidation>
    <dataValidation type="custom" allowBlank="1" showInputMessage="1" showErrorMessage="1" sqref="D162:D166" xr:uid="{00000000-0002-0000-1000-000005000000}">
      <formula1>OR(D162=0,D162=2.5,D162=5)</formula1>
    </dataValidation>
    <dataValidation type="decimal" allowBlank="1" showInputMessage="1" showErrorMessage="1" sqref="F142:G142 F174:G174" xr:uid="{00000000-0002-0000-1000-000006000000}">
      <formula1>0</formula1>
      <formula2>4</formula2>
    </dataValidation>
    <dataValidation type="decimal" allowBlank="1" showInputMessage="1" showErrorMessage="1" sqref="F144:F166 D136:D137 F176:F199 F134:G137 D134 G143:G166 G175:G199 F206:G223" xr:uid="{00000000-0002-0000-1000-000007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26" sqref="B171" xr:uid="{00000000-0002-0000-1000-000008000000}">
      <formula1>1</formula1>
      <formula2>26</formula2>
    </dataValidation>
    <dataValidation type="custom" allowBlank="1" showInputMessage="1" showErrorMessage="1" sqref="D175:D199" xr:uid="{00000000-0002-0000-1000-000009000000}">
      <formula1>OR(D175=0.5,D175=2.5,D175=1,D175=2,D175=2.5,D175=3,D175=4,D175=5,D175=6,D175=7,D175=8,D175=9,D175=10)</formula1>
    </dataValidation>
    <dataValidation type="custom" allowBlank="1" showInputMessage="1" showErrorMessage="1" sqref="D174" xr:uid="{00000000-0002-0000-1000-00000A000000}">
      <formula1>OR(D174=0,D174=0.5,D174=1,D174=2,D174=2.5,D174=3,D174=4,D174=5,D174=6,D174=7,D174=8,D174=9)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tabColor theme="8" tint="0.39997558519241921"/>
  </sheetPr>
  <dimension ref="A1:EN1048399"/>
  <sheetViews>
    <sheetView topLeftCell="A27" zoomScale="55" zoomScaleNormal="55" workbookViewId="0">
      <selection activeCell="D142" sqref="D142"/>
    </sheetView>
  </sheetViews>
  <sheetFormatPr baseColWidth="10" defaultColWidth="9.1640625" defaultRowHeight="18" x14ac:dyDescent="0.2"/>
  <cols>
    <col min="1" max="1" width="1.5" customWidth="1"/>
    <col min="2" max="2" width="35.5" style="35" customWidth="1"/>
    <col min="3" max="3" width="34.5" style="35" hidden="1" customWidth="1"/>
    <col min="4" max="4" width="34.5" customWidth="1"/>
    <col min="5" max="5" width="59.5" customWidth="1"/>
    <col min="6" max="7" width="16.1640625" hidden="1" customWidth="1"/>
    <col min="8" max="19" width="12.5" style="64" hidden="1" customWidth="1"/>
    <col min="20" max="20" width="22.33203125" style="64" hidden="1" customWidth="1"/>
    <col min="21" max="21" width="13.5" style="64" hidden="1" customWidth="1"/>
    <col min="22" max="22" width="19.5" style="64" hidden="1" customWidth="1"/>
    <col min="23" max="24" width="17.5" style="64" hidden="1" customWidth="1"/>
    <col min="25" max="25" width="14.5" style="64" hidden="1" customWidth="1"/>
    <col min="26" max="27" width="19.5" style="64" hidden="1" customWidth="1"/>
    <col min="28" max="28" width="39.5" style="64" customWidth="1"/>
    <col min="29" max="29" width="23.83203125" style="64" hidden="1" customWidth="1"/>
    <col min="30" max="32" width="22.5" style="64" hidden="1" customWidth="1"/>
    <col min="33" max="33" width="39.5" style="64" hidden="1" customWidth="1"/>
    <col min="34" max="34" width="19.5" style="64" hidden="1" customWidth="1"/>
    <col min="35" max="35" width="12.6640625" style="64" hidden="1" customWidth="1"/>
    <col min="36" max="36" width="15.5" style="64" hidden="1" customWidth="1"/>
    <col min="37" max="48" width="10.6640625" style="64" hidden="1" customWidth="1"/>
    <col min="49" max="52" width="19.83203125" style="64" hidden="1" customWidth="1"/>
    <col min="53" max="54" width="12.1640625" style="64" customWidth="1"/>
    <col min="55" max="55" width="15.1640625" hidden="1" customWidth="1"/>
    <col min="56" max="56" width="9.1640625" hidden="1" customWidth="1"/>
    <col min="57" max="57" width="4.83203125" hidden="1" customWidth="1"/>
    <col min="58" max="58" width="6.83203125" hidden="1" customWidth="1"/>
    <col min="59" max="59" width="34.1640625" hidden="1" customWidth="1"/>
    <col min="60" max="60" width="17" hidden="1" customWidth="1"/>
    <col min="61" max="62" width="16.33203125" hidden="1" customWidth="1"/>
    <col min="63" max="63" width="9.33203125" hidden="1" customWidth="1"/>
    <col min="64" max="64" width="14.1640625" hidden="1" customWidth="1"/>
    <col min="65" max="65" width="16.83203125" style="81" hidden="1" customWidth="1"/>
    <col min="66" max="66" width="26.5" customWidth="1"/>
    <col min="67" max="67" width="39.6640625" style="59" customWidth="1"/>
    <col min="68" max="68" width="41.83203125" customWidth="1"/>
    <col min="69" max="79" width="6.5" customWidth="1"/>
    <col min="80" max="80" width="9" customWidth="1"/>
    <col min="81" max="93" width="6.5" customWidth="1"/>
    <col min="94" max="94" width="8" customWidth="1"/>
    <col min="95" max="105" width="6.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482" t="s">
        <v>104</v>
      </c>
      <c r="E1" s="482" t="s">
        <v>105</v>
      </c>
      <c r="F1" s="482" t="s">
        <v>106</v>
      </c>
      <c r="G1" s="990" t="s">
        <v>220</v>
      </c>
      <c r="H1" s="1073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+COS(($B$132*-1)*3.14159265358979/180)*C2</f>
        <v>688</v>
      </c>
      <c r="E2" s="41">
        <f>+COS(($B$132*-1)*3.14159265358979/180)*43</f>
        <v>43</v>
      </c>
      <c r="F2" s="42">
        <f>+COS((($B$132*-1)+72.969997)*3.14159265358979/180)*162.1867</f>
        <v>47.500013702602963</v>
      </c>
      <c r="G2" s="994" t="s">
        <v>212</v>
      </c>
      <c r="H2" s="1074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189.65725097492444</v>
      </c>
      <c r="D3" s="40">
        <f>+C9-F2</f>
        <v>189.65723727232148</v>
      </c>
      <c r="G3" s="994" t="s">
        <v>213</v>
      </c>
      <c r="H3" s="1075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+COS(($B$132*-1)*3.14159265358979/180)*C4</f>
        <v>1075</v>
      </c>
      <c r="G4" s="996" t="s">
        <v>233</v>
      </c>
      <c r="H4" s="1076">
        <v>860</v>
      </c>
      <c r="I4" s="984">
        <v>1</v>
      </c>
      <c r="J4" s="1721" t="s">
        <v>228</v>
      </c>
      <c r="K4" s="1727"/>
      <c r="L4" s="1727"/>
      <c r="M4" s="1727"/>
      <c r="N4"/>
      <c r="O4" s="995"/>
    </row>
    <row r="5" spans="2:15" ht="38" hidden="1" x14ac:dyDescent="0.2">
      <c r="B5" s="44" t="s">
        <v>115</v>
      </c>
      <c r="C5" s="45">
        <f>+C9+425.5</f>
        <v>662.65725097492441</v>
      </c>
      <c r="D5" s="40">
        <f>+(COS(($B$132*-1)*3.14159265358979/180)*473)+$D$3</f>
        <v>662.65723727232148</v>
      </c>
      <c r="G5" s="996" t="s">
        <v>214</v>
      </c>
      <c r="H5" s="1076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1" hidden="1" thickBot="1" x14ac:dyDescent="0.25">
      <c r="B6" s="73"/>
      <c r="C6" s="73"/>
      <c r="G6" s="996" t="s">
        <v>259</v>
      </c>
      <c r="H6" s="1076">
        <v>602</v>
      </c>
      <c r="I6"/>
      <c r="J6" s="963">
        <f>+H9/H8*BQ29</f>
        <v>199.58156865345651</v>
      </c>
      <c r="K6" s="963">
        <f>((H8-H9)/H8)*BQ29</f>
        <v>-137.21232844925134</v>
      </c>
      <c r="L6" s="963">
        <f>+CO29</f>
        <v>100.23075979579487</v>
      </c>
      <c r="M6" s="961" t="s">
        <v>223</v>
      </c>
      <c r="N6"/>
      <c r="O6" s="995"/>
    </row>
    <row r="7" spans="2:15" ht="106" hidden="1" thickBot="1" x14ac:dyDescent="0.3">
      <c r="B7" s="483" t="s">
        <v>18</v>
      </c>
      <c r="C7" s="1572">
        <f>+C11+C14+C17+30+4.5+0.5+1.3+31</f>
        <v>162.60000000000002</v>
      </c>
      <c r="D7" s="1573" t="s">
        <v>272</v>
      </c>
      <c r="G7" s="997" t="s">
        <v>230</v>
      </c>
      <c r="H7" s="1077">
        <f>(+SIN(($B$132*-1)*3.14159265358979/180)*H2)</f>
        <v>0</v>
      </c>
      <c r="I7"/>
      <c r="J7" s="965">
        <f>ABS($H$1/J6)</f>
        <v>90.188688872639844</v>
      </c>
      <c r="K7" s="965">
        <f>ABS($H$1/K6)</f>
        <v>131.18354745111253</v>
      </c>
      <c r="L7" s="965">
        <f>ABS($H$1/L6)</f>
        <v>179.58558866232582</v>
      </c>
      <c r="M7" s="967" t="s">
        <v>222</v>
      </c>
      <c r="N7"/>
      <c r="O7" s="995"/>
    </row>
    <row r="8" spans="2:15" ht="20" hidden="1" x14ac:dyDescent="0.2">
      <c r="B8" s="483" t="s">
        <v>19</v>
      </c>
      <c r="C8" s="483">
        <f>+AS142</f>
        <v>492.39108855494453</v>
      </c>
      <c r="G8" s="997" t="s">
        <v>229</v>
      </c>
      <c r="H8" s="1077">
        <f>(+COS(($B$132*-1)*3.14159265358979/180)*H3)</f>
        <v>215</v>
      </c>
      <c r="I8"/>
      <c r="J8" s="1733">
        <f>ABS($E$22/BQ29)</f>
        <v>128.26835750775447</v>
      </c>
      <c r="K8" s="1733"/>
      <c r="L8" s="1733">
        <f>ABS($E$22/CO29)</f>
        <v>79.815817183255916</v>
      </c>
      <c r="M8" s="1734" t="s">
        <v>350</v>
      </c>
      <c r="N8"/>
      <c r="O8" s="995"/>
    </row>
    <row r="9" spans="2:15" ht="21" hidden="1" thickBot="1" x14ac:dyDescent="0.25">
      <c r="B9" s="483" t="s">
        <v>14</v>
      </c>
      <c r="C9" s="483">
        <f>+AP138</f>
        <v>237.15725097492444</v>
      </c>
      <c r="G9" s="994" t="s">
        <v>227</v>
      </c>
      <c r="H9" s="1077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B10" s="1574" t="s">
        <v>132</v>
      </c>
      <c r="C10" s="1575">
        <v>40.5</v>
      </c>
      <c r="D10" s="1576" t="s">
        <v>273</v>
      </c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483" t="s">
        <v>274</v>
      </c>
      <c r="C11" s="1577">
        <f>+(B139*C10)</f>
        <v>40.5</v>
      </c>
      <c r="G11" s="994" t="s">
        <v>226</v>
      </c>
      <c r="H11" s="1077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1" hidden="1" thickBot="1" x14ac:dyDescent="0.25">
      <c r="B12" s="483" t="s">
        <v>150</v>
      </c>
      <c r="C12" s="394">
        <v>747</v>
      </c>
      <c r="D12" s="397"/>
      <c r="G12" s="998"/>
      <c r="H12" s="37"/>
      <c r="I12"/>
      <c r="J12" s="963">
        <f>(CB32)</f>
        <v>133.91324020420515</v>
      </c>
      <c r="K12" s="963">
        <f>((+H8-H11)/H8*CZ32)</f>
        <v>-63.110871550748698</v>
      </c>
      <c r="L12" s="963">
        <f>(H11/H8*CZ32)</f>
        <v>91.797631346543554</v>
      </c>
      <c r="M12" s="961" t="s">
        <v>223</v>
      </c>
      <c r="N12"/>
      <c r="O12" s="995"/>
    </row>
    <row r="13" spans="2:15" ht="21" hidden="1" thickBot="1" x14ac:dyDescent="0.25">
      <c r="B13" s="1574" t="s">
        <v>275</v>
      </c>
      <c r="C13" s="1575">
        <v>29.3</v>
      </c>
      <c r="D13" s="1576" t="s">
        <v>276</v>
      </c>
      <c r="G13" s="998"/>
      <c r="H13"/>
      <c r="I13"/>
      <c r="J13" s="965">
        <f>ABS($H$1/J12)</f>
        <v>134.41538695166875</v>
      </c>
      <c r="K13" s="965">
        <f>ABS($H$1/K12)</f>
        <v>285.21235022916528</v>
      </c>
      <c r="L13" s="965">
        <f>ABS($H$1/L12)</f>
        <v>196.08349078255114</v>
      </c>
      <c r="M13" s="967" t="s">
        <v>222</v>
      </c>
      <c r="N13"/>
      <c r="O13" s="995"/>
    </row>
    <row r="14" spans="2:15" ht="20" hidden="1" x14ac:dyDescent="0.2">
      <c r="B14" s="483" t="s">
        <v>275</v>
      </c>
      <c r="C14" s="1577">
        <f>+(B171*C13)</f>
        <v>29.3</v>
      </c>
      <c r="D14" s="397"/>
      <c r="G14" s="998"/>
      <c r="H14"/>
      <c r="I14"/>
      <c r="J14" s="1733">
        <f>ABS($E$22/CB32)</f>
        <v>59.740171978519442</v>
      </c>
      <c r="K14" s="1733"/>
      <c r="L14" s="1733">
        <f>ABS($E$22/CZ32)</f>
        <v>278.87429800185049</v>
      </c>
      <c r="M14" s="1734" t="s">
        <v>350</v>
      </c>
      <c r="N14"/>
      <c r="O14" s="995"/>
    </row>
    <row r="15" spans="2:15" ht="19" hidden="1" thickBot="1" x14ac:dyDescent="0.25">
      <c r="B15" s="483" t="s">
        <v>277</v>
      </c>
      <c r="C15" s="394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1" hidden="1" thickBot="1" x14ac:dyDescent="0.25">
      <c r="B16" s="1574" t="s">
        <v>166</v>
      </c>
      <c r="C16" s="1575">
        <v>25.5</v>
      </c>
      <c r="D16" s="1576" t="s">
        <v>278</v>
      </c>
      <c r="G16" s="994" t="s">
        <v>231</v>
      </c>
      <c r="H16" s="1077">
        <f>+D2+H7-BL66</f>
        <v>25.342762727678519</v>
      </c>
      <c r="I16" s="984" t="s">
        <v>251</v>
      </c>
      <c r="J16" s="1721" t="s">
        <v>232</v>
      </c>
      <c r="K16" s="1727"/>
      <c r="L16" s="1727"/>
      <c r="M16" s="1727"/>
      <c r="N16"/>
      <c r="O16" s="995"/>
    </row>
    <row r="17" spans="2:144" ht="21" hidden="1" thickBot="1" x14ac:dyDescent="0.25">
      <c r="B17" s="483" t="s">
        <v>279</v>
      </c>
      <c r="C17" s="1577">
        <f>+(B208*C16)</f>
        <v>25.5</v>
      </c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44" ht="21" hidden="1" thickBot="1" x14ac:dyDescent="0.25">
      <c r="B18" s="483" t="s">
        <v>277</v>
      </c>
      <c r="C18" s="394">
        <v>492.38470000000001</v>
      </c>
      <c r="D18" s="1578" t="s">
        <v>280</v>
      </c>
      <c r="G18" s="998"/>
      <c r="H18"/>
      <c r="I18"/>
      <c r="J18" s="963">
        <f>+H16/H8*BQ27</f>
        <v>19.16620102102571</v>
      </c>
      <c r="K18" s="963">
        <f>((H8-H16)/H8)*BQ27</f>
        <v>143.43379897897432</v>
      </c>
      <c r="L18" s="963"/>
      <c r="M18" s="961" t="s">
        <v>223</v>
      </c>
      <c r="N18"/>
      <c r="O18" s="995"/>
    </row>
    <row r="19" spans="2:144" ht="20" hidden="1" x14ac:dyDescent="0.2">
      <c r="B19" s="399"/>
      <c r="C19" s="399"/>
      <c r="D19" s="397"/>
      <c r="G19" s="998"/>
      <c r="H19"/>
      <c r="I19"/>
      <c r="J19" s="965">
        <f>ABS($H$1/J18)</f>
        <v>939.15325109309015</v>
      </c>
      <c r="K19" s="965">
        <f>ABS($H$1/K18)</f>
        <v>125.4934341008327</v>
      </c>
      <c r="L19" s="965"/>
      <c r="M19" s="967" t="s">
        <v>222</v>
      </c>
      <c r="N19"/>
      <c r="O19" s="995"/>
    </row>
    <row r="20" spans="2:144" ht="20" hidden="1" x14ac:dyDescent="0.2">
      <c r="B20" s="484" t="s">
        <v>76</v>
      </c>
      <c r="C20" s="1579">
        <v>5800</v>
      </c>
      <c r="D20" s="1579">
        <v>10000</v>
      </c>
      <c r="G20" s="998"/>
      <c r="H20"/>
      <c r="I20"/>
      <c r="J20" s="1733">
        <f>ABS($E$22/BQ27)</f>
        <v>49.200492004920044</v>
      </c>
      <c r="K20" s="1733"/>
      <c r="L20" s="1733"/>
      <c r="M20" s="1734" t="s">
        <v>350</v>
      </c>
      <c r="N20"/>
      <c r="O20" s="995"/>
    </row>
    <row r="21" spans="2:144" ht="20" hidden="1" thickBot="1" x14ac:dyDescent="0.25">
      <c r="B21" s="484" t="s">
        <v>77</v>
      </c>
      <c r="C21" s="1579">
        <v>5800</v>
      </c>
      <c r="D21" s="1579">
        <v>5800</v>
      </c>
      <c r="G21" s="998"/>
      <c r="H21"/>
      <c r="I21"/>
      <c r="J21" s="59"/>
      <c r="K21" s="59"/>
      <c r="L21" s="59"/>
      <c r="M21" s="59"/>
      <c r="N21"/>
      <c r="O21" s="995"/>
    </row>
    <row r="22" spans="2:144" ht="21" hidden="1" thickBot="1" x14ac:dyDescent="0.25">
      <c r="B22" s="484" t="s">
        <v>78</v>
      </c>
      <c r="C22" s="1579">
        <v>8000</v>
      </c>
      <c r="D22" s="1579">
        <v>8000</v>
      </c>
      <c r="E22" s="49">
        <v>8000</v>
      </c>
      <c r="G22" s="994" t="s">
        <v>219</v>
      </c>
      <c r="H22" s="1077">
        <f>(+COS(($B$132*-1)*3.14159265358979/180)*(H4))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</row>
    <row r="23" spans="2:144" ht="20" hidden="1" x14ac:dyDescent="0.2">
      <c r="B23" s="1579"/>
      <c r="C23" s="1579" t="s">
        <v>20</v>
      </c>
      <c r="D23" s="1579" t="s">
        <v>21</v>
      </c>
      <c r="G23" s="994" t="s">
        <v>234</v>
      </c>
      <c r="H23" s="1092">
        <f>+BL66-H22+H7</f>
        <v>-197.34276272767852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44" ht="26.25" hidden="1" customHeight="1" x14ac:dyDescent="0.2">
      <c r="B24" s="1580" t="s">
        <v>64</v>
      </c>
      <c r="C24" s="1579">
        <f>+((C8-C9)/C8)*C7</f>
        <v>84.284673210287593</v>
      </c>
      <c r="D24" s="1579">
        <f>+(C9/C8)*C7</f>
        <v>78.315326789712444</v>
      </c>
      <c r="G24" s="998"/>
      <c r="H24"/>
      <c r="I24"/>
      <c r="J24" s="963"/>
      <c r="K24" s="963">
        <f>((+H8-H23)/H8*BQ27)</f>
        <v>311.84620102102576</v>
      </c>
      <c r="L24" s="963">
        <f>(H23/H8*BQ27)</f>
        <v>-149.24620102102574</v>
      </c>
      <c r="M24" s="961" t="s">
        <v>223</v>
      </c>
      <c r="N24"/>
      <c r="O24" s="995"/>
    </row>
    <row r="25" spans="2:144" ht="20" hidden="1" x14ac:dyDescent="0.2">
      <c r="G25" s="998"/>
      <c r="H25"/>
      <c r="I25"/>
      <c r="J25" s="965"/>
      <c r="K25" s="965">
        <f>ABS($H$1/K24)</f>
        <v>57.720760878489514</v>
      </c>
      <c r="L25" s="965">
        <f>ABS($H$1/L24)</f>
        <v>120.60608495799613</v>
      </c>
      <c r="M25" s="967" t="s">
        <v>222</v>
      </c>
      <c r="N25"/>
      <c r="O25" s="995"/>
    </row>
    <row r="26" spans="2:144" ht="20" hidden="1" x14ac:dyDescent="0.2">
      <c r="G26" s="998"/>
      <c r="H26"/>
      <c r="I26"/>
      <c r="J26" s="1733"/>
      <c r="K26" s="1733"/>
      <c r="L26" s="1733">
        <f>ABS($E$22/BQ27)</f>
        <v>49.200492004920044</v>
      </c>
      <c r="M26" s="1734" t="s">
        <v>350</v>
      </c>
      <c r="N26"/>
      <c r="O26" s="995"/>
    </row>
    <row r="27" spans="2:144" ht="30.75" customHeight="1" thickBot="1" x14ac:dyDescent="0.25">
      <c r="G27" s="998"/>
      <c r="H27"/>
      <c r="I27"/>
      <c r="J27" s="59"/>
      <c r="K27" s="59"/>
      <c r="L27" s="59"/>
      <c r="M27" s="59"/>
      <c r="N27"/>
      <c r="O27" s="995"/>
      <c r="BE27" s="64"/>
      <c r="BF27" s="64"/>
      <c r="BG27" s="64"/>
      <c r="BH27" s="64"/>
      <c r="BO27" s="64"/>
      <c r="BP27" s="75" t="s">
        <v>25</v>
      </c>
      <c r="BQ27" s="1814">
        <f>+C7</f>
        <v>162.60000000000002</v>
      </c>
      <c r="BR27" s="1814"/>
      <c r="BS27" s="76" t="s">
        <v>17</v>
      </c>
      <c r="BT27" s="76"/>
      <c r="BU27" s="77" t="s">
        <v>306</v>
      </c>
      <c r="BV27" s="78"/>
      <c r="BW27" s="78"/>
      <c r="BX27" s="78"/>
      <c r="BY27" s="78"/>
      <c r="BZ27" s="78"/>
      <c r="CA27" s="78"/>
      <c r="CB27" s="78"/>
      <c r="CC27" s="78"/>
      <c r="CD27" s="78"/>
      <c r="CE27" s="78"/>
      <c r="CF27" s="78"/>
      <c r="CG27" s="78"/>
      <c r="CH27" s="78"/>
      <c r="CI27" s="78"/>
      <c r="CJ27" s="78"/>
      <c r="CK27" s="78"/>
      <c r="CL27" s="78"/>
      <c r="CM27" s="78"/>
      <c r="CN27" s="78"/>
      <c r="CO27" s="78"/>
      <c r="CP27" s="78"/>
      <c r="CQ27" s="78"/>
      <c r="CR27" s="78"/>
      <c r="CS27" s="78"/>
      <c r="CT27" s="78"/>
      <c r="CU27" s="78"/>
      <c r="CV27" s="78"/>
      <c r="CW27" s="78"/>
      <c r="CX27" s="78"/>
      <c r="CY27" s="78"/>
      <c r="CZ27" s="78"/>
      <c r="DA27" s="78"/>
      <c r="DB27" s="78"/>
      <c r="DC27" s="78"/>
      <c r="DD27" s="78"/>
    </row>
    <row r="28" spans="2:144" s="64" customFormat="1" ht="45.75" customHeight="1" thickBot="1" x14ac:dyDescent="0.3">
      <c r="B28" s="73"/>
      <c r="C28" s="73"/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  <c r="BD28"/>
      <c r="BE28" s="85"/>
      <c r="BF28" s="85"/>
      <c r="BG28" s="85"/>
      <c r="BH28" s="85"/>
      <c r="BI28"/>
      <c r="BJ28"/>
      <c r="BK28"/>
      <c r="BL28"/>
      <c r="BM28" s="81" t="b">
        <f>AND(BQ29&gt;0,CO29&gt;0)</f>
        <v>1</v>
      </c>
      <c r="BN28" s="952" t="str">
        <f>IF(BM28=TRUE,"","negative force at the motor")</f>
        <v/>
      </c>
      <c r="BO28" s="1097" t="s">
        <v>128</v>
      </c>
      <c r="BP28" s="945" t="s">
        <v>27</v>
      </c>
      <c r="BQ28" s="946" t="s">
        <v>28</v>
      </c>
      <c r="BR28" s="777"/>
      <c r="BS28" s="777"/>
      <c r="BT28" s="777"/>
      <c r="BU28" s="777"/>
      <c r="BV28" s="777"/>
      <c r="BW28" s="777"/>
      <c r="BX28" s="777"/>
      <c r="BY28" s="777"/>
      <c r="BZ28" s="777"/>
      <c r="CA28" s="777"/>
      <c r="CB28" s="777"/>
      <c r="CC28" s="777"/>
      <c r="CD28" s="777"/>
      <c r="CE28" s="777"/>
      <c r="CF28" s="777"/>
      <c r="CG28" s="777"/>
      <c r="CH28" s="777"/>
      <c r="CI28" s="884"/>
      <c r="CJ28" s="777"/>
      <c r="CK28" s="885"/>
      <c r="CL28" s="885"/>
      <c r="CM28" s="885"/>
      <c r="CN28" s="885"/>
      <c r="CO28" s="777"/>
      <c r="CP28" s="782" t="s">
        <v>29</v>
      </c>
      <c r="CQ28" s="1801"/>
      <c r="CR28" s="1801"/>
      <c r="CS28" s="1801"/>
      <c r="CT28" s="1801"/>
      <c r="CU28" s="1801"/>
      <c r="CV28" s="1801"/>
      <c r="CW28" s="1801"/>
      <c r="CX28" s="1801"/>
      <c r="CY28" s="1801"/>
      <c r="CZ28" s="1801"/>
      <c r="DA28" s="1802"/>
      <c r="DB28" s="78"/>
      <c r="DC28" s="78"/>
      <c r="DD28" s="78"/>
      <c r="DE28"/>
      <c r="DF28"/>
      <c r="DG28"/>
      <c r="DH28"/>
      <c r="DI28"/>
      <c r="DJ28"/>
      <c r="DK28"/>
      <c r="DL28"/>
      <c r="DM28"/>
      <c r="DN28"/>
      <c r="DO28"/>
      <c r="DP28"/>
      <c r="DQ28"/>
      <c r="DR28"/>
      <c r="DS28"/>
      <c r="DT28"/>
      <c r="DU28"/>
      <c r="DV28"/>
      <c r="DW28"/>
      <c r="DX28"/>
      <c r="DY28"/>
      <c r="DZ28"/>
      <c r="EA28"/>
      <c r="EB28"/>
      <c r="EC28"/>
      <c r="ED28"/>
      <c r="EE28"/>
      <c r="EF28"/>
      <c r="EG28"/>
      <c r="EH28"/>
      <c r="EI28"/>
      <c r="EJ28"/>
      <c r="EK28"/>
      <c r="EL28"/>
      <c r="EM28"/>
      <c r="EN28"/>
    </row>
    <row r="29" spans="2:144" ht="45.75" customHeight="1" thickBot="1" x14ac:dyDescent="0.3"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  <c r="U29" s="114"/>
      <c r="BE29" s="85"/>
      <c r="BF29" s="85"/>
      <c r="BG29" s="85"/>
      <c r="BH29" s="85"/>
      <c r="BL29" s="968">
        <v>1</v>
      </c>
      <c r="BM29" s="1762" t="b">
        <f>AND(BO29&gt;=10,$BB$142&gt;=10,$BA$142&gt;=10,$BB$174&gt;=10,$BA$174&gt;=10,$BA$211&gt;=10,$BB$211&gt;=10)</f>
        <v>1</v>
      </c>
      <c r="BN29" s="84" t="str">
        <f>IF(BM29=TRUE,"O K","OVERLOAD")</f>
        <v>O K</v>
      </c>
      <c r="BO29" s="1761">
        <f>+MIN(J7:L8)</f>
        <v>79.815817183255916</v>
      </c>
      <c r="BP29" s="947" t="s">
        <v>138</v>
      </c>
      <c r="BQ29" s="1924">
        <f>+((D4-D5)/D4)*C7</f>
        <v>62.369240204205155</v>
      </c>
      <c r="BR29" s="1810"/>
      <c r="BS29" s="783"/>
      <c r="BT29" s="783"/>
      <c r="BU29" s="783"/>
      <c r="BV29" s="784"/>
      <c r="BW29" s="784"/>
      <c r="BX29" s="784"/>
      <c r="BY29" s="886"/>
      <c r="BZ29" s="886"/>
      <c r="CA29" s="886"/>
      <c r="CB29" s="886"/>
      <c r="CC29" s="886"/>
      <c r="CD29" s="886"/>
      <c r="CE29" s="886"/>
      <c r="CF29" s="886"/>
      <c r="CG29" s="886"/>
      <c r="CH29" s="886"/>
      <c r="CI29" s="887"/>
      <c r="CJ29" s="783"/>
      <c r="CK29" s="783"/>
      <c r="CL29" s="783"/>
      <c r="CM29" s="784"/>
      <c r="CN29" s="784"/>
      <c r="CO29" s="1799">
        <f>+(D5/D4)*C7</f>
        <v>100.23075979579487</v>
      </c>
      <c r="CP29" s="1800"/>
      <c r="CQ29" s="1803"/>
      <c r="CR29" s="1803"/>
      <c r="CS29" s="1803"/>
      <c r="CT29" s="1803"/>
      <c r="CU29" s="1803"/>
      <c r="CV29" s="1803"/>
      <c r="CW29" s="1803"/>
      <c r="CX29" s="1803"/>
      <c r="CY29" s="1803"/>
      <c r="CZ29" s="1803"/>
      <c r="DA29" s="1804"/>
      <c r="DB29" s="78"/>
      <c r="DC29" s="78"/>
      <c r="DD29" s="78"/>
    </row>
    <row r="30" spans="2:144" ht="26.25" customHeight="1" thickBot="1" x14ac:dyDescent="0.3">
      <c r="G30" s="1000"/>
      <c r="H30" s="63"/>
      <c r="I30"/>
      <c r="J30" s="963"/>
      <c r="K30" s="963">
        <f>((+H8-H23)/H8*BQ27)</f>
        <v>311.84620102102576</v>
      </c>
      <c r="L30" s="963">
        <f>(H23/H8*BQ27)</f>
        <v>-149.24620102102574</v>
      </c>
      <c r="M30" s="961" t="s">
        <v>223</v>
      </c>
      <c r="N30"/>
      <c r="O30" s="995"/>
      <c r="BE30" s="85"/>
      <c r="BF30" s="85"/>
      <c r="BG30" s="85"/>
      <c r="BH30" s="85"/>
      <c r="BN30" s="86"/>
      <c r="BO30" s="85"/>
      <c r="BP30" s="87"/>
      <c r="BQ30" s="88"/>
      <c r="BR30" s="88"/>
      <c r="BS30" s="87"/>
      <c r="BT30" s="87"/>
      <c r="BU30" s="87"/>
      <c r="BV30" s="87"/>
      <c r="BW30" s="87"/>
      <c r="BX30" s="87"/>
      <c r="BY30" s="87"/>
      <c r="BZ30" s="87"/>
      <c r="CA30" s="87"/>
      <c r="CB30" s="87"/>
      <c r="CC30" s="87"/>
      <c r="CD30" s="87"/>
      <c r="CE30" s="87"/>
      <c r="CF30" s="87"/>
      <c r="CG30" s="87"/>
      <c r="CH30" s="87"/>
      <c r="CJ30" s="76"/>
      <c r="CK30" s="76"/>
      <c r="CL30" s="88"/>
      <c r="CM30" s="89"/>
      <c r="CN30" s="89"/>
      <c r="CO30" s="89"/>
      <c r="CP30" s="89"/>
      <c r="CQ30" s="89"/>
      <c r="CR30" s="89"/>
      <c r="CS30" s="89"/>
      <c r="CT30" s="89"/>
      <c r="CU30" s="89"/>
      <c r="CV30" s="89"/>
      <c r="CW30" s="89"/>
      <c r="CX30" s="89"/>
      <c r="CY30" s="89"/>
      <c r="CZ30" s="89"/>
      <c r="DA30" s="89"/>
      <c r="DB30" s="89"/>
      <c r="DC30" s="78"/>
      <c r="DD30" s="78"/>
    </row>
    <row r="31" spans="2:144" ht="45.75" customHeight="1" thickBot="1" x14ac:dyDescent="0.3">
      <c r="F31" s="486"/>
      <c r="G31" s="1000"/>
      <c r="H31" s="63"/>
      <c r="I31"/>
      <c r="J31" s="965"/>
      <c r="K31" s="965">
        <f>ABS($H$1/K30)</f>
        <v>57.720760878489514</v>
      </c>
      <c r="L31" s="965">
        <f>ABS($H$1/L30)</f>
        <v>120.60608495799613</v>
      </c>
      <c r="M31" s="967" t="s">
        <v>222</v>
      </c>
      <c r="N31"/>
      <c r="O31" s="995"/>
      <c r="BE31" s="85"/>
      <c r="BF31" s="85"/>
      <c r="BG31" s="85"/>
      <c r="BH31" s="85"/>
      <c r="BM31" s="81" t="b">
        <f>AND(CB32&gt;0,CZ32&gt;0)</f>
        <v>1</v>
      </c>
      <c r="BN31" s="952" t="str">
        <f>IF(BM31=TRUE,"","negative force at the motor")</f>
        <v/>
      </c>
      <c r="BO31" s="1095" t="s">
        <v>128</v>
      </c>
      <c r="BP31" s="742" t="s">
        <v>27</v>
      </c>
      <c r="BQ31" s="1833"/>
      <c r="BR31" s="1834"/>
      <c r="BS31" s="1834"/>
      <c r="BT31" s="1834"/>
      <c r="BU31" s="1834"/>
      <c r="BV31" s="1834"/>
      <c r="BW31" s="1834"/>
      <c r="BX31" s="1834"/>
      <c r="BY31" s="1834"/>
      <c r="BZ31" s="1834"/>
      <c r="CA31" s="1834"/>
      <c r="CB31" s="772" t="s">
        <v>28</v>
      </c>
      <c r="CC31" s="774"/>
      <c r="CD31" s="774"/>
      <c r="CE31" s="774"/>
      <c r="CF31" s="774"/>
      <c r="CG31" s="774"/>
      <c r="CH31" s="774"/>
      <c r="CI31" s="774"/>
      <c r="CJ31" s="774"/>
      <c r="CK31" s="774"/>
      <c r="CL31" s="774"/>
      <c r="CM31" s="774"/>
      <c r="CN31" s="888"/>
      <c r="CO31" s="765"/>
      <c r="CP31" s="765"/>
      <c r="CQ31" s="765"/>
      <c r="CR31" s="765"/>
      <c r="CS31" s="889"/>
      <c r="CT31" s="889"/>
      <c r="CU31" s="888"/>
      <c r="CV31" s="888"/>
      <c r="CW31" s="888"/>
      <c r="CX31" s="888"/>
      <c r="CY31" s="888"/>
      <c r="CZ31" s="765"/>
      <c r="DA31" s="766" t="s">
        <v>29</v>
      </c>
      <c r="DB31" s="90"/>
      <c r="DC31" s="78"/>
      <c r="DD31" s="78"/>
    </row>
    <row r="32" spans="2:144" ht="45.75" customHeight="1" thickBot="1" x14ac:dyDescent="0.3">
      <c r="G32" s="1000"/>
      <c r="H32" s="63"/>
      <c r="I32"/>
      <c r="J32" s="1733"/>
      <c r="K32" s="1733"/>
      <c r="L32" s="1733">
        <f>ABS($E$22/BQ27)*2</f>
        <v>98.400984009840087</v>
      </c>
      <c r="M32" s="1734" t="s">
        <v>350</v>
      </c>
      <c r="N32" s="1730" t="s">
        <v>352</v>
      </c>
      <c r="O32" s="995"/>
      <c r="BL32" s="968">
        <v>2</v>
      </c>
      <c r="BM32" s="1762" t="b">
        <f>AND(BO32&gt;=10,$BB$142&gt;=10,$BA$142&gt;=10,$BB$174&gt;=10,$BA$174&gt;=10,$BA$211&gt;=10,$BB$211&gt;=10)</f>
        <v>1</v>
      </c>
      <c r="BN32" s="84" t="str">
        <f>IF(BM32=TRUE,"O K","OVERLOAD")</f>
        <v>O K</v>
      </c>
      <c r="BO32" s="1761">
        <f>+MIN(J13:L14)</f>
        <v>59.740171978519442</v>
      </c>
      <c r="BP32" s="743" t="s">
        <v>126</v>
      </c>
      <c r="BQ32" s="1835"/>
      <c r="BR32" s="1836"/>
      <c r="BS32" s="1836"/>
      <c r="BT32" s="1836"/>
      <c r="BU32" s="1836"/>
      <c r="BV32" s="1836"/>
      <c r="BW32" s="1836"/>
      <c r="BX32" s="1836"/>
      <c r="BY32" s="1836"/>
      <c r="BZ32" s="1836"/>
      <c r="CA32" s="1836"/>
      <c r="CB32" s="1840">
        <f>+((D4-D3)/D4)*C7</f>
        <v>133.91324020420515</v>
      </c>
      <c r="CC32" s="1841"/>
      <c r="CD32" s="890"/>
      <c r="CE32" s="890"/>
      <c r="CF32" s="890"/>
      <c r="CG32" s="890"/>
      <c r="CH32" s="890"/>
      <c r="CI32" s="890"/>
      <c r="CJ32" s="890"/>
      <c r="CK32" s="890"/>
      <c r="CL32" s="890"/>
      <c r="CM32" s="890"/>
      <c r="CN32" s="891"/>
      <c r="CO32" s="892"/>
      <c r="CP32" s="892"/>
      <c r="CQ32" s="892"/>
      <c r="CR32" s="892"/>
      <c r="CS32" s="893"/>
      <c r="CT32" s="893"/>
      <c r="CU32" s="883"/>
      <c r="CV32" s="883"/>
      <c r="CW32" s="883"/>
      <c r="CX32" s="883"/>
      <c r="CY32" s="883"/>
      <c r="CZ32" s="1797">
        <f>+(D3/D4)*C7</f>
        <v>28.68675979579486</v>
      </c>
      <c r="DA32" s="1798"/>
      <c r="DB32" s="92"/>
      <c r="DC32" s="78"/>
      <c r="DD32" s="78"/>
    </row>
    <row r="33" spans="2:144" ht="16" customHeight="1" thickBot="1" x14ac:dyDescent="0.3">
      <c r="G33" s="1000"/>
      <c r="H33" s="63"/>
      <c r="I33"/>
      <c r="J33" s="59"/>
      <c r="K33" s="59"/>
      <c r="L33" s="59"/>
      <c r="M33" s="59"/>
      <c r="N33"/>
      <c r="O33" s="995"/>
      <c r="BN33" s="86"/>
      <c r="BO33" s="18"/>
      <c r="BP33" s="93"/>
      <c r="BQ33" s="93"/>
      <c r="BR33" s="93"/>
      <c r="BS33" s="93"/>
      <c r="BT33" s="93"/>
      <c r="BU33" s="93"/>
      <c r="BV33" s="93"/>
      <c r="BW33" s="93"/>
      <c r="BX33" s="93"/>
      <c r="BY33" s="94"/>
      <c r="BZ33" s="94"/>
      <c r="CA33" s="89"/>
      <c r="CB33" s="89"/>
      <c r="CC33" s="89"/>
      <c r="CD33" s="89"/>
      <c r="CE33" s="89"/>
      <c r="CF33" s="89"/>
      <c r="CG33" s="89"/>
      <c r="CH33" s="89"/>
      <c r="CI33" s="89"/>
      <c r="CJ33" s="89"/>
      <c r="CK33" s="89"/>
      <c r="CL33" s="89"/>
      <c r="CM33" s="89"/>
      <c r="CN33" s="37"/>
      <c r="CO33" s="95"/>
      <c r="CP33" s="95"/>
      <c r="CQ33" s="95"/>
      <c r="CR33" s="95"/>
      <c r="CS33" s="92"/>
      <c r="CT33" s="92"/>
      <c r="CU33" s="92"/>
      <c r="CV33" s="92"/>
      <c r="CW33" s="92"/>
      <c r="CX33" s="92"/>
      <c r="CY33" s="92"/>
      <c r="CZ33" s="92"/>
      <c r="DA33" s="92"/>
      <c r="DB33" s="92"/>
      <c r="DC33" s="78"/>
      <c r="DD33" s="78"/>
    </row>
    <row r="34" spans="2:144" ht="45.75" customHeight="1" thickBot="1" x14ac:dyDescent="0.25">
      <c r="E34" s="397"/>
      <c r="F34" s="397"/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  <c r="BM34" s="81" t="b">
        <f>AND(CB35&gt;0,CQ35&gt;0)</f>
        <v>1</v>
      </c>
      <c r="BN34" s="952" t="str">
        <f>IF(BM34=TRUE,"","negative force at the motor")</f>
        <v/>
      </c>
      <c r="BO34" s="1095" t="s">
        <v>128</v>
      </c>
      <c r="BP34" s="744" t="s">
        <v>27</v>
      </c>
      <c r="BQ34" s="1822"/>
      <c r="BR34" s="1823"/>
      <c r="BS34" s="1823"/>
      <c r="BT34" s="1823"/>
      <c r="BU34" s="1823"/>
      <c r="BV34" s="1823"/>
      <c r="BW34" s="1823"/>
      <c r="BX34" s="1823"/>
      <c r="BY34" s="1823"/>
      <c r="BZ34" s="1823"/>
      <c r="CA34" s="1823"/>
      <c r="CB34" s="894" t="s">
        <v>28</v>
      </c>
      <c r="CC34" s="895"/>
      <c r="CD34" s="895"/>
      <c r="CE34" s="895"/>
      <c r="CF34" s="895"/>
      <c r="CG34" s="895"/>
      <c r="CH34" s="895"/>
      <c r="CI34" s="896"/>
      <c r="CJ34" s="895"/>
      <c r="CK34" s="897"/>
      <c r="CL34" s="897"/>
      <c r="CM34" s="895"/>
      <c r="CN34" s="895"/>
      <c r="CO34" s="895"/>
      <c r="CP34" s="895"/>
      <c r="CQ34" s="895"/>
      <c r="CR34" s="898" t="s">
        <v>29</v>
      </c>
      <c r="CS34" s="1801"/>
      <c r="CT34" s="1801"/>
      <c r="CU34" s="1801"/>
      <c r="CV34" s="1801"/>
      <c r="CW34" s="1801"/>
      <c r="CX34" s="1801"/>
      <c r="CY34" s="1801"/>
      <c r="CZ34" s="1801"/>
      <c r="DA34" s="1802"/>
      <c r="DB34" s="89"/>
      <c r="DC34" s="78"/>
      <c r="DD34" s="78"/>
    </row>
    <row r="35" spans="2:144" ht="45.75" customHeight="1" thickBot="1" x14ac:dyDescent="0.3">
      <c r="E35" s="397"/>
      <c r="F35" s="397"/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  <c r="BL35" s="968">
        <v>3</v>
      </c>
      <c r="BM35" s="1762" t="b">
        <f>AND(BO35&gt;=10,$BB$142&gt;=10,$BA$142&gt;=10,$BB$174&gt;=10,$BA$174&gt;=10,$BA$211&gt;=10,$BB$211&gt;=10)</f>
        <v>1</v>
      </c>
      <c r="BN35" s="84" t="str">
        <f>IF(BM35=TRUE,"O K","OVERLOAD")</f>
        <v>O K</v>
      </c>
      <c r="BO35" s="983">
        <f>+$E$22/(MAX(CB35,CQ35))</f>
        <v>67.925012724389518</v>
      </c>
      <c r="BP35" s="745" t="s">
        <v>123</v>
      </c>
      <c r="BQ35" s="1824"/>
      <c r="BR35" s="1825"/>
      <c r="BS35" s="1825"/>
      <c r="BT35" s="1825"/>
      <c r="BU35" s="1825"/>
      <c r="BV35" s="1825"/>
      <c r="BW35" s="1825"/>
      <c r="BX35" s="1825"/>
      <c r="BY35" s="1825"/>
      <c r="BZ35" s="1825"/>
      <c r="CA35" s="1825"/>
      <c r="CB35" s="1807">
        <f>+((D2-D3)/D2)*C7</f>
        <v>117.77693781907055</v>
      </c>
      <c r="CC35" s="1808"/>
      <c r="CD35" s="899"/>
      <c r="CE35" s="899"/>
      <c r="CF35" s="899"/>
      <c r="CG35" s="899"/>
      <c r="CH35" s="899"/>
      <c r="CI35" s="900"/>
      <c r="CJ35" s="899"/>
      <c r="CK35" s="901"/>
      <c r="CL35" s="901"/>
      <c r="CM35" s="902"/>
      <c r="CN35" s="902"/>
      <c r="CO35" s="902"/>
      <c r="CP35" s="902"/>
      <c r="CQ35" s="1795">
        <f>+(D3/D2)*C7</f>
        <v>44.823062180929469</v>
      </c>
      <c r="CR35" s="1796"/>
      <c r="CS35" s="1803"/>
      <c r="CT35" s="1803"/>
      <c r="CU35" s="1803"/>
      <c r="CV35" s="1803"/>
      <c r="CW35" s="1803"/>
      <c r="CX35" s="1803"/>
      <c r="CY35" s="1803"/>
      <c r="CZ35" s="1803"/>
      <c r="DA35" s="1804"/>
      <c r="DB35" s="89"/>
      <c r="DC35" s="78"/>
      <c r="DD35" s="78"/>
    </row>
    <row r="36" spans="2:144" ht="18.75" customHeight="1" thickBot="1" x14ac:dyDescent="0.3">
      <c r="E36" s="397"/>
      <c r="F36" s="397"/>
      <c r="G36" s="1000"/>
      <c r="H36" s="63"/>
      <c r="I36"/>
      <c r="J36" s="963">
        <f>+H16/H8*BQ27</f>
        <v>19.16620102102571</v>
      </c>
      <c r="K36" s="963">
        <f>((H8-H16)/H8)*BQ27</f>
        <v>143.43379897897432</v>
      </c>
      <c r="L36" s="963"/>
      <c r="M36" s="961" t="s">
        <v>223</v>
      </c>
      <c r="N36"/>
      <c r="O36" s="995"/>
      <c r="BN36" s="86"/>
      <c r="BO36" s="18"/>
      <c r="BP36" s="93"/>
      <c r="BQ36" s="93"/>
      <c r="BR36" s="93"/>
      <c r="BS36" s="93"/>
      <c r="BT36" s="93"/>
      <c r="BU36" s="93"/>
      <c r="BV36" s="93"/>
      <c r="BW36" s="93"/>
      <c r="BX36" s="93"/>
      <c r="BY36" s="94"/>
      <c r="BZ36" s="94"/>
      <c r="CA36" s="89"/>
      <c r="CB36" s="89"/>
      <c r="CC36" s="89"/>
      <c r="CD36" s="89"/>
      <c r="CE36" s="89"/>
      <c r="CF36" s="89"/>
      <c r="CG36" s="89"/>
      <c r="CH36" s="89"/>
      <c r="CI36" s="89"/>
      <c r="CJ36" s="89"/>
      <c r="CK36" s="93"/>
      <c r="CL36" s="89"/>
      <c r="CM36" s="89"/>
      <c r="CN36" s="37"/>
      <c r="CO36" s="95"/>
      <c r="CP36" s="95"/>
      <c r="CQ36" s="95"/>
      <c r="CR36" s="95"/>
      <c r="CS36" s="92"/>
      <c r="CT36" s="92"/>
      <c r="CU36" s="92"/>
      <c r="CV36" s="92"/>
      <c r="CW36" s="92"/>
      <c r="CX36" s="92"/>
      <c r="CY36" s="92"/>
      <c r="CZ36" s="92"/>
      <c r="DA36" s="92"/>
      <c r="DB36" s="92"/>
      <c r="DC36" s="78"/>
      <c r="DD36" s="78"/>
    </row>
    <row r="37" spans="2:144" ht="18.75" hidden="1" customHeight="1" x14ac:dyDescent="0.2">
      <c r="B37" s="399"/>
      <c r="C37" s="399"/>
      <c r="D37" s="397"/>
      <c r="E37" s="397"/>
      <c r="F37" s="397"/>
      <c r="G37" s="1000"/>
      <c r="H37" s="63"/>
      <c r="I37"/>
      <c r="J37" s="965">
        <f>ABS($H$1/J36)</f>
        <v>939.15325109309015</v>
      </c>
      <c r="K37" s="965">
        <f>ABS($H$1/K36)</f>
        <v>125.4934341008327</v>
      </c>
      <c r="L37" s="965"/>
      <c r="M37" s="967" t="s">
        <v>222</v>
      </c>
      <c r="N37"/>
      <c r="O37" s="995"/>
      <c r="U37" s="114"/>
      <c r="AB37" s="114"/>
      <c r="AC37" s="114"/>
      <c r="AD37" s="114"/>
      <c r="AE37" s="114"/>
      <c r="BE37" s="136"/>
      <c r="BF37" s="136"/>
      <c r="BG37" s="136"/>
      <c r="BH37" s="136"/>
      <c r="BN37" s="86"/>
    </row>
    <row r="38" spans="2:144" ht="18.75" hidden="1" customHeight="1" x14ac:dyDescent="0.2">
      <c r="B38" s="399"/>
      <c r="C38" s="399"/>
      <c r="D38" s="397"/>
      <c r="E38" s="397"/>
      <c r="F38" s="397"/>
      <c r="G38" s="1000"/>
      <c r="H38" s="63"/>
      <c r="I38"/>
      <c r="J38" s="1733">
        <f>ABS($E$22/BQ27)*2</f>
        <v>98.400984009840087</v>
      </c>
      <c r="K38" s="1733"/>
      <c r="L38" s="1733"/>
      <c r="M38" s="1734" t="s">
        <v>350</v>
      </c>
      <c r="N38" s="1730" t="s">
        <v>352</v>
      </c>
      <c r="O38" s="995"/>
      <c r="U38" s="114"/>
      <c r="AB38" s="114"/>
      <c r="AC38" s="114"/>
      <c r="AD38" s="114"/>
      <c r="AE38" s="114"/>
      <c r="BE38" s="136"/>
      <c r="BF38" s="136"/>
      <c r="BG38" s="136"/>
      <c r="BH38" s="136"/>
      <c r="BN38" s="86"/>
    </row>
    <row r="39" spans="2:144" ht="24" hidden="1" thickBot="1" x14ac:dyDescent="0.3">
      <c r="B39" s="399"/>
      <c r="C39" s="399"/>
      <c r="D39" s="397"/>
      <c r="E39" s="397"/>
      <c r="F39" s="397"/>
      <c r="G39" s="998"/>
      <c r="H39"/>
      <c r="I39"/>
      <c r="J39" s="59"/>
      <c r="K39" s="59"/>
      <c r="L39" s="59"/>
      <c r="M39" s="59"/>
      <c r="N39"/>
      <c r="O39" s="995"/>
      <c r="U39" s="114"/>
      <c r="AB39" s="114"/>
      <c r="AC39" s="114"/>
      <c r="AD39" s="114"/>
      <c r="AE39" s="114"/>
      <c r="BE39" s="136"/>
      <c r="BF39" s="136"/>
      <c r="BG39" s="136"/>
      <c r="BH39" s="136"/>
      <c r="BN39" s="86"/>
      <c r="BO39" s="17"/>
      <c r="BP39" s="177"/>
      <c r="BQ39" s="178"/>
      <c r="BR39" s="178"/>
      <c r="BS39" s="178"/>
      <c r="BT39" s="178"/>
      <c r="BU39" s="178"/>
      <c r="BV39" s="178"/>
      <c r="BW39" s="178"/>
      <c r="BX39" s="178"/>
      <c r="BY39" s="179"/>
      <c r="BZ39" s="179"/>
      <c r="CA39" s="180"/>
      <c r="CB39" s="180"/>
      <c r="CC39" s="180"/>
      <c r="CD39" s="180"/>
      <c r="CE39" s="180"/>
      <c r="CF39" s="180"/>
      <c r="CG39" s="180"/>
      <c r="CH39" s="180"/>
      <c r="CI39" s="37"/>
      <c r="CJ39" s="89"/>
      <c r="CK39" s="181"/>
      <c r="CL39" s="181"/>
      <c r="CM39" s="89"/>
      <c r="CN39" s="89"/>
      <c r="CO39" s="89"/>
      <c r="CP39" s="89"/>
      <c r="CQ39" s="89"/>
      <c r="CR39" s="89"/>
      <c r="CS39" s="89"/>
      <c r="CT39" s="89"/>
      <c r="CU39" s="89"/>
      <c r="CV39" s="89"/>
      <c r="CW39" s="178"/>
      <c r="CX39" s="178"/>
      <c r="CY39" s="178"/>
      <c r="CZ39" s="178"/>
      <c r="DA39" s="178"/>
      <c r="DB39" s="178"/>
      <c r="DC39" s="178"/>
      <c r="DD39" s="178"/>
    </row>
    <row r="40" spans="2:144" ht="24" hidden="1" thickBot="1" x14ac:dyDescent="0.3">
      <c r="B40" s="399"/>
      <c r="C40" s="399"/>
      <c r="D40" s="397"/>
      <c r="E40" s="397"/>
      <c r="F40" s="397"/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/>
      <c r="O40" s="995"/>
      <c r="U40" s="114"/>
      <c r="AB40" s="114"/>
      <c r="AC40" s="114"/>
      <c r="AD40" s="114"/>
      <c r="AE40" s="114"/>
      <c r="BE40" s="136"/>
      <c r="BF40" s="136"/>
      <c r="BG40" s="136"/>
      <c r="BH40" s="136"/>
      <c r="BN40" s="86"/>
      <c r="BO40" s="17"/>
      <c r="BP40" s="177"/>
      <c r="BQ40" s="178"/>
      <c r="BR40" s="178"/>
      <c r="BS40" s="178"/>
      <c r="BT40" s="178"/>
      <c r="BU40" s="178"/>
      <c r="BV40" s="178"/>
      <c r="BW40" s="178"/>
      <c r="BX40" s="178"/>
      <c r="BY40" s="179"/>
      <c r="BZ40" s="179"/>
      <c r="CA40" s="180"/>
      <c r="CB40" s="180"/>
      <c r="CC40" s="180"/>
      <c r="CD40" s="180"/>
      <c r="CE40" s="180"/>
      <c r="CF40" s="180"/>
      <c r="CG40" s="180"/>
      <c r="CH40" s="180"/>
      <c r="CI40" s="37"/>
      <c r="CJ40" s="89"/>
      <c r="CK40" s="181"/>
      <c r="CL40" s="181"/>
      <c r="CM40" s="89"/>
      <c r="CN40" s="89"/>
      <c r="CO40" s="89"/>
      <c r="CP40" s="89"/>
      <c r="CQ40" s="89"/>
      <c r="CR40" s="89"/>
      <c r="CS40" s="89"/>
      <c r="CT40" s="89"/>
      <c r="CU40" s="89"/>
      <c r="CV40" s="89"/>
      <c r="CW40" s="178"/>
      <c r="CX40" s="178"/>
      <c r="CY40" s="178"/>
      <c r="CZ40" s="178"/>
      <c r="DA40" s="178"/>
      <c r="DB40" s="178"/>
      <c r="DC40" s="178"/>
      <c r="DD40" s="178"/>
    </row>
    <row r="41" spans="2:144" ht="24" hidden="1" thickBot="1" x14ac:dyDescent="0.3">
      <c r="B41" s="399"/>
      <c r="C41" s="399"/>
      <c r="D41" s="397"/>
      <c r="E41" s="397"/>
      <c r="F41" s="397"/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  <c r="U41" s="114"/>
      <c r="AB41" s="114"/>
      <c r="AC41" s="114"/>
      <c r="AD41" s="114"/>
      <c r="AE41" s="114"/>
      <c r="BE41" s="136"/>
      <c r="BF41" s="136"/>
      <c r="BG41" s="136"/>
      <c r="BH41" s="136"/>
      <c r="BN41" s="86"/>
      <c r="BO41" s="17"/>
      <c r="BP41" s="177"/>
      <c r="BQ41" s="178"/>
      <c r="BR41" s="178"/>
      <c r="BS41" s="178"/>
      <c r="BT41" s="178"/>
      <c r="BU41" s="178"/>
      <c r="BV41" s="178"/>
      <c r="BW41" s="178"/>
      <c r="BX41" s="178"/>
      <c r="BY41" s="179"/>
      <c r="BZ41" s="179"/>
      <c r="CA41" s="182">
        <v>16</v>
      </c>
      <c r="CB41" s="180"/>
      <c r="CC41" s="180"/>
      <c r="CD41" s="180"/>
      <c r="CE41" s="180"/>
      <c r="CF41" s="180"/>
      <c r="CG41" s="180"/>
      <c r="CH41" s="180"/>
      <c r="CI41" s="37"/>
      <c r="CJ41" s="89"/>
      <c r="CK41" s="181"/>
      <c r="CL41" s="181"/>
      <c r="CM41" s="89"/>
      <c r="CN41" s="89"/>
      <c r="CO41" s="89"/>
      <c r="CP41" s="117" t="b">
        <f>IF(CQ59=27,15)</f>
        <v>0</v>
      </c>
      <c r="CQ41" s="183"/>
      <c r="CR41" s="103" t="b">
        <f>IF(CQ59=27,17)</f>
        <v>0</v>
      </c>
      <c r="CS41" s="89"/>
      <c r="CT41" s="89"/>
      <c r="CU41" s="89"/>
      <c r="CV41" s="89"/>
      <c r="CW41" s="178"/>
      <c r="CX41" s="178"/>
      <c r="CY41" s="178"/>
      <c r="CZ41" s="178"/>
      <c r="DA41" s="178"/>
      <c r="DB41" s="178"/>
      <c r="DC41" s="178"/>
      <c r="DD41" s="178"/>
      <c r="DG41" s="1814"/>
      <c r="DH41" s="1814"/>
      <c r="DI41" s="76"/>
      <c r="DJ41" s="76"/>
      <c r="DK41" s="77"/>
      <c r="DL41" s="78"/>
      <c r="DM41" s="78"/>
      <c r="DN41" s="78"/>
      <c r="DO41" s="78"/>
      <c r="DP41" s="78"/>
      <c r="DQ41" s="78"/>
      <c r="DR41" s="78"/>
      <c r="DS41" s="78"/>
      <c r="DT41" s="78"/>
      <c r="DU41" s="78"/>
      <c r="DV41" s="78"/>
      <c r="DW41" s="78"/>
      <c r="DX41" s="78"/>
      <c r="DY41" s="78"/>
      <c r="DZ41" s="78"/>
      <c r="EA41" s="78"/>
      <c r="EB41" s="78"/>
      <c r="EC41" s="78"/>
      <c r="ED41" s="78"/>
      <c r="EE41" s="78"/>
      <c r="EF41" s="78"/>
      <c r="EG41" s="78"/>
      <c r="EH41" s="78"/>
      <c r="EI41" s="78"/>
      <c r="EJ41" s="78"/>
      <c r="EK41" s="78"/>
      <c r="EL41" s="78"/>
      <c r="EM41" s="64"/>
      <c r="EN41" s="64"/>
    </row>
    <row r="42" spans="2:144" ht="24" hidden="1" thickBot="1" x14ac:dyDescent="0.3">
      <c r="B42" s="64"/>
      <c r="C42" s="399"/>
      <c r="E42" s="64"/>
      <c r="G42" s="1002" t="s">
        <v>245</v>
      </c>
      <c r="H42" s="1078">
        <f>SUM(BQ124:CA124)</f>
        <v>6</v>
      </c>
      <c r="I42"/>
      <c r="J42" s="963">
        <f>+H43/H8*BQ27/2</f>
        <v>178.86000000000004</v>
      </c>
      <c r="K42" s="963">
        <f>((H8-H43)/H8)*BQ27/2</f>
        <v>-97.560000000000016</v>
      </c>
      <c r="L42" s="963">
        <f>+BQ27/2</f>
        <v>81.300000000000011</v>
      </c>
      <c r="M42" s="961" t="s">
        <v>223</v>
      </c>
      <c r="N42"/>
      <c r="O42" s="995"/>
      <c r="U42" s="114"/>
      <c r="AB42" s="114"/>
      <c r="AC42" s="114"/>
      <c r="AD42" s="114"/>
      <c r="AE42" s="114"/>
      <c r="BE42" s="136"/>
      <c r="BF42" s="136"/>
      <c r="BG42" s="136"/>
      <c r="BH42" s="136"/>
      <c r="BN42" s="86"/>
      <c r="BO42" s="17"/>
      <c r="BP42" s="177"/>
      <c r="BQ42" s="178"/>
      <c r="BR42" s="178"/>
      <c r="BS42" s="178"/>
      <c r="BT42" s="178"/>
      <c r="BU42" s="178"/>
      <c r="BV42" s="178"/>
      <c r="BW42" s="178"/>
      <c r="BX42" s="178"/>
      <c r="BY42" s="179"/>
      <c r="BZ42" s="179"/>
      <c r="CA42" s="182">
        <v>15</v>
      </c>
      <c r="CB42" s="180"/>
      <c r="CC42" s="180"/>
      <c r="CD42" s="180"/>
      <c r="CE42" s="180"/>
      <c r="CF42" s="180"/>
      <c r="CG42" s="180"/>
      <c r="CH42" s="180"/>
      <c r="CI42" s="37"/>
      <c r="CJ42" s="89"/>
      <c r="CK42" s="181"/>
      <c r="CL42" s="181"/>
      <c r="CM42" s="89"/>
      <c r="CN42" s="117" t="b">
        <f>IF(CP59=26,13)</f>
        <v>0</v>
      </c>
      <c r="CO42" s="183"/>
      <c r="CP42" s="183"/>
      <c r="CQ42" s="183"/>
      <c r="CR42" s="103" t="b">
        <f>IF(CP59=26,17)</f>
        <v>0</v>
      </c>
      <c r="CS42" s="89"/>
      <c r="CT42" s="89"/>
      <c r="CU42" s="89"/>
      <c r="CV42" s="89"/>
      <c r="CW42" s="178"/>
      <c r="CX42" s="178"/>
      <c r="CY42" s="178"/>
      <c r="CZ42" s="178"/>
      <c r="DA42" s="178"/>
      <c r="DB42" s="178"/>
      <c r="DC42" s="178"/>
      <c r="DD42" s="178"/>
      <c r="EK42" s="78"/>
      <c r="EL42" s="78"/>
    </row>
    <row r="43" spans="2:144" ht="31" hidden="1" thickBot="1" x14ac:dyDescent="0.35">
      <c r="B43" s="67"/>
      <c r="C43" s="399"/>
      <c r="E43" s="68"/>
      <c r="G43" s="994" t="s">
        <v>243</v>
      </c>
      <c r="H43" s="1077">
        <f>$H$5-((H42-1)*$E$2)</f>
        <v>473</v>
      </c>
      <c r="I43"/>
      <c r="J43" s="965">
        <f>ABS($H$1/J42)</f>
        <v>100.63737001006372</v>
      </c>
      <c r="K43" s="965">
        <f>ABS($H$1/K42)</f>
        <v>184.50184501845015</v>
      </c>
      <c r="L43" s="965">
        <f>ABS($H$1/L42)</f>
        <v>221.40221402214019</v>
      </c>
      <c r="M43" s="967" t="s">
        <v>222</v>
      </c>
      <c r="N43"/>
      <c r="O43" s="995"/>
      <c r="U43" s="114"/>
      <c r="AB43" s="114"/>
      <c r="AC43" s="114"/>
      <c r="AD43" s="114"/>
      <c r="AE43" s="114"/>
      <c r="BE43" s="136"/>
      <c r="BF43" s="136"/>
      <c r="BG43" s="136"/>
      <c r="BH43" s="136"/>
      <c r="BN43" s="86"/>
      <c r="BO43" s="17"/>
      <c r="BP43" s="177"/>
      <c r="BQ43" s="178"/>
      <c r="BR43" s="178"/>
      <c r="BS43" s="178"/>
      <c r="BT43" s="178"/>
      <c r="BU43" s="178"/>
      <c r="BV43" s="178"/>
      <c r="BW43" s="178"/>
      <c r="BX43" s="178"/>
      <c r="BY43" s="179"/>
      <c r="BZ43" s="179"/>
      <c r="CA43" s="182">
        <v>14</v>
      </c>
      <c r="CB43" s="180"/>
      <c r="CC43" s="180"/>
      <c r="CD43" s="180"/>
      <c r="CE43" s="180"/>
      <c r="CF43" s="180"/>
      <c r="CG43" s="180"/>
      <c r="CH43" s="180"/>
      <c r="CI43" s="37"/>
      <c r="CJ43" s="89"/>
      <c r="CK43" s="181"/>
      <c r="CL43" s="117" t="b">
        <f>IF(CO59=25,11)</f>
        <v>0</v>
      </c>
      <c r="CM43" s="183"/>
      <c r="CN43" s="184"/>
      <c r="CO43" s="184"/>
      <c r="CP43" s="184"/>
      <c r="CQ43" s="184"/>
      <c r="CR43" s="124" t="b">
        <f>IF(CO59=25,17)</f>
        <v>0</v>
      </c>
      <c r="CS43" s="89"/>
      <c r="CT43" s="89"/>
      <c r="CU43" s="89"/>
      <c r="CV43" s="89"/>
      <c r="CW43" s="178"/>
      <c r="CX43" s="178"/>
      <c r="CY43" s="178"/>
      <c r="CZ43" s="178"/>
      <c r="DA43" s="178"/>
      <c r="DB43" s="178"/>
      <c r="DC43" s="178"/>
      <c r="DD43" s="178"/>
      <c r="EK43" s="78"/>
      <c r="EL43" s="78"/>
    </row>
    <row r="44" spans="2:144" ht="21" hidden="1" thickBot="1" x14ac:dyDescent="0.25">
      <c r="B44" s="487"/>
      <c r="C44" s="487"/>
      <c r="D44" s="487"/>
      <c r="E44" s="487"/>
      <c r="G44" s="1000"/>
      <c r="H44" s="63"/>
      <c r="I44"/>
      <c r="J44" s="1733"/>
      <c r="K44" s="1733"/>
      <c r="L44" s="1733">
        <f>ABS($E$22/BQ27)*2</f>
        <v>98.400984009840087</v>
      </c>
      <c r="M44" s="1734" t="s">
        <v>350</v>
      </c>
      <c r="N44" s="1730" t="s">
        <v>352</v>
      </c>
      <c r="O44" s="995"/>
      <c r="U44" s="114"/>
      <c r="AB44" s="114"/>
      <c r="AC44" s="114"/>
      <c r="AD44" s="114"/>
      <c r="AE44" s="114"/>
      <c r="BE44" s="136"/>
      <c r="BF44" s="136"/>
      <c r="BG44" s="136"/>
      <c r="BH44" s="136"/>
      <c r="BN44" s="86"/>
      <c r="BO44" s="1091"/>
      <c r="BP44" s="177"/>
      <c r="BQ44" s="178"/>
      <c r="BR44" s="178"/>
      <c r="BS44" s="178"/>
      <c r="BT44" s="178"/>
      <c r="BU44" s="178"/>
      <c r="BV44" s="178"/>
      <c r="BW44" s="178"/>
      <c r="BX44" s="178"/>
      <c r="CA44" s="182">
        <v>13</v>
      </c>
      <c r="CB44" s="178"/>
      <c r="CC44" s="177"/>
      <c r="CD44" s="177"/>
      <c r="CE44" s="177"/>
      <c r="CF44" s="177"/>
      <c r="CG44" s="177"/>
      <c r="CH44" s="177"/>
      <c r="CI44" s="177"/>
      <c r="CJ44" s="117" t="b">
        <f>IF(CN59=24,9)</f>
        <v>0</v>
      </c>
      <c r="CK44" s="185"/>
      <c r="CL44" s="186"/>
      <c r="CM44" s="122"/>
      <c r="CN44" s="186"/>
      <c r="CO44" s="122"/>
      <c r="CP44" s="122"/>
      <c r="CQ44" s="121"/>
      <c r="CR44" s="124" t="b">
        <f>IF(CN59=24,17)</f>
        <v>0</v>
      </c>
      <c r="CS44" s="78"/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EK44" s="78"/>
      <c r="EL44" s="78"/>
    </row>
    <row r="45" spans="2:144" ht="21" hidden="1" thickBot="1" x14ac:dyDescent="0.25">
      <c r="B45" s="488"/>
      <c r="C45" s="489"/>
      <c r="D45" s="488"/>
      <c r="E45" s="488"/>
      <c r="G45" s="998"/>
      <c r="H45" s="1069" t="s">
        <v>263</v>
      </c>
      <c r="I45"/>
      <c r="J45" s="59"/>
      <c r="K45" s="59"/>
      <c r="L45" s="59"/>
      <c r="M45" s="59"/>
      <c r="N45"/>
      <c r="O45" s="995"/>
      <c r="U45" s="114"/>
      <c r="AB45" s="114"/>
      <c r="AC45" s="114"/>
      <c r="AD45" s="114"/>
      <c r="AE45" s="114"/>
      <c r="BE45" s="136"/>
      <c r="BF45" s="136"/>
      <c r="BG45" s="136"/>
      <c r="BH45" s="136"/>
      <c r="BN45" s="86"/>
      <c r="BO45" s="1091"/>
      <c r="BP45" s="177"/>
      <c r="BQ45" s="177"/>
      <c r="BR45" s="178"/>
      <c r="BS45" s="177"/>
      <c r="BT45" s="177"/>
      <c r="BU45" s="177"/>
      <c r="CA45" s="182">
        <v>12</v>
      </c>
      <c r="CB45" s="178"/>
      <c r="CC45" s="177"/>
      <c r="CD45" s="177"/>
      <c r="CE45" s="177"/>
      <c r="CF45" s="177"/>
      <c r="CG45" s="177"/>
      <c r="CH45" s="117" t="b">
        <f>IF(CM59=23,7)</f>
        <v>0</v>
      </c>
      <c r="CI45" s="185"/>
      <c r="CJ45" s="185"/>
      <c r="CK45" s="118"/>
      <c r="CL45" s="185"/>
      <c r="CM45" s="185"/>
      <c r="CN45" s="185"/>
      <c r="CO45" s="118"/>
      <c r="CP45" s="118"/>
      <c r="CQ45" s="111"/>
      <c r="CR45" s="103" t="b">
        <f>IF(CM59=23,17)</f>
        <v>0</v>
      </c>
      <c r="CS45" s="78"/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EK45" s="78"/>
      <c r="EL45" s="78"/>
    </row>
    <row r="46" spans="2:144" ht="21" hidden="1" thickBot="1" x14ac:dyDescent="0.25">
      <c r="B46" s="399"/>
      <c r="C46" s="399"/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  <c r="U46" s="114"/>
      <c r="AB46" s="114"/>
      <c r="AC46" s="114"/>
      <c r="AD46" s="114"/>
      <c r="AE46" s="114"/>
      <c r="BE46" s="136"/>
      <c r="BF46" s="136"/>
      <c r="BG46" s="136"/>
      <c r="BH46" s="136"/>
      <c r="BN46" s="86"/>
      <c r="BO46" s="1091"/>
      <c r="BP46" s="177"/>
      <c r="BQ46" s="177"/>
      <c r="BR46" s="178"/>
      <c r="BS46" s="177"/>
      <c r="BT46" s="177"/>
      <c r="BU46" s="177"/>
      <c r="CA46" s="182">
        <v>11</v>
      </c>
      <c r="CB46" s="178"/>
      <c r="CC46" s="177"/>
      <c r="CD46" s="177"/>
      <c r="CE46" s="177"/>
      <c r="CF46" s="117" t="b">
        <f>IF(CL59=22,5)</f>
        <v>0</v>
      </c>
      <c r="CG46" s="185"/>
      <c r="CH46" s="185"/>
      <c r="CI46" s="118"/>
      <c r="CJ46" s="185"/>
      <c r="CK46" s="118"/>
      <c r="CL46" s="185"/>
      <c r="CM46" s="118"/>
      <c r="CN46" s="185"/>
      <c r="CO46" s="118"/>
      <c r="CP46" s="118"/>
      <c r="CQ46" s="111"/>
      <c r="CR46" s="103" t="b">
        <f>IF(CL59=22,17)</f>
        <v>0</v>
      </c>
      <c r="CS46" s="78"/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DG46" s="107"/>
      <c r="DH46" s="107"/>
      <c r="DI46" s="107"/>
      <c r="DJ46" s="107"/>
      <c r="DK46" s="107"/>
      <c r="DL46" s="108"/>
      <c r="DM46" s="107"/>
      <c r="DN46" s="107"/>
      <c r="DO46" s="107"/>
      <c r="DP46" s="107"/>
      <c r="DQ46" s="107"/>
      <c r="DR46" s="107"/>
      <c r="DS46" s="107"/>
      <c r="DT46" s="107"/>
      <c r="DU46" s="107"/>
      <c r="DV46" s="107"/>
      <c r="DW46" s="107"/>
      <c r="DX46" s="107"/>
      <c r="DY46" s="107"/>
      <c r="DZ46" s="107"/>
      <c r="EA46" s="107"/>
      <c r="EB46" s="107"/>
      <c r="EC46" s="107"/>
      <c r="ED46" s="108"/>
      <c r="EE46" s="78"/>
      <c r="EF46" s="78"/>
      <c r="EG46" s="78"/>
      <c r="EH46" s="78"/>
      <c r="EI46" s="78"/>
      <c r="EJ46" s="78"/>
      <c r="EK46" s="78"/>
      <c r="EL46" s="78"/>
    </row>
    <row r="47" spans="2:144" ht="24" hidden="1" thickBot="1" x14ac:dyDescent="0.3">
      <c r="B47" s="490"/>
      <c r="C47" s="399"/>
      <c r="D47" s="491"/>
      <c r="E47" s="492"/>
      <c r="F47" s="397"/>
      <c r="G47" s="1002" t="s">
        <v>245</v>
      </c>
      <c r="H47" s="1079">
        <f>SUM(CQ124:DA124)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  <c r="U47" s="114"/>
      <c r="AB47" s="114"/>
      <c r="AC47" s="114"/>
      <c r="AD47" s="114"/>
      <c r="AE47" s="114"/>
      <c r="BE47" s="136"/>
      <c r="BF47" s="136"/>
      <c r="BG47" s="136"/>
      <c r="BH47" s="136"/>
      <c r="BN47" s="86"/>
      <c r="BO47" s="1091"/>
      <c r="BP47" s="177"/>
      <c r="BQ47" s="177"/>
      <c r="BR47" s="178"/>
      <c r="BS47" s="177"/>
      <c r="BT47" s="177"/>
      <c r="BU47" s="177"/>
      <c r="CA47" s="182">
        <v>10</v>
      </c>
      <c r="CB47" s="178"/>
      <c r="CC47" s="177"/>
      <c r="CD47" s="117" t="b">
        <f>IF(CK59=21,3)</f>
        <v>0</v>
      </c>
      <c r="CE47" s="185"/>
      <c r="CF47" s="185"/>
      <c r="CG47" s="118"/>
      <c r="CH47" s="118"/>
      <c r="CI47" s="118"/>
      <c r="CJ47" s="185"/>
      <c r="CK47" s="185"/>
      <c r="CL47" s="185"/>
      <c r="CM47" s="118"/>
      <c r="CN47" s="185"/>
      <c r="CO47" s="118"/>
      <c r="CP47" s="118"/>
      <c r="CQ47" s="111"/>
      <c r="CR47" s="103" t="b">
        <f>IF(CK59=21,17)</f>
        <v>0</v>
      </c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DG47" s="107"/>
      <c r="DH47" s="107"/>
      <c r="DI47" s="107"/>
      <c r="DJ47" s="107"/>
      <c r="DK47" s="107"/>
      <c r="DL47" s="108"/>
      <c r="DM47" s="107"/>
      <c r="DN47" s="107"/>
      <c r="DO47" s="107"/>
      <c r="DP47" s="107"/>
      <c r="DQ47" s="107"/>
      <c r="DR47" s="107"/>
      <c r="DS47" s="107"/>
      <c r="DT47" s="107"/>
      <c r="DU47" s="107"/>
      <c r="DV47" s="107"/>
      <c r="DW47" s="107"/>
      <c r="DX47" s="107"/>
      <c r="DY47" s="107"/>
      <c r="DZ47" s="107"/>
      <c r="EA47" s="107"/>
      <c r="EB47" s="107"/>
      <c r="EC47" s="107"/>
      <c r="ED47" s="108"/>
      <c r="EE47" s="78"/>
      <c r="EF47" s="78"/>
      <c r="EG47" s="78"/>
      <c r="EH47" s="78"/>
      <c r="EI47" s="78"/>
      <c r="EJ47" s="78"/>
      <c r="EK47" s="78"/>
      <c r="EL47" s="78"/>
    </row>
    <row r="48" spans="2:144" ht="21" hidden="1" thickBot="1" x14ac:dyDescent="0.25">
      <c r="B48" s="488"/>
      <c r="C48" s="399"/>
      <c r="D48" s="488"/>
      <c r="E48" s="20"/>
      <c r="F48" s="397"/>
      <c r="G48" s="994" t="s">
        <v>243</v>
      </c>
      <c r="H48" s="1077">
        <f>($E$2*(H47-1))-$H$4</f>
        <v>-903</v>
      </c>
      <c r="I48"/>
      <c r="J48" s="963">
        <f>+BQ27/2</f>
        <v>81.300000000000011</v>
      </c>
      <c r="K48" s="963">
        <f>((H8-H48)/H8)*BQ27/2</f>
        <v>422.76000000000005</v>
      </c>
      <c r="L48" s="963">
        <f>+H48/H8*BQ27/2</f>
        <v>-341.46000000000004</v>
      </c>
      <c r="M48" s="961" t="s">
        <v>223</v>
      </c>
      <c r="N48"/>
      <c r="O48" s="995"/>
      <c r="U48" s="114"/>
      <c r="AB48" s="114"/>
      <c r="AC48" s="114"/>
      <c r="AD48" s="114"/>
      <c r="AE48" s="114"/>
      <c r="BE48" s="136"/>
      <c r="BF48" s="136"/>
      <c r="BG48" s="136"/>
      <c r="BH48" s="136"/>
      <c r="BN48" s="86"/>
      <c r="BO48" s="1091"/>
      <c r="BP48" s="177"/>
      <c r="BQ48" s="177"/>
      <c r="BR48" s="178"/>
      <c r="BS48" s="177"/>
      <c r="BT48" s="177"/>
      <c r="BU48" s="177"/>
      <c r="CA48" s="182">
        <v>9</v>
      </c>
      <c r="CB48" s="117" t="b">
        <f>IF(CJ59=20,1)</f>
        <v>0</v>
      </c>
      <c r="CC48" s="185"/>
      <c r="CD48" s="185"/>
      <c r="CE48" s="118"/>
      <c r="CF48" s="185"/>
      <c r="CG48" s="185"/>
      <c r="CH48" s="185"/>
      <c r="CI48" s="185"/>
      <c r="CJ48" s="185"/>
      <c r="CK48" s="185"/>
      <c r="CL48" s="185"/>
      <c r="CM48" s="185"/>
      <c r="CN48" s="185"/>
      <c r="CO48" s="118"/>
      <c r="CP48" s="118"/>
      <c r="CQ48" s="111"/>
      <c r="CR48" s="103" t="b">
        <f>IF(CJ59=20,17)</f>
        <v>0</v>
      </c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EK48" s="78"/>
      <c r="EL48" s="78"/>
    </row>
    <row r="49" spans="2:142" ht="21" hidden="1" thickBot="1" x14ac:dyDescent="0.25">
      <c r="B49" s="399"/>
      <c r="C49" s="399"/>
      <c r="F49" s="397"/>
      <c r="G49" s="998"/>
      <c r="H49"/>
      <c r="I49"/>
      <c r="J49" s="965">
        <f>ABS($H$1/J48)</f>
        <v>221.40221402214019</v>
      </c>
      <c r="K49" s="965">
        <f>ABS($H$1/K48)</f>
        <v>42.577348850411575</v>
      </c>
      <c r="L49" s="965">
        <f>ABS($H$1/L48)</f>
        <v>52.714812862414334</v>
      </c>
      <c r="M49" s="967" t="s">
        <v>222</v>
      </c>
      <c r="O49" s="1581"/>
      <c r="U49" s="114"/>
      <c r="AB49" s="114"/>
      <c r="AC49" s="114"/>
      <c r="AD49" s="114"/>
      <c r="AE49" s="114"/>
      <c r="BE49" s="136"/>
      <c r="BF49" s="136"/>
      <c r="BG49" s="136"/>
      <c r="BH49" s="136"/>
      <c r="BN49" s="86"/>
      <c r="BO49" s="1091"/>
      <c r="BP49" s="177"/>
      <c r="BQ49" s="177"/>
      <c r="BR49" s="178"/>
      <c r="BS49" s="177"/>
      <c r="BT49" s="177"/>
      <c r="BU49" s="177"/>
      <c r="CA49" s="182">
        <v>8</v>
      </c>
      <c r="CB49" s="120" t="b">
        <f>IF(CI59=19,1)</f>
        <v>0</v>
      </c>
      <c r="CC49" s="122"/>
      <c r="CD49" s="186"/>
      <c r="CE49" s="186"/>
      <c r="CF49" s="186"/>
      <c r="CG49" s="186"/>
      <c r="CH49" s="186"/>
      <c r="CI49" s="186"/>
      <c r="CJ49" s="186"/>
      <c r="CK49" s="186"/>
      <c r="CL49" s="186"/>
      <c r="CM49" s="186"/>
      <c r="CN49" s="186"/>
      <c r="CO49" s="122"/>
      <c r="CP49" s="124" t="b">
        <f>IF(CI59=19,15)</f>
        <v>0</v>
      </c>
      <c r="CQ49" s="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EK49" s="78"/>
      <c r="EL49" s="78"/>
    </row>
    <row r="50" spans="2:142" ht="21" hidden="1" thickBot="1" x14ac:dyDescent="0.25">
      <c r="B50" s="399"/>
      <c r="C50" s="399"/>
      <c r="G50" s="998"/>
      <c r="H50"/>
      <c r="I50"/>
      <c r="J50" s="1733">
        <f>ABS($E$22/BQ27)*2</f>
        <v>98.400984009840087</v>
      </c>
      <c r="K50" s="1733"/>
      <c r="L50" s="1733"/>
      <c r="M50" s="1734" t="s">
        <v>350</v>
      </c>
      <c r="N50" s="1730" t="s">
        <v>352</v>
      </c>
      <c r="O50" s="995"/>
      <c r="U50" s="114"/>
      <c r="AB50" s="114"/>
      <c r="AC50" s="114"/>
      <c r="AD50" s="114"/>
      <c r="AE50" s="114"/>
      <c r="BE50" s="136"/>
      <c r="BF50" s="136"/>
      <c r="BG50" s="136"/>
      <c r="BH50" s="136"/>
      <c r="BN50" s="86"/>
      <c r="BO50" s="1091"/>
      <c r="BP50" s="177"/>
      <c r="BQ50" s="177"/>
      <c r="BR50" s="178"/>
      <c r="BS50" s="177"/>
      <c r="BT50" s="177"/>
      <c r="BU50" s="177"/>
      <c r="CA50" s="182">
        <v>7</v>
      </c>
      <c r="CB50" s="120" t="b">
        <f>IF(CH59=18,1)</f>
        <v>0</v>
      </c>
      <c r="CC50" s="186"/>
      <c r="CD50" s="186"/>
      <c r="CE50" s="186"/>
      <c r="CF50" s="186"/>
      <c r="CG50" s="186"/>
      <c r="CH50" s="186"/>
      <c r="CI50" s="186"/>
      <c r="CJ50" s="186"/>
      <c r="CK50" s="186"/>
      <c r="CL50" s="186"/>
      <c r="CM50" s="186"/>
      <c r="CN50" s="124" t="b">
        <f>IF(CH59=18,13)</f>
        <v>0</v>
      </c>
      <c r="CO50" s="178"/>
      <c r="CQ50" s="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EK50" s="78"/>
      <c r="EL50" s="78"/>
    </row>
    <row r="51" spans="2:142" ht="21" hidden="1" thickBot="1" x14ac:dyDescent="0.25">
      <c r="G51" s="998"/>
      <c r="H51"/>
      <c r="I51"/>
      <c r="J51" s="59"/>
      <c r="K51" s="59"/>
      <c r="L51" s="59"/>
      <c r="M51" s="59"/>
      <c r="N51"/>
      <c r="O51" s="995"/>
      <c r="U51" s="114"/>
      <c r="AB51" s="114"/>
      <c r="AC51" s="114"/>
      <c r="AD51" s="114"/>
      <c r="AE51" s="114"/>
      <c r="BE51" s="136"/>
      <c r="BF51" s="136"/>
      <c r="BG51" s="136"/>
      <c r="BH51" s="136"/>
      <c r="BN51" s="86"/>
      <c r="BO51" s="1091"/>
      <c r="BP51" s="177"/>
      <c r="BQ51" s="177"/>
      <c r="BR51" s="178"/>
      <c r="BS51" s="177"/>
      <c r="BT51" s="177"/>
      <c r="BU51" s="177"/>
      <c r="CA51" s="182">
        <v>6</v>
      </c>
      <c r="CB51" s="120" t="b">
        <f>IF(CG59=17,1)</f>
        <v>0</v>
      </c>
      <c r="CC51" s="186"/>
      <c r="CD51" s="186"/>
      <c r="CE51" s="186"/>
      <c r="CF51" s="186"/>
      <c r="CG51" s="186"/>
      <c r="CH51" s="186"/>
      <c r="CI51" s="186"/>
      <c r="CJ51" s="186"/>
      <c r="CK51" s="186"/>
      <c r="CL51" s="124" t="b">
        <f>IF(CG59=17,11)</f>
        <v>0</v>
      </c>
      <c r="CM51" s="177"/>
      <c r="CN51" s="177"/>
      <c r="CO51" s="178"/>
      <c r="CQ51" s="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EK51" s="78"/>
      <c r="EL51" s="78"/>
    </row>
    <row r="52" spans="2:142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  <c r="U52" s="114"/>
      <c r="AB52" s="114"/>
      <c r="AC52" s="114"/>
      <c r="AD52" s="114"/>
      <c r="AE52" s="114"/>
      <c r="BE52" s="136"/>
      <c r="BF52" s="136"/>
      <c r="BG52" s="136"/>
      <c r="BH52" s="136"/>
      <c r="BN52" s="86"/>
      <c r="BO52" s="1091"/>
      <c r="BP52" s="177"/>
      <c r="BQ52" s="177"/>
      <c r="BR52" s="178"/>
      <c r="BS52" s="177"/>
      <c r="BT52" s="177"/>
      <c r="BU52" s="177"/>
      <c r="CA52" s="182">
        <v>5</v>
      </c>
      <c r="CB52" s="117">
        <f>IF(CF59=16,1)</f>
        <v>1</v>
      </c>
      <c r="CC52" s="185"/>
      <c r="CD52" s="185"/>
      <c r="CE52" s="118"/>
      <c r="CF52" s="185"/>
      <c r="CG52" s="118"/>
      <c r="CH52" s="185"/>
      <c r="CI52" s="185"/>
      <c r="CJ52" s="103">
        <f>IF(CF59=16,9)</f>
        <v>9</v>
      </c>
      <c r="CK52" s="177"/>
      <c r="CL52" s="177"/>
      <c r="CM52" s="177"/>
      <c r="CN52" s="177"/>
      <c r="CO52" s="178"/>
      <c r="CQ52" s="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EK52" s="78"/>
      <c r="EL52" s="78"/>
    </row>
    <row r="53" spans="2:142" ht="24" hidden="1" thickBot="1" x14ac:dyDescent="0.3">
      <c r="B53" s="406"/>
      <c r="C53" s="406"/>
      <c r="D53" s="407"/>
      <c r="E53" s="407"/>
      <c r="F53" s="407"/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D53" s="126"/>
      <c r="BE53" s="136"/>
      <c r="BF53" s="136"/>
      <c r="BG53" s="136"/>
      <c r="BH53" s="136"/>
      <c r="BN53" s="86"/>
      <c r="BO53" s="1091"/>
      <c r="BP53" s="177"/>
      <c r="BQ53" s="177"/>
      <c r="BR53" s="178"/>
      <c r="BS53" s="177"/>
      <c r="BT53" s="177"/>
      <c r="BU53" s="177"/>
      <c r="CA53" s="182">
        <v>4</v>
      </c>
      <c r="CB53" s="117" t="b">
        <f>IF(CE59=15,1)</f>
        <v>0</v>
      </c>
      <c r="CC53" s="118"/>
      <c r="CD53" s="118"/>
      <c r="CE53" s="185"/>
      <c r="CF53" s="118"/>
      <c r="CG53" s="118"/>
      <c r="CH53" s="103" t="b">
        <f>IF(CE59=15,7)</f>
        <v>0</v>
      </c>
      <c r="CI53" s="177"/>
      <c r="CJ53" s="177"/>
      <c r="CK53" s="177"/>
      <c r="CL53" s="177"/>
      <c r="CM53" s="177"/>
      <c r="CN53" s="177"/>
      <c r="CO53" s="1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EK53" s="78"/>
      <c r="EL53" s="78"/>
    </row>
    <row r="54" spans="2:142" ht="21" hidden="1" thickBot="1" x14ac:dyDescent="0.25">
      <c r="G54" s="994" t="s">
        <v>243</v>
      </c>
      <c r="H54" s="956"/>
      <c r="I54"/>
      <c r="J54" s="963">
        <f>+((H6-D3)/H6)*BQ27</f>
        <v>111.37364322179491</v>
      </c>
      <c r="K54" s="963"/>
      <c r="L54" s="963">
        <f>+(D3/H6)*BQ27</f>
        <v>51.226356778205108</v>
      </c>
      <c r="M54" s="961" t="s">
        <v>223</v>
      </c>
      <c r="N54"/>
      <c r="O54" s="995"/>
      <c r="BD54" s="126"/>
      <c r="BE54" s="136"/>
      <c r="BF54" s="136"/>
      <c r="BG54" s="136"/>
      <c r="BH54" s="136"/>
      <c r="BN54" s="86"/>
      <c r="BO54" s="1091"/>
      <c r="BP54" s="177"/>
      <c r="BQ54" s="177"/>
      <c r="BR54" s="178"/>
      <c r="BS54" s="177"/>
      <c r="BT54" s="177"/>
      <c r="BU54" s="177"/>
      <c r="CA54" s="182">
        <v>3</v>
      </c>
      <c r="CB54" s="120" t="b">
        <f>IF(CD59=14,1)</f>
        <v>0</v>
      </c>
      <c r="CC54" s="186"/>
      <c r="CD54" s="186"/>
      <c r="CE54" s="186"/>
      <c r="CF54" s="124" t="b">
        <f>IF(CD59=14,5)</f>
        <v>0</v>
      </c>
      <c r="CG54" s="177"/>
      <c r="CH54" s="177"/>
      <c r="CI54" s="177"/>
      <c r="CJ54" s="177"/>
      <c r="CK54" s="177"/>
      <c r="CL54" s="177"/>
      <c r="CM54" s="177"/>
      <c r="CN54" s="177"/>
      <c r="CO54" s="178"/>
      <c r="CQ54" s="78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EK54" s="78"/>
      <c r="EL54" s="78"/>
    </row>
    <row r="55" spans="2:142" ht="24.75" hidden="1" customHeight="1" thickBot="1" x14ac:dyDescent="0.25">
      <c r="B55"/>
      <c r="G55" s="1000"/>
      <c r="H55" s="63"/>
      <c r="I55"/>
      <c r="J55" s="965">
        <f>ABS($H$1/J54)</f>
        <v>161.61813045977064</v>
      </c>
      <c r="K55" s="965"/>
      <c r="L55" s="965">
        <f>ABS($H$1/L54)</f>
        <v>351.38161548233165</v>
      </c>
      <c r="M55" s="967" t="s">
        <v>222</v>
      </c>
      <c r="N55"/>
      <c r="O55" s="995"/>
      <c r="BD55" s="126"/>
      <c r="BE55" s="136"/>
      <c r="BF55" s="136"/>
      <c r="BG55" s="136"/>
      <c r="BH55" s="136"/>
      <c r="BN55" s="86"/>
      <c r="BO55" s="1091"/>
      <c r="BP55" s="177"/>
      <c r="BQ55" s="177"/>
      <c r="BR55" s="178"/>
      <c r="BS55" s="177"/>
      <c r="BT55" s="177"/>
      <c r="BU55" s="177"/>
      <c r="CA55" s="182">
        <v>2</v>
      </c>
      <c r="CB55" s="120" t="b">
        <f>IF(CC59=13,1)</f>
        <v>0</v>
      </c>
      <c r="CC55" s="186"/>
      <c r="CD55" s="124" t="b">
        <f>IF(CC59=13,3)</f>
        <v>0</v>
      </c>
      <c r="CE55" s="177"/>
      <c r="CF55" s="177"/>
      <c r="CG55" s="177"/>
      <c r="CH55" s="177"/>
      <c r="CI55" s="177"/>
      <c r="CJ55" s="177"/>
      <c r="CK55" s="177"/>
      <c r="CL55" s="177"/>
      <c r="CM55" s="177"/>
      <c r="CN55" s="177"/>
      <c r="CO55" s="178"/>
      <c r="CQ55" s="78"/>
      <c r="CR55" s="78"/>
      <c r="CS55" s="78"/>
      <c r="CT55" s="78"/>
      <c r="CU55" s="78"/>
      <c r="CV55" s="78"/>
      <c r="CW55" s="78"/>
      <c r="CX55" s="78"/>
      <c r="CY55" s="78"/>
      <c r="CZ55" s="78"/>
      <c r="DA55" s="78"/>
      <c r="DB55" s="78"/>
      <c r="DC55" s="78"/>
      <c r="DD55" s="78"/>
      <c r="EK55" s="78"/>
      <c r="EL55" s="78"/>
    </row>
    <row r="56" spans="2:142" ht="27.75" hidden="1" customHeight="1" thickBot="1" x14ac:dyDescent="0.25">
      <c r="B56" s="406"/>
      <c r="C56" s="406"/>
      <c r="D56" s="407"/>
      <c r="E56" s="407"/>
      <c r="F56" s="407"/>
      <c r="G56" s="1000"/>
      <c r="H56" s="63"/>
      <c r="J56" s="1733">
        <f>ABS($E$22/BQ27)*2</f>
        <v>98.400984009840087</v>
      </c>
      <c r="K56" s="1733"/>
      <c r="L56" s="1733"/>
      <c r="M56" s="1734" t="s">
        <v>350</v>
      </c>
      <c r="N56" s="1730" t="s">
        <v>352</v>
      </c>
      <c r="O56" s="995"/>
      <c r="BD56" s="126"/>
      <c r="BE56" s="136"/>
      <c r="BF56" s="136"/>
      <c r="BG56" s="136"/>
      <c r="BH56" s="136"/>
      <c r="BN56" s="86"/>
      <c r="BO56" s="1091"/>
      <c r="BP56" s="177"/>
      <c r="BQ56" s="177"/>
      <c r="BR56" s="178"/>
      <c r="BS56" s="177"/>
      <c r="BT56" s="177"/>
      <c r="BU56" s="177"/>
      <c r="BV56" s="76"/>
      <c r="BW56" s="177"/>
      <c r="CA56" s="177"/>
      <c r="CB56" s="177"/>
      <c r="CC56" s="177"/>
      <c r="CD56" s="177"/>
      <c r="CE56" s="177"/>
      <c r="CF56" s="177"/>
      <c r="CG56" s="177"/>
      <c r="CH56" s="177"/>
      <c r="CI56" s="177"/>
      <c r="CJ56" s="177"/>
      <c r="CK56" s="177"/>
      <c r="CL56" s="178"/>
      <c r="CM56" s="107"/>
      <c r="CN56" s="107"/>
      <c r="CO56" s="107"/>
      <c r="CQ56" s="78"/>
      <c r="CR56" s="78"/>
      <c r="CS56" s="78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  <c r="EK56" s="78"/>
      <c r="EL56" s="78"/>
    </row>
    <row r="57" spans="2:142" ht="45.75" customHeight="1" thickBot="1" x14ac:dyDescent="0.3">
      <c r="B57" s="406"/>
      <c r="C57" s="406"/>
      <c r="D57" s="407"/>
      <c r="E57" s="407"/>
      <c r="F57" s="407"/>
      <c r="G57" s="998"/>
      <c r="H57"/>
      <c r="I57"/>
      <c r="J57"/>
      <c r="K57"/>
      <c r="L57"/>
      <c r="M57"/>
      <c r="N57"/>
      <c r="O57" s="995"/>
      <c r="BD57" s="126"/>
      <c r="BE57" s="136"/>
      <c r="BF57" s="136"/>
      <c r="BG57" s="136"/>
      <c r="BH57" s="136"/>
      <c r="BI57" s="136"/>
      <c r="BK57" s="136"/>
      <c r="BL57" s="136"/>
      <c r="BM57" s="402"/>
      <c r="BN57" s="188"/>
      <c r="BO57" s="1095" t="s">
        <v>128</v>
      </c>
      <c r="BP57" s="746" t="s">
        <v>125</v>
      </c>
      <c r="BQ57" s="190"/>
      <c r="BR57" s="191"/>
      <c r="BS57" s="191"/>
      <c r="BT57" s="191"/>
      <c r="BU57" s="191"/>
      <c r="BV57" s="191"/>
      <c r="BW57" s="191"/>
      <c r="BX57" s="191"/>
      <c r="BY57" s="191"/>
      <c r="BZ57" s="191"/>
      <c r="CA57" s="191"/>
      <c r="CB57" s="758">
        <f>SUM(CB41:CB56)</f>
        <v>1</v>
      </c>
      <c r="CC57" s="759">
        <f t="shared" ref="CC57:CR57" si="0">SUM(CC41:CC56)</f>
        <v>0</v>
      </c>
      <c r="CD57" s="759">
        <f t="shared" si="0"/>
        <v>0</v>
      </c>
      <c r="CE57" s="759">
        <f t="shared" si="0"/>
        <v>0</v>
      </c>
      <c r="CF57" s="759">
        <f t="shared" si="0"/>
        <v>0</v>
      </c>
      <c r="CG57" s="759">
        <f t="shared" si="0"/>
        <v>0</v>
      </c>
      <c r="CH57" s="759">
        <f t="shared" si="0"/>
        <v>0</v>
      </c>
      <c r="CI57" s="759">
        <f t="shared" si="0"/>
        <v>0</v>
      </c>
      <c r="CJ57" s="759">
        <f t="shared" si="0"/>
        <v>9</v>
      </c>
      <c r="CK57" s="759">
        <f t="shared" si="0"/>
        <v>0</v>
      </c>
      <c r="CL57" s="759">
        <f t="shared" si="0"/>
        <v>0</v>
      </c>
      <c r="CM57" s="759">
        <f t="shared" si="0"/>
        <v>0</v>
      </c>
      <c r="CN57" s="759">
        <f t="shared" si="0"/>
        <v>0</v>
      </c>
      <c r="CO57" s="759">
        <f t="shared" si="0"/>
        <v>0</v>
      </c>
      <c r="CP57" s="759">
        <f t="shared" si="0"/>
        <v>0</v>
      </c>
      <c r="CQ57" s="759">
        <f t="shared" si="0"/>
        <v>0</v>
      </c>
      <c r="CR57" s="760">
        <f t="shared" si="0"/>
        <v>0</v>
      </c>
      <c r="CS57" s="191"/>
      <c r="CT57" s="191"/>
      <c r="CU57" s="192"/>
      <c r="CV57" s="192"/>
      <c r="CW57" s="192"/>
      <c r="CX57" s="192"/>
      <c r="CY57" s="192"/>
      <c r="CZ57" s="192"/>
      <c r="DA57" s="193"/>
      <c r="DB57" s="89"/>
      <c r="DC57" s="78"/>
      <c r="DD57" s="78"/>
      <c r="EK57" s="78"/>
      <c r="EL57" s="78"/>
    </row>
    <row r="58" spans="2:142" ht="45.75" customHeight="1" thickBot="1" x14ac:dyDescent="0.3">
      <c r="G58" s="998"/>
      <c r="H58"/>
      <c r="I58"/>
      <c r="J58"/>
      <c r="K58"/>
      <c r="L58"/>
      <c r="M58"/>
      <c r="N58"/>
      <c r="O58" s="995"/>
      <c r="BD58" s="136"/>
      <c r="BE58" s="136"/>
      <c r="BF58" s="136"/>
      <c r="BG58" s="136"/>
      <c r="BH58" s="136"/>
      <c r="BI58" s="136"/>
      <c r="BJ58" s="136"/>
      <c r="BK58" s="136"/>
      <c r="BL58" s="968">
        <v>4</v>
      </c>
      <c r="BM58" s="1762" t="b">
        <f>AND(BO58&gt;=10,$BB$142&gt;=10,$BA$142&gt;=10,$BB$174&gt;=10,$BA$174&gt;=10,$BA$211&gt;=10,$BB$211&gt;=10)</f>
        <v>1</v>
      </c>
      <c r="BN58" s="84" t="str">
        <f>IF(BM58=TRUE,"O K","OVERLOAD")</f>
        <v>O K</v>
      </c>
      <c r="BO58" s="982">
        <f>+$E$22/(BQ27/2)</f>
        <v>98.400984009840087</v>
      </c>
      <c r="BP58" s="194"/>
      <c r="BQ58" s="107"/>
      <c r="BR58" s="108"/>
      <c r="BS58" s="107"/>
      <c r="BT58" s="107"/>
      <c r="BU58" s="107"/>
      <c r="BV58" s="108"/>
      <c r="BW58" s="107"/>
      <c r="BX58" s="107"/>
      <c r="BY58" s="107"/>
      <c r="BZ58" s="107"/>
      <c r="CA58" s="107"/>
      <c r="CB58" s="107"/>
      <c r="CC58" s="107"/>
      <c r="CD58" s="107"/>
      <c r="CE58" s="107"/>
      <c r="CF58" s="107"/>
      <c r="CG58" s="107"/>
      <c r="CH58" s="107"/>
      <c r="CI58" s="107"/>
      <c r="CJ58" s="107"/>
      <c r="CK58" s="107"/>
      <c r="CL58" s="107"/>
      <c r="CM58" s="107"/>
      <c r="CN58" s="107"/>
      <c r="CO58" s="107"/>
      <c r="CP58" s="107"/>
      <c r="CQ58" s="107"/>
      <c r="CR58" s="107"/>
      <c r="CS58" s="78"/>
      <c r="CT58" s="78"/>
      <c r="CU58" s="78"/>
      <c r="CV58" s="78"/>
      <c r="CW58" s="78"/>
      <c r="CX58" s="78"/>
      <c r="CY58" s="78"/>
      <c r="CZ58" s="78"/>
      <c r="DA58" s="78"/>
      <c r="DB58" s="78"/>
      <c r="DC58" s="78"/>
      <c r="DD58" s="78"/>
      <c r="EK58" s="78"/>
      <c r="EL58" s="78"/>
    </row>
    <row r="59" spans="2:142" ht="20" hidden="1" x14ac:dyDescent="0.2">
      <c r="B59" s="408"/>
      <c r="C59" s="408"/>
      <c r="G59" s="998"/>
      <c r="H59"/>
      <c r="I59"/>
      <c r="J59"/>
      <c r="K59"/>
      <c r="L59"/>
      <c r="M59"/>
      <c r="N59"/>
      <c r="O59" s="995"/>
      <c r="U59" s="73"/>
      <c r="V59" s="73"/>
      <c r="W59" s="73"/>
      <c r="X59" s="73"/>
      <c r="Y59" s="73"/>
      <c r="Z59" s="73"/>
      <c r="AA59" s="73"/>
      <c r="AF59" s="73"/>
      <c r="AG59" s="73"/>
      <c r="AH59" s="73"/>
      <c r="AI59" s="73"/>
      <c r="AJ59" s="73"/>
      <c r="AK59" s="73"/>
      <c r="AL59" s="73"/>
      <c r="AM59" s="73"/>
      <c r="AN59" s="73"/>
      <c r="AO59" s="73"/>
      <c r="AP59" s="73"/>
      <c r="AQ59" s="73"/>
      <c r="AR59" s="73"/>
      <c r="AS59" s="73"/>
      <c r="AT59" s="73"/>
      <c r="AU59" s="73"/>
      <c r="AV59" s="73"/>
      <c r="AW59" s="73"/>
      <c r="AX59" s="73"/>
      <c r="AY59" s="73"/>
      <c r="AZ59" s="73"/>
      <c r="BA59" s="73"/>
      <c r="BB59" s="73"/>
      <c r="BC59" s="126"/>
      <c r="BD59" s="136"/>
      <c r="BE59" s="136"/>
      <c r="BF59" s="136"/>
      <c r="BG59" s="136"/>
      <c r="BH59" s="136"/>
      <c r="BI59" s="136"/>
      <c r="BJ59" s="136"/>
      <c r="BK59" s="136"/>
      <c r="BL59" s="136"/>
      <c r="BM59" s="402"/>
      <c r="BN59" s="188"/>
      <c r="BO59" s="1091"/>
      <c r="BP59" s="76"/>
      <c r="BQ59" s="195" t="b">
        <f>+BL240</f>
        <v>0</v>
      </c>
      <c r="BR59" s="195" t="b">
        <f>+BL241</f>
        <v>0</v>
      </c>
      <c r="BS59" s="195" t="b">
        <f>+BL242</f>
        <v>0</v>
      </c>
      <c r="BT59" s="195" t="b">
        <f>+BL243</f>
        <v>0</v>
      </c>
      <c r="BU59" s="195" t="b">
        <f>+BL244</f>
        <v>0</v>
      </c>
      <c r="BV59" s="195" t="b">
        <f>+BL245</f>
        <v>0</v>
      </c>
      <c r="BW59" s="195" t="b">
        <f>+BL246</f>
        <v>0</v>
      </c>
      <c r="BX59" s="195" t="b">
        <f>+BL247</f>
        <v>0</v>
      </c>
      <c r="BY59" s="195" t="b">
        <f>+BL248</f>
        <v>0</v>
      </c>
      <c r="BZ59" s="195" t="b">
        <f>+BL249</f>
        <v>0</v>
      </c>
      <c r="CA59" s="195" t="b">
        <f>+BL250</f>
        <v>0</v>
      </c>
      <c r="CB59" s="195" t="b">
        <f>+BL251</f>
        <v>0</v>
      </c>
      <c r="CC59" s="195" t="b">
        <f>+BL252</f>
        <v>0</v>
      </c>
      <c r="CD59" s="195" t="b">
        <f>+BL253</f>
        <v>0</v>
      </c>
      <c r="CE59" s="195" t="b">
        <f>+BL254</f>
        <v>0</v>
      </c>
      <c r="CF59" s="195">
        <f>+BL255</f>
        <v>16</v>
      </c>
      <c r="CG59" s="195" t="b">
        <f>+BL256</f>
        <v>0</v>
      </c>
      <c r="CH59" s="195" t="b">
        <f>+BL257</f>
        <v>0</v>
      </c>
      <c r="CI59" s="195" t="b">
        <f>+BL258</f>
        <v>0</v>
      </c>
      <c r="CJ59" s="195" t="b">
        <f>+BL259</f>
        <v>0</v>
      </c>
      <c r="CK59" s="195" t="b">
        <f>+BL260</f>
        <v>0</v>
      </c>
      <c r="CL59" s="195" t="b">
        <f>+BL261</f>
        <v>0</v>
      </c>
      <c r="CM59" s="195" t="b">
        <f>+BL262</f>
        <v>0</v>
      </c>
      <c r="CN59" s="195" t="b">
        <f>+BL263</f>
        <v>0</v>
      </c>
      <c r="CO59" s="195" t="b">
        <f>+BL264</f>
        <v>0</v>
      </c>
      <c r="CP59" s="195" t="b">
        <f>+BL265</f>
        <v>0</v>
      </c>
      <c r="CQ59" s="195" t="b">
        <f>+BL266</f>
        <v>0</v>
      </c>
      <c r="CR59" s="195" t="b">
        <f>+BL267</f>
        <v>0</v>
      </c>
      <c r="CS59" s="195" t="b">
        <f>+BL268</f>
        <v>0</v>
      </c>
      <c r="CT59" s="195" t="b">
        <f>+BL269</f>
        <v>0</v>
      </c>
      <c r="CU59" s="195" t="b">
        <f>+BL270</f>
        <v>0</v>
      </c>
      <c r="CV59" s="195" t="b">
        <f>+BL271</f>
        <v>0</v>
      </c>
      <c r="CW59" s="195" t="b">
        <f>+BL272</f>
        <v>0</v>
      </c>
      <c r="CX59" s="195" t="b">
        <f>+BL273</f>
        <v>0</v>
      </c>
      <c r="CY59" s="195" t="b">
        <f>+BL274</f>
        <v>0</v>
      </c>
      <c r="CZ59" s="195" t="b">
        <f>+BL275</f>
        <v>0</v>
      </c>
      <c r="DA59" s="195" t="b">
        <f>+BL276</f>
        <v>0</v>
      </c>
      <c r="DB59" s="196"/>
      <c r="DC59" s="78"/>
      <c r="DD59" s="78"/>
      <c r="EK59" s="78"/>
      <c r="EL59" s="78"/>
    </row>
    <row r="60" spans="2:142" ht="45.75" hidden="1" customHeight="1" x14ac:dyDescent="0.2">
      <c r="E60" s="208"/>
      <c r="F60" s="208"/>
      <c r="G60" s="998"/>
      <c r="H60"/>
      <c r="I60"/>
      <c r="J60"/>
      <c r="K60"/>
      <c r="L60"/>
      <c r="M60"/>
      <c r="N60"/>
      <c r="O60" s="995"/>
      <c r="BD60" s="136"/>
      <c r="BE60" s="136"/>
      <c r="BF60" s="136"/>
      <c r="BG60" s="136"/>
      <c r="BH60" s="136"/>
      <c r="BI60" s="136"/>
      <c r="BJ60" s="136"/>
      <c r="BK60" s="136"/>
      <c r="BL60" s="136"/>
      <c r="BM60" s="402"/>
      <c r="BN60" s="188"/>
      <c r="BO60" s="1091"/>
      <c r="BP60" s="78"/>
      <c r="BQ60" s="196" t="b">
        <f t="shared" ref="BQ60:DA60" si="1">+BQ59</f>
        <v>0</v>
      </c>
      <c r="BR60" s="196" t="b">
        <f t="shared" si="1"/>
        <v>0</v>
      </c>
      <c r="BS60" s="196" t="b">
        <f t="shared" si="1"/>
        <v>0</v>
      </c>
      <c r="BT60" s="196" t="b">
        <f t="shared" si="1"/>
        <v>0</v>
      </c>
      <c r="BU60" s="196" t="b">
        <f t="shared" si="1"/>
        <v>0</v>
      </c>
      <c r="BV60" s="196" t="b">
        <f t="shared" si="1"/>
        <v>0</v>
      </c>
      <c r="BW60" s="196" t="b">
        <f t="shared" si="1"/>
        <v>0</v>
      </c>
      <c r="BX60" s="196" t="b">
        <f t="shared" si="1"/>
        <v>0</v>
      </c>
      <c r="BY60" s="196" t="b">
        <f t="shared" si="1"/>
        <v>0</v>
      </c>
      <c r="BZ60" s="196" t="b">
        <f t="shared" si="1"/>
        <v>0</v>
      </c>
      <c r="CA60" s="196" t="b">
        <f t="shared" si="1"/>
        <v>0</v>
      </c>
      <c r="CB60" s="196" t="b">
        <f t="shared" si="1"/>
        <v>0</v>
      </c>
      <c r="CC60" s="196" t="b">
        <f t="shared" si="1"/>
        <v>0</v>
      </c>
      <c r="CD60" s="196" t="b">
        <f t="shared" si="1"/>
        <v>0</v>
      </c>
      <c r="CE60" s="196" t="b">
        <f t="shared" si="1"/>
        <v>0</v>
      </c>
      <c r="CF60" s="196">
        <f t="shared" si="1"/>
        <v>16</v>
      </c>
      <c r="CG60" s="196" t="b">
        <f t="shared" si="1"/>
        <v>0</v>
      </c>
      <c r="CH60" s="196" t="b">
        <f t="shared" si="1"/>
        <v>0</v>
      </c>
      <c r="CI60" s="196" t="b">
        <f t="shared" si="1"/>
        <v>0</v>
      </c>
      <c r="CJ60" s="196" t="b">
        <f t="shared" si="1"/>
        <v>0</v>
      </c>
      <c r="CK60" s="196" t="b">
        <f t="shared" si="1"/>
        <v>0</v>
      </c>
      <c r="CL60" s="196" t="b">
        <f t="shared" si="1"/>
        <v>0</v>
      </c>
      <c r="CM60" s="196" t="b">
        <f t="shared" si="1"/>
        <v>0</v>
      </c>
      <c r="CN60" s="196" t="b">
        <f t="shared" si="1"/>
        <v>0</v>
      </c>
      <c r="CO60" s="196" t="b">
        <f t="shared" si="1"/>
        <v>0</v>
      </c>
      <c r="CP60" s="196" t="b">
        <f t="shared" si="1"/>
        <v>0</v>
      </c>
      <c r="CQ60" s="196" t="b">
        <f t="shared" si="1"/>
        <v>0</v>
      </c>
      <c r="CR60" s="196" t="b">
        <f t="shared" si="1"/>
        <v>0</v>
      </c>
      <c r="CS60" s="196" t="b">
        <f t="shared" si="1"/>
        <v>0</v>
      </c>
      <c r="CT60" s="196" t="b">
        <f t="shared" si="1"/>
        <v>0</v>
      </c>
      <c r="CU60" s="196" t="b">
        <f t="shared" si="1"/>
        <v>0</v>
      </c>
      <c r="CV60" s="196" t="b">
        <f t="shared" si="1"/>
        <v>0</v>
      </c>
      <c r="CW60" s="196" t="b">
        <f t="shared" si="1"/>
        <v>0</v>
      </c>
      <c r="CX60" s="196" t="b">
        <f t="shared" si="1"/>
        <v>0</v>
      </c>
      <c r="CY60" s="196" t="b">
        <f t="shared" si="1"/>
        <v>0</v>
      </c>
      <c r="CZ60" s="196" t="b">
        <f t="shared" si="1"/>
        <v>0</v>
      </c>
      <c r="DA60" s="196" t="b">
        <f t="shared" si="1"/>
        <v>0</v>
      </c>
      <c r="DB60" s="196"/>
      <c r="DC60" s="78"/>
      <c r="DD60" s="78"/>
      <c r="EK60" s="78"/>
      <c r="EL60" s="78"/>
    </row>
    <row r="61" spans="2:142" ht="16" customHeight="1" thickBot="1" x14ac:dyDescent="0.25">
      <c r="E61" s="208"/>
      <c r="F61" s="208"/>
      <c r="G61" s="998"/>
      <c r="H61"/>
      <c r="I61"/>
      <c r="J61"/>
      <c r="K61"/>
      <c r="L61"/>
      <c r="M61"/>
      <c r="N61"/>
      <c r="O61" s="995"/>
      <c r="V61" s="1098"/>
      <c r="W61" s="1098"/>
      <c r="X61" s="1098"/>
      <c r="Y61" s="1098"/>
      <c r="Z61" s="1098"/>
      <c r="AA61" s="1098"/>
      <c r="AF61" s="401"/>
      <c r="AG61" s="401"/>
      <c r="AH61" s="401"/>
      <c r="AI61" s="401"/>
      <c r="AJ61" s="401"/>
      <c r="AK61" s="401"/>
      <c r="AL61" s="401"/>
      <c r="AM61" s="401"/>
      <c r="AN61" s="401"/>
      <c r="AO61" s="401"/>
      <c r="AP61" s="401"/>
      <c r="AQ61" s="401"/>
      <c r="AR61" s="401"/>
      <c r="AS61" s="401"/>
      <c r="AT61" s="401"/>
      <c r="AU61" s="401"/>
      <c r="AV61" s="401"/>
      <c r="AW61" s="401"/>
      <c r="AX61" s="401"/>
      <c r="AY61" s="401"/>
      <c r="AZ61" s="401"/>
      <c r="BA61" s="401"/>
      <c r="BB61" s="401"/>
      <c r="BC61" s="143"/>
      <c r="BD61" s="136"/>
      <c r="BE61" s="136"/>
      <c r="BF61" s="136"/>
      <c r="BG61" s="136"/>
      <c r="BH61" s="136"/>
      <c r="BI61" s="136"/>
      <c r="BJ61" s="136"/>
      <c r="BK61" s="136"/>
      <c r="BL61" s="136"/>
      <c r="BM61" s="402"/>
      <c r="BN61" s="188"/>
      <c r="BO61" s="1091"/>
      <c r="BP61" s="78"/>
      <c r="BQ61" s="196"/>
      <c r="BR61" s="196"/>
      <c r="BS61" s="196"/>
      <c r="BT61" s="196"/>
      <c r="BU61" s="196"/>
      <c r="BV61" s="196"/>
      <c r="BW61" s="196"/>
      <c r="BX61" s="196"/>
      <c r="BY61" s="196"/>
      <c r="BZ61" s="196"/>
      <c r="CA61" s="196"/>
      <c r="CB61" s="196"/>
      <c r="CC61" s="196"/>
      <c r="CD61" s="196"/>
      <c r="CE61" s="196"/>
      <c r="CF61" s="196"/>
      <c r="CG61" s="196"/>
      <c r="CH61" s="196"/>
      <c r="CI61" s="196"/>
      <c r="CJ61" s="196"/>
      <c r="CK61" s="196"/>
      <c r="CL61" s="196"/>
      <c r="CM61" s="196"/>
      <c r="CN61" s="196"/>
      <c r="CO61" s="196"/>
      <c r="CP61" s="196"/>
      <c r="CQ61" s="196"/>
      <c r="CR61" s="196"/>
      <c r="CS61" s="196"/>
      <c r="CT61" s="196"/>
      <c r="CU61" s="196"/>
      <c r="CV61" s="196"/>
      <c r="CW61" s="196"/>
      <c r="CX61" s="196"/>
      <c r="CY61" s="196"/>
      <c r="CZ61" s="196"/>
      <c r="DA61" s="196"/>
      <c r="DB61" s="196"/>
      <c r="DC61" s="78"/>
      <c r="DD61" s="78"/>
      <c r="EK61" s="78"/>
      <c r="EL61" s="78"/>
    </row>
    <row r="62" spans="2:142" ht="45.75" customHeight="1" thickBot="1" x14ac:dyDescent="0.3">
      <c r="E62" s="208"/>
      <c r="F62" s="208"/>
      <c r="G62" s="998"/>
      <c r="H62"/>
      <c r="I62"/>
      <c r="J62"/>
      <c r="K62"/>
      <c r="L62"/>
      <c r="M62"/>
      <c r="N62"/>
      <c r="O62" s="995"/>
      <c r="BD62" s="136"/>
      <c r="BE62" s="136"/>
      <c r="BF62" s="136"/>
      <c r="BG62" s="136"/>
      <c r="BH62" s="136"/>
      <c r="BI62" s="136"/>
      <c r="BJ62" s="136"/>
      <c r="BK62" s="136"/>
      <c r="BL62" s="136"/>
      <c r="BM62" s="402"/>
      <c r="BN62" s="188"/>
      <c r="BO62" s="1095" t="s">
        <v>128</v>
      </c>
      <c r="BP62" s="197" t="s">
        <v>129</v>
      </c>
      <c r="BQ62" s="748" t="str">
        <f>IF(BQ60=1,17,"")</f>
        <v/>
      </c>
      <c r="BR62" s="749" t="str">
        <f>IF(BR60=2,16,"")</f>
        <v/>
      </c>
      <c r="BS62" s="749" t="str">
        <f>IF(BS60=3,15,"")</f>
        <v/>
      </c>
      <c r="BT62" s="749" t="str">
        <f>IF(BT60=4,14,"")</f>
        <v/>
      </c>
      <c r="BU62" s="749" t="str">
        <f>IF(BU60=5,13,"")</f>
        <v/>
      </c>
      <c r="BV62" s="749" t="str">
        <f>IF(BV60=6,12,"")</f>
        <v/>
      </c>
      <c r="BW62" s="749" t="str">
        <f>IF(BW60=7,11,"")</f>
        <v/>
      </c>
      <c r="BX62" s="749" t="str">
        <f>IF(BX60=8,10,"")</f>
        <v/>
      </c>
      <c r="BY62" s="749" t="str">
        <f>IF(BY60=9,9,"")</f>
        <v/>
      </c>
      <c r="BZ62" s="749" t="str">
        <f>IF(BZ60=10,8,"")</f>
        <v/>
      </c>
      <c r="CA62" s="749" t="str">
        <f>IF(CA60=11,7,"")</f>
        <v/>
      </c>
      <c r="CB62" s="928" t="str">
        <f>IF(CB60=12,1,"")</f>
        <v/>
      </c>
      <c r="CC62" s="747" t="str">
        <f>IF(CC60=13,2,"")</f>
        <v/>
      </c>
      <c r="CD62" s="747" t="str">
        <f>IF(CD60=14,3,"")</f>
        <v/>
      </c>
      <c r="CE62" s="747" t="str">
        <f>IF(CE60=15,4,"")</f>
        <v/>
      </c>
      <c r="CF62" s="747">
        <f>IF(CF60=16,5,"")</f>
        <v>5</v>
      </c>
      <c r="CG62" s="747" t="str">
        <f>IF(CG60=17,6,"")</f>
        <v/>
      </c>
      <c r="CH62" s="747" t="str">
        <f>IF(CH60=18,7,"")</f>
        <v/>
      </c>
      <c r="CI62" s="747" t="str">
        <f>IF(CI60=19,8,"")</f>
        <v/>
      </c>
      <c r="CJ62" s="747" t="str">
        <f>IF(CJ60=20,9,"")</f>
        <v/>
      </c>
      <c r="CK62" s="747" t="str">
        <f>IF(CK60=21,10,"")</f>
        <v/>
      </c>
      <c r="CL62" s="747" t="str">
        <f>IF(CL60=22,11,"")</f>
        <v/>
      </c>
      <c r="CM62" s="747" t="str">
        <f>IF(CM60=23,12,"")</f>
        <v/>
      </c>
      <c r="CN62" s="747" t="str">
        <f>IF(CN60=24,13,"")</f>
        <v/>
      </c>
      <c r="CO62" s="747" t="str">
        <f>IF(CO60=25,14,"")</f>
        <v/>
      </c>
      <c r="CP62" s="747" t="str">
        <f>IF(CP60=26,15,"")</f>
        <v/>
      </c>
      <c r="CQ62" s="747" t="str">
        <f>IF(CQ60=27,16,"")</f>
        <v/>
      </c>
      <c r="CR62" s="929" t="str">
        <f>IF(CR60=28,17,"")</f>
        <v/>
      </c>
      <c r="CS62" s="756" t="str">
        <f>IF(CS60=29,9,"")</f>
        <v/>
      </c>
      <c r="CT62" s="756" t="str">
        <f>IF(CT60=30,10,"")</f>
        <v/>
      </c>
      <c r="CU62" s="756" t="str">
        <f>IF(CU60=31,11,"")</f>
        <v/>
      </c>
      <c r="CV62" s="756" t="str">
        <f>IF(CV60=32,12,"")</f>
        <v/>
      </c>
      <c r="CW62" s="756" t="str">
        <f>IF(CW60=33,13,"")</f>
        <v/>
      </c>
      <c r="CX62" s="756" t="str">
        <f>IF(CX60=34,14,"")</f>
        <v/>
      </c>
      <c r="CY62" s="756" t="str">
        <f>IF(CY60=35,15,"")</f>
        <v/>
      </c>
      <c r="CZ62" s="756" t="str">
        <f>IF(CZ60=36,16,"")</f>
        <v/>
      </c>
      <c r="DA62" s="757" t="str">
        <f>IF(DA60=37,17,"")</f>
        <v/>
      </c>
      <c r="DB62" s="198"/>
      <c r="DC62" s="78"/>
      <c r="DD62" s="78"/>
      <c r="EK62" s="78"/>
      <c r="EL62" s="78"/>
    </row>
    <row r="63" spans="2:142" ht="45.75" customHeight="1" thickBot="1" x14ac:dyDescent="0.3">
      <c r="E63" s="208"/>
      <c r="F63" s="208"/>
      <c r="G63" s="998"/>
      <c r="H63"/>
      <c r="I63"/>
      <c r="J63"/>
      <c r="K63"/>
      <c r="L63"/>
      <c r="M63"/>
      <c r="N63"/>
      <c r="O63" s="995"/>
      <c r="BD63" s="136"/>
      <c r="BE63" s="136"/>
      <c r="BF63" s="136"/>
      <c r="BG63" s="136"/>
      <c r="BH63" s="136"/>
      <c r="BI63" s="136"/>
      <c r="BJ63" s="136"/>
      <c r="BK63" s="136"/>
      <c r="BL63" s="968">
        <v>5</v>
      </c>
      <c r="BM63" s="1762" t="b">
        <f>AND(BO63&gt;=10,$BB$142&gt;=10,$BA$142&gt;=10,$BB$174&gt;=10,$BA$174&gt;=10,$BA$211&gt;=10,$BB$211&gt;=10)</f>
        <v>1</v>
      </c>
      <c r="BN63" s="84" t="str">
        <f>IF(BM63=TRUE,"O K","OVERLOAD")</f>
        <v>O K</v>
      </c>
      <c r="BO63" s="982">
        <f>IF(SUM(BQ62:CA62)&gt;0,K85,0)+IF(SUM(CB62:CR62)&gt;0,L85,0)+IF(SUM(CS62:DA62)&gt;0,M85,0)</f>
        <v>49.200492004920044</v>
      </c>
      <c r="BP63" s="788" t="s">
        <v>185</v>
      </c>
      <c r="BQ63" s="789">
        <v>-10</v>
      </c>
      <c r="BR63" s="789">
        <v>-9</v>
      </c>
      <c r="BS63" s="789">
        <v>-8</v>
      </c>
      <c r="BT63" s="789">
        <v>-7</v>
      </c>
      <c r="BU63" s="789">
        <v>-6</v>
      </c>
      <c r="BV63" s="789">
        <v>-5</v>
      </c>
      <c r="BW63" s="789">
        <v>-4</v>
      </c>
      <c r="BX63" s="789">
        <v>-3</v>
      </c>
      <c r="BY63" s="789">
        <v>-2</v>
      </c>
      <c r="BZ63" s="789">
        <v>-1</v>
      </c>
      <c r="CA63" s="789">
        <v>0</v>
      </c>
      <c r="CB63" s="789">
        <v>1</v>
      </c>
      <c r="CC63" s="789">
        <v>2</v>
      </c>
      <c r="CD63" s="789">
        <v>3</v>
      </c>
      <c r="CE63" s="789">
        <v>4</v>
      </c>
      <c r="CF63" s="789">
        <v>5</v>
      </c>
      <c r="CG63" s="789">
        <v>6</v>
      </c>
      <c r="CH63" s="789">
        <v>7</v>
      </c>
      <c r="CI63" s="789">
        <v>8</v>
      </c>
      <c r="CJ63" s="789">
        <v>9</v>
      </c>
      <c r="CK63" s="789">
        <v>10</v>
      </c>
      <c r="CL63" s="789">
        <v>11</v>
      </c>
      <c r="CM63" s="789">
        <v>12</v>
      </c>
      <c r="CN63" s="789">
        <v>13</v>
      </c>
      <c r="CO63" s="789">
        <v>14</v>
      </c>
      <c r="CP63" s="789">
        <v>15</v>
      </c>
      <c r="CQ63" s="789">
        <v>16</v>
      </c>
      <c r="CR63" s="789">
        <v>17</v>
      </c>
      <c r="CS63" s="789">
        <v>18</v>
      </c>
      <c r="CT63" s="789">
        <v>19</v>
      </c>
      <c r="CU63" s="789">
        <v>20</v>
      </c>
      <c r="CV63" s="789">
        <v>21</v>
      </c>
      <c r="CW63" s="789">
        <v>22</v>
      </c>
      <c r="CX63" s="789">
        <v>23</v>
      </c>
      <c r="CY63" s="789">
        <v>24</v>
      </c>
      <c r="CZ63" s="789">
        <v>25</v>
      </c>
      <c r="DA63" s="791">
        <v>26</v>
      </c>
      <c r="DB63" s="198"/>
      <c r="DC63" s="78"/>
      <c r="DD63" s="78"/>
      <c r="EK63" s="78"/>
      <c r="EL63" s="78"/>
    </row>
    <row r="64" spans="2:142" ht="20" hidden="1" x14ac:dyDescent="0.2">
      <c r="G64" s="998"/>
      <c r="H64"/>
      <c r="I64"/>
      <c r="J64"/>
      <c r="K64"/>
      <c r="L64"/>
      <c r="M64"/>
      <c r="N64"/>
      <c r="O64" s="995"/>
      <c r="BD64" s="136"/>
      <c r="BE64" s="136"/>
      <c r="BF64" s="136"/>
      <c r="BG64" s="136"/>
      <c r="BH64" s="136"/>
      <c r="BI64" s="136"/>
      <c r="BJ64" s="136"/>
      <c r="BK64" s="136"/>
      <c r="BL64" s="136"/>
      <c r="BM64" s="402"/>
      <c r="BN64" s="136"/>
      <c r="BP64" s="78"/>
      <c r="BQ64" s="199">
        <v>1</v>
      </c>
      <c r="BR64" s="199">
        <v>2</v>
      </c>
      <c r="BS64" s="199">
        <v>3</v>
      </c>
      <c r="BT64" s="199">
        <v>4</v>
      </c>
      <c r="BU64" s="199">
        <v>5</v>
      </c>
      <c r="BV64" s="199">
        <v>6</v>
      </c>
      <c r="BW64" s="199">
        <v>7</v>
      </c>
      <c r="BX64" s="199">
        <v>8</v>
      </c>
      <c r="BY64" s="199">
        <v>9</v>
      </c>
      <c r="BZ64" s="199">
        <v>10</v>
      </c>
      <c r="CA64" s="199">
        <v>11</v>
      </c>
      <c r="CB64" s="199">
        <v>12</v>
      </c>
      <c r="CC64" s="199">
        <v>13</v>
      </c>
      <c r="CD64" s="199">
        <v>14</v>
      </c>
      <c r="CE64" s="199">
        <v>15</v>
      </c>
      <c r="CF64" s="199">
        <v>16</v>
      </c>
      <c r="CG64" s="199">
        <v>17</v>
      </c>
      <c r="CH64" s="199">
        <v>18</v>
      </c>
      <c r="CI64" s="199">
        <v>19</v>
      </c>
      <c r="CJ64" s="199">
        <v>20</v>
      </c>
      <c r="CK64" s="199">
        <v>21</v>
      </c>
      <c r="CL64" s="199">
        <v>22</v>
      </c>
      <c r="CM64" s="199">
        <v>23</v>
      </c>
      <c r="CN64" s="199">
        <v>24</v>
      </c>
      <c r="CO64" s="199">
        <v>25</v>
      </c>
      <c r="CP64" s="199">
        <v>26</v>
      </c>
      <c r="CQ64" s="199">
        <v>27</v>
      </c>
      <c r="CR64" s="199">
        <v>28</v>
      </c>
      <c r="CS64" s="199">
        <v>29</v>
      </c>
      <c r="CT64" s="199">
        <v>30</v>
      </c>
      <c r="CU64" s="199">
        <v>31</v>
      </c>
      <c r="CV64" s="199">
        <v>32</v>
      </c>
      <c r="CW64" s="199">
        <v>33</v>
      </c>
      <c r="CX64" s="199">
        <v>34</v>
      </c>
      <c r="CY64" s="199">
        <v>35</v>
      </c>
      <c r="CZ64" s="199">
        <v>36</v>
      </c>
      <c r="DA64" s="199">
        <v>37</v>
      </c>
      <c r="DB64" s="199"/>
      <c r="DC64" s="78"/>
      <c r="DD64" s="78"/>
      <c r="EK64" s="78"/>
      <c r="EL64" s="78"/>
    </row>
    <row r="65" spans="2:108" ht="20" hidden="1" x14ac:dyDescent="0.2">
      <c r="G65" s="998"/>
      <c r="H65"/>
      <c r="I65"/>
      <c r="J65"/>
      <c r="K65"/>
      <c r="L65"/>
      <c r="M65"/>
      <c r="N65"/>
      <c r="O65" s="995"/>
      <c r="U65" s="212"/>
      <c r="V65" s="73"/>
      <c r="AB65" s="73"/>
      <c r="AC65" s="73"/>
      <c r="AD65" s="73"/>
      <c r="AE65" s="73"/>
      <c r="AF65" s="73"/>
      <c r="AG65" s="73"/>
      <c r="AH65" s="73"/>
      <c r="AI65" s="73"/>
      <c r="AJ65" s="73"/>
      <c r="AK65" s="73"/>
      <c r="AL65" s="73"/>
      <c r="AM65" s="73"/>
      <c r="AN65" s="73"/>
      <c r="AO65" s="73"/>
      <c r="AP65" s="73"/>
      <c r="AQ65" s="73"/>
      <c r="AR65" s="73"/>
      <c r="AS65" s="73"/>
      <c r="AT65" s="73"/>
      <c r="AU65" s="73"/>
      <c r="AV65" s="73"/>
      <c r="AW65" s="73"/>
      <c r="AX65" s="73"/>
      <c r="AY65" s="73"/>
      <c r="AZ65" s="73"/>
      <c r="BA65" s="73"/>
      <c r="BB65" s="73"/>
      <c r="BC65" s="126"/>
      <c r="BE65" s="136"/>
      <c r="BF65" s="136"/>
      <c r="BG65" s="136"/>
      <c r="BH65" s="136"/>
      <c r="BI65" s="136"/>
      <c r="BJ65" s="136"/>
      <c r="BK65" s="136"/>
      <c r="BL65" s="1579" t="s">
        <v>59</v>
      </c>
      <c r="BM65" s="402"/>
      <c r="BN65" s="136"/>
      <c r="BO65" s="1091"/>
      <c r="BP65" s="78"/>
      <c r="BQ65" s="199"/>
      <c r="BR65" s="199"/>
      <c r="BS65" s="199"/>
      <c r="BT65" s="199"/>
      <c r="BU65" s="199"/>
      <c r="BV65" s="199"/>
      <c r="BW65" s="199"/>
      <c r="BX65" s="199"/>
      <c r="BY65" s="199"/>
      <c r="BZ65" s="199"/>
      <c r="CA65" s="199"/>
      <c r="CB65" s="199"/>
      <c r="CC65" s="199"/>
      <c r="CD65" s="199"/>
      <c r="CE65" s="199"/>
      <c r="CF65" s="199"/>
      <c r="CG65" s="199"/>
      <c r="CH65" s="199"/>
      <c r="CI65" s="199"/>
      <c r="CJ65" s="199"/>
      <c r="CK65" s="199"/>
      <c r="CL65" s="199"/>
      <c r="CM65" s="199"/>
      <c r="CN65" s="199"/>
      <c r="CO65" s="199"/>
      <c r="CP65" s="199"/>
      <c r="CQ65" s="199"/>
      <c r="CR65" s="199"/>
      <c r="CS65" s="199"/>
      <c r="CT65" s="199"/>
      <c r="CU65" s="199"/>
      <c r="CV65" s="199"/>
      <c r="CW65" s="199"/>
      <c r="CX65" s="199"/>
      <c r="CY65" s="199"/>
      <c r="CZ65" s="199"/>
      <c r="DA65" s="199"/>
      <c r="DB65" s="199"/>
      <c r="DD65" s="1579" t="s">
        <v>58</v>
      </c>
    </row>
    <row r="66" spans="2:108" ht="20" hidden="1" x14ac:dyDescent="0.2">
      <c r="B66" s="330"/>
      <c r="C66" s="412"/>
      <c r="D66" s="37"/>
      <c r="E66" s="37"/>
      <c r="F66" s="37"/>
      <c r="G66" s="998"/>
      <c r="H66"/>
      <c r="I66"/>
      <c r="J66"/>
      <c r="K66"/>
      <c r="L66"/>
      <c r="M66"/>
      <c r="N66"/>
      <c r="O66" s="995"/>
      <c r="U66" s="212"/>
      <c r="V66" s="73"/>
      <c r="AB66" s="73"/>
      <c r="AC66" s="73"/>
      <c r="AD66" s="73"/>
      <c r="AE66" s="73"/>
      <c r="AF66" s="73"/>
      <c r="AG66" s="73"/>
      <c r="AH66" s="73"/>
      <c r="AI66" s="73"/>
      <c r="AJ66" s="73"/>
      <c r="AK66" s="73"/>
      <c r="AL66" s="73"/>
      <c r="AM66" s="73"/>
      <c r="AN66" s="73"/>
      <c r="AO66" s="73"/>
      <c r="AP66" s="73"/>
      <c r="AQ66" s="73"/>
      <c r="AR66" s="73"/>
      <c r="AS66" s="73"/>
      <c r="AT66" s="73"/>
      <c r="AU66" s="73"/>
      <c r="AV66" s="73"/>
      <c r="AW66" s="73"/>
      <c r="AX66" s="73"/>
      <c r="AY66" s="73"/>
      <c r="AZ66" s="73"/>
      <c r="BA66" s="73"/>
      <c r="BB66" s="73"/>
      <c r="BC66" s="126"/>
      <c r="BE66" s="136"/>
      <c r="BF66" s="136"/>
      <c r="BG66" s="136"/>
      <c r="BH66" s="136"/>
      <c r="BI66" s="136"/>
      <c r="BJ66" s="136"/>
      <c r="BK66" s="136"/>
      <c r="BL66" s="1579">
        <f>-+BI240</f>
        <v>662.65723727232148</v>
      </c>
      <c r="BM66" s="402"/>
      <c r="BN66" s="136"/>
      <c r="BO66" s="1091"/>
      <c r="BP66" s="78"/>
      <c r="BQ66" s="199"/>
      <c r="BR66" s="199"/>
      <c r="BS66" s="199"/>
      <c r="BT66" s="199"/>
      <c r="BU66" s="199"/>
      <c r="BV66" s="199"/>
      <c r="BW66" s="199"/>
      <c r="BX66" s="199"/>
      <c r="BY66" s="199"/>
      <c r="BZ66" s="199"/>
      <c r="CA66" s="199"/>
      <c r="CB66" s="199"/>
      <c r="CC66" s="199"/>
      <c r="CD66" s="199"/>
      <c r="CE66" s="199"/>
      <c r="CF66" s="199"/>
      <c r="CG66" s="199"/>
      <c r="CH66" s="199"/>
      <c r="CI66" s="199"/>
      <c r="CJ66" s="199"/>
      <c r="CK66" s="199"/>
      <c r="CL66" s="199"/>
      <c r="CM66" s="199"/>
      <c r="CN66" s="199"/>
      <c r="CO66" s="199"/>
      <c r="CP66" s="199"/>
      <c r="CQ66" s="199"/>
      <c r="CR66" s="199"/>
      <c r="CS66" s="199"/>
      <c r="CT66" s="199"/>
      <c r="CU66" s="199"/>
      <c r="CV66" s="199"/>
      <c r="CW66" s="199"/>
      <c r="CX66" s="199"/>
      <c r="CY66" s="199"/>
      <c r="CZ66" s="199"/>
      <c r="DA66" s="199"/>
      <c r="DB66" s="199"/>
      <c r="DD66" s="1579">
        <f>+-BI276</f>
        <v>-885.34276272767852</v>
      </c>
    </row>
    <row r="67" spans="2:108" ht="20" hidden="1" x14ac:dyDescent="0.2">
      <c r="B67" s="330"/>
      <c r="C67" s="412"/>
      <c r="D67" s="37"/>
      <c r="E67" s="37"/>
      <c r="F67" s="37"/>
      <c r="G67" s="998"/>
      <c r="H67"/>
      <c r="I67"/>
      <c r="J67"/>
      <c r="K67"/>
      <c r="L67"/>
      <c r="M67"/>
      <c r="N67"/>
      <c r="O67" s="995"/>
      <c r="U67" s="212"/>
      <c r="V67" s="73"/>
      <c r="AB67" s="73"/>
      <c r="AC67" s="73"/>
      <c r="AD67" s="73"/>
      <c r="AE67" s="73"/>
      <c r="AF67" s="73"/>
      <c r="AG67" s="73"/>
      <c r="AH67" s="73"/>
      <c r="AI67" s="73"/>
      <c r="AJ67" s="73"/>
      <c r="AK67" s="73"/>
      <c r="AL67" s="73"/>
      <c r="AM67" s="73"/>
      <c r="AN67" s="73"/>
      <c r="AO67" s="73"/>
      <c r="AP67" s="73"/>
      <c r="AQ67" s="73"/>
      <c r="AR67" s="73"/>
      <c r="AS67" s="73"/>
      <c r="AT67" s="73"/>
      <c r="AU67" s="73"/>
      <c r="AV67" s="73"/>
      <c r="AW67" s="73"/>
      <c r="AX67" s="73"/>
      <c r="AY67" s="73"/>
      <c r="AZ67" s="73"/>
      <c r="BA67" s="73"/>
      <c r="BB67" s="73"/>
      <c r="BC67" s="126"/>
      <c r="BE67" s="136"/>
      <c r="BF67" s="136"/>
      <c r="BG67" s="136"/>
      <c r="BH67" s="136"/>
      <c r="BI67" s="136"/>
      <c r="BJ67" s="136"/>
      <c r="BK67" s="136"/>
      <c r="BL67" s="136"/>
      <c r="BM67" s="402"/>
      <c r="BN67" s="136"/>
      <c r="BO67" s="1091"/>
      <c r="BP67" s="78"/>
      <c r="BQ67" s="199"/>
      <c r="BR67" s="199"/>
      <c r="BS67" s="199"/>
      <c r="BT67" s="199"/>
      <c r="BU67" s="199"/>
      <c r="BV67" s="199"/>
      <c r="BW67" s="199"/>
      <c r="BX67" s="199"/>
      <c r="BY67" s="199"/>
      <c r="BZ67" s="199"/>
      <c r="CA67" s="199"/>
      <c r="CB67" s="199"/>
      <c r="CC67" s="199"/>
      <c r="CD67" s="199"/>
      <c r="CE67" s="199"/>
      <c r="CF67" s="199"/>
      <c r="CG67" s="199"/>
      <c r="CH67" s="199"/>
      <c r="CI67" s="199"/>
      <c r="CJ67" s="199"/>
      <c r="CK67" s="199"/>
      <c r="CL67" s="199"/>
      <c r="CM67" s="199"/>
      <c r="CN67" s="199"/>
      <c r="CO67" s="199"/>
      <c r="CP67" s="199"/>
      <c r="CQ67" s="199"/>
      <c r="CR67" s="199"/>
      <c r="CS67" s="199"/>
      <c r="CT67" s="199"/>
      <c r="CU67" s="199"/>
      <c r="CV67" s="199"/>
      <c r="CW67" s="199"/>
      <c r="CX67" s="199"/>
      <c r="CY67" s="199"/>
      <c r="CZ67" s="199"/>
      <c r="DA67" s="199"/>
      <c r="DB67" s="199"/>
    </row>
    <row r="68" spans="2:108" ht="20" hidden="1" x14ac:dyDescent="0.2">
      <c r="B68" s="330"/>
      <c r="C68" s="412"/>
      <c r="D68" s="37"/>
      <c r="E68" s="37"/>
      <c r="F68" s="37"/>
      <c r="G68" s="998"/>
      <c r="H68"/>
      <c r="I68"/>
      <c r="J68"/>
      <c r="K68"/>
      <c r="L68"/>
      <c r="M68"/>
      <c r="N68"/>
      <c r="O68" s="995"/>
      <c r="U68" s="212"/>
      <c r="V68" s="73"/>
      <c r="AB68" s="73"/>
      <c r="AC68" s="73"/>
      <c r="AD68" s="73"/>
      <c r="AE68" s="73"/>
      <c r="AF68" s="73"/>
      <c r="AG68" s="73"/>
      <c r="AH68" s="73"/>
      <c r="AI68" s="73"/>
      <c r="AJ68" s="73"/>
      <c r="AK68" s="73"/>
      <c r="AL68" s="73"/>
      <c r="AM68" s="73"/>
      <c r="AN68" s="73"/>
      <c r="AO68" s="73"/>
      <c r="AP68" s="73"/>
      <c r="AQ68" s="73"/>
      <c r="AR68" s="73"/>
      <c r="AS68" s="73"/>
      <c r="AT68" s="73"/>
      <c r="AU68" s="73"/>
      <c r="AV68" s="73"/>
      <c r="AW68" s="73"/>
      <c r="AX68" s="73"/>
      <c r="AY68" s="73"/>
      <c r="AZ68" s="73"/>
      <c r="BA68" s="73"/>
      <c r="BB68" s="73"/>
      <c r="BC68" s="126"/>
      <c r="BE68" s="136"/>
      <c r="BF68" s="136"/>
      <c r="BG68" s="136"/>
      <c r="BH68" s="136"/>
      <c r="BI68" s="136"/>
      <c r="BJ68" s="136"/>
      <c r="BK68" s="136"/>
      <c r="BL68" s="136"/>
      <c r="BM68" s="402"/>
      <c r="BN68" s="136"/>
      <c r="BO68" s="1091"/>
      <c r="BP68" s="78"/>
      <c r="BQ68" s="199"/>
      <c r="BR68" s="199"/>
      <c r="BS68" s="199"/>
      <c r="BT68" s="199"/>
      <c r="BU68" s="199"/>
      <c r="BV68" s="199"/>
      <c r="BW68" s="199"/>
      <c r="BX68" s="199"/>
      <c r="BY68" s="199"/>
      <c r="BZ68" s="199"/>
      <c r="CA68" s="199"/>
      <c r="CB68" s="199"/>
      <c r="CC68" s="199"/>
      <c r="CD68" s="199"/>
      <c r="CE68" s="199"/>
      <c r="CF68" s="199"/>
      <c r="CG68" s="199"/>
      <c r="CH68" s="199"/>
      <c r="CI68" s="199"/>
      <c r="CJ68" s="199"/>
      <c r="CK68" s="199"/>
      <c r="CL68" s="199"/>
      <c r="CM68" s="199"/>
      <c r="CN68" s="199"/>
      <c r="CO68" s="199"/>
      <c r="CP68" s="199"/>
      <c r="CQ68" s="199"/>
      <c r="CR68" s="199"/>
      <c r="CS68" s="199"/>
      <c r="CT68" s="199"/>
      <c r="CU68" s="199"/>
      <c r="CV68" s="199"/>
      <c r="CW68" s="199"/>
      <c r="CX68" s="199"/>
      <c r="CY68" s="199"/>
      <c r="CZ68" s="199"/>
      <c r="DA68" s="199"/>
      <c r="DB68" s="199"/>
    </row>
    <row r="69" spans="2:108" ht="20" hidden="1" x14ac:dyDescent="0.2">
      <c r="B69" s="330"/>
      <c r="C69" s="412"/>
      <c r="D69" s="37"/>
      <c r="E69" s="37"/>
      <c r="F69" s="37"/>
      <c r="G69" s="998"/>
      <c r="H69"/>
      <c r="I69"/>
      <c r="J69"/>
      <c r="K69"/>
      <c r="L69"/>
      <c r="M69"/>
      <c r="N69"/>
      <c r="O69" s="995"/>
      <c r="U69" s="212"/>
      <c r="V69" s="73"/>
      <c r="AB69" s="73"/>
      <c r="AC69" s="73"/>
      <c r="AD69" s="73"/>
      <c r="AE69" s="73"/>
      <c r="AF69" s="73"/>
      <c r="AG69" s="73"/>
      <c r="AH69" s="73"/>
      <c r="AI69" s="73"/>
      <c r="AJ69" s="73"/>
      <c r="AK69" s="73"/>
      <c r="AL69" s="73"/>
      <c r="AM69" s="73"/>
      <c r="AN69" s="73"/>
      <c r="AO69" s="73"/>
      <c r="AP69" s="73"/>
      <c r="AQ69" s="73"/>
      <c r="AR69" s="73"/>
      <c r="AS69" s="73"/>
      <c r="AT69" s="73"/>
      <c r="AU69" s="73"/>
      <c r="AV69" s="73"/>
      <c r="AW69" s="73"/>
      <c r="AX69" s="73"/>
      <c r="AY69" s="73"/>
      <c r="AZ69" s="73"/>
      <c r="BA69" s="73"/>
      <c r="BB69" s="73"/>
      <c r="BC69" s="126"/>
      <c r="BE69" s="136"/>
      <c r="BF69" s="136"/>
      <c r="BG69" s="136"/>
      <c r="BH69" s="136"/>
      <c r="BI69" s="136"/>
      <c r="BJ69" s="136"/>
      <c r="BK69" s="136"/>
      <c r="BL69" s="136"/>
      <c r="BM69" s="402"/>
      <c r="BN69" s="136"/>
      <c r="BO69" s="1091"/>
      <c r="BP69" s="78"/>
      <c r="BQ69" s="199"/>
      <c r="BR69" s="199"/>
      <c r="BS69" s="199"/>
      <c r="BT69" s="199"/>
      <c r="BU69" s="199"/>
      <c r="BV69" s="199"/>
      <c r="BW69" s="199"/>
      <c r="BX69" s="199"/>
      <c r="BY69" s="199"/>
      <c r="BZ69" s="199"/>
      <c r="CA69" s="199"/>
      <c r="CB69" s="199"/>
      <c r="CC69" s="199"/>
      <c r="CD69" s="199"/>
      <c r="CE69" s="199"/>
      <c r="CF69" s="199"/>
      <c r="CG69" s="199"/>
      <c r="CH69" s="199"/>
      <c r="CI69" s="199"/>
      <c r="CJ69" s="199"/>
      <c r="CK69" s="199"/>
      <c r="CL69" s="199"/>
      <c r="CM69" s="199"/>
      <c r="CN69" s="199"/>
      <c r="CO69" s="199"/>
      <c r="CP69" s="199"/>
      <c r="CQ69" s="199"/>
      <c r="CR69" s="199"/>
      <c r="CS69" s="199"/>
      <c r="CT69" s="199"/>
      <c r="CU69" s="199"/>
      <c r="CV69" s="199"/>
      <c r="CW69" s="199"/>
      <c r="CX69" s="199"/>
      <c r="CY69" s="199"/>
      <c r="CZ69" s="199"/>
      <c r="DA69" s="199"/>
      <c r="DB69" s="199"/>
    </row>
    <row r="70" spans="2:108" ht="20" hidden="1" x14ac:dyDescent="0.2">
      <c r="B70" s="330"/>
      <c r="C70" s="412"/>
      <c r="D70" s="37"/>
      <c r="E70" s="37"/>
      <c r="F70" s="37"/>
      <c r="G70" s="998"/>
      <c r="H70"/>
      <c r="I70"/>
      <c r="J70"/>
      <c r="K70"/>
      <c r="L70"/>
      <c r="M70"/>
      <c r="N70"/>
      <c r="O70" s="995"/>
      <c r="U70" s="212"/>
      <c r="V70" s="73"/>
      <c r="AB70" s="73"/>
      <c r="AC70" s="73"/>
      <c r="AD70" s="73"/>
      <c r="AE70" s="73"/>
      <c r="AF70" s="73"/>
      <c r="AG70" s="73"/>
      <c r="AH70" s="73"/>
      <c r="AI70" s="73"/>
      <c r="AJ70" s="73"/>
      <c r="AK70" s="73"/>
      <c r="AL70" s="73"/>
      <c r="AM70" s="73"/>
      <c r="AN70" s="73"/>
      <c r="AO70" s="73"/>
      <c r="AP70" s="73"/>
      <c r="AQ70" s="73"/>
      <c r="AR70" s="73"/>
      <c r="AS70" s="73"/>
      <c r="AT70" s="73"/>
      <c r="AU70" s="73"/>
      <c r="AV70" s="73"/>
      <c r="AW70" s="73"/>
      <c r="AX70" s="73"/>
      <c r="AY70" s="73"/>
      <c r="AZ70" s="73"/>
      <c r="BA70" s="73"/>
      <c r="BB70" s="73"/>
      <c r="BC70" s="126"/>
      <c r="BE70" s="136"/>
      <c r="BF70" s="136"/>
      <c r="BG70" s="136"/>
      <c r="BH70" s="136"/>
      <c r="BI70" s="136"/>
      <c r="BJ70" s="136"/>
      <c r="BK70" s="136"/>
      <c r="BL70" s="136"/>
      <c r="BM70" s="402"/>
      <c r="BN70" s="136"/>
      <c r="BO70" s="1091"/>
      <c r="BP70" s="78"/>
      <c r="BQ70" s="199"/>
      <c r="BR70" s="199"/>
      <c r="BS70" s="199"/>
      <c r="BT70" s="199"/>
      <c r="BU70" s="199"/>
      <c r="BV70" s="199"/>
      <c r="BW70" s="199"/>
      <c r="BX70" s="199"/>
      <c r="BY70" s="199"/>
      <c r="BZ70" s="199"/>
      <c r="CA70" s="199"/>
      <c r="CB70" s="199"/>
      <c r="CC70" s="199"/>
      <c r="CD70" s="199"/>
      <c r="CE70" s="199"/>
      <c r="CF70" s="199"/>
      <c r="CG70" s="199"/>
      <c r="CH70" s="199"/>
      <c r="CI70" s="199"/>
      <c r="CJ70" s="199"/>
      <c r="CK70" s="199"/>
      <c r="CL70" s="199"/>
      <c r="CM70" s="199"/>
      <c r="CN70" s="199"/>
      <c r="CO70" s="199"/>
      <c r="CP70" s="199"/>
      <c r="CQ70" s="199"/>
      <c r="CR70" s="199"/>
      <c r="CS70" s="199"/>
      <c r="CT70" s="199"/>
      <c r="CU70" s="199"/>
      <c r="CV70" s="199"/>
      <c r="CW70" s="199"/>
      <c r="CX70" s="199"/>
      <c r="CY70" s="199"/>
      <c r="CZ70" s="199"/>
      <c r="DA70" s="199"/>
      <c r="DB70" s="199"/>
    </row>
    <row r="71" spans="2:108" ht="20" hidden="1" x14ac:dyDescent="0.2">
      <c r="B71" s="330"/>
      <c r="C71" s="412"/>
      <c r="D71" s="37"/>
      <c r="E71" s="37"/>
      <c r="F71" s="37"/>
      <c r="G71" s="998"/>
      <c r="H71"/>
      <c r="I71"/>
      <c r="J71"/>
      <c r="K71"/>
      <c r="L71"/>
      <c r="M71"/>
      <c r="N71"/>
      <c r="O71" s="995"/>
      <c r="U71" s="212"/>
      <c r="V71" s="73"/>
      <c r="AB71" s="73"/>
      <c r="AC71" s="73"/>
      <c r="AD71" s="73"/>
      <c r="AE71" s="73"/>
      <c r="AF71" s="73"/>
      <c r="AG71" s="73"/>
      <c r="AH71" s="73"/>
      <c r="AI71" s="73"/>
      <c r="AJ71" s="73"/>
      <c r="AK71" s="73"/>
      <c r="AL71" s="73"/>
      <c r="AM71" s="73"/>
      <c r="AN71" s="73"/>
      <c r="AO71" s="73"/>
      <c r="AP71" s="73"/>
      <c r="AQ71" s="73"/>
      <c r="AR71" s="73"/>
      <c r="AS71" s="73"/>
      <c r="AT71" s="73"/>
      <c r="AU71" s="73"/>
      <c r="AV71" s="73"/>
      <c r="AW71" s="73"/>
      <c r="AX71" s="73"/>
      <c r="AY71" s="73"/>
      <c r="AZ71" s="73"/>
      <c r="BA71" s="73"/>
      <c r="BB71" s="73"/>
      <c r="BC71" s="126"/>
      <c r="BE71" s="136"/>
      <c r="BF71" s="136"/>
      <c r="BG71" s="136"/>
      <c r="BH71" s="136"/>
      <c r="BI71" s="136"/>
      <c r="BJ71" s="136"/>
      <c r="BK71" s="136"/>
      <c r="BL71" s="136"/>
      <c r="BM71" s="402"/>
      <c r="BN71" s="136"/>
      <c r="BO71" s="1091"/>
      <c r="BP71" s="78"/>
      <c r="BQ71" s="199"/>
      <c r="BR71" s="199"/>
      <c r="BS71" s="199"/>
      <c r="BT71" s="199"/>
      <c r="BU71" s="199"/>
      <c r="BV71" s="199"/>
      <c r="BW71" s="199"/>
      <c r="BX71" s="199"/>
      <c r="BY71" s="199"/>
      <c r="BZ71" s="199"/>
      <c r="CA71" s="199"/>
      <c r="CB71" s="199"/>
      <c r="CC71" s="199"/>
      <c r="CD71" s="199"/>
      <c r="CE71" s="199"/>
      <c r="CF71" s="199"/>
      <c r="CG71" s="199"/>
      <c r="CH71" s="199"/>
      <c r="CI71" s="199"/>
      <c r="CJ71" s="199"/>
      <c r="CK71" s="199"/>
      <c r="CL71" s="199"/>
      <c r="CM71" s="199"/>
      <c r="CN71" s="199"/>
      <c r="CO71" s="199"/>
      <c r="CP71" s="199"/>
      <c r="CQ71" s="199"/>
      <c r="CR71" s="199"/>
      <c r="CS71" s="199"/>
      <c r="CT71" s="199"/>
      <c r="CU71" s="199"/>
      <c r="CV71" s="199"/>
      <c r="CW71" s="199"/>
      <c r="CX71" s="199"/>
      <c r="CY71" s="199"/>
      <c r="CZ71" s="199"/>
      <c r="DA71" s="199"/>
      <c r="DB71" s="199"/>
    </row>
    <row r="72" spans="2:108" ht="20" hidden="1" x14ac:dyDescent="0.2">
      <c r="B72" s="330"/>
      <c r="C72" s="412"/>
      <c r="D72" s="37"/>
      <c r="E72" s="37"/>
      <c r="F72" s="37"/>
      <c r="G72" s="998"/>
      <c r="H72"/>
      <c r="I72"/>
      <c r="J72"/>
      <c r="K72"/>
      <c r="L72"/>
      <c r="M72"/>
      <c r="N72"/>
      <c r="O72" s="995"/>
      <c r="U72" s="212"/>
      <c r="V72" s="73"/>
      <c r="AB72" s="73"/>
      <c r="AC72" s="73"/>
      <c r="AD72" s="73"/>
      <c r="AE72" s="73"/>
      <c r="AF72" s="73"/>
      <c r="AG72" s="73"/>
      <c r="AH72" s="73"/>
      <c r="AI72" s="73"/>
      <c r="AJ72" s="73"/>
      <c r="AK72" s="73"/>
      <c r="AL72" s="73"/>
      <c r="AM72" s="73"/>
      <c r="AN72" s="73"/>
      <c r="AO72" s="73"/>
      <c r="AP72" s="73"/>
      <c r="AQ72" s="73"/>
      <c r="AR72" s="73"/>
      <c r="AS72" s="73"/>
      <c r="AT72" s="73"/>
      <c r="AU72" s="73"/>
      <c r="AV72" s="73"/>
      <c r="AW72" s="73"/>
      <c r="AX72" s="73"/>
      <c r="AY72" s="73"/>
      <c r="AZ72" s="73"/>
      <c r="BA72" s="73"/>
      <c r="BB72" s="73"/>
      <c r="BC72" s="126"/>
      <c r="BE72" s="136"/>
      <c r="BF72" s="136"/>
      <c r="BG72" s="136"/>
      <c r="BH72" s="136"/>
      <c r="BI72" s="136"/>
      <c r="BJ72" s="136"/>
      <c r="BK72" s="136"/>
      <c r="BL72" s="136"/>
      <c r="BM72" s="402"/>
      <c r="BN72" s="136"/>
      <c r="BO72" s="1091"/>
      <c r="BP72" s="78"/>
      <c r="BQ72" s="199"/>
      <c r="BR72" s="199"/>
      <c r="BS72" s="199"/>
      <c r="BT72" s="199"/>
      <c r="BU72" s="199"/>
      <c r="BV72" s="199"/>
      <c r="BW72" s="199"/>
      <c r="BX72" s="199"/>
      <c r="BY72" s="199"/>
      <c r="BZ72" s="199"/>
      <c r="CA72" s="199"/>
      <c r="CB72" s="199"/>
      <c r="CC72" s="199"/>
      <c r="CD72" s="199"/>
      <c r="CE72" s="199"/>
      <c r="CF72" s="199"/>
      <c r="CG72" s="199"/>
      <c r="CH72" s="199"/>
      <c r="CI72" s="199"/>
      <c r="CJ72" s="199"/>
      <c r="CK72" s="199"/>
      <c r="CL72" s="199"/>
      <c r="CM72" s="199"/>
      <c r="CN72" s="199"/>
      <c r="CO72" s="199"/>
      <c r="CP72" s="199"/>
      <c r="CQ72" s="199"/>
      <c r="CR72" s="199"/>
      <c r="CS72" s="199"/>
      <c r="CT72" s="199"/>
      <c r="CU72" s="199"/>
      <c r="CV72" s="199"/>
      <c r="CW72" s="199"/>
      <c r="CX72" s="199"/>
      <c r="CY72" s="199"/>
      <c r="CZ72" s="199"/>
      <c r="DA72" s="199"/>
      <c r="DB72" s="199"/>
    </row>
    <row r="73" spans="2:108" ht="20" hidden="1" x14ac:dyDescent="0.2">
      <c r="B73" s="330"/>
      <c r="C73" s="412"/>
      <c r="D73" s="37"/>
      <c r="E73" s="37"/>
      <c r="F73" s="37"/>
      <c r="G73" s="998"/>
      <c r="H73"/>
      <c r="I73"/>
      <c r="J73"/>
      <c r="K73"/>
      <c r="L73"/>
      <c r="M73"/>
      <c r="N73"/>
      <c r="O73" s="995"/>
      <c r="U73" s="212"/>
      <c r="V73" s="73"/>
      <c r="AB73" s="73"/>
      <c r="AC73" s="73"/>
      <c r="AD73" s="73"/>
      <c r="AE73" s="73"/>
      <c r="AF73" s="73"/>
      <c r="AG73" s="73"/>
      <c r="AH73" s="73"/>
      <c r="AI73" s="73"/>
      <c r="AJ73" s="73"/>
      <c r="AK73" s="73"/>
      <c r="AL73" s="73"/>
      <c r="AM73" s="73"/>
      <c r="AN73" s="73"/>
      <c r="AO73" s="73"/>
      <c r="AP73" s="73"/>
      <c r="AQ73" s="73"/>
      <c r="AR73" s="73"/>
      <c r="AS73" s="73"/>
      <c r="AT73" s="73"/>
      <c r="AU73" s="73"/>
      <c r="AV73" s="73"/>
      <c r="AW73" s="73"/>
      <c r="AX73" s="73"/>
      <c r="AY73" s="73"/>
      <c r="AZ73" s="73"/>
      <c r="BA73" s="73"/>
      <c r="BB73" s="73"/>
      <c r="BC73" s="126"/>
      <c r="BE73" s="136"/>
      <c r="BF73" s="136"/>
      <c r="BG73" s="136"/>
      <c r="BH73" s="136"/>
      <c r="BI73" s="136"/>
      <c r="BJ73" s="136"/>
      <c r="BK73" s="136"/>
      <c r="BL73" s="136"/>
      <c r="BM73" s="402"/>
      <c r="BN73" s="136"/>
      <c r="BO73" s="1091"/>
      <c r="BP73" s="78"/>
      <c r="BQ73" s="199"/>
      <c r="BR73" s="199"/>
      <c r="BS73" s="199"/>
      <c r="BT73" s="199"/>
      <c r="BU73" s="199"/>
      <c r="BV73" s="199"/>
      <c r="BW73" s="199"/>
      <c r="BX73" s="199"/>
      <c r="BY73" s="199"/>
      <c r="BZ73" s="199"/>
      <c r="CA73" s="199"/>
      <c r="CB73" s="199"/>
      <c r="CC73" s="199"/>
      <c r="CD73" s="199"/>
      <c r="CE73" s="199"/>
      <c r="CF73" s="199"/>
      <c r="CG73" s="199"/>
      <c r="CH73" s="199"/>
      <c r="CI73" s="199"/>
      <c r="CJ73" s="199"/>
      <c r="CK73" s="199"/>
      <c r="CL73" s="199"/>
      <c r="CM73" s="199"/>
      <c r="CN73" s="199"/>
      <c r="CO73" s="199"/>
      <c r="CP73" s="199"/>
      <c r="CQ73" s="199"/>
      <c r="CR73" s="199"/>
      <c r="CS73" s="199"/>
      <c r="CT73" s="199"/>
      <c r="CU73" s="199"/>
      <c r="CV73" s="199"/>
      <c r="CW73" s="199"/>
      <c r="CX73" s="199"/>
      <c r="CY73" s="199"/>
      <c r="CZ73" s="199"/>
      <c r="DA73" s="199"/>
      <c r="DB73" s="199"/>
    </row>
    <row r="74" spans="2:108" ht="20" hidden="1" x14ac:dyDescent="0.2">
      <c r="B74" s="330"/>
      <c r="C74" s="412"/>
      <c r="D74" s="37"/>
      <c r="E74" s="37"/>
      <c r="F74" s="37"/>
      <c r="G74" s="998"/>
      <c r="H74"/>
      <c r="I74"/>
      <c r="J74"/>
      <c r="K74"/>
      <c r="L74"/>
      <c r="M74"/>
      <c r="N74"/>
      <c r="O74" s="995"/>
      <c r="U74" s="212"/>
      <c r="V74" s="73"/>
      <c r="AB74" s="73"/>
      <c r="AC74" s="73"/>
      <c r="AD74" s="73"/>
      <c r="AE74" s="73"/>
      <c r="AF74" s="73"/>
      <c r="AG74" s="73"/>
      <c r="AH74" s="73"/>
      <c r="AI74" s="73"/>
      <c r="AJ74" s="73"/>
      <c r="AK74" s="73"/>
      <c r="AL74" s="73"/>
      <c r="AM74" s="73"/>
      <c r="AN74" s="73"/>
      <c r="AO74" s="73"/>
      <c r="AP74" s="73"/>
      <c r="AQ74" s="73"/>
      <c r="AR74" s="73"/>
      <c r="AS74" s="73"/>
      <c r="AT74" s="73"/>
      <c r="AU74" s="73"/>
      <c r="AV74" s="73"/>
      <c r="AW74" s="73"/>
      <c r="AX74" s="73"/>
      <c r="AY74" s="73"/>
      <c r="AZ74" s="73"/>
      <c r="BA74" s="73"/>
      <c r="BB74" s="73"/>
      <c r="BC74" s="126"/>
      <c r="BE74" s="136"/>
      <c r="BF74" s="136"/>
      <c r="BG74" s="136"/>
      <c r="BH74" s="136"/>
      <c r="BI74" s="136"/>
      <c r="BJ74" s="136"/>
      <c r="BK74" s="136"/>
      <c r="BL74" s="136"/>
      <c r="BM74" s="402"/>
      <c r="BN74" s="136"/>
      <c r="BO74" s="1091"/>
      <c r="BP74" s="78"/>
      <c r="BQ74" s="199"/>
      <c r="BR74" s="199"/>
      <c r="BS74" s="199"/>
      <c r="BT74" s="199"/>
      <c r="BU74" s="199"/>
      <c r="BV74" s="199"/>
      <c r="BW74" s="199"/>
      <c r="BX74" s="199"/>
      <c r="BY74" s="199"/>
      <c r="BZ74" s="199"/>
      <c r="CA74" s="199"/>
      <c r="CB74" s="199"/>
      <c r="CC74" s="199"/>
      <c r="CD74" s="199"/>
      <c r="CE74" s="199"/>
      <c r="CF74" s="199"/>
      <c r="CG74" s="199"/>
      <c r="CH74" s="199"/>
      <c r="CI74" s="199"/>
      <c r="CJ74" s="199"/>
      <c r="CK74" s="199"/>
      <c r="CL74" s="199"/>
      <c r="CM74" s="199"/>
      <c r="CN74" s="199"/>
      <c r="CO74" s="199"/>
      <c r="CP74" s="199"/>
      <c r="CQ74" s="199"/>
      <c r="CR74" s="199"/>
      <c r="CS74" s="199"/>
      <c r="CT74" s="199"/>
      <c r="CU74" s="199"/>
      <c r="CV74" s="199"/>
      <c r="CW74" s="199"/>
      <c r="CX74" s="199"/>
      <c r="CY74" s="199"/>
      <c r="CZ74" s="199"/>
      <c r="DA74" s="199"/>
      <c r="DB74" s="199"/>
    </row>
    <row r="75" spans="2:108" ht="20" hidden="1" x14ac:dyDescent="0.2">
      <c r="B75" s="330"/>
      <c r="C75" s="412"/>
      <c r="D75" s="37"/>
      <c r="E75" s="37"/>
      <c r="F75" s="37"/>
      <c r="G75" s="998"/>
      <c r="H75"/>
      <c r="I75"/>
      <c r="J75"/>
      <c r="K75"/>
      <c r="L75"/>
      <c r="M75"/>
      <c r="N75"/>
      <c r="O75" s="995"/>
      <c r="U75" s="212"/>
      <c r="V75" s="73"/>
      <c r="AB75" s="73"/>
      <c r="AC75" s="73"/>
      <c r="AD75" s="73"/>
      <c r="AE75" s="73"/>
      <c r="AF75" s="73"/>
      <c r="AG75" s="73"/>
      <c r="AH75" s="73"/>
      <c r="AI75" s="73"/>
      <c r="AJ75" s="73"/>
      <c r="AK75" s="73"/>
      <c r="AL75" s="73"/>
      <c r="AM75" s="73"/>
      <c r="AN75" s="73"/>
      <c r="AO75" s="73"/>
      <c r="AP75" s="73"/>
      <c r="AQ75" s="73"/>
      <c r="AR75" s="73"/>
      <c r="AS75" s="73"/>
      <c r="AT75" s="73"/>
      <c r="AU75" s="73"/>
      <c r="AV75" s="73"/>
      <c r="AW75" s="73"/>
      <c r="AX75" s="73"/>
      <c r="AY75" s="73"/>
      <c r="AZ75" s="73"/>
      <c r="BA75" s="73"/>
      <c r="BB75" s="73"/>
      <c r="BC75" s="126"/>
      <c r="BE75" s="136"/>
      <c r="BF75" s="136"/>
      <c r="BG75" s="136"/>
      <c r="BH75" s="136"/>
      <c r="BI75" s="136"/>
      <c r="BJ75" s="136"/>
      <c r="BK75" s="136"/>
      <c r="BL75" s="136"/>
      <c r="BM75" s="402"/>
      <c r="BN75" s="136"/>
      <c r="BO75" s="1091"/>
      <c r="BP75" s="78"/>
      <c r="BQ75" s="199"/>
      <c r="BR75" s="199"/>
      <c r="BS75" s="199"/>
      <c r="BT75" s="199"/>
      <c r="BU75" s="199"/>
      <c r="BV75" s="199"/>
      <c r="BW75" s="199"/>
      <c r="BX75" s="199"/>
      <c r="BY75" s="199"/>
      <c r="BZ75" s="199"/>
      <c r="CA75" s="199"/>
      <c r="CB75" s="199"/>
      <c r="CC75" s="199"/>
      <c r="CD75" s="199"/>
      <c r="CE75" s="199"/>
      <c r="CF75" s="199"/>
      <c r="CG75" s="199"/>
      <c r="CH75" s="199"/>
      <c r="CI75" s="199"/>
      <c r="CJ75" s="199"/>
      <c r="CK75" s="199"/>
      <c r="CL75" s="199"/>
      <c r="CM75" s="199"/>
      <c r="CN75" s="199"/>
      <c r="CO75" s="199"/>
      <c r="CP75" s="199"/>
      <c r="CQ75" s="199"/>
      <c r="CR75" s="199"/>
      <c r="CS75" s="199"/>
      <c r="CT75" s="199"/>
      <c r="CU75" s="199"/>
      <c r="CV75" s="199"/>
      <c r="CW75" s="199"/>
      <c r="CX75" s="199"/>
      <c r="CY75" s="199"/>
      <c r="CZ75" s="199"/>
      <c r="DA75" s="199"/>
      <c r="DB75" s="199"/>
    </row>
    <row r="76" spans="2:108" ht="20" hidden="1" x14ac:dyDescent="0.2">
      <c r="B76" s="330"/>
      <c r="C76" s="412"/>
      <c r="D76" s="37"/>
      <c r="E76" s="37"/>
      <c r="F76" s="37"/>
      <c r="G76" s="998"/>
      <c r="H76"/>
      <c r="I76"/>
      <c r="J76"/>
      <c r="K76"/>
      <c r="L76"/>
      <c r="M76"/>
      <c r="N76"/>
      <c r="O76" s="995"/>
      <c r="U76" s="212"/>
      <c r="V76" s="73"/>
      <c r="AB76" s="73"/>
      <c r="AC76" s="73"/>
      <c r="AD76" s="73"/>
      <c r="AE76" s="73"/>
      <c r="AF76" s="73"/>
      <c r="AG76" s="73"/>
      <c r="AH76" s="73"/>
      <c r="AI76" s="73"/>
      <c r="AJ76" s="73"/>
      <c r="AK76" s="73"/>
      <c r="AL76" s="73"/>
      <c r="AM76" s="73"/>
      <c r="AN76" s="73"/>
      <c r="AO76" s="73"/>
      <c r="AP76" s="73"/>
      <c r="AQ76" s="73"/>
      <c r="AR76" s="73"/>
      <c r="AS76" s="73"/>
      <c r="AT76" s="73"/>
      <c r="AU76" s="73"/>
      <c r="AV76" s="73"/>
      <c r="AW76" s="73"/>
      <c r="AX76" s="73"/>
      <c r="AY76" s="73"/>
      <c r="AZ76" s="73"/>
      <c r="BA76" s="73"/>
      <c r="BB76" s="73"/>
      <c r="BC76" s="126"/>
      <c r="BE76" s="136"/>
      <c r="BF76" s="136"/>
      <c r="BG76" s="136"/>
      <c r="BH76" s="136"/>
      <c r="BI76" s="136"/>
      <c r="BJ76" s="136"/>
      <c r="BK76" s="136"/>
      <c r="BL76" s="136"/>
      <c r="BM76" s="402"/>
      <c r="BN76" s="136"/>
      <c r="BO76" s="1091"/>
      <c r="BP76" s="78"/>
      <c r="BQ76" s="199"/>
      <c r="BR76" s="199"/>
      <c r="BS76" s="199"/>
      <c r="BT76" s="199"/>
      <c r="BU76" s="199"/>
      <c r="BV76" s="199"/>
      <c r="BW76" s="199"/>
      <c r="BX76" s="199"/>
      <c r="BY76" s="199"/>
      <c r="BZ76" s="199"/>
      <c r="CA76" s="199"/>
      <c r="CB76" s="199"/>
      <c r="CC76" s="199"/>
      <c r="CD76" s="199"/>
      <c r="CE76" s="199"/>
      <c r="CF76" s="199"/>
      <c r="CG76" s="199"/>
      <c r="CH76" s="199"/>
      <c r="CI76" s="199"/>
      <c r="CJ76" s="199"/>
      <c r="CK76" s="199"/>
      <c r="CL76" s="199"/>
      <c r="CM76" s="199"/>
      <c r="CN76" s="199"/>
      <c r="CO76" s="199"/>
      <c r="CP76" s="199"/>
      <c r="CQ76" s="199"/>
      <c r="CR76" s="199"/>
      <c r="CS76" s="199"/>
      <c r="CT76" s="199"/>
      <c r="CU76" s="199"/>
      <c r="CV76" s="199"/>
      <c r="CW76" s="199"/>
      <c r="CX76" s="199"/>
      <c r="CY76" s="199"/>
      <c r="CZ76" s="199"/>
      <c r="DA76" s="199"/>
      <c r="DB76" s="199"/>
    </row>
    <row r="77" spans="2:108" ht="20" hidden="1" x14ac:dyDescent="0.2">
      <c r="B77" s="330"/>
      <c r="C77" s="412"/>
      <c r="D77" s="37"/>
      <c r="E77" s="37"/>
      <c r="F77" s="37"/>
      <c r="G77" s="998"/>
      <c r="H77"/>
      <c r="I77"/>
      <c r="J77"/>
      <c r="K77"/>
      <c r="L77"/>
      <c r="M77"/>
      <c r="N77"/>
      <c r="O77" s="995"/>
      <c r="U77" s="212"/>
      <c r="V77" s="73"/>
      <c r="AB77" s="73"/>
      <c r="AC77" s="73"/>
      <c r="AD77" s="73"/>
      <c r="AE77" s="73"/>
      <c r="AF77" s="73"/>
      <c r="AG77" s="73"/>
      <c r="AH77" s="73"/>
      <c r="AI77" s="73"/>
      <c r="AJ77" s="73"/>
      <c r="AK77" s="73"/>
      <c r="AL77" s="73"/>
      <c r="AM77" s="73"/>
      <c r="AN77" s="73"/>
      <c r="AO77" s="73"/>
      <c r="AP77" s="73"/>
      <c r="AQ77" s="73"/>
      <c r="AR77" s="73"/>
      <c r="AS77" s="73"/>
      <c r="AT77" s="73"/>
      <c r="AU77" s="73"/>
      <c r="AV77" s="73"/>
      <c r="AW77" s="73"/>
      <c r="AX77" s="73"/>
      <c r="AY77" s="73"/>
      <c r="AZ77" s="73"/>
      <c r="BA77" s="73"/>
      <c r="BB77" s="73"/>
      <c r="BC77" s="126"/>
      <c r="BE77" s="136"/>
      <c r="BF77" s="136"/>
      <c r="BG77" s="136"/>
      <c r="BH77" s="136"/>
      <c r="BI77" s="136"/>
      <c r="BJ77" s="136"/>
      <c r="BK77" s="136"/>
      <c r="BL77" s="136"/>
      <c r="BM77" s="402"/>
      <c r="BN77" s="136"/>
      <c r="BO77" s="1091"/>
      <c r="BP77" s="78"/>
      <c r="BQ77" s="199"/>
      <c r="BR77" s="199"/>
      <c r="BS77" s="199"/>
      <c r="BT77" s="199"/>
      <c r="BU77" s="199"/>
      <c r="BV77" s="199"/>
      <c r="BW77" s="199"/>
      <c r="BX77" s="199"/>
      <c r="BY77" s="199"/>
      <c r="BZ77" s="199"/>
      <c r="CA77" s="199"/>
      <c r="CB77" s="199"/>
      <c r="CC77" s="199"/>
      <c r="CD77" s="199"/>
      <c r="CE77" s="199"/>
      <c r="CF77" s="199"/>
      <c r="CG77" s="199"/>
      <c r="CH77" s="199"/>
      <c r="CI77" s="199"/>
      <c r="CJ77" s="199"/>
      <c r="CK77" s="199"/>
      <c r="CL77" s="199"/>
      <c r="CM77" s="199"/>
      <c r="CN77" s="199"/>
      <c r="CO77" s="199"/>
      <c r="CP77" s="199"/>
      <c r="CQ77" s="199"/>
      <c r="CR77" s="199"/>
      <c r="CS77" s="199"/>
      <c r="CT77" s="199"/>
      <c r="CU77" s="199"/>
      <c r="CV77" s="199"/>
      <c r="CW77" s="199"/>
      <c r="CX77" s="199"/>
      <c r="CY77" s="199"/>
      <c r="CZ77" s="199"/>
      <c r="DA77" s="199"/>
      <c r="DB77" s="199"/>
    </row>
    <row r="78" spans="2:108" ht="20" hidden="1" x14ac:dyDescent="0.2">
      <c r="B78" s="330"/>
      <c r="C78" s="412"/>
      <c r="D78" s="37"/>
      <c r="E78" s="37"/>
      <c r="F78" s="37"/>
      <c r="G78" s="998"/>
      <c r="H78"/>
      <c r="I78"/>
      <c r="J78"/>
      <c r="K78"/>
      <c r="L78"/>
      <c r="M78"/>
      <c r="N78"/>
      <c r="O78" s="995"/>
      <c r="U78" s="212"/>
      <c r="V78" s="73"/>
      <c r="AB78" s="73"/>
      <c r="AC78" s="73"/>
      <c r="AD78" s="73"/>
      <c r="AE78" s="73"/>
      <c r="AF78" s="73"/>
      <c r="AG78" s="73"/>
      <c r="AH78" s="73"/>
      <c r="AI78" s="73"/>
      <c r="AJ78" s="73"/>
      <c r="AK78" s="73"/>
      <c r="AL78" s="73"/>
      <c r="AM78" s="73"/>
      <c r="AN78" s="73"/>
      <c r="AO78" s="73"/>
      <c r="AP78" s="73"/>
      <c r="AQ78" s="73"/>
      <c r="AR78" s="73"/>
      <c r="AS78" s="73"/>
      <c r="AT78" s="73"/>
      <c r="AU78" s="73"/>
      <c r="AV78" s="73"/>
      <c r="AW78" s="73"/>
      <c r="AX78" s="73"/>
      <c r="AY78" s="73"/>
      <c r="AZ78" s="73"/>
      <c r="BA78" s="73"/>
      <c r="BB78" s="73"/>
      <c r="BC78" s="126"/>
      <c r="BE78" s="136"/>
      <c r="BF78" s="136"/>
      <c r="BG78" s="136"/>
      <c r="BH78" s="136"/>
      <c r="BI78" s="136"/>
      <c r="BJ78" s="136"/>
      <c r="BK78" s="136"/>
      <c r="BL78" s="136"/>
      <c r="BM78" s="402"/>
      <c r="BN78" s="136"/>
      <c r="BO78" s="1091"/>
      <c r="BP78" s="78"/>
      <c r="BQ78" s="199"/>
      <c r="BR78" s="199"/>
      <c r="BS78" s="199"/>
      <c r="BT78" s="199"/>
      <c r="BU78" s="199"/>
      <c r="BV78" s="199"/>
      <c r="BW78" s="199"/>
      <c r="BX78" s="199"/>
      <c r="BY78" s="199"/>
      <c r="BZ78" s="199"/>
      <c r="CA78" s="199"/>
      <c r="CB78" s="199"/>
      <c r="CC78" s="199"/>
      <c r="CD78" s="199"/>
      <c r="CE78" s="199"/>
      <c r="CF78" s="199"/>
      <c r="CG78" s="199"/>
      <c r="CH78" s="199"/>
      <c r="CI78" s="199"/>
      <c r="CJ78" s="199"/>
      <c r="CK78" s="199"/>
      <c r="CL78" s="199"/>
      <c r="CM78" s="199"/>
      <c r="CN78" s="199"/>
      <c r="CO78" s="199"/>
      <c r="CP78" s="199"/>
      <c r="CQ78" s="199"/>
      <c r="CR78" s="199"/>
      <c r="CS78" s="199"/>
      <c r="CT78" s="199"/>
      <c r="CU78" s="199"/>
      <c r="CV78" s="199"/>
      <c r="CW78" s="199"/>
      <c r="CX78" s="199"/>
      <c r="CY78" s="199"/>
      <c r="CZ78" s="199"/>
      <c r="DA78" s="199"/>
      <c r="DB78" s="199"/>
    </row>
    <row r="79" spans="2:108" ht="20" hidden="1" x14ac:dyDescent="0.2">
      <c r="B79" s="330"/>
      <c r="C79" s="412"/>
      <c r="D79" s="37"/>
      <c r="E79" s="37"/>
      <c r="F79" s="37"/>
      <c r="G79" s="1008"/>
      <c r="H79"/>
      <c r="I79"/>
      <c r="J79"/>
      <c r="K79"/>
      <c r="L79"/>
      <c r="M79"/>
      <c r="N79"/>
      <c r="O79" s="995"/>
      <c r="U79" s="212"/>
      <c r="V79" s="73"/>
      <c r="AB79" s="73"/>
      <c r="AC79" s="73"/>
      <c r="AD79" s="73"/>
      <c r="AE79" s="73"/>
      <c r="AF79" s="73"/>
      <c r="AG79" s="73"/>
      <c r="AH79" s="73"/>
      <c r="AI79" s="73"/>
      <c r="AJ79" s="73"/>
      <c r="AK79" s="73"/>
      <c r="AL79" s="73"/>
      <c r="AM79" s="73"/>
      <c r="AN79" s="73"/>
      <c r="AO79" s="73"/>
      <c r="AP79" s="73"/>
      <c r="AQ79" s="73"/>
      <c r="AR79" s="73"/>
      <c r="AS79" s="73"/>
      <c r="AT79" s="73"/>
      <c r="AU79" s="73"/>
      <c r="AV79" s="73"/>
      <c r="AW79" s="73"/>
      <c r="AX79" s="73"/>
      <c r="AY79" s="73"/>
      <c r="AZ79" s="73"/>
      <c r="BA79" s="73"/>
      <c r="BB79" s="73"/>
      <c r="BC79" s="126"/>
      <c r="BE79" s="136"/>
      <c r="BF79" s="136"/>
      <c r="BG79" s="136"/>
      <c r="BH79" s="136"/>
      <c r="BI79" s="136"/>
      <c r="BJ79" s="136"/>
      <c r="BK79" s="136"/>
      <c r="BL79" s="136"/>
      <c r="BM79" s="402"/>
      <c r="BN79" s="136"/>
      <c r="BO79" s="1091"/>
      <c r="BP79" s="78"/>
      <c r="BQ79" s="199"/>
      <c r="BR79" s="199"/>
      <c r="BS79" s="199"/>
      <c r="BT79" s="199"/>
      <c r="BU79" s="199"/>
      <c r="BV79" s="199"/>
      <c r="BW79" s="199"/>
      <c r="BX79" s="199"/>
      <c r="BY79" s="199"/>
      <c r="BZ79" s="199"/>
      <c r="CA79" s="199"/>
      <c r="CB79" s="199"/>
      <c r="CC79" s="199"/>
      <c r="CD79" s="199"/>
      <c r="CE79" s="199"/>
      <c r="CF79" s="199"/>
      <c r="CG79" s="199"/>
      <c r="CH79" s="199"/>
      <c r="CI79" s="199"/>
      <c r="CJ79" s="199"/>
      <c r="CK79" s="199"/>
      <c r="CL79" s="199"/>
      <c r="CM79" s="199"/>
      <c r="CN79" s="199"/>
      <c r="CO79" s="199"/>
      <c r="CP79" s="199"/>
      <c r="CQ79" s="199"/>
      <c r="CR79" s="199"/>
      <c r="CS79" s="199"/>
      <c r="CT79" s="199"/>
      <c r="CU79" s="199"/>
      <c r="CV79" s="199"/>
      <c r="CW79" s="199"/>
      <c r="CX79" s="199"/>
      <c r="CY79" s="199"/>
      <c r="CZ79" s="199"/>
      <c r="DA79" s="199"/>
      <c r="DB79" s="199"/>
    </row>
    <row r="80" spans="2:108" ht="20" hidden="1" x14ac:dyDescent="0.2">
      <c r="B80" s="330"/>
      <c r="C80" s="412"/>
      <c r="D80" s="37"/>
      <c r="E80" s="37"/>
      <c r="F80" s="37"/>
      <c r="G80" s="998"/>
      <c r="H80"/>
      <c r="I80"/>
      <c r="J80"/>
      <c r="K80"/>
      <c r="L80"/>
      <c r="M80"/>
      <c r="N80"/>
      <c r="O80" s="995"/>
      <c r="U80" s="212"/>
      <c r="V80" s="73"/>
      <c r="AB80" s="73"/>
      <c r="AC80" s="73"/>
      <c r="AD80" s="73"/>
      <c r="AE80" s="73"/>
      <c r="AF80" s="73"/>
      <c r="AG80" s="73"/>
      <c r="AH80" s="73"/>
      <c r="AI80" s="73"/>
      <c r="AJ80" s="73"/>
      <c r="AK80" s="73"/>
      <c r="AL80" s="73"/>
      <c r="AM80" s="73"/>
      <c r="AN80" s="73"/>
      <c r="AO80" s="73"/>
      <c r="AP80" s="73"/>
      <c r="AQ80" s="73"/>
      <c r="AR80" s="73"/>
      <c r="AS80" s="73"/>
      <c r="AT80" s="73"/>
      <c r="AU80" s="73"/>
      <c r="AV80" s="73"/>
      <c r="AW80" s="73"/>
      <c r="AX80" s="73"/>
      <c r="AY80" s="73"/>
      <c r="AZ80" s="73"/>
      <c r="BA80" s="73"/>
      <c r="BB80" s="73"/>
      <c r="BC80" s="126"/>
      <c r="BE80" s="136"/>
      <c r="BF80" s="136"/>
      <c r="BG80" s="136"/>
      <c r="BH80" s="136"/>
      <c r="BI80" s="136"/>
      <c r="BJ80" s="136"/>
      <c r="BK80" s="136"/>
      <c r="BL80" s="136"/>
      <c r="BM80" s="402"/>
      <c r="BN80" s="136"/>
      <c r="BO80" s="1091"/>
      <c r="BP80" s="78"/>
      <c r="BQ80" s="199"/>
      <c r="BR80" s="199"/>
      <c r="BS80" s="199"/>
      <c r="BT80" s="199"/>
      <c r="BU80" s="199"/>
      <c r="BV80" s="199"/>
      <c r="BW80" s="199"/>
      <c r="BX80" s="199"/>
      <c r="BY80" s="199"/>
      <c r="BZ80" s="199"/>
      <c r="CA80" s="199"/>
      <c r="CB80" s="199"/>
      <c r="CC80" s="199"/>
      <c r="CD80" s="199"/>
      <c r="CE80" s="199"/>
      <c r="CF80" s="199"/>
      <c r="CG80" s="199"/>
      <c r="CH80" s="199"/>
      <c r="CI80" s="199"/>
      <c r="CJ80" s="199"/>
      <c r="CK80" s="199"/>
      <c r="CL80" s="199"/>
      <c r="CM80" s="199"/>
      <c r="CN80" s="199"/>
      <c r="CO80" s="199"/>
      <c r="CP80" s="199"/>
      <c r="CQ80" s="199"/>
      <c r="CR80" s="199"/>
      <c r="CS80" s="199"/>
      <c r="CT80" s="199"/>
      <c r="CU80" s="199"/>
      <c r="CV80" s="199"/>
      <c r="CW80" s="199"/>
      <c r="CX80" s="199"/>
      <c r="CY80" s="199"/>
      <c r="CZ80" s="199"/>
      <c r="DA80" s="199"/>
      <c r="DB80" s="199"/>
    </row>
    <row r="81" spans="2:108" ht="20" hidden="1" x14ac:dyDescent="0.2">
      <c r="B81" s="330"/>
      <c r="C81" s="412"/>
      <c r="D81" s="37"/>
      <c r="E81" s="37"/>
      <c r="F81" s="37"/>
      <c r="G81" s="998"/>
      <c r="H81"/>
      <c r="I81"/>
      <c r="J81"/>
      <c r="K81"/>
      <c r="L81"/>
      <c r="M81"/>
      <c r="N81"/>
      <c r="O81" s="995"/>
      <c r="U81" s="212"/>
      <c r="V81" s="73"/>
      <c r="AB81" s="73"/>
      <c r="AC81" s="73"/>
      <c r="AD81" s="73"/>
      <c r="AE81" s="73"/>
      <c r="AF81" s="73"/>
      <c r="AG81" s="73"/>
      <c r="AH81" s="73"/>
      <c r="AI81" s="73"/>
      <c r="AJ81" s="73"/>
      <c r="AK81" s="73"/>
      <c r="AL81" s="73"/>
      <c r="AM81" s="73"/>
      <c r="AN81" s="73"/>
      <c r="AO81" s="73"/>
      <c r="AP81" s="73"/>
      <c r="AQ81" s="73"/>
      <c r="AR81" s="73"/>
      <c r="AS81" s="73"/>
      <c r="AT81" s="73"/>
      <c r="AU81" s="73"/>
      <c r="AV81" s="73"/>
      <c r="AW81" s="73"/>
      <c r="AX81" s="73"/>
      <c r="AY81" s="73"/>
      <c r="AZ81" s="73"/>
      <c r="BA81" s="73"/>
      <c r="BB81" s="73"/>
      <c r="BC81" s="126"/>
      <c r="BE81" s="136"/>
      <c r="BF81" s="136"/>
      <c r="BG81" s="136"/>
      <c r="BH81" s="136"/>
      <c r="BI81" s="136"/>
      <c r="BJ81" s="136"/>
      <c r="BK81" s="136"/>
      <c r="BL81" s="136"/>
      <c r="BM81" s="402"/>
      <c r="BN81" s="136"/>
      <c r="BO81" s="1091"/>
      <c r="BP81" s="78"/>
      <c r="BQ81" s="199"/>
      <c r="BR81" s="199"/>
      <c r="BS81" s="199"/>
      <c r="BT81" s="199"/>
      <c r="BU81" s="199"/>
      <c r="BV81" s="199"/>
      <c r="BW81" s="199"/>
      <c r="BX81" s="199"/>
      <c r="BY81" s="199"/>
      <c r="BZ81" s="199"/>
      <c r="CA81" s="199"/>
      <c r="CB81" s="199"/>
      <c r="CC81" s="199"/>
      <c r="CD81" s="199"/>
      <c r="CE81" s="199"/>
      <c r="CF81" s="199"/>
      <c r="CG81" s="199"/>
      <c r="CH81" s="199"/>
      <c r="CI81" s="199"/>
      <c r="CJ81" s="199"/>
      <c r="CK81" s="199"/>
      <c r="CL81" s="199"/>
      <c r="CM81" s="199"/>
      <c r="CN81" s="199"/>
      <c r="CO81" s="199"/>
      <c r="CP81" s="199"/>
      <c r="CQ81" s="199"/>
      <c r="CR81" s="199"/>
      <c r="CS81" s="199"/>
      <c r="CT81" s="199"/>
      <c r="CU81" s="199"/>
      <c r="CV81" s="199"/>
      <c r="CW81" s="199"/>
      <c r="CX81" s="199"/>
      <c r="CY81" s="199"/>
      <c r="CZ81" s="199"/>
      <c r="DA81" s="199"/>
      <c r="DB81" s="199"/>
    </row>
    <row r="82" spans="2:108" ht="21" hidden="1" thickBot="1" x14ac:dyDescent="0.25">
      <c r="B82" s="330"/>
      <c r="C82" s="412"/>
      <c r="D82" s="37"/>
      <c r="E82" s="37"/>
      <c r="F82" s="37"/>
      <c r="G82" s="998"/>
      <c r="H82"/>
      <c r="I82"/>
      <c r="J82"/>
      <c r="K82"/>
      <c r="L82"/>
      <c r="M82"/>
      <c r="N82"/>
      <c r="O82" s="995"/>
      <c r="U82" s="212"/>
      <c r="V82" s="73"/>
      <c r="AB82" s="73"/>
      <c r="AC82" s="73"/>
      <c r="AD82" s="73"/>
      <c r="AE82" s="73"/>
      <c r="AF82" s="73"/>
      <c r="AG82" s="73"/>
      <c r="AH82" s="73"/>
      <c r="AI82" s="73"/>
      <c r="AJ82" s="73"/>
      <c r="AK82" s="73"/>
      <c r="AL82" s="73"/>
      <c r="AM82" s="73"/>
      <c r="AN82" s="73"/>
      <c r="AO82" s="73"/>
      <c r="AP82" s="73"/>
      <c r="AQ82" s="73"/>
      <c r="AR82" s="73"/>
      <c r="AS82" s="73"/>
      <c r="AT82" s="73"/>
      <c r="AU82" s="73"/>
      <c r="AV82" s="73"/>
      <c r="AW82" s="73"/>
      <c r="AX82" s="73"/>
      <c r="AY82" s="73"/>
      <c r="AZ82" s="73"/>
      <c r="BA82" s="73"/>
      <c r="BB82" s="73"/>
      <c r="BC82" s="126"/>
      <c r="BE82" s="136"/>
      <c r="BF82" s="136"/>
      <c r="BG82" s="136"/>
      <c r="BH82" s="136"/>
      <c r="BI82" s="136"/>
      <c r="BJ82" s="136"/>
      <c r="BK82" s="136"/>
      <c r="BL82" s="136"/>
      <c r="BM82" s="402"/>
      <c r="BN82" s="136"/>
      <c r="BO82" s="1091"/>
      <c r="BP82" s="78"/>
      <c r="BQ82" s="199"/>
      <c r="BR82" s="199"/>
      <c r="BS82" s="199"/>
      <c r="BT82" s="199"/>
      <c r="BU82" s="199"/>
      <c r="BV82" s="199"/>
      <c r="BW82" s="199"/>
      <c r="BX82" s="199"/>
      <c r="BY82" s="199"/>
      <c r="BZ82" s="199"/>
      <c r="CA82" s="199"/>
      <c r="CB82" s="199"/>
      <c r="CC82" s="199"/>
      <c r="CD82" s="199"/>
      <c r="CE82" s="199"/>
      <c r="CF82" s="199"/>
      <c r="CG82" s="199"/>
      <c r="CH82" s="199"/>
      <c r="CI82" s="199"/>
      <c r="CJ82" s="199"/>
      <c r="CK82" s="199"/>
      <c r="CL82" s="199"/>
      <c r="CM82" s="199"/>
      <c r="CN82" s="199"/>
      <c r="CO82" s="199"/>
      <c r="CP82" s="199"/>
      <c r="CQ82" s="199"/>
      <c r="CR82" s="199"/>
      <c r="CS82" s="199"/>
      <c r="CT82" s="199"/>
      <c r="CU82" s="199"/>
      <c r="CV82" s="199"/>
      <c r="CW82" s="199"/>
      <c r="CX82" s="199"/>
      <c r="CY82" s="199"/>
      <c r="CZ82" s="199"/>
      <c r="DA82" s="199"/>
      <c r="DB82" s="199"/>
    </row>
    <row r="83" spans="2:108" ht="21" hidden="1" thickBot="1" x14ac:dyDescent="0.25">
      <c r="B83" s="330"/>
      <c r="C83" s="412"/>
      <c r="D83" s="37"/>
      <c r="E83" s="37"/>
      <c r="F83" s="37"/>
      <c r="G83" s="998"/>
      <c r="H83"/>
      <c r="I83"/>
      <c r="J83"/>
      <c r="K83" s="988">
        <v>5</v>
      </c>
      <c r="L83"/>
      <c r="M83" s="988">
        <v>51</v>
      </c>
      <c r="N83"/>
      <c r="O83" s="995"/>
      <c r="U83" s="212"/>
      <c r="V83" s="73"/>
      <c r="AB83" s="73"/>
      <c r="AC83" s="73"/>
      <c r="AD83" s="73"/>
      <c r="AE83" s="73"/>
      <c r="AF83" s="73"/>
      <c r="AG83" s="73"/>
      <c r="AH83" s="73"/>
      <c r="AI83" s="73"/>
      <c r="AJ83" s="73"/>
      <c r="AK83" s="73"/>
      <c r="AL83" s="73"/>
      <c r="AM83" s="73"/>
      <c r="AN83" s="73"/>
      <c r="AO83" s="73"/>
      <c r="AP83" s="73"/>
      <c r="AQ83" s="73"/>
      <c r="AR83" s="73"/>
      <c r="AS83" s="73"/>
      <c r="AT83" s="73"/>
      <c r="AU83" s="73"/>
      <c r="AV83" s="73"/>
      <c r="AW83" s="73"/>
      <c r="AX83" s="73"/>
      <c r="AY83" s="73"/>
      <c r="AZ83" s="73"/>
      <c r="BA83" s="73"/>
      <c r="BB83" s="73"/>
      <c r="BC83" s="126"/>
      <c r="BE83" s="136"/>
      <c r="BF83" s="136"/>
      <c r="BG83" s="136"/>
      <c r="BH83" s="136"/>
      <c r="BI83" s="136"/>
      <c r="BJ83" s="136"/>
      <c r="BK83" s="136"/>
      <c r="BL83" s="136"/>
      <c r="BM83" s="402"/>
      <c r="BN83" s="136"/>
      <c r="BO83" s="1091"/>
      <c r="BP83" s="78"/>
      <c r="BQ83" s="199"/>
      <c r="BR83" s="199"/>
      <c r="BS83" s="199"/>
      <c r="BT83" s="199"/>
      <c r="BU83" s="199"/>
      <c r="BV83" s="199"/>
      <c r="BW83" s="199"/>
      <c r="BX83" s="199"/>
      <c r="BY83" s="199"/>
      <c r="BZ83" s="199"/>
      <c r="CA83" s="199"/>
      <c r="CB83" s="199"/>
      <c r="CC83" s="199"/>
      <c r="CD83" s="199"/>
      <c r="CE83" s="199"/>
      <c r="CF83" s="199"/>
      <c r="CG83" s="199"/>
      <c r="CH83" s="199"/>
      <c r="CI83" s="199"/>
      <c r="CJ83" s="199"/>
      <c r="CK83" s="199"/>
      <c r="CL83" s="199"/>
      <c r="CM83" s="199"/>
      <c r="CN83" s="199"/>
      <c r="CO83" s="199"/>
      <c r="CP83" s="199"/>
      <c r="CQ83" s="199"/>
      <c r="CR83" s="199"/>
      <c r="CS83" s="199"/>
      <c r="CT83" s="199"/>
      <c r="CU83" s="199"/>
      <c r="CV83" s="199"/>
      <c r="CW83" s="199"/>
      <c r="CX83" s="199"/>
      <c r="CY83" s="199"/>
      <c r="CZ83" s="199"/>
      <c r="DA83" s="199"/>
      <c r="DB83" s="199"/>
    </row>
    <row r="84" spans="2:108" ht="106" hidden="1" thickBot="1" x14ac:dyDescent="0.25">
      <c r="B84" s="330"/>
      <c r="C84" s="412"/>
      <c r="D84" s="37"/>
      <c r="E84" s="37"/>
      <c r="F84" s="37"/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U84" s="212"/>
      <c r="V84" s="73"/>
      <c r="AB84" s="73"/>
      <c r="AC84" s="73"/>
      <c r="AD84" s="73"/>
      <c r="AE84" s="73"/>
      <c r="AF84" s="73"/>
      <c r="AG84" s="73"/>
      <c r="AH84" s="73"/>
      <c r="AI84" s="73"/>
      <c r="AJ84" s="73"/>
      <c r="AK84" s="73"/>
      <c r="AL84" s="73"/>
      <c r="AM84" s="73"/>
      <c r="AN84" s="73"/>
      <c r="AO84" s="73"/>
      <c r="AP84" s="73"/>
      <c r="AQ84" s="73"/>
      <c r="AR84" s="73"/>
      <c r="AS84" s="73"/>
      <c r="AT84" s="73"/>
      <c r="AU84" s="73"/>
      <c r="AV84" s="73"/>
      <c r="AW84" s="73"/>
      <c r="AX84" s="73"/>
      <c r="AY84" s="73"/>
      <c r="AZ84" s="73"/>
      <c r="BA84" s="73"/>
      <c r="BB84" s="73"/>
      <c r="BC84" s="126"/>
      <c r="BE84" s="136"/>
      <c r="BF84" s="136"/>
      <c r="BG84" s="136"/>
      <c r="BH84" s="136"/>
      <c r="BI84" s="136"/>
      <c r="BJ84" s="136"/>
      <c r="BK84" s="136"/>
      <c r="BL84" s="136"/>
      <c r="BM84" s="402"/>
      <c r="BN84" s="136"/>
      <c r="BO84" s="1091"/>
      <c r="BP84" s="78"/>
      <c r="BQ84" s="199"/>
      <c r="BR84" s="199"/>
      <c r="BS84" s="199"/>
      <c r="BT84" s="199"/>
      <c r="BU84" s="199"/>
      <c r="BV84" s="199"/>
      <c r="BW84" s="199"/>
      <c r="BX84" s="199"/>
      <c r="BY84" s="199"/>
      <c r="BZ84" s="199"/>
      <c r="CA84" s="199"/>
      <c r="CB84" s="199"/>
      <c r="CC84" s="199"/>
      <c r="CD84" s="199"/>
      <c r="CE84" s="199"/>
      <c r="CF84" s="199"/>
      <c r="CG84" s="199"/>
      <c r="CH84" s="199"/>
      <c r="CI84" s="199"/>
      <c r="CJ84" s="199"/>
      <c r="CK84" s="199"/>
      <c r="CL84" s="199"/>
      <c r="CM84" s="199"/>
      <c r="CN84" s="199"/>
      <c r="CO84" s="199"/>
      <c r="CP84" s="199"/>
      <c r="CQ84" s="199"/>
      <c r="CR84" s="199"/>
      <c r="CS84" s="199"/>
      <c r="CT84" s="199"/>
      <c r="CU84" s="199"/>
      <c r="CV84" s="199"/>
      <c r="CW84" s="199"/>
      <c r="CX84" s="199"/>
      <c r="CY84" s="199"/>
      <c r="CZ84" s="199"/>
      <c r="DA84" s="199"/>
      <c r="DB84" s="199"/>
    </row>
    <row r="85" spans="2:108" ht="47.25" hidden="1" customHeight="1" thickBot="1" x14ac:dyDescent="0.3">
      <c r="B85" s="330"/>
      <c r="C85" s="412"/>
      <c r="D85" s="37"/>
      <c r="E85" s="37"/>
      <c r="F85" s="37"/>
      <c r="G85" s="998"/>
      <c r="H85"/>
      <c r="I85"/>
      <c r="J85" s="1087" t="s">
        <v>264</v>
      </c>
      <c r="K85" s="1080">
        <f>+MIN(J19:K20)</f>
        <v>49.200492004920044</v>
      </c>
      <c r="L85" s="1081">
        <f>+$E$22/(BQ27)</f>
        <v>49.200492004920044</v>
      </c>
      <c r="M85" s="1081">
        <f>+MIN(K25:L26)</f>
        <v>49.200492004920044</v>
      </c>
      <c r="N85"/>
      <c r="O85" s="995"/>
      <c r="U85" s="212"/>
      <c r="V85" s="73"/>
      <c r="AB85" s="73"/>
      <c r="AC85" s="73"/>
      <c r="AD85" s="73"/>
      <c r="AE85" s="73"/>
      <c r="AF85" s="73"/>
      <c r="AG85" s="73"/>
      <c r="AH85" s="73"/>
      <c r="AI85" s="73"/>
      <c r="AJ85" s="73"/>
      <c r="AK85" s="73"/>
      <c r="AL85" s="73"/>
      <c r="AM85" s="73"/>
      <c r="AN85" s="73"/>
      <c r="AO85" s="73"/>
      <c r="AP85" s="73"/>
      <c r="AQ85" s="73"/>
      <c r="AR85" s="73"/>
      <c r="AS85" s="73"/>
      <c r="AT85" s="73"/>
      <c r="AU85" s="73"/>
      <c r="AV85" s="73"/>
      <c r="AW85" s="73"/>
      <c r="AX85" s="73"/>
      <c r="AY85" s="73"/>
      <c r="AZ85" s="73"/>
      <c r="BA85" s="73"/>
      <c r="BB85" s="73"/>
      <c r="BC85" s="126"/>
      <c r="BE85" s="136"/>
      <c r="BF85" s="136"/>
      <c r="BG85" s="136"/>
      <c r="BH85" s="136"/>
      <c r="BI85" s="136"/>
      <c r="BJ85" s="136"/>
      <c r="BK85" s="136"/>
      <c r="BL85" s="136"/>
      <c r="BM85" s="402"/>
      <c r="BN85" s="136"/>
      <c r="BO85" s="1091"/>
      <c r="BP85" s="78"/>
      <c r="BQ85" s="199"/>
      <c r="BR85" s="199"/>
      <c r="BS85" s="199"/>
      <c r="BT85" s="199"/>
      <c r="BU85" s="199"/>
      <c r="BV85" s="199"/>
      <c r="BW85" s="199"/>
      <c r="BX85" s="199"/>
      <c r="BY85" s="199"/>
      <c r="BZ85" s="199"/>
      <c r="CA85" s="199"/>
      <c r="CB85" s="199"/>
      <c r="CC85" s="199"/>
      <c r="CD85" s="199"/>
      <c r="CE85" s="199"/>
      <c r="CF85" s="199"/>
      <c r="CG85" s="199"/>
      <c r="CH85" s="199"/>
      <c r="CI85" s="199"/>
      <c r="CJ85" s="199"/>
      <c r="CK85" s="199"/>
      <c r="CL85" s="199"/>
      <c r="CM85" s="199"/>
      <c r="CN85" s="199"/>
      <c r="CO85" s="199"/>
      <c r="CP85" s="199"/>
      <c r="CQ85" s="199"/>
      <c r="CR85" s="199"/>
      <c r="CS85" s="199"/>
      <c r="CT85" s="199"/>
      <c r="CU85" s="199"/>
      <c r="CV85" s="199"/>
      <c r="CW85" s="199"/>
      <c r="CX85" s="199"/>
      <c r="CY85" s="199"/>
      <c r="CZ85" s="199"/>
      <c r="DA85" s="199"/>
      <c r="DB85" s="199"/>
    </row>
    <row r="86" spans="2:108" ht="21" hidden="1" thickBot="1" x14ac:dyDescent="0.25">
      <c r="B86" s="330"/>
      <c r="C86" s="412"/>
      <c r="D86" s="37"/>
      <c r="E86" s="37"/>
      <c r="F86" s="37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U86" s="212"/>
      <c r="V86" s="73"/>
      <c r="AB86" s="73"/>
      <c r="AC86" s="73"/>
      <c r="AD86" s="73"/>
      <c r="AE86" s="73"/>
      <c r="AF86" s="73"/>
      <c r="AG86" s="73"/>
      <c r="AH86" s="73"/>
      <c r="AI86" s="73"/>
      <c r="AJ86" s="73"/>
      <c r="AK86" s="73"/>
      <c r="AL86" s="73"/>
      <c r="AM86" s="73"/>
      <c r="AN86" s="73"/>
      <c r="AO86" s="73"/>
      <c r="AP86" s="73"/>
      <c r="AQ86" s="73"/>
      <c r="AR86" s="73"/>
      <c r="AS86" s="73"/>
      <c r="AT86" s="73"/>
      <c r="AU86" s="73"/>
      <c r="AV86" s="73"/>
      <c r="AW86" s="73"/>
      <c r="AX86" s="73"/>
      <c r="AY86" s="73"/>
      <c r="AZ86" s="73"/>
      <c r="BA86" s="73"/>
      <c r="BB86" s="73"/>
      <c r="BC86" s="126"/>
      <c r="BE86" s="136"/>
      <c r="BF86" s="136"/>
      <c r="BG86" s="136"/>
      <c r="BH86" s="136"/>
      <c r="BI86" s="136"/>
      <c r="BJ86" s="136"/>
      <c r="BK86" s="136"/>
      <c r="BL86" s="136"/>
      <c r="BM86" s="402"/>
      <c r="BN86" s="136"/>
      <c r="BO86" s="1091"/>
      <c r="BP86" s="78"/>
      <c r="BQ86" s="199"/>
      <c r="BR86" s="199"/>
      <c r="BS86" s="199"/>
      <c r="BT86" s="199"/>
      <c r="BU86" s="199"/>
      <c r="BV86" s="199"/>
      <c r="BW86" s="199"/>
      <c r="BX86" s="199"/>
      <c r="BY86" s="199"/>
      <c r="BZ86" s="199"/>
      <c r="CA86" s="199"/>
      <c r="CB86" s="199"/>
      <c r="CC86" s="199"/>
      <c r="CD86" s="199"/>
      <c r="CE86" s="199"/>
      <c r="CF86" s="199"/>
      <c r="CG86" s="199"/>
      <c r="CH86" s="199"/>
      <c r="CI86" s="199"/>
      <c r="CJ86" s="199"/>
      <c r="CK86" s="199"/>
      <c r="CL86" s="199"/>
      <c r="CM86" s="199"/>
      <c r="CN86" s="199"/>
      <c r="CO86" s="199"/>
      <c r="CP86" s="199"/>
      <c r="CQ86" s="199"/>
      <c r="CR86" s="199"/>
      <c r="CS86" s="199"/>
      <c r="CT86" s="199"/>
      <c r="CU86" s="199"/>
      <c r="CV86" s="199"/>
      <c r="CW86" s="199"/>
      <c r="CX86" s="199"/>
      <c r="CY86" s="199"/>
      <c r="CZ86" s="199"/>
      <c r="DA86" s="199"/>
      <c r="DB86" s="199"/>
    </row>
    <row r="87" spans="2:108" ht="20" hidden="1" x14ac:dyDescent="0.2">
      <c r="B87" s="330"/>
      <c r="C87" s="412"/>
      <c r="D87" s="37"/>
      <c r="E87" s="37"/>
      <c r="F87" s="37"/>
      <c r="G87" s="998"/>
      <c r="H87"/>
      <c r="I87"/>
      <c r="J87"/>
      <c r="K87"/>
      <c r="L87"/>
      <c r="M87"/>
      <c r="N87"/>
      <c r="O87" s="995"/>
      <c r="U87" s="212"/>
      <c r="V87" s="73"/>
      <c r="AB87" s="73"/>
      <c r="AC87" s="73"/>
      <c r="AD87" s="73"/>
      <c r="AE87" s="73"/>
      <c r="AF87" s="73"/>
      <c r="AG87" s="73"/>
      <c r="AH87" s="73"/>
      <c r="AI87" s="73"/>
      <c r="AJ87" s="73"/>
      <c r="AK87" s="73"/>
      <c r="AL87" s="73"/>
      <c r="AM87" s="73"/>
      <c r="AN87" s="73"/>
      <c r="AO87" s="73"/>
      <c r="AP87" s="73"/>
      <c r="AQ87" s="73"/>
      <c r="AR87" s="73"/>
      <c r="AS87" s="73"/>
      <c r="AT87" s="73"/>
      <c r="AU87" s="73"/>
      <c r="AV87" s="73"/>
      <c r="AW87" s="73"/>
      <c r="AX87" s="73"/>
      <c r="AY87" s="73"/>
      <c r="AZ87" s="73"/>
      <c r="BA87" s="73"/>
      <c r="BB87" s="73"/>
      <c r="BC87" s="126"/>
      <c r="BE87" s="136"/>
      <c r="BF87" s="136"/>
      <c r="BG87" s="136"/>
      <c r="BH87" s="136"/>
      <c r="BI87" s="136"/>
      <c r="BJ87" s="136"/>
      <c r="BK87" s="136"/>
      <c r="BL87" s="136"/>
      <c r="BM87" s="402"/>
      <c r="BN87" s="136"/>
      <c r="BO87" s="1091"/>
      <c r="BP87" s="78"/>
      <c r="BQ87" s="199"/>
      <c r="BR87" s="199"/>
      <c r="BS87" s="199"/>
      <c r="BT87" s="199"/>
      <c r="BU87" s="199"/>
      <c r="BV87" s="199"/>
      <c r="BW87" s="199"/>
      <c r="BX87" s="199"/>
      <c r="BY87" s="199"/>
      <c r="BZ87" s="199"/>
      <c r="CA87" s="199"/>
      <c r="CB87" s="199"/>
      <c r="CC87" s="199"/>
      <c r="CD87" s="199"/>
      <c r="CE87" s="199"/>
      <c r="CF87" s="199"/>
      <c r="CG87" s="199"/>
      <c r="CH87" s="199"/>
      <c r="CI87" s="199"/>
      <c r="CJ87" s="199"/>
      <c r="CK87" s="199"/>
      <c r="CL87" s="199"/>
      <c r="CM87" s="199"/>
      <c r="CN87" s="199"/>
      <c r="CO87" s="199"/>
      <c r="CP87" s="199"/>
      <c r="CQ87" s="199"/>
      <c r="CR87" s="199"/>
      <c r="CS87" s="199"/>
      <c r="CT87" s="199"/>
      <c r="CU87" s="199"/>
      <c r="CV87" s="199"/>
      <c r="CW87" s="199"/>
      <c r="CX87" s="199"/>
      <c r="CY87" s="199"/>
      <c r="CZ87" s="199"/>
      <c r="DA87" s="199"/>
      <c r="DB87" s="199"/>
    </row>
    <row r="88" spans="2:108" ht="149.25" hidden="1" customHeight="1" thickBot="1" x14ac:dyDescent="0.3">
      <c r="E88" s="397"/>
      <c r="F88" s="397"/>
      <c r="G88" s="998"/>
      <c r="H88"/>
      <c r="I88"/>
      <c r="J88"/>
      <c r="K88"/>
      <c r="L88"/>
      <c r="M88"/>
      <c r="N88"/>
      <c r="O88" s="995"/>
      <c r="BN88" s="86"/>
      <c r="BO88" s="18"/>
      <c r="BP88" s="1582"/>
      <c r="BQ88" s="89"/>
      <c r="BR88" s="89"/>
      <c r="BS88" s="89"/>
      <c r="BT88" s="89"/>
      <c r="BU88" s="89"/>
      <c r="BV88" s="89"/>
      <c r="BW88" s="89"/>
      <c r="BX88" s="89"/>
      <c r="BY88" s="89"/>
      <c r="BZ88" s="94"/>
      <c r="CA88" s="89"/>
      <c r="CB88" s="89"/>
      <c r="CC88" s="89"/>
      <c r="CD88" s="89"/>
      <c r="CE88" s="89"/>
      <c r="CF88" s="89"/>
      <c r="CG88" s="89"/>
      <c r="CH88" s="89"/>
      <c r="CI88" s="89"/>
      <c r="CJ88" s="89"/>
      <c r="CK88" s="89"/>
      <c r="CL88" s="89"/>
      <c r="CM88" s="89"/>
      <c r="CN88" s="37"/>
      <c r="CO88" s="95"/>
      <c r="CP88" s="95"/>
      <c r="CQ88" s="95"/>
      <c r="CR88" s="95"/>
      <c r="CS88" s="92"/>
      <c r="CT88" s="92"/>
      <c r="CU88" s="92"/>
      <c r="CV88" s="92"/>
      <c r="CW88" s="92"/>
      <c r="CX88" s="92"/>
      <c r="CY88" s="92"/>
      <c r="CZ88" s="92"/>
      <c r="DA88" s="92"/>
      <c r="DB88" s="92"/>
      <c r="DC88" s="17"/>
      <c r="DD88" s="78"/>
    </row>
    <row r="89" spans="2:108" ht="24" hidden="1" thickBot="1" x14ac:dyDescent="0.3">
      <c r="E89" s="397"/>
      <c r="F89" s="397"/>
      <c r="G89" s="998"/>
      <c r="H89"/>
      <c r="I89"/>
      <c r="J89"/>
      <c r="K89"/>
      <c r="L89"/>
      <c r="M89"/>
      <c r="N89"/>
      <c r="O89" s="995"/>
      <c r="BN89" s="86"/>
      <c r="BO89" s="18"/>
      <c r="BP89" s="1582">
        <v>36</v>
      </c>
      <c r="BQ89" s="89"/>
      <c r="BR89" s="89"/>
      <c r="BS89" s="89"/>
      <c r="BT89" s="89"/>
      <c r="BU89" s="89"/>
      <c r="BV89" s="89"/>
      <c r="BW89" s="89"/>
      <c r="BX89" s="89"/>
      <c r="BY89" s="89"/>
      <c r="BZ89" s="94"/>
      <c r="CA89" s="89"/>
      <c r="CB89" s="89"/>
      <c r="CC89" s="89"/>
      <c r="CD89" s="89"/>
      <c r="CE89" s="89"/>
      <c r="CF89" s="89"/>
      <c r="CG89" s="89"/>
      <c r="CH89" s="98"/>
      <c r="CI89" s="99"/>
      <c r="CJ89" s="100"/>
      <c r="CK89" s="89"/>
      <c r="CL89" s="89"/>
      <c r="CM89" s="89"/>
      <c r="CN89" s="37"/>
      <c r="CO89" s="95"/>
      <c r="CP89" s="95"/>
      <c r="CQ89" s="95"/>
      <c r="CR89" s="95"/>
      <c r="CS89" s="92"/>
      <c r="CT89" s="92"/>
      <c r="CU89" s="92"/>
      <c r="CV89" s="92"/>
      <c r="CW89" s="92"/>
      <c r="CX89" s="92"/>
      <c r="CY89" s="101" t="b">
        <f>IF(CZ59=36,35)</f>
        <v>0</v>
      </c>
      <c r="CZ89" s="102"/>
      <c r="DA89" s="103" t="b">
        <f>IF(CZ59=36,37)</f>
        <v>0</v>
      </c>
      <c r="DB89" s="92"/>
      <c r="DC89" s="17"/>
      <c r="DD89" s="78"/>
    </row>
    <row r="90" spans="2:108" ht="24" hidden="1" thickBot="1" x14ac:dyDescent="0.3">
      <c r="E90" s="397"/>
      <c r="F90" s="397"/>
      <c r="G90" s="998"/>
      <c r="H90"/>
      <c r="I90"/>
      <c r="J90"/>
      <c r="K90"/>
      <c r="L90"/>
      <c r="M90"/>
      <c r="N90"/>
      <c r="O90" s="995"/>
      <c r="BN90" s="86"/>
      <c r="BO90" s="18"/>
      <c r="BP90" s="1582">
        <v>35</v>
      </c>
      <c r="BQ90" s="89"/>
      <c r="BR90" s="89"/>
      <c r="BS90" s="89"/>
      <c r="BT90" s="89"/>
      <c r="BU90" s="89"/>
      <c r="BV90" s="89"/>
      <c r="BW90" s="89"/>
      <c r="BX90" s="89"/>
      <c r="BY90" s="89"/>
      <c r="BZ90" s="94"/>
      <c r="CA90" s="89"/>
      <c r="CB90" s="89"/>
      <c r="CC90" s="89"/>
      <c r="CD90" s="89"/>
      <c r="CE90" s="89"/>
      <c r="CF90" s="89"/>
      <c r="CG90" s="89"/>
      <c r="CH90" s="104"/>
      <c r="CI90" s="89"/>
      <c r="CJ90" s="105"/>
      <c r="CK90" s="89"/>
      <c r="CL90" s="89"/>
      <c r="CM90" s="89"/>
      <c r="CN90" s="37"/>
      <c r="CO90" s="95"/>
      <c r="CP90" s="95"/>
      <c r="CQ90" s="95"/>
      <c r="CR90" s="95"/>
      <c r="CS90" s="92"/>
      <c r="CT90" s="92"/>
      <c r="CU90" s="92"/>
      <c r="CV90" s="92"/>
      <c r="CW90" s="101" t="b">
        <f>IF(CY59=35,33)</f>
        <v>0</v>
      </c>
      <c r="CX90" s="102"/>
      <c r="CY90" s="102"/>
      <c r="CZ90" s="102"/>
      <c r="DA90" s="103" t="b">
        <f>IF(CY59=35,37)</f>
        <v>0</v>
      </c>
      <c r="DB90" s="92"/>
      <c r="DC90" s="17"/>
      <c r="DD90" s="78"/>
    </row>
    <row r="91" spans="2:108" ht="24" hidden="1" thickBot="1" x14ac:dyDescent="0.3">
      <c r="E91" s="397"/>
      <c r="F91" s="397"/>
      <c r="G91" s="998"/>
      <c r="H91"/>
      <c r="I91"/>
      <c r="J91"/>
      <c r="K91"/>
      <c r="L91"/>
      <c r="M91"/>
      <c r="N91"/>
      <c r="O91" s="995"/>
      <c r="BN91" s="86"/>
      <c r="BO91" s="18"/>
      <c r="BP91" s="1582">
        <v>34</v>
      </c>
      <c r="BQ91" s="89"/>
      <c r="BR91" s="89"/>
      <c r="BS91" s="89"/>
      <c r="BT91" s="89"/>
      <c r="BU91" s="89"/>
      <c r="BV91" s="89"/>
      <c r="BW91" s="89"/>
      <c r="BX91" s="89"/>
      <c r="BY91" s="89"/>
      <c r="BZ91" s="94"/>
      <c r="CA91" s="89"/>
      <c r="CB91" s="89"/>
      <c r="CC91" s="89"/>
      <c r="CD91" s="89"/>
      <c r="CE91" s="89"/>
      <c r="CF91" s="89"/>
      <c r="CG91" s="89"/>
      <c r="CH91" s="104"/>
      <c r="CI91" s="89"/>
      <c r="CJ91" s="105"/>
      <c r="CK91" s="89"/>
      <c r="CL91" s="89"/>
      <c r="CM91" s="89"/>
      <c r="CN91" s="37"/>
      <c r="CO91" s="95"/>
      <c r="CP91" s="95"/>
      <c r="CQ91" s="95"/>
      <c r="CR91" s="95"/>
      <c r="CS91" s="92"/>
      <c r="CT91" s="92"/>
      <c r="CU91" s="101" t="b">
        <f>IF(CX59=34,31)</f>
        <v>0</v>
      </c>
      <c r="CV91" s="102"/>
      <c r="CW91" s="102"/>
      <c r="CX91" s="102"/>
      <c r="CY91" s="102"/>
      <c r="CZ91" s="102"/>
      <c r="DA91" s="103" t="b">
        <f>IF(CX59=34,37)</f>
        <v>0</v>
      </c>
      <c r="DB91" s="92"/>
      <c r="DC91" s="17"/>
      <c r="DD91" s="78"/>
    </row>
    <row r="92" spans="2:108" ht="24" hidden="1" thickBot="1" x14ac:dyDescent="0.3">
      <c r="E92" s="397"/>
      <c r="F92" s="397"/>
      <c r="G92" s="998"/>
      <c r="H92"/>
      <c r="I92"/>
      <c r="J92"/>
      <c r="K92"/>
      <c r="L92"/>
      <c r="M92"/>
      <c r="N92"/>
      <c r="O92" s="995"/>
      <c r="BN92" s="86"/>
      <c r="BO92" s="18"/>
      <c r="BP92" s="1582">
        <v>33</v>
      </c>
      <c r="BQ92" s="89"/>
      <c r="BR92" s="89"/>
      <c r="BS92" s="89"/>
      <c r="BT92" s="89"/>
      <c r="BU92" s="89"/>
      <c r="BV92" s="89"/>
      <c r="BW92" s="89"/>
      <c r="BX92" s="89"/>
      <c r="BY92" s="89"/>
      <c r="BZ92" s="94"/>
      <c r="CA92" s="89"/>
      <c r="CB92" s="89"/>
      <c r="CC92" s="89"/>
      <c r="CD92" s="89"/>
      <c r="CE92" s="89"/>
      <c r="CF92" s="89"/>
      <c r="CG92" s="89"/>
      <c r="CH92" s="104"/>
      <c r="CI92" s="89"/>
      <c r="CJ92" s="105"/>
      <c r="CK92" s="89"/>
      <c r="CL92" s="89"/>
      <c r="CM92" s="89"/>
      <c r="CN92" s="37"/>
      <c r="CO92" s="95"/>
      <c r="CP92" s="95"/>
      <c r="CQ92" s="95"/>
      <c r="CR92" s="95"/>
      <c r="CS92" s="101" t="b">
        <f>IF(CW59=33,29)</f>
        <v>0</v>
      </c>
      <c r="CT92" s="102"/>
      <c r="CU92" s="102"/>
      <c r="CV92" s="102"/>
      <c r="CW92" s="102"/>
      <c r="CX92" s="102"/>
      <c r="CY92" s="102"/>
      <c r="CZ92" s="102"/>
      <c r="DA92" s="103" t="b">
        <f>IF(CW59=33,37)</f>
        <v>0</v>
      </c>
      <c r="DB92" s="92"/>
      <c r="DC92" s="17"/>
      <c r="DD92" s="78"/>
    </row>
    <row r="93" spans="2:108" ht="21" hidden="1" thickBot="1" x14ac:dyDescent="0.25">
      <c r="E93" s="397"/>
      <c r="F93" s="397"/>
      <c r="G93" s="998"/>
      <c r="H93"/>
      <c r="I93"/>
      <c r="J93"/>
      <c r="K93"/>
      <c r="L93"/>
      <c r="M93"/>
      <c r="N93"/>
      <c r="O93" s="995"/>
      <c r="BN93" s="86"/>
      <c r="BP93" s="1582">
        <v>32</v>
      </c>
      <c r="BQ93" s="89"/>
      <c r="BR93" s="89"/>
      <c r="BS93" s="89"/>
      <c r="BT93" s="89"/>
      <c r="BU93" s="89"/>
      <c r="BV93" s="89"/>
      <c r="BW93" s="89"/>
      <c r="BX93" s="89"/>
      <c r="BY93" s="89"/>
      <c r="BZ93" s="107"/>
      <c r="CA93" s="107"/>
      <c r="CB93" s="107"/>
      <c r="CC93" s="107"/>
      <c r="CD93" s="107"/>
      <c r="CE93" s="107"/>
      <c r="CF93" s="107"/>
      <c r="CG93" s="107"/>
      <c r="CH93" s="109"/>
      <c r="CI93" s="107"/>
      <c r="CJ93" s="110"/>
      <c r="CK93" s="107"/>
      <c r="CL93" s="107"/>
      <c r="CM93" s="107"/>
      <c r="CN93" s="108"/>
      <c r="CO93" s="78"/>
      <c r="CP93" s="78"/>
      <c r="CQ93" s="101" t="b">
        <f>IF(CV59=32,27)</f>
        <v>0</v>
      </c>
      <c r="CR93" s="111"/>
      <c r="CS93" s="111"/>
      <c r="CT93" s="111"/>
      <c r="CU93" s="111"/>
      <c r="CV93" s="111"/>
      <c r="CW93" s="111"/>
      <c r="CX93" s="111"/>
      <c r="CY93" s="111"/>
      <c r="CZ93" s="111"/>
      <c r="DA93" s="103" t="b">
        <f>IF(CV59=32,37)</f>
        <v>0</v>
      </c>
      <c r="DB93" s="78"/>
      <c r="DC93" s="78"/>
      <c r="DD93" s="78"/>
    </row>
    <row r="94" spans="2:108" ht="21" hidden="1" thickBot="1" x14ac:dyDescent="0.25">
      <c r="E94" s="397"/>
      <c r="F94" s="397"/>
      <c r="G94" s="998"/>
      <c r="H94"/>
      <c r="I94"/>
      <c r="J94"/>
      <c r="K94"/>
      <c r="L94"/>
      <c r="M94"/>
      <c r="N94"/>
      <c r="O94" s="995"/>
      <c r="BN94" s="86"/>
      <c r="BP94" s="1582">
        <v>31</v>
      </c>
      <c r="BQ94" s="107"/>
      <c r="BR94" s="107"/>
      <c r="BS94" s="107"/>
      <c r="BT94" s="107"/>
      <c r="BU94" s="107"/>
      <c r="BV94" s="108"/>
      <c r="BW94" s="107"/>
      <c r="BX94" s="107"/>
      <c r="BY94" s="107"/>
      <c r="BZ94" s="107"/>
      <c r="CA94" s="107"/>
      <c r="CB94" s="107"/>
      <c r="CC94" s="107"/>
      <c r="CD94" s="107"/>
      <c r="CE94" s="107"/>
      <c r="CF94" s="107"/>
      <c r="CG94" s="107"/>
      <c r="CH94" s="109"/>
      <c r="CI94" s="107"/>
      <c r="CJ94" s="110"/>
      <c r="CK94" s="107"/>
      <c r="CL94" s="107"/>
      <c r="CM94" s="107"/>
      <c r="CN94" s="108"/>
      <c r="CO94" s="101" t="b">
        <f>IF(CU59=31,25)</f>
        <v>0</v>
      </c>
      <c r="CP94" s="111"/>
      <c r="CQ94" s="111"/>
      <c r="CR94" s="111"/>
      <c r="CS94" s="111"/>
      <c r="CT94" s="111"/>
      <c r="CU94" s="111"/>
      <c r="CV94" s="111"/>
      <c r="CW94" s="111"/>
      <c r="CX94" s="111"/>
      <c r="CY94" s="111"/>
      <c r="CZ94" s="111"/>
      <c r="DA94" s="103" t="b">
        <f>IF(CU59=31,37)</f>
        <v>0</v>
      </c>
      <c r="DB94" s="78"/>
      <c r="DC94" s="78"/>
      <c r="DD94" s="78"/>
    </row>
    <row r="95" spans="2:108" ht="21" hidden="1" thickBot="1" x14ac:dyDescent="0.25">
      <c r="E95" s="397"/>
      <c r="F95" s="397"/>
      <c r="G95" s="998"/>
      <c r="H95"/>
      <c r="I95"/>
      <c r="J95"/>
      <c r="K95"/>
      <c r="L95"/>
      <c r="M95"/>
      <c r="N95"/>
      <c r="O95" s="995"/>
      <c r="BN95" s="86"/>
      <c r="BP95" s="1582">
        <v>30</v>
      </c>
      <c r="BQ95" s="107"/>
      <c r="BR95" s="107"/>
      <c r="BS95" s="107"/>
      <c r="BT95" s="107"/>
      <c r="BU95" s="107"/>
      <c r="BV95" s="108"/>
      <c r="BW95" s="107"/>
      <c r="BX95" s="107"/>
      <c r="BY95" s="107"/>
      <c r="BZ95" s="107"/>
      <c r="CA95" s="107"/>
      <c r="CB95" s="107"/>
      <c r="CC95" s="107"/>
      <c r="CD95" s="107"/>
      <c r="CE95" s="107"/>
      <c r="CF95" s="107"/>
      <c r="CG95" s="107"/>
      <c r="CH95" s="109"/>
      <c r="CI95" s="107"/>
      <c r="CJ95" s="110"/>
      <c r="CK95" s="107"/>
      <c r="CL95" s="107"/>
      <c r="CM95" s="101" t="b">
        <f>IF(CT59=30,23)</f>
        <v>0</v>
      </c>
      <c r="CN95" s="112"/>
      <c r="CO95" s="111"/>
      <c r="CP95" s="111"/>
      <c r="CQ95" s="111"/>
      <c r="CR95" s="111"/>
      <c r="CS95" s="111"/>
      <c r="CT95" s="111"/>
      <c r="CU95" s="111"/>
      <c r="CV95" s="111"/>
      <c r="CW95" s="111"/>
      <c r="CX95" s="111"/>
      <c r="CY95" s="111"/>
      <c r="CZ95" s="111"/>
      <c r="DA95" s="103" t="b">
        <f>IF(CT59=30,37)</f>
        <v>0</v>
      </c>
      <c r="DB95" s="78"/>
      <c r="DC95" s="78"/>
      <c r="DD95" s="78"/>
    </row>
    <row r="96" spans="2:108" ht="21" hidden="1" thickBot="1" x14ac:dyDescent="0.25">
      <c r="E96" s="397"/>
      <c r="F96" s="397"/>
      <c r="G96" s="998"/>
      <c r="H96"/>
      <c r="I96"/>
      <c r="J96"/>
      <c r="K96"/>
      <c r="L96"/>
      <c r="M96"/>
      <c r="N96"/>
      <c r="O96" s="995"/>
      <c r="BE96" s="114"/>
      <c r="BF96" s="114"/>
      <c r="BG96" s="114"/>
      <c r="BH96" s="114"/>
      <c r="BN96" s="86"/>
      <c r="BO96" s="114"/>
      <c r="BP96" s="1582">
        <v>29</v>
      </c>
      <c r="BQ96" s="78"/>
      <c r="BR96" s="78"/>
      <c r="BS96" s="78"/>
      <c r="BT96" s="78"/>
      <c r="BU96" s="78"/>
      <c r="BV96" s="78"/>
      <c r="BW96" s="78"/>
      <c r="BX96" s="78"/>
      <c r="BY96" s="78"/>
      <c r="BZ96" s="78"/>
      <c r="CA96" s="78"/>
      <c r="CB96" s="78"/>
      <c r="CC96" s="78"/>
      <c r="CD96" s="78"/>
      <c r="CE96" s="78"/>
      <c r="CF96" s="78"/>
      <c r="CG96" s="78"/>
      <c r="CH96" s="115"/>
      <c r="CI96" s="78"/>
      <c r="CJ96" s="116"/>
      <c r="CK96" s="117" t="b">
        <f>IF(CS59=29,21)</f>
        <v>0</v>
      </c>
      <c r="CL96" s="111"/>
      <c r="CM96" s="111"/>
      <c r="CN96" s="111"/>
      <c r="CO96" s="111"/>
      <c r="CP96" s="111"/>
      <c r="CQ96" s="111"/>
      <c r="CR96" s="118"/>
      <c r="CS96" s="111"/>
      <c r="CT96" s="118"/>
      <c r="CU96" s="119"/>
      <c r="CV96" s="119"/>
      <c r="CW96" s="119"/>
      <c r="CX96" s="119"/>
      <c r="CY96" s="119"/>
      <c r="CZ96" s="119"/>
      <c r="DA96" s="103" t="b">
        <f>IF(CS59=29,37)</f>
        <v>0</v>
      </c>
      <c r="DB96" s="76"/>
      <c r="DC96" s="78"/>
      <c r="DD96" s="78"/>
    </row>
    <row r="97" spans="5:108" ht="21" hidden="1" thickBot="1" x14ac:dyDescent="0.25">
      <c r="E97" s="397"/>
      <c r="F97" s="397"/>
      <c r="G97" s="998"/>
      <c r="H97"/>
      <c r="I97"/>
      <c r="J97"/>
      <c r="K97"/>
      <c r="L97"/>
      <c r="M97"/>
      <c r="N97"/>
      <c r="O97" s="995"/>
      <c r="BE97" s="114"/>
      <c r="BF97" s="114"/>
      <c r="BG97" s="114"/>
      <c r="BH97" s="114"/>
      <c r="BN97" s="86"/>
      <c r="BO97" s="114"/>
      <c r="BP97" s="1582">
        <v>28</v>
      </c>
      <c r="BQ97" s="78"/>
      <c r="BR97" s="78"/>
      <c r="BS97" s="78"/>
      <c r="BT97" s="78"/>
      <c r="BU97" s="78"/>
      <c r="BV97" s="78"/>
      <c r="BW97" s="78"/>
      <c r="BX97" s="78"/>
      <c r="BY97" s="78"/>
      <c r="BZ97" s="78"/>
      <c r="CA97" s="78"/>
      <c r="CB97" s="78"/>
      <c r="CC97" s="78"/>
      <c r="CD97" s="78"/>
      <c r="CE97" s="78"/>
      <c r="CF97" s="78"/>
      <c r="CG97" s="78"/>
      <c r="CH97" s="115"/>
      <c r="CI97" s="78"/>
      <c r="CJ97" s="116"/>
      <c r="CK97" s="120" t="b">
        <f>IF(CR59=28,21)</f>
        <v>0</v>
      </c>
      <c r="CL97" s="121"/>
      <c r="CM97" s="121"/>
      <c r="CN97" s="121"/>
      <c r="CO97" s="121"/>
      <c r="CP97" s="122"/>
      <c r="CQ97" s="121"/>
      <c r="CR97" s="121"/>
      <c r="CS97" s="121"/>
      <c r="CT97" s="122"/>
      <c r="CU97" s="123"/>
      <c r="CV97" s="123"/>
      <c r="CW97" s="123"/>
      <c r="CX97" s="123"/>
      <c r="CY97" s="124" t="b">
        <f>IF(CR59=28,35)</f>
        <v>0</v>
      </c>
      <c r="CZ97" s="76"/>
      <c r="DA97" s="76"/>
      <c r="DB97" s="76"/>
      <c r="DC97" s="78"/>
      <c r="DD97" s="78"/>
    </row>
    <row r="98" spans="5:108" ht="21" hidden="1" thickBot="1" x14ac:dyDescent="0.25">
      <c r="E98" s="397"/>
      <c r="F98" s="397"/>
      <c r="G98" s="998"/>
      <c r="H98"/>
      <c r="I98"/>
      <c r="J98"/>
      <c r="K98"/>
      <c r="L98"/>
      <c r="M98"/>
      <c r="N98"/>
      <c r="O98" s="995"/>
      <c r="BE98" s="114"/>
      <c r="BF98" s="114"/>
      <c r="BG98" s="114"/>
      <c r="BH98" s="114"/>
      <c r="BN98" s="86"/>
      <c r="BO98" s="114"/>
      <c r="BP98" s="1582">
        <v>27</v>
      </c>
      <c r="BQ98" s="78"/>
      <c r="BR98" s="78"/>
      <c r="BS98" s="78"/>
      <c r="BT98" s="78"/>
      <c r="BU98" s="78"/>
      <c r="BV98" s="78"/>
      <c r="BW98" s="78"/>
      <c r="BX98" s="78"/>
      <c r="BY98" s="78"/>
      <c r="BZ98" s="78"/>
      <c r="CA98" s="78"/>
      <c r="CB98" s="78"/>
      <c r="CC98" s="78"/>
      <c r="CD98" s="78"/>
      <c r="CE98" s="78"/>
      <c r="CF98" s="78"/>
      <c r="CG98" s="78"/>
      <c r="CH98" s="115"/>
      <c r="CI98" s="78"/>
      <c r="CJ98" s="116"/>
      <c r="CK98" s="120" t="b">
        <f>IF(CQ59=27,21)</f>
        <v>0</v>
      </c>
      <c r="CL98" s="121"/>
      <c r="CM98" s="121"/>
      <c r="CN98" s="122"/>
      <c r="CO98" s="121"/>
      <c r="CP98" s="121"/>
      <c r="CQ98" s="121"/>
      <c r="CR98" s="121"/>
      <c r="CS98" s="121"/>
      <c r="CT98" s="122"/>
      <c r="CU98" s="123"/>
      <c r="CV98" s="123"/>
      <c r="CW98" s="124" t="b">
        <f>IF(CQ59=27,33)</f>
        <v>0</v>
      </c>
      <c r="CX98" s="76"/>
      <c r="CY98" s="76"/>
      <c r="CZ98" s="76"/>
      <c r="DA98" s="76"/>
      <c r="DB98" s="76"/>
      <c r="DC98" s="78"/>
      <c r="DD98" s="78"/>
    </row>
    <row r="99" spans="5:108" ht="21" hidden="1" thickBot="1" x14ac:dyDescent="0.25">
      <c r="E99" s="397"/>
      <c r="F99" s="397"/>
      <c r="G99" s="998"/>
      <c r="H99"/>
      <c r="I99"/>
      <c r="J99"/>
      <c r="K99"/>
      <c r="L99"/>
      <c r="M99"/>
      <c r="N99"/>
      <c r="O99" s="995"/>
      <c r="BN99" s="86"/>
      <c r="BP99" s="1582">
        <v>26</v>
      </c>
      <c r="BQ99" s="78"/>
      <c r="BR99" s="78"/>
      <c r="BS99" s="78"/>
      <c r="BT99" s="78"/>
      <c r="BU99" s="78"/>
      <c r="BV99" s="78"/>
      <c r="BW99" s="78"/>
      <c r="BX99" s="78"/>
      <c r="BY99" s="78"/>
      <c r="BZ99" s="78"/>
      <c r="CA99" s="78"/>
      <c r="CB99" s="78"/>
      <c r="CC99" s="78"/>
      <c r="CD99" s="78"/>
      <c r="CE99" s="78"/>
      <c r="CF99" s="78"/>
      <c r="CG99" s="78"/>
      <c r="CH99" s="115"/>
      <c r="CI99" s="78"/>
      <c r="CJ99" s="116"/>
      <c r="CK99" s="120" t="b">
        <f>IF(CP59=26,21)</f>
        <v>0</v>
      </c>
      <c r="CL99" s="122"/>
      <c r="CM99" s="121"/>
      <c r="CN99" s="121"/>
      <c r="CO99" s="121"/>
      <c r="CP99" s="121"/>
      <c r="CQ99" s="121"/>
      <c r="CR99" s="121"/>
      <c r="CS99" s="121"/>
      <c r="CT99" s="122"/>
      <c r="CU99" s="124" t="b">
        <f>IF(CP59=26,31)</f>
        <v>0</v>
      </c>
      <c r="CV99" s="76"/>
      <c r="CW99" s="76"/>
      <c r="CX99" s="76"/>
      <c r="CY99" s="76"/>
      <c r="CZ99" s="76"/>
      <c r="DA99" s="76"/>
      <c r="DB99" s="76"/>
      <c r="DC99" s="78"/>
      <c r="DD99" s="78"/>
    </row>
    <row r="100" spans="5:108" ht="21" hidden="1" thickBot="1" x14ac:dyDescent="0.25">
      <c r="E100" s="397"/>
      <c r="F100" s="397"/>
      <c r="G100" s="998"/>
      <c r="H100"/>
      <c r="I100"/>
      <c r="J100"/>
      <c r="K100"/>
      <c r="L100"/>
      <c r="M100"/>
      <c r="N100"/>
      <c r="O100" s="995"/>
      <c r="BE100" s="126"/>
      <c r="BF100" s="126"/>
      <c r="BG100" s="126"/>
      <c r="BH100" s="126"/>
      <c r="BN100" s="86"/>
      <c r="BO100" s="126"/>
      <c r="BP100" s="1582">
        <v>25</v>
      </c>
      <c r="BQ100" s="78"/>
      <c r="BR100" s="78"/>
      <c r="BS100" s="78"/>
      <c r="BT100" s="78"/>
      <c r="BU100" s="78"/>
      <c r="BV100" s="78"/>
      <c r="BW100" s="78"/>
      <c r="BX100" s="78"/>
      <c r="BY100" s="78"/>
      <c r="BZ100" s="78"/>
      <c r="CA100" s="78"/>
      <c r="CC100" s="78"/>
      <c r="CD100" s="78"/>
      <c r="CE100" s="78"/>
      <c r="CF100" s="78"/>
      <c r="CG100" s="78"/>
      <c r="CH100" s="115"/>
      <c r="CI100" s="78"/>
      <c r="CK100" s="128" t="b">
        <f>IF(CO59=25,21)</f>
        <v>0</v>
      </c>
      <c r="CL100" s="121"/>
      <c r="CM100" s="121"/>
      <c r="CN100" s="121"/>
      <c r="CO100" s="121"/>
      <c r="CP100" s="121"/>
      <c r="CQ100" s="121"/>
      <c r="CR100" s="121"/>
      <c r="CS100" s="124" t="b">
        <f>IF(CO59=25,29)</f>
        <v>0</v>
      </c>
      <c r="CU100" s="76"/>
      <c r="CV100" s="76"/>
      <c r="CW100" s="76"/>
      <c r="CX100" s="76"/>
      <c r="CY100" s="76"/>
      <c r="CZ100" s="76"/>
      <c r="DA100" s="76"/>
      <c r="DB100" s="76"/>
      <c r="DC100" s="78"/>
      <c r="DD100" s="78"/>
    </row>
    <row r="101" spans="5:108" ht="21" hidden="1" thickBot="1" x14ac:dyDescent="0.25">
      <c r="E101" s="397"/>
      <c r="F101" s="397"/>
      <c r="G101" s="998"/>
      <c r="H101"/>
      <c r="I101"/>
      <c r="J101"/>
      <c r="K101"/>
      <c r="L101"/>
      <c r="M101"/>
      <c r="N101"/>
      <c r="O101" s="995"/>
      <c r="BE101" s="126"/>
      <c r="BF101" s="126"/>
      <c r="BG101" s="126"/>
      <c r="BH101" s="126"/>
      <c r="BN101" s="86"/>
      <c r="BO101" s="126"/>
      <c r="BP101" s="1582">
        <v>24</v>
      </c>
      <c r="BQ101" s="78"/>
      <c r="BR101" s="78"/>
      <c r="BS101" s="78"/>
      <c r="BT101" s="78"/>
      <c r="BU101" s="78"/>
      <c r="BV101" s="78"/>
      <c r="BW101" s="78"/>
      <c r="BX101" s="78"/>
      <c r="BY101" s="78"/>
      <c r="BZ101" s="78"/>
      <c r="CA101" s="78"/>
      <c r="CB101" s="117" t="b">
        <f>IF(CN59=24,12)</f>
        <v>0</v>
      </c>
      <c r="CC101" s="111"/>
      <c r="CD101" s="111"/>
      <c r="CE101" s="111"/>
      <c r="CF101" s="111"/>
      <c r="CG101" s="111"/>
      <c r="CH101" s="118"/>
      <c r="CI101" s="111"/>
      <c r="CJ101" s="129"/>
      <c r="CK101" s="111"/>
      <c r="CL101" s="111"/>
      <c r="CM101" s="111"/>
      <c r="CN101" s="111"/>
      <c r="CO101" s="111"/>
      <c r="CP101" s="111"/>
      <c r="CQ101" s="111"/>
      <c r="CR101" s="111"/>
      <c r="CS101" s="111"/>
      <c r="CT101" s="118"/>
      <c r="CU101" s="119"/>
      <c r="CV101" s="119"/>
      <c r="CW101" s="119"/>
      <c r="CX101" s="119"/>
      <c r="CY101" s="119"/>
      <c r="CZ101" s="103" t="b">
        <f>IF(CN59=24,36)</f>
        <v>0</v>
      </c>
      <c r="DA101" s="76"/>
      <c r="DB101" s="76"/>
      <c r="DC101" s="78"/>
      <c r="DD101" s="78"/>
    </row>
    <row r="102" spans="5:108" ht="21" hidden="1" thickBot="1" x14ac:dyDescent="0.25">
      <c r="E102" s="397"/>
      <c r="F102" s="397"/>
      <c r="G102" s="998"/>
      <c r="H102"/>
      <c r="I102"/>
      <c r="J102"/>
      <c r="K102"/>
      <c r="L102"/>
      <c r="M102"/>
      <c r="N102"/>
      <c r="O102" s="995"/>
      <c r="BE102" s="126"/>
      <c r="BF102" s="126"/>
      <c r="BG102" s="126"/>
      <c r="BH102" s="126"/>
      <c r="BN102" s="86"/>
      <c r="BO102" s="126"/>
      <c r="BP102" s="1582">
        <v>23</v>
      </c>
      <c r="BQ102" s="78"/>
      <c r="BR102" s="78"/>
      <c r="BS102" s="78"/>
      <c r="BT102" s="78"/>
      <c r="BU102" s="78"/>
      <c r="BV102" s="78"/>
      <c r="BW102" s="78"/>
      <c r="BX102" s="78"/>
      <c r="BY102" s="78"/>
      <c r="BZ102" s="78"/>
      <c r="CA102" s="78"/>
      <c r="CB102" s="120" t="b">
        <f>IF(CM59=23,12)</f>
        <v>0</v>
      </c>
      <c r="CC102" s="121"/>
      <c r="CD102" s="121"/>
      <c r="CE102" s="121"/>
      <c r="CF102" s="122"/>
      <c r="CG102" s="121"/>
      <c r="CH102" s="132"/>
      <c r="CI102" s="121"/>
      <c r="CJ102" s="133"/>
      <c r="CK102" s="121"/>
      <c r="CL102" s="121"/>
      <c r="CM102" s="121"/>
      <c r="CN102" s="121"/>
      <c r="CO102" s="121"/>
      <c r="CP102" s="121"/>
      <c r="CQ102" s="121"/>
      <c r="CR102" s="121"/>
      <c r="CS102" s="121"/>
      <c r="CT102" s="122"/>
      <c r="CU102" s="123"/>
      <c r="CV102" s="123"/>
      <c r="CW102" s="123"/>
      <c r="CX102" s="124" t="b">
        <f>IF(CM59=23,34)</f>
        <v>0</v>
      </c>
      <c r="CY102" s="76"/>
      <c r="CZ102" s="76"/>
      <c r="DA102" s="76"/>
      <c r="DB102" s="76"/>
      <c r="DC102" s="78"/>
      <c r="DD102" s="78"/>
    </row>
    <row r="103" spans="5:108" ht="21" hidden="1" thickBot="1" x14ac:dyDescent="0.25">
      <c r="E103" s="397"/>
      <c r="F103" s="397"/>
      <c r="G103" s="998"/>
      <c r="H103"/>
      <c r="I103"/>
      <c r="J103"/>
      <c r="K103"/>
      <c r="L103"/>
      <c r="M103"/>
      <c r="N103"/>
      <c r="O103" s="995"/>
      <c r="U103" s="114"/>
      <c r="AB103" s="114"/>
      <c r="AC103" s="114"/>
      <c r="AD103" s="114"/>
      <c r="AE103" s="114"/>
      <c r="BE103" s="126"/>
      <c r="BF103" s="126"/>
      <c r="BG103" s="126"/>
      <c r="BH103" s="126"/>
      <c r="BN103" s="86"/>
      <c r="BO103" s="126"/>
      <c r="BP103" s="1582">
        <v>22</v>
      </c>
      <c r="BQ103" s="76"/>
      <c r="BR103" s="76"/>
      <c r="BS103" s="76"/>
      <c r="BT103" s="76"/>
      <c r="BU103" s="76"/>
      <c r="BV103" s="76"/>
      <c r="BW103" s="76"/>
      <c r="BX103" s="76"/>
      <c r="BY103" s="76"/>
      <c r="BZ103" s="76"/>
      <c r="CA103" s="76"/>
      <c r="CB103" s="120" t="b">
        <f>IF(CL59=22,12)</f>
        <v>0</v>
      </c>
      <c r="CC103" s="123"/>
      <c r="CD103" s="123"/>
      <c r="CE103" s="123"/>
      <c r="CF103" s="122"/>
      <c r="CG103" s="123"/>
      <c r="CH103" s="134"/>
      <c r="CI103" s="123"/>
      <c r="CJ103" s="135"/>
      <c r="CK103" s="123"/>
      <c r="CL103" s="123"/>
      <c r="CM103" s="123"/>
      <c r="CN103" s="123"/>
      <c r="CO103" s="121"/>
      <c r="CP103" s="121"/>
      <c r="CQ103" s="122"/>
      <c r="CR103" s="121"/>
      <c r="CS103" s="121"/>
      <c r="CT103" s="121"/>
      <c r="CU103" s="121"/>
      <c r="CV103" s="124" t="b">
        <f>IF(CL59=22,32)</f>
        <v>0</v>
      </c>
      <c r="CW103" s="78"/>
      <c r="CX103" s="78"/>
      <c r="CY103" s="78"/>
      <c r="CZ103" s="78"/>
      <c r="DA103" s="78"/>
      <c r="DB103" s="78"/>
      <c r="DC103" s="78"/>
      <c r="DD103" s="78"/>
    </row>
    <row r="104" spans="5:108" ht="21" hidden="1" thickBot="1" x14ac:dyDescent="0.25">
      <c r="E104" s="397"/>
      <c r="F104" s="397"/>
      <c r="G104" s="998"/>
      <c r="H104"/>
      <c r="I104"/>
      <c r="J104"/>
      <c r="K104"/>
      <c r="L104"/>
      <c r="M104"/>
      <c r="N104"/>
      <c r="O104" s="995"/>
      <c r="BE104" s="126"/>
      <c r="BF104" s="126"/>
      <c r="BG104" s="126"/>
      <c r="BH104" s="126"/>
      <c r="BN104" s="86"/>
      <c r="BO104" s="126"/>
      <c r="BP104" s="1582">
        <v>21</v>
      </c>
      <c r="BQ104" s="78"/>
      <c r="BR104" s="78"/>
      <c r="BS104" s="78"/>
      <c r="BT104" s="78"/>
      <c r="BU104" s="78"/>
      <c r="BV104" s="78"/>
      <c r="BW104" s="78"/>
      <c r="BX104" s="78"/>
      <c r="BY104" s="78"/>
      <c r="BZ104" s="78"/>
      <c r="CA104" s="78"/>
      <c r="CB104" s="120" t="b">
        <f>IF(CK59=21,12)</f>
        <v>0</v>
      </c>
      <c r="CC104" s="121"/>
      <c r="CD104" s="121"/>
      <c r="CE104" s="121"/>
      <c r="CF104" s="121"/>
      <c r="CG104" s="121"/>
      <c r="CH104" s="132"/>
      <c r="CI104" s="121"/>
      <c r="CJ104" s="133"/>
      <c r="CK104" s="121"/>
      <c r="CL104" s="121"/>
      <c r="CM104" s="121"/>
      <c r="CN104" s="121"/>
      <c r="CO104" s="121"/>
      <c r="CP104" s="121"/>
      <c r="CQ104" s="121"/>
      <c r="CR104" s="121"/>
      <c r="CS104" s="121"/>
      <c r="CT104" s="124" t="b">
        <f>IF(CK59=21,30)</f>
        <v>0</v>
      </c>
      <c r="CU104" s="76"/>
      <c r="CV104" s="76"/>
      <c r="CW104" s="76"/>
      <c r="CX104" s="76"/>
      <c r="CY104" s="76"/>
      <c r="CZ104" s="76"/>
      <c r="DA104" s="76"/>
      <c r="DB104" s="76"/>
      <c r="DC104" s="78"/>
      <c r="DD104" s="78"/>
    </row>
    <row r="105" spans="5:108" ht="21" hidden="1" thickBot="1" x14ac:dyDescent="0.25">
      <c r="E105" s="397"/>
      <c r="F105" s="397"/>
      <c r="G105" s="998"/>
      <c r="H105"/>
      <c r="I105"/>
      <c r="J105"/>
      <c r="K105"/>
      <c r="L105"/>
      <c r="M105"/>
      <c r="N105"/>
      <c r="O105" s="995"/>
      <c r="T105" s="401"/>
      <c r="BE105" s="136"/>
      <c r="BF105" s="136"/>
      <c r="BG105" s="136"/>
      <c r="BH105" s="136"/>
      <c r="BN105" s="86"/>
      <c r="BO105" s="1091"/>
      <c r="BP105" s="1582">
        <v>20</v>
      </c>
      <c r="BQ105" s="78"/>
      <c r="BR105" s="78"/>
      <c r="BS105" s="78"/>
      <c r="BT105" s="78"/>
      <c r="BU105" s="78"/>
      <c r="BV105" s="78"/>
      <c r="BW105" s="78"/>
      <c r="BX105" s="78"/>
      <c r="CA105" s="137"/>
      <c r="CB105" s="117" t="b">
        <f>IF(CJ59=20,12)</f>
        <v>0</v>
      </c>
      <c r="CC105" s="111"/>
      <c r="CD105" s="111"/>
      <c r="CE105" s="111"/>
      <c r="CF105" s="111"/>
      <c r="CG105" s="111"/>
      <c r="CH105" s="138"/>
      <c r="CI105" s="111"/>
      <c r="CJ105" s="129"/>
      <c r="CK105" s="111"/>
      <c r="CL105" s="111"/>
      <c r="CM105" s="111"/>
      <c r="CN105" s="111"/>
      <c r="CO105" s="111"/>
      <c r="CP105" s="111"/>
      <c r="CQ105" s="111"/>
      <c r="CR105" s="103" t="b">
        <f>IF(CJ59=20,28)</f>
        <v>0</v>
      </c>
      <c r="CS105" s="137"/>
      <c r="CU105" s="76"/>
      <c r="CV105" s="76"/>
      <c r="CW105" s="76"/>
      <c r="CX105" s="76"/>
      <c r="CY105" s="76"/>
      <c r="CZ105" s="76"/>
      <c r="DA105" s="76"/>
      <c r="DB105" s="76"/>
      <c r="DC105" s="78"/>
      <c r="DD105" s="78"/>
    </row>
    <row r="106" spans="5:108" ht="21" hidden="1" thickBot="1" x14ac:dyDescent="0.25">
      <c r="E106" s="397"/>
      <c r="F106" s="397"/>
      <c r="G106" s="998"/>
      <c r="H106"/>
      <c r="I106"/>
      <c r="J106"/>
      <c r="K106"/>
      <c r="L106"/>
      <c r="M106"/>
      <c r="N106"/>
      <c r="O106" s="995"/>
      <c r="U106" s="114"/>
      <c r="AB106" s="114"/>
      <c r="AC106" s="114"/>
      <c r="AD106" s="114"/>
      <c r="AE106" s="114"/>
      <c r="BE106" s="136"/>
      <c r="BF106" s="136"/>
      <c r="BG106" s="136"/>
      <c r="BH106" s="136"/>
      <c r="BN106" s="86"/>
      <c r="BO106" s="1091"/>
      <c r="BP106" s="1582">
        <v>19</v>
      </c>
      <c r="BQ106" s="78"/>
      <c r="BR106" s="78"/>
      <c r="BS106" s="78"/>
      <c r="BT106" s="78"/>
      <c r="BU106" s="78"/>
      <c r="BV106" s="78"/>
      <c r="BW106" s="78"/>
      <c r="BX106" s="78"/>
      <c r="BZ106" s="139"/>
      <c r="CA106" s="139"/>
      <c r="CB106" s="117" t="b">
        <f>IF(CI59=19,12)</f>
        <v>0</v>
      </c>
      <c r="CC106" s="119"/>
      <c r="CD106" s="119"/>
      <c r="CE106" s="118"/>
      <c r="CF106" s="119"/>
      <c r="CG106" s="119"/>
      <c r="CH106" s="140"/>
      <c r="CI106" s="119"/>
      <c r="CJ106" s="141"/>
      <c r="CK106" s="118"/>
      <c r="CL106" s="119"/>
      <c r="CM106" s="119"/>
      <c r="CN106" s="119"/>
      <c r="CO106" s="111"/>
      <c r="CP106" s="103" t="b">
        <f>IF(CI59=19,26)</f>
        <v>0</v>
      </c>
      <c r="CQ106" s="142"/>
      <c r="CR106" s="137"/>
      <c r="CT106" s="78"/>
      <c r="CU106" s="78"/>
      <c r="CV106" s="78"/>
      <c r="CW106" s="78"/>
      <c r="CX106" s="78"/>
      <c r="CY106" s="78"/>
      <c r="CZ106" s="78"/>
      <c r="DA106" s="78"/>
      <c r="DB106" s="78"/>
      <c r="DC106" s="78"/>
      <c r="DD106" s="78"/>
    </row>
    <row r="107" spans="5:108" ht="21" hidden="1" thickBot="1" x14ac:dyDescent="0.25">
      <c r="E107" s="397"/>
      <c r="F107" s="397"/>
      <c r="G107" s="998"/>
      <c r="H107"/>
      <c r="I107"/>
      <c r="J107"/>
      <c r="K107"/>
      <c r="L107"/>
      <c r="M107"/>
      <c r="N107"/>
      <c r="O107" s="995"/>
      <c r="U107" s="114"/>
      <c r="AB107" s="114"/>
      <c r="AC107" s="114"/>
      <c r="AD107" s="114"/>
      <c r="AE107" s="114"/>
      <c r="BE107" s="136"/>
      <c r="BF107" s="136"/>
      <c r="BG107" s="136"/>
      <c r="BH107" s="136"/>
      <c r="BN107" s="86"/>
      <c r="BO107" s="1091"/>
      <c r="BP107" s="1582">
        <v>18</v>
      </c>
      <c r="BQ107" s="76"/>
      <c r="BR107" s="76"/>
      <c r="BS107" s="76"/>
      <c r="BT107" s="76"/>
      <c r="BU107" s="76"/>
      <c r="BV107" s="76"/>
      <c r="BW107" s="76"/>
      <c r="BX107" s="76"/>
      <c r="BZ107" s="117" t="b">
        <f>IF(CH59=18,10)</f>
        <v>0</v>
      </c>
      <c r="CA107" s="119"/>
      <c r="CB107" s="119"/>
      <c r="CC107" s="119"/>
      <c r="CD107" s="119"/>
      <c r="CE107" s="118"/>
      <c r="CF107" s="119"/>
      <c r="CG107" s="119"/>
      <c r="CH107" s="140"/>
      <c r="CI107" s="119"/>
      <c r="CJ107" s="141"/>
      <c r="CK107" s="118"/>
      <c r="CL107" s="119"/>
      <c r="CM107" s="119"/>
      <c r="CN107" s="119"/>
      <c r="CO107" s="111"/>
      <c r="CP107" s="103" t="b">
        <f>IF(CH59=18,26)</f>
        <v>0</v>
      </c>
      <c r="CR107" s="78"/>
      <c r="CS107" s="78"/>
      <c r="CT107" s="78"/>
      <c r="CU107" s="78"/>
      <c r="CV107" s="78"/>
      <c r="CW107" s="78"/>
      <c r="CX107" s="78"/>
      <c r="CY107" s="78"/>
      <c r="CZ107" s="78"/>
      <c r="DA107" s="78"/>
      <c r="DB107" s="78"/>
      <c r="DC107" s="78"/>
      <c r="DD107" s="78"/>
    </row>
    <row r="108" spans="5:108" ht="21" hidden="1" thickBot="1" x14ac:dyDescent="0.25">
      <c r="E108" s="397"/>
      <c r="F108" s="397"/>
      <c r="G108" s="998"/>
      <c r="H108"/>
      <c r="I108"/>
      <c r="J108"/>
      <c r="K108"/>
      <c r="L108"/>
      <c r="M108"/>
      <c r="N108"/>
      <c r="O108" s="995"/>
      <c r="U108" s="114"/>
      <c r="AB108" s="114"/>
      <c r="AC108" s="114"/>
      <c r="AD108" s="114"/>
      <c r="AE108" s="114"/>
      <c r="BE108" s="136"/>
      <c r="BF108" s="136"/>
      <c r="BG108" s="136"/>
      <c r="BH108" s="136"/>
      <c r="BN108" s="86"/>
      <c r="BO108" s="1091"/>
      <c r="BP108" s="1582">
        <v>17</v>
      </c>
      <c r="BQ108" s="76"/>
      <c r="BR108" s="76"/>
      <c r="BS108" s="76"/>
      <c r="BT108" s="76"/>
      <c r="BU108" s="76"/>
      <c r="BV108" s="76"/>
      <c r="BW108" s="76"/>
      <c r="BX108" s="117" t="b">
        <f>IF(CG59=17,8)</f>
        <v>0</v>
      </c>
      <c r="BY108" s="118"/>
      <c r="BZ108" s="118"/>
      <c r="CA108" s="119"/>
      <c r="CB108" s="119"/>
      <c r="CC108" s="119"/>
      <c r="CD108" s="119"/>
      <c r="CE108" s="119"/>
      <c r="CF108" s="119"/>
      <c r="CG108" s="119"/>
      <c r="CH108" s="140"/>
      <c r="CI108" s="119"/>
      <c r="CJ108" s="141"/>
      <c r="CK108" s="119"/>
      <c r="CL108" s="119"/>
      <c r="CM108" s="119"/>
      <c r="CN108" s="118"/>
      <c r="CO108" s="118"/>
      <c r="CP108" s="103" t="b">
        <f>IF(CG59=17,26)</f>
        <v>0</v>
      </c>
      <c r="CQ108" s="78"/>
      <c r="CR108" s="78"/>
      <c r="CS108" s="78"/>
      <c r="CT108" s="78"/>
      <c r="CU108" s="78"/>
      <c r="CV108" s="78"/>
      <c r="CW108" s="78"/>
      <c r="CX108" s="78"/>
      <c r="CY108" s="78"/>
      <c r="CZ108" s="78"/>
      <c r="DA108" s="78"/>
      <c r="DB108" s="78"/>
      <c r="DC108" s="78"/>
      <c r="DD108" s="78"/>
    </row>
    <row r="109" spans="5:108" ht="21" hidden="1" thickBot="1" x14ac:dyDescent="0.25">
      <c r="E109" s="397"/>
      <c r="F109" s="397"/>
      <c r="G109" s="998"/>
      <c r="H109"/>
      <c r="I109"/>
      <c r="J109"/>
      <c r="K109"/>
      <c r="L109"/>
      <c r="M109"/>
      <c r="N109"/>
      <c r="O109" s="995"/>
      <c r="U109" s="114"/>
      <c r="AB109" s="114"/>
      <c r="AC109" s="114"/>
      <c r="AD109" s="114"/>
      <c r="AE109" s="114"/>
      <c r="BE109" s="136"/>
      <c r="BF109" s="136"/>
      <c r="BG109" s="136"/>
      <c r="BH109" s="136"/>
      <c r="BN109" s="86"/>
      <c r="BO109" s="1091"/>
      <c r="BP109" s="1582">
        <v>16</v>
      </c>
      <c r="BQ109" s="76"/>
      <c r="BR109" s="76"/>
      <c r="BS109" s="76"/>
      <c r="BT109" s="76"/>
      <c r="BU109" s="76"/>
      <c r="BV109" s="145">
        <f>IF(CF59=16,6)</f>
        <v>6</v>
      </c>
      <c r="BW109" s="146"/>
      <c r="BX109" s="147"/>
      <c r="BY109" s="147"/>
      <c r="BZ109" s="146"/>
      <c r="CA109" s="146"/>
      <c r="CB109" s="146"/>
      <c r="CC109" s="146"/>
      <c r="CD109" s="146"/>
      <c r="CE109" s="146"/>
      <c r="CF109" s="146"/>
      <c r="CG109" s="146"/>
      <c r="CH109" s="148"/>
      <c r="CI109" s="146"/>
      <c r="CJ109" s="149"/>
      <c r="CK109" s="146"/>
      <c r="CL109" s="146"/>
      <c r="CM109" s="147"/>
      <c r="CN109" s="147"/>
      <c r="CO109" s="150"/>
      <c r="CP109" s="151">
        <f>IF(CF59=16,26)</f>
        <v>26</v>
      </c>
      <c r="CQ109" s="78"/>
      <c r="CR109" s="78"/>
      <c r="CS109" s="78"/>
      <c r="CT109" s="78"/>
      <c r="CU109" s="78"/>
      <c r="CV109" s="78"/>
      <c r="CW109" s="78"/>
      <c r="CX109" s="78"/>
      <c r="CY109" s="78"/>
      <c r="CZ109" s="78"/>
      <c r="DA109" s="78"/>
      <c r="DB109" s="78"/>
      <c r="DC109" s="78"/>
      <c r="DD109" s="78"/>
    </row>
    <row r="110" spans="5:108" ht="21" hidden="1" thickBot="1" x14ac:dyDescent="0.25">
      <c r="E110" s="397"/>
      <c r="F110" s="397"/>
      <c r="G110" s="998"/>
      <c r="H110"/>
      <c r="I110"/>
      <c r="J110"/>
      <c r="K110"/>
      <c r="L110"/>
      <c r="M110"/>
      <c r="N110"/>
      <c r="O110" s="995"/>
      <c r="U110" s="114"/>
      <c r="AB110" s="114"/>
      <c r="AC110" s="114"/>
      <c r="AD110" s="114"/>
      <c r="AE110" s="114"/>
      <c r="BE110" s="136"/>
      <c r="BF110" s="136"/>
      <c r="BG110" s="136"/>
      <c r="BH110" s="136"/>
      <c r="BN110" s="86"/>
      <c r="BO110" s="1091"/>
      <c r="BP110" s="1582">
        <v>15</v>
      </c>
      <c r="BQ110" s="76"/>
      <c r="BR110" s="76"/>
      <c r="BS110" s="76"/>
      <c r="BT110" s="117" t="b">
        <f>IF(CE59=15,4)</f>
        <v>0</v>
      </c>
      <c r="BU110" s="119"/>
      <c r="BV110" s="119"/>
      <c r="BW110" s="119"/>
      <c r="BX110" s="118"/>
      <c r="BY110" s="119"/>
      <c r="BZ110" s="119"/>
      <c r="CA110" s="118"/>
      <c r="CB110" s="119"/>
      <c r="CC110" s="119"/>
      <c r="CD110" s="119"/>
      <c r="CE110" s="119"/>
      <c r="CF110" s="119"/>
      <c r="CG110" s="119"/>
      <c r="CH110" s="140"/>
      <c r="CI110" s="118"/>
      <c r="CJ110" s="141"/>
      <c r="CK110" s="119"/>
      <c r="CL110" s="118"/>
      <c r="CM110" s="119"/>
      <c r="CN110" s="119"/>
      <c r="CO110" s="111"/>
      <c r="CP110" s="103" t="b">
        <f>IF(CE59=15,26)</f>
        <v>0</v>
      </c>
      <c r="CQ110" s="78"/>
      <c r="CR110" s="78"/>
      <c r="CS110" s="78"/>
      <c r="CT110" s="78"/>
      <c r="CU110" s="78"/>
      <c r="CV110" s="78"/>
      <c r="CW110" s="78"/>
      <c r="CX110" s="78"/>
      <c r="CY110" s="78"/>
      <c r="CZ110" s="78"/>
      <c r="DA110" s="78"/>
      <c r="DB110" s="78"/>
      <c r="DC110" s="78"/>
      <c r="DD110" s="78"/>
    </row>
    <row r="111" spans="5:108" ht="21" hidden="1" thickBot="1" x14ac:dyDescent="0.25">
      <c r="E111" s="397"/>
      <c r="F111" s="397"/>
      <c r="G111" s="998"/>
      <c r="H111"/>
      <c r="I111"/>
      <c r="J111"/>
      <c r="K111"/>
      <c r="L111"/>
      <c r="M111"/>
      <c r="N111"/>
      <c r="O111" s="995"/>
      <c r="U111" s="114"/>
      <c r="AB111" s="114"/>
      <c r="AC111" s="114"/>
      <c r="AD111" s="114"/>
      <c r="AE111" s="114"/>
      <c r="BE111" s="136"/>
      <c r="BF111" s="136"/>
      <c r="BG111" s="136"/>
      <c r="BH111" s="136"/>
      <c r="BN111" s="86"/>
      <c r="BO111" s="1091"/>
      <c r="BP111" s="1582">
        <v>14</v>
      </c>
      <c r="BQ111" s="76"/>
      <c r="BR111" s="117" t="b">
        <f>IF(CD59=14,2)</f>
        <v>0</v>
      </c>
      <c r="BS111" s="119"/>
      <c r="BT111" s="119"/>
      <c r="BU111" s="119"/>
      <c r="BV111" s="118"/>
      <c r="BW111" s="119"/>
      <c r="BX111" s="119"/>
      <c r="BY111" s="118"/>
      <c r="BZ111" s="119"/>
      <c r="CA111" s="119"/>
      <c r="CB111" s="119"/>
      <c r="CC111" s="119"/>
      <c r="CD111" s="119"/>
      <c r="CE111" s="119"/>
      <c r="CF111" s="119"/>
      <c r="CG111" s="119"/>
      <c r="CH111" s="140"/>
      <c r="CI111" s="118"/>
      <c r="CJ111" s="141"/>
      <c r="CK111" s="119"/>
      <c r="CL111" s="118"/>
      <c r="CM111" s="119"/>
      <c r="CN111" s="119"/>
      <c r="CO111" s="111"/>
      <c r="CP111" s="103" t="b">
        <f>IF(CD59=14,26)</f>
        <v>0</v>
      </c>
      <c r="CQ111" s="78"/>
      <c r="CR111" s="78"/>
      <c r="CS111" s="78"/>
      <c r="CT111" s="78"/>
      <c r="CU111" s="78"/>
      <c r="CV111" s="78"/>
      <c r="CW111" s="78"/>
      <c r="CX111" s="78"/>
      <c r="CY111" s="78"/>
      <c r="CZ111" s="78"/>
      <c r="DA111" s="78"/>
      <c r="DB111" s="78"/>
      <c r="DC111" s="78"/>
      <c r="DD111" s="78"/>
    </row>
    <row r="112" spans="5:108" ht="21" hidden="1" thickBot="1" x14ac:dyDescent="0.25">
      <c r="E112" s="397"/>
      <c r="F112" s="397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E112" s="136"/>
      <c r="BF112" s="136"/>
      <c r="BG112" s="136"/>
      <c r="BH112" s="136"/>
      <c r="BN112" s="86"/>
      <c r="BO112" s="1091"/>
      <c r="BP112" s="1582">
        <v>13</v>
      </c>
      <c r="BQ112" s="76"/>
      <c r="BR112" s="76"/>
      <c r="BS112" s="76"/>
      <c r="BU112" s="152"/>
      <c r="BV112" s="152"/>
      <c r="BW112" s="91"/>
      <c r="BX112" s="152"/>
      <c r="BY112" s="120" t="b">
        <f>IF(CC59=13,9)</f>
        <v>0</v>
      </c>
      <c r="BZ112" s="123"/>
      <c r="CA112" s="123"/>
      <c r="CB112" s="123"/>
      <c r="CC112" s="123"/>
      <c r="CD112" s="123"/>
      <c r="CE112" s="123"/>
      <c r="CF112" s="123"/>
      <c r="CG112" s="124" t="b">
        <f>IF(CC59=13,17)</f>
        <v>0</v>
      </c>
      <c r="CH112" s="153"/>
      <c r="CI112" s="91"/>
      <c r="CJ112" s="154"/>
      <c r="CK112" s="152"/>
      <c r="CM112" s="76"/>
      <c r="CN112" s="76"/>
      <c r="CO112" s="78"/>
      <c r="CP112" s="78"/>
      <c r="CQ112" s="78"/>
      <c r="CR112" s="78"/>
      <c r="CS112" s="78"/>
      <c r="CT112" s="78"/>
      <c r="CU112" s="78"/>
      <c r="CV112" s="78"/>
      <c r="CW112" s="78"/>
      <c r="CX112" s="78"/>
      <c r="CY112" s="78"/>
      <c r="CZ112" s="78"/>
      <c r="DA112" s="78"/>
      <c r="DB112" s="78"/>
      <c r="DC112" s="78"/>
      <c r="DD112" s="78"/>
    </row>
    <row r="113" spans="2:108" ht="21" hidden="1" thickBot="1" x14ac:dyDescent="0.25">
      <c r="D113" s="397"/>
      <c r="E113" s="397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E113" s="136"/>
      <c r="BF113" s="136"/>
      <c r="BG113" s="136"/>
      <c r="BH113" s="136"/>
      <c r="BN113" s="86"/>
      <c r="BO113" s="1091"/>
      <c r="BP113" s="1582">
        <v>12</v>
      </c>
      <c r="BQ113" s="76"/>
      <c r="BS113" s="139"/>
      <c r="BT113" s="139"/>
      <c r="BU113" s="142"/>
      <c r="BV113" s="139"/>
      <c r="BW113" s="117" t="b">
        <f>IF(CB59=12,7)</f>
        <v>0</v>
      </c>
      <c r="BX113" s="119"/>
      <c r="BY113" s="119"/>
      <c r="BZ113" s="119"/>
      <c r="CA113" s="119"/>
      <c r="CB113" s="119"/>
      <c r="CC113" s="119"/>
      <c r="CD113" s="119"/>
      <c r="CE113" s="119"/>
      <c r="CF113" s="119"/>
      <c r="CG113" s="103" t="b">
        <f>IF(CB59=12,17)</f>
        <v>0</v>
      </c>
      <c r="CH113" s="155"/>
      <c r="CI113" s="142"/>
      <c r="CJ113" s="156"/>
      <c r="CK113" s="139"/>
      <c r="CM113" s="76"/>
      <c r="CN113" s="76"/>
      <c r="CO113" s="78"/>
      <c r="CP113" s="78"/>
      <c r="CQ113" s="78"/>
      <c r="CR113" s="78"/>
      <c r="CS113" s="78"/>
      <c r="CT113" s="78"/>
      <c r="CU113" s="78"/>
      <c r="CV113" s="78"/>
      <c r="CW113" s="78"/>
      <c r="CX113" s="78"/>
      <c r="CY113" s="78"/>
      <c r="CZ113" s="78"/>
      <c r="DA113" s="78"/>
      <c r="DB113" s="78"/>
      <c r="DC113" s="78"/>
      <c r="DD113" s="78"/>
    </row>
    <row r="114" spans="2:108" ht="21" hidden="1" thickBot="1" x14ac:dyDescent="0.25">
      <c r="D114" s="397"/>
      <c r="E114" s="397"/>
      <c r="F114" s="397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E114" s="136"/>
      <c r="BF114" s="136"/>
      <c r="BG114" s="136"/>
      <c r="BH114" s="136"/>
      <c r="BN114" s="86"/>
      <c r="BO114" s="1091"/>
      <c r="BP114" s="1582">
        <v>11</v>
      </c>
      <c r="BR114" s="152"/>
      <c r="BS114" s="91"/>
      <c r="BT114" s="152"/>
      <c r="BU114" s="117" t="b">
        <f>IF(CA59=11,5)</f>
        <v>0</v>
      </c>
      <c r="BV114" s="119"/>
      <c r="BW114" s="119"/>
      <c r="BX114" s="119"/>
      <c r="BY114" s="119"/>
      <c r="BZ114" s="119"/>
      <c r="CA114" s="119"/>
      <c r="CB114" s="119"/>
      <c r="CC114" s="119"/>
      <c r="CD114" s="119"/>
      <c r="CE114" s="119"/>
      <c r="CF114" s="119"/>
      <c r="CG114" s="103" t="b">
        <f>IF(CA59=11,17)</f>
        <v>0</v>
      </c>
      <c r="CH114" s="153"/>
      <c r="CI114" s="91"/>
      <c r="CJ114" s="154"/>
      <c r="CL114" s="76"/>
      <c r="CM114" s="76"/>
      <c r="CN114" s="76"/>
      <c r="CO114" s="78"/>
      <c r="CP114" s="78"/>
      <c r="CQ114" s="78"/>
      <c r="CR114" s="78"/>
      <c r="CS114" s="78"/>
      <c r="CT114" s="78"/>
      <c r="CU114" s="78"/>
      <c r="CV114" s="78"/>
      <c r="CW114" s="78"/>
      <c r="CX114" s="78"/>
      <c r="CY114" s="78"/>
      <c r="CZ114" s="78"/>
      <c r="DA114" s="78"/>
      <c r="DB114" s="78"/>
      <c r="DC114" s="78"/>
      <c r="DD114" s="78"/>
    </row>
    <row r="115" spans="2:108" ht="21" hidden="1" thickBot="1" x14ac:dyDescent="0.25">
      <c r="B115" s="399"/>
      <c r="C115" s="399"/>
      <c r="D115" s="397"/>
      <c r="E115" s="397"/>
      <c r="F115" s="397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36"/>
      <c r="BF115" s="136"/>
      <c r="BG115" s="136"/>
      <c r="BH115" s="136"/>
      <c r="BN115" s="86"/>
      <c r="BO115" s="1091"/>
      <c r="BP115" s="1582">
        <v>10</v>
      </c>
      <c r="BR115" s="152"/>
      <c r="BS115" s="117" t="b">
        <f>IF(BZ59=10,3)</f>
        <v>0</v>
      </c>
      <c r="BT115" s="119"/>
      <c r="BU115" s="119"/>
      <c r="BV115" s="119"/>
      <c r="BW115" s="119"/>
      <c r="BX115" s="119"/>
      <c r="BY115" s="119"/>
      <c r="BZ115" s="119"/>
      <c r="CA115" s="119"/>
      <c r="CB115" s="119"/>
      <c r="CC115" s="119"/>
      <c r="CD115" s="119"/>
      <c r="CE115" s="119"/>
      <c r="CF115" s="119"/>
      <c r="CG115" s="103" t="b">
        <f>IF(BZ59=10,17)</f>
        <v>0</v>
      </c>
      <c r="CH115" s="153"/>
      <c r="CJ115" s="157"/>
      <c r="CK115" s="76"/>
      <c r="CL115" s="76"/>
      <c r="CM115" s="76"/>
      <c r="CN115" s="76"/>
      <c r="CO115" s="78"/>
      <c r="CP115" s="78"/>
      <c r="CQ115" s="78"/>
      <c r="CR115" s="78"/>
      <c r="CS115" s="78"/>
      <c r="CT115" s="78"/>
      <c r="CU115" s="78"/>
      <c r="CV115" s="78"/>
      <c r="CW115" s="78"/>
      <c r="CX115" s="78"/>
      <c r="CY115" s="78"/>
      <c r="CZ115" s="78"/>
      <c r="DA115" s="78"/>
      <c r="DB115" s="78"/>
      <c r="DC115" s="78"/>
      <c r="DD115" s="78"/>
    </row>
    <row r="116" spans="2:108" ht="21" hidden="1" thickBot="1" x14ac:dyDescent="0.25">
      <c r="B116" s="399"/>
      <c r="C116" s="399"/>
      <c r="D116" s="397"/>
      <c r="E116" s="397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F116" s="136"/>
      <c r="BG116" s="136"/>
      <c r="BH116" s="136"/>
      <c r="BN116" s="86"/>
      <c r="BO116" s="1091"/>
      <c r="BP116" s="1582">
        <v>9</v>
      </c>
      <c r="BQ116" s="117" t="b">
        <f>IF(BY59=9,1)</f>
        <v>0</v>
      </c>
      <c r="BR116" s="119"/>
      <c r="BS116" s="119"/>
      <c r="BT116" s="119"/>
      <c r="BU116" s="119"/>
      <c r="BV116" s="119"/>
      <c r="BW116" s="119"/>
      <c r="BX116" s="119"/>
      <c r="BY116" s="119"/>
      <c r="BZ116" s="119"/>
      <c r="CA116" s="119"/>
      <c r="CB116" s="119"/>
      <c r="CC116" s="119"/>
      <c r="CD116" s="119"/>
      <c r="CE116" s="119"/>
      <c r="CF116" s="119"/>
      <c r="CG116" s="103" t="b">
        <f>IF(BY59=9,17)</f>
        <v>0</v>
      </c>
      <c r="CH116" s="76"/>
      <c r="CI116" s="76"/>
      <c r="CJ116" s="157"/>
      <c r="CK116" s="76"/>
      <c r="CL116" s="76"/>
      <c r="CM116" s="76"/>
      <c r="CN116" s="76"/>
      <c r="CO116" s="78"/>
      <c r="CP116" s="78"/>
      <c r="CQ116" s="78"/>
      <c r="CR116" s="78"/>
      <c r="CS116" s="78"/>
      <c r="CT116" s="78"/>
      <c r="CU116" s="78"/>
      <c r="CV116" s="78"/>
      <c r="CW116" s="78"/>
      <c r="CX116" s="78"/>
      <c r="CY116" s="78"/>
      <c r="CZ116" s="78"/>
      <c r="DA116" s="78"/>
      <c r="DB116" s="78"/>
      <c r="DC116" s="78"/>
      <c r="DD116" s="78"/>
    </row>
    <row r="117" spans="2:108" ht="21" hidden="1" thickBot="1" x14ac:dyDescent="0.25">
      <c r="B117" s="401"/>
      <c r="E117" s="397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E117" s="136"/>
      <c r="BF117" s="136"/>
      <c r="BG117" s="136"/>
      <c r="BH117" s="136"/>
      <c r="BN117" s="86"/>
      <c r="BO117" s="1091"/>
      <c r="BP117" s="1582">
        <v>8</v>
      </c>
      <c r="BQ117" s="117" t="b">
        <f>IF(BX59=8,1)</f>
        <v>0</v>
      </c>
      <c r="BR117" s="119"/>
      <c r="BS117" s="118"/>
      <c r="BT117" s="119"/>
      <c r="BU117" s="119"/>
      <c r="BV117" s="119"/>
      <c r="BW117" s="119"/>
      <c r="BX117" s="119"/>
      <c r="BY117" s="119"/>
      <c r="BZ117" s="119"/>
      <c r="CA117" s="119"/>
      <c r="CB117" s="119"/>
      <c r="CC117" s="118"/>
      <c r="CD117" s="119"/>
      <c r="CE117" s="103" t="b">
        <f>IF(BX59=8,15)</f>
        <v>0</v>
      </c>
      <c r="CF117" s="76"/>
      <c r="CG117" s="76"/>
      <c r="CH117" s="158"/>
      <c r="CI117" s="76"/>
      <c r="CJ117" s="157"/>
      <c r="CK117" s="76"/>
      <c r="CL117" s="76"/>
      <c r="CM117" s="76"/>
      <c r="CN117" s="76"/>
      <c r="CO117" s="78"/>
      <c r="CP117" s="78"/>
      <c r="CQ117" s="78"/>
      <c r="CR117" s="78"/>
      <c r="CS117" s="78"/>
      <c r="CT117" s="78"/>
      <c r="CU117" s="78"/>
      <c r="CV117" s="78"/>
      <c r="CW117" s="78"/>
      <c r="CX117" s="78"/>
      <c r="CY117" s="78"/>
      <c r="CZ117" s="78"/>
      <c r="DA117" s="78"/>
      <c r="DB117" s="78"/>
      <c r="DC117" s="78"/>
      <c r="DD117" s="78"/>
    </row>
    <row r="118" spans="2:108" ht="21" hidden="1" thickBot="1" x14ac:dyDescent="0.25">
      <c r="B118" s="399"/>
      <c r="C118" s="399"/>
      <c r="D118" s="397"/>
      <c r="E118" s="397"/>
      <c r="F118" s="397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F118" s="136"/>
      <c r="BG118" s="136"/>
      <c r="BH118" s="136"/>
      <c r="BN118" s="86"/>
      <c r="BO118" s="1091"/>
      <c r="BP118" s="1582">
        <v>7</v>
      </c>
      <c r="BQ118" s="117" t="b">
        <f>IF(BW59=7,1)</f>
        <v>0</v>
      </c>
      <c r="BR118" s="118"/>
      <c r="BS118" s="119"/>
      <c r="BT118" s="119"/>
      <c r="BU118" s="119"/>
      <c r="BV118" s="119"/>
      <c r="BW118" s="119"/>
      <c r="BX118" s="119"/>
      <c r="BY118" s="119"/>
      <c r="BZ118" s="119"/>
      <c r="CA118" s="118"/>
      <c r="CB118" s="118"/>
      <c r="CC118" s="103" t="b">
        <f>IF(BW59=7,13)</f>
        <v>0</v>
      </c>
      <c r="CD118" s="76"/>
      <c r="CE118" s="76"/>
      <c r="CF118" s="76"/>
      <c r="CG118" s="76"/>
      <c r="CH118" s="158"/>
      <c r="CI118" s="76"/>
      <c r="CJ118" s="157"/>
      <c r="CK118" s="76"/>
      <c r="CL118" s="76"/>
      <c r="CM118" s="76"/>
      <c r="CN118" s="76"/>
      <c r="CO118" s="78"/>
      <c r="CP118" s="78"/>
      <c r="CQ118" s="78"/>
      <c r="CR118" s="78"/>
      <c r="CS118" s="78"/>
      <c r="CT118" s="78"/>
      <c r="CU118" s="78"/>
      <c r="CV118" s="78"/>
      <c r="CW118" s="78"/>
      <c r="CX118" s="78"/>
      <c r="CY118" s="78"/>
      <c r="CZ118" s="78"/>
      <c r="DA118" s="78"/>
      <c r="DB118" s="78"/>
      <c r="DC118" s="78"/>
      <c r="DD118" s="78"/>
    </row>
    <row r="119" spans="2:108" ht="21" hidden="1" thickBot="1" x14ac:dyDescent="0.25">
      <c r="B119" s="399"/>
      <c r="C119" s="399"/>
      <c r="D119" s="397"/>
      <c r="E119" s="397"/>
      <c r="F119" s="397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F119" s="136"/>
      <c r="BG119" s="136"/>
      <c r="BH119" s="136"/>
      <c r="BN119" s="86"/>
      <c r="BO119" s="1091"/>
      <c r="BP119" s="1582">
        <v>6</v>
      </c>
      <c r="BQ119" s="120" t="b">
        <f>IF(BV59=6,1)</f>
        <v>0</v>
      </c>
      <c r="BR119" s="123"/>
      <c r="BS119" s="123"/>
      <c r="BT119" s="123"/>
      <c r="BU119" s="123"/>
      <c r="BV119" s="123"/>
      <c r="BW119" s="123"/>
      <c r="BX119" s="123"/>
      <c r="BY119" s="123"/>
      <c r="BZ119" s="123"/>
      <c r="CA119" s="124" t="b">
        <f>IF(BV59=6,11)</f>
        <v>0</v>
      </c>
      <c r="CB119" s="76"/>
      <c r="CC119" s="76"/>
      <c r="CD119" s="76"/>
      <c r="CE119" s="76"/>
      <c r="CF119" s="76"/>
      <c r="CG119" s="76"/>
      <c r="CH119" s="158"/>
      <c r="CI119" s="76"/>
      <c r="CJ119" s="157"/>
      <c r="CK119" s="76"/>
      <c r="CL119" s="76"/>
      <c r="CM119" s="76"/>
      <c r="CN119" s="76"/>
      <c r="CO119" s="78"/>
      <c r="CP119" s="78"/>
      <c r="CQ119" s="78"/>
      <c r="CR119" s="78"/>
      <c r="CS119" s="78"/>
      <c r="CT119" s="78"/>
      <c r="CU119" s="78"/>
      <c r="CV119" s="78"/>
      <c r="CW119" s="78"/>
      <c r="CX119" s="78"/>
      <c r="CY119" s="78"/>
      <c r="CZ119" s="78"/>
      <c r="DA119" s="78"/>
      <c r="DB119" s="78"/>
      <c r="DC119" s="78"/>
      <c r="DD119" s="78"/>
    </row>
    <row r="120" spans="2:108" ht="21" hidden="1" thickBot="1" x14ac:dyDescent="0.25">
      <c r="B120" s="19"/>
      <c r="C120" s="399"/>
      <c r="D120" s="397"/>
      <c r="E120" s="19"/>
      <c r="F120" s="397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E120" s="136"/>
      <c r="BF120" s="136"/>
      <c r="BG120" s="136"/>
      <c r="BH120" s="136"/>
      <c r="BN120" s="86"/>
      <c r="BO120" s="1091"/>
      <c r="BP120" s="1582">
        <v>5</v>
      </c>
      <c r="BQ120" s="120" t="b">
        <f>IF(BU59=5,1)</f>
        <v>0</v>
      </c>
      <c r="BR120" s="122"/>
      <c r="BS120" s="123"/>
      <c r="BT120" s="123"/>
      <c r="BU120" s="123"/>
      <c r="BV120" s="123"/>
      <c r="BW120" s="123"/>
      <c r="BX120" s="122"/>
      <c r="BY120" s="124" t="b">
        <f>IF(BU59=5,9)</f>
        <v>0</v>
      </c>
      <c r="BZ120" s="76"/>
      <c r="CA120" s="76"/>
      <c r="CB120" s="76"/>
      <c r="CC120" s="76"/>
      <c r="CD120" s="76"/>
      <c r="CE120" s="76"/>
      <c r="CF120" s="76"/>
      <c r="CG120" s="76"/>
      <c r="CH120" s="158"/>
      <c r="CI120" s="76"/>
      <c r="CJ120" s="157"/>
      <c r="CK120" s="76"/>
      <c r="CL120" s="76"/>
      <c r="CM120" s="76"/>
      <c r="CN120" s="76"/>
      <c r="CO120" s="78"/>
      <c r="CP120" s="78"/>
      <c r="CQ120" s="78"/>
      <c r="CR120" s="78"/>
      <c r="CS120" s="78"/>
      <c r="CT120" s="78"/>
      <c r="CU120" s="78"/>
      <c r="CV120" s="78"/>
      <c r="CW120" s="78"/>
      <c r="CX120" s="78"/>
      <c r="CY120" s="78"/>
      <c r="CZ120" s="78"/>
      <c r="DA120" s="78"/>
      <c r="DB120" s="78"/>
      <c r="DC120" s="78"/>
      <c r="DD120" s="78"/>
    </row>
    <row r="121" spans="2:108" ht="21" hidden="1" thickBot="1" x14ac:dyDescent="0.25">
      <c r="B121" s="399"/>
      <c r="C121" s="399"/>
      <c r="D121" s="397"/>
      <c r="E121" s="397"/>
      <c r="F121" s="397"/>
      <c r="G121" s="998"/>
      <c r="H121"/>
      <c r="I121"/>
      <c r="J121"/>
      <c r="K121"/>
      <c r="L121"/>
      <c r="M121"/>
      <c r="N121"/>
      <c r="O121" s="995"/>
      <c r="U121" s="114"/>
      <c r="AB121" s="114"/>
      <c r="AC121" s="114"/>
      <c r="AD121" s="114"/>
      <c r="AE121" s="114"/>
      <c r="BF121" s="136"/>
      <c r="BG121" s="136"/>
      <c r="BH121" s="136"/>
      <c r="BN121" s="86"/>
      <c r="BO121" s="1091"/>
      <c r="BP121" s="1582">
        <v>4</v>
      </c>
      <c r="BQ121" s="120" t="b">
        <f>IF(BT59=4,1)</f>
        <v>0</v>
      </c>
      <c r="BR121" s="123"/>
      <c r="BS121" s="123"/>
      <c r="BT121" s="123"/>
      <c r="BU121" s="123"/>
      <c r="BV121" s="123"/>
      <c r="BW121" s="124" t="b">
        <f>IF(BT59=4,7)</f>
        <v>0</v>
      </c>
      <c r="BX121" s="76"/>
      <c r="BY121" s="159"/>
      <c r="BZ121" s="159"/>
      <c r="CA121" s="76"/>
      <c r="CB121" s="159"/>
      <c r="CC121" s="76"/>
      <c r="CD121" s="76"/>
      <c r="CE121" s="76"/>
      <c r="CF121" s="76"/>
      <c r="CG121" s="76"/>
      <c r="CH121" s="158"/>
      <c r="CI121" s="76"/>
      <c r="CJ121" s="157"/>
      <c r="CK121" s="76"/>
      <c r="CL121" s="76"/>
      <c r="CM121" s="76"/>
      <c r="CN121" s="76"/>
      <c r="CO121" s="78"/>
      <c r="CP121" s="78"/>
      <c r="CQ121" s="78"/>
      <c r="CR121" s="78"/>
      <c r="CS121" s="78"/>
      <c r="CT121" s="78"/>
      <c r="CU121" s="78"/>
      <c r="CV121" s="78"/>
      <c r="CW121" s="78"/>
      <c r="CX121" s="78"/>
      <c r="CY121" s="78"/>
      <c r="CZ121" s="78"/>
      <c r="DA121" s="78"/>
      <c r="DB121" s="78"/>
      <c r="DC121" s="78"/>
      <c r="DD121" s="78"/>
    </row>
    <row r="122" spans="2:108" ht="21" hidden="1" thickBot="1" x14ac:dyDescent="0.25">
      <c r="B122" s="399"/>
      <c r="C122" s="399"/>
      <c r="D122" s="397"/>
      <c r="E122" s="397"/>
      <c r="F122" s="397"/>
      <c r="G122" s="998"/>
      <c r="H122"/>
      <c r="I122"/>
      <c r="J122"/>
      <c r="K122"/>
      <c r="L122"/>
      <c r="M122"/>
      <c r="N122"/>
      <c r="O122" s="995"/>
      <c r="U122" s="114"/>
      <c r="AB122" s="114"/>
      <c r="AC122" s="114"/>
      <c r="AD122" s="114"/>
      <c r="AE122" s="114"/>
      <c r="BE122" s="136"/>
      <c r="BF122" s="136"/>
      <c r="BG122" s="136"/>
      <c r="BH122" s="136"/>
      <c r="BN122" s="86"/>
      <c r="BO122" s="1091"/>
      <c r="BP122" s="1582">
        <v>3</v>
      </c>
      <c r="BQ122" s="120" t="b">
        <f>IF(BS59=3,1)</f>
        <v>0</v>
      </c>
      <c r="BR122" s="123"/>
      <c r="BS122" s="123"/>
      <c r="BT122" s="123"/>
      <c r="BU122" s="124" t="b">
        <f>IF(BS59=3,5)</f>
        <v>0</v>
      </c>
      <c r="BV122" s="76"/>
      <c r="BW122" s="76"/>
      <c r="BX122" s="76"/>
      <c r="BY122" s="76"/>
      <c r="BZ122" s="76"/>
      <c r="CA122" s="76"/>
      <c r="CB122" s="76"/>
      <c r="CC122" s="76"/>
      <c r="CD122" s="76"/>
      <c r="CE122" s="76"/>
      <c r="CF122" s="76"/>
      <c r="CG122" s="76"/>
      <c r="CH122" s="158"/>
      <c r="CI122" s="76"/>
      <c r="CJ122" s="157"/>
      <c r="CK122" s="76"/>
      <c r="CL122" s="76"/>
      <c r="CM122" s="76"/>
      <c r="CN122" s="76"/>
      <c r="CO122" s="78"/>
      <c r="CP122" s="78"/>
      <c r="CQ122" s="78"/>
      <c r="CR122" s="78"/>
      <c r="CS122" s="78"/>
      <c r="CT122" s="78"/>
      <c r="CU122" s="78"/>
      <c r="CV122" s="78"/>
      <c r="CW122" s="78"/>
      <c r="CX122" s="78"/>
      <c r="CY122" s="78"/>
      <c r="CZ122" s="78"/>
      <c r="DA122" s="78"/>
      <c r="DB122" s="78"/>
      <c r="DC122" s="78"/>
      <c r="DD122" s="78"/>
    </row>
    <row r="123" spans="2:108" ht="20" hidden="1" x14ac:dyDescent="0.2">
      <c r="B123" s="399"/>
      <c r="C123" s="399"/>
      <c r="D123" s="397"/>
      <c r="E123" s="397"/>
      <c r="F123" s="397"/>
      <c r="G123" s="998"/>
      <c r="H123"/>
      <c r="I123"/>
      <c r="J123"/>
      <c r="K123"/>
      <c r="L123"/>
      <c r="M123"/>
      <c r="N123"/>
      <c r="O123" s="995"/>
      <c r="U123" s="114"/>
      <c r="AB123" s="114"/>
      <c r="AC123" s="114"/>
      <c r="AD123" s="114"/>
      <c r="AE123" s="114"/>
      <c r="BE123" s="136"/>
      <c r="BF123" s="136"/>
      <c r="BG123" s="136"/>
      <c r="BH123" s="136"/>
      <c r="BN123" s="86"/>
      <c r="BO123" s="1091"/>
      <c r="BP123" s="1582">
        <v>2</v>
      </c>
      <c r="BQ123" s="160" t="b">
        <f>IF(BR59=2,1)</f>
        <v>0</v>
      </c>
      <c r="BR123" s="161"/>
      <c r="BS123" s="162" t="b">
        <f>IF(BR59=2,3)</f>
        <v>0</v>
      </c>
      <c r="BT123" s="76"/>
      <c r="BU123" s="76"/>
      <c r="BV123" s="76"/>
      <c r="BW123" s="76"/>
      <c r="BX123" s="76"/>
      <c r="BY123" s="76"/>
      <c r="BZ123" s="76"/>
      <c r="CA123" s="76"/>
      <c r="CB123" s="76"/>
      <c r="CC123" s="76"/>
      <c r="CD123" s="76"/>
      <c r="CE123" s="76"/>
      <c r="CF123" s="76"/>
      <c r="CG123" s="76"/>
      <c r="CH123" s="158"/>
      <c r="CI123" s="76"/>
      <c r="CJ123" s="157"/>
      <c r="CK123" s="76"/>
      <c r="CL123" s="76"/>
      <c r="CM123" s="76"/>
      <c r="CN123" s="76"/>
      <c r="CO123" s="78"/>
      <c r="CP123" s="78"/>
      <c r="CQ123" s="78"/>
      <c r="CR123" s="78"/>
      <c r="CS123" s="78"/>
      <c r="CT123" s="78"/>
      <c r="CU123" s="78"/>
      <c r="CV123" s="78"/>
      <c r="CW123" s="78"/>
      <c r="CX123" s="78"/>
      <c r="CY123" s="78"/>
      <c r="CZ123" s="78"/>
      <c r="DA123" s="78"/>
      <c r="DB123" s="78"/>
      <c r="DC123" s="78"/>
      <c r="DD123" s="78"/>
    </row>
    <row r="124" spans="2:108" ht="54" hidden="1" customHeight="1" thickBot="1" x14ac:dyDescent="0.25">
      <c r="B124" s="399"/>
      <c r="C124" s="399"/>
      <c r="D124" s="397"/>
      <c r="E124" s="397"/>
      <c r="F124" s="39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114"/>
      <c r="AB124" s="114"/>
      <c r="AC124" s="114"/>
      <c r="AD124" s="114"/>
      <c r="AE124" s="114"/>
      <c r="BE124" s="136"/>
      <c r="BF124" s="136"/>
      <c r="BG124" s="136"/>
      <c r="BH124" s="136"/>
      <c r="BN124" s="86"/>
      <c r="BO124" s="1091"/>
      <c r="BP124" s="163"/>
      <c r="BQ124" s="164">
        <f>SUM(BQ89:BQ123)</f>
        <v>0</v>
      </c>
      <c r="BR124" s="164">
        <f t="shared" ref="BR124:DA124" si="2">SUM(BR89:BR123)</f>
        <v>0</v>
      </c>
      <c r="BS124" s="164">
        <f t="shared" si="2"/>
        <v>0</v>
      </c>
      <c r="BT124" s="164">
        <f t="shared" si="2"/>
        <v>0</v>
      </c>
      <c r="BU124" s="164">
        <f t="shared" si="2"/>
        <v>0</v>
      </c>
      <c r="BV124" s="164">
        <f t="shared" si="2"/>
        <v>6</v>
      </c>
      <c r="BW124" s="164">
        <f t="shared" si="2"/>
        <v>0</v>
      </c>
      <c r="BX124" s="164">
        <f t="shared" si="2"/>
        <v>0</v>
      </c>
      <c r="BY124" s="164">
        <f t="shared" si="2"/>
        <v>0</v>
      </c>
      <c r="BZ124" s="164">
        <f t="shared" si="2"/>
        <v>0</v>
      </c>
      <c r="CA124" s="164">
        <f t="shared" si="2"/>
        <v>0</v>
      </c>
      <c r="CB124" s="164">
        <f t="shared" si="2"/>
        <v>0</v>
      </c>
      <c r="CC124" s="164">
        <f t="shared" si="2"/>
        <v>0</v>
      </c>
      <c r="CD124" s="164">
        <f t="shared" si="2"/>
        <v>0</v>
      </c>
      <c r="CE124" s="164">
        <f t="shared" si="2"/>
        <v>0</v>
      </c>
      <c r="CF124" s="164">
        <f t="shared" si="2"/>
        <v>0</v>
      </c>
      <c r="CG124" s="165">
        <f t="shared" si="2"/>
        <v>0</v>
      </c>
      <c r="CH124" s="166"/>
      <c r="CI124" s="167"/>
      <c r="CJ124" s="168"/>
      <c r="CK124" s="169">
        <f t="shared" si="2"/>
        <v>0</v>
      </c>
      <c r="CL124" s="164">
        <f t="shared" si="2"/>
        <v>0</v>
      </c>
      <c r="CM124" s="164">
        <f t="shared" si="2"/>
        <v>0</v>
      </c>
      <c r="CN124" s="164">
        <f t="shared" si="2"/>
        <v>0</v>
      </c>
      <c r="CO124" s="164">
        <f t="shared" si="2"/>
        <v>0</v>
      </c>
      <c r="CP124" s="164">
        <f t="shared" si="2"/>
        <v>26</v>
      </c>
      <c r="CQ124" s="164">
        <f t="shared" si="2"/>
        <v>0</v>
      </c>
      <c r="CR124" s="164">
        <f t="shared" si="2"/>
        <v>0</v>
      </c>
      <c r="CS124" s="164">
        <f t="shared" si="2"/>
        <v>0</v>
      </c>
      <c r="CT124" s="164">
        <f t="shared" si="2"/>
        <v>0</v>
      </c>
      <c r="CU124" s="164">
        <f t="shared" si="2"/>
        <v>0</v>
      </c>
      <c r="CV124" s="164">
        <f t="shared" si="2"/>
        <v>0</v>
      </c>
      <c r="CW124" s="164">
        <f t="shared" si="2"/>
        <v>0</v>
      </c>
      <c r="CX124" s="164">
        <f t="shared" si="2"/>
        <v>0</v>
      </c>
      <c r="CY124" s="164">
        <f t="shared" si="2"/>
        <v>0</v>
      </c>
      <c r="CZ124" s="164">
        <f t="shared" si="2"/>
        <v>0</v>
      </c>
      <c r="DA124" s="164">
        <f t="shared" si="2"/>
        <v>0</v>
      </c>
      <c r="DB124" s="78"/>
      <c r="DC124" s="78"/>
      <c r="DD124" s="78"/>
    </row>
    <row r="125" spans="2:108" ht="147.75" customHeight="1" thickBot="1" x14ac:dyDescent="0.25">
      <c r="B125" s="399"/>
      <c r="C125" s="399"/>
      <c r="D125" s="397"/>
      <c r="E125" s="397"/>
      <c r="F125" s="39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114"/>
      <c r="AB125" s="114"/>
      <c r="AC125" s="114"/>
      <c r="AD125" s="114"/>
      <c r="AE125" s="114"/>
      <c r="BE125" s="136"/>
      <c r="BF125" s="136"/>
      <c r="BG125" s="136"/>
      <c r="BH125" s="136"/>
      <c r="BN125" s="86"/>
      <c r="BO125" s="1091"/>
      <c r="BP125" s="163"/>
      <c r="BQ125" s="170"/>
      <c r="BR125" s="170"/>
      <c r="BS125" s="170"/>
      <c r="BT125" s="170"/>
      <c r="BU125" s="170"/>
      <c r="BV125" s="170"/>
      <c r="BW125" s="170"/>
      <c r="BX125" s="170"/>
      <c r="BY125" s="170"/>
      <c r="BZ125" s="170"/>
      <c r="CA125" s="170"/>
      <c r="CB125" s="170"/>
      <c r="CC125" s="170"/>
      <c r="CD125" s="170"/>
      <c r="CE125" s="170"/>
      <c r="CF125" s="170"/>
      <c r="CG125" s="170"/>
      <c r="CH125" s="170"/>
      <c r="CI125" s="170"/>
      <c r="CJ125" s="170"/>
      <c r="CK125" s="171"/>
      <c r="CL125" s="170"/>
      <c r="CM125" s="170"/>
      <c r="CN125" s="170"/>
      <c r="CO125" s="170"/>
      <c r="CP125" s="170"/>
      <c r="CQ125" s="170"/>
      <c r="CR125" s="170"/>
      <c r="CS125" s="170"/>
      <c r="CT125" s="170"/>
      <c r="CU125" s="170"/>
      <c r="CV125" s="170"/>
      <c r="CW125" s="170"/>
      <c r="CX125" s="170"/>
      <c r="CY125" s="170"/>
      <c r="CZ125" s="170"/>
      <c r="DA125" s="170"/>
      <c r="DB125" s="78"/>
      <c r="DC125" s="78"/>
      <c r="DD125" s="78"/>
    </row>
    <row r="126" spans="2:108" ht="48.75" customHeight="1" thickBot="1" x14ac:dyDescent="0.3">
      <c r="B126" s="399"/>
      <c r="C126" s="399"/>
      <c r="D126" s="397"/>
      <c r="E126" s="397"/>
      <c r="F126" s="397"/>
      <c r="G126" s="998"/>
      <c r="H126" s="1087" t="s">
        <v>265</v>
      </c>
      <c r="I126" s="1080">
        <f>+MIN(K31:L32)</f>
        <v>57.720760878489514</v>
      </c>
      <c r="J126" s="1080">
        <f>+MIN(J37:K38)</f>
        <v>98.400984009840087</v>
      </c>
      <c r="K126" s="1082">
        <f>+MIN(J43:L44)</f>
        <v>98.400984009840087</v>
      </c>
      <c r="L126" s="1083">
        <f>+MIN(J49:L50)</f>
        <v>42.577348850411575</v>
      </c>
      <c r="M126" s="1084">
        <f>+MIN(J55:L56)</f>
        <v>98.400984009840087</v>
      </c>
      <c r="N126"/>
      <c r="O126" s="995"/>
      <c r="U126" s="114"/>
      <c r="AB126" s="114"/>
      <c r="AC126" s="114"/>
      <c r="AD126" s="114"/>
      <c r="AE126" s="114"/>
      <c r="BE126" s="136"/>
      <c r="BF126" s="136"/>
      <c r="BG126" s="136"/>
      <c r="BH126" s="136"/>
      <c r="BN126" s="86"/>
      <c r="BO126" s="1095" t="s">
        <v>128</v>
      </c>
      <c r="BP126" s="172" t="s">
        <v>124</v>
      </c>
      <c r="BQ126" s="750" t="str">
        <f>IF(BQ124=1,17,"")</f>
        <v/>
      </c>
      <c r="BR126" s="751" t="str">
        <f>IF(BR124=2,16,"")</f>
        <v/>
      </c>
      <c r="BS126" s="751" t="str">
        <f>IF(BS124=3,15,"")</f>
        <v/>
      </c>
      <c r="BT126" s="751" t="str">
        <f>IF(BT124=4,14,"")</f>
        <v/>
      </c>
      <c r="BU126" s="751" t="str">
        <f>IF(BU124=5,13,"")</f>
        <v/>
      </c>
      <c r="BV126" s="751">
        <f>IF(BV124=6,12,"")</f>
        <v>12</v>
      </c>
      <c r="BW126" s="751" t="str">
        <f>IF(BW124=7,11,"")</f>
        <v/>
      </c>
      <c r="BX126" s="751" t="str">
        <f>IF(BX124=8,10,"")</f>
        <v/>
      </c>
      <c r="BY126" s="751" t="str">
        <f>IF(BY124=9,9,"")</f>
        <v/>
      </c>
      <c r="BZ126" s="751" t="str">
        <f>IF(BZ124=10,8,"")</f>
        <v/>
      </c>
      <c r="CA126" s="751" t="str">
        <f>IF(CA124=11,7,"")</f>
        <v/>
      </c>
      <c r="CB126" s="752" t="str">
        <f>IF(CB124=12,"6  ADS ","")</f>
        <v/>
      </c>
      <c r="CC126" s="751" t="str">
        <f>IF(CC124=13,5,"")</f>
        <v/>
      </c>
      <c r="CD126" s="751" t="str">
        <f>IF(CD124=14,4,"")</f>
        <v/>
      </c>
      <c r="CE126" s="751" t="str">
        <f>IF(CE124=15,3,"")</f>
        <v/>
      </c>
      <c r="CF126" s="751" t="str">
        <f>IF(CF124=16,2,"")</f>
        <v/>
      </c>
      <c r="CG126" s="751" t="str">
        <f>IF(CG124=17,1,"")</f>
        <v/>
      </c>
      <c r="CH126" s="173"/>
      <c r="CI126" s="174"/>
      <c r="CJ126" s="175"/>
      <c r="CK126" s="753" t="str">
        <f>IF(CK124=21,1,"")</f>
        <v/>
      </c>
      <c r="CL126" s="753" t="str">
        <f>IF(CL124=22,2,"")</f>
        <v/>
      </c>
      <c r="CM126" s="753" t="str">
        <f>IF(CM124=23,3,"")</f>
        <v/>
      </c>
      <c r="CN126" s="753" t="str">
        <f>IF(CN124=24,4,"")</f>
        <v/>
      </c>
      <c r="CO126" s="753" t="str">
        <f>IF(CO124=25,5,"")</f>
        <v/>
      </c>
      <c r="CP126" s="754" t="str">
        <f>IF(CP124=26,"6  ADS ","")</f>
        <v xml:space="preserve">6  ADS </v>
      </c>
      <c r="CQ126" s="753" t="str">
        <f>IF(CQ124=27,7,"")</f>
        <v/>
      </c>
      <c r="CR126" s="753" t="str">
        <f>IF(CR124=28,8,"")</f>
        <v/>
      </c>
      <c r="CS126" s="753" t="str">
        <f>IF(CS124=29,9,"")</f>
        <v/>
      </c>
      <c r="CT126" s="753" t="str">
        <f>IF(CT124=30,10,"")</f>
        <v/>
      </c>
      <c r="CU126" s="753" t="str">
        <f>IF(CU124=31,11,"")</f>
        <v/>
      </c>
      <c r="CV126" s="753" t="str">
        <f>IF(CV124=32,12,"")</f>
        <v/>
      </c>
      <c r="CW126" s="753" t="str">
        <f>IF(CW124=33,13,"")</f>
        <v/>
      </c>
      <c r="CX126" s="753" t="str">
        <f>IF(CX124=34,14,"")</f>
        <v/>
      </c>
      <c r="CY126" s="753" t="str">
        <f>IF(CY124=35,15,"")</f>
        <v/>
      </c>
      <c r="CZ126" s="753" t="str">
        <f>IF(CZ124=36,16,"")</f>
        <v/>
      </c>
      <c r="DA126" s="755" t="str">
        <f>IF(DA124=37,17,"")</f>
        <v/>
      </c>
      <c r="DB126" s="340"/>
      <c r="DC126" s="78"/>
      <c r="DD126" s="78"/>
    </row>
    <row r="127" spans="2:108" ht="45.75" customHeight="1" thickBot="1" x14ac:dyDescent="0.3">
      <c r="B127" s="399"/>
      <c r="C127" s="399"/>
      <c r="D127" s="397"/>
      <c r="E127" s="397"/>
      <c r="F127" s="397"/>
      <c r="G127" s="1583"/>
      <c r="H127" s="126"/>
      <c r="I127" s="126"/>
      <c r="J127" s="126"/>
      <c r="K127" s="126"/>
      <c r="L127" s="126"/>
      <c r="M127" s="126"/>
      <c r="N127" s="126"/>
      <c r="O127" s="1584"/>
      <c r="U127" s="114"/>
      <c r="AB127" s="114"/>
      <c r="AC127" s="114"/>
      <c r="AD127" s="114"/>
      <c r="AE127" s="114"/>
      <c r="BE127" s="136"/>
      <c r="BF127" s="136"/>
      <c r="BG127" s="136"/>
      <c r="BH127" s="136"/>
      <c r="BL127" s="968">
        <v>6</v>
      </c>
      <c r="BM127" s="1762" t="b">
        <f>AND(BO127&gt;=10,$BB$142&gt;=10,$BA$142&gt;=10,$BB$174&gt;=10,$BA$174&gt;=10,$BA$211&gt;=10,$BB$211&gt;=10)</f>
        <v>1</v>
      </c>
      <c r="BN127" s="84" t="str">
        <f>IF(BM127=TRUE,"O K","OVERLOAD")</f>
        <v>O K</v>
      </c>
      <c r="BO127" s="982">
        <f>SUM(I132:M132)</f>
        <v>98.400984009840087</v>
      </c>
      <c r="BP127" s="788" t="s">
        <v>185</v>
      </c>
      <c r="BQ127" s="789">
        <v>-10</v>
      </c>
      <c r="BR127" s="789">
        <v>-9</v>
      </c>
      <c r="BS127" s="789">
        <v>-8</v>
      </c>
      <c r="BT127" s="789">
        <v>-7</v>
      </c>
      <c r="BU127" s="789">
        <v>-6</v>
      </c>
      <c r="BV127" s="789">
        <v>-5</v>
      </c>
      <c r="BW127" s="789">
        <v>-4</v>
      </c>
      <c r="BX127" s="789">
        <v>-3</v>
      </c>
      <c r="BY127" s="789">
        <v>-2</v>
      </c>
      <c r="BZ127" s="789">
        <v>-1</v>
      </c>
      <c r="CA127" s="789">
        <v>0</v>
      </c>
      <c r="CB127" s="789">
        <v>1</v>
      </c>
      <c r="CC127" s="789">
        <v>2</v>
      </c>
      <c r="CD127" s="789">
        <v>3</v>
      </c>
      <c r="CE127" s="789">
        <v>4</v>
      </c>
      <c r="CF127" s="789">
        <v>5</v>
      </c>
      <c r="CG127" s="789">
        <v>6</v>
      </c>
      <c r="CH127" s="789">
        <v>7</v>
      </c>
      <c r="CI127" s="789">
        <v>8</v>
      </c>
      <c r="CJ127" s="789">
        <v>9</v>
      </c>
      <c r="CK127" s="789">
        <v>10</v>
      </c>
      <c r="CL127" s="789">
        <v>11</v>
      </c>
      <c r="CM127" s="789">
        <v>12</v>
      </c>
      <c r="CN127" s="789">
        <v>13</v>
      </c>
      <c r="CO127" s="789">
        <v>14</v>
      </c>
      <c r="CP127" s="789">
        <v>15</v>
      </c>
      <c r="CQ127" s="789">
        <v>16</v>
      </c>
      <c r="CR127" s="789">
        <v>17</v>
      </c>
      <c r="CS127" s="789">
        <v>18</v>
      </c>
      <c r="CT127" s="789">
        <v>19</v>
      </c>
      <c r="CU127" s="789">
        <v>20</v>
      </c>
      <c r="CV127" s="789">
        <v>21</v>
      </c>
      <c r="CW127" s="789">
        <v>22</v>
      </c>
      <c r="CX127" s="789">
        <v>23</v>
      </c>
      <c r="CY127" s="789">
        <v>24</v>
      </c>
      <c r="CZ127" s="789">
        <v>25</v>
      </c>
      <c r="DA127" s="791">
        <v>26</v>
      </c>
      <c r="DB127" s="78"/>
      <c r="DC127" s="78"/>
      <c r="DD127" s="78"/>
    </row>
    <row r="128" spans="2:108" ht="31" hidden="1" thickBot="1" x14ac:dyDescent="0.25">
      <c r="B128" s="330"/>
      <c r="C128" s="412"/>
      <c r="D128" s="37"/>
      <c r="E128" s="37"/>
      <c r="F128" s="37"/>
      <c r="G128" s="998"/>
      <c r="H128" s="201"/>
      <c r="I128" s="201"/>
      <c r="J128" s="201"/>
      <c r="K128" s="201"/>
      <c r="L128" s="201"/>
      <c r="M128" s="201"/>
      <c r="N128" s="201"/>
      <c r="O128" s="1013"/>
      <c r="U128" s="212"/>
      <c r="V128" s="73"/>
      <c r="AB128" s="73"/>
      <c r="AC128" s="73"/>
      <c r="AD128" s="73"/>
      <c r="AE128" s="73"/>
      <c r="AF128" s="73"/>
      <c r="AG128" s="73"/>
      <c r="AH128" s="73"/>
      <c r="AI128" s="73"/>
      <c r="AJ128" s="73"/>
      <c r="AK128" s="73"/>
      <c r="AL128" s="73"/>
      <c r="AM128" s="73"/>
      <c r="AN128" s="73"/>
      <c r="AO128" s="73"/>
      <c r="AP128" s="73"/>
      <c r="AQ128" s="73"/>
      <c r="AR128" s="73"/>
      <c r="AS128" s="73"/>
      <c r="AT128" s="73"/>
      <c r="AU128" s="73"/>
      <c r="AV128" s="73"/>
      <c r="AW128" s="73"/>
      <c r="AX128" s="73"/>
      <c r="AY128" s="73"/>
      <c r="AZ128" s="73"/>
      <c r="BA128" s="73"/>
      <c r="BB128" s="73"/>
      <c r="BC128" s="126"/>
      <c r="BE128" s="136"/>
      <c r="BF128" s="136"/>
      <c r="BG128" s="136"/>
      <c r="BH128" s="136"/>
      <c r="BI128" s="136"/>
      <c r="BJ128" s="136"/>
      <c r="BK128" s="136"/>
      <c r="BL128" s="136"/>
      <c r="BM128" s="402"/>
      <c r="BN128" s="136"/>
      <c r="BO128" s="1091"/>
      <c r="BP128" s="78"/>
      <c r="BQ128" s="199"/>
      <c r="BR128" s="199"/>
      <c r="BS128" s="199"/>
      <c r="BT128" s="199"/>
      <c r="BU128" s="199"/>
      <c r="BV128" s="199"/>
      <c r="BW128" s="199"/>
      <c r="BX128" s="199"/>
      <c r="BY128" s="199"/>
      <c r="BZ128" s="199"/>
      <c r="CA128" s="199"/>
      <c r="CB128" s="199"/>
      <c r="CC128" s="199"/>
      <c r="CD128" s="199"/>
      <c r="CE128" s="199"/>
      <c r="CF128" s="199"/>
      <c r="CG128" s="199"/>
      <c r="CH128" s="199"/>
      <c r="CI128" s="199"/>
      <c r="CJ128" s="199"/>
      <c r="CK128" s="199"/>
      <c r="CL128" s="199"/>
      <c r="CM128" s="199"/>
      <c r="CN128" s="199"/>
      <c r="CO128" s="199"/>
      <c r="CP128" s="199"/>
      <c r="CQ128" s="199"/>
      <c r="CR128" s="199"/>
      <c r="CS128" s="199"/>
      <c r="CT128" s="199"/>
      <c r="CU128" s="199"/>
      <c r="CV128" s="199"/>
      <c r="CW128" s="199"/>
      <c r="CX128" s="199"/>
      <c r="CY128" s="199"/>
      <c r="CZ128" s="199"/>
      <c r="DA128" s="199"/>
      <c r="DB128" s="199"/>
    </row>
    <row r="129" spans="2:142" ht="51.75" customHeight="1" thickBot="1" x14ac:dyDescent="0.25">
      <c r="B129" s="408"/>
      <c r="D129" s="409" t="str">
        <f>IF(BL66&gt;0," ","change the angle of frame or of cabinets")</f>
        <v xml:space="preserve"> </v>
      </c>
      <c r="E129" s="37"/>
      <c r="F129" s="37"/>
      <c r="G129" s="998"/>
      <c r="H129"/>
      <c r="I129"/>
      <c r="J129"/>
      <c r="K129"/>
      <c r="L129"/>
      <c r="M129"/>
      <c r="N129"/>
      <c r="O129" s="995"/>
      <c r="U129" s="212"/>
      <c r="V129" s="73"/>
      <c r="AB129" s="73"/>
      <c r="AC129" s="73"/>
      <c r="AD129" s="73"/>
      <c r="AE129" s="73"/>
      <c r="AF129" s="73"/>
      <c r="AG129" s="73"/>
      <c r="AH129" s="73"/>
      <c r="AI129" s="73"/>
      <c r="AJ129" s="73"/>
      <c r="AK129" s="73"/>
      <c r="AL129" s="73"/>
      <c r="AM129" s="73"/>
      <c r="AN129" s="73"/>
      <c r="AO129" s="73"/>
      <c r="AP129" s="73"/>
      <c r="AQ129" s="73"/>
      <c r="AR129" s="73"/>
      <c r="AS129" s="73"/>
      <c r="AT129" s="73"/>
      <c r="AU129" s="73"/>
      <c r="AV129" s="73"/>
      <c r="AW129" s="73"/>
      <c r="AX129" s="73"/>
      <c r="AY129" s="73"/>
      <c r="AZ129" s="73"/>
      <c r="BA129" s="73"/>
      <c r="BB129" s="73"/>
      <c r="BC129" s="126"/>
      <c r="BE129" s="136"/>
      <c r="BF129" s="136"/>
      <c r="BG129" s="136"/>
      <c r="BH129" s="136"/>
      <c r="BI129" s="136"/>
      <c r="BJ129" s="136"/>
      <c r="BK129" s="136"/>
      <c r="BL129" s="136"/>
      <c r="BM129" s="402"/>
      <c r="BN129" s="136"/>
      <c r="BO129" s="1091"/>
      <c r="BP129" s="78"/>
      <c r="BQ129" s="199"/>
      <c r="BR129" s="199"/>
      <c r="BS129" s="199"/>
      <c r="BT129" s="199"/>
      <c r="BU129" s="199"/>
      <c r="BV129" s="199"/>
      <c r="BW129" s="199"/>
      <c r="BX129" s="199"/>
      <c r="BY129" s="199"/>
      <c r="BZ129" s="199"/>
      <c r="CA129" s="199"/>
      <c r="CB129" s="199"/>
      <c r="CC129" s="199"/>
      <c r="CD129" s="199"/>
      <c r="CE129" s="199"/>
      <c r="CF129" s="199"/>
      <c r="CG129" s="199"/>
      <c r="CH129" s="199"/>
      <c r="CI129" s="199"/>
      <c r="CJ129" s="199"/>
      <c r="CK129" s="199"/>
      <c r="CL129" s="199"/>
      <c r="CM129" s="199"/>
      <c r="CN129" s="199"/>
      <c r="CO129" s="199"/>
      <c r="CP129" s="199"/>
      <c r="CQ129" s="199"/>
      <c r="CR129" s="199"/>
      <c r="CS129" s="199"/>
      <c r="CT129" s="199"/>
      <c r="CU129" s="199"/>
      <c r="CV129" s="199"/>
      <c r="CW129" s="199"/>
      <c r="CX129" s="199"/>
      <c r="CY129" s="199"/>
      <c r="CZ129" s="199"/>
      <c r="DA129" s="199"/>
      <c r="DB129" s="199"/>
    </row>
    <row r="130" spans="2:142" ht="51.75" customHeight="1" thickBot="1" x14ac:dyDescent="0.3">
      <c r="B130" s="1846" t="s">
        <v>116</v>
      </c>
      <c r="D130" s="409" t="str">
        <f>IF(DD66&lt;0," ","change the angle of frame or of cabinets")</f>
        <v xml:space="preserve"> </v>
      </c>
      <c r="E130" s="37"/>
      <c r="F130" s="37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U130" s="212"/>
      <c r="V130" s="73"/>
      <c r="AB130" s="73"/>
      <c r="AC130" s="73"/>
      <c r="AD130" s="73"/>
      <c r="AE130" s="73"/>
      <c r="AF130" s="73"/>
      <c r="AG130" s="73"/>
      <c r="AH130" s="73"/>
      <c r="AI130" s="73"/>
      <c r="AJ130" s="73"/>
      <c r="AK130" s="73"/>
      <c r="AL130" s="73"/>
      <c r="AM130" s="73"/>
      <c r="AN130" s="73"/>
      <c r="AO130" s="73"/>
      <c r="AP130" s="73"/>
      <c r="AQ130" s="73"/>
      <c r="AR130" s="73"/>
      <c r="AS130" s="73"/>
      <c r="AT130" s="73"/>
      <c r="AU130" s="73"/>
      <c r="AV130" s="73"/>
      <c r="AW130" s="73"/>
      <c r="AX130" s="73"/>
      <c r="AY130" s="73"/>
      <c r="AZ130" s="73"/>
      <c r="BA130" s="73"/>
      <c r="BB130" s="73"/>
      <c r="BC130" s="126"/>
      <c r="BE130" s="136"/>
      <c r="BF130" s="136"/>
      <c r="BG130" s="136"/>
      <c r="BH130" s="136"/>
      <c r="BI130" s="136"/>
      <c r="BJ130" s="136"/>
      <c r="BK130" s="136"/>
      <c r="BL130" s="136"/>
      <c r="BM130" s="402"/>
      <c r="BN130" s="136"/>
      <c r="BO130" s="1091"/>
      <c r="BP130" s="78"/>
      <c r="BQ130" s="199"/>
      <c r="BR130" s="199"/>
      <c r="BS130" s="199"/>
      <c r="BT130" s="199"/>
      <c r="BU130" s="199"/>
      <c r="BV130" s="199"/>
      <c r="BW130" s="199"/>
      <c r="BX130" s="199"/>
      <c r="BY130" s="199"/>
      <c r="BZ130" s="199"/>
      <c r="CA130" s="199"/>
      <c r="CB130" s="199"/>
      <c r="CC130" s="199"/>
      <c r="CD130" s="199"/>
      <c r="CE130" s="199"/>
      <c r="CF130" s="199"/>
      <c r="CG130" s="199"/>
      <c r="CH130" s="199"/>
      <c r="CI130" s="199"/>
      <c r="CJ130" s="199"/>
      <c r="CK130" s="199"/>
      <c r="CL130" s="199"/>
      <c r="CM130" s="199"/>
      <c r="CN130" s="199"/>
      <c r="CO130" s="199"/>
      <c r="CP130" s="199"/>
      <c r="CQ130" s="199"/>
      <c r="CR130" s="199"/>
      <c r="CS130" s="199"/>
      <c r="CT130" s="199"/>
      <c r="CU130" s="199"/>
      <c r="CV130" s="199"/>
      <c r="CW130" s="199"/>
      <c r="CX130" s="199"/>
      <c r="CY130" s="199"/>
      <c r="CZ130" s="199"/>
      <c r="DA130" s="199"/>
      <c r="DB130" s="199"/>
    </row>
    <row r="131" spans="2:142" ht="51.75" customHeight="1" thickBot="1" x14ac:dyDescent="0.3">
      <c r="B131" s="1847"/>
      <c r="C131" s="213"/>
      <c r="D131" s="409" t="str">
        <f>IF(BL66&gt;(+COS(($B$132*-1)*3.14159265358979/180)*451.5)," ","USE EXBAR AR AT THE FRONT")</f>
        <v xml:space="preserve"> </v>
      </c>
      <c r="E131" s="37"/>
      <c r="F131" s="37"/>
      <c r="G131" s="1014"/>
      <c r="H131" s="209"/>
      <c r="I131" s="1085">
        <f>COUNTIF(CK124:DA124,"&gt;0")</f>
        <v>1</v>
      </c>
      <c r="J131" s="1085">
        <f>COUNTIF(BQ124:CG124,"&gt;0")</f>
        <v>1</v>
      </c>
      <c r="K131" s="1085" t="b">
        <f>AND(IF(SUM(BQ126:CA126)&gt;0,1,0),IF(CP126="6  ADS ",1,0))</f>
        <v>1</v>
      </c>
      <c r="L131" s="1085" t="b">
        <f>AND(IF(SUM(CQ126:DA126)&gt;0,1,0),IF(CB126="6  ADS ",1,0))</f>
        <v>0</v>
      </c>
      <c r="M131" s="1085" t="b">
        <f>AND(IF(CP126="6  ADS ",1,0),IF(CB126="6  ADS ",1,0))</f>
        <v>0</v>
      </c>
      <c r="N131" s="209"/>
      <c r="O131" s="1015"/>
      <c r="U131" s="212"/>
      <c r="V131" s="73"/>
      <c r="AB131" s="73"/>
      <c r="AC131" s="73"/>
      <c r="AD131" s="73"/>
      <c r="AE131" s="73"/>
      <c r="AF131" s="73"/>
      <c r="AG131" s="73"/>
      <c r="AH131" s="73"/>
      <c r="AI131" s="73"/>
      <c r="AJ131" s="73"/>
      <c r="AK131" s="73"/>
      <c r="AL131" s="73"/>
      <c r="AM131" s="73"/>
      <c r="AN131" s="73"/>
      <c r="AO131" s="73"/>
      <c r="AP131" s="73"/>
      <c r="AQ131" s="73"/>
      <c r="AR131" s="73"/>
      <c r="AS131" s="73"/>
      <c r="AT131" s="73"/>
      <c r="AU131" s="73"/>
      <c r="AV131" s="73"/>
      <c r="AW131" s="73"/>
      <c r="AX131" s="73"/>
      <c r="AY131" s="73"/>
      <c r="AZ131" s="73"/>
      <c r="BA131" s="73"/>
      <c r="BB131" s="73"/>
      <c r="BC131" s="126"/>
      <c r="BE131" s="136"/>
      <c r="BF131" s="136"/>
      <c r="BG131" s="136"/>
      <c r="BH131" s="136"/>
      <c r="BI131" s="136"/>
      <c r="BJ131" s="136"/>
      <c r="BK131" s="136"/>
      <c r="BL131" s="136"/>
      <c r="BM131" s="402"/>
      <c r="BN131" s="136"/>
      <c r="BO131" s="1091"/>
      <c r="BP131" s="948"/>
      <c r="BQ131" s="199"/>
      <c r="BR131" s="199"/>
      <c r="BS131" s="199"/>
      <c r="BT131" s="199"/>
      <c r="BU131" s="199"/>
      <c r="BV131" s="199"/>
      <c r="BW131" s="199"/>
      <c r="BX131" s="199"/>
      <c r="BY131" s="199"/>
      <c r="BZ131" s="199"/>
      <c r="CA131" s="199"/>
      <c r="CB131" s="199"/>
      <c r="CC131" s="199"/>
      <c r="CD131" s="199"/>
      <c r="CE131" s="199"/>
      <c r="CF131" s="199"/>
      <c r="CG131" s="199"/>
      <c r="CH131" s="199"/>
      <c r="CI131" s="199"/>
      <c r="CJ131" s="199"/>
      <c r="CK131" s="199"/>
      <c r="CL131" s="199"/>
      <c r="CM131" s="199"/>
      <c r="CN131" s="199"/>
      <c r="CO131" s="199"/>
      <c r="CP131" s="199"/>
      <c r="CQ131" s="199"/>
      <c r="CR131" s="199"/>
      <c r="CS131" s="199"/>
      <c r="CT131" s="199"/>
      <c r="CU131" s="199"/>
      <c r="CV131" s="199"/>
      <c r="CW131" s="199"/>
      <c r="CX131" s="199"/>
      <c r="CY131" s="199"/>
      <c r="CZ131" s="199"/>
      <c r="DA131" s="199"/>
      <c r="DB131" s="199"/>
    </row>
    <row r="132" spans="2:142" ht="51.75" customHeight="1" thickBot="1" x14ac:dyDescent="0.3">
      <c r="B132" s="4">
        <v>0</v>
      </c>
      <c r="C132" s="213"/>
      <c r="D132" s="341" t="str">
        <f>IF(DD66&lt;-(+COS(($B$132*-1)*3.14159265358979/180)*365.5)," ","USE EXBAR AR AT THE BACK")</f>
        <v xml:space="preserve"> </v>
      </c>
      <c r="E132" s="37"/>
      <c r="F132" s="37"/>
      <c r="G132" s="1016"/>
      <c r="H132" s="1017"/>
      <c r="I132" s="1086">
        <f>IF(I131=2,I126,0)</f>
        <v>0</v>
      </c>
      <c r="J132" s="1086">
        <f>IF(J131=2,J126,0)</f>
        <v>0</v>
      </c>
      <c r="K132" s="1086">
        <f t="shared" ref="K132:M132" si="3">IF(K131=TRUE,K126,0)</f>
        <v>98.400984009840087</v>
      </c>
      <c r="L132" s="1086">
        <f t="shared" si="3"/>
        <v>0</v>
      </c>
      <c r="M132" s="1086">
        <f t="shared" si="3"/>
        <v>0</v>
      </c>
      <c r="N132" s="1017"/>
      <c r="O132" s="1018"/>
      <c r="U132" s="212"/>
      <c r="V132" s="73"/>
      <c r="AB132" s="73"/>
      <c r="AC132" s="73"/>
      <c r="AD132" s="73"/>
      <c r="AE132" s="73"/>
      <c r="AF132" s="73"/>
      <c r="AG132" s="73"/>
      <c r="AH132" s="73"/>
      <c r="AI132" s="73"/>
      <c r="AJ132" s="73"/>
      <c r="AK132" s="73"/>
      <c r="AL132" s="73"/>
      <c r="AM132" s="73"/>
      <c r="AN132" s="73"/>
      <c r="AO132" s="73"/>
      <c r="AP132" s="73"/>
      <c r="AQ132" s="73"/>
      <c r="AR132" s="73"/>
      <c r="AS132" s="73"/>
      <c r="AT132" s="73"/>
      <c r="AU132" s="73"/>
      <c r="AV132" s="73"/>
      <c r="AW132" s="73"/>
      <c r="AX132" s="73"/>
      <c r="AY132" s="73"/>
      <c r="AZ132" s="73"/>
      <c r="BA132" s="73"/>
      <c r="BB132" s="73"/>
      <c r="BC132" s="126"/>
      <c r="BE132" s="136"/>
      <c r="BF132" s="136"/>
      <c r="BG132" s="136"/>
      <c r="BH132" s="136"/>
      <c r="BI132" s="136"/>
      <c r="BJ132" s="136"/>
      <c r="BK132" s="136"/>
      <c r="BL132" s="136"/>
      <c r="BM132" s="402"/>
      <c r="BN132" s="136"/>
      <c r="BO132" s="1091"/>
      <c r="BP132" s="78"/>
      <c r="BQ132" s="199"/>
      <c r="BR132" s="199"/>
      <c r="BS132" s="199"/>
      <c r="BT132" s="199"/>
      <c r="BU132" s="199"/>
      <c r="BV132" s="199"/>
      <c r="BW132" s="199"/>
      <c r="BX132" s="199"/>
      <c r="BY132" s="199"/>
      <c r="BZ132" s="199"/>
      <c r="CA132" s="199"/>
      <c r="CB132" s="199"/>
      <c r="CC132" s="199"/>
      <c r="CD132" s="199"/>
      <c r="CE132" s="199"/>
      <c r="CF132" s="199"/>
      <c r="CG132" s="199"/>
      <c r="CH132" s="199"/>
      <c r="CI132" s="199"/>
      <c r="CJ132" s="199"/>
      <c r="CK132" s="199"/>
      <c r="CL132" s="199"/>
      <c r="CM132" s="199"/>
      <c r="CN132" s="199"/>
      <c r="CO132" s="199"/>
      <c r="CP132" s="199"/>
      <c r="CQ132" s="199"/>
      <c r="CR132" s="199"/>
      <c r="CS132" s="199"/>
      <c r="CT132" s="199"/>
      <c r="CU132" s="199"/>
      <c r="CV132" s="199"/>
      <c r="CW132" s="199"/>
      <c r="CX132" s="199"/>
      <c r="CY132" s="199"/>
      <c r="CZ132" s="199"/>
      <c r="DA132" s="199"/>
      <c r="DB132" s="199"/>
    </row>
    <row r="133" spans="2:142" ht="21" thickBot="1" x14ac:dyDescent="0.25">
      <c r="D133" s="37"/>
      <c r="E133" s="37"/>
      <c r="F133" s="37"/>
      <c r="G133" s="37"/>
      <c r="U133" s="212"/>
      <c r="V133" s="73"/>
      <c r="AB133" s="73"/>
      <c r="AC133" s="73"/>
      <c r="AD133" s="73"/>
      <c r="AE133" s="73"/>
      <c r="AF133" s="73"/>
      <c r="AG133" s="73"/>
      <c r="AH133" s="73"/>
      <c r="AI133" s="73"/>
      <c r="AJ133" s="73"/>
      <c r="AK133" s="73"/>
      <c r="AL133" s="73"/>
      <c r="AM133" s="73"/>
      <c r="AN133" s="73"/>
      <c r="AO133" s="73"/>
      <c r="AP133" s="73"/>
      <c r="AQ133" s="73"/>
      <c r="AR133" s="73"/>
      <c r="AS133" s="73"/>
      <c r="AT133" s="73"/>
      <c r="AU133" s="73"/>
      <c r="AV133" s="73"/>
      <c r="AW133" s="73"/>
      <c r="AX133" s="73"/>
      <c r="AY133" s="73"/>
      <c r="AZ133" s="73"/>
      <c r="BA133" s="73"/>
      <c r="BB133" s="73"/>
      <c r="BC133" s="126"/>
      <c r="BE133" s="136"/>
      <c r="BF133" s="136"/>
      <c r="BG133" s="136"/>
      <c r="BH133" s="136"/>
      <c r="BI133" s="136"/>
      <c r="BJ133" s="136"/>
      <c r="BK133" s="136"/>
      <c r="BL133" s="136"/>
      <c r="BM133" s="402"/>
      <c r="BN133" s="136"/>
      <c r="BO133" s="1091"/>
      <c r="BP133" s="78"/>
      <c r="BQ133" s="199"/>
      <c r="BR133" s="199"/>
      <c r="BS133" s="199"/>
      <c r="BT133" s="199"/>
      <c r="BU133" s="199"/>
      <c r="BV133" s="199"/>
      <c r="BW133" s="199"/>
      <c r="BX133" s="199"/>
      <c r="BY133" s="199"/>
      <c r="BZ133" s="199"/>
      <c r="CA133" s="199"/>
      <c r="CB133" s="199"/>
      <c r="CC133" s="199"/>
      <c r="CD133" s="199"/>
      <c r="CE133" s="199"/>
      <c r="CF133" s="199"/>
      <c r="CG133" s="199"/>
      <c r="CH133" s="199"/>
      <c r="CI133" s="199"/>
      <c r="CJ133" s="199"/>
      <c r="CK133" s="199"/>
      <c r="CL133" s="199"/>
      <c r="CM133" s="199"/>
      <c r="CN133" s="199"/>
      <c r="CO133" s="199"/>
      <c r="CP133" s="199"/>
      <c r="CQ133" s="199"/>
      <c r="CR133" s="199"/>
      <c r="CS133" s="199"/>
      <c r="CT133" s="199"/>
      <c r="CU133" s="199"/>
      <c r="CV133" s="199"/>
      <c r="CW133" s="199"/>
      <c r="CX133" s="199"/>
      <c r="CY133" s="199"/>
      <c r="CZ133" s="199"/>
      <c r="DA133" s="199"/>
      <c r="DB133" s="199"/>
    </row>
    <row r="134" spans="2:142" ht="41.25" hidden="1" customHeight="1" thickBot="1" x14ac:dyDescent="0.35">
      <c r="B134"/>
      <c r="D134" s="543"/>
      <c r="E134" s="543"/>
      <c r="F134" s="543"/>
      <c r="G134" s="543"/>
      <c r="V134" s="437"/>
      <c r="W134" s="437"/>
      <c r="X134" s="437"/>
      <c r="Y134" s="437"/>
      <c r="Z134" s="437"/>
      <c r="AA134" s="437"/>
      <c r="AB134" s="1585"/>
      <c r="AC134" s="1585"/>
      <c r="AD134" s="1585"/>
      <c r="AE134" s="1585"/>
      <c r="AF134" s="437"/>
      <c r="AG134" s="437"/>
      <c r="AH134" s="546"/>
      <c r="AI134" s="547"/>
      <c r="AJ134" s="543"/>
      <c r="AK134" s="415"/>
      <c r="AL134" s="292"/>
      <c r="AM134" s="543"/>
      <c r="AN134" s="415"/>
      <c r="AO134" s="292"/>
      <c r="AP134" s="445"/>
      <c r="AQ134" s="292"/>
      <c r="AR134" s="445"/>
      <c r="AS134" s="445"/>
      <c r="AT134" s="445"/>
      <c r="AU134" s="445"/>
      <c r="AV134" s="445"/>
      <c r="AW134" s="445"/>
      <c r="AX134" s="445"/>
      <c r="AY134" s="1586"/>
      <c r="AZ134" s="1586"/>
      <c r="BA134" s="1586"/>
      <c r="BB134" s="1586"/>
      <c r="BD134" s="545"/>
      <c r="BM134" s="214"/>
      <c r="BN134" s="214"/>
      <c r="BO134" s="214"/>
    </row>
    <row r="135" spans="2:142" ht="47.25" hidden="1" customHeight="1" thickBot="1" x14ac:dyDescent="0.35">
      <c r="B135"/>
      <c r="C135"/>
      <c r="D135" s="543"/>
      <c r="E135" s="543"/>
      <c r="F135" s="543"/>
      <c r="G135" s="543"/>
      <c r="V135" s="437"/>
      <c r="W135" s="437"/>
      <c r="X135" s="437"/>
      <c r="Y135" s="437"/>
      <c r="Z135" s="437"/>
      <c r="AA135" s="437"/>
      <c r="AB135" s="1585"/>
      <c r="AC135" s="1585"/>
      <c r="AD135" s="1585"/>
      <c r="AE135" s="1585"/>
      <c r="AF135" s="437"/>
      <c r="AG135" s="437"/>
      <c r="AH135" s="437"/>
      <c r="AI135" s="437"/>
      <c r="AJ135" s="543"/>
      <c r="AK135" s="415"/>
      <c r="AL135" s="292"/>
      <c r="AM135" s="543"/>
      <c r="AN135" s="415"/>
      <c r="AO135" s="292"/>
      <c r="AP135" s="445"/>
      <c r="AQ135" s="292"/>
      <c r="AR135" s="445"/>
      <c r="AS135" s="445"/>
      <c r="AT135" s="445"/>
      <c r="AU135" s="445"/>
      <c r="AV135" s="445"/>
      <c r="AW135" s="445"/>
      <c r="AX135" s="445"/>
      <c r="AY135" s="1586"/>
      <c r="AZ135" s="1586"/>
      <c r="BA135" s="1586"/>
      <c r="BB135" s="1586"/>
      <c r="BD135" s="545"/>
      <c r="BM135" s="214"/>
      <c r="BN135" s="214"/>
      <c r="BO135" s="214"/>
    </row>
    <row r="136" spans="2:142" ht="191" hidden="1" x14ac:dyDescent="0.3">
      <c r="B136"/>
      <c r="D136" s="543"/>
      <c r="E136" s="543"/>
      <c r="F136" s="543"/>
      <c r="G136" s="543"/>
      <c r="V136" s="437"/>
      <c r="W136" s="437"/>
      <c r="X136" s="437"/>
      <c r="Y136" s="437"/>
      <c r="Z136" s="437"/>
      <c r="AA136" s="437"/>
      <c r="AB136" s="1585"/>
      <c r="AC136" s="1585"/>
      <c r="AD136" s="1585"/>
      <c r="AE136" s="1585"/>
      <c r="AF136" s="437"/>
      <c r="AG136" s="437"/>
      <c r="AH136" s="437"/>
      <c r="AI136" s="437"/>
      <c r="AJ136" s="543"/>
      <c r="AK136" s="415"/>
      <c r="AL136" s="797" t="s">
        <v>174</v>
      </c>
      <c r="AM136" s="794"/>
      <c r="AN136" s="794"/>
      <c r="AO136" s="794"/>
      <c r="AP136" s="876" t="s">
        <v>178</v>
      </c>
      <c r="AQ136" s="292"/>
      <c r="AR136" s="445"/>
      <c r="AS136" s="445"/>
      <c r="AT136" s="445"/>
      <c r="AU136" s="445"/>
      <c r="AV136" s="445"/>
      <c r="AW136" s="445"/>
      <c r="AX136" s="445"/>
      <c r="AY136" s="1586"/>
      <c r="AZ136" s="1586"/>
      <c r="BA136" s="1586"/>
      <c r="BB136" s="1586"/>
      <c r="BD136" s="545"/>
      <c r="BM136" s="214"/>
      <c r="BN136" s="214"/>
      <c r="BO136" s="214"/>
    </row>
    <row r="137" spans="2:142" ht="59.25" hidden="1" customHeight="1" thickBot="1" x14ac:dyDescent="0.35">
      <c r="D137" s="543"/>
      <c r="E137" s="543"/>
      <c r="F137" s="543"/>
      <c r="G137" s="543"/>
      <c r="V137" s="437"/>
      <c r="W137" s="437"/>
      <c r="X137" s="437"/>
      <c r="Y137" s="437"/>
      <c r="Z137" s="437"/>
      <c r="AA137" s="437"/>
      <c r="AB137" s="1585"/>
      <c r="AC137" s="1585"/>
      <c r="AD137" s="1585"/>
      <c r="AE137" s="1585"/>
      <c r="AF137" s="437"/>
      <c r="AG137" s="437"/>
      <c r="AH137" s="437"/>
      <c r="AI137" s="437"/>
      <c r="AJ137" s="543"/>
      <c r="AK137" s="415"/>
      <c r="AL137" s="877" t="s">
        <v>175</v>
      </c>
      <c r="AM137" s="797" t="s">
        <v>176</v>
      </c>
      <c r="AN137" s="797" t="s">
        <v>177</v>
      </c>
      <c r="AO137" s="798" t="s">
        <v>181</v>
      </c>
      <c r="AP137" s="799" t="s">
        <v>179</v>
      </c>
      <c r="AQ137" s="292"/>
      <c r="AR137" s="445"/>
      <c r="AS137" s="445"/>
      <c r="AT137" s="445"/>
      <c r="AU137" s="445"/>
      <c r="AV137" s="445"/>
      <c r="AW137" s="445"/>
      <c r="AX137" s="445"/>
      <c r="AY137" s="1586"/>
      <c r="AZ137" s="1586"/>
      <c r="BA137" s="1586"/>
      <c r="BB137" s="1586"/>
      <c r="BD137" s="545"/>
      <c r="BM137" s="214"/>
      <c r="BN137" s="214"/>
      <c r="BO137" s="214"/>
    </row>
    <row r="138" spans="2:142" ht="77.25" customHeight="1" thickBot="1" x14ac:dyDescent="0.35">
      <c r="B138" s="345" t="s">
        <v>118</v>
      </c>
      <c r="C138" s="412"/>
      <c r="D138" s="37"/>
      <c r="E138" s="37"/>
      <c r="F138" s="37"/>
      <c r="G138" s="37"/>
      <c r="T138" s="73"/>
      <c r="AL138" s="877">
        <v>6.8623010000000004</v>
      </c>
      <c r="AM138" s="797">
        <f>+$B$132-AL138</f>
        <v>-6.8623010000000004</v>
      </c>
      <c r="AN138" s="800">
        <f>COS(AM138*3.14159265358979/180)</f>
        <v>0.99283617366519983</v>
      </c>
      <c r="AO138" s="793">
        <f>+AN138*378.71303</f>
        <v>375.99999562235405</v>
      </c>
      <c r="AP138" s="1587">
        <f>+((AP142*AR142)+(AO138*31))/(AR142+31)</f>
        <v>237.15725097492444</v>
      </c>
      <c r="BD138" s="136"/>
      <c r="BM138" s="214"/>
      <c r="BN138" s="214"/>
      <c r="BO138" s="214"/>
      <c r="EK138" s="78"/>
      <c r="EL138" s="78"/>
    </row>
    <row r="139" spans="2:142" ht="39" customHeight="1" thickBot="1" x14ac:dyDescent="0.35">
      <c r="B139" s="27">
        <v>1</v>
      </c>
      <c r="C139" s="216"/>
      <c r="D139" s="549" t="s">
        <v>117</v>
      </c>
      <c r="E139" s="330"/>
      <c r="F139" s="330"/>
      <c r="G139" s="330"/>
      <c r="T139" s="1588"/>
      <c r="W139" s="1850" t="s">
        <v>93</v>
      </c>
      <c r="X139" s="1850"/>
      <c r="Y139" s="1850"/>
      <c r="Z139" s="1850"/>
      <c r="AA139" s="1850"/>
      <c r="AZ139" s="415"/>
      <c r="BA139" s="1848" t="s">
        <v>52</v>
      </c>
      <c r="BB139" s="1849"/>
      <c r="BD139" s="136"/>
      <c r="BM139" s="214"/>
      <c r="BN139" s="214"/>
      <c r="BO139" s="214"/>
      <c r="EK139" s="78"/>
      <c r="EL139" s="78"/>
    </row>
    <row r="140" spans="2:142" ht="88" hidden="1" thickBot="1" x14ac:dyDescent="0.35">
      <c r="C140" s="416"/>
      <c r="D140" s="550" t="s">
        <v>13</v>
      </c>
      <c r="H140" s="356" t="s">
        <v>4</v>
      </c>
      <c r="I140" s="356" t="s">
        <v>1</v>
      </c>
      <c r="J140" s="377" t="s">
        <v>282</v>
      </c>
      <c r="K140" s="316" t="s">
        <v>2</v>
      </c>
      <c r="L140" s="316" t="s">
        <v>3</v>
      </c>
      <c r="M140" s="316" t="s">
        <v>8</v>
      </c>
      <c r="N140" s="316" t="s">
        <v>5</v>
      </c>
      <c r="O140" s="316" t="s">
        <v>6</v>
      </c>
      <c r="P140" s="316" t="s">
        <v>7</v>
      </c>
      <c r="Q140" s="316" t="s">
        <v>9</v>
      </c>
      <c r="R140" s="356" t="s">
        <v>10</v>
      </c>
      <c r="S140" s="316" t="s">
        <v>11</v>
      </c>
      <c r="T140" s="418" t="s">
        <v>12</v>
      </c>
      <c r="W140" s="356" t="s">
        <v>140</v>
      </c>
      <c r="X140" s="316" t="s">
        <v>94</v>
      </c>
      <c r="Y140" s="356" t="s">
        <v>141</v>
      </c>
      <c r="Z140" s="419" t="s">
        <v>95</v>
      </c>
      <c r="AA140" s="419" t="s">
        <v>96</v>
      </c>
      <c r="AC140" s="316" t="s">
        <v>99</v>
      </c>
      <c r="AD140" s="316"/>
      <c r="AE140" s="316"/>
      <c r="AF140" s="420"/>
      <c r="AG140" s="420"/>
      <c r="AH140" s="420"/>
      <c r="AI140" s="420"/>
      <c r="AJ140" s="420"/>
      <c r="AK140" s="420"/>
      <c r="AL140" s="420"/>
      <c r="AM140" s="420"/>
      <c r="AN140" s="420"/>
      <c r="AO140" s="420"/>
      <c r="AP140" s="420" t="s">
        <v>283</v>
      </c>
      <c r="AQ140" s="1589" t="s">
        <v>284</v>
      </c>
      <c r="AR140" s="420" t="s">
        <v>283</v>
      </c>
      <c r="AS140" s="420"/>
      <c r="AT140" s="420"/>
      <c r="AU140" s="420" t="s">
        <v>283</v>
      </c>
      <c r="AV140" s="420"/>
      <c r="AW140" s="420"/>
      <c r="AX140" s="420"/>
      <c r="AY140" s="415"/>
      <c r="AZ140" s="415"/>
      <c r="BA140" s="420"/>
      <c r="BB140" s="420"/>
      <c r="BC140" s="231"/>
      <c r="BD140" s="136"/>
      <c r="BM140" s="214"/>
      <c r="BN140" s="214"/>
      <c r="BO140" s="214"/>
      <c r="EK140" s="78"/>
      <c r="EL140" s="78"/>
    </row>
    <row r="141" spans="2:142" ht="42" customHeight="1" thickBot="1" x14ac:dyDescent="0.35">
      <c r="B141" s="421"/>
      <c r="C141" s="422"/>
      <c r="D141" s="551" t="s">
        <v>22</v>
      </c>
      <c r="E141" s="37"/>
      <c r="F141" s="330"/>
      <c r="G141" s="240"/>
      <c r="H141" s="356"/>
      <c r="I141" s="356"/>
      <c r="J141" s="377"/>
      <c r="K141" s="316"/>
      <c r="L141" s="316"/>
      <c r="M141" s="316"/>
      <c r="N141" s="316"/>
      <c r="O141" s="316"/>
      <c r="P141" s="316"/>
      <c r="Q141" s="316"/>
      <c r="R141" s="356"/>
      <c r="S141" s="316"/>
      <c r="T141" s="418"/>
      <c r="V141" s="420"/>
      <c r="W141" s="420"/>
      <c r="X141" s="420"/>
      <c r="Y141" s="420"/>
      <c r="Z141" s="420"/>
      <c r="AA141" s="420"/>
      <c r="AB141" s="420"/>
      <c r="AC141" s="423">
        <f>SUM(AC142:AC161)</f>
        <v>213.83080000000001</v>
      </c>
      <c r="AD141" s="424"/>
      <c r="AE141" s="424"/>
      <c r="AF141" s="420" t="s">
        <v>38</v>
      </c>
      <c r="AH141" s="1590" t="s">
        <v>31</v>
      </c>
      <c r="AI141" s="48"/>
      <c r="AJ141" s="1591" t="s">
        <v>120</v>
      </c>
      <c r="AK141" s="426" t="s">
        <v>32</v>
      </c>
      <c r="AL141" s="1592" t="s">
        <v>142</v>
      </c>
      <c r="AM141" s="1591" t="s">
        <v>121</v>
      </c>
      <c r="AN141" s="427" t="s">
        <v>34</v>
      </c>
      <c r="AO141" s="1592" t="s">
        <v>143</v>
      </c>
      <c r="AP141" s="428" t="s">
        <v>48</v>
      </c>
      <c r="AQ141" s="1593" t="s">
        <v>285</v>
      </c>
      <c r="AR141" s="428" t="s">
        <v>286</v>
      </c>
      <c r="AS141" s="420" t="s">
        <v>46</v>
      </c>
      <c r="AT141" s="420" t="s">
        <v>39</v>
      </c>
      <c r="AU141" s="428" t="s">
        <v>71</v>
      </c>
      <c r="AV141" s="553"/>
      <c r="AW141" s="1594" t="s">
        <v>41</v>
      </c>
      <c r="AX141" s="1594" t="s">
        <v>42</v>
      </c>
      <c r="AY141" s="430" t="s">
        <v>23</v>
      </c>
      <c r="AZ141" s="430" t="s">
        <v>24</v>
      </c>
      <c r="BA141" s="431" t="s">
        <v>23</v>
      </c>
      <c r="BB141" s="431" t="s">
        <v>24</v>
      </c>
      <c r="BD141" s="136"/>
      <c r="BM141" s="214"/>
      <c r="BN141" s="214"/>
      <c r="BO141" s="214"/>
      <c r="EK141" s="78"/>
      <c r="EL141" s="78"/>
    </row>
    <row r="142" spans="2:142" ht="23" thickBot="1" x14ac:dyDescent="0.35">
      <c r="B142" s="255">
        <v>1</v>
      </c>
      <c r="C142" s="256">
        <f>+(B132*-1)+D142</f>
        <v>0</v>
      </c>
      <c r="D142" s="25">
        <v>0</v>
      </c>
      <c r="E142" s="257" t="s">
        <v>119</v>
      </c>
      <c r="F142" s="258"/>
      <c r="G142" s="258"/>
      <c r="H142" s="1632">
        <v>279.06049999999999</v>
      </c>
      <c r="I142" s="1633">
        <v>79.962900599999998</v>
      </c>
      <c r="J142" s="474">
        <f>+I142-C142</f>
        <v>79.962900599999998</v>
      </c>
      <c r="K142" s="474">
        <f t="shared" ref="K142:K161" si="4">+J142/2</f>
        <v>39.981450299999999</v>
      </c>
      <c r="L142" s="474">
        <f t="shared" ref="L142:L161" si="5">SIN(K142*3.14159265358979/180)</f>
        <v>0.64253956655634092</v>
      </c>
      <c r="M142" s="474">
        <f t="shared" ref="M142:M161" si="6">+L142*H142</f>
        <v>179.30741271299578</v>
      </c>
      <c r="N142" s="474">
        <f t="shared" ref="N142:N161" si="7">+M142*2</f>
        <v>358.61482542599157</v>
      </c>
      <c r="O142" s="474">
        <f>+C142/2</f>
        <v>0</v>
      </c>
      <c r="P142" s="474">
        <f t="shared" ref="P142:P161" si="8">SIN(O142*3.14159265358979/180)</f>
        <v>0</v>
      </c>
      <c r="Q142" s="474">
        <f t="shared" ref="Q142:Q161" si="9">+P142*N142</f>
        <v>0</v>
      </c>
      <c r="R142" s="1634">
        <v>213.83080000000001</v>
      </c>
      <c r="S142" s="474">
        <f>+R142+Q142</f>
        <v>213.83080000000001</v>
      </c>
      <c r="T142" s="476">
        <f t="shared" ref="T142:T161" si="10">+S142</f>
        <v>213.83080000000001</v>
      </c>
      <c r="V142" s="1635">
        <f t="shared" ref="V142:V161" si="11">IF(B142&lt;($B$139+1),T142,0)</f>
        <v>213.83080000000001</v>
      </c>
      <c r="W142" s="437">
        <v>39.981450000000002</v>
      </c>
      <c r="X142" s="437">
        <f>+W142+AI163</f>
        <v>39.981450000000002</v>
      </c>
      <c r="Y142" s="437">
        <v>279.06049999999999</v>
      </c>
      <c r="Z142" s="437">
        <f>+COS(X142*3.14159265358979/180)*Y142</f>
        <v>213.83080883710866</v>
      </c>
      <c r="AA142" s="437">
        <f>+AC141-Z142</f>
        <v>-8.8371086519600794E-6</v>
      </c>
      <c r="AB142" s="258"/>
      <c r="AC142" s="1636">
        <f>IF(AD142=1,AF142)</f>
        <v>213.83080000000001</v>
      </c>
      <c r="AD142" s="1636">
        <f>MAX(AE$142:AE$161)</f>
        <v>1</v>
      </c>
      <c r="AE142" s="1636">
        <f>IF(V142=0,0,1)</f>
        <v>1</v>
      </c>
      <c r="AF142" s="1637">
        <f>SUM(V142:V161)/($B$139)</f>
        <v>213.83080000000001</v>
      </c>
      <c r="AG142" s="1638"/>
      <c r="AH142" s="450">
        <f>C142</f>
        <v>0</v>
      </c>
      <c r="AI142" s="1639">
        <f t="shared" ref="AI142:AI161" si="12">IF(B142&lt;($B$139+1),AH142)</f>
        <v>0</v>
      </c>
      <c r="AJ142" s="718">
        <f>66.2555484-AH142</f>
        <v>66.255548399999995</v>
      </c>
      <c r="AK142" s="1639">
        <f>SIN(AJ142*3.14159265358979/180)</f>
        <v>0.91535047595051022</v>
      </c>
      <c r="AL142" s="1639">
        <f>+AK142*304.3209</f>
        <v>278.56028065668761</v>
      </c>
      <c r="AM142" s="1640">
        <f>50.0185497+AH142</f>
        <v>50.018549700000001</v>
      </c>
      <c r="AN142" s="1639">
        <f>SIN(AM142*3.14159265358979/180)</f>
        <v>0.76625250760411079</v>
      </c>
      <c r="AO142" s="1641">
        <f>+AN142*279.0605</f>
        <v>213.83080789825695</v>
      </c>
      <c r="AP142" s="439">
        <f t="shared" ref="AP142:AP161" si="13">+((AF142*AQ142)+($AG$174*$AQ$174)+($AQ$211*$AG$211))/AR142</f>
        <v>192.60109068434144</v>
      </c>
      <c r="AQ142" s="444">
        <f>$C$10*B139</f>
        <v>40.5</v>
      </c>
      <c r="AR142" s="444">
        <f t="shared" ref="AR142:AR161" si="14">+AQ142+$AQ$211+$AQ$174+1.3</f>
        <v>96.6</v>
      </c>
      <c r="AS142" s="445">
        <f>+AO142+AL142</f>
        <v>492.39108855494453</v>
      </c>
      <c r="AT142" s="445">
        <f>+V142-AO142</f>
        <v>-7.8982569391428115E-6</v>
      </c>
      <c r="AU142" s="445">
        <f>+AP142-AT142</f>
        <v>192.60109858259838</v>
      </c>
      <c r="AV142" s="447"/>
      <c r="AW142" s="447">
        <f>+((AS142-AU142)/AS142)*AR142</f>
        <v>58.814454007116133</v>
      </c>
      <c r="AX142" s="1597">
        <f>+(AU142/AS142)*AR142</f>
        <v>37.785545992883854</v>
      </c>
      <c r="AY142" s="1597">
        <f>2*$C$21/AW142</f>
        <v>197.2304290811997</v>
      </c>
      <c r="AZ142" s="1642">
        <f>2*$D$21/AX142</f>
        <v>306.99569624280741</v>
      </c>
      <c r="BA142" s="274">
        <f>ABS(AY142)</f>
        <v>197.2304290811997</v>
      </c>
      <c r="BB142" s="275">
        <f>ABS(AZ142)</f>
        <v>306.99569624280741</v>
      </c>
      <c r="BC142" s="91"/>
      <c r="BD142" s="136"/>
      <c r="BM142" s="214"/>
      <c r="BN142" s="214"/>
      <c r="BO142" s="214"/>
      <c r="EK142" s="78"/>
      <c r="EL142" s="78"/>
    </row>
    <row r="143" spans="2:142" ht="23" thickBot="1" x14ac:dyDescent="0.35">
      <c r="B143" s="277">
        <v>2</v>
      </c>
      <c r="C143" s="278"/>
      <c r="D143" s="25">
        <v>0</v>
      </c>
      <c r="E143" s="257" t="s">
        <v>130</v>
      </c>
      <c r="F143" s="258"/>
      <c r="G143" s="258"/>
      <c r="H143" s="1632">
        <v>279.06049999999999</v>
      </c>
      <c r="I143" s="1633">
        <v>79.962900599999998</v>
      </c>
      <c r="J143" s="474">
        <f>+I143-D143</f>
        <v>79.962900599999998</v>
      </c>
      <c r="K143" s="474">
        <f t="shared" si="4"/>
        <v>39.981450299999999</v>
      </c>
      <c r="L143" s="474">
        <f t="shared" si="5"/>
        <v>0.64253956655634092</v>
      </c>
      <c r="M143" s="474">
        <f t="shared" si="6"/>
        <v>179.30741271299578</v>
      </c>
      <c r="N143" s="474">
        <f t="shared" si="7"/>
        <v>358.61482542599157</v>
      </c>
      <c r="O143" s="474">
        <f>+C142+(D143/2)</f>
        <v>0</v>
      </c>
      <c r="P143" s="474">
        <f t="shared" si="8"/>
        <v>0</v>
      </c>
      <c r="Q143" s="474">
        <f t="shared" si="9"/>
        <v>0</v>
      </c>
      <c r="R143" s="474">
        <f t="shared" ref="R143:R161" si="15">+T142</f>
        <v>213.83080000000001</v>
      </c>
      <c r="S143" s="474">
        <f>+R143+Q143</f>
        <v>213.83080000000001</v>
      </c>
      <c r="T143" s="476">
        <f t="shared" si="10"/>
        <v>213.83080000000001</v>
      </c>
      <c r="V143" s="1635">
        <f t="shared" si="11"/>
        <v>0</v>
      </c>
      <c r="W143" s="437"/>
      <c r="X143" s="437"/>
      <c r="Y143" s="437"/>
      <c r="Z143" s="437"/>
      <c r="AA143" s="437"/>
      <c r="AB143" s="280"/>
      <c r="AC143" s="1636" t="b">
        <f>IF(AD143=2,AF143)</f>
        <v>0</v>
      </c>
      <c r="AD143" s="1636">
        <f t="shared" ref="AD143:AD161" si="16">MAX(AE$142:AE$161)</f>
        <v>1</v>
      </c>
      <c r="AE143" s="1636">
        <f>IF(V143=0,0,2)</f>
        <v>0</v>
      </c>
      <c r="AF143" s="1637" t="e">
        <f>SUM(V143:V161)/($B$139-B142)</f>
        <v>#DIV/0!</v>
      </c>
      <c r="AG143" s="1638"/>
      <c r="AH143" s="450">
        <f>SUM(D143)+$C$142</f>
        <v>0</v>
      </c>
      <c r="AI143" s="1639" t="b">
        <f t="shared" si="12"/>
        <v>0</v>
      </c>
      <c r="AJ143" s="718">
        <f t="shared" ref="AJ143:AJ161" si="17">66.2555484-AH143</f>
        <v>66.255548399999995</v>
      </c>
      <c r="AK143" s="1639">
        <f>SIN(AJ143*3.14159265358979/180)</f>
        <v>0.91535047595051022</v>
      </c>
      <c r="AL143" s="1639">
        <f t="shared" ref="AL143:AL161" si="18">+AK143*304.3209</f>
        <v>278.56028065668761</v>
      </c>
      <c r="AM143" s="1640">
        <f t="shared" ref="AM143:AM161" si="19">50.0185497+AH143</f>
        <v>50.018549700000001</v>
      </c>
      <c r="AN143" s="1639">
        <f t="shared" ref="AN143:AN161" si="20">SIN(AM143*3.14159265358979/180)</f>
        <v>0.76625250760411079</v>
      </c>
      <c r="AO143" s="1641">
        <f t="shared" ref="AO143:AO161" si="21">+AN143*279.0605</f>
        <v>213.83080789825695</v>
      </c>
      <c r="AP143" s="287" t="e">
        <f t="shared" si="13"/>
        <v>#DIV/0!</v>
      </c>
      <c r="AQ143" s="444">
        <f>$C$10*($B$139-B142)</f>
        <v>0</v>
      </c>
      <c r="AR143" s="444">
        <f t="shared" si="14"/>
        <v>56.099999999999994</v>
      </c>
      <c r="AS143" s="445">
        <f t="shared" ref="AS143:AS161" si="22">+AO143+AL143</f>
        <v>492.39108855494453</v>
      </c>
      <c r="AT143" s="445">
        <f t="shared" ref="AT143:AT161" si="23">+V143-AO143</f>
        <v>-213.83080789825695</v>
      </c>
      <c r="AU143" s="445" t="e">
        <f t="shared" ref="AU143:AU161" si="24">+AP143-AT143</f>
        <v>#DIV/0!</v>
      </c>
      <c r="AV143" s="447"/>
      <c r="AW143" s="447" t="e">
        <f t="shared" ref="AW143:AW161" si="25">+((AS143-AU143)/AS143)*AR143</f>
        <v>#DIV/0!</v>
      </c>
      <c r="AX143" s="1597" t="e">
        <f t="shared" ref="AX143:AX161" si="26">+(AU143/AS143)*AR143</f>
        <v>#DIV/0!</v>
      </c>
      <c r="AY143" s="1597" t="e">
        <f t="shared" ref="AY143:AY161" si="27">2*$C$21/AW143</f>
        <v>#DIV/0!</v>
      </c>
      <c r="AZ143" s="1642" t="e">
        <f t="shared" ref="AZ143:AZ161" si="28">2*$D$21/AX143</f>
        <v>#DIV/0!</v>
      </c>
      <c r="BA143" s="274" t="e">
        <f>ABS(AY143)</f>
        <v>#DIV/0!</v>
      </c>
      <c r="BB143" s="294" t="e">
        <f>ABS(AZ143)</f>
        <v>#DIV/0!</v>
      </c>
      <c r="BD143" s="136"/>
      <c r="BM143" s="214"/>
      <c r="BN143" s="214"/>
      <c r="BO143" s="214"/>
      <c r="EK143" s="78"/>
      <c r="EL143" s="78"/>
    </row>
    <row r="144" spans="2:142" ht="23" thickBot="1" x14ac:dyDescent="0.35">
      <c r="B144" s="277">
        <v>3</v>
      </c>
      <c r="C144" s="278"/>
      <c r="D144" s="25">
        <v>0</v>
      </c>
      <c r="E144" s="257" t="s">
        <v>130</v>
      </c>
      <c r="F144" s="258"/>
      <c r="G144" s="258"/>
      <c r="H144" s="1632">
        <v>279.06049999999999</v>
      </c>
      <c r="I144" s="1633">
        <v>79.962900599999998</v>
      </c>
      <c r="J144" s="474">
        <f t="shared" ref="J144:J161" si="29">+I144-D144</f>
        <v>79.962900599999998</v>
      </c>
      <c r="K144" s="474">
        <f t="shared" si="4"/>
        <v>39.981450299999999</v>
      </c>
      <c r="L144" s="474">
        <f t="shared" si="5"/>
        <v>0.64253956655634092</v>
      </c>
      <c r="M144" s="474">
        <f t="shared" si="6"/>
        <v>179.30741271299578</v>
      </c>
      <c r="N144" s="474">
        <f t="shared" si="7"/>
        <v>358.61482542599157</v>
      </c>
      <c r="O144" s="474">
        <f>+C142+D143+(D144/2)</f>
        <v>0</v>
      </c>
      <c r="P144" s="474">
        <f t="shared" si="8"/>
        <v>0</v>
      </c>
      <c r="Q144" s="474">
        <f t="shared" si="9"/>
        <v>0</v>
      </c>
      <c r="R144" s="474">
        <f t="shared" si="15"/>
        <v>213.83080000000001</v>
      </c>
      <c r="S144" s="474">
        <f t="shared" ref="S144:S161" si="30">+R144+Q144</f>
        <v>213.83080000000001</v>
      </c>
      <c r="T144" s="476">
        <f t="shared" si="10"/>
        <v>213.83080000000001</v>
      </c>
      <c r="V144" s="1635">
        <f t="shared" si="11"/>
        <v>0</v>
      </c>
      <c r="W144" s="437"/>
      <c r="X144" s="437"/>
      <c r="Y144" s="437"/>
      <c r="Z144" s="437"/>
      <c r="AA144" s="437"/>
      <c r="AB144" s="295"/>
      <c r="AC144" s="1636" t="b">
        <f>IF(AD144=3,AF144)</f>
        <v>0</v>
      </c>
      <c r="AD144" s="1636">
        <f t="shared" si="16"/>
        <v>1</v>
      </c>
      <c r="AE144" s="1636">
        <f>IF(V144=0,0,3)</f>
        <v>0</v>
      </c>
      <c r="AF144" s="1637">
        <f>SUM(V144:V161)/($B$139-B143)</f>
        <v>0</v>
      </c>
      <c r="AG144" s="1638"/>
      <c r="AH144" s="450">
        <f>SUM(D143:D144)+$C$142</f>
        <v>0</v>
      </c>
      <c r="AI144" s="1639" t="b">
        <f t="shared" si="12"/>
        <v>0</v>
      </c>
      <c r="AJ144" s="718">
        <f t="shared" si="17"/>
        <v>66.255548399999995</v>
      </c>
      <c r="AK144" s="1639">
        <f t="shared" ref="AK144:AK161" si="31">SIN(AJ144*3.14159265358979/180)</f>
        <v>0.91535047595051022</v>
      </c>
      <c r="AL144" s="1639">
        <f t="shared" si="18"/>
        <v>278.56028065668761</v>
      </c>
      <c r="AM144" s="1640">
        <f t="shared" si="19"/>
        <v>50.018549700000001</v>
      </c>
      <c r="AN144" s="1639">
        <f t="shared" si="20"/>
        <v>0.76625250760411079</v>
      </c>
      <c r="AO144" s="1641">
        <f t="shared" si="21"/>
        <v>213.83080789825695</v>
      </c>
      <c r="AP144" s="287">
        <f t="shared" si="13"/>
        <v>637.50756154534497</v>
      </c>
      <c r="AQ144" s="444">
        <f t="shared" ref="AQ144:AQ161" si="32">$C$10*($B$139-B143)</f>
        <v>-40.5</v>
      </c>
      <c r="AR144" s="444">
        <f t="shared" si="14"/>
        <v>15.600000000000001</v>
      </c>
      <c r="AS144" s="445">
        <f t="shared" si="22"/>
        <v>492.39108855494453</v>
      </c>
      <c r="AT144" s="445">
        <f t="shared" si="23"/>
        <v>-213.83080789825695</v>
      </c>
      <c r="AU144" s="445">
        <f t="shared" si="24"/>
        <v>851.33836944360189</v>
      </c>
      <c r="AV144" s="447"/>
      <c r="AW144" s="447">
        <f t="shared" si="25"/>
        <v>-11.372215525460742</v>
      </c>
      <c r="AX144" s="1597">
        <f t="shared" si="26"/>
        <v>26.972215525460744</v>
      </c>
      <c r="AY144" s="1597">
        <f t="shared" si="27"/>
        <v>-1020.0299118522051</v>
      </c>
      <c r="AZ144" s="1642">
        <f t="shared" si="28"/>
        <v>430.07219740810842</v>
      </c>
      <c r="BA144" s="274">
        <f t="shared" ref="BA144:BB159" si="33">ABS(AY144)</f>
        <v>1020.0299118522051</v>
      </c>
      <c r="BB144" s="275">
        <f t="shared" si="33"/>
        <v>430.07219740810842</v>
      </c>
      <c r="BD144" s="136"/>
      <c r="BM144" s="214"/>
      <c r="BN144" s="214"/>
      <c r="BO144" s="214"/>
      <c r="EK144" s="78"/>
      <c r="EL144" s="78"/>
    </row>
    <row r="145" spans="2:142" ht="23" thickBot="1" x14ac:dyDescent="0.35">
      <c r="B145" s="277">
        <v>4</v>
      </c>
      <c r="C145" s="278"/>
      <c r="D145" s="25">
        <v>0</v>
      </c>
      <c r="E145" s="257" t="s">
        <v>130</v>
      </c>
      <c r="F145" s="258"/>
      <c r="G145" s="258"/>
      <c r="H145" s="1632">
        <v>279.06049999999999</v>
      </c>
      <c r="I145" s="1633">
        <v>79.962900599999998</v>
      </c>
      <c r="J145" s="474">
        <f t="shared" si="29"/>
        <v>79.962900599999998</v>
      </c>
      <c r="K145" s="474">
        <f t="shared" si="4"/>
        <v>39.981450299999999</v>
      </c>
      <c r="L145" s="474">
        <f t="shared" si="5"/>
        <v>0.64253956655634092</v>
      </c>
      <c r="M145" s="474">
        <f t="shared" si="6"/>
        <v>179.30741271299578</v>
      </c>
      <c r="N145" s="474">
        <f t="shared" si="7"/>
        <v>358.61482542599157</v>
      </c>
      <c r="O145" s="474">
        <f>+C142+D143+D144+(D145/2)</f>
        <v>0</v>
      </c>
      <c r="P145" s="474">
        <f t="shared" si="8"/>
        <v>0</v>
      </c>
      <c r="Q145" s="474">
        <f t="shared" si="9"/>
        <v>0</v>
      </c>
      <c r="R145" s="474">
        <f t="shared" si="15"/>
        <v>213.83080000000001</v>
      </c>
      <c r="S145" s="474">
        <f t="shared" si="30"/>
        <v>213.83080000000001</v>
      </c>
      <c r="T145" s="476">
        <f t="shared" si="10"/>
        <v>213.83080000000001</v>
      </c>
      <c r="V145" s="1635">
        <f t="shared" si="11"/>
        <v>0</v>
      </c>
      <c r="W145" s="437"/>
      <c r="X145" s="437"/>
      <c r="Y145" s="437"/>
      <c r="Z145" s="437"/>
      <c r="AA145" s="437"/>
      <c r="AB145" s="295"/>
      <c r="AC145" s="1636" t="b">
        <f>IF(AD145=4,AF145)</f>
        <v>0</v>
      </c>
      <c r="AD145" s="1636">
        <f t="shared" si="16"/>
        <v>1</v>
      </c>
      <c r="AE145" s="1636">
        <f>IF(V145=0,0,4)</f>
        <v>0</v>
      </c>
      <c r="AF145" s="1637">
        <f>SUM(V145:V161)/($B$139-B144)</f>
        <v>0</v>
      </c>
      <c r="AG145" s="1638"/>
      <c r="AH145" s="450">
        <f>SUM(D143:D145)+$C$142</f>
        <v>0</v>
      </c>
      <c r="AI145" s="1639" t="b">
        <f t="shared" si="12"/>
        <v>0</v>
      </c>
      <c r="AJ145" s="718">
        <f t="shared" si="17"/>
        <v>66.255548399999995</v>
      </c>
      <c r="AK145" s="1639">
        <f t="shared" si="31"/>
        <v>0.91535047595051022</v>
      </c>
      <c r="AL145" s="1639">
        <f t="shared" si="18"/>
        <v>278.56028065668761</v>
      </c>
      <c r="AM145" s="1640">
        <f t="shared" si="19"/>
        <v>50.018549700000001</v>
      </c>
      <c r="AN145" s="1639">
        <f t="shared" si="20"/>
        <v>0.76625250760411079</v>
      </c>
      <c r="AO145" s="1641">
        <f t="shared" si="21"/>
        <v>213.83080789825695</v>
      </c>
      <c r="AP145" s="287">
        <f t="shared" si="13"/>
        <v>-399.40232771515593</v>
      </c>
      <c r="AQ145" s="444">
        <f t="shared" si="32"/>
        <v>-81</v>
      </c>
      <c r="AR145" s="444">
        <f t="shared" si="14"/>
        <v>-24.9</v>
      </c>
      <c r="AS145" s="445">
        <f t="shared" si="22"/>
        <v>492.39108855494453</v>
      </c>
      <c r="AT145" s="445">
        <f t="shared" si="23"/>
        <v>-213.83080789825695</v>
      </c>
      <c r="AU145" s="445">
        <f t="shared" si="24"/>
        <v>-185.57151981689898</v>
      </c>
      <c r="AV145" s="447"/>
      <c r="AW145" s="447">
        <f t="shared" si="25"/>
        <v>-34.284269843310071</v>
      </c>
      <c r="AX145" s="1597">
        <f t="shared" si="26"/>
        <v>9.3842698433100704</v>
      </c>
      <c r="AY145" s="1597">
        <f t="shared" si="27"/>
        <v>-338.3475877717583</v>
      </c>
      <c r="AZ145" s="1642">
        <f t="shared" si="28"/>
        <v>1236.1110873500186</v>
      </c>
      <c r="BA145" s="274">
        <f t="shared" si="33"/>
        <v>338.3475877717583</v>
      </c>
      <c r="BB145" s="275">
        <f t="shared" si="33"/>
        <v>1236.1110873500186</v>
      </c>
      <c r="BD145" s="136"/>
      <c r="BM145" s="214"/>
      <c r="BN145" s="214"/>
      <c r="BO145" s="214"/>
      <c r="EK145" s="78"/>
      <c r="EL145" s="78"/>
    </row>
    <row r="146" spans="2:142" ht="23" thickBot="1" x14ac:dyDescent="0.35">
      <c r="B146" s="277">
        <v>5</v>
      </c>
      <c r="C146" s="278"/>
      <c r="D146" s="25">
        <v>0</v>
      </c>
      <c r="E146" s="257" t="s">
        <v>130</v>
      </c>
      <c r="F146" s="258"/>
      <c r="G146" s="258"/>
      <c r="H146" s="1632">
        <v>279.06049999999999</v>
      </c>
      <c r="I146" s="1633">
        <v>79.962900599999998</v>
      </c>
      <c r="J146" s="474">
        <f t="shared" si="29"/>
        <v>79.962900599999998</v>
      </c>
      <c r="K146" s="474">
        <f t="shared" si="4"/>
        <v>39.981450299999999</v>
      </c>
      <c r="L146" s="474">
        <f t="shared" si="5"/>
        <v>0.64253956655634092</v>
      </c>
      <c r="M146" s="474">
        <f t="shared" si="6"/>
        <v>179.30741271299578</v>
      </c>
      <c r="N146" s="474">
        <f t="shared" si="7"/>
        <v>358.61482542599157</v>
      </c>
      <c r="O146" s="474">
        <f>+C142+D143+D144+D145+(D146/2)</f>
        <v>0</v>
      </c>
      <c r="P146" s="474">
        <f t="shared" si="8"/>
        <v>0</v>
      </c>
      <c r="Q146" s="474">
        <f t="shared" si="9"/>
        <v>0</v>
      </c>
      <c r="R146" s="474">
        <f t="shared" si="15"/>
        <v>213.83080000000001</v>
      </c>
      <c r="S146" s="474">
        <f t="shared" si="30"/>
        <v>213.83080000000001</v>
      </c>
      <c r="T146" s="476">
        <f t="shared" si="10"/>
        <v>213.83080000000001</v>
      </c>
      <c r="V146" s="1635">
        <f t="shared" si="11"/>
        <v>0</v>
      </c>
      <c r="W146" s="437"/>
      <c r="X146" s="437"/>
      <c r="Y146" s="437"/>
      <c r="Z146" s="437"/>
      <c r="AA146" s="437"/>
      <c r="AB146" s="295"/>
      <c r="AC146" s="1636" t="b">
        <f>IF(AD146=5,AF146)</f>
        <v>0</v>
      </c>
      <c r="AD146" s="1636">
        <f t="shared" si="16"/>
        <v>1</v>
      </c>
      <c r="AE146" s="1636">
        <f>IF(V146=0,0,5)</f>
        <v>0</v>
      </c>
      <c r="AF146" s="1637">
        <f>SUM(V146:V161)/($B$139-B145)</f>
        <v>0</v>
      </c>
      <c r="AG146" s="1638"/>
      <c r="AH146" s="450">
        <f>SUM(D143:D146)+$C$142</f>
        <v>0</v>
      </c>
      <c r="AI146" s="1639" t="b">
        <f t="shared" si="12"/>
        <v>0</v>
      </c>
      <c r="AJ146" s="718">
        <f t="shared" si="17"/>
        <v>66.255548399999995</v>
      </c>
      <c r="AK146" s="1639">
        <f t="shared" si="31"/>
        <v>0.91535047595051022</v>
      </c>
      <c r="AL146" s="1639">
        <f t="shared" si="18"/>
        <v>278.56028065668761</v>
      </c>
      <c r="AM146" s="1640">
        <f t="shared" si="19"/>
        <v>50.018549700000001</v>
      </c>
      <c r="AN146" s="1639">
        <f t="shared" si="20"/>
        <v>0.76625250760411079</v>
      </c>
      <c r="AO146" s="1641">
        <f t="shared" si="21"/>
        <v>213.83080789825695</v>
      </c>
      <c r="AP146" s="287">
        <f t="shared" si="13"/>
        <v>-152.06602385485292</v>
      </c>
      <c r="AQ146" s="444">
        <f t="shared" si="32"/>
        <v>-121.5</v>
      </c>
      <c r="AR146" s="444">
        <f t="shared" si="14"/>
        <v>-65.400000000000006</v>
      </c>
      <c r="AS146" s="445">
        <f t="shared" si="22"/>
        <v>492.39108855494453</v>
      </c>
      <c r="AT146" s="445">
        <f t="shared" si="23"/>
        <v>-213.83080789825695</v>
      </c>
      <c r="AU146" s="445">
        <f t="shared" si="24"/>
        <v>61.764784043404035</v>
      </c>
      <c r="AV146" s="447"/>
      <c r="AW146" s="447">
        <f t="shared" si="25"/>
        <v>-57.196324161159403</v>
      </c>
      <c r="AX146" s="1597">
        <f t="shared" si="26"/>
        <v>-8.2036758388406081</v>
      </c>
      <c r="AY146" s="1597">
        <f t="shared" si="27"/>
        <v>-202.81023597452213</v>
      </c>
      <c r="AZ146" s="1642">
        <f t="shared" si="28"/>
        <v>-1414.0002881488037</v>
      </c>
      <c r="BA146" s="274">
        <f t="shared" si="33"/>
        <v>202.81023597452213</v>
      </c>
      <c r="BB146" s="275">
        <f t="shared" si="33"/>
        <v>1414.0002881488037</v>
      </c>
      <c r="BD146" s="136"/>
      <c r="BM146" s="214"/>
      <c r="BN146" s="214"/>
      <c r="BO146" s="214"/>
      <c r="EK146" s="78"/>
      <c r="EL146" s="78"/>
    </row>
    <row r="147" spans="2:142" ht="23" thickBot="1" x14ac:dyDescent="0.35">
      <c r="B147" s="277">
        <v>6</v>
      </c>
      <c r="C147" s="278"/>
      <c r="D147" s="25">
        <v>0</v>
      </c>
      <c r="E147" s="257" t="s">
        <v>130</v>
      </c>
      <c r="F147" s="258"/>
      <c r="G147" s="258"/>
      <c r="H147" s="1632">
        <v>279.06049999999999</v>
      </c>
      <c r="I147" s="1633">
        <v>79.962900599999998</v>
      </c>
      <c r="J147" s="474">
        <f t="shared" si="29"/>
        <v>79.962900599999998</v>
      </c>
      <c r="K147" s="474">
        <f t="shared" si="4"/>
        <v>39.981450299999999</v>
      </c>
      <c r="L147" s="474">
        <f t="shared" si="5"/>
        <v>0.64253956655634092</v>
      </c>
      <c r="M147" s="474">
        <f t="shared" si="6"/>
        <v>179.30741271299578</v>
      </c>
      <c r="N147" s="474">
        <f t="shared" si="7"/>
        <v>358.61482542599157</v>
      </c>
      <c r="O147" s="474">
        <f>+C142+D143+D144+D145+D146+(D147/2)</f>
        <v>0</v>
      </c>
      <c r="P147" s="474">
        <f t="shared" si="8"/>
        <v>0</v>
      </c>
      <c r="Q147" s="474">
        <f t="shared" si="9"/>
        <v>0</v>
      </c>
      <c r="R147" s="474">
        <f t="shared" si="15"/>
        <v>213.83080000000001</v>
      </c>
      <c r="S147" s="474">
        <f t="shared" si="30"/>
        <v>213.83080000000001</v>
      </c>
      <c r="T147" s="476">
        <f t="shared" si="10"/>
        <v>213.83080000000001</v>
      </c>
      <c r="V147" s="1635">
        <f t="shared" si="11"/>
        <v>0</v>
      </c>
      <c r="W147" s="437"/>
      <c r="X147" s="437"/>
      <c r="Y147" s="437"/>
      <c r="Z147" s="437"/>
      <c r="AA147" s="437"/>
      <c r="AB147" s="295"/>
      <c r="AC147" s="1636" t="b">
        <f>IF(AD147=6,AF147)</f>
        <v>0</v>
      </c>
      <c r="AD147" s="1636">
        <f t="shared" si="16"/>
        <v>1</v>
      </c>
      <c r="AE147" s="1636">
        <f>IF(V147=0,0,6)</f>
        <v>0</v>
      </c>
      <c r="AF147" s="1637">
        <f>SUM(V147:V161)/($B$139-B146)</f>
        <v>0</v>
      </c>
      <c r="AG147" s="1638"/>
      <c r="AH147" s="450">
        <f>SUM(D143:D147)+$C$142</f>
        <v>0</v>
      </c>
      <c r="AI147" s="1639" t="b">
        <f t="shared" si="12"/>
        <v>0</v>
      </c>
      <c r="AJ147" s="718">
        <f t="shared" si="17"/>
        <v>66.255548399999995</v>
      </c>
      <c r="AK147" s="1639">
        <f t="shared" si="31"/>
        <v>0.91535047595051022</v>
      </c>
      <c r="AL147" s="1639">
        <f t="shared" si="18"/>
        <v>278.56028065668761</v>
      </c>
      <c r="AM147" s="1640">
        <f t="shared" si="19"/>
        <v>50.018549700000001</v>
      </c>
      <c r="AN147" s="1639">
        <f t="shared" si="20"/>
        <v>0.76625250760411079</v>
      </c>
      <c r="AO147" s="1641">
        <f t="shared" si="21"/>
        <v>213.83080789825695</v>
      </c>
      <c r="AP147" s="287">
        <f t="shared" si="13"/>
        <v>-93.910462323960161</v>
      </c>
      <c r="AQ147" s="444">
        <f t="shared" si="32"/>
        <v>-162</v>
      </c>
      <c r="AR147" s="444">
        <f t="shared" si="14"/>
        <v>-105.9</v>
      </c>
      <c r="AS147" s="445">
        <f t="shared" si="22"/>
        <v>492.39108855494453</v>
      </c>
      <c r="AT147" s="445">
        <f t="shared" si="23"/>
        <v>-213.83080789825695</v>
      </c>
      <c r="AU147" s="445">
        <f t="shared" si="24"/>
        <v>119.92034557429679</v>
      </c>
      <c r="AV147" s="447"/>
      <c r="AW147" s="447">
        <f t="shared" si="25"/>
        <v>-80.108378479008735</v>
      </c>
      <c r="AX147" s="1597">
        <f t="shared" si="26"/>
        <v>-25.791621520991281</v>
      </c>
      <c r="AY147" s="1597">
        <f t="shared" si="27"/>
        <v>-144.80382976469329</v>
      </c>
      <c r="AZ147" s="1642">
        <f t="shared" si="28"/>
        <v>-449.75846092340464</v>
      </c>
      <c r="BA147" s="274">
        <f t="shared" si="33"/>
        <v>144.80382976469329</v>
      </c>
      <c r="BB147" s="275">
        <f t="shared" si="33"/>
        <v>449.75846092340464</v>
      </c>
      <c r="BD147" s="136"/>
      <c r="BM147" s="214"/>
      <c r="BN147" s="214"/>
      <c r="BO147" s="214"/>
      <c r="EK147" s="78"/>
      <c r="EL147" s="78"/>
    </row>
    <row r="148" spans="2:142" ht="21" thickBot="1" x14ac:dyDescent="0.25">
      <c r="B148" s="277">
        <v>7</v>
      </c>
      <c r="C148" s="278"/>
      <c r="D148" s="25">
        <v>0</v>
      </c>
      <c r="E148" s="257" t="s">
        <v>130</v>
      </c>
      <c r="F148" s="258"/>
      <c r="G148" s="258"/>
      <c r="H148" s="1632">
        <v>279.06049999999999</v>
      </c>
      <c r="I148" s="1633">
        <v>79.962900599999998</v>
      </c>
      <c r="J148" s="474">
        <f t="shared" si="29"/>
        <v>79.962900599999998</v>
      </c>
      <c r="K148" s="474">
        <f t="shared" si="4"/>
        <v>39.981450299999999</v>
      </c>
      <c r="L148" s="474">
        <f t="shared" si="5"/>
        <v>0.64253956655634092</v>
      </c>
      <c r="M148" s="474">
        <f t="shared" si="6"/>
        <v>179.30741271299578</v>
      </c>
      <c r="N148" s="474">
        <f t="shared" si="7"/>
        <v>358.61482542599157</v>
      </c>
      <c r="O148" s="474">
        <f>+C142+D143+D144+D145+D146+D147+(D148/2)</f>
        <v>0</v>
      </c>
      <c r="P148" s="474">
        <f t="shared" si="8"/>
        <v>0</v>
      </c>
      <c r="Q148" s="474">
        <f t="shared" si="9"/>
        <v>0</v>
      </c>
      <c r="R148" s="474">
        <f t="shared" si="15"/>
        <v>213.83080000000001</v>
      </c>
      <c r="S148" s="474">
        <f t="shared" si="30"/>
        <v>213.83080000000001</v>
      </c>
      <c r="T148" s="476">
        <f t="shared" si="10"/>
        <v>213.83080000000001</v>
      </c>
      <c r="V148" s="1635">
        <f t="shared" si="11"/>
        <v>0</v>
      </c>
      <c r="W148" s="437"/>
      <c r="X148" s="437"/>
      <c r="Y148" s="437"/>
      <c r="Z148" s="437"/>
      <c r="AA148" s="437"/>
      <c r="AB148" s="295"/>
      <c r="AC148" s="1636" t="b">
        <f>IF(AD148=7,AF148)</f>
        <v>0</v>
      </c>
      <c r="AD148" s="1636">
        <f t="shared" si="16"/>
        <v>1</v>
      </c>
      <c r="AE148" s="1636">
        <f>IF(V148=0,0,7)</f>
        <v>0</v>
      </c>
      <c r="AF148" s="1637">
        <f>SUM(V148:V161)/($B$139-B147)</f>
        <v>0</v>
      </c>
      <c r="AG148" s="1638"/>
      <c r="AH148" s="450">
        <f>SUM(D143:D148)+$C$142</f>
        <v>0</v>
      </c>
      <c r="AI148" s="1639" t="b">
        <f t="shared" si="12"/>
        <v>0</v>
      </c>
      <c r="AJ148" s="718">
        <f t="shared" si="17"/>
        <v>66.255548399999995</v>
      </c>
      <c r="AK148" s="1639">
        <f t="shared" si="31"/>
        <v>0.91535047595051022</v>
      </c>
      <c r="AL148" s="1639">
        <f t="shared" si="18"/>
        <v>278.56028065668761</v>
      </c>
      <c r="AM148" s="1640">
        <f t="shared" si="19"/>
        <v>50.018549700000001</v>
      </c>
      <c r="AN148" s="1639">
        <f t="shared" si="20"/>
        <v>0.76625250760411079</v>
      </c>
      <c r="AO148" s="1641">
        <f t="shared" si="21"/>
        <v>213.83080789825695</v>
      </c>
      <c r="AP148" s="287">
        <f t="shared" si="13"/>
        <v>-67.931133607290874</v>
      </c>
      <c r="AQ148" s="444">
        <f t="shared" si="32"/>
        <v>-202.5</v>
      </c>
      <c r="AR148" s="444">
        <f t="shared" si="14"/>
        <v>-146.39999999999998</v>
      </c>
      <c r="AS148" s="445">
        <f t="shared" si="22"/>
        <v>492.39108855494453</v>
      </c>
      <c r="AT148" s="445">
        <f t="shared" si="23"/>
        <v>-213.83080789825695</v>
      </c>
      <c r="AU148" s="445">
        <f t="shared" si="24"/>
        <v>145.89967429096606</v>
      </c>
      <c r="AV148" s="447"/>
      <c r="AW148" s="447">
        <f t="shared" si="25"/>
        <v>-103.02043279685805</v>
      </c>
      <c r="AX148" s="1597">
        <f t="shared" si="26"/>
        <v>-43.379567203141931</v>
      </c>
      <c r="AY148" s="1597">
        <f t="shared" si="27"/>
        <v>-112.59902220439692</v>
      </c>
      <c r="AZ148" s="1642">
        <f t="shared" si="28"/>
        <v>-267.40700168073198</v>
      </c>
      <c r="BA148" s="274">
        <f t="shared" si="33"/>
        <v>112.59902220439692</v>
      </c>
      <c r="BB148" s="275">
        <f t="shared" si="33"/>
        <v>267.40700168073198</v>
      </c>
      <c r="BD148" s="136"/>
      <c r="BF148" s="35"/>
      <c r="EK148" s="78"/>
      <c r="EL148" s="78"/>
    </row>
    <row r="149" spans="2:142" ht="21" thickBot="1" x14ac:dyDescent="0.25">
      <c r="B149" s="277">
        <v>8</v>
      </c>
      <c r="C149" s="278"/>
      <c r="D149" s="25">
        <v>0</v>
      </c>
      <c r="E149" s="257" t="s">
        <v>130</v>
      </c>
      <c r="F149" s="258"/>
      <c r="G149" s="258"/>
      <c r="H149" s="1632">
        <v>279.06049999999999</v>
      </c>
      <c r="I149" s="1633">
        <v>79.962900599999998</v>
      </c>
      <c r="J149" s="474">
        <f t="shared" si="29"/>
        <v>79.962900599999998</v>
      </c>
      <c r="K149" s="474">
        <f t="shared" si="4"/>
        <v>39.981450299999999</v>
      </c>
      <c r="L149" s="474">
        <f t="shared" si="5"/>
        <v>0.64253956655634092</v>
      </c>
      <c r="M149" s="474">
        <f t="shared" si="6"/>
        <v>179.30741271299578</v>
      </c>
      <c r="N149" s="474">
        <f t="shared" si="7"/>
        <v>358.61482542599157</v>
      </c>
      <c r="O149" s="474">
        <f>+C142+D143+D144+D145+D146+D147+D148+(D149/2)</f>
        <v>0</v>
      </c>
      <c r="P149" s="474">
        <f t="shared" si="8"/>
        <v>0</v>
      </c>
      <c r="Q149" s="474">
        <f t="shared" si="9"/>
        <v>0</v>
      </c>
      <c r="R149" s="474">
        <f t="shared" si="15"/>
        <v>213.83080000000001</v>
      </c>
      <c r="S149" s="474">
        <f t="shared" si="30"/>
        <v>213.83080000000001</v>
      </c>
      <c r="T149" s="476">
        <f t="shared" si="10"/>
        <v>213.83080000000001</v>
      </c>
      <c r="V149" s="1635">
        <f t="shared" si="11"/>
        <v>0</v>
      </c>
      <c r="W149" s="437"/>
      <c r="X149" s="437"/>
      <c r="Y149" s="437"/>
      <c r="Z149" s="437"/>
      <c r="AA149" s="437"/>
      <c r="AB149" s="295"/>
      <c r="AC149" s="1636" t="b">
        <f>IF(AD149=8,AF149)</f>
        <v>0</v>
      </c>
      <c r="AD149" s="1636">
        <f t="shared" si="16"/>
        <v>1</v>
      </c>
      <c r="AE149" s="1636">
        <f>IF(V149=0,0,8)</f>
        <v>0</v>
      </c>
      <c r="AF149" s="1637">
        <f>SUM(V149:V168)/($B$139-B148)</f>
        <v>0</v>
      </c>
      <c r="AG149" s="1638"/>
      <c r="AH149" s="450">
        <f>SUM(D143:D149)+$C$142</f>
        <v>0</v>
      </c>
      <c r="AI149" s="1639" t="b">
        <f t="shared" si="12"/>
        <v>0</v>
      </c>
      <c r="AJ149" s="718">
        <f t="shared" si="17"/>
        <v>66.255548399999995</v>
      </c>
      <c r="AK149" s="1639">
        <f t="shared" si="31"/>
        <v>0.91535047595051022</v>
      </c>
      <c r="AL149" s="1639">
        <f t="shared" si="18"/>
        <v>278.56028065668761</v>
      </c>
      <c r="AM149" s="1640">
        <f t="shared" si="19"/>
        <v>50.018549700000001</v>
      </c>
      <c r="AN149" s="1639">
        <f t="shared" si="20"/>
        <v>0.76625250760411079</v>
      </c>
      <c r="AO149" s="1641">
        <f t="shared" si="21"/>
        <v>213.83080789825695</v>
      </c>
      <c r="AP149" s="287">
        <f t="shared" si="13"/>
        <v>-53.210904013415636</v>
      </c>
      <c r="AQ149" s="444">
        <f t="shared" si="32"/>
        <v>-243</v>
      </c>
      <c r="AR149" s="444">
        <f t="shared" si="14"/>
        <v>-186.89999999999998</v>
      </c>
      <c r="AS149" s="445">
        <f t="shared" si="22"/>
        <v>492.39108855494453</v>
      </c>
      <c r="AT149" s="445">
        <f t="shared" si="23"/>
        <v>-213.83080789825695</v>
      </c>
      <c r="AU149" s="445">
        <f t="shared" si="24"/>
        <v>160.61990388484131</v>
      </c>
      <c r="AV149" s="447"/>
      <c r="AW149" s="447">
        <f t="shared" si="25"/>
        <v>-125.93248711470737</v>
      </c>
      <c r="AX149" s="1597">
        <f t="shared" si="26"/>
        <v>-60.967512885292614</v>
      </c>
      <c r="AY149" s="1597">
        <f t="shared" si="27"/>
        <v>-92.112847651726099</v>
      </c>
      <c r="AZ149" s="1642">
        <f t="shared" si="28"/>
        <v>-190.26526507362752</v>
      </c>
      <c r="BA149" s="274">
        <f t="shared" si="33"/>
        <v>92.112847651726099</v>
      </c>
      <c r="BB149" s="275">
        <f t="shared" si="33"/>
        <v>190.26526507362752</v>
      </c>
      <c r="BD149" s="136"/>
      <c r="BF149" s="35"/>
      <c r="EK149" s="78"/>
      <c r="EL149" s="78"/>
    </row>
    <row r="150" spans="2:142" ht="21" thickBot="1" x14ac:dyDescent="0.25">
      <c r="B150" s="277">
        <v>9</v>
      </c>
      <c r="C150" s="278"/>
      <c r="D150" s="25">
        <v>0</v>
      </c>
      <c r="E150" s="257" t="s">
        <v>130</v>
      </c>
      <c r="F150" s="258"/>
      <c r="G150" s="258"/>
      <c r="H150" s="1632">
        <v>279.06049999999999</v>
      </c>
      <c r="I150" s="1633">
        <v>79.962900599999998</v>
      </c>
      <c r="J150" s="474">
        <f t="shared" si="29"/>
        <v>79.962900599999998</v>
      </c>
      <c r="K150" s="474">
        <f t="shared" si="4"/>
        <v>39.981450299999999</v>
      </c>
      <c r="L150" s="474">
        <f t="shared" si="5"/>
        <v>0.64253956655634092</v>
      </c>
      <c r="M150" s="474">
        <f t="shared" si="6"/>
        <v>179.30741271299578</v>
      </c>
      <c r="N150" s="474">
        <f t="shared" si="7"/>
        <v>358.61482542599157</v>
      </c>
      <c r="O150" s="474">
        <f>+C142+D143+D144+D145+D146+D147+D148+D149+(D150/2)</f>
        <v>0</v>
      </c>
      <c r="P150" s="474">
        <f t="shared" si="8"/>
        <v>0</v>
      </c>
      <c r="Q150" s="474">
        <f t="shared" si="9"/>
        <v>0</v>
      </c>
      <c r="R150" s="474">
        <f t="shared" si="15"/>
        <v>213.83080000000001</v>
      </c>
      <c r="S150" s="474">
        <f t="shared" si="30"/>
        <v>213.83080000000001</v>
      </c>
      <c r="T150" s="476">
        <f t="shared" si="10"/>
        <v>213.83080000000001</v>
      </c>
      <c r="V150" s="1635">
        <f t="shared" si="11"/>
        <v>0</v>
      </c>
      <c r="W150" s="437"/>
      <c r="X150" s="437"/>
      <c r="Y150" s="437"/>
      <c r="Z150" s="437"/>
      <c r="AA150" s="437"/>
      <c r="AB150" s="295"/>
      <c r="AC150" s="1636" t="b">
        <f>IF(AD150=9,AF150)</f>
        <v>0</v>
      </c>
      <c r="AD150" s="1636">
        <f t="shared" si="16"/>
        <v>1</v>
      </c>
      <c r="AE150" s="1636">
        <f>IF(V150=0,0,9)</f>
        <v>0</v>
      </c>
      <c r="AF150" s="1637">
        <f>SUM(V150:V168)/($B$139-B149)</f>
        <v>0</v>
      </c>
      <c r="AG150" s="1638"/>
      <c r="AH150" s="450">
        <f>SUM(D143:D150)+$C$142</f>
        <v>0</v>
      </c>
      <c r="AI150" s="1639" t="b">
        <f t="shared" si="12"/>
        <v>0</v>
      </c>
      <c r="AJ150" s="718">
        <f t="shared" si="17"/>
        <v>66.255548399999995</v>
      </c>
      <c r="AK150" s="1639">
        <f t="shared" si="31"/>
        <v>0.91535047595051022</v>
      </c>
      <c r="AL150" s="1639">
        <f t="shared" si="18"/>
        <v>278.56028065668761</v>
      </c>
      <c r="AM150" s="1640">
        <f t="shared" si="19"/>
        <v>50.018549700000001</v>
      </c>
      <c r="AN150" s="1639">
        <f t="shared" si="20"/>
        <v>0.76625250760411079</v>
      </c>
      <c r="AO150" s="1641">
        <f t="shared" si="21"/>
        <v>213.83080789825695</v>
      </c>
      <c r="AP150" s="287">
        <f t="shared" si="13"/>
        <v>-43.734027968809954</v>
      </c>
      <c r="AQ150" s="444">
        <f t="shared" si="32"/>
        <v>-283.5</v>
      </c>
      <c r="AR150" s="444">
        <f t="shared" si="14"/>
        <v>-227.39999999999998</v>
      </c>
      <c r="AS150" s="445">
        <f t="shared" si="22"/>
        <v>492.39108855494453</v>
      </c>
      <c r="AT150" s="445">
        <f t="shared" si="23"/>
        <v>-213.83080789825695</v>
      </c>
      <c r="AU150" s="445">
        <f t="shared" si="24"/>
        <v>170.096779929447</v>
      </c>
      <c r="AV150" s="447"/>
      <c r="AW150" s="447">
        <f t="shared" si="25"/>
        <v>-148.8445414325567</v>
      </c>
      <c r="AX150" s="1597">
        <f t="shared" si="26"/>
        <v>-78.555458567443296</v>
      </c>
      <c r="AY150" s="1597">
        <f t="shared" si="27"/>
        <v>-77.933660773553484</v>
      </c>
      <c r="AZ150" s="1642">
        <f t="shared" si="28"/>
        <v>-147.66637750629249</v>
      </c>
      <c r="BA150" s="274">
        <f t="shared" si="33"/>
        <v>77.933660773553484</v>
      </c>
      <c r="BB150" s="275">
        <f t="shared" si="33"/>
        <v>147.66637750629249</v>
      </c>
      <c r="BD150" s="136"/>
      <c r="BF150" s="35"/>
      <c r="EK150" s="78"/>
      <c r="EL150" s="78"/>
    </row>
    <row r="151" spans="2:142" ht="21" thickBot="1" x14ac:dyDescent="0.25">
      <c r="B151" s="277">
        <v>10</v>
      </c>
      <c r="C151" s="278"/>
      <c r="D151" s="25">
        <v>8</v>
      </c>
      <c r="E151" s="257" t="s">
        <v>130</v>
      </c>
      <c r="F151" s="258"/>
      <c r="G151" s="258"/>
      <c r="H151" s="1632">
        <v>279.06049999999999</v>
      </c>
      <c r="I151" s="1633">
        <v>79.962900599999998</v>
      </c>
      <c r="J151" s="474">
        <f t="shared" si="29"/>
        <v>71.962900599999998</v>
      </c>
      <c r="K151" s="474">
        <f t="shared" si="4"/>
        <v>35.981450299999999</v>
      </c>
      <c r="L151" s="474">
        <f t="shared" si="5"/>
        <v>0.58752329953807902</v>
      </c>
      <c r="M151" s="474">
        <f>+L151*H151</f>
        <v>163.9545457307461</v>
      </c>
      <c r="N151" s="474">
        <f t="shared" si="7"/>
        <v>327.90909146149221</v>
      </c>
      <c r="O151" s="474">
        <f>+C142+D143+D144+D145+D146+D147+D148+D149+D150+(D151/2)</f>
        <v>4</v>
      </c>
      <c r="P151" s="474">
        <f t="shared" si="8"/>
        <v>6.9756473744125233E-2</v>
      </c>
      <c r="Q151" s="474">
        <f t="shared" si="9"/>
        <v>22.873781928993541</v>
      </c>
      <c r="R151" s="474">
        <f t="shared" si="15"/>
        <v>213.83080000000001</v>
      </c>
      <c r="S151" s="474">
        <f t="shared" si="30"/>
        <v>236.70458192899355</v>
      </c>
      <c r="T151" s="476">
        <f t="shared" si="10"/>
        <v>236.70458192899355</v>
      </c>
      <c r="V151" s="1635">
        <f t="shared" si="11"/>
        <v>0</v>
      </c>
      <c r="W151" s="437"/>
      <c r="X151" s="437"/>
      <c r="Y151" s="437"/>
      <c r="Z151" s="437"/>
      <c r="AA151" s="437"/>
      <c r="AB151" s="295"/>
      <c r="AC151" s="1636" t="b">
        <f>IF(AD151=10,AF151)</f>
        <v>0</v>
      </c>
      <c r="AD151" s="1636">
        <f t="shared" si="16"/>
        <v>1</v>
      </c>
      <c r="AE151" s="1636">
        <f>IF(V151=0,0,10)</f>
        <v>0</v>
      </c>
      <c r="AF151" s="1637">
        <f>SUM(V151:V161)/($B$139-B150)</f>
        <v>0</v>
      </c>
      <c r="AG151" s="1638"/>
      <c r="AH151" s="450">
        <f>SUM(D143:D151)+$C$142</f>
        <v>8</v>
      </c>
      <c r="AI151" s="1639" t="b">
        <f t="shared" si="12"/>
        <v>0</v>
      </c>
      <c r="AJ151" s="718">
        <f t="shared" si="17"/>
        <v>58.255548399999995</v>
      </c>
      <c r="AK151" s="1639">
        <f t="shared" si="31"/>
        <v>0.85040317843243296</v>
      </c>
      <c r="AL151" s="1639">
        <f t="shared" si="18"/>
        <v>258.79546062341859</v>
      </c>
      <c r="AM151" s="1640">
        <f t="shared" si="19"/>
        <v>58.018549700000001</v>
      </c>
      <c r="AN151" s="1639">
        <f t="shared" si="20"/>
        <v>0.84821961484069075</v>
      </c>
      <c r="AO151" s="1641">
        <f t="shared" si="21"/>
        <v>236.70458982725057</v>
      </c>
      <c r="AP151" s="287">
        <f t="shared" si="13"/>
        <v>-37.12250078427541</v>
      </c>
      <c r="AQ151" s="444">
        <f t="shared" si="32"/>
        <v>-324</v>
      </c>
      <c r="AR151" s="444">
        <f t="shared" si="14"/>
        <v>-267.89999999999998</v>
      </c>
      <c r="AS151" s="445">
        <f t="shared" si="22"/>
        <v>495.50005045066916</v>
      </c>
      <c r="AT151" s="445">
        <f t="shared" si="23"/>
        <v>-236.70458982725057</v>
      </c>
      <c r="AU151" s="445">
        <f t="shared" si="24"/>
        <v>199.58208904297516</v>
      </c>
      <c r="AV151" s="447"/>
      <c r="AW151" s="447">
        <f t="shared" si="25"/>
        <v>-159.99276244072513</v>
      </c>
      <c r="AX151" s="1597">
        <f t="shared" si="26"/>
        <v>-107.90723755927486</v>
      </c>
      <c r="AY151" s="1597">
        <f t="shared" si="27"/>
        <v>-72.503279667401344</v>
      </c>
      <c r="AZ151" s="1642">
        <f t="shared" si="28"/>
        <v>-107.49974016921681</v>
      </c>
      <c r="BA151" s="274">
        <f t="shared" si="33"/>
        <v>72.503279667401344</v>
      </c>
      <c r="BB151" s="275">
        <f t="shared" si="33"/>
        <v>107.49974016921681</v>
      </c>
      <c r="BD151" s="136"/>
      <c r="BF151" s="35"/>
      <c r="EK151" s="78"/>
      <c r="EL151" s="78"/>
    </row>
    <row r="152" spans="2:142" ht="21" thickBot="1" x14ac:dyDescent="0.25">
      <c r="B152" s="277">
        <v>11</v>
      </c>
      <c r="C152" s="278"/>
      <c r="D152" s="25">
        <v>0</v>
      </c>
      <c r="E152" s="257" t="s">
        <v>130</v>
      </c>
      <c r="F152" s="258"/>
      <c r="G152" s="258"/>
      <c r="H152" s="1632">
        <v>279.06049999999999</v>
      </c>
      <c r="I152" s="1633">
        <v>79.962900599999998</v>
      </c>
      <c r="J152" s="474">
        <f t="shared" si="29"/>
        <v>79.962900599999998</v>
      </c>
      <c r="K152" s="474">
        <f t="shared" si="4"/>
        <v>39.981450299999999</v>
      </c>
      <c r="L152" s="474">
        <f t="shared" si="5"/>
        <v>0.64253956655634092</v>
      </c>
      <c r="M152" s="474">
        <f t="shared" si="6"/>
        <v>179.30741271299578</v>
      </c>
      <c r="N152" s="474">
        <f t="shared" si="7"/>
        <v>358.61482542599157</v>
      </c>
      <c r="O152" s="474">
        <f>+C142+D143+D144+D145+D146+D147+D148+D149+D150+D151+(D152/2)</f>
        <v>8</v>
      </c>
      <c r="P152" s="474">
        <f t="shared" si="8"/>
        <v>0.1391731009600653</v>
      </c>
      <c r="Q152" s="474">
        <f t="shared" si="9"/>
        <v>49.909537304787719</v>
      </c>
      <c r="R152" s="474">
        <f t="shared" si="15"/>
        <v>236.70458192899355</v>
      </c>
      <c r="S152" s="474">
        <f t="shared" si="30"/>
        <v>286.61411923378125</v>
      </c>
      <c r="T152" s="476">
        <f t="shared" si="10"/>
        <v>286.61411923378125</v>
      </c>
      <c r="V152" s="1635">
        <f t="shared" si="11"/>
        <v>0</v>
      </c>
      <c r="W152" s="437"/>
      <c r="X152" s="437"/>
      <c r="Y152" s="437"/>
      <c r="Z152" s="437"/>
      <c r="AA152" s="437"/>
      <c r="AB152" s="295"/>
      <c r="AC152" s="1636" t="b">
        <f>IF(AD152=11,AF152)</f>
        <v>0</v>
      </c>
      <c r="AD152" s="1636">
        <f t="shared" si="16"/>
        <v>1</v>
      </c>
      <c r="AE152" s="1636">
        <f>IF(V152=0,0,11)</f>
        <v>0</v>
      </c>
      <c r="AF152" s="1637">
        <f>SUM(V152:V161)/($B$139-B151)</f>
        <v>0</v>
      </c>
      <c r="AG152" s="1638"/>
      <c r="AH152" s="450">
        <f>SUM(D143:D152)+$C$142</f>
        <v>8</v>
      </c>
      <c r="AI152" s="1639" t="b">
        <f t="shared" si="12"/>
        <v>0</v>
      </c>
      <c r="AJ152" s="718">
        <f t="shared" si="17"/>
        <v>58.255548399999995</v>
      </c>
      <c r="AK152" s="1639">
        <f t="shared" si="31"/>
        <v>0.85040317843243296</v>
      </c>
      <c r="AL152" s="1639">
        <f t="shared" si="18"/>
        <v>258.79546062341859</v>
      </c>
      <c r="AM152" s="1640">
        <f t="shared" si="19"/>
        <v>58.018549700000001</v>
      </c>
      <c r="AN152" s="1639">
        <f t="shared" si="20"/>
        <v>0.84821961484069075</v>
      </c>
      <c r="AO152" s="1641">
        <f t="shared" si="21"/>
        <v>236.70458982725057</v>
      </c>
      <c r="AP152" s="287">
        <f t="shared" si="13"/>
        <v>-32.247464202682821</v>
      </c>
      <c r="AQ152" s="444">
        <f t="shared" si="32"/>
        <v>-364.5</v>
      </c>
      <c r="AR152" s="444">
        <f t="shared" si="14"/>
        <v>-308.39999999999998</v>
      </c>
      <c r="AS152" s="445">
        <f t="shared" si="22"/>
        <v>495.50005045066916</v>
      </c>
      <c r="AT152" s="445">
        <f t="shared" si="23"/>
        <v>-236.70458982725057</v>
      </c>
      <c r="AU152" s="445">
        <f t="shared" si="24"/>
        <v>204.45712562456777</v>
      </c>
      <c r="AV152" s="447"/>
      <c r="AW152" s="447">
        <f t="shared" si="25"/>
        <v>-181.1455678657004</v>
      </c>
      <c r="AX152" s="1597">
        <f t="shared" si="26"/>
        <v>-127.25443213429956</v>
      </c>
      <c r="AY152" s="1597">
        <f t="shared" si="27"/>
        <v>-64.036896605718383</v>
      </c>
      <c r="AZ152" s="1642">
        <f t="shared" si="28"/>
        <v>-91.155960585779795</v>
      </c>
      <c r="BA152" s="274">
        <f t="shared" si="33"/>
        <v>64.036896605718383</v>
      </c>
      <c r="BB152" s="275">
        <f t="shared" si="33"/>
        <v>91.155960585779795</v>
      </c>
      <c r="BD152" s="136"/>
      <c r="BF152" s="35"/>
      <c r="EK152" s="78"/>
      <c r="EL152" s="78"/>
    </row>
    <row r="153" spans="2:142" ht="21" thickBot="1" x14ac:dyDescent="0.25">
      <c r="B153" s="277">
        <v>12</v>
      </c>
      <c r="C153" s="278"/>
      <c r="D153" s="25">
        <v>0</v>
      </c>
      <c r="E153" s="257" t="s">
        <v>130</v>
      </c>
      <c r="F153" s="258"/>
      <c r="G153" s="258"/>
      <c r="H153" s="1632">
        <v>279.06049999999999</v>
      </c>
      <c r="I153" s="1633">
        <v>79.962900599999998</v>
      </c>
      <c r="J153" s="474">
        <f t="shared" si="29"/>
        <v>79.962900599999998</v>
      </c>
      <c r="K153" s="474">
        <f t="shared" si="4"/>
        <v>39.981450299999999</v>
      </c>
      <c r="L153" s="474">
        <f t="shared" si="5"/>
        <v>0.64253956655634092</v>
      </c>
      <c r="M153" s="474">
        <f t="shared" si="6"/>
        <v>179.30741271299578</v>
      </c>
      <c r="N153" s="474">
        <f t="shared" si="7"/>
        <v>358.61482542599157</v>
      </c>
      <c r="O153" s="474">
        <f>+C142+D143+D144+D145+D146+D147+D148+D149+D150+D151+D152+(D153/2)</f>
        <v>8</v>
      </c>
      <c r="P153" s="474">
        <f t="shared" si="8"/>
        <v>0.1391731009600653</v>
      </c>
      <c r="Q153" s="474">
        <f t="shared" si="9"/>
        <v>49.909537304787719</v>
      </c>
      <c r="R153" s="474">
        <f t="shared" si="15"/>
        <v>286.61411923378125</v>
      </c>
      <c r="S153" s="474">
        <f t="shared" si="30"/>
        <v>336.52365653856896</v>
      </c>
      <c r="T153" s="476">
        <f t="shared" si="10"/>
        <v>336.52365653856896</v>
      </c>
      <c r="V153" s="1635">
        <f t="shared" si="11"/>
        <v>0</v>
      </c>
      <c r="W153" s="437"/>
      <c r="X153" s="437"/>
      <c r="Y153" s="437"/>
      <c r="Z153" s="437"/>
      <c r="AA153" s="437"/>
      <c r="AB153" s="295"/>
      <c r="AC153" s="1636" t="b">
        <f>IF(AD153=12,AF153)</f>
        <v>0</v>
      </c>
      <c r="AD153" s="1636">
        <f t="shared" si="16"/>
        <v>1</v>
      </c>
      <c r="AE153" s="1636">
        <f>IF(V153=0,0,12)</f>
        <v>0</v>
      </c>
      <c r="AF153" s="1637">
        <f>SUM(V153:V161)/($B$139-B152)</f>
        <v>0</v>
      </c>
      <c r="AG153" s="1638"/>
      <c r="AH153" s="450">
        <f>SUM(D143:D153)+$C$142</f>
        <v>8</v>
      </c>
      <c r="AI153" s="1639" t="b">
        <f t="shared" si="12"/>
        <v>0</v>
      </c>
      <c r="AJ153" s="718">
        <f t="shared" si="17"/>
        <v>58.255548399999995</v>
      </c>
      <c r="AK153" s="1639">
        <f t="shared" si="31"/>
        <v>0.85040317843243296</v>
      </c>
      <c r="AL153" s="1639">
        <f t="shared" si="18"/>
        <v>258.79546062341859</v>
      </c>
      <c r="AM153" s="1640">
        <f t="shared" si="19"/>
        <v>58.018549700000001</v>
      </c>
      <c r="AN153" s="1639">
        <f t="shared" si="20"/>
        <v>0.84821961484069075</v>
      </c>
      <c r="AO153" s="1641">
        <f t="shared" si="21"/>
        <v>236.70458982725057</v>
      </c>
      <c r="AP153" s="287">
        <f t="shared" si="13"/>
        <v>-28.504207394976735</v>
      </c>
      <c r="AQ153" s="444">
        <f t="shared" si="32"/>
        <v>-405</v>
      </c>
      <c r="AR153" s="444">
        <f t="shared" si="14"/>
        <v>-348.9</v>
      </c>
      <c r="AS153" s="445">
        <f t="shared" si="22"/>
        <v>495.50005045066916</v>
      </c>
      <c r="AT153" s="445">
        <f t="shared" si="23"/>
        <v>-236.70458982725057</v>
      </c>
      <c r="AU153" s="445">
        <f t="shared" si="24"/>
        <v>208.20038243227384</v>
      </c>
      <c r="AV153" s="447"/>
      <c r="AW153" s="447">
        <f t="shared" si="25"/>
        <v>-202.2983732906757</v>
      </c>
      <c r="AX153" s="1597">
        <f t="shared" si="26"/>
        <v>-146.60162670932428</v>
      </c>
      <c r="AY153" s="1597">
        <f t="shared" si="27"/>
        <v>-57.341044375736786</v>
      </c>
      <c r="AZ153" s="1642">
        <f t="shared" si="28"/>
        <v>-79.125997851306295</v>
      </c>
      <c r="BA153" s="274">
        <f t="shared" si="33"/>
        <v>57.341044375736786</v>
      </c>
      <c r="BB153" s="275">
        <f t="shared" si="33"/>
        <v>79.125997851306295</v>
      </c>
      <c r="BD153" s="136"/>
      <c r="BF153" s="35"/>
      <c r="EK153" s="78"/>
      <c r="EL153" s="78"/>
    </row>
    <row r="154" spans="2:142" ht="21" thickBot="1" x14ac:dyDescent="0.25">
      <c r="B154" s="277">
        <v>13</v>
      </c>
      <c r="C154" s="278"/>
      <c r="D154" s="25">
        <v>0</v>
      </c>
      <c r="E154" s="257" t="s">
        <v>130</v>
      </c>
      <c r="F154" s="258"/>
      <c r="G154" s="258"/>
      <c r="H154" s="1632">
        <v>279.06049999999999</v>
      </c>
      <c r="I154" s="1633">
        <v>79.962900599999998</v>
      </c>
      <c r="J154" s="474">
        <f t="shared" si="29"/>
        <v>79.962900599999998</v>
      </c>
      <c r="K154" s="474">
        <f t="shared" si="4"/>
        <v>39.981450299999999</v>
      </c>
      <c r="L154" s="474">
        <f t="shared" si="5"/>
        <v>0.64253956655634092</v>
      </c>
      <c r="M154" s="474">
        <f t="shared" si="6"/>
        <v>179.30741271299578</v>
      </c>
      <c r="N154" s="474">
        <f t="shared" si="7"/>
        <v>358.61482542599157</v>
      </c>
      <c r="O154" s="474">
        <f>+C142+D143+D144+D145+D146+D147+D148+D149+D150+D151+D152+D153+(D154/2)</f>
        <v>8</v>
      </c>
      <c r="P154" s="474">
        <f t="shared" si="8"/>
        <v>0.1391731009600653</v>
      </c>
      <c r="Q154" s="474">
        <f t="shared" si="9"/>
        <v>49.909537304787719</v>
      </c>
      <c r="R154" s="474">
        <f t="shared" si="15"/>
        <v>336.52365653856896</v>
      </c>
      <c r="S154" s="474">
        <f t="shared" si="30"/>
        <v>386.43319384335666</v>
      </c>
      <c r="T154" s="476">
        <f t="shared" si="10"/>
        <v>386.43319384335666</v>
      </c>
      <c r="V154" s="1635">
        <f t="shared" si="11"/>
        <v>0</v>
      </c>
      <c r="W154" s="437"/>
      <c r="X154" s="437"/>
      <c r="Y154" s="437"/>
      <c r="Z154" s="437"/>
      <c r="AA154" s="437"/>
      <c r="AB154" s="295"/>
      <c r="AC154" s="1636" t="b">
        <f>IF(AD154=13,AF154)</f>
        <v>0</v>
      </c>
      <c r="AD154" s="1636">
        <f t="shared" si="16"/>
        <v>1</v>
      </c>
      <c r="AE154" s="1636">
        <f>IF(V154=0,0,13)</f>
        <v>0</v>
      </c>
      <c r="AF154" s="1637">
        <f>SUM(V154:V161)/($B$139-B153)</f>
        <v>0</v>
      </c>
      <c r="AG154" s="1638"/>
      <c r="AH154" s="450">
        <f>SUM(D143:D154)+$C$142</f>
        <v>8</v>
      </c>
      <c r="AI154" s="1639" t="b">
        <f t="shared" si="12"/>
        <v>0</v>
      </c>
      <c r="AJ154" s="718">
        <f t="shared" si="17"/>
        <v>58.255548399999995</v>
      </c>
      <c r="AK154" s="1639">
        <f t="shared" si="31"/>
        <v>0.85040317843243296</v>
      </c>
      <c r="AL154" s="1639">
        <f t="shared" si="18"/>
        <v>258.79546062341859</v>
      </c>
      <c r="AM154" s="1640">
        <f t="shared" si="19"/>
        <v>58.018549700000001</v>
      </c>
      <c r="AN154" s="1639">
        <f t="shared" si="20"/>
        <v>0.84821961484069075</v>
      </c>
      <c r="AO154" s="1641">
        <f t="shared" si="21"/>
        <v>236.70458982725057</v>
      </c>
      <c r="AP154" s="287">
        <f t="shared" si="13"/>
        <v>-25.539594145113977</v>
      </c>
      <c r="AQ154" s="444">
        <f t="shared" si="32"/>
        <v>-445.5</v>
      </c>
      <c r="AR154" s="444">
        <f t="shared" si="14"/>
        <v>-389.4</v>
      </c>
      <c r="AS154" s="445">
        <f t="shared" si="22"/>
        <v>495.50005045066916</v>
      </c>
      <c r="AT154" s="445">
        <f t="shared" si="23"/>
        <v>-236.70458982725057</v>
      </c>
      <c r="AU154" s="445">
        <f t="shared" si="24"/>
        <v>211.16499568213661</v>
      </c>
      <c r="AV154" s="447"/>
      <c r="AW154" s="447">
        <f t="shared" si="25"/>
        <v>-223.45117871565105</v>
      </c>
      <c r="AX154" s="1597">
        <f t="shared" si="26"/>
        <v>-165.94882128434895</v>
      </c>
      <c r="AY154" s="1597">
        <f t="shared" si="27"/>
        <v>-51.912905837750714</v>
      </c>
      <c r="AZ154" s="1642">
        <f t="shared" si="28"/>
        <v>-69.901068957420947</v>
      </c>
      <c r="BA154" s="274">
        <f t="shared" si="33"/>
        <v>51.912905837750714</v>
      </c>
      <c r="BB154" s="275">
        <f t="shared" si="33"/>
        <v>69.901068957420947</v>
      </c>
      <c r="BD154" s="136"/>
      <c r="BF154" s="35"/>
      <c r="EK154" s="78"/>
      <c r="EL154" s="78"/>
    </row>
    <row r="155" spans="2:142" ht="21" thickBot="1" x14ac:dyDescent="0.25">
      <c r="B155" s="277">
        <v>14</v>
      </c>
      <c r="C155" s="278"/>
      <c r="D155" s="25">
        <v>0</v>
      </c>
      <c r="E155" s="257" t="s">
        <v>130</v>
      </c>
      <c r="F155" s="258"/>
      <c r="G155" s="258"/>
      <c r="H155" s="1632">
        <v>279.06049999999999</v>
      </c>
      <c r="I155" s="1633">
        <v>79.962900599999998</v>
      </c>
      <c r="J155" s="474">
        <f t="shared" si="29"/>
        <v>79.962900599999998</v>
      </c>
      <c r="K155" s="474">
        <f t="shared" si="4"/>
        <v>39.981450299999999</v>
      </c>
      <c r="L155" s="474">
        <f t="shared" si="5"/>
        <v>0.64253956655634092</v>
      </c>
      <c r="M155" s="474">
        <f t="shared" si="6"/>
        <v>179.30741271299578</v>
      </c>
      <c r="N155" s="474">
        <f t="shared" si="7"/>
        <v>358.61482542599157</v>
      </c>
      <c r="O155" s="474">
        <f>+C142+D143+D144+D145+D146+D147+D148+D149+D150+D151+D152+D153+D154+(D155/2)</f>
        <v>8</v>
      </c>
      <c r="P155" s="474">
        <f t="shared" si="8"/>
        <v>0.1391731009600653</v>
      </c>
      <c r="Q155" s="474">
        <f t="shared" si="9"/>
        <v>49.909537304787719</v>
      </c>
      <c r="R155" s="474">
        <f t="shared" si="15"/>
        <v>386.43319384335666</v>
      </c>
      <c r="S155" s="474">
        <f t="shared" si="30"/>
        <v>436.34273114814437</v>
      </c>
      <c r="T155" s="476">
        <f t="shared" si="10"/>
        <v>436.34273114814437</v>
      </c>
      <c r="V155" s="1635">
        <f t="shared" si="11"/>
        <v>0</v>
      </c>
      <c r="W155" s="437"/>
      <c r="X155" s="437"/>
      <c r="Y155" s="437"/>
      <c r="Z155" s="437"/>
      <c r="AA155" s="437"/>
      <c r="AB155" s="295"/>
      <c r="AC155" s="1636" t="b">
        <f>IF(AD155=14,AF155)</f>
        <v>0</v>
      </c>
      <c r="AD155" s="1636">
        <f t="shared" si="16"/>
        <v>1</v>
      </c>
      <c r="AE155" s="1636">
        <f>IF(V155=0,0,14)</f>
        <v>0</v>
      </c>
      <c r="AF155" s="1637">
        <f>SUM(V155:V161)/($B$139-B154)</f>
        <v>0</v>
      </c>
      <c r="AG155" s="1638"/>
      <c r="AH155" s="450">
        <f>SUM(D143:D155)+$C$142</f>
        <v>8</v>
      </c>
      <c r="AI155" s="1639" t="b">
        <f t="shared" si="12"/>
        <v>0</v>
      </c>
      <c r="AJ155" s="718">
        <f t="shared" si="17"/>
        <v>58.255548399999995</v>
      </c>
      <c r="AK155" s="1639">
        <f t="shared" si="31"/>
        <v>0.85040317843243296</v>
      </c>
      <c r="AL155" s="1639">
        <f t="shared" si="18"/>
        <v>258.79546062341859</v>
      </c>
      <c r="AM155" s="1640">
        <f t="shared" si="19"/>
        <v>58.018549700000001</v>
      </c>
      <c r="AN155" s="1639">
        <f t="shared" si="20"/>
        <v>0.84821961484069075</v>
      </c>
      <c r="AO155" s="1641">
        <f t="shared" si="21"/>
        <v>236.70458982725057</v>
      </c>
      <c r="AP155" s="287">
        <f t="shared" si="13"/>
        <v>-23.13356120052892</v>
      </c>
      <c r="AQ155" s="444">
        <f t="shared" si="32"/>
        <v>-486</v>
      </c>
      <c r="AR155" s="444">
        <f t="shared" si="14"/>
        <v>-429.9</v>
      </c>
      <c r="AS155" s="445">
        <f t="shared" si="22"/>
        <v>495.50005045066916</v>
      </c>
      <c r="AT155" s="445">
        <f t="shared" si="23"/>
        <v>-236.70458982725057</v>
      </c>
      <c r="AU155" s="445">
        <f t="shared" si="24"/>
        <v>213.57102862672164</v>
      </c>
      <c r="AV155" s="447"/>
      <c r="AW155" s="447">
        <f t="shared" si="25"/>
        <v>-244.60398414062638</v>
      </c>
      <c r="AX155" s="1597">
        <f t="shared" si="26"/>
        <v>-185.29601585937365</v>
      </c>
      <c r="AY155" s="1597">
        <f t="shared" si="27"/>
        <v>-47.423593858270891</v>
      </c>
      <c r="AZ155" s="1642">
        <f t="shared" si="28"/>
        <v>-62.602533282763972</v>
      </c>
      <c r="BA155" s="274">
        <f t="shared" si="33"/>
        <v>47.423593858270891</v>
      </c>
      <c r="BB155" s="275">
        <f t="shared" si="33"/>
        <v>62.602533282763972</v>
      </c>
      <c r="BD155" s="136"/>
      <c r="BF155" s="35"/>
      <c r="EK155" s="78"/>
      <c r="EL155" s="78"/>
    </row>
    <row r="156" spans="2:142" ht="21" thickBot="1" x14ac:dyDescent="0.25">
      <c r="B156" s="277">
        <v>15</v>
      </c>
      <c r="C156" s="278"/>
      <c r="D156" s="25">
        <v>0</v>
      </c>
      <c r="E156" s="257" t="s">
        <v>130</v>
      </c>
      <c r="F156" s="258"/>
      <c r="G156" s="258"/>
      <c r="H156" s="1632">
        <v>279.06049999999999</v>
      </c>
      <c r="I156" s="1633">
        <v>79.962900599999998</v>
      </c>
      <c r="J156" s="474">
        <f t="shared" si="29"/>
        <v>79.962900599999998</v>
      </c>
      <c r="K156" s="474">
        <f t="shared" si="4"/>
        <v>39.981450299999999</v>
      </c>
      <c r="L156" s="474">
        <f t="shared" si="5"/>
        <v>0.64253956655634092</v>
      </c>
      <c r="M156" s="474">
        <f t="shared" si="6"/>
        <v>179.30741271299578</v>
      </c>
      <c r="N156" s="474">
        <f t="shared" si="7"/>
        <v>358.61482542599157</v>
      </c>
      <c r="O156" s="474">
        <f>+C142+D143+D144+D145+D146+D147+D148+D149+D150+D151+D152+D153+D154+D155+(D156/2)</f>
        <v>8</v>
      </c>
      <c r="P156" s="474">
        <f t="shared" si="8"/>
        <v>0.1391731009600653</v>
      </c>
      <c r="Q156" s="474">
        <f t="shared" si="9"/>
        <v>49.909537304787719</v>
      </c>
      <c r="R156" s="474">
        <f t="shared" si="15"/>
        <v>436.34273114814437</v>
      </c>
      <c r="S156" s="474">
        <f t="shared" si="30"/>
        <v>486.25226845293207</v>
      </c>
      <c r="T156" s="476">
        <f t="shared" si="10"/>
        <v>486.25226845293207</v>
      </c>
      <c r="V156" s="1635">
        <f t="shared" si="11"/>
        <v>0</v>
      </c>
      <c r="W156" s="437"/>
      <c r="X156" s="437"/>
      <c r="Y156" s="437"/>
      <c r="Z156" s="437"/>
      <c r="AA156" s="437"/>
      <c r="AB156" s="295"/>
      <c r="AC156" s="1636" t="b">
        <f>IF(AD156=15,AF156)</f>
        <v>0</v>
      </c>
      <c r="AD156" s="1636">
        <f t="shared" si="16"/>
        <v>1</v>
      </c>
      <c r="AE156" s="1636">
        <f>IF(V156=0,0,15)</f>
        <v>0</v>
      </c>
      <c r="AF156" s="1637">
        <f>SUM(V156:V161)/($B$139-B155)</f>
        <v>0</v>
      </c>
      <c r="AG156" s="1638"/>
      <c r="AH156" s="450">
        <f>SUM(D143:D156)+$C$142</f>
        <v>8</v>
      </c>
      <c r="AI156" s="1639" t="b">
        <f t="shared" si="12"/>
        <v>0</v>
      </c>
      <c r="AJ156" s="718">
        <f t="shared" si="17"/>
        <v>58.255548399999995</v>
      </c>
      <c r="AK156" s="1639">
        <f t="shared" si="31"/>
        <v>0.85040317843243296</v>
      </c>
      <c r="AL156" s="1639">
        <f t="shared" si="18"/>
        <v>258.79546062341859</v>
      </c>
      <c r="AM156" s="1640">
        <f t="shared" si="19"/>
        <v>58.018549700000001</v>
      </c>
      <c r="AN156" s="1639">
        <f t="shared" si="20"/>
        <v>0.84821961484069075</v>
      </c>
      <c r="AO156" s="1641">
        <f t="shared" si="21"/>
        <v>236.70458982725057</v>
      </c>
      <c r="AP156" s="287">
        <f t="shared" si="13"/>
        <v>-21.141832398187461</v>
      </c>
      <c r="AQ156" s="444">
        <f t="shared" si="32"/>
        <v>-526.5</v>
      </c>
      <c r="AR156" s="444">
        <f t="shared" si="14"/>
        <v>-470.4</v>
      </c>
      <c r="AS156" s="445">
        <f t="shared" si="22"/>
        <v>495.50005045066916</v>
      </c>
      <c r="AT156" s="445">
        <f t="shared" si="23"/>
        <v>-236.70458982725057</v>
      </c>
      <c r="AU156" s="445">
        <f t="shared" si="24"/>
        <v>215.56275742906311</v>
      </c>
      <c r="AV156" s="447"/>
      <c r="AW156" s="447">
        <f t="shared" si="25"/>
        <v>-265.75678956560159</v>
      </c>
      <c r="AX156" s="1597">
        <f t="shared" si="26"/>
        <v>-204.64321043439833</v>
      </c>
      <c r="AY156" s="1597">
        <f t="shared" si="27"/>
        <v>-43.648931863456909</v>
      </c>
      <c r="AZ156" s="1642">
        <f t="shared" si="28"/>
        <v>-56.684020815430699</v>
      </c>
      <c r="BA156" s="274">
        <f t="shared" si="33"/>
        <v>43.648931863456909</v>
      </c>
      <c r="BB156" s="275">
        <f t="shared" si="33"/>
        <v>56.684020815430699</v>
      </c>
      <c r="BD156" s="136"/>
      <c r="BF156" s="35"/>
      <c r="EK156" s="78"/>
      <c r="EL156" s="78"/>
    </row>
    <row r="157" spans="2:142" ht="21" thickBot="1" x14ac:dyDescent="0.25">
      <c r="B157" s="277">
        <v>16</v>
      </c>
      <c r="C157" s="278"/>
      <c r="D157" s="25">
        <v>0</v>
      </c>
      <c r="E157" s="257" t="s">
        <v>130</v>
      </c>
      <c r="F157" s="258"/>
      <c r="G157" s="258"/>
      <c r="H157" s="1632">
        <v>279.06049999999999</v>
      </c>
      <c r="I157" s="1633">
        <v>79.962900599999998</v>
      </c>
      <c r="J157" s="474">
        <f t="shared" si="29"/>
        <v>79.962900599999998</v>
      </c>
      <c r="K157" s="474">
        <f t="shared" si="4"/>
        <v>39.981450299999999</v>
      </c>
      <c r="L157" s="474">
        <f t="shared" si="5"/>
        <v>0.64253956655634092</v>
      </c>
      <c r="M157" s="474">
        <f t="shared" si="6"/>
        <v>179.30741271299578</v>
      </c>
      <c r="N157" s="474">
        <f t="shared" si="7"/>
        <v>358.61482542599157</v>
      </c>
      <c r="O157" s="474">
        <f>+C142+D143+D144+D145+D146+D147+D148+D149+D150+D151+D152+D153+D154+D155+D156+(D157/2)</f>
        <v>8</v>
      </c>
      <c r="P157" s="474">
        <f t="shared" si="8"/>
        <v>0.1391731009600653</v>
      </c>
      <c r="Q157" s="474">
        <f t="shared" si="9"/>
        <v>49.909537304787719</v>
      </c>
      <c r="R157" s="474">
        <f t="shared" si="15"/>
        <v>486.25226845293207</v>
      </c>
      <c r="S157" s="474">
        <f t="shared" si="30"/>
        <v>536.16180575771978</v>
      </c>
      <c r="T157" s="476">
        <f t="shared" si="10"/>
        <v>536.16180575771978</v>
      </c>
      <c r="V157" s="1635">
        <f t="shared" si="11"/>
        <v>0</v>
      </c>
      <c r="W157" s="437"/>
      <c r="X157" s="437"/>
      <c r="Y157" s="437"/>
      <c r="Z157" s="437"/>
      <c r="AA157" s="437"/>
      <c r="AB157" s="295"/>
      <c r="AC157" s="1636" t="b">
        <f>IF(AD157=16,AF157)</f>
        <v>0</v>
      </c>
      <c r="AD157" s="1636">
        <f t="shared" si="16"/>
        <v>1</v>
      </c>
      <c r="AE157" s="1636">
        <f>IF(V157=0,0,16)</f>
        <v>0</v>
      </c>
      <c r="AF157" s="1637">
        <f>SUM(V157:V168)/($B$139-B156)</f>
        <v>0</v>
      </c>
      <c r="AG157" s="1638"/>
      <c r="AH157" s="450">
        <f>SUM(D143:D157)+$C$142</f>
        <v>8</v>
      </c>
      <c r="AI157" s="1639" t="b">
        <f t="shared" si="12"/>
        <v>0</v>
      </c>
      <c r="AJ157" s="718">
        <f t="shared" si="17"/>
        <v>58.255548399999995</v>
      </c>
      <c r="AK157" s="1639">
        <f t="shared" si="31"/>
        <v>0.85040317843243296</v>
      </c>
      <c r="AL157" s="1639">
        <f t="shared" si="18"/>
        <v>258.79546062341859</v>
      </c>
      <c r="AM157" s="1640">
        <f t="shared" si="19"/>
        <v>58.018549700000001</v>
      </c>
      <c r="AN157" s="1639">
        <f t="shared" si="20"/>
        <v>0.84821961484069075</v>
      </c>
      <c r="AO157" s="1641">
        <f t="shared" si="21"/>
        <v>236.70458982725057</v>
      </c>
      <c r="AP157" s="287">
        <f t="shared" si="13"/>
        <v>-19.465879741842596</v>
      </c>
      <c r="AQ157" s="444">
        <f t="shared" si="32"/>
        <v>-567</v>
      </c>
      <c r="AR157" s="444">
        <f t="shared" si="14"/>
        <v>-510.90000000000003</v>
      </c>
      <c r="AS157" s="445">
        <f t="shared" si="22"/>
        <v>495.50005045066916</v>
      </c>
      <c r="AT157" s="445">
        <f t="shared" si="23"/>
        <v>-236.70458982725057</v>
      </c>
      <c r="AU157" s="445">
        <f t="shared" si="24"/>
        <v>217.23871008540797</v>
      </c>
      <c r="AV157" s="447"/>
      <c r="AW157" s="447">
        <f t="shared" si="25"/>
        <v>-286.90959499057692</v>
      </c>
      <c r="AX157" s="1597">
        <f t="shared" si="26"/>
        <v>-223.99040500942306</v>
      </c>
      <c r="AY157" s="1597">
        <f t="shared" si="27"/>
        <v>-40.430854187295424</v>
      </c>
      <c r="AZ157" s="1642">
        <f t="shared" si="28"/>
        <v>-51.787932610381233</v>
      </c>
      <c r="BA157" s="274">
        <f t="shared" si="33"/>
        <v>40.430854187295424</v>
      </c>
      <c r="BB157" s="275">
        <f t="shared" si="33"/>
        <v>51.787932610381233</v>
      </c>
      <c r="BD157" s="136"/>
      <c r="BF157" s="35"/>
      <c r="EK157" s="78"/>
      <c r="EL157" s="78"/>
    </row>
    <row r="158" spans="2:142" ht="21" thickBot="1" x14ac:dyDescent="0.25">
      <c r="B158" s="277">
        <v>17</v>
      </c>
      <c r="C158" s="278"/>
      <c r="D158" s="25">
        <v>0</v>
      </c>
      <c r="E158" s="257" t="s">
        <v>130</v>
      </c>
      <c r="F158" s="258"/>
      <c r="G158" s="258"/>
      <c r="H158" s="1632">
        <v>279.06049999999999</v>
      </c>
      <c r="I158" s="1633">
        <v>79.962900599999998</v>
      </c>
      <c r="J158" s="474">
        <f t="shared" si="29"/>
        <v>79.962900599999998</v>
      </c>
      <c r="K158" s="474">
        <f t="shared" si="4"/>
        <v>39.981450299999999</v>
      </c>
      <c r="L158" s="474">
        <f t="shared" si="5"/>
        <v>0.64253956655634092</v>
      </c>
      <c r="M158" s="474">
        <f t="shared" si="6"/>
        <v>179.30741271299578</v>
      </c>
      <c r="N158" s="474">
        <f t="shared" si="7"/>
        <v>358.61482542599157</v>
      </c>
      <c r="O158" s="474">
        <f>+C142+D143+D144+D145+D146+D147+D148+D149+D150+D151+D152+D153+D154+D155+D156+D157+(D158/2)</f>
        <v>8</v>
      </c>
      <c r="P158" s="474">
        <f t="shared" si="8"/>
        <v>0.1391731009600653</v>
      </c>
      <c r="Q158" s="474">
        <f t="shared" si="9"/>
        <v>49.909537304787719</v>
      </c>
      <c r="R158" s="474">
        <f t="shared" si="15"/>
        <v>536.16180575771978</v>
      </c>
      <c r="S158" s="474">
        <f t="shared" si="30"/>
        <v>586.07134306250748</v>
      </c>
      <c r="T158" s="476">
        <f t="shared" si="10"/>
        <v>586.07134306250748</v>
      </c>
      <c r="V158" s="1635">
        <f t="shared" si="11"/>
        <v>0</v>
      </c>
      <c r="W158" s="437"/>
      <c r="X158" s="437"/>
      <c r="Y158" s="437"/>
      <c r="Z158" s="437"/>
      <c r="AA158" s="437"/>
      <c r="AB158" s="295"/>
      <c r="AC158" s="1636" t="b">
        <f>IF(AD158=17,AF158)</f>
        <v>0</v>
      </c>
      <c r="AD158" s="1636">
        <f t="shared" si="16"/>
        <v>1</v>
      </c>
      <c r="AE158" s="1636">
        <f>IF(V158=0,0,17)</f>
        <v>0</v>
      </c>
      <c r="AF158" s="1637">
        <f>SUM(V158:V168)/($B$139-B157)</f>
        <v>0</v>
      </c>
      <c r="AG158" s="1638"/>
      <c r="AH158" s="450">
        <f>SUM(D143:D158)+$C$142</f>
        <v>8</v>
      </c>
      <c r="AI158" s="1639" t="b">
        <f t="shared" si="12"/>
        <v>0</v>
      </c>
      <c r="AJ158" s="718">
        <f t="shared" si="17"/>
        <v>58.255548399999995</v>
      </c>
      <c r="AK158" s="1639">
        <f t="shared" si="31"/>
        <v>0.85040317843243296</v>
      </c>
      <c r="AL158" s="1639">
        <f t="shared" si="18"/>
        <v>258.79546062341859</v>
      </c>
      <c r="AM158" s="1640">
        <f t="shared" si="19"/>
        <v>58.018549700000001</v>
      </c>
      <c r="AN158" s="1639">
        <f t="shared" si="20"/>
        <v>0.84821961484069075</v>
      </c>
      <c r="AO158" s="1641">
        <f t="shared" si="21"/>
        <v>236.70458982725057</v>
      </c>
      <c r="AP158" s="287">
        <f t="shared" si="13"/>
        <v>-18.036122524677875</v>
      </c>
      <c r="AQ158" s="444">
        <f t="shared" si="32"/>
        <v>-607.5</v>
      </c>
      <c r="AR158" s="444">
        <f t="shared" si="14"/>
        <v>-551.40000000000009</v>
      </c>
      <c r="AS158" s="445">
        <f t="shared" si="22"/>
        <v>495.50005045066916</v>
      </c>
      <c r="AT158" s="445">
        <f t="shared" si="23"/>
        <v>-236.70458982725057</v>
      </c>
      <c r="AU158" s="445">
        <f t="shared" si="24"/>
        <v>218.66846730257271</v>
      </c>
      <c r="AV158" s="447"/>
      <c r="AW158" s="447">
        <f t="shared" si="25"/>
        <v>-308.0624004155523</v>
      </c>
      <c r="AX158" s="1597">
        <f t="shared" si="26"/>
        <v>-243.33759958444779</v>
      </c>
      <c r="AY158" s="1597">
        <f t="shared" si="27"/>
        <v>-37.654708865322412</v>
      </c>
      <c r="AZ158" s="1642">
        <f t="shared" si="28"/>
        <v>-47.670397093624409</v>
      </c>
      <c r="BA158" s="274">
        <f t="shared" si="33"/>
        <v>37.654708865322412</v>
      </c>
      <c r="BB158" s="275">
        <f t="shared" si="33"/>
        <v>47.670397093624409</v>
      </c>
      <c r="BD158" s="136"/>
      <c r="BF158" s="35"/>
      <c r="EK158" s="78"/>
      <c r="EL158" s="78"/>
    </row>
    <row r="159" spans="2:142" ht="21" thickBot="1" x14ac:dyDescent="0.25">
      <c r="B159" s="277">
        <v>18</v>
      </c>
      <c r="C159" s="278"/>
      <c r="D159" s="25">
        <v>0</v>
      </c>
      <c r="E159" s="257" t="s">
        <v>130</v>
      </c>
      <c r="F159" s="258"/>
      <c r="G159" s="258"/>
      <c r="H159" s="1632">
        <v>279.06049999999999</v>
      </c>
      <c r="I159" s="1633">
        <v>79.962900599999998</v>
      </c>
      <c r="J159" s="474">
        <f t="shared" si="29"/>
        <v>79.962900599999998</v>
      </c>
      <c r="K159" s="474">
        <f t="shared" si="4"/>
        <v>39.981450299999999</v>
      </c>
      <c r="L159" s="474">
        <f t="shared" si="5"/>
        <v>0.64253956655634092</v>
      </c>
      <c r="M159" s="474">
        <f t="shared" si="6"/>
        <v>179.30741271299578</v>
      </c>
      <c r="N159" s="474">
        <f t="shared" si="7"/>
        <v>358.61482542599157</v>
      </c>
      <c r="O159" s="474">
        <f>+C142+D143+D144+D145+D146+D147+D148+D149+D150+D151+D152+D153+D154+D155+D156+D157+D158+(D159/2)</f>
        <v>8</v>
      </c>
      <c r="P159" s="474">
        <f t="shared" si="8"/>
        <v>0.1391731009600653</v>
      </c>
      <c r="Q159" s="474">
        <f t="shared" si="9"/>
        <v>49.909537304787719</v>
      </c>
      <c r="R159" s="474">
        <f t="shared" si="15"/>
        <v>586.07134306250748</v>
      </c>
      <c r="S159" s="474">
        <f t="shared" si="30"/>
        <v>635.98088036729519</v>
      </c>
      <c r="T159" s="476">
        <f t="shared" si="10"/>
        <v>635.98088036729519</v>
      </c>
      <c r="V159" s="1635">
        <f t="shared" si="11"/>
        <v>0</v>
      </c>
      <c r="W159" s="437"/>
      <c r="X159" s="437"/>
      <c r="Y159" s="437"/>
      <c r="Z159" s="437"/>
      <c r="AA159" s="437"/>
      <c r="AB159" s="295"/>
      <c r="AC159" s="1636" t="b">
        <f>IF(AD159=18,AF159)</f>
        <v>0</v>
      </c>
      <c r="AD159" s="1636">
        <f t="shared" si="16"/>
        <v>1</v>
      </c>
      <c r="AE159" s="1636">
        <f>IF(V159=0,0,18)</f>
        <v>0</v>
      </c>
      <c r="AF159" s="1637">
        <f>SUM(V159:V168)/($B$139-B158)</f>
        <v>0</v>
      </c>
      <c r="AG159" s="1638"/>
      <c r="AH159" s="450">
        <f>SUM(D143:D159)+$C$142</f>
        <v>8</v>
      </c>
      <c r="AI159" s="1639" t="b">
        <f t="shared" si="12"/>
        <v>0</v>
      </c>
      <c r="AJ159" s="718">
        <f t="shared" si="17"/>
        <v>58.255548399999995</v>
      </c>
      <c r="AK159" s="1639">
        <f t="shared" si="31"/>
        <v>0.85040317843243296</v>
      </c>
      <c r="AL159" s="1639">
        <f t="shared" si="18"/>
        <v>258.79546062341859</v>
      </c>
      <c r="AM159" s="1640">
        <f t="shared" si="19"/>
        <v>58.018549700000001</v>
      </c>
      <c r="AN159" s="1639">
        <f t="shared" si="20"/>
        <v>0.84821961484069075</v>
      </c>
      <c r="AO159" s="1641">
        <f t="shared" si="21"/>
        <v>236.70458982725057</v>
      </c>
      <c r="AP159" s="287">
        <f t="shared" si="13"/>
        <v>-16.802023923141377</v>
      </c>
      <c r="AQ159" s="444">
        <f t="shared" si="32"/>
        <v>-648</v>
      </c>
      <c r="AR159" s="444">
        <f t="shared" si="14"/>
        <v>-591.90000000000009</v>
      </c>
      <c r="AS159" s="445">
        <f t="shared" si="22"/>
        <v>495.50005045066916</v>
      </c>
      <c r="AT159" s="445">
        <f t="shared" si="23"/>
        <v>-236.70458982725057</v>
      </c>
      <c r="AU159" s="445">
        <f t="shared" si="24"/>
        <v>219.9025659041092</v>
      </c>
      <c r="AV159" s="447"/>
      <c r="AW159" s="447">
        <f t="shared" si="25"/>
        <v>-329.21520584052763</v>
      </c>
      <c r="AX159" s="1597">
        <f t="shared" si="26"/>
        <v>-262.68479415947246</v>
      </c>
      <c r="AY159" s="1597">
        <f t="shared" si="27"/>
        <v>-35.235310502696095</v>
      </c>
      <c r="AZ159" s="1642">
        <f t="shared" si="28"/>
        <v>-44.15938896317612</v>
      </c>
      <c r="BA159" s="274">
        <f t="shared" si="33"/>
        <v>35.235310502696095</v>
      </c>
      <c r="BB159" s="275">
        <f t="shared" si="33"/>
        <v>44.15938896317612</v>
      </c>
      <c r="BD159" s="136"/>
      <c r="BF159" s="35"/>
      <c r="EK159" s="78"/>
      <c r="EL159" s="78"/>
    </row>
    <row r="160" spans="2:142" ht="21" thickBot="1" x14ac:dyDescent="0.25">
      <c r="B160" s="277">
        <v>19</v>
      </c>
      <c r="C160" s="278"/>
      <c r="D160" s="25">
        <v>0</v>
      </c>
      <c r="E160" s="257" t="s">
        <v>130</v>
      </c>
      <c r="F160" s="258"/>
      <c r="G160" s="258"/>
      <c r="H160" s="1632">
        <v>279.06049999999999</v>
      </c>
      <c r="I160" s="1633">
        <v>79.962900599999998</v>
      </c>
      <c r="J160" s="474">
        <f t="shared" si="29"/>
        <v>79.962900599999998</v>
      </c>
      <c r="K160" s="474">
        <f t="shared" si="4"/>
        <v>39.981450299999999</v>
      </c>
      <c r="L160" s="474">
        <f t="shared" si="5"/>
        <v>0.64253956655634092</v>
      </c>
      <c r="M160" s="474">
        <f t="shared" si="6"/>
        <v>179.30741271299578</v>
      </c>
      <c r="N160" s="474">
        <f t="shared" si="7"/>
        <v>358.61482542599157</v>
      </c>
      <c r="O160" s="474">
        <f>+C142+D143+D144+D145+D146+D147+D148+D149+D150+D151+D152+D153+D154+D155+D156+D157+D158+D159+(D160/2)</f>
        <v>8</v>
      </c>
      <c r="P160" s="474">
        <f t="shared" si="8"/>
        <v>0.1391731009600653</v>
      </c>
      <c r="Q160" s="474">
        <f t="shared" si="9"/>
        <v>49.909537304787719</v>
      </c>
      <c r="R160" s="474">
        <f t="shared" si="15"/>
        <v>635.98088036729519</v>
      </c>
      <c r="S160" s="474">
        <f t="shared" si="30"/>
        <v>685.89041767208289</v>
      </c>
      <c r="T160" s="476">
        <f t="shared" si="10"/>
        <v>685.89041767208289</v>
      </c>
      <c r="V160" s="1635">
        <f t="shared" si="11"/>
        <v>0</v>
      </c>
      <c r="W160" s="437"/>
      <c r="X160" s="437"/>
      <c r="Y160" s="437"/>
      <c r="Z160" s="437"/>
      <c r="AA160" s="437"/>
      <c r="AB160" s="258"/>
      <c r="AC160" s="1636" t="b">
        <f>IF(AD160=19,AF160)</f>
        <v>0</v>
      </c>
      <c r="AD160" s="1636">
        <f t="shared" si="16"/>
        <v>1</v>
      </c>
      <c r="AE160" s="1636">
        <f>IF(V160=0,0,19)</f>
        <v>0</v>
      </c>
      <c r="AF160" s="1637">
        <f>SUM(V160:V161)/($B$139-B159)</f>
        <v>0</v>
      </c>
      <c r="AG160" s="1638"/>
      <c r="AH160" s="450">
        <f>SUM(D143:D160)+$C$142</f>
        <v>8</v>
      </c>
      <c r="AI160" s="1639" t="b">
        <f t="shared" si="12"/>
        <v>0</v>
      </c>
      <c r="AJ160" s="718">
        <f t="shared" si="17"/>
        <v>58.255548399999995</v>
      </c>
      <c r="AK160" s="1639">
        <f t="shared" si="31"/>
        <v>0.85040317843243296</v>
      </c>
      <c r="AL160" s="1639">
        <f t="shared" si="18"/>
        <v>258.79546062341859</v>
      </c>
      <c r="AM160" s="1640">
        <f t="shared" si="19"/>
        <v>58.018549700000001</v>
      </c>
      <c r="AN160" s="1639">
        <f t="shared" si="20"/>
        <v>0.84821961484069075</v>
      </c>
      <c r="AO160" s="1641">
        <f t="shared" si="21"/>
        <v>236.70458982725057</v>
      </c>
      <c r="AP160" s="287">
        <f t="shared" si="13"/>
        <v>-15.725992979296933</v>
      </c>
      <c r="AQ160" s="444">
        <f t="shared" si="32"/>
        <v>-688.5</v>
      </c>
      <c r="AR160" s="444">
        <f t="shared" si="14"/>
        <v>-632.40000000000009</v>
      </c>
      <c r="AS160" s="445">
        <f t="shared" si="22"/>
        <v>495.50005045066916</v>
      </c>
      <c r="AT160" s="445">
        <f t="shared" si="23"/>
        <v>-236.70458982725057</v>
      </c>
      <c r="AU160" s="445">
        <f t="shared" si="24"/>
        <v>220.97859684795364</v>
      </c>
      <c r="AV160" s="447"/>
      <c r="AW160" s="447">
        <f t="shared" si="25"/>
        <v>-350.36801126550284</v>
      </c>
      <c r="AX160" s="1597">
        <f t="shared" si="26"/>
        <v>-282.03198873449713</v>
      </c>
      <c r="AY160" s="1597">
        <f t="shared" si="27"/>
        <v>-33.108045332396856</v>
      </c>
      <c r="AZ160" s="1642">
        <f t="shared" si="28"/>
        <v>-41.130086172317696</v>
      </c>
      <c r="BA160" s="274">
        <f t="shared" ref="BA160:BB161" si="34">ABS(AY160)</f>
        <v>33.108045332396856</v>
      </c>
      <c r="BB160" s="275">
        <f t="shared" si="34"/>
        <v>41.130086172317696</v>
      </c>
      <c r="BD160" s="136"/>
      <c r="BF160" s="35"/>
      <c r="EK160" s="78"/>
      <c r="EL160" s="78"/>
    </row>
    <row r="161" spans="2:142" ht="21" thickBot="1" x14ac:dyDescent="0.25">
      <c r="B161" s="277">
        <v>20</v>
      </c>
      <c r="C161" s="278"/>
      <c r="D161" s="25">
        <v>0</v>
      </c>
      <c r="E161" s="257" t="s">
        <v>130</v>
      </c>
      <c r="F161" s="258"/>
      <c r="G161" s="258"/>
      <c r="H161" s="1632">
        <v>279.06049999999999</v>
      </c>
      <c r="I161" s="1633">
        <v>79.962900599999998</v>
      </c>
      <c r="J161" s="474">
        <f t="shared" si="29"/>
        <v>79.962900599999998</v>
      </c>
      <c r="K161" s="474">
        <f t="shared" si="4"/>
        <v>39.981450299999999</v>
      </c>
      <c r="L161" s="474">
        <f t="shared" si="5"/>
        <v>0.64253956655634092</v>
      </c>
      <c r="M161" s="474">
        <f t="shared" si="6"/>
        <v>179.30741271299578</v>
      </c>
      <c r="N161" s="474">
        <f t="shared" si="7"/>
        <v>358.61482542599157</v>
      </c>
      <c r="O161" s="64">
        <f>+C142+D143+D144+D145+D146+D147+D148+D149+D150+D151+D152+D153+D154+D155+D156+D157+D158+D159+D160+(D161/2)</f>
        <v>8</v>
      </c>
      <c r="P161" s="474">
        <f t="shared" si="8"/>
        <v>0.1391731009600653</v>
      </c>
      <c r="Q161" s="474">
        <f t="shared" si="9"/>
        <v>49.909537304787719</v>
      </c>
      <c r="R161" s="474">
        <f t="shared" si="15"/>
        <v>685.89041767208289</v>
      </c>
      <c r="S161" s="474">
        <f t="shared" si="30"/>
        <v>735.79995497687059</v>
      </c>
      <c r="T161" s="476">
        <f t="shared" si="10"/>
        <v>735.79995497687059</v>
      </c>
      <c r="V161" s="1635">
        <f t="shared" si="11"/>
        <v>0</v>
      </c>
      <c r="W161" s="437"/>
      <c r="X161" s="437"/>
      <c r="Y161" s="437"/>
      <c r="Z161" s="437"/>
      <c r="AA161" s="437"/>
      <c r="AB161" s="281"/>
      <c r="AC161" s="1636" t="b">
        <f>IF(AD161=20,AF161)</f>
        <v>0</v>
      </c>
      <c r="AD161" s="1636">
        <f t="shared" si="16"/>
        <v>1</v>
      </c>
      <c r="AE161" s="1636">
        <f>IF(V161=0,0,20)</f>
        <v>0</v>
      </c>
      <c r="AF161" s="1637">
        <f t="shared" ref="AF161" si="35">SUM(V161)/($B$139-B160)</f>
        <v>0</v>
      </c>
      <c r="AG161" s="1638"/>
      <c r="AH161" s="450">
        <f>SUM(D143:D161)+$C$142</f>
        <v>8</v>
      </c>
      <c r="AI161" s="1639" t="b">
        <f t="shared" si="12"/>
        <v>0</v>
      </c>
      <c r="AJ161" s="718">
        <f t="shared" si="17"/>
        <v>58.255548399999995</v>
      </c>
      <c r="AK161" s="1639">
        <f t="shared" si="31"/>
        <v>0.85040317843243296</v>
      </c>
      <c r="AL161" s="1639">
        <f t="shared" si="18"/>
        <v>258.79546062341859</v>
      </c>
      <c r="AM161" s="1640">
        <f t="shared" si="19"/>
        <v>58.018549700000001</v>
      </c>
      <c r="AN161" s="1639">
        <f t="shared" si="20"/>
        <v>0.84821961484069075</v>
      </c>
      <c r="AO161" s="1641">
        <f t="shared" si="21"/>
        <v>236.70458982725057</v>
      </c>
      <c r="AP161" s="287">
        <f t="shared" si="13"/>
        <v>-14.779488720623243</v>
      </c>
      <c r="AQ161" s="444">
        <f t="shared" si="32"/>
        <v>-729</v>
      </c>
      <c r="AR161" s="444">
        <f t="shared" si="14"/>
        <v>-672.90000000000009</v>
      </c>
      <c r="AS161" s="445">
        <f t="shared" si="22"/>
        <v>495.50005045066916</v>
      </c>
      <c r="AT161" s="445">
        <f t="shared" si="23"/>
        <v>-236.70458982725057</v>
      </c>
      <c r="AU161" s="445">
        <f t="shared" si="24"/>
        <v>221.92510110662732</v>
      </c>
      <c r="AV161" s="447"/>
      <c r="AW161" s="447">
        <f t="shared" si="25"/>
        <v>-371.52081669047823</v>
      </c>
      <c r="AX161" s="1597">
        <f t="shared" si="26"/>
        <v>-301.37918330952186</v>
      </c>
      <c r="AY161" s="1597">
        <f t="shared" si="27"/>
        <v>-31.223014912954941</v>
      </c>
      <c r="AZ161" s="1642">
        <f t="shared" si="28"/>
        <v>-38.489718741080367</v>
      </c>
      <c r="BA161" s="274">
        <f t="shared" si="34"/>
        <v>31.223014912954941</v>
      </c>
      <c r="BB161" s="275">
        <f t="shared" si="34"/>
        <v>38.489718741080367</v>
      </c>
      <c r="BD161" s="136"/>
      <c r="BF161" s="35"/>
      <c r="EK161" s="78"/>
      <c r="EL161" s="78"/>
    </row>
    <row r="162" spans="2:142" ht="37.5" hidden="1" customHeight="1" x14ac:dyDescent="0.2">
      <c r="B162" s="321"/>
      <c r="D162" s="1599"/>
      <c r="E162" s="543"/>
      <c r="F162" s="543"/>
      <c r="G162" s="543"/>
      <c r="H162" s="66"/>
      <c r="I162" s="66"/>
      <c r="J162" s="543"/>
      <c r="K162" s="543"/>
      <c r="L162" s="543"/>
      <c r="M162" s="543"/>
      <c r="N162" s="543"/>
      <c r="O162" s="543"/>
      <c r="P162" s="543"/>
      <c r="Q162" s="543"/>
      <c r="R162" s="543"/>
      <c r="S162" s="543"/>
      <c r="T162" s="543"/>
      <c r="U162" s="543"/>
      <c r="V162" s="543"/>
      <c r="W162" s="543"/>
      <c r="X162" s="543"/>
      <c r="Y162" s="543"/>
      <c r="Z162" s="543"/>
      <c r="AA162" s="543"/>
      <c r="AB162" s="543"/>
      <c r="AF162" s="437"/>
      <c r="AG162" s="437"/>
      <c r="AH162" s="450"/>
      <c r="AI162" s="717"/>
      <c r="AJ162" s="1600"/>
      <c r="AL162" s="1600"/>
      <c r="AM162" s="1600"/>
      <c r="AN162" s="415"/>
      <c r="AO162" s="1600"/>
      <c r="AP162" s="445"/>
      <c r="AQ162" s="445"/>
      <c r="AR162" s="445"/>
      <c r="AS162" s="445"/>
      <c r="AT162" s="445"/>
      <c r="AU162" s="445"/>
      <c r="AV162" s="445"/>
      <c r="AW162" s="445"/>
      <c r="AX162" s="445"/>
      <c r="AY162" s="1586"/>
      <c r="AZ162" s="1586"/>
      <c r="BA162" s="1586"/>
      <c r="BB162" s="1586"/>
      <c r="BD162" s="136"/>
      <c r="BF162" s="35"/>
      <c r="EK162" s="78"/>
      <c r="EL162" s="78"/>
    </row>
    <row r="163" spans="2:142" ht="22" hidden="1" thickBot="1" x14ac:dyDescent="0.25">
      <c r="B163" s="1923"/>
      <c r="D163" s="1599"/>
      <c r="E163" s="543"/>
      <c r="F163" s="543"/>
      <c r="G163" s="543"/>
      <c r="H163" s="66"/>
      <c r="I163" s="66"/>
      <c r="J163" s="543"/>
      <c r="K163" s="543"/>
      <c r="L163" s="543"/>
      <c r="M163" s="543"/>
      <c r="N163" s="543"/>
      <c r="O163" s="543"/>
      <c r="P163" s="543"/>
      <c r="Q163" s="543"/>
      <c r="R163" s="543"/>
      <c r="S163" s="543"/>
      <c r="T163" s="543"/>
      <c r="U163" s="543"/>
      <c r="V163" s="543"/>
      <c r="W163" s="543"/>
      <c r="X163" s="543"/>
      <c r="Y163" s="543"/>
      <c r="Z163" s="543"/>
      <c r="AA163" s="543"/>
      <c r="AB163" s="543"/>
      <c r="AF163" s="437"/>
      <c r="AG163" s="437"/>
      <c r="AH163" s="554" t="s">
        <v>79</v>
      </c>
      <c r="AI163" s="555">
        <f>MAX(AI142:AI161)</f>
        <v>0</v>
      </c>
      <c r="AJ163" s="1600"/>
      <c r="AL163" s="1600"/>
      <c r="AM163" s="1600"/>
      <c r="AN163" s="415"/>
      <c r="AO163" s="1600"/>
      <c r="AP163" s="445"/>
      <c r="AQ163" s="445"/>
      <c r="AR163" s="445"/>
      <c r="AS163" s="445"/>
      <c r="AT163" s="445"/>
      <c r="AU163" s="445"/>
      <c r="AV163" s="445"/>
      <c r="AW163" s="445"/>
      <c r="AX163" s="445"/>
      <c r="AY163" s="1586"/>
      <c r="AZ163" s="1586"/>
      <c r="BA163" s="1586"/>
      <c r="BB163" s="1586"/>
      <c r="BD163" s="136"/>
      <c r="BF163" s="35"/>
      <c r="EK163" s="78"/>
      <c r="EL163" s="78"/>
    </row>
    <row r="164" spans="2:142" ht="59.25" hidden="1" customHeight="1" thickBot="1" x14ac:dyDescent="0.25">
      <c r="B164" s="1923"/>
      <c r="D164" s="1599"/>
      <c r="E164" s="543"/>
      <c r="F164" s="543"/>
      <c r="G164" s="543"/>
      <c r="H164" s="66"/>
      <c r="I164" s="66"/>
      <c r="J164" s="543"/>
      <c r="K164" s="543"/>
      <c r="L164" s="543"/>
      <c r="M164" s="543"/>
      <c r="N164" s="543"/>
      <c r="O164" s="543"/>
      <c r="P164" s="543"/>
      <c r="Q164" s="543"/>
      <c r="R164" s="543"/>
      <c r="S164" s="543"/>
      <c r="T164" s="543"/>
      <c r="U164" s="543"/>
      <c r="V164" s="543"/>
      <c r="W164" s="543"/>
      <c r="X164" s="543"/>
      <c r="Y164" s="543"/>
      <c r="Z164" s="543"/>
      <c r="AA164" s="543"/>
      <c r="AB164" s="543"/>
      <c r="AF164" s="437"/>
      <c r="AG164" s="437"/>
      <c r="AH164" s="437"/>
      <c r="AI164" s="285"/>
      <c r="AJ164" s="1600"/>
      <c r="AL164" s="1601" t="s">
        <v>190</v>
      </c>
      <c r="AM164" s="1602"/>
      <c r="AN164" s="1602"/>
      <c r="AO164" s="1602"/>
      <c r="AP164" s="1603"/>
      <c r="AQ164" s="445"/>
      <c r="AR164" s="445"/>
      <c r="AS164" s="445"/>
      <c r="AT164" s="445"/>
      <c r="AU164" s="445"/>
      <c r="AV164" s="445"/>
      <c r="AW164" s="445"/>
      <c r="AX164" s="445"/>
      <c r="AY164" s="1586"/>
      <c r="AZ164" s="1586"/>
      <c r="BA164" s="1586"/>
      <c r="BB164" s="1586"/>
      <c r="BD164" s="136"/>
      <c r="BF164" s="35"/>
      <c r="EK164" s="78"/>
      <c r="EL164" s="78"/>
    </row>
    <row r="165" spans="2:142" ht="59.25" hidden="1" customHeight="1" thickBot="1" x14ac:dyDescent="0.25">
      <c r="B165" s="727"/>
      <c r="D165" s="1599"/>
      <c r="E165" s="543"/>
      <c r="F165" s="543"/>
      <c r="G165" s="543"/>
      <c r="H165" s="66"/>
      <c r="I165" s="66"/>
      <c r="J165" s="543"/>
      <c r="K165" s="543"/>
      <c r="L165" s="543"/>
      <c r="M165" s="543"/>
      <c r="N165" s="543"/>
      <c r="O165" s="543"/>
      <c r="P165" s="543"/>
      <c r="Q165" s="543"/>
      <c r="R165" s="543"/>
      <c r="S165" s="543"/>
      <c r="T165" s="543"/>
      <c r="U165" s="543"/>
      <c r="V165" s="543"/>
      <c r="W165" s="543"/>
      <c r="X165" s="543"/>
      <c r="Y165" s="543"/>
      <c r="Z165" s="543"/>
      <c r="AA165" s="543"/>
      <c r="AB165" s="543"/>
      <c r="AF165" s="437"/>
      <c r="AG165" s="437"/>
      <c r="AH165" s="437"/>
      <c r="AI165" s="285"/>
      <c r="AJ165" s="1600"/>
      <c r="AL165" s="1604" t="s">
        <v>175</v>
      </c>
      <c r="AM165" s="1605" t="s">
        <v>176</v>
      </c>
      <c r="AN165" s="1605" t="s">
        <v>177</v>
      </c>
      <c r="AO165" s="1606" t="s">
        <v>181</v>
      </c>
      <c r="AP165" s="1607"/>
      <c r="AQ165" s="445"/>
      <c r="AR165" s="445"/>
      <c r="AS165" s="445"/>
      <c r="AT165" s="445"/>
      <c r="AU165" s="445"/>
      <c r="AV165" s="445"/>
      <c r="AW165" s="445"/>
      <c r="AX165" s="445"/>
      <c r="AY165" s="1586"/>
      <c r="AZ165" s="1586"/>
      <c r="BA165" s="1586"/>
      <c r="BB165" s="1586"/>
      <c r="BD165" s="136"/>
      <c r="BF165" s="35"/>
      <c r="EK165" s="78"/>
      <c r="EL165" s="78"/>
    </row>
    <row r="166" spans="2:142" ht="21" hidden="1" thickBot="1" x14ac:dyDescent="0.25">
      <c r="B166" s="321"/>
      <c r="D166" s="1599"/>
      <c r="E166" s="543"/>
      <c r="F166" s="543"/>
      <c r="G166" s="543"/>
      <c r="H166" s="66"/>
      <c r="I166" s="66"/>
      <c r="J166" s="543"/>
      <c r="K166" s="543"/>
      <c r="L166" s="543"/>
      <c r="M166" s="543"/>
      <c r="N166" s="543"/>
      <c r="O166" s="543"/>
      <c r="P166" s="543"/>
      <c r="Q166" s="543"/>
      <c r="R166" s="543"/>
      <c r="S166" s="543"/>
      <c r="T166" s="543"/>
      <c r="U166" s="543"/>
      <c r="V166" s="543"/>
      <c r="W166" s="543"/>
      <c r="X166" s="543"/>
      <c r="Y166" s="543"/>
      <c r="Z166" s="543"/>
      <c r="AA166" s="543"/>
      <c r="AB166" s="543"/>
      <c r="AF166" s="437"/>
      <c r="AG166" s="437"/>
      <c r="AH166" s="437"/>
      <c r="AI166" s="285"/>
      <c r="AJ166" s="1600"/>
      <c r="AL166" s="1608">
        <v>6.8623010000000004</v>
      </c>
      <c r="AM166" s="1609">
        <f>+(AI163*-1)-AL166</f>
        <v>-6.8623010000000004</v>
      </c>
      <c r="AN166" s="1610">
        <f>COS(AM166*3.14159265358979/180)</f>
        <v>0.99283617366519983</v>
      </c>
      <c r="AO166" s="1611">
        <f>+AN166*378.71303</f>
        <v>375.99999562235405</v>
      </c>
      <c r="AP166" s="1612"/>
      <c r="AQ166" s="445"/>
      <c r="AR166" s="445"/>
      <c r="AS166" s="445"/>
      <c r="AT166" s="445"/>
      <c r="AU166" s="445"/>
      <c r="AV166" s="445"/>
      <c r="AW166" s="445"/>
      <c r="AX166" s="445"/>
      <c r="AY166" s="1586"/>
      <c r="AZ166" s="1586"/>
      <c r="BA166" s="1586"/>
      <c r="BB166" s="1586"/>
      <c r="BD166" s="136"/>
      <c r="BF166" s="35"/>
      <c r="EK166" s="78"/>
      <c r="EL166" s="78"/>
    </row>
    <row r="167" spans="2:142" ht="21" hidden="1" thickBot="1" x14ac:dyDescent="0.25">
      <c r="U167" s="276"/>
      <c r="AH167"/>
      <c r="AI167"/>
      <c r="AL167" s="1601" t="s">
        <v>189</v>
      </c>
      <c r="AM167" s="1613"/>
      <c r="AN167" s="1613"/>
      <c r="AO167" s="1613"/>
      <c r="AP167" s="1614"/>
      <c r="BD167" s="136"/>
      <c r="EK167" s="78"/>
      <c r="EL167" s="78"/>
    </row>
    <row r="168" spans="2:142" ht="210" hidden="1" x14ac:dyDescent="0.2">
      <c r="U168" s="276"/>
      <c r="AH168" s="881"/>
      <c r="AI168" s="882"/>
      <c r="AL168" s="1604"/>
      <c r="AM168" s="1605" t="s">
        <v>194</v>
      </c>
      <c r="AN168" s="1605" t="s">
        <v>193</v>
      </c>
      <c r="AO168" s="1606" t="s">
        <v>206</v>
      </c>
      <c r="AP168" s="1615" t="s">
        <v>191</v>
      </c>
      <c r="AQ168" s="1616" t="s">
        <v>287</v>
      </c>
      <c r="BD168" s="136"/>
      <c r="EK168" s="78"/>
      <c r="EL168" s="78"/>
    </row>
    <row r="169" spans="2:142" ht="21" thickBot="1" x14ac:dyDescent="0.25">
      <c r="U169" s="276"/>
      <c r="AH169" s="881"/>
      <c r="AI169" s="882"/>
      <c r="AL169" s="1617"/>
      <c r="AM169" s="1618">
        <f>+AI163</f>
        <v>0</v>
      </c>
      <c r="AN169" s="1619">
        <f>SIN(AM169*3.14159265358979/180)</f>
        <v>0</v>
      </c>
      <c r="AO169" s="1620">
        <f>+AN169*((+B139*491.5)+119)</f>
        <v>0</v>
      </c>
      <c r="AP169" s="1621">
        <f>+AO166+AO169</f>
        <v>375.99999562235405</v>
      </c>
      <c r="BD169" s="136"/>
      <c r="EK169" s="78"/>
      <c r="EL169" s="78"/>
    </row>
    <row r="170" spans="2:142" ht="68.25" customHeight="1" thickBot="1" x14ac:dyDescent="0.25">
      <c r="B170" s="345" t="s">
        <v>288</v>
      </c>
      <c r="C170" s="454"/>
      <c r="D170" s="455"/>
      <c r="E170" s="37"/>
      <c r="F170" s="37"/>
      <c r="G170" s="37"/>
      <c r="S170" s="728" t="s">
        <v>289</v>
      </c>
      <c r="T170" s="728">
        <f>SUM(V174:V199)/B171</f>
        <v>211.0008</v>
      </c>
      <c r="U170" s="212"/>
      <c r="V170" s="73"/>
      <c r="AB170" s="73"/>
      <c r="AC170" s="73"/>
      <c r="AD170" s="73"/>
      <c r="AE170" s="73"/>
      <c r="AF170" s="73"/>
      <c r="AG170" s="73"/>
      <c r="AH170" s="73"/>
      <c r="AI170" s="73"/>
      <c r="AJ170" s="73"/>
      <c r="AK170" s="73"/>
      <c r="AL170" s="73"/>
      <c r="AM170" s="73"/>
      <c r="AN170" s="73"/>
      <c r="AO170" s="73"/>
      <c r="AP170" s="73"/>
      <c r="AQ170" s="73"/>
      <c r="AR170" s="73"/>
      <c r="AS170" s="73"/>
      <c r="AT170" s="73"/>
      <c r="AU170" s="73"/>
      <c r="AV170" s="73"/>
      <c r="AW170" s="73"/>
      <c r="AX170" s="73"/>
      <c r="AY170" s="73"/>
      <c r="AZ170" s="73"/>
      <c r="BA170" s="73"/>
      <c r="BB170" s="73"/>
      <c r="BC170" s="126"/>
      <c r="BE170" s="136"/>
      <c r="BF170" s="136"/>
      <c r="BG170" s="136"/>
      <c r="BH170" s="136"/>
      <c r="BI170" s="136"/>
      <c r="BJ170" s="136"/>
      <c r="BK170" s="136"/>
      <c r="BL170" s="136"/>
      <c r="BM170" s="402"/>
      <c r="BN170" s="136"/>
      <c r="BO170" s="1091"/>
      <c r="BP170" s="78"/>
      <c r="BQ170" s="199"/>
      <c r="BR170" s="199"/>
      <c r="BS170" s="199"/>
      <c r="BT170" s="199"/>
      <c r="BU170" s="199"/>
      <c r="BV170" s="199"/>
      <c r="BW170" s="199"/>
      <c r="BX170" s="199"/>
      <c r="BY170" s="199"/>
      <c r="BZ170" s="199"/>
      <c r="CA170" s="199"/>
      <c r="CB170" s="199"/>
      <c r="CC170" s="199"/>
      <c r="CD170" s="199"/>
      <c r="CE170" s="199"/>
      <c r="CF170" s="199"/>
      <c r="CG170" s="199"/>
      <c r="CH170" s="199"/>
      <c r="CI170" s="199"/>
      <c r="CJ170" s="199"/>
      <c r="CK170" s="199"/>
      <c r="CL170" s="199"/>
      <c r="CM170" s="199"/>
      <c r="CN170" s="199"/>
      <c r="CO170" s="199"/>
      <c r="CP170" s="199"/>
      <c r="CQ170" s="199"/>
      <c r="CR170" s="199"/>
      <c r="CS170" s="199"/>
      <c r="CT170" s="199"/>
      <c r="CU170" s="199"/>
      <c r="CV170" s="199"/>
      <c r="CW170" s="199"/>
      <c r="CX170" s="199"/>
      <c r="CY170" s="199"/>
      <c r="CZ170" s="199"/>
      <c r="DA170" s="199"/>
      <c r="DB170" s="199"/>
    </row>
    <row r="171" spans="2:142" ht="37.5" customHeight="1" thickBot="1" x14ac:dyDescent="0.3">
      <c r="B171" s="27">
        <v>1</v>
      </c>
      <c r="C171" s="216"/>
      <c r="D171" s="549" t="s">
        <v>290</v>
      </c>
      <c r="E171" s="330"/>
      <c r="F171" s="330"/>
      <c r="G171" s="330"/>
      <c r="H171" s="1622" t="s">
        <v>291</v>
      </c>
      <c r="I171" s="1622" t="s">
        <v>292</v>
      </c>
      <c r="J171" s="1623"/>
      <c r="K171" s="1623"/>
      <c r="L171" s="1623"/>
      <c r="M171" s="1623"/>
      <c r="N171" s="1623"/>
      <c r="O171" s="1623"/>
      <c r="P171" s="1623"/>
      <c r="Q171" s="1623"/>
      <c r="R171" s="1623"/>
      <c r="S171" s="1624"/>
      <c r="T171" s="1625"/>
      <c r="U171" s="401"/>
      <c r="V171" s="1585"/>
      <c r="W171" s="1850" t="s">
        <v>93</v>
      </c>
      <c r="X171" s="1850"/>
      <c r="Y171" s="1850"/>
      <c r="Z171" s="1850"/>
      <c r="AA171" s="1850"/>
      <c r="AB171" s="1585"/>
      <c r="AC171" s="1585"/>
      <c r="AD171" s="1585"/>
      <c r="AE171" s="1585"/>
      <c r="AF171" s="1585"/>
      <c r="AG171" s="1585"/>
      <c r="AH171" s="1585"/>
      <c r="AI171" s="1585"/>
      <c r="AJ171" s="1585"/>
      <c r="AK171" s="1585"/>
      <c r="AL171" s="1585"/>
      <c r="AM171" s="1585"/>
      <c r="AN171" s="1585"/>
      <c r="AO171" s="1585"/>
      <c r="AP171" s="1585"/>
      <c r="AR171" s="1585"/>
      <c r="AS171" s="1585"/>
      <c r="AT171" s="1585"/>
      <c r="AU171" s="1585"/>
      <c r="AV171" s="1585"/>
      <c r="AW171" s="1585"/>
      <c r="AX171" s="1585"/>
      <c r="AY171" s="1585"/>
      <c r="AZ171" s="1585"/>
      <c r="BA171" s="1848" t="s">
        <v>52</v>
      </c>
      <c r="BB171" s="1849"/>
      <c r="BC171" s="218"/>
      <c r="BE171" s="136"/>
      <c r="BF171" s="136"/>
      <c r="BG171" s="136"/>
      <c r="BH171" s="136"/>
      <c r="BI171" s="136"/>
      <c r="BJ171" s="136"/>
      <c r="BK171" s="136"/>
      <c r="BL171" s="136"/>
      <c r="BM171" s="402"/>
      <c r="BN171" s="136"/>
      <c r="BO171" s="1091"/>
      <c r="BP171" s="76"/>
      <c r="BQ171" s="76"/>
      <c r="BR171" s="76"/>
      <c r="BS171" s="76"/>
      <c r="BT171" s="76"/>
      <c r="BU171" s="76"/>
      <c r="BV171" s="202"/>
      <c r="BW171" s="202"/>
      <c r="BX171" s="202"/>
      <c r="BY171" s="202"/>
      <c r="BZ171" s="202"/>
      <c r="CA171" s="202"/>
      <c r="CB171" s="202"/>
      <c r="CC171" s="202"/>
      <c r="CD171" s="202"/>
      <c r="CE171" s="202"/>
      <c r="CF171" s="202"/>
      <c r="CG171" s="202"/>
      <c r="CH171" s="202"/>
      <c r="CI171" s="202"/>
      <c r="CJ171" s="78"/>
      <c r="CK171" s="78"/>
      <c r="CL171" s="78"/>
      <c r="CM171" s="78"/>
      <c r="CN171" s="78"/>
      <c r="CO171" s="78"/>
      <c r="CP171" s="78"/>
      <c r="CQ171" s="78"/>
      <c r="CR171" s="78"/>
      <c r="CS171" s="78"/>
      <c r="CT171" s="78"/>
      <c r="CU171" s="78"/>
      <c r="CV171" s="78"/>
      <c r="CW171" s="78"/>
      <c r="CX171" s="78"/>
      <c r="CY171" s="78"/>
      <c r="CZ171" s="78"/>
      <c r="DA171" s="78"/>
      <c r="DB171" s="78"/>
      <c r="DC171" s="78"/>
      <c r="DD171" s="78"/>
    </row>
    <row r="172" spans="2:142" ht="87" hidden="1" thickBot="1" x14ac:dyDescent="0.3">
      <c r="C172" s="416"/>
      <c r="D172" s="354"/>
      <c r="H172" s="1626" t="s">
        <v>4</v>
      </c>
      <c r="I172" s="1627" t="s">
        <v>1</v>
      </c>
      <c r="J172" s="456" t="s">
        <v>0</v>
      </c>
      <c r="K172" s="456" t="s">
        <v>2</v>
      </c>
      <c r="L172" s="456" t="s">
        <v>3</v>
      </c>
      <c r="M172" s="456" t="s">
        <v>8</v>
      </c>
      <c r="N172" s="456" t="s">
        <v>5</v>
      </c>
      <c r="O172" s="456" t="s">
        <v>6</v>
      </c>
      <c r="P172" s="456" t="s">
        <v>7</v>
      </c>
      <c r="Q172" s="456" t="s">
        <v>9</v>
      </c>
      <c r="R172" s="1628" t="s">
        <v>10</v>
      </c>
      <c r="S172" s="456" t="s">
        <v>11</v>
      </c>
      <c r="T172" s="467" t="s">
        <v>12</v>
      </c>
      <c r="V172" s="420"/>
      <c r="W172" s="1629" t="s">
        <v>293</v>
      </c>
      <c r="X172" s="316" t="s">
        <v>94</v>
      </c>
      <c r="Y172" s="1629" t="s">
        <v>294</v>
      </c>
      <c r="Z172" s="419" t="s">
        <v>100</v>
      </c>
      <c r="AA172" s="419" t="s">
        <v>96</v>
      </c>
      <c r="AB172" s="420"/>
      <c r="AC172" s="457" t="s">
        <v>99</v>
      </c>
      <c r="AD172" s="457"/>
      <c r="AE172" s="457"/>
      <c r="AF172" s="420"/>
      <c r="AG172" s="420"/>
      <c r="AH172" s="420"/>
      <c r="AI172" s="420"/>
      <c r="AJ172" s="1589" t="s">
        <v>295</v>
      </c>
      <c r="AK172" s="420"/>
      <c r="AL172" s="1589" t="s">
        <v>296</v>
      </c>
      <c r="AM172" s="1589" t="s">
        <v>297</v>
      </c>
      <c r="AN172" s="420"/>
      <c r="AO172" s="1589" t="s">
        <v>298</v>
      </c>
      <c r="AP172" s="420"/>
      <c r="AQ172" s="1589" t="s">
        <v>299</v>
      </c>
      <c r="AR172" s="420"/>
      <c r="AS172" s="420"/>
      <c r="AT172" s="420"/>
      <c r="AU172" s="420" t="s">
        <v>300</v>
      </c>
      <c r="AV172" s="420"/>
      <c r="AW172" s="420"/>
      <c r="AX172" s="420"/>
      <c r="AY172" s="415"/>
      <c r="AZ172" s="420"/>
      <c r="BA172" s="420"/>
      <c r="BB172" s="420"/>
      <c r="BC172" s="231"/>
      <c r="BE172" s="136"/>
      <c r="BF172" s="136"/>
      <c r="BG172" s="136"/>
      <c r="BH172" s="136"/>
      <c r="BI172" s="136"/>
      <c r="BJ172" s="136"/>
      <c r="BK172" s="136"/>
      <c r="BL172" s="136"/>
      <c r="BM172" s="402"/>
      <c r="BN172" s="136"/>
      <c r="BO172" s="1091"/>
      <c r="BP172" s="126"/>
      <c r="BQ172" s="126"/>
      <c r="BR172" s="126"/>
      <c r="BS172" s="126"/>
      <c r="BT172" s="126"/>
      <c r="BU172" s="126"/>
      <c r="BV172" s="203"/>
      <c r="BW172" s="203"/>
      <c r="BX172" s="203"/>
      <c r="BY172" s="203"/>
      <c r="BZ172" s="203"/>
      <c r="CA172" s="203"/>
      <c r="CB172" s="203"/>
      <c r="CC172" s="203"/>
      <c r="CD172" s="203"/>
      <c r="CE172" s="203"/>
      <c r="CF172" s="203"/>
      <c r="CG172" s="203"/>
      <c r="CH172" s="203"/>
      <c r="CI172" s="203"/>
    </row>
    <row r="173" spans="2:142" ht="36" customHeight="1" thickBot="1" x14ac:dyDescent="0.25">
      <c r="B173" s="501"/>
      <c r="C173" s="237"/>
      <c r="D173" s="502" t="s">
        <v>22</v>
      </c>
      <c r="E173" s="330"/>
      <c r="F173" s="503"/>
      <c r="G173" s="240"/>
      <c r="H173" s="469"/>
      <c r="I173" s="470"/>
      <c r="R173" s="1628"/>
      <c r="T173" s="471"/>
      <c r="V173" s="420"/>
      <c r="W173" s="420"/>
      <c r="X173" s="420"/>
      <c r="Y173" s="420"/>
      <c r="Z173" s="420"/>
      <c r="AA173" s="420"/>
      <c r="AB173" s="420"/>
      <c r="AC173" s="484">
        <f>SUM(AC174:AC199)</f>
        <v>211.0008</v>
      </c>
      <c r="AD173" s="48"/>
      <c r="AE173" s="48"/>
      <c r="AF173" s="420" t="s">
        <v>38</v>
      </c>
      <c r="AG173" s="552" t="s">
        <v>101</v>
      </c>
      <c r="AH173" s="425" t="s">
        <v>31</v>
      </c>
      <c r="AI173" s="504"/>
      <c r="AJ173" s="1630" t="s">
        <v>301</v>
      </c>
      <c r="AK173" s="426" t="s">
        <v>32</v>
      </c>
      <c r="AL173" s="1631" t="s">
        <v>33</v>
      </c>
      <c r="AM173" s="1630" t="s">
        <v>302</v>
      </c>
      <c r="AN173" s="427" t="s">
        <v>34</v>
      </c>
      <c r="AO173" s="1630" t="s">
        <v>35</v>
      </c>
      <c r="AP173" s="428" t="s">
        <v>48</v>
      </c>
      <c r="AQ173" s="250" t="s">
        <v>36</v>
      </c>
      <c r="AR173" s="428" t="s">
        <v>303</v>
      </c>
      <c r="AS173" s="420" t="s">
        <v>37</v>
      </c>
      <c r="AT173" s="420" t="s">
        <v>39</v>
      </c>
      <c r="AU173" s="428" t="s">
        <v>304</v>
      </c>
      <c r="AV173" s="420"/>
      <c r="AW173" s="1594" t="s">
        <v>41</v>
      </c>
      <c r="AX173" s="1594" t="s">
        <v>42</v>
      </c>
      <c r="AY173" s="430" t="s">
        <v>23</v>
      </c>
      <c r="AZ173" s="430" t="s">
        <v>24</v>
      </c>
      <c r="BA173" s="557" t="s">
        <v>23</v>
      </c>
      <c r="BB173" s="557" t="s">
        <v>24</v>
      </c>
      <c r="BE173" s="136"/>
      <c r="BF173" s="136"/>
      <c r="BG173" s="136"/>
      <c r="BH173" s="136"/>
      <c r="BI173" s="136"/>
      <c r="BJ173" s="136"/>
      <c r="BM173" s="402"/>
      <c r="BN173" s="73"/>
      <c r="BO173" s="1091"/>
      <c r="BP173" s="64"/>
      <c r="BS173" s="126"/>
      <c r="BT173" s="126"/>
      <c r="BU173" s="126"/>
      <c r="BV173" s="203"/>
      <c r="BW173" s="203"/>
      <c r="BX173" s="203"/>
      <c r="BY173" s="203"/>
      <c r="BZ173" s="203"/>
      <c r="CA173" s="203"/>
      <c r="CB173" s="203"/>
      <c r="CC173" s="203"/>
      <c r="CD173" s="203"/>
      <c r="CE173" s="203"/>
      <c r="CF173" s="203"/>
      <c r="CG173" s="203"/>
      <c r="CH173" s="203"/>
      <c r="CI173" s="203"/>
      <c r="CR173" s="64"/>
    </row>
    <row r="174" spans="2:142" ht="21" customHeight="1" thickBot="1" x14ac:dyDescent="0.25">
      <c r="B174" s="255">
        <v>1</v>
      </c>
      <c r="C174" s="256">
        <f>+D174+AI163</f>
        <v>0</v>
      </c>
      <c r="D174" s="25">
        <v>0</v>
      </c>
      <c r="E174" s="257" t="s">
        <v>337</v>
      </c>
      <c r="F174" s="258"/>
      <c r="G174" s="258">
        <f>+D174</f>
        <v>0</v>
      </c>
      <c r="H174" s="1632">
        <v>251.073172</v>
      </c>
      <c r="I174" s="1633">
        <v>65.636175100000003</v>
      </c>
      <c r="J174" s="474">
        <f>+I174-C174</f>
        <v>65.636175100000003</v>
      </c>
      <c r="K174" s="474">
        <f>+J174/2</f>
        <v>32.818087550000001</v>
      </c>
      <c r="L174" s="474">
        <f t="shared" ref="L174:L199" si="36">SIN(K174*3.14159265358979/180)</f>
        <v>0.54197353948789428</v>
      </c>
      <c r="M174" s="474">
        <f t="shared" ref="M174:M199" si="37">+L174*H174</f>
        <v>136.07501569929286</v>
      </c>
      <c r="N174" s="474">
        <f t="shared" ref="N174:N199" si="38">+M174*2</f>
        <v>272.15003139858572</v>
      </c>
      <c r="O174" s="474">
        <f>+C174/2</f>
        <v>0</v>
      </c>
      <c r="P174" s="474">
        <f t="shared" ref="P174:P199" si="39">SIN(O174*3.14159265358979/180)</f>
        <v>0</v>
      </c>
      <c r="Q174" s="474">
        <f t="shared" ref="Q174:Q199" si="40">+P174*N174</f>
        <v>0</v>
      </c>
      <c r="R174" s="1634">
        <v>211.0008</v>
      </c>
      <c r="S174" s="474">
        <f>+R174+Q174</f>
        <v>211.0008</v>
      </c>
      <c r="T174" s="476">
        <f t="shared" ref="T174:T199" si="41">+S174</f>
        <v>211.0008</v>
      </c>
      <c r="V174" s="1635">
        <f t="shared" ref="V174:V199" si="42">IF(B174&lt;($B$171+1),T174,0)</f>
        <v>211.0008</v>
      </c>
      <c r="W174" s="437">
        <v>32.818087599999998</v>
      </c>
      <c r="X174" s="437">
        <f>+W174+AI201</f>
        <v>32.818087599999998</v>
      </c>
      <c r="Y174" s="437">
        <v>251.073172</v>
      </c>
      <c r="Z174" s="437">
        <f>+COS(X174*3.14159265358979/180)*Y174</f>
        <v>211.00077665844503</v>
      </c>
      <c r="AA174" s="437">
        <f>+AC173-Z174</f>
        <v>2.334155496441781E-5</v>
      </c>
      <c r="AB174" s="258" t="str">
        <f>IF(AZ174&lt;0,"use the locking pin"," ")</f>
        <v xml:space="preserve"> </v>
      </c>
      <c r="AC174" s="1636">
        <f>IF(AD174=1,AF174)</f>
        <v>211.0008</v>
      </c>
      <c r="AD174" s="1636">
        <f>MAX(AE$174:AE$199)</f>
        <v>1</v>
      </c>
      <c r="AE174" s="1636">
        <f>IF(V174=0,0,1)</f>
        <v>1</v>
      </c>
      <c r="AF174" s="1637">
        <f>SUM(V174:V199)/($B$171)</f>
        <v>211.0008</v>
      </c>
      <c r="AG174" s="1638">
        <f>+AA142+$AF$174</f>
        <v>211.00079116289135</v>
      </c>
      <c r="AH174" s="450">
        <f>C174</f>
        <v>0</v>
      </c>
      <c r="AI174" s="1639">
        <f>IF(B174&lt;($B$171+1),AH174)</f>
        <v>0</v>
      </c>
      <c r="AJ174" s="718">
        <f>75.4990086-AH174</f>
        <v>75.499008599999996</v>
      </c>
      <c r="AK174" s="1639">
        <f t="shared" ref="AK174:AK199" si="43">SIN(AJ174*3.14159265358979/180)</f>
        <v>0.96814330785934066</v>
      </c>
      <c r="AL174" s="1639">
        <f>+AK174*290.642868</f>
        <v>281.38394763124575</v>
      </c>
      <c r="AM174" s="1640">
        <f>57.1819124+AH174</f>
        <v>57.181912400000002</v>
      </c>
      <c r="AN174" s="1639">
        <f>SIN(AM174*3.14159265358979/180)</f>
        <v>0.84039555073787342</v>
      </c>
      <c r="AO174" s="1641">
        <f>+AN174*251.073172</f>
        <v>211.00077665844481</v>
      </c>
      <c r="AP174" s="439">
        <f t="shared" ref="AP174:AP199" si="44">+((AF174*AQ174)+($AQ$211*($AF$211+$AA$174)))/AR174</f>
        <v>177.27483858076536</v>
      </c>
      <c r="AQ174" s="444">
        <f>$C$13*B171</f>
        <v>29.3</v>
      </c>
      <c r="AR174" s="444">
        <f t="shared" ref="AR174:AR199" si="45">+AQ174+$AQ$211+1.3</f>
        <v>56.099999999999994</v>
      </c>
      <c r="AS174" s="445">
        <f>+AO174+AL174</f>
        <v>492.38472428969055</v>
      </c>
      <c r="AT174" s="445">
        <f>+V174-AO174</f>
        <v>2.3341555191791485E-5</v>
      </c>
      <c r="AU174" s="445">
        <f>+AP174-AT174</f>
        <v>177.27481523921017</v>
      </c>
      <c r="AV174" s="447"/>
      <c r="AW174" s="447">
        <f>+((AS174-AU174)/AS174)*AR174</f>
        <v>35.90214120316908</v>
      </c>
      <c r="AX174" s="1597">
        <f>+(AU174/AS174)*AR174</f>
        <v>20.197858796830911</v>
      </c>
      <c r="AY174" s="1597">
        <f t="shared" ref="AY174:AY199" si="46">2*$C$20/AW174</f>
        <v>323.10050630005514</v>
      </c>
      <c r="AZ174" s="1642">
        <f t="shared" ref="AZ174:AZ199" si="47">$D$20/AX174</f>
        <v>495.10198583866833</v>
      </c>
      <c r="BA174" s="274">
        <f>ABS(AY174)</f>
        <v>323.10050630005514</v>
      </c>
      <c r="BB174" s="275">
        <f>ABS(AZ174)</f>
        <v>495.10198583866833</v>
      </c>
      <c r="BC174" s="91"/>
      <c r="BM174" s="402"/>
      <c r="BN174" s="73"/>
      <c r="BO174" s="1091"/>
      <c r="BP174" s="64"/>
      <c r="BS174" s="126"/>
      <c r="BT174" s="126"/>
      <c r="BU174" s="126"/>
      <c r="BV174" s="203"/>
      <c r="BW174" s="203"/>
      <c r="BX174" s="203"/>
      <c r="BY174" s="203"/>
      <c r="BZ174" s="203"/>
      <c r="CA174" s="203"/>
      <c r="CB174" s="203"/>
      <c r="CC174" s="203"/>
      <c r="CD174" s="203"/>
      <c r="CE174" s="203"/>
      <c r="CF174" s="203"/>
      <c r="CG174" s="203"/>
      <c r="CH174" s="203"/>
      <c r="CI174" s="203"/>
      <c r="CP174" s="212"/>
      <c r="CR174" s="64"/>
    </row>
    <row r="175" spans="2:142" ht="21" customHeight="1" thickBot="1" x14ac:dyDescent="0.25">
      <c r="B175" s="277">
        <v>2</v>
      </c>
      <c r="C175" s="278"/>
      <c r="D175" s="25">
        <v>0.5</v>
      </c>
      <c r="E175" s="257" t="s">
        <v>305</v>
      </c>
      <c r="F175" s="258"/>
      <c r="G175" s="258">
        <f>+D175+BC175</f>
        <v>0.5</v>
      </c>
      <c r="H175" s="1632">
        <v>251.073172</v>
      </c>
      <c r="I175" s="1633">
        <v>65.636175100000003</v>
      </c>
      <c r="J175" s="474">
        <f t="shared" ref="J175:J199" si="48">+I175-D175</f>
        <v>65.136175100000003</v>
      </c>
      <c r="K175" s="474">
        <f t="shared" ref="K175:K199" si="49">+J175/2</f>
        <v>32.568087550000001</v>
      </c>
      <c r="L175" s="474">
        <f t="shared" si="36"/>
        <v>0.53830147457895938</v>
      </c>
      <c r="M175" s="474">
        <f t="shared" si="37"/>
        <v>135.15305871481669</v>
      </c>
      <c r="N175" s="474">
        <f t="shared" si="38"/>
        <v>270.30611742963339</v>
      </c>
      <c r="O175" s="474">
        <f>+C174+(D175/2)</f>
        <v>0.25</v>
      </c>
      <c r="P175" s="474">
        <f t="shared" si="39"/>
        <v>4.3633092847465667E-3</v>
      </c>
      <c r="Q175" s="474">
        <f t="shared" si="40"/>
        <v>1.1794291919045152</v>
      </c>
      <c r="R175" s="474">
        <f t="shared" ref="R175:R199" si="50">+T174</f>
        <v>211.0008</v>
      </c>
      <c r="S175" s="474">
        <f>+R175+Q175</f>
        <v>212.18022919190452</v>
      </c>
      <c r="T175" s="476">
        <f t="shared" si="41"/>
        <v>212.18022919190452</v>
      </c>
      <c r="V175" s="1635">
        <f t="shared" si="42"/>
        <v>0</v>
      </c>
      <c r="W175" s="437"/>
      <c r="X175" s="437"/>
      <c r="Y175" s="437"/>
      <c r="Z175" s="437"/>
      <c r="AA175" s="437"/>
      <c r="AB175" s="280" t="e">
        <f t="shared" ref="AB175:AB199" si="51">IF(AZ175&lt;0,"use the locking pin"," ")</f>
        <v>#DIV/0!</v>
      </c>
      <c r="AC175" s="1636" t="b">
        <f>IF(AD175=2,AF175)</f>
        <v>0</v>
      </c>
      <c r="AD175" s="1636">
        <f t="shared" ref="AD175:AD199" si="52">MAX(AE$174:AE$199)</f>
        <v>1</v>
      </c>
      <c r="AE175" s="1636">
        <f>IF(V175=0,0,2)</f>
        <v>0</v>
      </c>
      <c r="AF175" s="1637" t="e">
        <f>SUM(V175:V199)/($B$171-B174)</f>
        <v>#DIV/0!</v>
      </c>
      <c r="AG175" s="1638"/>
      <c r="AH175" s="450">
        <f>SUM(D175)+$C$174</f>
        <v>0.5</v>
      </c>
      <c r="AI175" s="1639" t="b">
        <f t="shared" ref="AI175:AI199" si="53">IF(B175&lt;($B$171+1),AH175)</f>
        <v>0</v>
      </c>
      <c r="AJ175" s="718">
        <f t="shared" ref="AJ175:AJ199" si="54">75.4990086-AH175</f>
        <v>74.999008599999996</v>
      </c>
      <c r="AK175" s="1639">
        <f t="shared" si="43"/>
        <v>0.96592134774826766</v>
      </c>
      <c r="AL175" s="1639">
        <f t="shared" ref="AL175:AL199" si="55">+AK175*290.642868</f>
        <v>280.73815077198185</v>
      </c>
      <c r="AM175" s="1640">
        <f t="shared" ref="AM175:AM199" si="56">57.1819124+AH175</f>
        <v>57.681912400000002</v>
      </c>
      <c r="AN175" s="1639">
        <f t="shared" ref="AN175:AN199" si="57">SIN(AM175*3.14159265358979/180)</f>
        <v>0.84509310238833768</v>
      </c>
      <c r="AO175" s="1641">
        <f t="shared" ref="AO175:AO199" si="58">+AN175*251.073172</f>
        <v>212.18020585196072</v>
      </c>
      <c r="AP175" s="287" t="e">
        <f t="shared" si="44"/>
        <v>#DIV/0!</v>
      </c>
      <c r="AQ175" s="444">
        <f t="shared" ref="AQ175:AQ199" si="59">$C$13*($B$171-B174)</f>
        <v>0</v>
      </c>
      <c r="AR175" s="444">
        <f t="shared" si="45"/>
        <v>26.8</v>
      </c>
      <c r="AS175" s="445">
        <f t="shared" ref="AS175:AS199" si="60">+AO175+AL175</f>
        <v>492.9183566239426</v>
      </c>
      <c r="AT175" s="445">
        <f>+V175-AO175</f>
        <v>-212.18020585196072</v>
      </c>
      <c r="AU175" s="445" t="e">
        <f t="shared" ref="AU175:AU199" si="61">+AP175-AT175</f>
        <v>#DIV/0!</v>
      </c>
      <c r="AV175" s="447"/>
      <c r="AW175" s="447" t="e">
        <f t="shared" ref="AW175:AW199" si="62">+((AS175-AU175)/AS175)*AR175</f>
        <v>#DIV/0!</v>
      </c>
      <c r="AX175" s="1597" t="e">
        <f t="shared" ref="AX175:AX199" si="63">+(AU175/AS175)*AR175</f>
        <v>#DIV/0!</v>
      </c>
      <c r="AY175" s="1597" t="e">
        <f t="shared" si="46"/>
        <v>#DIV/0!</v>
      </c>
      <c r="AZ175" s="1642" t="e">
        <f t="shared" si="47"/>
        <v>#DIV/0!</v>
      </c>
      <c r="BA175" s="274" t="e">
        <f t="shared" ref="BA175:BB194" si="64">ABS(AY175)</f>
        <v>#DIV/0!</v>
      </c>
      <c r="BB175" s="294" t="e">
        <f t="shared" si="64"/>
        <v>#DIV/0!</v>
      </c>
      <c r="BM175" s="402"/>
      <c r="BN175" s="136"/>
      <c r="BO175" s="1091"/>
      <c r="BP175" s="126"/>
      <c r="BQ175" s="126"/>
      <c r="BR175" s="126"/>
      <c r="BS175" s="126"/>
      <c r="BT175" s="126"/>
      <c r="BU175" s="126"/>
      <c r="BV175" s="203"/>
      <c r="BW175" s="203"/>
      <c r="BX175" s="203"/>
      <c r="BY175" s="203"/>
      <c r="BZ175" s="203"/>
      <c r="CA175" s="203"/>
      <c r="CB175" s="203"/>
      <c r="CC175" s="203"/>
      <c r="CD175" s="203"/>
      <c r="CE175" s="203"/>
      <c r="CF175" s="203"/>
      <c r="CG175" s="203"/>
      <c r="CH175" s="203"/>
      <c r="CI175" s="203"/>
    </row>
    <row r="176" spans="2:142" ht="21" customHeight="1" thickBot="1" x14ac:dyDescent="0.35">
      <c r="B176" s="277">
        <v>3</v>
      </c>
      <c r="C176" s="278"/>
      <c r="D176" s="25">
        <v>0.5</v>
      </c>
      <c r="E176" s="257" t="s">
        <v>305</v>
      </c>
      <c r="F176" s="258"/>
      <c r="G176" s="258">
        <f>+D176+BC176</f>
        <v>0.5</v>
      </c>
      <c r="H176" s="1632">
        <v>251.073172</v>
      </c>
      <c r="I176" s="1633">
        <v>65.636175100000003</v>
      </c>
      <c r="J176" s="474">
        <f t="shared" si="48"/>
        <v>65.136175100000003</v>
      </c>
      <c r="K176" s="474">
        <f t="shared" si="49"/>
        <v>32.568087550000001</v>
      </c>
      <c r="L176" s="474">
        <f t="shared" si="36"/>
        <v>0.53830147457895938</v>
      </c>
      <c r="M176" s="474">
        <f t="shared" si="37"/>
        <v>135.15305871481669</v>
      </c>
      <c r="N176" s="474">
        <f t="shared" si="38"/>
        <v>270.30611742963339</v>
      </c>
      <c r="O176" s="474">
        <f>+C174+D175+(D176/2)</f>
        <v>0.75</v>
      </c>
      <c r="P176" s="474">
        <f t="shared" si="39"/>
        <v>1.3089595571344427E-2</v>
      </c>
      <c r="Q176" s="474">
        <f t="shared" si="40"/>
        <v>3.538197757614236</v>
      </c>
      <c r="R176" s="474">
        <f t="shared" si="50"/>
        <v>212.18022919190452</v>
      </c>
      <c r="S176" s="474">
        <f t="shared" ref="S176:S199" si="65">+S175+Q176</f>
        <v>215.71842694951874</v>
      </c>
      <c r="T176" s="476">
        <f t="shared" si="41"/>
        <v>215.71842694951874</v>
      </c>
      <c r="V176" s="1635">
        <f t="shared" si="42"/>
        <v>0</v>
      </c>
      <c r="W176" s="437"/>
      <c r="X176" s="437"/>
      <c r="Y176" s="437"/>
      <c r="Z176" s="437"/>
      <c r="AA176" s="437"/>
      <c r="AB176" s="295" t="str">
        <f t="shared" si="51"/>
        <v xml:space="preserve"> </v>
      </c>
      <c r="AC176" s="1636" t="b">
        <f>IF(AD176=3,AF176)</f>
        <v>0</v>
      </c>
      <c r="AD176" s="1636">
        <f t="shared" si="52"/>
        <v>1</v>
      </c>
      <c r="AE176" s="1636">
        <f>IF(V176=0,0,3)</f>
        <v>0</v>
      </c>
      <c r="AF176" s="1637">
        <f>SUM(V176:V199)/($B$171-B175)</f>
        <v>0</v>
      </c>
      <c r="AG176" s="1638"/>
      <c r="AH176" s="450">
        <f>SUM(D175:D176)+$C$174</f>
        <v>1</v>
      </c>
      <c r="AI176" s="1639" t="b">
        <f t="shared" si="53"/>
        <v>0</v>
      </c>
      <c r="AJ176" s="718">
        <f t="shared" si="54"/>
        <v>74.499008599999996</v>
      </c>
      <c r="AK176" s="1639">
        <f t="shared" si="43"/>
        <v>0.96362582898684701</v>
      </c>
      <c r="AL176" s="1639">
        <f t="shared" si="55"/>
        <v>280.07097461561477</v>
      </c>
      <c r="AM176" s="1640">
        <f t="shared" si="56"/>
        <v>58.181912400000002</v>
      </c>
      <c r="AN176" s="1639">
        <f t="shared" si="57"/>
        <v>0.84972629692714396</v>
      </c>
      <c r="AO176" s="1641">
        <f t="shared" si="58"/>
        <v>213.34347670131189</v>
      </c>
      <c r="AP176" s="287">
        <f t="shared" si="44"/>
        <v>-1505.1180017523743</v>
      </c>
      <c r="AQ176" s="444">
        <f t="shared" si="59"/>
        <v>-29.3</v>
      </c>
      <c r="AR176" s="444">
        <f t="shared" si="45"/>
        <v>-2.5000000000000009</v>
      </c>
      <c r="AS176" s="445">
        <f t="shared" si="60"/>
        <v>493.41445131692666</v>
      </c>
      <c r="AT176" s="445">
        <f>+V176-AO176</f>
        <v>-213.34347670131189</v>
      </c>
      <c r="AU176" s="445">
        <f t="shared" si="61"/>
        <v>-1291.7745250510625</v>
      </c>
      <c r="AV176" s="447"/>
      <c r="AW176" s="447">
        <f t="shared" si="62"/>
        <v>-9.0450784913337454</v>
      </c>
      <c r="AX176" s="1597">
        <f t="shared" si="63"/>
        <v>6.5450784913337436</v>
      </c>
      <c r="AY176" s="1597">
        <f t="shared" si="46"/>
        <v>-1282.4653772893371</v>
      </c>
      <c r="AZ176" s="1642">
        <f t="shared" si="47"/>
        <v>1527.8655577990203</v>
      </c>
      <c r="BA176" s="274">
        <f t="shared" si="64"/>
        <v>1282.4653772893371</v>
      </c>
      <c r="BB176" s="275">
        <f t="shared" si="64"/>
        <v>1527.8655577990203</v>
      </c>
      <c r="BM176" s="214"/>
      <c r="BN176" s="214"/>
      <c r="BO176" s="214"/>
      <c r="BP176" s="126"/>
      <c r="BQ176" s="126"/>
      <c r="BR176" s="126"/>
      <c r="BS176" s="126"/>
      <c r="BT176" s="126"/>
      <c r="BU176" s="126"/>
      <c r="BV176" s="203"/>
      <c r="BW176" s="203"/>
      <c r="BX176" s="203"/>
      <c r="BY176" s="203"/>
      <c r="BZ176" s="203"/>
      <c r="CA176" s="203"/>
      <c r="CB176" s="203"/>
      <c r="CC176" s="203"/>
      <c r="CD176" s="203"/>
      <c r="CE176" s="203"/>
      <c r="CF176" s="203"/>
      <c r="CG176" s="203"/>
      <c r="CH176" s="203"/>
      <c r="CI176" s="203"/>
    </row>
    <row r="177" spans="1:129" ht="21" customHeight="1" thickBot="1" x14ac:dyDescent="0.35">
      <c r="B177" s="277">
        <v>4</v>
      </c>
      <c r="C177" s="278"/>
      <c r="D177" s="25">
        <v>0.5</v>
      </c>
      <c r="E177" s="257" t="s">
        <v>305</v>
      </c>
      <c r="F177" s="258"/>
      <c r="G177" s="258">
        <f>+D177+BC177</f>
        <v>0.5</v>
      </c>
      <c r="H177" s="1632">
        <v>251.073172</v>
      </c>
      <c r="I177" s="1633">
        <v>65.636175100000003</v>
      </c>
      <c r="J177" s="474">
        <f t="shared" si="48"/>
        <v>65.136175100000003</v>
      </c>
      <c r="K177" s="474">
        <f t="shared" si="49"/>
        <v>32.568087550000001</v>
      </c>
      <c r="L177" s="474">
        <f t="shared" si="36"/>
        <v>0.53830147457895938</v>
      </c>
      <c r="M177" s="474">
        <f t="shared" si="37"/>
        <v>135.15305871481669</v>
      </c>
      <c r="N177" s="474">
        <f t="shared" si="38"/>
        <v>270.30611742963339</v>
      </c>
      <c r="O177" s="474">
        <f>+C174+D175+D176+(D177/2)</f>
        <v>1.25</v>
      </c>
      <c r="P177" s="474">
        <f t="shared" si="39"/>
        <v>2.18148850345611E-2</v>
      </c>
      <c r="Q177" s="474">
        <f t="shared" si="40"/>
        <v>5.8966968758660245</v>
      </c>
      <c r="R177" s="474">
        <f t="shared" si="50"/>
        <v>215.71842694951874</v>
      </c>
      <c r="S177" s="474">
        <f t="shared" si="65"/>
        <v>221.61512382538476</v>
      </c>
      <c r="T177" s="476">
        <f t="shared" si="41"/>
        <v>221.61512382538476</v>
      </c>
      <c r="V177" s="1635">
        <f t="shared" si="42"/>
        <v>0</v>
      </c>
      <c r="W177" s="437"/>
      <c r="X177" s="437"/>
      <c r="Y177" s="437"/>
      <c r="Z177" s="437"/>
      <c r="AA177" s="437"/>
      <c r="AB177" s="295" t="str">
        <f t="shared" si="51"/>
        <v>use the locking pin</v>
      </c>
      <c r="AC177" s="1636" t="b">
        <f>IF(AD177=4,AF177)</f>
        <v>0</v>
      </c>
      <c r="AD177" s="1636">
        <f t="shared" si="52"/>
        <v>1</v>
      </c>
      <c r="AE177" s="1636">
        <f>IF(V177=0,0,4)</f>
        <v>0</v>
      </c>
      <c r="AF177" s="1637">
        <f>SUM(V177:V199)/($B$171-B176)</f>
        <v>0</v>
      </c>
      <c r="AG177" s="1638"/>
      <c r="AH177" s="450">
        <f>SUM(D175:D177)+$C$174</f>
        <v>1.5</v>
      </c>
      <c r="AI177" s="1639" t="b">
        <f t="shared" si="53"/>
        <v>0</v>
      </c>
      <c r="AJ177" s="718">
        <f t="shared" si="54"/>
        <v>73.999008599999996</v>
      </c>
      <c r="AK177" s="1639">
        <f t="shared" si="43"/>
        <v>0.96125692638771998</v>
      </c>
      <c r="AL177" s="1639">
        <f t="shared" si="55"/>
        <v>279.38246997019183</v>
      </c>
      <c r="AM177" s="1640">
        <f t="shared" si="56"/>
        <v>58.681912400000002</v>
      </c>
      <c r="AN177" s="1639">
        <f t="shared" si="57"/>
        <v>0.85429478151859028</v>
      </c>
      <c r="AO177" s="1641">
        <f t="shared" si="58"/>
        <v>214.49050061891944</v>
      </c>
      <c r="AP177" s="287">
        <f t="shared" si="44"/>
        <v>-118.32688693021814</v>
      </c>
      <c r="AQ177" s="444">
        <f t="shared" si="59"/>
        <v>-58.6</v>
      </c>
      <c r="AR177" s="444">
        <f t="shared" si="45"/>
        <v>-31.8</v>
      </c>
      <c r="AS177" s="445">
        <f t="shared" si="60"/>
        <v>493.87297058911128</v>
      </c>
      <c r="AT177" s="445">
        <f>+V177-AO177</f>
        <v>-214.49050061891944</v>
      </c>
      <c r="AU177" s="445">
        <f t="shared" si="61"/>
        <v>96.163613688701304</v>
      </c>
      <c r="AV177" s="447"/>
      <c r="AW177" s="447">
        <f t="shared" si="62"/>
        <v>-25.608118489147127</v>
      </c>
      <c r="AX177" s="1597">
        <f t="shared" si="63"/>
        <v>-6.1918815108528706</v>
      </c>
      <c r="AY177" s="1597">
        <f t="shared" si="46"/>
        <v>-452.98134671300232</v>
      </c>
      <c r="AZ177" s="1642">
        <f t="shared" si="47"/>
        <v>-1615.0179848358562</v>
      </c>
      <c r="BA177" s="274">
        <f t="shared" si="64"/>
        <v>452.98134671300232</v>
      </c>
      <c r="BB177" s="275">
        <f t="shared" si="64"/>
        <v>1615.0179848358562</v>
      </c>
      <c r="BM177" s="214"/>
      <c r="BN177" s="214"/>
      <c r="BO177" s="214"/>
      <c r="BP177" s="126"/>
      <c r="BQ177" s="126"/>
      <c r="BR177" s="126"/>
      <c r="BS177" s="126"/>
      <c r="BT177" s="126"/>
      <c r="BU177" s="126"/>
      <c r="BV177" s="203"/>
      <c r="BW177" s="203"/>
      <c r="BX177" s="203"/>
      <c r="BY177" s="203"/>
      <c r="BZ177" s="203"/>
      <c r="CA177" s="203"/>
      <c r="CB177" s="203"/>
      <c r="CC177" s="203"/>
      <c r="CD177" s="203"/>
      <c r="CE177" s="203"/>
      <c r="CF177" s="203"/>
      <c r="CG177" s="203"/>
      <c r="CH177" s="203"/>
      <c r="CI177" s="203"/>
    </row>
    <row r="178" spans="1:129" ht="21" customHeight="1" thickBot="1" x14ac:dyDescent="0.35">
      <c r="B178" s="277">
        <v>5</v>
      </c>
      <c r="C178" s="278"/>
      <c r="D178" s="25">
        <v>0.5</v>
      </c>
      <c r="E178" s="257" t="s">
        <v>305</v>
      </c>
      <c r="F178" s="258"/>
      <c r="G178" s="258">
        <f>+D178+BC178</f>
        <v>0.5</v>
      </c>
      <c r="H178" s="1632">
        <v>251.073172</v>
      </c>
      <c r="I178" s="1633">
        <v>65.636175100000003</v>
      </c>
      <c r="J178" s="474">
        <f t="shared" si="48"/>
        <v>65.136175100000003</v>
      </c>
      <c r="K178" s="474">
        <f t="shared" si="49"/>
        <v>32.568087550000001</v>
      </c>
      <c r="L178" s="474">
        <f t="shared" si="36"/>
        <v>0.53830147457895938</v>
      </c>
      <c r="M178" s="474">
        <f t="shared" si="37"/>
        <v>135.15305871481669</v>
      </c>
      <c r="N178" s="474">
        <f t="shared" si="38"/>
        <v>270.30611742963339</v>
      </c>
      <c r="O178" s="474">
        <f>+C174+D175+D176+D177+(D178/2)</f>
        <v>1.75</v>
      </c>
      <c r="P178" s="474">
        <f t="shared" si="39"/>
        <v>3.0538513209822628E-2</v>
      </c>
      <c r="Q178" s="474">
        <f t="shared" si="40"/>
        <v>8.254746937820725</v>
      </c>
      <c r="R178" s="474">
        <f t="shared" si="50"/>
        <v>221.61512382538476</v>
      </c>
      <c r="S178" s="474">
        <f t="shared" si="65"/>
        <v>229.86987076320548</v>
      </c>
      <c r="T178" s="476">
        <f t="shared" si="41"/>
        <v>229.86987076320548</v>
      </c>
      <c r="V178" s="1635">
        <f t="shared" si="42"/>
        <v>0</v>
      </c>
      <c r="W178" s="437"/>
      <c r="X178" s="437"/>
      <c r="Y178" s="437"/>
      <c r="Z178" s="437"/>
      <c r="AA178" s="437"/>
      <c r="AB178" s="295" t="str">
        <f t="shared" si="51"/>
        <v>use the locking pin</v>
      </c>
      <c r="AC178" s="1636" t="b">
        <f>IF(AD178=5,AF178)</f>
        <v>0</v>
      </c>
      <c r="AD178" s="1636">
        <f t="shared" si="52"/>
        <v>1</v>
      </c>
      <c r="AE178" s="1636">
        <f>IF(V178=0,0,5)</f>
        <v>0</v>
      </c>
      <c r="AF178" s="1637">
        <f>SUM(V178:V199)/($B$171-B177)</f>
        <v>0</v>
      </c>
      <c r="AG178" s="1638"/>
      <c r="AH178" s="450">
        <f>SUM(D175:D178)+$C$174</f>
        <v>2</v>
      </c>
      <c r="AI178" s="1639" t="b">
        <f t="shared" si="53"/>
        <v>0</v>
      </c>
      <c r="AJ178" s="718">
        <f t="shared" si="54"/>
        <v>73.499008599999996</v>
      </c>
      <c r="AK178" s="1639">
        <f t="shared" si="43"/>
        <v>0.95881482035199095</v>
      </c>
      <c r="AL178" s="1639">
        <f t="shared" si="55"/>
        <v>278.67268926800745</v>
      </c>
      <c r="AM178" s="1640">
        <f t="shared" si="56"/>
        <v>59.181912400000002</v>
      </c>
      <c r="AN178" s="1639">
        <f t="shared" si="57"/>
        <v>0.85879820825488717</v>
      </c>
      <c r="AO178" s="1641">
        <f t="shared" si="58"/>
        <v>215.62119025447112</v>
      </c>
      <c r="AP178" s="287">
        <f t="shared" si="44"/>
        <v>-61.584206291013686</v>
      </c>
      <c r="AQ178" s="444">
        <f t="shared" si="59"/>
        <v>-87.9</v>
      </c>
      <c r="AR178" s="444">
        <f t="shared" si="45"/>
        <v>-61.100000000000009</v>
      </c>
      <c r="AS178" s="445">
        <f t="shared" si="60"/>
        <v>494.29387952247856</v>
      </c>
      <c r="AT178" s="445">
        <f t="shared" ref="AT178:AT199" si="66">+V178-AO178</f>
        <v>-215.62119025447112</v>
      </c>
      <c r="AU178" s="445">
        <f t="shared" si="61"/>
        <v>154.03698396345743</v>
      </c>
      <c r="AV178" s="447"/>
      <c r="AW178" s="447">
        <f t="shared" si="62"/>
        <v>-42.059384467273702</v>
      </c>
      <c r="AX178" s="1597">
        <f t="shared" si="63"/>
        <v>-19.040615532726306</v>
      </c>
      <c r="AY178" s="1597">
        <f t="shared" si="46"/>
        <v>-275.80051745707146</v>
      </c>
      <c r="AZ178" s="1642">
        <f t="shared" si="47"/>
        <v>-525.19310538109278</v>
      </c>
      <c r="BA178" s="274">
        <f t="shared" si="64"/>
        <v>275.80051745707146</v>
      </c>
      <c r="BB178" s="275">
        <f t="shared" si="64"/>
        <v>525.19310538109278</v>
      </c>
      <c r="BM178" s="214"/>
      <c r="BN178" s="214"/>
      <c r="BO178" s="214"/>
      <c r="BP178" s="126"/>
      <c r="BQ178" s="126"/>
      <c r="BR178" s="126"/>
      <c r="BS178" s="126"/>
      <c r="BT178" s="126"/>
      <c r="BU178" s="126"/>
      <c r="BV178" s="203"/>
      <c r="BW178" s="203"/>
      <c r="BX178" s="203"/>
      <c r="BY178" s="203"/>
      <c r="BZ178" s="203"/>
      <c r="CA178" s="203"/>
      <c r="CB178" s="203"/>
      <c r="CC178" s="203"/>
      <c r="CD178" s="203"/>
      <c r="CE178" s="203"/>
      <c r="CF178" s="203"/>
      <c r="CG178" s="203"/>
      <c r="CH178" s="203"/>
      <c r="CI178" s="203"/>
    </row>
    <row r="179" spans="1:129" ht="21" customHeight="1" thickBot="1" x14ac:dyDescent="0.35">
      <c r="B179" s="277">
        <v>6</v>
      </c>
      <c r="C179" s="278"/>
      <c r="D179" s="25">
        <v>0.5</v>
      </c>
      <c r="E179" s="257" t="s">
        <v>305</v>
      </c>
      <c r="F179" s="258"/>
      <c r="G179" s="258">
        <f t="shared" ref="G179:G199" si="67">+D179+BC179</f>
        <v>0.5</v>
      </c>
      <c r="H179" s="1632">
        <v>251.073172</v>
      </c>
      <c r="I179" s="1633">
        <v>65.636175100000003</v>
      </c>
      <c r="J179" s="474">
        <f t="shared" si="48"/>
        <v>65.136175100000003</v>
      </c>
      <c r="K179" s="474">
        <f t="shared" si="49"/>
        <v>32.568087550000001</v>
      </c>
      <c r="L179" s="474">
        <f t="shared" si="36"/>
        <v>0.53830147457895938</v>
      </c>
      <c r="M179" s="474">
        <f t="shared" si="37"/>
        <v>135.15305871481669</v>
      </c>
      <c r="N179" s="474">
        <f t="shared" si="38"/>
        <v>270.30611742963339</v>
      </c>
      <c r="O179" s="474">
        <f>+C174+D175+D176+D177+D178+(D179/2)</f>
        <v>2.25</v>
      </c>
      <c r="P179" s="474">
        <f t="shared" si="39"/>
        <v>3.9259815759068568E-2</v>
      </c>
      <c r="Q179" s="474">
        <f t="shared" si="40"/>
        <v>10.61216836883656</v>
      </c>
      <c r="R179" s="474">
        <f t="shared" si="50"/>
        <v>229.86987076320548</v>
      </c>
      <c r="S179" s="474">
        <f t="shared" si="65"/>
        <v>240.48203913204205</v>
      </c>
      <c r="T179" s="476">
        <f t="shared" si="41"/>
        <v>240.48203913204205</v>
      </c>
      <c r="V179" s="1635">
        <f t="shared" si="42"/>
        <v>0</v>
      </c>
      <c r="W179" s="437"/>
      <c r="X179" s="437"/>
      <c r="Y179" s="437"/>
      <c r="Z179" s="437"/>
      <c r="AA179" s="437"/>
      <c r="AB179" s="295" t="str">
        <f t="shared" si="51"/>
        <v>use the locking pin</v>
      </c>
      <c r="AC179" s="1636" t="b">
        <f>IF(AD179=6,AF179)</f>
        <v>0</v>
      </c>
      <c r="AD179" s="1636">
        <f t="shared" si="52"/>
        <v>1</v>
      </c>
      <c r="AE179" s="1636">
        <f>IF(V179=0,0,6)</f>
        <v>0</v>
      </c>
      <c r="AF179" s="1637">
        <f>SUM(V179:V199)/($B$171-B178)</f>
        <v>0</v>
      </c>
      <c r="AG179" s="1638"/>
      <c r="AH179" s="450">
        <f>SUM(D175:D179)+$C$174</f>
        <v>2.5</v>
      </c>
      <c r="AI179" s="1639" t="b">
        <f t="shared" si="53"/>
        <v>0</v>
      </c>
      <c r="AJ179" s="718">
        <f t="shared" si="54"/>
        <v>72.999008599999996</v>
      </c>
      <c r="AK179" s="1639">
        <f t="shared" si="43"/>
        <v>0.95629969685548954</v>
      </c>
      <c r="AL179" s="1639">
        <f t="shared" si="55"/>
        <v>277.94168656161008</v>
      </c>
      <c r="AM179" s="1640">
        <f t="shared" si="56"/>
        <v>59.681912400000002</v>
      </c>
      <c r="AN179" s="1639">
        <f t="shared" si="57"/>
        <v>0.86323623418265283</v>
      </c>
      <c r="AO179" s="1641">
        <f t="shared" si="58"/>
        <v>216.73545950157347</v>
      </c>
      <c r="AP179" s="287">
        <f t="shared" si="44"/>
        <v>-41.623838544036907</v>
      </c>
      <c r="AQ179" s="444">
        <f t="shared" si="59"/>
        <v>-117.2</v>
      </c>
      <c r="AR179" s="444">
        <f t="shared" si="45"/>
        <v>-90.4</v>
      </c>
      <c r="AS179" s="445">
        <f t="shared" si="60"/>
        <v>494.67714606318356</v>
      </c>
      <c r="AT179" s="445">
        <f t="shared" si="66"/>
        <v>-216.73545950157347</v>
      </c>
      <c r="AU179" s="445">
        <f t="shared" si="61"/>
        <v>175.11162095753656</v>
      </c>
      <c r="AV179" s="447"/>
      <c r="AW179" s="447">
        <f>+((AS179-AU179)/AS179)*AR179</f>
        <v>-58.399147200264281</v>
      </c>
      <c r="AX179" s="1597">
        <f t="shared" si="63"/>
        <v>-32.000852799735725</v>
      </c>
      <c r="AY179" s="1597">
        <f t="shared" si="46"/>
        <v>-198.63303757195115</v>
      </c>
      <c r="AZ179" s="1642">
        <f t="shared" si="47"/>
        <v>-312.49167209951929</v>
      </c>
      <c r="BA179" s="274">
        <f t="shared" si="64"/>
        <v>198.63303757195115</v>
      </c>
      <c r="BB179" s="275">
        <f t="shared" si="64"/>
        <v>312.49167209951929</v>
      </c>
      <c r="BM179" s="214"/>
      <c r="BN179" s="214"/>
      <c r="BO179" s="214"/>
      <c r="CI179" s="236"/>
      <c r="CJ179" s="236"/>
      <c r="CK179" s="236"/>
      <c r="CL179" s="236"/>
      <c r="CM179" s="236"/>
      <c r="CN179" s="236"/>
    </row>
    <row r="180" spans="1:129" ht="21" customHeight="1" thickBot="1" x14ac:dyDescent="0.35">
      <c r="B180" s="277">
        <v>7</v>
      </c>
      <c r="C180" s="278"/>
      <c r="D180" s="25">
        <v>0.5</v>
      </c>
      <c r="E180" s="257" t="s">
        <v>305</v>
      </c>
      <c r="F180" s="258"/>
      <c r="G180" s="258">
        <f t="shared" si="67"/>
        <v>0.5</v>
      </c>
      <c r="H180" s="1632">
        <v>251.073172</v>
      </c>
      <c r="I180" s="1633">
        <v>65.636175100000003</v>
      </c>
      <c r="J180" s="474">
        <f t="shared" si="48"/>
        <v>65.136175100000003</v>
      </c>
      <c r="K180" s="474">
        <f t="shared" si="49"/>
        <v>32.568087550000001</v>
      </c>
      <c r="L180" s="474">
        <f t="shared" si="36"/>
        <v>0.53830147457895938</v>
      </c>
      <c r="M180" s="474">
        <f t="shared" si="37"/>
        <v>135.15305871481669</v>
      </c>
      <c r="N180" s="474">
        <f t="shared" si="38"/>
        <v>270.30611742963339</v>
      </c>
      <c r="O180" s="474">
        <f>+C174+D175+D176+D177+D178+D179+(D180/2)</f>
        <v>2.75</v>
      </c>
      <c r="P180" s="474">
        <f t="shared" si="39"/>
        <v>4.79781285213439E-2</v>
      </c>
      <c r="Q180" s="474">
        <f t="shared" si="40"/>
        <v>12.968781642144426</v>
      </c>
      <c r="R180" s="474">
        <f t="shared" si="50"/>
        <v>240.48203913204205</v>
      </c>
      <c r="S180" s="474">
        <f t="shared" si="65"/>
        <v>253.45082077418647</v>
      </c>
      <c r="T180" s="476">
        <f t="shared" si="41"/>
        <v>253.45082077418647</v>
      </c>
      <c r="V180" s="1635">
        <f t="shared" si="42"/>
        <v>0</v>
      </c>
      <c r="W180" s="437"/>
      <c r="X180" s="437"/>
      <c r="Y180" s="437"/>
      <c r="Z180" s="437"/>
      <c r="AA180" s="437"/>
      <c r="AB180" s="295" t="str">
        <f t="shared" si="51"/>
        <v>use the locking pin</v>
      </c>
      <c r="AC180" s="1636" t="b">
        <f>IF(AD180=7,AF180)</f>
        <v>0</v>
      </c>
      <c r="AD180" s="1636">
        <f t="shared" si="52"/>
        <v>1</v>
      </c>
      <c r="AE180" s="1636">
        <f>IF(V180=0,0,7)</f>
        <v>0</v>
      </c>
      <c r="AF180" s="1637">
        <f>SUM(V180:V199)/($B$171-B179)</f>
        <v>0</v>
      </c>
      <c r="AG180" s="1638"/>
      <c r="AH180" s="450">
        <f>SUM(D175:D180)+$C$174</f>
        <v>3</v>
      </c>
      <c r="AI180" s="1639" t="b">
        <f t="shared" si="53"/>
        <v>0</v>
      </c>
      <c r="AJ180" s="718">
        <f t="shared" si="54"/>
        <v>72.499008599999996</v>
      </c>
      <c r="AK180" s="1639">
        <f t="shared" si="43"/>
        <v>0.95371174743460796</v>
      </c>
      <c r="AL180" s="1639">
        <f t="shared" si="55"/>
        <v>277.18951751968609</v>
      </c>
      <c r="AM180" s="1640">
        <f t="shared" si="56"/>
        <v>60.181912400000002</v>
      </c>
      <c r="AN180" s="1639">
        <f t="shared" si="57"/>
        <v>0.86760852132903066</v>
      </c>
      <c r="AO180" s="1641">
        <f t="shared" si="58"/>
        <v>217.83322350430939</v>
      </c>
      <c r="AP180" s="287">
        <f t="shared" si="44"/>
        <v>-31.435213069180758</v>
      </c>
      <c r="AQ180" s="444">
        <f t="shared" si="59"/>
        <v>-146.5</v>
      </c>
      <c r="AR180" s="444">
        <f t="shared" si="45"/>
        <v>-119.7</v>
      </c>
      <c r="AS180" s="445">
        <f t="shared" si="60"/>
        <v>495.02274102399548</v>
      </c>
      <c r="AT180" s="445">
        <f t="shared" si="66"/>
        <v>-217.83322350430939</v>
      </c>
      <c r="AU180" s="445">
        <f t="shared" si="61"/>
        <v>186.39801043512864</v>
      </c>
      <c r="AV180" s="447"/>
      <c r="AW180" s="447">
        <f t="shared" si="62"/>
        <v>-74.627642712068123</v>
      </c>
      <c r="AX180" s="1597">
        <f t="shared" si="63"/>
        <v>-45.072357287931887</v>
      </c>
      <c r="AY180" s="1597">
        <f t="shared" si="46"/>
        <v>-155.4383815224563</v>
      </c>
      <c r="AZ180" s="1642">
        <f t="shared" si="47"/>
        <v>-221.86547590839004</v>
      </c>
      <c r="BA180" s="274">
        <f t="shared" si="64"/>
        <v>155.4383815224563</v>
      </c>
      <c r="BB180" s="275">
        <f t="shared" si="64"/>
        <v>221.86547590839004</v>
      </c>
      <c r="BM180" s="214"/>
      <c r="BN180" s="214"/>
      <c r="BO180" s="214"/>
    </row>
    <row r="181" spans="1:129" ht="21" customHeight="1" thickBot="1" x14ac:dyDescent="0.35">
      <c r="B181" s="277">
        <v>8</v>
      </c>
      <c r="C181" s="278"/>
      <c r="D181" s="25">
        <v>0.5</v>
      </c>
      <c r="E181" s="257" t="s">
        <v>305</v>
      </c>
      <c r="F181" s="258"/>
      <c r="G181" s="258">
        <f t="shared" si="67"/>
        <v>0.5</v>
      </c>
      <c r="H181" s="1632">
        <v>251.073172</v>
      </c>
      <c r="I181" s="1633">
        <v>65.636175100000003</v>
      </c>
      <c r="J181" s="474">
        <f t="shared" si="48"/>
        <v>65.136175100000003</v>
      </c>
      <c r="K181" s="474">
        <f t="shared" si="49"/>
        <v>32.568087550000001</v>
      </c>
      <c r="L181" s="474">
        <f t="shared" si="36"/>
        <v>0.53830147457895938</v>
      </c>
      <c r="M181" s="474">
        <f t="shared" si="37"/>
        <v>135.15305871481669</v>
      </c>
      <c r="N181" s="474">
        <f t="shared" si="38"/>
        <v>270.30611742963339</v>
      </c>
      <c r="O181" s="474">
        <f>+C174+D175+D176+D177+D178+D179+D180+(D181/2)</f>
        <v>3.25</v>
      </c>
      <c r="P181" s="474">
        <f t="shared" si="39"/>
        <v>5.6692787563377457E-2</v>
      </c>
      <c r="Q181" s="474">
        <f t="shared" si="40"/>
        <v>15.324407292519567</v>
      </c>
      <c r="R181" s="474">
        <f t="shared" si="50"/>
        <v>253.45082077418647</v>
      </c>
      <c r="S181" s="474">
        <f t="shared" si="65"/>
        <v>268.77522806670606</v>
      </c>
      <c r="T181" s="476">
        <f t="shared" si="41"/>
        <v>268.77522806670606</v>
      </c>
      <c r="V181" s="1635">
        <f t="shared" si="42"/>
        <v>0</v>
      </c>
      <c r="W181" s="437"/>
      <c r="X181" s="437"/>
      <c r="Y181" s="437"/>
      <c r="Z181" s="437"/>
      <c r="AA181" s="437"/>
      <c r="AB181" s="295" t="str">
        <f t="shared" si="51"/>
        <v>use the locking pin</v>
      </c>
      <c r="AC181" s="1636" t="b">
        <f>IF(AD181=8,AF181)</f>
        <v>0</v>
      </c>
      <c r="AD181" s="1636">
        <f t="shared" si="52"/>
        <v>1</v>
      </c>
      <c r="AE181" s="1636">
        <f>IF(V181=0,0,8)</f>
        <v>0</v>
      </c>
      <c r="AF181" s="1637">
        <f>SUM(V181:V199)/($B$171-B180)</f>
        <v>0</v>
      </c>
      <c r="AG181" s="1638"/>
      <c r="AH181" s="450">
        <f>SUM(D175:D181)+$C$174</f>
        <v>3.5</v>
      </c>
      <c r="AI181" s="1639" t="b">
        <f t="shared" si="53"/>
        <v>0</v>
      </c>
      <c r="AJ181" s="718">
        <f t="shared" si="54"/>
        <v>71.999008599999996</v>
      </c>
      <c r="AK181" s="1639">
        <f t="shared" si="43"/>
        <v>0.95105116917171384</v>
      </c>
      <c r="AL181" s="1639">
        <f t="shared" si="55"/>
        <v>276.41623942282013</v>
      </c>
      <c r="AM181" s="1640">
        <f t="shared" si="56"/>
        <v>60.681912400000002</v>
      </c>
      <c r="AN181" s="1639">
        <f t="shared" si="57"/>
        <v>0.87191473672742625</v>
      </c>
      <c r="AO181" s="1641">
        <f t="shared" si="58"/>
        <v>218.91439866369981</v>
      </c>
      <c r="AP181" s="287">
        <f t="shared" si="44"/>
        <v>-25.253657747523068</v>
      </c>
      <c r="AQ181" s="444">
        <f t="shared" si="59"/>
        <v>-175.8</v>
      </c>
      <c r="AR181" s="444">
        <f t="shared" si="45"/>
        <v>-149</v>
      </c>
      <c r="AS181" s="445">
        <f t="shared" si="60"/>
        <v>495.33063808651991</v>
      </c>
      <c r="AT181" s="445">
        <f t="shared" si="66"/>
        <v>-218.91439866369981</v>
      </c>
      <c r="AU181" s="445">
        <f t="shared" si="61"/>
        <v>193.66074091617674</v>
      </c>
      <c r="AV181" s="447"/>
      <c r="AW181" s="447">
        <f t="shared" si="62"/>
        <v>-90.745072527756449</v>
      </c>
      <c r="AX181" s="1597">
        <f t="shared" si="63"/>
        <v>-58.254927472243544</v>
      </c>
      <c r="AY181" s="1597">
        <f t="shared" si="46"/>
        <v>-127.83063230735614</v>
      </c>
      <c r="AZ181" s="1642">
        <f t="shared" si="47"/>
        <v>-171.65929877373298</v>
      </c>
      <c r="BA181" s="274">
        <f t="shared" si="64"/>
        <v>127.83063230735614</v>
      </c>
      <c r="BB181" s="275">
        <f t="shared" si="64"/>
        <v>171.65929877373298</v>
      </c>
      <c r="BM181" s="214"/>
      <c r="BN181" s="214"/>
      <c r="BO181" s="214"/>
    </row>
    <row r="182" spans="1:129" ht="21" customHeight="1" thickBot="1" x14ac:dyDescent="0.35">
      <c r="B182" s="277">
        <v>9</v>
      </c>
      <c r="C182" s="278"/>
      <c r="D182" s="25">
        <v>0.5</v>
      </c>
      <c r="E182" s="257" t="s">
        <v>305</v>
      </c>
      <c r="F182" s="258"/>
      <c r="G182" s="258">
        <f t="shared" si="67"/>
        <v>0.5</v>
      </c>
      <c r="H182" s="1632">
        <v>251.073172</v>
      </c>
      <c r="I182" s="1633">
        <v>65.636175100000003</v>
      </c>
      <c r="J182" s="474">
        <f t="shared" si="48"/>
        <v>65.136175100000003</v>
      </c>
      <c r="K182" s="474">
        <f t="shared" si="49"/>
        <v>32.568087550000001</v>
      </c>
      <c r="L182" s="474">
        <f t="shared" si="36"/>
        <v>0.53830147457895938</v>
      </c>
      <c r="M182" s="474">
        <f t="shared" si="37"/>
        <v>135.15305871481669</v>
      </c>
      <c r="N182" s="474">
        <f t="shared" si="38"/>
        <v>270.30611742963339</v>
      </c>
      <c r="O182" s="474">
        <f>+C174+D175+D176+D177+D178+D179+D180+D181+(D182/2)</f>
        <v>3.75</v>
      </c>
      <c r="P182" s="474">
        <f t="shared" si="39"/>
        <v>6.5403129230143006E-2</v>
      </c>
      <c r="Q182" s="474">
        <f t="shared" si="40"/>
        <v>17.678865929948522</v>
      </c>
      <c r="R182" s="474">
        <f t="shared" si="50"/>
        <v>268.77522806670606</v>
      </c>
      <c r="S182" s="474">
        <f t="shared" si="65"/>
        <v>286.45409399665459</v>
      </c>
      <c r="T182" s="476">
        <f t="shared" si="41"/>
        <v>286.45409399665459</v>
      </c>
      <c r="V182" s="1635">
        <f t="shared" si="42"/>
        <v>0</v>
      </c>
      <c r="W182" s="437"/>
      <c r="X182" s="437"/>
      <c r="Y182" s="437"/>
      <c r="Z182" s="437"/>
      <c r="AA182" s="437"/>
      <c r="AB182" s="295" t="str">
        <f t="shared" si="51"/>
        <v>use the locking pin</v>
      </c>
      <c r="AC182" s="1636" t="b">
        <f>IF(AD182=9,AF182)</f>
        <v>0</v>
      </c>
      <c r="AD182" s="1636">
        <f t="shared" si="52"/>
        <v>1</v>
      </c>
      <c r="AE182" s="1636">
        <f>IF(V182=0,0,9)</f>
        <v>0</v>
      </c>
      <c r="AF182" s="1637">
        <f>SUM(V182:V199)/($B$171-B181)</f>
        <v>0</v>
      </c>
      <c r="AG182" s="1638"/>
      <c r="AH182" s="450">
        <f>SUM(D175:D182)+$C$174</f>
        <v>4</v>
      </c>
      <c r="AI182" s="1639" t="b">
        <f t="shared" si="53"/>
        <v>0</v>
      </c>
      <c r="AJ182" s="718">
        <f t="shared" si="54"/>
        <v>71.499008599999996</v>
      </c>
      <c r="AK182" s="1639">
        <f t="shared" si="43"/>
        <v>0.94831816468014318</v>
      </c>
      <c r="AL182" s="1639">
        <f t="shared" si="55"/>
        <v>275.62191115913316</v>
      </c>
      <c r="AM182" s="1640">
        <f t="shared" si="56"/>
        <v>61.181912400000002</v>
      </c>
      <c r="AN182" s="1639">
        <f t="shared" si="57"/>
        <v>0.87615455244286489</v>
      </c>
      <c r="AO182" s="1641">
        <f t="shared" si="58"/>
        <v>219.97890264407044</v>
      </c>
      <c r="AP182" s="287">
        <f t="shared" si="44"/>
        <v>-21.103729693667624</v>
      </c>
      <c r="AQ182" s="444">
        <f t="shared" si="59"/>
        <v>-205.1</v>
      </c>
      <c r="AR182" s="444">
        <f t="shared" si="45"/>
        <v>-178.29999999999998</v>
      </c>
      <c r="AS182" s="445">
        <f t="shared" si="60"/>
        <v>495.60081380320361</v>
      </c>
      <c r="AT182" s="445">
        <f t="shared" si="66"/>
        <v>-219.97890264407044</v>
      </c>
      <c r="AU182" s="445">
        <f t="shared" si="61"/>
        <v>198.87517295040283</v>
      </c>
      <c r="AV182" s="447"/>
      <c r="AW182" s="447">
        <f t="shared" si="62"/>
        <v>-106.75160389277065</v>
      </c>
      <c r="AX182" s="1597">
        <f t="shared" si="63"/>
        <v>-71.548396107229337</v>
      </c>
      <c r="AY182" s="1597">
        <f t="shared" si="46"/>
        <v>-108.66347274418391</v>
      </c>
      <c r="AZ182" s="1642">
        <f t="shared" si="47"/>
        <v>-139.76553695226144</v>
      </c>
      <c r="BA182" s="274">
        <f t="shared" si="64"/>
        <v>108.66347274418391</v>
      </c>
      <c r="BB182" s="275">
        <f t="shared" si="64"/>
        <v>139.76553695226144</v>
      </c>
      <c r="BM182" s="214"/>
      <c r="BN182" s="214"/>
      <c r="BO182" s="214"/>
    </row>
    <row r="183" spans="1:129" ht="21" customHeight="1" thickBot="1" x14ac:dyDescent="0.35">
      <c r="B183" s="277">
        <v>10</v>
      </c>
      <c r="C183" s="278"/>
      <c r="D183" s="25">
        <v>0.5</v>
      </c>
      <c r="E183" s="257" t="s">
        <v>305</v>
      </c>
      <c r="F183" s="258"/>
      <c r="G183" s="258">
        <f t="shared" si="67"/>
        <v>0.5</v>
      </c>
      <c r="H183" s="1632">
        <v>251.073172</v>
      </c>
      <c r="I183" s="1633">
        <v>65.636175100000003</v>
      </c>
      <c r="J183" s="474">
        <f t="shared" si="48"/>
        <v>65.136175100000003</v>
      </c>
      <c r="K183" s="474">
        <f t="shared" si="49"/>
        <v>32.568087550000001</v>
      </c>
      <c r="L183" s="474">
        <f t="shared" si="36"/>
        <v>0.53830147457895938</v>
      </c>
      <c r="M183" s="474">
        <f t="shared" si="37"/>
        <v>135.15305871481669</v>
      </c>
      <c r="N183" s="474">
        <f t="shared" si="38"/>
        <v>270.30611742963339</v>
      </c>
      <c r="O183" s="474">
        <f>+C174+D175+D176+D177+D178+D179+D180+D181+D182+(D183/2)</f>
        <v>4.25</v>
      </c>
      <c r="P183" s="474">
        <f t="shared" si="39"/>
        <v>7.4108490195399154E-2</v>
      </c>
      <c r="Q183" s="474">
        <f t="shared" si="40"/>
        <v>20.031978253290397</v>
      </c>
      <c r="R183" s="474">
        <f t="shared" si="50"/>
        <v>286.45409399665459</v>
      </c>
      <c r="S183" s="474">
        <f t="shared" si="65"/>
        <v>306.48607224994498</v>
      </c>
      <c r="T183" s="476">
        <f t="shared" si="41"/>
        <v>306.48607224994498</v>
      </c>
      <c r="V183" s="1635">
        <f t="shared" si="42"/>
        <v>0</v>
      </c>
      <c r="W183" s="437"/>
      <c r="X183" s="437"/>
      <c r="Y183" s="437"/>
      <c r="Z183" s="437"/>
      <c r="AA183" s="437"/>
      <c r="AB183" s="295" t="str">
        <f t="shared" si="51"/>
        <v>use the locking pin</v>
      </c>
      <c r="AC183" s="1636" t="b">
        <f>IF(AD183=10,AF183)</f>
        <v>0</v>
      </c>
      <c r="AD183" s="1636">
        <f t="shared" si="52"/>
        <v>1</v>
      </c>
      <c r="AE183" s="1636">
        <f>IF(V183=0,0,10)</f>
        <v>0</v>
      </c>
      <c r="AF183" s="1637">
        <f>SUM(V183:V199)/($B$171-B182)</f>
        <v>0</v>
      </c>
      <c r="AG183" s="1638"/>
      <c r="AH183" s="450">
        <f>SUM(D175:D183)+$C$174</f>
        <v>4.5</v>
      </c>
      <c r="AI183" s="1639" t="b">
        <f t="shared" si="53"/>
        <v>0</v>
      </c>
      <c r="AJ183" s="718">
        <f t="shared" si="54"/>
        <v>70.999008599999996</v>
      </c>
      <c r="AK183" s="1639">
        <f t="shared" si="43"/>
        <v>0.94551294208876902</v>
      </c>
      <c r="AL183" s="1639">
        <f t="shared" si="55"/>
        <v>274.80659321979778</v>
      </c>
      <c r="AM183" s="1640">
        <f t="shared" si="56"/>
        <v>61.681912400000002</v>
      </c>
      <c r="AN183" s="1639">
        <f t="shared" si="57"/>
        <v>0.88032764559696475</v>
      </c>
      <c r="AO183" s="1641">
        <f t="shared" si="58"/>
        <v>221.02665437932177</v>
      </c>
      <c r="AP183" s="287">
        <f t="shared" si="44"/>
        <v>-18.125216784108559</v>
      </c>
      <c r="AQ183" s="444">
        <f t="shared" si="59"/>
        <v>-234.4</v>
      </c>
      <c r="AR183" s="444">
        <f t="shared" si="45"/>
        <v>-207.6</v>
      </c>
      <c r="AS183" s="445">
        <f t="shared" si="60"/>
        <v>495.83324759911955</v>
      </c>
      <c r="AT183" s="445">
        <f t="shared" si="66"/>
        <v>-221.02665437932177</v>
      </c>
      <c r="AU183" s="445">
        <f t="shared" si="61"/>
        <v>202.90143759521322</v>
      </c>
      <c r="AV183" s="447"/>
      <c r="AW183" s="447">
        <f t="shared" si="62"/>
        <v>-122.64736996010781</v>
      </c>
      <c r="AX183" s="1597">
        <f t="shared" si="63"/>
        <v>-84.952630039892185</v>
      </c>
      <c r="AY183" s="1597">
        <f t="shared" si="46"/>
        <v>-94.580095796371396</v>
      </c>
      <c r="AZ183" s="1642">
        <f t="shared" si="47"/>
        <v>-117.71265934090781</v>
      </c>
      <c r="BA183" s="274">
        <f t="shared" si="64"/>
        <v>94.580095796371396</v>
      </c>
      <c r="BB183" s="275">
        <f t="shared" si="64"/>
        <v>117.71265934090781</v>
      </c>
      <c r="BM183" s="214"/>
      <c r="BN183" s="214"/>
      <c r="BO183" s="214"/>
    </row>
    <row r="184" spans="1:129" ht="21" customHeight="1" thickBot="1" x14ac:dyDescent="0.35">
      <c r="A184" s="296"/>
      <c r="B184" s="277">
        <v>11</v>
      </c>
      <c r="C184" s="278"/>
      <c r="D184" s="25">
        <v>0.5</v>
      </c>
      <c r="E184" s="257" t="s">
        <v>305</v>
      </c>
      <c r="F184" s="258"/>
      <c r="G184" s="258">
        <f t="shared" si="67"/>
        <v>0.5</v>
      </c>
      <c r="H184" s="1632">
        <v>251.073172</v>
      </c>
      <c r="I184" s="1633">
        <v>65.636175100000003</v>
      </c>
      <c r="J184" s="474">
        <f t="shared" si="48"/>
        <v>65.136175100000003</v>
      </c>
      <c r="K184" s="474">
        <f t="shared" si="49"/>
        <v>32.568087550000001</v>
      </c>
      <c r="L184" s="474">
        <f t="shared" si="36"/>
        <v>0.53830147457895938</v>
      </c>
      <c r="M184" s="474">
        <f t="shared" si="37"/>
        <v>135.15305871481669</v>
      </c>
      <c r="N184" s="474">
        <f t="shared" si="38"/>
        <v>270.30611742963339</v>
      </c>
      <c r="O184" s="474">
        <f>+C174+D175+D176+D177+D178+D179+D180+D181+D182+D183+(D184/2)</f>
        <v>4.75</v>
      </c>
      <c r="P184" s="474">
        <f t="shared" si="39"/>
        <v>8.280820751220426E-2</v>
      </c>
      <c r="Q184" s="474">
        <f t="shared" si="40"/>
        <v>22.383565063931336</v>
      </c>
      <c r="R184" s="474">
        <f t="shared" si="50"/>
        <v>306.48607224994498</v>
      </c>
      <c r="S184" s="474">
        <f t="shared" si="65"/>
        <v>328.8696373138763</v>
      </c>
      <c r="T184" s="476">
        <f t="shared" si="41"/>
        <v>328.8696373138763</v>
      </c>
      <c r="V184" s="1635">
        <f t="shared" si="42"/>
        <v>0</v>
      </c>
      <c r="W184" s="437"/>
      <c r="X184" s="437"/>
      <c r="Y184" s="437"/>
      <c r="Z184" s="437"/>
      <c r="AA184" s="437"/>
      <c r="AB184" s="295" t="str">
        <f t="shared" si="51"/>
        <v>use the locking pin</v>
      </c>
      <c r="AC184" s="1636" t="b">
        <f>IF(AD184=11,AF184)</f>
        <v>0</v>
      </c>
      <c r="AD184" s="1636">
        <f t="shared" si="52"/>
        <v>1</v>
      </c>
      <c r="AE184" s="1636">
        <f>IF(V184=0,0,11)</f>
        <v>0</v>
      </c>
      <c r="AF184" s="1637">
        <f>SUM(V184:V199)/($B$171-B183)</f>
        <v>0</v>
      </c>
      <c r="AG184" s="1638"/>
      <c r="AH184" s="450">
        <f>SUM(D175:D184)+$C$174</f>
        <v>5</v>
      </c>
      <c r="AI184" s="1639" t="b">
        <f t="shared" si="53"/>
        <v>0</v>
      </c>
      <c r="AJ184" s="718">
        <f t="shared" si="54"/>
        <v>70.499008599999996</v>
      </c>
      <c r="AK184" s="1639">
        <f t="shared" si="43"/>
        <v>0.94263571502615251</v>
      </c>
      <c r="AL184" s="1639">
        <f t="shared" si="55"/>
        <v>273.97034769443167</v>
      </c>
      <c r="AM184" s="1640">
        <f t="shared" si="56"/>
        <v>62.181912400000002</v>
      </c>
      <c r="AN184" s="1639">
        <f t="shared" si="57"/>
        <v>0.88443369839252528</v>
      </c>
      <c r="AO184" s="1641">
        <f t="shared" si="58"/>
        <v>222.05757407910264</v>
      </c>
      <c r="AP184" s="287">
        <f t="shared" si="44"/>
        <v>-15.883474058171959</v>
      </c>
      <c r="AQ184" s="444">
        <f t="shared" si="59"/>
        <v>-263.7</v>
      </c>
      <c r="AR184" s="444">
        <f t="shared" si="45"/>
        <v>-236.89999999999998</v>
      </c>
      <c r="AS184" s="445">
        <f t="shared" si="60"/>
        <v>496.02792177353433</v>
      </c>
      <c r="AT184" s="445">
        <f t="shared" si="66"/>
        <v>-222.05757407910264</v>
      </c>
      <c r="AU184" s="445">
        <f t="shared" si="61"/>
        <v>206.17410002093067</v>
      </c>
      <c r="AV184" s="447"/>
      <c r="AW184" s="447">
        <f t="shared" si="62"/>
        <v>-138.43246994579874</v>
      </c>
      <c r="AX184" s="1597">
        <f t="shared" si="63"/>
        <v>-98.467530054201234</v>
      </c>
      <c r="AY184" s="1597">
        <f t="shared" si="46"/>
        <v>-83.795369717392276</v>
      </c>
      <c r="AZ184" s="1642">
        <f t="shared" si="47"/>
        <v>-101.55632008333633</v>
      </c>
      <c r="BA184" s="274">
        <f t="shared" si="64"/>
        <v>83.795369717392276</v>
      </c>
      <c r="BB184" s="275">
        <f t="shared" si="64"/>
        <v>101.55632008333633</v>
      </c>
      <c r="BM184" s="214"/>
      <c r="BN184" s="214"/>
      <c r="BO184" s="214"/>
    </row>
    <row r="185" spans="1:129" ht="21" customHeight="1" thickBot="1" x14ac:dyDescent="0.35">
      <c r="A185" s="296"/>
      <c r="B185" s="277">
        <v>12</v>
      </c>
      <c r="C185" s="278"/>
      <c r="D185" s="25">
        <v>0.5</v>
      </c>
      <c r="E185" s="257" t="s">
        <v>305</v>
      </c>
      <c r="F185" s="258"/>
      <c r="G185" s="258">
        <f t="shared" si="67"/>
        <v>0.5</v>
      </c>
      <c r="H185" s="1632">
        <v>251.073172</v>
      </c>
      <c r="I185" s="1633">
        <v>65.636175100000003</v>
      </c>
      <c r="J185" s="474">
        <f t="shared" si="48"/>
        <v>65.136175100000003</v>
      </c>
      <c r="K185" s="474">
        <f t="shared" si="49"/>
        <v>32.568087550000001</v>
      </c>
      <c r="L185" s="474">
        <f t="shared" si="36"/>
        <v>0.53830147457895938</v>
      </c>
      <c r="M185" s="474">
        <f t="shared" si="37"/>
        <v>135.15305871481669</v>
      </c>
      <c r="N185" s="474">
        <f t="shared" si="38"/>
        <v>270.30611742963339</v>
      </c>
      <c r="O185" s="474">
        <f>+C174+D175+D176+D177+D178+D179+D180+D181+D182+D183+D184+(D185/2)</f>
        <v>5.25</v>
      </c>
      <c r="P185" s="474">
        <f t="shared" si="39"/>
        <v>9.1501618663402284E-2</v>
      </c>
      <c r="Q185" s="474">
        <f t="shared" si="40"/>
        <v>24.733447279431154</v>
      </c>
      <c r="R185" s="474">
        <f t="shared" si="50"/>
        <v>328.8696373138763</v>
      </c>
      <c r="S185" s="474">
        <f t="shared" si="65"/>
        <v>353.60308459330747</v>
      </c>
      <c r="T185" s="476">
        <f t="shared" si="41"/>
        <v>353.60308459330747</v>
      </c>
      <c r="V185" s="1635">
        <f t="shared" si="42"/>
        <v>0</v>
      </c>
      <c r="W185" s="437"/>
      <c r="X185" s="437"/>
      <c r="Y185" s="437"/>
      <c r="Z185" s="437"/>
      <c r="AA185" s="437"/>
      <c r="AB185" s="295" t="str">
        <f t="shared" si="51"/>
        <v>use the locking pin</v>
      </c>
      <c r="AC185" s="1636" t="b">
        <f>IF(AD185=12,AF185)</f>
        <v>0</v>
      </c>
      <c r="AD185" s="1636">
        <f t="shared" si="52"/>
        <v>1</v>
      </c>
      <c r="AE185" s="1636">
        <f>IF(V185=0,0,12)</f>
        <v>0</v>
      </c>
      <c r="AF185" s="1637">
        <f>SUM(V185:V199)/($B$171-B184)</f>
        <v>0</v>
      </c>
      <c r="AG185" s="1638"/>
      <c r="AH185" s="450">
        <f>SUM(D175:D185)+$C$174</f>
        <v>5.5</v>
      </c>
      <c r="AI185" s="1639" t="b">
        <f t="shared" si="53"/>
        <v>0</v>
      </c>
      <c r="AJ185" s="718">
        <f t="shared" si="54"/>
        <v>69.999008599999996</v>
      </c>
      <c r="AK185" s="1639">
        <f t="shared" si="43"/>
        <v>0.93968670260427423</v>
      </c>
      <c r="AL185" s="1639">
        <f t="shared" si="55"/>
        <v>273.11323826636936</v>
      </c>
      <c r="AM185" s="1640">
        <f t="shared" si="56"/>
        <v>62.681912400000002</v>
      </c>
      <c r="AN185" s="1639">
        <f t="shared" si="57"/>
        <v>0.88847239813772905</v>
      </c>
      <c r="AO185" s="1641">
        <f t="shared" si="58"/>
        <v>223.07158323488653</v>
      </c>
      <c r="AP185" s="287">
        <f t="shared" si="44"/>
        <v>-14.135217897749575</v>
      </c>
      <c r="AQ185" s="444">
        <f t="shared" si="59"/>
        <v>-293</v>
      </c>
      <c r="AR185" s="444">
        <f t="shared" si="45"/>
        <v>-266.2</v>
      </c>
      <c r="AS185" s="445">
        <f t="shared" si="60"/>
        <v>496.1848215012559</v>
      </c>
      <c r="AT185" s="445">
        <f t="shared" si="66"/>
        <v>-223.07158323488653</v>
      </c>
      <c r="AU185" s="445">
        <f t="shared" si="61"/>
        <v>208.93636533713695</v>
      </c>
      <c r="AV185" s="447"/>
      <c r="AW185" s="447">
        <f t="shared" si="62"/>
        <v>-154.10696925297808</v>
      </c>
      <c r="AX185" s="1597">
        <f t="shared" si="63"/>
        <v>-112.09303074702191</v>
      </c>
      <c r="AY185" s="1597">
        <f t="shared" si="46"/>
        <v>-75.272390705171389</v>
      </c>
      <c r="AZ185" s="1642">
        <f t="shared" si="47"/>
        <v>-89.211612295224512</v>
      </c>
      <c r="BA185" s="274">
        <f t="shared" si="64"/>
        <v>75.272390705171389</v>
      </c>
      <c r="BB185" s="275">
        <f t="shared" si="64"/>
        <v>89.211612295224512</v>
      </c>
      <c r="BM185" s="214"/>
      <c r="BN185" s="214"/>
      <c r="BO185" s="214"/>
    </row>
    <row r="186" spans="1:129" ht="21" customHeight="1" thickBot="1" x14ac:dyDescent="0.35">
      <c r="B186" s="277">
        <v>13</v>
      </c>
      <c r="C186" s="278"/>
      <c r="D186" s="25">
        <v>0.5</v>
      </c>
      <c r="E186" s="257" t="s">
        <v>305</v>
      </c>
      <c r="F186" s="258"/>
      <c r="G186" s="258">
        <f t="shared" si="67"/>
        <v>0.5</v>
      </c>
      <c r="H186" s="1632">
        <v>251.073172</v>
      </c>
      <c r="I186" s="1633">
        <v>65.636175100000003</v>
      </c>
      <c r="J186" s="474">
        <f t="shared" si="48"/>
        <v>65.136175100000003</v>
      </c>
      <c r="K186" s="474">
        <f t="shared" si="49"/>
        <v>32.568087550000001</v>
      </c>
      <c r="L186" s="474">
        <f t="shared" si="36"/>
        <v>0.53830147457895938</v>
      </c>
      <c r="M186" s="474">
        <f t="shared" si="37"/>
        <v>135.15305871481669</v>
      </c>
      <c r="N186" s="474">
        <f t="shared" si="38"/>
        <v>270.30611742963339</v>
      </c>
      <c r="O186" s="474">
        <f>+C174+D175+D176+D177+D178+D179+D180+D181+D182+D183+D184+D185+(D186/2)</f>
        <v>5.75</v>
      </c>
      <c r="P186" s="474">
        <f t="shared" si="39"/>
        <v>0.10018806161207618</v>
      </c>
      <c r="Q186" s="474">
        <f t="shared" si="40"/>
        <v>27.081445947161207</v>
      </c>
      <c r="R186" s="474">
        <f t="shared" si="50"/>
        <v>353.60308459330747</v>
      </c>
      <c r="S186" s="474">
        <f t="shared" si="65"/>
        <v>380.6845305404687</v>
      </c>
      <c r="T186" s="476">
        <f t="shared" si="41"/>
        <v>380.6845305404687</v>
      </c>
      <c r="V186" s="1635">
        <f t="shared" si="42"/>
        <v>0</v>
      </c>
      <c r="W186" s="437"/>
      <c r="X186" s="437"/>
      <c r="Y186" s="437"/>
      <c r="Z186" s="437"/>
      <c r="AA186" s="437"/>
      <c r="AB186" s="295" t="str">
        <f t="shared" si="51"/>
        <v>use the locking pin</v>
      </c>
      <c r="AC186" s="1636" t="b">
        <f>IF(AD186=13,AF186)</f>
        <v>0</v>
      </c>
      <c r="AD186" s="1636">
        <f t="shared" si="52"/>
        <v>1</v>
      </c>
      <c r="AE186" s="1636">
        <f>IF(V186=0,0,13)</f>
        <v>0</v>
      </c>
      <c r="AF186" s="1637">
        <f>SUM(V186:V199)/($B$171-B185)</f>
        <v>0</v>
      </c>
      <c r="AG186" s="1638"/>
      <c r="AH186" s="450">
        <f>SUM(D175:D186)+$C$174</f>
        <v>6</v>
      </c>
      <c r="AI186" s="1639" t="b">
        <f t="shared" si="53"/>
        <v>0</v>
      </c>
      <c r="AJ186" s="718">
        <f t="shared" si="54"/>
        <v>69.499008599999996</v>
      </c>
      <c r="AK186" s="1639">
        <f t="shared" si="43"/>
        <v>0.93666612940184768</v>
      </c>
      <c r="AL186" s="1639">
        <f t="shared" si="55"/>
        <v>272.23533020781213</v>
      </c>
      <c r="AM186" s="1640">
        <f t="shared" si="56"/>
        <v>63.181912400000002</v>
      </c>
      <c r="AN186" s="1639">
        <f t="shared" si="57"/>
        <v>0.8924434372699539</v>
      </c>
      <c r="AO186" s="1641">
        <f t="shared" si="58"/>
        <v>224.06860462595034</v>
      </c>
      <c r="AP186" s="287">
        <f t="shared" si="44"/>
        <v>-12.733654837160531</v>
      </c>
      <c r="AQ186" s="444">
        <f t="shared" si="59"/>
        <v>-322.3</v>
      </c>
      <c r="AR186" s="444">
        <f t="shared" si="45"/>
        <v>-295.5</v>
      </c>
      <c r="AS186" s="445">
        <f t="shared" si="60"/>
        <v>496.30393483376247</v>
      </c>
      <c r="AT186" s="445">
        <f t="shared" si="66"/>
        <v>-224.06860462595034</v>
      </c>
      <c r="AU186" s="445">
        <f t="shared" si="61"/>
        <v>211.3349497887898</v>
      </c>
      <c r="AV186" s="447"/>
      <c r="AW186" s="447">
        <f t="shared" si="62"/>
        <v>-169.67089956479006</v>
      </c>
      <c r="AX186" s="1597">
        <f t="shared" si="63"/>
        <v>-125.82910043520995</v>
      </c>
      <c r="AY186" s="1597">
        <f t="shared" si="46"/>
        <v>-68.367646012099186</v>
      </c>
      <c r="AZ186" s="1642">
        <f t="shared" si="47"/>
        <v>-79.472872057517819</v>
      </c>
      <c r="BA186" s="274">
        <f t="shared" si="64"/>
        <v>68.367646012099186</v>
      </c>
      <c r="BB186" s="275">
        <f t="shared" si="64"/>
        <v>79.472872057517819</v>
      </c>
      <c r="BM186" s="214"/>
      <c r="BN186" s="214"/>
      <c r="BO186" s="214"/>
      <c r="DE186" s="126"/>
    </row>
    <row r="187" spans="1:129" ht="21" customHeight="1" thickBot="1" x14ac:dyDescent="0.35">
      <c r="B187" s="277">
        <v>14</v>
      </c>
      <c r="C187" s="278"/>
      <c r="D187" s="25">
        <v>0.5</v>
      </c>
      <c r="E187" s="257" t="s">
        <v>305</v>
      </c>
      <c r="F187" s="258"/>
      <c r="G187" s="258">
        <f t="shared" si="67"/>
        <v>0.5</v>
      </c>
      <c r="H187" s="1632">
        <v>251.073172</v>
      </c>
      <c r="I187" s="1633">
        <v>65.636175100000003</v>
      </c>
      <c r="J187" s="474">
        <f t="shared" si="48"/>
        <v>65.136175100000003</v>
      </c>
      <c r="K187" s="474">
        <f t="shared" si="49"/>
        <v>32.568087550000001</v>
      </c>
      <c r="L187" s="474">
        <f t="shared" si="36"/>
        <v>0.53830147457895938</v>
      </c>
      <c r="M187" s="474">
        <f t="shared" si="37"/>
        <v>135.15305871481669</v>
      </c>
      <c r="N187" s="474">
        <f t="shared" si="38"/>
        <v>270.30611742963339</v>
      </c>
      <c r="O187" s="474">
        <f>+C174+D175+D176+D177+D178+D179+D180+D181+D182+D183+D184+D185+D186+(D187/2)</f>
        <v>6.25</v>
      </c>
      <c r="P187" s="474">
        <f t="shared" si="39"/>
        <v>0.10886687485196446</v>
      </c>
      <c r="Q187" s="474">
        <f t="shared" si="40"/>
        <v>29.427382257932308</v>
      </c>
      <c r="R187" s="474">
        <f t="shared" si="50"/>
        <v>380.6845305404687</v>
      </c>
      <c r="S187" s="474">
        <f t="shared" si="65"/>
        <v>410.11191279840102</v>
      </c>
      <c r="T187" s="476">
        <f t="shared" si="41"/>
        <v>410.11191279840102</v>
      </c>
      <c r="V187" s="1635">
        <f t="shared" si="42"/>
        <v>0</v>
      </c>
      <c r="W187" s="437"/>
      <c r="X187" s="437"/>
      <c r="Y187" s="437"/>
      <c r="Z187" s="437"/>
      <c r="AA187" s="437"/>
      <c r="AB187" s="295" t="str">
        <f t="shared" si="51"/>
        <v>use the locking pin</v>
      </c>
      <c r="AC187" s="1636" t="b">
        <f>IF(AD187=14,AF187)</f>
        <v>0</v>
      </c>
      <c r="AD187" s="1636">
        <f t="shared" si="52"/>
        <v>1</v>
      </c>
      <c r="AE187" s="1636">
        <f>IF(V187=0,0,14)</f>
        <v>0</v>
      </c>
      <c r="AF187" s="1637">
        <f>SUM(V187:V199)/($B$171-B186)</f>
        <v>0</v>
      </c>
      <c r="AG187" s="1638"/>
      <c r="AH187" s="450">
        <f>SUM(D175:D187)+$C$174</f>
        <v>6.5</v>
      </c>
      <c r="AI187" s="1639" t="b">
        <f t="shared" si="53"/>
        <v>0</v>
      </c>
      <c r="AJ187" s="718">
        <f t="shared" si="54"/>
        <v>68.999008599999996</v>
      </c>
      <c r="AK187" s="1639">
        <f t="shared" si="43"/>
        <v>0.9335742254472168</v>
      </c>
      <c r="AL187" s="1639">
        <f t="shared" si="55"/>
        <v>271.33669037485771</v>
      </c>
      <c r="AM187" s="1640">
        <f t="shared" si="56"/>
        <v>63.681912400000002</v>
      </c>
      <c r="AN187" s="1639">
        <f t="shared" si="57"/>
        <v>0.89634651337919524</v>
      </c>
      <c r="AO187" s="1641">
        <f t="shared" si="58"/>
        <v>225.04856232525498</v>
      </c>
      <c r="AP187" s="287">
        <f t="shared" si="44"/>
        <v>-11.584959988857564</v>
      </c>
      <c r="AQ187" s="444">
        <f t="shared" si="59"/>
        <v>-351.6</v>
      </c>
      <c r="AR187" s="444">
        <f t="shared" si="45"/>
        <v>-324.8</v>
      </c>
      <c r="AS187" s="445">
        <f t="shared" si="60"/>
        <v>496.38525270011269</v>
      </c>
      <c r="AT187" s="445">
        <f t="shared" si="66"/>
        <v>-225.04856232525498</v>
      </c>
      <c r="AU187" s="445">
        <f t="shared" si="61"/>
        <v>213.4636023363974</v>
      </c>
      <c r="AV187" s="447"/>
      <c r="AW187" s="447">
        <f t="shared" si="62"/>
        <v>-185.12425890631997</v>
      </c>
      <c r="AX187" s="1597">
        <f t="shared" si="63"/>
        <v>-139.67574109368002</v>
      </c>
      <c r="AY187" s="1597">
        <f t="shared" si="46"/>
        <v>-62.660615461910091</v>
      </c>
      <c r="AZ187" s="1642">
        <f t="shared" si="47"/>
        <v>-71.594393712885591</v>
      </c>
      <c r="BA187" s="274">
        <f t="shared" si="64"/>
        <v>62.660615461910091</v>
      </c>
      <c r="BB187" s="275">
        <f t="shared" si="64"/>
        <v>71.594393712885591</v>
      </c>
      <c r="BM187" s="214"/>
      <c r="BN187" s="214"/>
      <c r="BO187" s="214"/>
      <c r="DE187" s="126"/>
    </row>
    <row r="188" spans="1:129" ht="21" customHeight="1" thickBot="1" x14ac:dyDescent="0.35">
      <c r="B188" s="277">
        <v>15</v>
      </c>
      <c r="C188" s="278"/>
      <c r="D188" s="25">
        <v>0.5</v>
      </c>
      <c r="E188" s="257" t="s">
        <v>305</v>
      </c>
      <c r="F188" s="258"/>
      <c r="G188" s="258">
        <f t="shared" si="67"/>
        <v>0.5</v>
      </c>
      <c r="H188" s="1632">
        <v>251.073172</v>
      </c>
      <c r="I188" s="1633">
        <v>65.636175100000003</v>
      </c>
      <c r="J188" s="474">
        <f t="shared" si="48"/>
        <v>65.136175100000003</v>
      </c>
      <c r="K188" s="474">
        <f t="shared" si="49"/>
        <v>32.568087550000001</v>
      </c>
      <c r="L188" s="474">
        <f t="shared" si="36"/>
        <v>0.53830147457895938</v>
      </c>
      <c r="M188" s="474">
        <f t="shared" si="37"/>
        <v>135.15305871481669</v>
      </c>
      <c r="N188" s="474">
        <f t="shared" si="38"/>
        <v>270.30611742963339</v>
      </c>
      <c r="O188" s="474">
        <f>+C174+D175+D176+D177+D178+D179+D180+D181+D182+D183+D184+D185+D186+D187+(D188/2)</f>
        <v>6.75</v>
      </c>
      <c r="P188" s="474">
        <f t="shared" si="39"/>
        <v>0.11753739745783752</v>
      </c>
      <c r="Q188" s="474">
        <f t="shared" si="40"/>
        <v>31.771077559611722</v>
      </c>
      <c r="R188" s="474">
        <f t="shared" si="50"/>
        <v>410.11191279840102</v>
      </c>
      <c r="S188" s="474">
        <f t="shared" si="65"/>
        <v>441.88299035801276</v>
      </c>
      <c r="T188" s="476">
        <f t="shared" si="41"/>
        <v>441.88299035801276</v>
      </c>
      <c r="V188" s="1635">
        <f t="shared" si="42"/>
        <v>0</v>
      </c>
      <c r="W188" s="437"/>
      <c r="X188" s="437"/>
      <c r="Y188" s="437"/>
      <c r="Z188" s="437"/>
      <c r="AA188" s="437"/>
      <c r="AB188" s="295" t="str">
        <f t="shared" si="51"/>
        <v>use the locking pin</v>
      </c>
      <c r="AC188" s="1636" t="b">
        <f>IF(AD188=15,AF188)</f>
        <v>0</v>
      </c>
      <c r="AD188" s="1636">
        <f t="shared" si="52"/>
        <v>1</v>
      </c>
      <c r="AE188" s="1636">
        <f>IF(V188=0,0,15)</f>
        <v>0</v>
      </c>
      <c r="AF188" s="1637">
        <f>SUM(V188:V199)/($B$171-B187)</f>
        <v>0</v>
      </c>
      <c r="AG188" s="1638"/>
      <c r="AH188" s="450">
        <f>SUM(D175:D188)+$C$174</f>
        <v>7</v>
      </c>
      <c r="AI188" s="1639" t="b">
        <f t="shared" si="53"/>
        <v>0</v>
      </c>
      <c r="AJ188" s="718">
        <f t="shared" si="54"/>
        <v>68.499008599999996</v>
      </c>
      <c r="AK188" s="1639">
        <f t="shared" si="43"/>
        <v>0.93041122620083849</v>
      </c>
      <c r="AL188" s="1639">
        <f t="shared" si="55"/>
        <v>270.41738720240846</v>
      </c>
      <c r="AM188" s="1640">
        <f t="shared" si="56"/>
        <v>64.181912400000002</v>
      </c>
      <c r="AN188" s="1639">
        <f t="shared" si="57"/>
        <v>0.90018132923109617</v>
      </c>
      <c r="AO188" s="1641">
        <f t="shared" si="58"/>
        <v>226.01138170522765</v>
      </c>
      <c r="AP188" s="287">
        <f t="shared" si="44"/>
        <v>-10.626362621804397</v>
      </c>
      <c r="AQ188" s="444">
        <f t="shared" si="59"/>
        <v>-380.90000000000003</v>
      </c>
      <c r="AR188" s="444">
        <f t="shared" si="45"/>
        <v>-354.1</v>
      </c>
      <c r="AS188" s="445">
        <f t="shared" si="60"/>
        <v>496.42876890763614</v>
      </c>
      <c r="AT188" s="445">
        <f t="shared" si="66"/>
        <v>-226.01138170522765</v>
      </c>
      <c r="AU188" s="445">
        <f t="shared" si="61"/>
        <v>215.38501908342326</v>
      </c>
      <c r="AV188" s="447"/>
      <c r="AW188" s="447">
        <f t="shared" si="62"/>
        <v>-200.46701167568654</v>
      </c>
      <c r="AX188" s="1597">
        <f t="shared" si="63"/>
        <v>-153.63298832431349</v>
      </c>
      <c r="AY188" s="1597">
        <f t="shared" si="46"/>
        <v>-57.864882122183573</v>
      </c>
      <c r="AZ188" s="1642">
        <f t="shared" si="47"/>
        <v>-65.090187394457075</v>
      </c>
      <c r="BA188" s="274">
        <f t="shared" si="64"/>
        <v>57.864882122183573</v>
      </c>
      <c r="BB188" s="275">
        <f t="shared" si="64"/>
        <v>65.090187394457075</v>
      </c>
      <c r="BM188" s="214"/>
      <c r="BN188" s="214"/>
      <c r="BO188" s="214"/>
      <c r="DE188" s="126"/>
    </row>
    <row r="189" spans="1:129" ht="21" customHeight="1" thickBot="1" x14ac:dyDescent="0.35">
      <c r="B189" s="277">
        <v>16</v>
      </c>
      <c r="C189" s="278"/>
      <c r="D189" s="25">
        <v>0.5</v>
      </c>
      <c r="E189" s="257" t="s">
        <v>305</v>
      </c>
      <c r="F189" s="258"/>
      <c r="G189" s="258">
        <f t="shared" si="67"/>
        <v>0.5</v>
      </c>
      <c r="H189" s="1632">
        <v>251.073172</v>
      </c>
      <c r="I189" s="1633">
        <v>65.636175100000003</v>
      </c>
      <c r="J189" s="474">
        <f t="shared" si="48"/>
        <v>65.136175100000003</v>
      </c>
      <c r="K189" s="474">
        <f t="shared" si="49"/>
        <v>32.568087550000001</v>
      </c>
      <c r="L189" s="474">
        <f t="shared" si="36"/>
        <v>0.53830147457895938</v>
      </c>
      <c r="M189" s="474">
        <f t="shared" si="37"/>
        <v>135.15305871481669</v>
      </c>
      <c r="N189" s="474">
        <f t="shared" si="38"/>
        <v>270.30611742963339</v>
      </c>
      <c r="O189" s="474">
        <f>+C174+D175+D176+D177+D178+D179+D180+D181+D182+D183+D184+D185+D186+D187+D188+(D189/2)</f>
        <v>7.25</v>
      </c>
      <c r="P189" s="474">
        <f t="shared" si="39"/>
        <v>0.12619896913582962</v>
      </c>
      <c r="Q189" s="474">
        <f t="shared" si="40"/>
        <v>34.112353370728243</v>
      </c>
      <c r="R189" s="474">
        <f t="shared" si="50"/>
        <v>441.88299035801276</v>
      </c>
      <c r="S189" s="474">
        <f t="shared" si="65"/>
        <v>475.99534372874098</v>
      </c>
      <c r="T189" s="476">
        <f t="shared" si="41"/>
        <v>475.99534372874098</v>
      </c>
      <c r="V189" s="1635">
        <f t="shared" si="42"/>
        <v>0</v>
      </c>
      <c r="W189" s="437"/>
      <c r="X189" s="437"/>
      <c r="Y189" s="437"/>
      <c r="Z189" s="437"/>
      <c r="AA189" s="437"/>
      <c r="AB189" s="295" t="str">
        <f t="shared" si="51"/>
        <v>use the locking pin</v>
      </c>
      <c r="AC189" s="1636" t="b">
        <f>IF(AD189=16,AF189)</f>
        <v>0</v>
      </c>
      <c r="AD189" s="1636">
        <f t="shared" si="52"/>
        <v>1</v>
      </c>
      <c r="AE189" s="1636">
        <f>IF(V189=0,0,16)</f>
        <v>0</v>
      </c>
      <c r="AF189" s="1637">
        <f>SUM(V189:V199)/($B$171-B188)</f>
        <v>0</v>
      </c>
      <c r="AG189" s="1638"/>
      <c r="AH189" s="450">
        <f>SUM(D175:D189)+$C$174</f>
        <v>7.5</v>
      </c>
      <c r="AI189" s="1639" t="b">
        <f t="shared" si="53"/>
        <v>0</v>
      </c>
      <c r="AJ189" s="718">
        <f t="shared" si="54"/>
        <v>67.999008599999996</v>
      </c>
      <c r="AK189" s="1639">
        <f t="shared" si="43"/>
        <v>0.92717737253735144</v>
      </c>
      <c r="AL189" s="1639">
        <f t="shared" si="55"/>
        <v>269.47749069896025</v>
      </c>
      <c r="AM189" s="1640">
        <f t="shared" si="56"/>
        <v>64.681912400000002</v>
      </c>
      <c r="AN189" s="1639">
        <f t="shared" si="57"/>
        <v>0.90394759278958248</v>
      </c>
      <c r="AO189" s="1641">
        <f t="shared" si="58"/>
        <v>226.9569894434448</v>
      </c>
      <c r="AP189" s="287">
        <f t="shared" si="44"/>
        <v>-9.8142801366221626</v>
      </c>
      <c r="AQ189" s="444">
        <f t="shared" si="59"/>
        <v>-410.2</v>
      </c>
      <c r="AR189" s="444">
        <f t="shared" si="45"/>
        <v>-383.4</v>
      </c>
      <c r="AS189" s="445">
        <f t="shared" si="60"/>
        <v>496.43448014240505</v>
      </c>
      <c r="AT189" s="445">
        <f t="shared" si="66"/>
        <v>-226.9569894434448</v>
      </c>
      <c r="AU189" s="445">
        <f t="shared" si="61"/>
        <v>217.14270930682264</v>
      </c>
      <c r="AV189" s="447"/>
      <c r="AW189" s="447">
        <f t="shared" si="62"/>
        <v>-215.69908864437787</v>
      </c>
      <c r="AX189" s="1597">
        <f t="shared" si="63"/>
        <v>-167.70091135562205</v>
      </c>
      <c r="AY189" s="1597">
        <f t="shared" si="46"/>
        <v>-53.778623140707232</v>
      </c>
      <c r="AZ189" s="1642">
        <f t="shared" si="47"/>
        <v>-59.629968132935595</v>
      </c>
      <c r="BA189" s="274">
        <f t="shared" si="64"/>
        <v>53.778623140707232</v>
      </c>
      <c r="BB189" s="275">
        <f t="shared" si="64"/>
        <v>59.629968132935595</v>
      </c>
      <c r="BM189" s="214"/>
      <c r="BN189" s="214"/>
      <c r="BO189" s="214"/>
      <c r="DE189" s="126"/>
    </row>
    <row r="190" spans="1:129" ht="21" customHeight="1" thickBot="1" x14ac:dyDescent="0.35">
      <c r="B190" s="277">
        <v>17</v>
      </c>
      <c r="C190" s="278"/>
      <c r="D190" s="25">
        <v>0.5</v>
      </c>
      <c r="E190" s="257" t="s">
        <v>305</v>
      </c>
      <c r="F190" s="258"/>
      <c r="G190" s="258">
        <f t="shared" si="67"/>
        <v>0.5</v>
      </c>
      <c r="H190" s="1632">
        <v>251.073172</v>
      </c>
      <c r="I190" s="1633">
        <v>65.636175100000003</v>
      </c>
      <c r="J190" s="474">
        <f t="shared" si="48"/>
        <v>65.136175100000003</v>
      </c>
      <c r="K190" s="474">
        <f t="shared" si="49"/>
        <v>32.568087550000001</v>
      </c>
      <c r="L190" s="474">
        <f t="shared" si="36"/>
        <v>0.53830147457895938</v>
      </c>
      <c r="M190" s="474">
        <f t="shared" si="37"/>
        <v>135.15305871481669</v>
      </c>
      <c r="N190" s="474">
        <f t="shared" si="38"/>
        <v>270.30611742963339</v>
      </c>
      <c r="O190" s="474">
        <f>+C174+D175+D176+D177+D178+D179+D180+D181+D182+D183+D184+D185+D186+D187+D188+D189+(D190/2)</f>
        <v>7.75</v>
      </c>
      <c r="P190" s="474">
        <f t="shared" si="39"/>
        <v>0.13485093027372286</v>
      </c>
      <c r="Q190" s="474">
        <f t="shared" si="40"/>
        <v>36.451031394064238</v>
      </c>
      <c r="R190" s="474">
        <f t="shared" si="50"/>
        <v>475.99534372874098</v>
      </c>
      <c r="S190" s="474">
        <f t="shared" si="65"/>
        <v>512.44637512280519</v>
      </c>
      <c r="T190" s="476">
        <f t="shared" si="41"/>
        <v>512.44637512280519</v>
      </c>
      <c r="V190" s="1635">
        <f t="shared" si="42"/>
        <v>0</v>
      </c>
      <c r="W190" s="437"/>
      <c r="X190" s="437"/>
      <c r="Y190" s="437"/>
      <c r="Z190" s="437"/>
      <c r="AA190" s="437"/>
      <c r="AB190" s="295" t="str">
        <f t="shared" si="51"/>
        <v>use the locking pin</v>
      </c>
      <c r="AC190" s="1636" t="b">
        <f>IF(AD190=17,AF190)</f>
        <v>0</v>
      </c>
      <c r="AD190" s="1636">
        <f t="shared" si="52"/>
        <v>1</v>
      </c>
      <c r="AE190" s="1636">
        <f>IF(V190=0,0,17)</f>
        <v>0</v>
      </c>
      <c r="AF190" s="1637">
        <f>SUM(V190:V199)/($B$171-B189)</f>
        <v>0</v>
      </c>
      <c r="AG190" s="1638"/>
      <c r="AH190" s="450">
        <f>SUM(D175:D190)+$C$174</f>
        <v>8</v>
      </c>
      <c r="AI190" s="1639" t="b">
        <f t="shared" si="53"/>
        <v>0</v>
      </c>
      <c r="AJ190" s="718">
        <f t="shared" si="54"/>
        <v>67.499008599999996</v>
      </c>
      <c r="AK190" s="1639">
        <f t="shared" si="43"/>
        <v>0.92387291072723265</v>
      </c>
      <c r="AL190" s="1639">
        <f t="shared" si="55"/>
        <v>268.5170724412709</v>
      </c>
      <c r="AM190" s="1640">
        <f t="shared" si="56"/>
        <v>65.181912400000002</v>
      </c>
      <c r="AN190" s="1639">
        <f t="shared" si="57"/>
        <v>0.9076450172391024</v>
      </c>
      <c r="AO190" s="1641">
        <f t="shared" si="58"/>
        <v>227.88531352821613</v>
      </c>
      <c r="AP190" s="287">
        <f t="shared" si="44"/>
        <v>-9.1175066740512172</v>
      </c>
      <c r="AQ190" s="444">
        <f t="shared" si="59"/>
        <v>-439.5</v>
      </c>
      <c r="AR190" s="444">
        <f t="shared" si="45"/>
        <v>-412.7</v>
      </c>
      <c r="AS190" s="445">
        <f t="shared" si="60"/>
        <v>496.402385969487</v>
      </c>
      <c r="AT190" s="445">
        <f t="shared" si="66"/>
        <v>-227.88531352821613</v>
      </c>
      <c r="AU190" s="445">
        <f t="shared" si="61"/>
        <v>218.76780685416492</v>
      </c>
      <c r="AV190" s="447"/>
      <c r="AW190" s="447">
        <f t="shared" si="62"/>
        <v>-230.8203869268599</v>
      </c>
      <c r="AX190" s="1597">
        <f t="shared" si="63"/>
        <v>-181.87961307314012</v>
      </c>
      <c r="AY190" s="1597">
        <f t="shared" si="46"/>
        <v>-50.255526188315827</v>
      </c>
      <c r="AZ190" s="1642">
        <f t="shared" si="47"/>
        <v>-54.981423321912679</v>
      </c>
      <c r="BA190" s="274">
        <f t="shared" si="64"/>
        <v>50.255526188315827</v>
      </c>
      <c r="BB190" s="275">
        <f t="shared" si="64"/>
        <v>54.981423321912679</v>
      </c>
      <c r="BD190" s="136"/>
      <c r="BM190" s="214"/>
      <c r="BN190" s="214"/>
      <c r="BO190" s="214"/>
      <c r="DF190" s="126"/>
      <c r="DG190" s="126"/>
      <c r="DH190" s="126"/>
      <c r="DI190" s="126"/>
      <c r="DJ190" s="126"/>
      <c r="DK190" s="126"/>
      <c r="DL190" s="203"/>
      <c r="DM190" s="203"/>
      <c r="DN190" s="203"/>
      <c r="DO190" s="203"/>
      <c r="DP190" s="203"/>
      <c r="DQ190" s="203"/>
      <c r="DR190" s="203"/>
      <c r="DS190" s="203"/>
      <c r="DT190" s="203"/>
      <c r="DU190" s="203"/>
      <c r="DV190" s="203"/>
      <c r="DW190" s="203"/>
      <c r="DX190" s="203"/>
      <c r="DY190" s="203"/>
    </row>
    <row r="191" spans="1:129" ht="21" customHeight="1" thickBot="1" x14ac:dyDescent="0.35">
      <c r="B191" s="277">
        <v>18</v>
      </c>
      <c r="C191" s="278"/>
      <c r="D191" s="25">
        <v>0.5</v>
      </c>
      <c r="E191" s="257" t="s">
        <v>305</v>
      </c>
      <c r="F191" s="258"/>
      <c r="G191" s="258">
        <f t="shared" si="67"/>
        <v>0.5</v>
      </c>
      <c r="H191" s="1632">
        <v>251.073172</v>
      </c>
      <c r="I191" s="1633">
        <v>65.636175100000003</v>
      </c>
      <c r="J191" s="474">
        <f t="shared" si="48"/>
        <v>65.136175100000003</v>
      </c>
      <c r="K191" s="474">
        <f t="shared" si="49"/>
        <v>32.568087550000001</v>
      </c>
      <c r="L191" s="474">
        <f t="shared" si="36"/>
        <v>0.53830147457895938</v>
      </c>
      <c r="M191" s="474">
        <f t="shared" si="37"/>
        <v>135.15305871481669</v>
      </c>
      <c r="N191" s="474">
        <f t="shared" si="38"/>
        <v>270.30611742963339</v>
      </c>
      <c r="O191" s="474">
        <f>+C174+D175+D176+D177+D178+D179+D180+D181+D182+D183+D184+D185+D186+D187+D188+D189+D190+(D191/2)</f>
        <v>8.25</v>
      </c>
      <c r="P191" s="474">
        <f t="shared" si="39"/>
        <v>0.14349262199117918</v>
      </c>
      <c r="Q191" s="474">
        <f t="shared" si="40"/>
        <v>38.786933530233675</v>
      </c>
      <c r="R191" s="474">
        <f t="shared" si="50"/>
        <v>512.44637512280519</v>
      </c>
      <c r="S191" s="474">
        <f t="shared" si="65"/>
        <v>551.23330865303888</v>
      </c>
      <c r="T191" s="476">
        <f t="shared" si="41"/>
        <v>551.23330865303888</v>
      </c>
      <c r="V191" s="1635">
        <f t="shared" si="42"/>
        <v>0</v>
      </c>
      <c r="W191" s="437"/>
      <c r="X191" s="437"/>
      <c r="Y191" s="437"/>
      <c r="Z191" s="437"/>
      <c r="AA191" s="437"/>
      <c r="AB191" s="295" t="str">
        <f t="shared" si="51"/>
        <v>use the locking pin</v>
      </c>
      <c r="AC191" s="1636" t="b">
        <f>IF(AD191=18,AF191)</f>
        <v>0</v>
      </c>
      <c r="AD191" s="1636">
        <f t="shared" si="52"/>
        <v>1</v>
      </c>
      <c r="AE191" s="1636">
        <f>IF(V191=0,0,18)</f>
        <v>0</v>
      </c>
      <c r="AF191" s="1637">
        <f>SUM(V191:V199)/($B$171-B190)</f>
        <v>0</v>
      </c>
      <c r="AG191" s="1638"/>
      <c r="AH191" s="450">
        <f>SUM(D175:D191)+$C$174</f>
        <v>8.5</v>
      </c>
      <c r="AI191" s="1639" t="b">
        <f t="shared" si="53"/>
        <v>0</v>
      </c>
      <c r="AJ191" s="718">
        <f t="shared" si="54"/>
        <v>66.999008599999996</v>
      </c>
      <c r="AK191" s="1639">
        <f t="shared" si="43"/>
        <v>0.92049809241804237</v>
      </c>
      <c r="AL191" s="1639">
        <f t="shared" si="55"/>
        <v>267.53620556890888</v>
      </c>
      <c r="AM191" s="1640">
        <f t="shared" si="56"/>
        <v>65.681912400000002</v>
      </c>
      <c r="AN191" s="1639">
        <f t="shared" si="57"/>
        <v>0.91127332100646896</v>
      </c>
      <c r="AO191" s="1641">
        <f t="shared" si="58"/>
        <v>228.79628326406839</v>
      </c>
      <c r="AP191" s="287">
        <f t="shared" si="44"/>
        <v>-8.5131108696401281</v>
      </c>
      <c r="AQ191" s="444">
        <f t="shared" si="59"/>
        <v>-468.8</v>
      </c>
      <c r="AR191" s="444">
        <f t="shared" si="45"/>
        <v>-442</v>
      </c>
      <c r="AS191" s="445">
        <f t="shared" si="60"/>
        <v>496.33248883297728</v>
      </c>
      <c r="AT191" s="445">
        <f t="shared" si="66"/>
        <v>-228.79628326406839</v>
      </c>
      <c r="AU191" s="445">
        <f t="shared" si="61"/>
        <v>220.28317239442828</v>
      </c>
      <c r="AV191" s="447"/>
      <c r="AW191" s="447">
        <f t="shared" si="62"/>
        <v>-245.83076991943196</v>
      </c>
      <c r="AX191" s="1597">
        <f t="shared" si="63"/>
        <v>-196.16923008056807</v>
      </c>
      <c r="AY191" s="1597">
        <f t="shared" si="46"/>
        <v>-47.186932717176774</v>
      </c>
      <c r="AZ191" s="1642">
        <f t="shared" si="47"/>
        <v>-50.976394187268461</v>
      </c>
      <c r="BA191" s="274">
        <f t="shared" si="64"/>
        <v>47.186932717176774</v>
      </c>
      <c r="BB191" s="275">
        <f t="shared" si="64"/>
        <v>50.976394187268461</v>
      </c>
      <c r="BD191" s="458"/>
      <c r="BM191" s="214"/>
      <c r="BN191" s="214"/>
      <c r="BO191" s="214"/>
      <c r="DF191" s="126"/>
      <c r="DG191" s="126"/>
      <c r="DH191" s="126"/>
      <c r="DI191" s="126"/>
      <c r="DJ191" s="126"/>
      <c r="DK191" s="126"/>
      <c r="DL191" s="203"/>
      <c r="DM191" s="203"/>
      <c r="DN191" s="203"/>
      <c r="DO191" s="203"/>
      <c r="DP191" s="203"/>
      <c r="DQ191" s="203"/>
      <c r="DR191" s="203"/>
      <c r="DS191" s="203"/>
      <c r="DT191" s="203"/>
      <c r="DU191" s="203"/>
      <c r="DV191" s="203"/>
      <c r="DW191" s="203"/>
      <c r="DX191" s="203"/>
      <c r="DY191" s="203"/>
    </row>
    <row r="192" spans="1:129" ht="21" customHeight="1" thickBot="1" x14ac:dyDescent="0.35">
      <c r="B192" s="277">
        <v>19</v>
      </c>
      <c r="C192" s="278"/>
      <c r="D192" s="25">
        <v>0.5</v>
      </c>
      <c r="E192" s="257" t="s">
        <v>305</v>
      </c>
      <c r="F192" s="258"/>
      <c r="G192" s="258">
        <f t="shared" si="67"/>
        <v>0.5</v>
      </c>
      <c r="H192" s="1632">
        <v>251.073172</v>
      </c>
      <c r="I192" s="1633">
        <v>65.636175100000003</v>
      </c>
      <c r="J192" s="474">
        <f t="shared" si="48"/>
        <v>65.136175100000003</v>
      </c>
      <c r="K192" s="474">
        <f t="shared" si="49"/>
        <v>32.568087550000001</v>
      </c>
      <c r="L192" s="474">
        <f t="shared" si="36"/>
        <v>0.53830147457895938</v>
      </c>
      <c r="M192" s="474">
        <f t="shared" si="37"/>
        <v>135.15305871481669</v>
      </c>
      <c r="N192" s="474">
        <f t="shared" si="38"/>
        <v>270.30611742963339</v>
      </c>
      <c r="O192" s="474">
        <f>+C174+D175+D176+D177+D178+D179+D180+D181+D182+D183+D184+D185+D186+D187+D188+D189+D190+D191+(D192/2)</f>
        <v>8.75</v>
      </c>
      <c r="P192" s="474">
        <f t="shared" si="39"/>
        <v>0.15212338618991655</v>
      </c>
      <c r="Q192" s="474">
        <f t="shared" si="40"/>
        <v>41.119881891245058</v>
      </c>
      <c r="R192" s="474">
        <f t="shared" si="50"/>
        <v>551.23330865303888</v>
      </c>
      <c r="S192" s="474">
        <f t="shared" si="65"/>
        <v>592.35319054428396</v>
      </c>
      <c r="T192" s="476">
        <f t="shared" si="41"/>
        <v>592.35319054428396</v>
      </c>
      <c r="V192" s="1635">
        <f t="shared" si="42"/>
        <v>0</v>
      </c>
      <c r="W192" s="437"/>
      <c r="X192" s="437"/>
      <c r="Y192" s="437"/>
      <c r="Z192" s="437"/>
      <c r="AA192" s="437"/>
      <c r="AB192" s="258" t="str">
        <f t="shared" si="51"/>
        <v>use the locking pin</v>
      </c>
      <c r="AC192" s="1636" t="b">
        <f>IF(AD192=19,AF192)</f>
        <v>0</v>
      </c>
      <c r="AD192" s="1636">
        <f t="shared" si="52"/>
        <v>1</v>
      </c>
      <c r="AE192" s="1636">
        <f>IF(V192=0,0,19)</f>
        <v>0</v>
      </c>
      <c r="AF192" s="1637">
        <f>SUM(V192:V199)/($B$171-B191)</f>
        <v>0</v>
      </c>
      <c r="AG192" s="1638"/>
      <c r="AH192" s="450">
        <f>SUM(D175:D192)+$C$174</f>
        <v>9</v>
      </c>
      <c r="AI192" s="1639" t="b">
        <f t="shared" si="53"/>
        <v>0</v>
      </c>
      <c r="AJ192" s="718">
        <f t="shared" si="54"/>
        <v>66.499008599999996</v>
      </c>
      <c r="AK192" s="1639">
        <f t="shared" si="43"/>
        <v>0.91705317461526137</v>
      </c>
      <c r="AL192" s="1639">
        <f t="shared" si="55"/>
        <v>266.53496477868435</v>
      </c>
      <c r="AM192" s="1640">
        <f t="shared" si="56"/>
        <v>66.181912400000002</v>
      </c>
      <c r="AN192" s="1639">
        <f t="shared" si="57"/>
        <v>0.91483222778230289</v>
      </c>
      <c r="AO192" s="1641">
        <f t="shared" si="58"/>
        <v>229.68982927712932</v>
      </c>
      <c r="AP192" s="287">
        <f t="shared" si="44"/>
        <v>-7.9838637903266214</v>
      </c>
      <c r="AQ192" s="444">
        <f t="shared" si="59"/>
        <v>-498.1</v>
      </c>
      <c r="AR192" s="444">
        <f t="shared" si="45"/>
        <v>-471.3</v>
      </c>
      <c r="AS192" s="445">
        <f t="shared" si="60"/>
        <v>496.22479405581367</v>
      </c>
      <c r="AT192" s="445">
        <f t="shared" si="66"/>
        <v>-229.68982927712932</v>
      </c>
      <c r="AU192" s="445">
        <f t="shared" si="61"/>
        <v>221.70596548680271</v>
      </c>
      <c r="AV192" s="447"/>
      <c r="AW192" s="447">
        <f t="shared" si="62"/>
        <v>-260.73006720825515</v>
      </c>
      <c r="AX192" s="1597">
        <f t="shared" si="63"/>
        <v>-210.56993279174486</v>
      </c>
      <c r="AY192" s="1597">
        <f t="shared" si="46"/>
        <v>-44.490457599332544</v>
      </c>
      <c r="AZ192" s="1642">
        <f t="shared" si="47"/>
        <v>-47.490160952323947</v>
      </c>
      <c r="BA192" s="274">
        <f t="shared" si="64"/>
        <v>44.490457599332544</v>
      </c>
      <c r="BB192" s="275">
        <f t="shared" si="64"/>
        <v>47.490160952323947</v>
      </c>
      <c r="BD192" s="144"/>
      <c r="BM192" s="214"/>
      <c r="BN192" s="214"/>
      <c r="BO192" s="214"/>
      <c r="DF192" s="126"/>
      <c r="DG192" s="126"/>
      <c r="DH192" s="126"/>
      <c r="DI192" s="126"/>
      <c r="DJ192" s="126"/>
      <c r="DK192" s="126"/>
      <c r="DL192" s="203"/>
      <c r="DM192" s="203"/>
      <c r="DN192" s="203"/>
      <c r="DO192" s="203"/>
      <c r="DP192" s="203"/>
      <c r="DQ192" s="203"/>
      <c r="DR192" s="203"/>
      <c r="DS192" s="203"/>
      <c r="DT192" s="203"/>
      <c r="DU192" s="203"/>
      <c r="DV192" s="203"/>
      <c r="DW192" s="203"/>
      <c r="DX192" s="203"/>
      <c r="DY192" s="203"/>
    </row>
    <row r="193" spans="2:129" ht="21" customHeight="1" thickBot="1" x14ac:dyDescent="0.35">
      <c r="B193" s="277">
        <v>20</v>
      </c>
      <c r="C193" s="278"/>
      <c r="D193" s="25">
        <v>0.5</v>
      </c>
      <c r="E193" s="257" t="s">
        <v>305</v>
      </c>
      <c r="F193" s="258"/>
      <c r="G193" s="258">
        <f t="shared" si="67"/>
        <v>0.5</v>
      </c>
      <c r="H193" s="1632">
        <v>251.073172</v>
      </c>
      <c r="I193" s="1633">
        <v>65.636175100000003</v>
      </c>
      <c r="J193" s="474">
        <f t="shared" si="48"/>
        <v>65.136175100000003</v>
      </c>
      <c r="K193" s="474">
        <f t="shared" si="49"/>
        <v>32.568087550000001</v>
      </c>
      <c r="L193" s="474">
        <f t="shared" si="36"/>
        <v>0.53830147457895938</v>
      </c>
      <c r="M193" s="474">
        <f t="shared" si="37"/>
        <v>135.15305871481669</v>
      </c>
      <c r="N193" s="474">
        <f t="shared" si="38"/>
        <v>270.30611742963339</v>
      </c>
      <c r="O193" s="64">
        <f>+C174+D175+D176+D177+D178+D179+D180+D181+D182+D183+D184+D185+D186+D187+D188+D189+D190+D191+D192+(D193/2)</f>
        <v>9.25</v>
      </c>
      <c r="P193" s="474">
        <f t="shared" si="39"/>
        <v>0.16074256560382594</v>
      </c>
      <c r="Q193" s="474">
        <f t="shared" si="40"/>
        <v>43.449698814048325</v>
      </c>
      <c r="R193" s="474">
        <f t="shared" si="50"/>
        <v>592.35319054428396</v>
      </c>
      <c r="S193" s="474">
        <f t="shared" si="65"/>
        <v>635.80288935833232</v>
      </c>
      <c r="T193" s="476">
        <f t="shared" si="41"/>
        <v>635.80288935833232</v>
      </c>
      <c r="V193" s="1635">
        <f t="shared" si="42"/>
        <v>0</v>
      </c>
      <c r="W193" s="437"/>
      <c r="X193" s="437"/>
      <c r="Y193" s="437"/>
      <c r="Z193" s="437"/>
      <c r="AA193" s="437"/>
      <c r="AB193" s="281" t="str">
        <f t="shared" si="51"/>
        <v>use the locking pin</v>
      </c>
      <c r="AC193" s="1636" t="b">
        <f>IF(AD193=20,AF193)</f>
        <v>0</v>
      </c>
      <c r="AD193" s="1636">
        <f t="shared" si="52"/>
        <v>1</v>
      </c>
      <c r="AE193" s="1636">
        <f>IF(V193=0,0,20)</f>
        <v>0</v>
      </c>
      <c r="AF193" s="1637">
        <f>SUM(V193:V199)/($B$171-B192)</f>
        <v>0</v>
      </c>
      <c r="AG193" s="1638"/>
      <c r="AH193" s="450">
        <f>SUM(D175:D193)+$C$174</f>
        <v>9.5</v>
      </c>
      <c r="AI193" s="1639" t="b">
        <f t="shared" si="53"/>
        <v>0</v>
      </c>
      <c r="AJ193" s="718">
        <f t="shared" si="54"/>
        <v>65.999008599999996</v>
      </c>
      <c r="AK193" s="1639">
        <f t="shared" si="43"/>
        <v>0.91353841966271765</v>
      </c>
      <c r="AL193" s="1639">
        <f t="shared" si="55"/>
        <v>265.51342631895989</v>
      </c>
      <c r="AM193" s="1640">
        <f t="shared" si="56"/>
        <v>66.681912400000002</v>
      </c>
      <c r="AN193" s="1639">
        <f t="shared" si="57"/>
        <v>0.91832146654207414</v>
      </c>
      <c r="AO193" s="1641">
        <f t="shared" si="58"/>
        <v>230.56588352041044</v>
      </c>
      <c r="AP193" s="287">
        <f t="shared" si="44"/>
        <v>-7.5165701246123398</v>
      </c>
      <c r="AQ193" s="444">
        <f t="shared" si="59"/>
        <v>-527.4</v>
      </c>
      <c r="AR193" s="444">
        <f t="shared" si="45"/>
        <v>-500.59999999999997</v>
      </c>
      <c r="AS193" s="445">
        <f t="shared" si="60"/>
        <v>496.07930983937035</v>
      </c>
      <c r="AT193" s="445">
        <f t="shared" si="66"/>
        <v>-230.56588352041044</v>
      </c>
      <c r="AU193" s="445">
        <f t="shared" si="61"/>
        <v>223.04931339579809</v>
      </c>
      <c r="AV193" s="447"/>
      <c r="AW193" s="447">
        <f t="shared" si="62"/>
        <v>-275.51807444641997</v>
      </c>
      <c r="AX193" s="1597">
        <f t="shared" si="63"/>
        <v>-225.08192555358002</v>
      </c>
      <c r="AY193" s="1597">
        <f t="shared" si="46"/>
        <v>-42.102500982220874</v>
      </c>
      <c r="AZ193" s="1642">
        <f t="shared" si="47"/>
        <v>-44.428267509287558</v>
      </c>
      <c r="BA193" s="274">
        <f t="shared" si="64"/>
        <v>42.102500982220874</v>
      </c>
      <c r="BB193" s="275">
        <f t="shared" si="64"/>
        <v>44.428267509287558</v>
      </c>
      <c r="BD193" s="144"/>
      <c r="BM193" s="214"/>
      <c r="BN193" s="214"/>
      <c r="BO193" s="214"/>
      <c r="DF193" s="126"/>
      <c r="DG193" s="126"/>
      <c r="DH193" s="126"/>
      <c r="DI193" s="126"/>
      <c r="DJ193" s="126"/>
      <c r="DK193" s="126"/>
      <c r="DL193" s="203"/>
      <c r="DM193" s="203"/>
      <c r="DN193" s="203"/>
      <c r="DO193" s="203"/>
      <c r="DP193" s="203"/>
      <c r="DQ193" s="203"/>
      <c r="DR193" s="203"/>
      <c r="DS193" s="203"/>
      <c r="DT193" s="203"/>
      <c r="DU193" s="203"/>
      <c r="DV193" s="203"/>
      <c r="DW193" s="203"/>
      <c r="DX193" s="203"/>
      <c r="DY193" s="203"/>
    </row>
    <row r="194" spans="2:129" ht="21" customHeight="1" thickBot="1" x14ac:dyDescent="0.35">
      <c r="B194" s="277">
        <v>21</v>
      </c>
      <c r="C194" s="1644"/>
      <c r="D194" s="25">
        <v>0.5</v>
      </c>
      <c r="E194" s="257" t="s">
        <v>305</v>
      </c>
      <c r="F194" s="258"/>
      <c r="G194" s="258">
        <f t="shared" si="67"/>
        <v>0.5</v>
      </c>
      <c r="H194" s="1632">
        <v>251.073172</v>
      </c>
      <c r="I194" s="1633">
        <v>65.636175100000003</v>
      </c>
      <c r="J194" s="474">
        <f t="shared" si="48"/>
        <v>65.136175100000003</v>
      </c>
      <c r="K194" s="474">
        <f t="shared" si="49"/>
        <v>32.568087550000001</v>
      </c>
      <c r="L194" s="474">
        <f t="shared" si="36"/>
        <v>0.53830147457895938</v>
      </c>
      <c r="M194" s="474">
        <f t="shared" si="37"/>
        <v>135.15305871481669</v>
      </c>
      <c r="N194" s="474">
        <f t="shared" si="38"/>
        <v>270.30611742963339</v>
      </c>
      <c r="O194" s="1645">
        <f>+C174+D175+D176+D177+D178+D179+D180+D181+D182+D183+D184+D185+D186+D187+D188+D189+D190+D191+D192+D193+(D194/2)</f>
        <v>9.75</v>
      </c>
      <c r="P194" s="474">
        <f t="shared" si="39"/>
        <v>0.16934950384902445</v>
      </c>
      <c r="Q194" s="474">
        <f t="shared" si="40"/>
        <v>45.776206874064556</v>
      </c>
      <c r="R194" s="474">
        <f t="shared" si="50"/>
        <v>635.80288935833232</v>
      </c>
      <c r="S194" s="474">
        <f t="shared" si="65"/>
        <v>681.57909623239686</v>
      </c>
      <c r="T194" s="476">
        <f t="shared" si="41"/>
        <v>681.57909623239686</v>
      </c>
      <c r="V194" s="1635">
        <f t="shared" si="42"/>
        <v>0</v>
      </c>
      <c r="AB194" s="281" t="str">
        <f t="shared" si="51"/>
        <v>use the locking pin</v>
      </c>
      <c r="AC194" s="64" t="b">
        <f>IF(AD194=21,AF194)</f>
        <v>0</v>
      </c>
      <c r="AD194" s="64">
        <f t="shared" si="52"/>
        <v>1</v>
      </c>
      <c r="AE194" s="64">
        <f>IF(V194=0,0,21)</f>
        <v>0</v>
      </c>
      <c r="AF194" s="1637">
        <f>SUM(V194:V199)/($B$171-B193)</f>
        <v>0</v>
      </c>
      <c r="AG194" s="1646"/>
      <c r="AH194" s="450">
        <f>SUM(D175:D194)+$C$174</f>
        <v>10</v>
      </c>
      <c r="AI194" s="1639" t="b">
        <f t="shared" si="53"/>
        <v>0</v>
      </c>
      <c r="AJ194" s="718">
        <f t="shared" si="54"/>
        <v>65.499008599999996</v>
      </c>
      <c r="AK194" s="1639">
        <f t="shared" si="43"/>
        <v>0.90995409522260873</v>
      </c>
      <c r="AL194" s="1639">
        <f t="shared" si="55"/>
        <v>264.4716679838441</v>
      </c>
      <c r="AM194" s="1640">
        <f t="shared" si="56"/>
        <v>67.181912400000002</v>
      </c>
      <c r="AN194" s="1639">
        <f t="shared" si="57"/>
        <v>0.92174077156674206</v>
      </c>
      <c r="AO194" s="1641">
        <f t="shared" si="58"/>
        <v>231.42437927898933</v>
      </c>
      <c r="AP194" s="287">
        <f t="shared" si="44"/>
        <v>-7.1009530182693643</v>
      </c>
      <c r="AQ194" s="444">
        <f t="shared" si="59"/>
        <v>-556.70000000000005</v>
      </c>
      <c r="AR194" s="444">
        <f t="shared" si="45"/>
        <v>-529.90000000000009</v>
      </c>
      <c r="AS194" s="445">
        <f t="shared" si="60"/>
        <v>495.89604726283346</v>
      </c>
      <c r="AT194" s="64">
        <f t="shared" si="66"/>
        <v>-231.42437927898933</v>
      </c>
      <c r="AU194" s="445">
        <f t="shared" si="61"/>
        <v>224.32342626071997</v>
      </c>
      <c r="AV194" s="447"/>
      <c r="AW194" s="447">
        <f t="shared" si="62"/>
        <v>-290.19455319987077</v>
      </c>
      <c r="AX194" s="1597">
        <f t="shared" si="63"/>
        <v>-239.70544680012932</v>
      </c>
      <c r="AY194" s="1597">
        <f t="shared" si="46"/>
        <v>-39.973183066639194</v>
      </c>
      <c r="AZ194" s="1642">
        <f t="shared" si="47"/>
        <v>-41.717867213664853</v>
      </c>
      <c r="BA194" s="274">
        <f t="shared" si="64"/>
        <v>39.973183066639194</v>
      </c>
      <c r="BB194" s="275">
        <f t="shared" si="64"/>
        <v>41.717867213664853</v>
      </c>
      <c r="BD194" s="144"/>
      <c r="BM194" s="214"/>
      <c r="BN194" s="214"/>
      <c r="BO194" s="214"/>
      <c r="DF194" s="126"/>
      <c r="DG194" s="126"/>
      <c r="DH194" s="126"/>
      <c r="DI194" s="126"/>
      <c r="DJ194" s="126"/>
      <c r="DK194" s="126"/>
      <c r="DL194" s="203"/>
      <c r="DM194" s="203"/>
      <c r="DN194" s="203"/>
      <c r="DO194" s="203"/>
      <c r="DP194" s="203"/>
      <c r="DQ194" s="203"/>
      <c r="DR194" s="203"/>
      <c r="DS194" s="203"/>
      <c r="DT194" s="203"/>
      <c r="DU194" s="203"/>
      <c r="DV194" s="203"/>
      <c r="DW194" s="203"/>
      <c r="DX194" s="203"/>
      <c r="DY194" s="203"/>
    </row>
    <row r="195" spans="2:129" ht="21" customHeight="1" thickBot="1" x14ac:dyDescent="0.35">
      <c r="B195" s="277">
        <v>22</v>
      </c>
      <c r="C195" s="1644"/>
      <c r="D195" s="25">
        <v>0.5</v>
      </c>
      <c r="E195" s="257" t="s">
        <v>305</v>
      </c>
      <c r="F195" s="258"/>
      <c r="G195" s="258">
        <f t="shared" si="67"/>
        <v>0.5</v>
      </c>
      <c r="H195" s="1632">
        <v>251.073172</v>
      </c>
      <c r="I195" s="1633">
        <v>65.636175100000003</v>
      </c>
      <c r="J195" s="474">
        <f t="shared" si="48"/>
        <v>65.136175100000003</v>
      </c>
      <c r="K195" s="474">
        <f t="shared" si="49"/>
        <v>32.568087550000001</v>
      </c>
      <c r="L195" s="474">
        <f t="shared" si="36"/>
        <v>0.53830147457895938</v>
      </c>
      <c r="M195" s="474">
        <f t="shared" si="37"/>
        <v>135.15305871481669</v>
      </c>
      <c r="N195" s="474">
        <f t="shared" si="38"/>
        <v>270.30611742963339</v>
      </c>
      <c r="O195" s="1645">
        <f>+C174+D175+D176+D177+D178+D179+D180+D181+D182+D183+D184+D185+D186+D187+D188+D189+D190+D191+D192+D193+D194+(D195/2)</f>
        <v>10.25</v>
      </c>
      <c r="P195" s="474">
        <f t="shared" si="39"/>
        <v>0.17794354547384159</v>
      </c>
      <c r="Q195" s="474">
        <f t="shared" si="40"/>
        <v>48.099228898697532</v>
      </c>
      <c r="R195" s="474">
        <f t="shared" si="50"/>
        <v>681.57909623239686</v>
      </c>
      <c r="S195" s="474">
        <f t="shared" si="65"/>
        <v>729.67832513109443</v>
      </c>
      <c r="T195" s="476">
        <f t="shared" si="41"/>
        <v>729.67832513109443</v>
      </c>
      <c r="V195" s="1635">
        <f t="shared" si="42"/>
        <v>0</v>
      </c>
      <c r="AB195" s="281" t="str">
        <f t="shared" si="51"/>
        <v>use the locking pin</v>
      </c>
      <c r="AC195" s="64" t="b">
        <f>IF(AD195=22,AF195)</f>
        <v>0</v>
      </c>
      <c r="AD195" s="64">
        <f t="shared" si="52"/>
        <v>1</v>
      </c>
      <c r="AE195" s="64">
        <f>IF(V195=0,0,22)</f>
        <v>0</v>
      </c>
      <c r="AF195" s="1637">
        <f>SUM(V195:V199)/($B$171-B194)</f>
        <v>0</v>
      </c>
      <c r="AG195" s="1646"/>
      <c r="AH195" s="450">
        <f>SUM(D175:D195)+$C$174</f>
        <v>10.5</v>
      </c>
      <c r="AI195" s="1639" t="b">
        <f t="shared" si="53"/>
        <v>0</v>
      </c>
      <c r="AJ195" s="718">
        <f t="shared" si="54"/>
        <v>64.999008599999996</v>
      </c>
      <c r="AK195" s="1639">
        <f t="shared" si="43"/>
        <v>0.90630047425511817</v>
      </c>
      <c r="AL195" s="1639">
        <f t="shared" si="55"/>
        <v>263.40976910726772</v>
      </c>
      <c r="AM195" s="1640">
        <f t="shared" si="56"/>
        <v>67.681912400000002</v>
      </c>
      <c r="AN195" s="1639">
        <f t="shared" si="57"/>
        <v>0.92508988246299073</v>
      </c>
      <c r="AO195" s="1641">
        <f t="shared" si="58"/>
        <v>232.26525117509024</v>
      </c>
      <c r="AP195" s="287">
        <f t="shared" si="44"/>
        <v>-6.7288894928128338</v>
      </c>
      <c r="AQ195" s="444">
        <f t="shared" si="59"/>
        <v>-586</v>
      </c>
      <c r="AR195" s="444">
        <f t="shared" si="45"/>
        <v>-559.20000000000005</v>
      </c>
      <c r="AS195" s="445">
        <f t="shared" si="60"/>
        <v>495.67502028235799</v>
      </c>
      <c r="AT195" s="64">
        <f t="shared" si="66"/>
        <v>-232.26525117509024</v>
      </c>
      <c r="AU195" s="445">
        <f t="shared" si="61"/>
        <v>225.5363616822774</v>
      </c>
      <c r="AV195" s="447"/>
      <c r="AW195" s="447">
        <f t="shared" si="62"/>
        <v>-304.75923076194937</v>
      </c>
      <c r="AX195" s="1597">
        <f t="shared" si="63"/>
        <v>-254.44076923805068</v>
      </c>
      <c r="AY195" s="1597">
        <f t="shared" si="46"/>
        <v>-38.062833965678571</v>
      </c>
      <c r="AZ195" s="1642">
        <f t="shared" si="47"/>
        <v>-39.30187772166402</v>
      </c>
      <c r="BA195" s="274">
        <f t="shared" ref="BA195:BB199" si="68">ABS(AY195)</f>
        <v>38.062833965678571</v>
      </c>
      <c r="BB195" s="275">
        <f t="shared" si="68"/>
        <v>39.30187772166402</v>
      </c>
      <c r="BD195" s="144"/>
      <c r="BM195" s="214"/>
      <c r="BN195" s="214"/>
      <c r="BO195" s="214"/>
      <c r="DF195" s="126"/>
      <c r="DG195" s="126"/>
      <c r="DH195" s="126"/>
      <c r="DI195" s="126"/>
      <c r="DJ195" s="126"/>
      <c r="DK195" s="126"/>
      <c r="DL195" s="203"/>
      <c r="DM195" s="203"/>
      <c r="DN195" s="203"/>
      <c r="DO195" s="203"/>
      <c r="DP195" s="203"/>
      <c r="DQ195" s="203"/>
      <c r="DR195" s="203"/>
      <c r="DS195" s="203"/>
      <c r="DT195" s="203"/>
      <c r="DU195" s="203"/>
      <c r="DV195" s="203"/>
      <c r="DW195" s="203"/>
      <c r="DX195" s="203"/>
      <c r="DY195" s="203"/>
    </row>
    <row r="196" spans="2:129" ht="21" customHeight="1" thickBot="1" x14ac:dyDescent="0.35">
      <c r="B196" s="277">
        <v>23</v>
      </c>
      <c r="C196" s="1644"/>
      <c r="D196" s="25">
        <v>0.5</v>
      </c>
      <c r="E196" s="257" t="s">
        <v>305</v>
      </c>
      <c r="F196" s="258"/>
      <c r="G196" s="258">
        <f t="shared" si="67"/>
        <v>0.5</v>
      </c>
      <c r="H196" s="1632">
        <v>251.073172</v>
      </c>
      <c r="I196" s="1633">
        <v>65.636175100000003</v>
      </c>
      <c r="J196" s="474">
        <f t="shared" si="48"/>
        <v>65.136175100000003</v>
      </c>
      <c r="K196" s="474">
        <f t="shared" si="49"/>
        <v>32.568087550000001</v>
      </c>
      <c r="L196" s="474">
        <f t="shared" si="36"/>
        <v>0.53830147457895938</v>
      </c>
      <c r="M196" s="474">
        <f t="shared" si="37"/>
        <v>135.15305871481669</v>
      </c>
      <c r="N196" s="474">
        <f t="shared" si="38"/>
        <v>270.30611742963339</v>
      </c>
      <c r="O196" s="1645">
        <f>+C174+D175+D176+D177+D178+D179+D180+D181+D182+D183+D184+D185+D186+D187+D188+D189+D190+D191+D192+D193+D194+D195+(D196/2)</f>
        <v>10.75</v>
      </c>
      <c r="P196" s="474">
        <f t="shared" si="39"/>
        <v>0.18652403600873443</v>
      </c>
      <c r="Q196" s="474">
        <f t="shared" si="40"/>
        <v>50.418587980826139</v>
      </c>
      <c r="R196" s="474">
        <f t="shared" si="50"/>
        <v>729.67832513109443</v>
      </c>
      <c r="S196" s="474">
        <f t="shared" si="65"/>
        <v>780.09691311192057</v>
      </c>
      <c r="T196" s="476">
        <f t="shared" si="41"/>
        <v>780.09691311192057</v>
      </c>
      <c r="V196" s="1635">
        <f t="shared" si="42"/>
        <v>0</v>
      </c>
      <c r="AB196" s="281" t="str">
        <f t="shared" si="51"/>
        <v>use the locking pin</v>
      </c>
      <c r="AC196" s="64" t="b">
        <f>IF(AD196=23,AF196)</f>
        <v>0</v>
      </c>
      <c r="AD196" s="64">
        <f t="shared" si="52"/>
        <v>1</v>
      </c>
      <c r="AE196" s="64">
        <f>IF(V196=0,0,23)</f>
        <v>0</v>
      </c>
      <c r="AF196" s="1637">
        <f>SUM(V196:V199)/($B$171-B195)</f>
        <v>0</v>
      </c>
      <c r="AG196" s="1646"/>
      <c r="AH196" s="450">
        <f>SUM(D175:D196)+$C$174</f>
        <v>11</v>
      </c>
      <c r="AI196" s="1639" t="b">
        <f t="shared" si="53"/>
        <v>0</v>
      </c>
      <c r="AJ196" s="718">
        <f t="shared" si="54"/>
        <v>64.499008599999996</v>
      </c>
      <c r="AK196" s="1639">
        <f t="shared" si="43"/>
        <v>0.902577834997628</v>
      </c>
      <c r="AL196" s="1639">
        <f t="shared" si="55"/>
        <v>262.32781055694142</v>
      </c>
      <c r="AM196" s="1640">
        <f t="shared" si="56"/>
        <v>68.181912400000002</v>
      </c>
      <c r="AN196" s="1639">
        <f t="shared" si="57"/>
        <v>0.9283685441830587</v>
      </c>
      <c r="AO196" s="1641">
        <f t="shared" si="58"/>
        <v>233.08843517306269</v>
      </c>
      <c r="AP196" s="287">
        <f t="shared" si="44"/>
        <v>-6.3938742640287787</v>
      </c>
      <c r="AQ196" s="444">
        <f t="shared" si="59"/>
        <v>-615.30000000000007</v>
      </c>
      <c r="AR196" s="444">
        <f t="shared" si="45"/>
        <v>-588.50000000000011</v>
      </c>
      <c r="AS196" s="445">
        <f t="shared" si="60"/>
        <v>495.41624573000411</v>
      </c>
      <c r="AT196" s="64">
        <f t="shared" si="66"/>
        <v>-233.08843517306269</v>
      </c>
      <c r="AU196" s="445">
        <f t="shared" si="61"/>
        <v>226.69456090903392</v>
      </c>
      <c r="AV196" s="447"/>
      <c r="AW196" s="447">
        <f t="shared" si="62"/>
        <v>-319.21179993626379</v>
      </c>
      <c r="AX196" s="1597">
        <f t="shared" si="63"/>
        <v>-269.28820006373633</v>
      </c>
      <c r="AY196" s="1597">
        <f t="shared" si="46"/>
        <v>-36.339508759751808</v>
      </c>
      <c r="AZ196" s="1642">
        <f t="shared" si="47"/>
        <v>-37.134935721777467</v>
      </c>
      <c r="BA196" s="274">
        <f t="shared" si="68"/>
        <v>36.339508759751808</v>
      </c>
      <c r="BB196" s="275">
        <f t="shared" si="68"/>
        <v>37.134935721777467</v>
      </c>
      <c r="BD196" s="144"/>
      <c r="BM196" s="214"/>
      <c r="BN196" s="214"/>
      <c r="BO196" s="214"/>
      <c r="DF196" s="126"/>
      <c r="DG196" s="126"/>
      <c r="DH196" s="126"/>
      <c r="DI196" s="126"/>
      <c r="DJ196" s="126"/>
      <c r="DK196" s="126"/>
      <c r="DL196" s="203"/>
      <c r="DM196" s="203"/>
      <c r="DN196" s="203"/>
      <c r="DO196" s="203"/>
      <c r="DP196" s="203"/>
      <c r="DQ196" s="203"/>
      <c r="DR196" s="203"/>
      <c r="DS196" s="203"/>
      <c r="DT196" s="203"/>
      <c r="DU196" s="203"/>
      <c r="DV196" s="203"/>
      <c r="DW196" s="203"/>
      <c r="DX196" s="203"/>
      <c r="DY196" s="203"/>
    </row>
    <row r="197" spans="2:129" ht="21" customHeight="1" thickBot="1" x14ac:dyDescent="0.35">
      <c r="B197" s="277">
        <v>24</v>
      </c>
      <c r="C197" s="1647"/>
      <c r="D197" s="25">
        <v>0.5</v>
      </c>
      <c r="E197" s="257" t="s">
        <v>305</v>
      </c>
      <c r="F197" s="258"/>
      <c r="G197" s="258">
        <f t="shared" si="67"/>
        <v>0.5</v>
      </c>
      <c r="H197" s="1632">
        <v>251.073172</v>
      </c>
      <c r="I197" s="1633">
        <v>65.636175100000003</v>
      </c>
      <c r="J197" s="474">
        <f t="shared" si="48"/>
        <v>65.136175100000003</v>
      </c>
      <c r="K197" s="474">
        <f t="shared" si="49"/>
        <v>32.568087550000001</v>
      </c>
      <c r="L197" s="474">
        <f t="shared" si="36"/>
        <v>0.53830147457895938</v>
      </c>
      <c r="M197" s="474">
        <f t="shared" si="37"/>
        <v>135.15305871481669</v>
      </c>
      <c r="N197" s="474">
        <f t="shared" si="38"/>
        <v>270.30611742963339</v>
      </c>
      <c r="O197" s="1645">
        <f>+C174+D175+D176+D177+D178+D179+D180+D181+D182+D183+D184+D185+D186+D187+D188+D189+D190+D191+D192+D193+D194+D195+D196+(D197/2)</f>
        <v>11.25</v>
      </c>
      <c r="P197" s="474">
        <f t="shared" si="39"/>
        <v>0.19509032201612808</v>
      </c>
      <c r="Q197" s="474">
        <f t="shared" si="40"/>
        <v>52.734107492276507</v>
      </c>
      <c r="R197" s="474">
        <f t="shared" si="50"/>
        <v>780.09691311192057</v>
      </c>
      <c r="S197" s="474">
        <f t="shared" si="65"/>
        <v>832.83102060419708</v>
      </c>
      <c r="T197" s="476">
        <f t="shared" si="41"/>
        <v>832.83102060419708</v>
      </c>
      <c r="V197" s="1635">
        <f t="shared" si="42"/>
        <v>0</v>
      </c>
      <c r="AB197" s="281" t="str">
        <f t="shared" si="51"/>
        <v>use the locking pin</v>
      </c>
      <c r="AC197" s="64" t="b">
        <f>IF(AD197=24,AF197)</f>
        <v>0</v>
      </c>
      <c r="AD197" s="64">
        <f t="shared" si="52"/>
        <v>1</v>
      </c>
      <c r="AE197" s="64">
        <f>IF(V197=0,0,24)</f>
        <v>0</v>
      </c>
      <c r="AF197" s="1637">
        <f>SUM(V197:V199)/($B$171-B196)</f>
        <v>0</v>
      </c>
      <c r="AG197" s="1646"/>
      <c r="AH197" s="450">
        <f>SUM(D175:D197)+$C$174</f>
        <v>11.5</v>
      </c>
      <c r="AI197" s="1639" t="b">
        <f t="shared" si="53"/>
        <v>0</v>
      </c>
      <c r="AJ197" s="718">
        <f t="shared" si="54"/>
        <v>63.999008599999996</v>
      </c>
      <c r="AK197" s="1639">
        <f t="shared" si="43"/>
        <v>0.89878646094353065</v>
      </c>
      <c r="AL197" s="1639">
        <f t="shared" si="55"/>
        <v>261.22587472819777</v>
      </c>
      <c r="AM197" s="1640">
        <f t="shared" si="56"/>
        <v>68.681912400000002</v>
      </c>
      <c r="AN197" s="1639">
        <f t="shared" si="57"/>
        <v>0.93157650704416217</v>
      </c>
      <c r="AO197" s="1641">
        <f t="shared" si="58"/>
        <v>233.89386858425814</v>
      </c>
      <c r="AP197" s="287">
        <f t="shared" si="44"/>
        <v>-6.0906361352880163</v>
      </c>
      <c r="AQ197" s="444">
        <f t="shared" si="59"/>
        <v>-644.6</v>
      </c>
      <c r="AR197" s="444">
        <f t="shared" si="45"/>
        <v>-617.80000000000007</v>
      </c>
      <c r="AS197" s="445">
        <f t="shared" si="60"/>
        <v>495.11974331245591</v>
      </c>
      <c r="AT197" s="64">
        <f t="shared" si="66"/>
        <v>-233.89386858425814</v>
      </c>
      <c r="AU197" s="445">
        <f t="shared" si="61"/>
        <v>227.80323244897014</v>
      </c>
      <c r="AV197" s="447"/>
      <c r="AW197" s="447">
        <f t="shared" si="62"/>
        <v>-333.5519187875351</v>
      </c>
      <c r="AX197" s="1597">
        <f t="shared" si="63"/>
        <v>-284.24808121246497</v>
      </c>
      <c r="AY197" s="1597">
        <f t="shared" si="46"/>
        <v>-34.777194633345623</v>
      </c>
      <c r="AZ197" s="1642">
        <f t="shared" si="47"/>
        <v>-35.180536513544197</v>
      </c>
      <c r="BA197" s="274">
        <f t="shared" si="68"/>
        <v>34.777194633345623</v>
      </c>
      <c r="BB197" s="275">
        <f t="shared" si="68"/>
        <v>35.180536513544197</v>
      </c>
      <c r="BD197" s="144"/>
      <c r="BM197" s="214"/>
      <c r="BN197" s="214"/>
      <c r="BO197" s="214"/>
      <c r="DF197" s="126"/>
      <c r="DG197" s="126"/>
      <c r="DH197" s="126"/>
      <c r="DI197" s="126"/>
      <c r="DJ197" s="126"/>
      <c r="DK197" s="126"/>
      <c r="DL197" s="203"/>
      <c r="DM197" s="203"/>
      <c r="DN197" s="203"/>
      <c r="DO197" s="203"/>
      <c r="DP197" s="203"/>
      <c r="DQ197" s="203"/>
      <c r="DR197" s="203"/>
      <c r="DS197" s="203"/>
      <c r="DT197" s="203"/>
      <c r="DU197" s="203"/>
      <c r="DV197" s="203"/>
      <c r="DW197" s="203"/>
      <c r="DX197" s="203"/>
      <c r="DY197" s="203"/>
    </row>
    <row r="198" spans="2:129" ht="21" customHeight="1" thickBot="1" x14ac:dyDescent="0.35">
      <c r="B198" s="277">
        <v>25</v>
      </c>
      <c r="C198" s="1648"/>
      <c r="D198" s="25">
        <v>0.5</v>
      </c>
      <c r="E198" s="257" t="s">
        <v>305</v>
      </c>
      <c r="F198" s="258"/>
      <c r="G198" s="258">
        <f t="shared" si="67"/>
        <v>0.5</v>
      </c>
      <c r="H198" s="1632">
        <v>251.073172</v>
      </c>
      <c r="I198" s="1633">
        <v>65.636175100000003</v>
      </c>
      <c r="J198" s="474">
        <f t="shared" si="48"/>
        <v>65.136175100000003</v>
      </c>
      <c r="K198" s="474">
        <f t="shared" si="49"/>
        <v>32.568087550000001</v>
      </c>
      <c r="L198" s="474">
        <f t="shared" si="36"/>
        <v>0.53830147457895938</v>
      </c>
      <c r="M198" s="474">
        <f t="shared" si="37"/>
        <v>135.15305871481669</v>
      </c>
      <c r="N198" s="474">
        <f t="shared" si="38"/>
        <v>270.30611742963339</v>
      </c>
      <c r="O198" s="1645">
        <f>+C174+D175+D176+D177+D178+D179+D180+D181+D182+D183+D184+D185+D186+D187+D188+D189+D190+D191+D192+D193+D194+D195+D196+D197+(D198/2)</f>
        <v>11.75</v>
      </c>
      <c r="P198" s="474">
        <f t="shared" si="39"/>
        <v>0.20364175114017727</v>
      </c>
      <c r="Q198" s="474">
        <f t="shared" si="40"/>
        <v>55.045611097272939</v>
      </c>
      <c r="R198" s="474">
        <f t="shared" si="50"/>
        <v>832.83102060419708</v>
      </c>
      <c r="S198" s="474">
        <f t="shared" si="65"/>
        <v>887.87663170147005</v>
      </c>
      <c r="T198" s="476">
        <f t="shared" si="41"/>
        <v>887.87663170147005</v>
      </c>
      <c r="V198" s="1635">
        <f t="shared" si="42"/>
        <v>0</v>
      </c>
      <c r="AB198" s="281" t="str">
        <f t="shared" si="51"/>
        <v>use the locking pin</v>
      </c>
      <c r="AC198" s="64" t="b">
        <f>IF(AD198=25,AF198)</f>
        <v>0</v>
      </c>
      <c r="AD198" s="64">
        <f t="shared" si="52"/>
        <v>1</v>
      </c>
      <c r="AE198" s="64">
        <f>IF(V198=0,0,25)</f>
        <v>0</v>
      </c>
      <c r="AF198" s="1637">
        <f>SUM(V198:V199)/($B$171-B197)</f>
        <v>0</v>
      </c>
      <c r="AG198" s="1646"/>
      <c r="AH198" s="450">
        <f>SUM(D175:D198)+$C$174</f>
        <v>12</v>
      </c>
      <c r="AI198" s="1639" t="b">
        <f t="shared" si="53"/>
        <v>0</v>
      </c>
      <c r="AJ198" s="718">
        <f t="shared" si="54"/>
        <v>63.499008599999996</v>
      </c>
      <c r="AK198" s="1639">
        <f t="shared" si="43"/>
        <v>0.89492664082063922</v>
      </c>
      <c r="AL198" s="1639">
        <f t="shared" si="55"/>
        <v>260.1040455377165</v>
      </c>
      <c r="AM198" s="1640">
        <f t="shared" si="56"/>
        <v>69.181912400000002</v>
      </c>
      <c r="AN198" s="1639">
        <f t="shared" si="57"/>
        <v>0.93471352674750907</v>
      </c>
      <c r="AO198" s="1641">
        <f t="shared" si="58"/>
        <v>234.68149007180395</v>
      </c>
      <c r="AP198" s="287">
        <f t="shared" si="44"/>
        <v>-5.8148586066773866</v>
      </c>
      <c r="AQ198" s="444">
        <f t="shared" si="59"/>
        <v>-673.9</v>
      </c>
      <c r="AR198" s="444">
        <f t="shared" si="45"/>
        <v>-647.1</v>
      </c>
      <c r="AS198" s="445">
        <f t="shared" si="60"/>
        <v>494.78553560952048</v>
      </c>
      <c r="AT198" s="64">
        <f t="shared" si="66"/>
        <v>-234.68149007180395</v>
      </c>
      <c r="AU198" s="445">
        <f t="shared" si="61"/>
        <v>228.86663146512657</v>
      </c>
      <c r="AV198" s="447"/>
      <c r="AW198" s="447">
        <f t="shared" si="62"/>
        <v>-347.77921036001737</v>
      </c>
      <c r="AX198" s="1597">
        <f t="shared" si="63"/>
        <v>-299.32078963998259</v>
      </c>
      <c r="AY198" s="1597">
        <f t="shared" si="46"/>
        <v>-33.354495192486645</v>
      </c>
      <c r="AZ198" s="1642">
        <f t="shared" si="47"/>
        <v>-33.408972400573347</v>
      </c>
      <c r="BA198" s="274">
        <f t="shared" si="68"/>
        <v>33.354495192486645</v>
      </c>
      <c r="BB198" s="275">
        <f t="shared" si="68"/>
        <v>33.408972400573347</v>
      </c>
      <c r="BD198" s="144"/>
      <c r="BM198" s="214"/>
      <c r="BN198" s="214"/>
      <c r="BO198" s="214"/>
      <c r="DF198" s="126"/>
      <c r="DG198" s="126"/>
      <c r="DH198" s="126"/>
      <c r="DI198" s="126"/>
      <c r="DJ198" s="126"/>
      <c r="DK198" s="126"/>
      <c r="DL198" s="203"/>
      <c r="DM198" s="203"/>
      <c r="DN198" s="203"/>
      <c r="DO198" s="203"/>
      <c r="DP198" s="203"/>
      <c r="DQ198" s="203"/>
      <c r="DR198" s="203"/>
      <c r="DS198" s="203"/>
      <c r="DT198" s="203"/>
      <c r="DU198" s="203"/>
      <c r="DV198" s="203"/>
      <c r="DW198" s="203"/>
      <c r="DX198" s="203"/>
      <c r="DY198" s="203"/>
    </row>
    <row r="199" spans="2:129" ht="21" customHeight="1" thickBot="1" x14ac:dyDescent="0.35">
      <c r="B199" s="277">
        <v>26</v>
      </c>
      <c r="C199" s="1648"/>
      <c r="D199" s="25">
        <v>0.5</v>
      </c>
      <c r="E199" s="257" t="s">
        <v>305</v>
      </c>
      <c r="F199" s="258"/>
      <c r="G199" s="258">
        <f t="shared" si="67"/>
        <v>0.5</v>
      </c>
      <c r="H199" s="1632">
        <v>251.073172</v>
      </c>
      <c r="I199" s="1633">
        <v>65.636175100000003</v>
      </c>
      <c r="J199" s="474">
        <f t="shared" si="48"/>
        <v>65.136175100000003</v>
      </c>
      <c r="K199" s="474">
        <f t="shared" si="49"/>
        <v>32.568087550000001</v>
      </c>
      <c r="L199" s="474">
        <f t="shared" si="36"/>
        <v>0.53830147457895938</v>
      </c>
      <c r="M199" s="474">
        <f t="shared" si="37"/>
        <v>135.15305871481669</v>
      </c>
      <c r="N199" s="474">
        <f t="shared" si="38"/>
        <v>270.30611742963339</v>
      </c>
      <c r="O199" s="1645">
        <f>+C174+D175+D176+D177+D178+D179+D180+D181+D182+D183+D184+D185+D186+D187+D188+D189+D190+D191+D192+D193+D194+D195+D196+D197+D198+(D199/2)</f>
        <v>12.25</v>
      </c>
      <c r="P199" s="474">
        <f t="shared" si="39"/>
        <v>0.21217767215644603</v>
      </c>
      <c r="Q199" s="474">
        <f t="shared" si="40"/>
        <v>57.352922765866559</v>
      </c>
      <c r="R199" s="474">
        <f t="shared" si="50"/>
        <v>887.87663170147005</v>
      </c>
      <c r="S199" s="474">
        <f t="shared" si="65"/>
        <v>945.22955446733658</v>
      </c>
      <c r="T199" s="476">
        <f t="shared" si="41"/>
        <v>945.22955446733658</v>
      </c>
      <c r="V199" s="1635">
        <f t="shared" si="42"/>
        <v>0</v>
      </c>
      <c r="AB199" s="281" t="str">
        <f t="shared" si="51"/>
        <v>use the locking pin</v>
      </c>
      <c r="AC199" s="64" t="b">
        <f>IF(AD199=26,AF199)</f>
        <v>0</v>
      </c>
      <c r="AD199" s="64">
        <f t="shared" si="52"/>
        <v>1</v>
      </c>
      <c r="AE199" s="64">
        <f>IF(V199=0,0,26)</f>
        <v>0</v>
      </c>
      <c r="AF199" s="1637">
        <f t="shared" ref="AF199" si="69">SUM(V199:V199)/($B$171-B198)</f>
        <v>0</v>
      </c>
      <c r="AG199" s="1646"/>
      <c r="AH199" s="450">
        <f>SUM(D175:D199)+$C$174</f>
        <v>12.5</v>
      </c>
      <c r="AI199" s="1639" t="b">
        <f t="shared" si="53"/>
        <v>0</v>
      </c>
      <c r="AJ199" s="718">
        <f t="shared" si="54"/>
        <v>62.999008599999996</v>
      </c>
      <c r="AK199" s="1639">
        <f t="shared" si="43"/>
        <v>0.89099866856919985</v>
      </c>
      <c r="AL199" s="1639">
        <f t="shared" si="55"/>
        <v>258.9624084171337</v>
      </c>
      <c r="AM199" s="1640">
        <f t="shared" si="56"/>
        <v>69.681912400000002</v>
      </c>
      <c r="AN199" s="1639">
        <f t="shared" si="57"/>
        <v>0.93777936439690368</v>
      </c>
      <c r="AO199" s="1641">
        <f t="shared" si="58"/>
        <v>235.45123965527446</v>
      </c>
      <c r="AP199" s="287">
        <f t="shared" si="44"/>
        <v>-5.5629730993213133</v>
      </c>
      <c r="AQ199" s="444">
        <f t="shared" si="59"/>
        <v>-703.2</v>
      </c>
      <c r="AR199" s="444">
        <f t="shared" si="45"/>
        <v>-676.40000000000009</v>
      </c>
      <c r="AS199" s="445">
        <f t="shared" si="60"/>
        <v>494.41364807240814</v>
      </c>
      <c r="AT199" s="64">
        <f t="shared" si="66"/>
        <v>-235.45123965527446</v>
      </c>
      <c r="AU199" s="445">
        <f t="shared" si="61"/>
        <v>229.88826655595315</v>
      </c>
      <c r="AV199" s="447"/>
      <c r="AW199" s="447">
        <f t="shared" si="62"/>
        <v>-361.89326236302884</v>
      </c>
      <c r="AX199" s="1597">
        <f t="shared" si="63"/>
        <v>-314.50673763697131</v>
      </c>
      <c r="AY199" s="1597">
        <f t="shared" si="46"/>
        <v>-32.053650085266305</v>
      </c>
      <c r="AZ199" s="1642">
        <f t="shared" si="47"/>
        <v>-31.795821212398938</v>
      </c>
      <c r="BA199" s="274">
        <f t="shared" si="68"/>
        <v>32.053650085266305</v>
      </c>
      <c r="BB199" s="275">
        <f t="shared" si="68"/>
        <v>31.795821212398938</v>
      </c>
      <c r="BD199" s="545"/>
      <c r="BM199" s="214"/>
      <c r="BN199" s="214"/>
      <c r="BO199" s="214"/>
    </row>
    <row r="200" spans="2:129" ht="19" hidden="1" thickBot="1" x14ac:dyDescent="0.25">
      <c r="B200" s="350"/>
      <c r="U200" s="276"/>
      <c r="AX200" s="447"/>
    </row>
    <row r="201" spans="2:129" ht="22" hidden="1" thickBot="1" x14ac:dyDescent="0.25">
      <c r="B201" s="350"/>
      <c r="AB201" s="415"/>
      <c r="AC201" s="415"/>
      <c r="AD201" s="415"/>
      <c r="AE201" s="415"/>
      <c r="AH201" s="546" t="s">
        <v>79</v>
      </c>
      <c r="AI201" s="547">
        <f>MAX(AI174:AI199)</f>
        <v>0</v>
      </c>
    </row>
    <row r="202" spans="2:129" ht="21" hidden="1" thickBot="1" x14ac:dyDescent="0.25">
      <c r="B202" s="350"/>
      <c r="AB202" s="415"/>
      <c r="AC202" s="415"/>
      <c r="AD202" s="415"/>
      <c r="AE202" s="415"/>
      <c r="AH202" s="853"/>
      <c r="AI202" s="854"/>
    </row>
    <row r="203" spans="2:129" hidden="1" x14ac:dyDescent="0.2">
      <c r="V203" s="73"/>
      <c r="W203" s="73"/>
      <c r="X203" s="73"/>
      <c r="Y203" s="73"/>
      <c r="Z203" s="73"/>
      <c r="AA203" s="73"/>
      <c r="AB203" s="73"/>
      <c r="AC203" s="73"/>
      <c r="AD203" s="73"/>
      <c r="AE203" s="73"/>
      <c r="AF203" s="73"/>
      <c r="AG203" s="73"/>
      <c r="AH203" s="73"/>
      <c r="AI203" s="73"/>
      <c r="AJ203" s="1769"/>
      <c r="AK203" s="619"/>
      <c r="AL203" s="619"/>
      <c r="AM203" s="619"/>
      <c r="AN203" s="619"/>
      <c r="AO203" s="619"/>
      <c r="AP203" s="619"/>
      <c r="AQ203" s="619"/>
      <c r="AR203" s="619"/>
      <c r="AS203" s="619"/>
      <c r="AT203" s="619"/>
      <c r="AU203" s="619"/>
      <c r="AV203" s="619"/>
      <c r="AW203" s="1770" t="s">
        <v>361</v>
      </c>
      <c r="AX203" s="1770"/>
      <c r="AY203" s="1770"/>
      <c r="AZ203" s="1771"/>
      <c r="BA203" s="73"/>
      <c r="BB203" s="73"/>
      <c r="BC203" s="126"/>
    </row>
    <row r="204" spans="2:129" hidden="1" x14ac:dyDescent="0.2">
      <c r="V204" s="73"/>
      <c r="W204" s="73"/>
      <c r="X204" s="73"/>
      <c r="Y204" s="73"/>
      <c r="Z204" s="73"/>
      <c r="AA204" s="73"/>
      <c r="AB204" s="73"/>
      <c r="AC204" s="73"/>
      <c r="AD204" s="73"/>
      <c r="AE204" s="73"/>
      <c r="AF204" s="73"/>
      <c r="AG204" s="73"/>
      <c r="AH204" s="73"/>
      <c r="AI204" s="73"/>
      <c r="AJ204" s="1772" t="s">
        <v>368</v>
      </c>
      <c r="AK204" s="1773">
        <v>0.5</v>
      </c>
      <c r="AL204" s="1773">
        <v>1</v>
      </c>
      <c r="AM204" s="1773">
        <v>2</v>
      </c>
      <c r="AN204" s="1773">
        <v>2.5</v>
      </c>
      <c r="AO204" s="1773">
        <v>3</v>
      </c>
      <c r="AP204" s="1773">
        <v>4</v>
      </c>
      <c r="AQ204" s="1773">
        <v>5</v>
      </c>
      <c r="AR204" s="1773">
        <v>5.5</v>
      </c>
      <c r="AS204" s="1773">
        <v>6.5</v>
      </c>
      <c r="AT204" s="1773">
        <v>7.5</v>
      </c>
      <c r="AU204" s="1773">
        <v>9</v>
      </c>
      <c r="AV204" s="1773">
        <v>10</v>
      </c>
      <c r="AW204" s="1579" t="s">
        <v>355</v>
      </c>
      <c r="AX204" s="457" t="s">
        <v>362</v>
      </c>
      <c r="AY204" s="1579" t="s">
        <v>367</v>
      </c>
      <c r="AZ204" s="1774"/>
      <c r="BA204" s="73"/>
      <c r="BB204" s="73"/>
      <c r="BC204" s="126"/>
    </row>
    <row r="205" spans="2:129" hidden="1" x14ac:dyDescent="0.2">
      <c r="V205" s="73"/>
      <c r="W205" s="73"/>
      <c r="X205" s="73"/>
      <c r="Y205" s="73"/>
      <c r="Z205" s="73"/>
      <c r="AA205" s="73"/>
      <c r="AB205" s="73"/>
      <c r="AC205" s="73"/>
      <c r="AD205" s="73"/>
      <c r="AE205" s="73"/>
      <c r="AF205" s="73"/>
      <c r="AG205" s="73"/>
      <c r="AH205" s="73"/>
      <c r="AI205" s="73"/>
      <c r="AJ205" s="1772" t="s">
        <v>355</v>
      </c>
      <c r="AK205" s="1773">
        <v>42.701900000000002</v>
      </c>
      <c r="AL205" s="1773">
        <v>44.560600000000001</v>
      </c>
      <c r="AM205" s="1773">
        <v>47.3825</v>
      </c>
      <c r="AN205" s="1773">
        <v>44.2331</v>
      </c>
      <c r="AO205" s="1773">
        <v>46.136200000000002</v>
      </c>
      <c r="AP205" s="1773">
        <v>48.924700000000001</v>
      </c>
      <c r="AQ205" s="1773">
        <v>45.390900000000002</v>
      </c>
      <c r="AR205" s="1773">
        <v>47.344299999999997</v>
      </c>
      <c r="AS205" s="1773">
        <v>50.048400000000001</v>
      </c>
      <c r="AT205" s="1773">
        <v>48.7883</v>
      </c>
      <c r="AU205" s="1773">
        <v>51.122100000000003</v>
      </c>
      <c r="AV205" s="1773">
        <v>49.733899999999998</v>
      </c>
      <c r="AW205" s="1775">
        <f>SUM(AK206:AV206)</f>
        <v>42.701900000000002</v>
      </c>
      <c r="AX205" s="457">
        <f>+SIN((AW205+AI201)*3.14159265358979/180)</f>
        <v>0.67818404018606215</v>
      </c>
      <c r="AY205" s="1579">
        <f>+AX211/AX205</f>
        <v>16.966955509184384</v>
      </c>
      <c r="AZ205" s="1776"/>
      <c r="BA205" s="73"/>
      <c r="BB205" s="73"/>
      <c r="BC205" s="126"/>
    </row>
    <row r="206" spans="2:129" ht="19" thickBot="1" x14ac:dyDescent="0.25">
      <c r="V206" s="73"/>
      <c r="W206" s="73"/>
      <c r="X206" s="73"/>
      <c r="Y206" s="73"/>
      <c r="Z206" s="73"/>
      <c r="AA206" s="73"/>
      <c r="AB206" s="73"/>
      <c r="AC206" s="73"/>
      <c r="AD206" s="73"/>
      <c r="AE206" s="73"/>
      <c r="AF206" s="73"/>
      <c r="AG206" s="73"/>
      <c r="AH206" s="73"/>
      <c r="AI206" s="73"/>
      <c r="AJ206" s="1777"/>
      <c r="AK206" s="1778">
        <f>IF(($D$211=AK204),AK205)</f>
        <v>42.701900000000002</v>
      </c>
      <c r="AL206" s="1778" t="b">
        <f t="shared" ref="AL206:AV206" si="70">IF(($D$211=AL204),AL205)</f>
        <v>0</v>
      </c>
      <c r="AM206" s="1778" t="b">
        <f t="shared" si="70"/>
        <v>0</v>
      </c>
      <c r="AN206" s="1778" t="b">
        <f t="shared" si="70"/>
        <v>0</v>
      </c>
      <c r="AO206" s="1778" t="b">
        <f t="shared" si="70"/>
        <v>0</v>
      </c>
      <c r="AP206" s="1778" t="b">
        <f t="shared" si="70"/>
        <v>0</v>
      </c>
      <c r="AQ206" s="1778" t="b">
        <f t="shared" si="70"/>
        <v>0</v>
      </c>
      <c r="AR206" s="1778" t="b">
        <f t="shared" si="70"/>
        <v>0</v>
      </c>
      <c r="AS206" s="1778" t="b">
        <f t="shared" si="70"/>
        <v>0</v>
      </c>
      <c r="AT206" s="1778" t="b">
        <f t="shared" si="70"/>
        <v>0</v>
      </c>
      <c r="AU206" s="1778" t="b">
        <f t="shared" si="70"/>
        <v>0</v>
      </c>
      <c r="AV206" s="1778" t="b">
        <f t="shared" si="70"/>
        <v>0</v>
      </c>
      <c r="AW206" s="1579"/>
      <c r="AX206" s="457"/>
      <c r="AY206" s="1579"/>
      <c r="AZ206" s="1776"/>
      <c r="BA206" s="73"/>
      <c r="BB206" s="73"/>
      <c r="BC206" s="126"/>
    </row>
    <row r="207" spans="2:129" ht="57.75" customHeight="1" thickBot="1" x14ac:dyDescent="0.25">
      <c r="B207" s="345" t="s">
        <v>157</v>
      </c>
      <c r="C207" s="454"/>
      <c r="D207" s="455"/>
      <c r="E207" s="37"/>
      <c r="F207" s="37"/>
      <c r="G207" s="37"/>
      <c r="H207" s="456"/>
      <c r="I207" s="456"/>
      <c r="J207" s="456"/>
      <c r="K207" s="456"/>
      <c r="L207" s="456"/>
      <c r="M207" s="456"/>
      <c r="N207" s="456"/>
      <c r="O207" s="456"/>
      <c r="P207" s="456"/>
      <c r="Q207" s="456"/>
      <c r="R207" s="456"/>
      <c r="S207" s="457" t="s">
        <v>66</v>
      </c>
      <c r="T207" s="457">
        <f>SUM(V211:V218)/B208</f>
        <v>147.5605650655406</v>
      </c>
      <c r="U207" s="212"/>
      <c r="V207" s="73"/>
      <c r="W207" s="73"/>
      <c r="X207" s="73"/>
      <c r="Y207" s="73"/>
      <c r="Z207" s="73"/>
      <c r="AA207" s="73"/>
      <c r="AB207" s="73"/>
      <c r="AC207" s="73"/>
      <c r="AD207" s="73"/>
      <c r="AE207" s="73"/>
      <c r="AF207" s="73"/>
      <c r="AG207" s="73"/>
      <c r="AH207" s="73"/>
      <c r="AI207" s="73"/>
      <c r="AJ207" s="1777"/>
      <c r="AK207" s="560"/>
      <c r="AL207" s="560"/>
      <c r="AM207" s="560"/>
      <c r="AN207" s="560"/>
      <c r="AO207" s="560"/>
      <c r="AP207" s="560"/>
      <c r="AQ207" s="560"/>
      <c r="AR207" s="560"/>
      <c r="AS207" s="560"/>
      <c r="AT207" s="560"/>
      <c r="AU207" s="560"/>
      <c r="AV207" s="560"/>
      <c r="AW207" s="1779" t="s">
        <v>363</v>
      </c>
      <c r="AX207" s="1579"/>
      <c r="AY207" s="1780"/>
      <c r="AZ207" s="1781">
        <v>2000</v>
      </c>
      <c r="BA207" s="73"/>
      <c r="BB207" s="73"/>
      <c r="BC207" s="126"/>
    </row>
    <row r="208" spans="2:129" ht="36" customHeight="1" thickBot="1" x14ac:dyDescent="0.3">
      <c r="B208" s="27">
        <v>1</v>
      </c>
      <c r="C208" s="216"/>
      <c r="D208" s="549" t="s">
        <v>53</v>
      </c>
      <c r="E208" s="330"/>
      <c r="F208" s="330"/>
      <c r="G208" s="330"/>
      <c r="H208" s="1658"/>
      <c r="I208" s="1658"/>
      <c r="J208" s="1623"/>
      <c r="K208" s="1623"/>
      <c r="L208" s="1623"/>
      <c r="M208" s="1623"/>
      <c r="N208" s="1623"/>
      <c r="O208" s="1623"/>
      <c r="P208" s="1623"/>
      <c r="Q208" s="1623"/>
      <c r="R208" s="1623"/>
      <c r="S208" s="1624"/>
      <c r="T208" s="1625"/>
      <c r="U208" s="401"/>
      <c r="V208" s="1585"/>
      <c r="W208" s="1585"/>
      <c r="X208" s="1585"/>
      <c r="Y208" s="1585"/>
      <c r="Z208" s="1585"/>
      <c r="AA208" s="1585"/>
      <c r="AB208" s="1585"/>
      <c r="AC208" s="1585"/>
      <c r="AD208" s="1585"/>
      <c r="AE208" s="1585"/>
      <c r="AF208" s="1585"/>
      <c r="AG208" s="1585"/>
      <c r="AH208" s="1585"/>
      <c r="AI208" s="1585"/>
      <c r="AJ208" s="1782"/>
      <c r="AK208" s="655"/>
      <c r="AL208" s="655"/>
      <c r="AM208" s="655"/>
      <c r="AN208" s="655"/>
      <c r="AO208" s="655"/>
      <c r="AP208" s="655"/>
      <c r="AQ208" s="655"/>
      <c r="AR208" s="655"/>
      <c r="AS208" s="655"/>
      <c r="AT208" s="655"/>
      <c r="AU208" s="655"/>
      <c r="AV208" s="655"/>
      <c r="AW208" s="1783" t="s">
        <v>369</v>
      </c>
      <c r="AX208" s="1784"/>
      <c r="AY208" s="1785"/>
      <c r="AZ208" s="1786">
        <f>+AZ207/SIN((AU205)*3.14159265358979/180)</f>
        <v>2569.091518711793</v>
      </c>
      <c r="BA208" s="1848" t="s">
        <v>52</v>
      </c>
      <c r="BB208" s="1849"/>
      <c r="BC208" s="218"/>
      <c r="BP208" s="305"/>
      <c r="BQ208" s="305"/>
      <c r="BR208" s="305"/>
      <c r="BS208" s="305"/>
      <c r="BT208" s="305"/>
      <c r="BU208" s="305"/>
      <c r="BV208" s="1818"/>
      <c r="BW208" s="1818"/>
      <c r="BX208" s="1818"/>
      <c r="BY208" s="126"/>
    </row>
    <row r="209" spans="2:109" ht="33" hidden="1" customHeight="1" thickBot="1" x14ac:dyDescent="0.3">
      <c r="C209" s="416"/>
      <c r="D209" s="354"/>
      <c r="H209" s="1626" t="s">
        <v>4</v>
      </c>
      <c r="I209" s="1627" t="s">
        <v>1</v>
      </c>
      <c r="J209" s="456" t="s">
        <v>0</v>
      </c>
      <c r="K209" s="456" t="s">
        <v>2</v>
      </c>
      <c r="L209" s="456" t="s">
        <v>3</v>
      </c>
      <c r="M209" s="456" t="s">
        <v>8</v>
      </c>
      <c r="N209" s="456" t="s">
        <v>5</v>
      </c>
      <c r="O209" s="456" t="s">
        <v>6</v>
      </c>
      <c r="P209" s="456" t="s">
        <v>7</v>
      </c>
      <c r="Q209" s="456" t="s">
        <v>9</v>
      </c>
      <c r="R209" s="1628" t="s">
        <v>10</v>
      </c>
      <c r="S209" s="456" t="s">
        <v>11</v>
      </c>
      <c r="T209" s="467" t="s">
        <v>12</v>
      </c>
      <c r="V209" s="420"/>
      <c r="W209" s="420"/>
      <c r="X209" s="420"/>
      <c r="Y209" s="420"/>
      <c r="Z209" s="420"/>
      <c r="AA209" s="420"/>
      <c r="AB209" s="420"/>
      <c r="AC209" s="420"/>
      <c r="AD209" s="420"/>
      <c r="AE209" s="420"/>
      <c r="AF209" s="420"/>
      <c r="AG209" s="420"/>
      <c r="AH209" s="420"/>
      <c r="AI209" s="420"/>
      <c r="AJ209" s="1589"/>
      <c r="AK209" s="420"/>
      <c r="AL209" s="1589"/>
      <c r="AM209" s="1589"/>
      <c r="AN209" s="420"/>
      <c r="AO209" s="1589"/>
      <c r="AP209" s="420"/>
      <c r="AQ209" s="1589" t="s">
        <v>307</v>
      </c>
      <c r="AR209" s="420"/>
      <c r="AS209" s="420"/>
      <c r="AT209" s="420"/>
      <c r="AU209" s="420"/>
      <c r="AV209" s="420"/>
      <c r="AW209" s="1783" t="s">
        <v>370</v>
      </c>
      <c r="AX209" s="1792"/>
      <c r="AY209" s="1793"/>
      <c r="AZ209" s="1791">
        <v>2570</v>
      </c>
      <c r="BA209" s="420"/>
      <c r="BB209" s="420"/>
      <c r="BC209" s="231"/>
      <c r="BV209" s="306"/>
      <c r="CI209" s="306"/>
    </row>
    <row r="210" spans="2:109" ht="39.75" customHeight="1" thickBot="1" x14ac:dyDescent="0.25">
      <c r="B210" s="421"/>
      <c r="C210" s="422"/>
      <c r="D210" s="551" t="s">
        <v>22</v>
      </c>
      <c r="E210" s="330"/>
      <c r="F210" s="729" t="s">
        <v>45</v>
      </c>
      <c r="G210" s="240"/>
      <c r="H210" s="1659"/>
      <c r="I210" s="1660"/>
      <c r="R210" s="73"/>
      <c r="T210" s="471"/>
      <c r="V210" s="420"/>
      <c r="W210" s="420"/>
      <c r="X210" s="420"/>
      <c r="Y210" s="420"/>
      <c r="Z210" s="420"/>
      <c r="AA210" s="420"/>
      <c r="AB210" s="420"/>
      <c r="AC210" s="420"/>
      <c r="AD210" s="420"/>
      <c r="AE210" s="420"/>
      <c r="AF210" s="420" t="s">
        <v>38</v>
      </c>
      <c r="AG210" s="552" t="s">
        <v>102</v>
      </c>
      <c r="AH210" s="425" t="s">
        <v>31</v>
      </c>
      <c r="AI210" s="425"/>
      <c r="AJ210" s="697" t="s">
        <v>60</v>
      </c>
      <c r="AK210" s="426" t="s">
        <v>32</v>
      </c>
      <c r="AL210" s="698" t="s">
        <v>33</v>
      </c>
      <c r="AM210" s="697" t="s">
        <v>61</v>
      </c>
      <c r="AN210" s="427" t="s">
        <v>34</v>
      </c>
      <c r="AO210" s="698" t="s">
        <v>35</v>
      </c>
      <c r="AP210" s="427"/>
      <c r="AQ210" s="473" t="s">
        <v>36</v>
      </c>
      <c r="AR210" s="420"/>
      <c r="AS210" s="420" t="s">
        <v>37</v>
      </c>
      <c r="AT210" s="420" t="s">
        <v>39</v>
      </c>
      <c r="AU210" s="420"/>
      <c r="AV210" s="420" t="s">
        <v>40</v>
      </c>
      <c r="AW210" s="1594" t="s">
        <v>41</v>
      </c>
      <c r="AX210" s="1594" t="s">
        <v>42</v>
      </c>
      <c r="AY210" s="430" t="s">
        <v>23</v>
      </c>
      <c r="AZ210" s="430" t="s">
        <v>24</v>
      </c>
      <c r="BA210" s="431" t="s">
        <v>23</v>
      </c>
      <c r="BB210" s="431" t="s">
        <v>24</v>
      </c>
      <c r="BP210" s="307"/>
      <c r="BQ210" s="307"/>
      <c r="BR210" s="307"/>
      <c r="BS210" s="307"/>
      <c r="BT210" s="307"/>
      <c r="BU210" s="307"/>
      <c r="BV210" s="1819"/>
      <c r="BW210" s="1819"/>
      <c r="CH210" s="1813"/>
      <c r="CI210" s="1813"/>
    </row>
    <row r="211" spans="2:109" ht="21" customHeight="1" thickBot="1" x14ac:dyDescent="0.25">
      <c r="B211" s="255">
        <v>1</v>
      </c>
      <c r="C211" s="256">
        <f>+D211+AI201</f>
        <v>0.5</v>
      </c>
      <c r="D211" s="25">
        <v>0.5</v>
      </c>
      <c r="E211" s="257" t="s">
        <v>308</v>
      </c>
      <c r="F211" s="258"/>
      <c r="G211" s="258">
        <f>+D211</f>
        <v>0.5</v>
      </c>
      <c r="H211" s="1632">
        <v>190.76</v>
      </c>
      <c r="I211" s="1633">
        <v>79.651040199999997</v>
      </c>
      <c r="J211" s="474">
        <f>+I211-C211</f>
        <v>79.151040199999997</v>
      </c>
      <c r="K211" s="474">
        <f>+J211/2</f>
        <v>39.575520099999999</v>
      </c>
      <c r="L211" s="474">
        <f t="shared" ref="L211:L218" si="71">SIN(K211*3.14159265358979/180)</f>
        <v>0.63709472605463091</v>
      </c>
      <c r="M211" s="474">
        <f t="shared" ref="M211:M218" si="72">+L211*H211</f>
        <v>121.53218994218139</v>
      </c>
      <c r="N211" s="474">
        <f t="shared" ref="N211:N218" si="73">+M211*2</f>
        <v>243.06437988436278</v>
      </c>
      <c r="O211" s="474">
        <f>+C211/2</f>
        <v>0.25</v>
      </c>
      <c r="P211" s="474">
        <f t="shared" ref="P211:P218" si="74">SIN(O211*3.14159265358979/180)</f>
        <v>4.3633092847465667E-3</v>
      </c>
      <c r="Q211" s="474">
        <f t="shared" ref="Q211:Q218" si="75">+P211*N211</f>
        <v>1.0605650655406067</v>
      </c>
      <c r="R211" s="1634">
        <v>146.5</v>
      </c>
      <c r="S211" s="474">
        <f>+R211+Q211</f>
        <v>147.5605650655406</v>
      </c>
      <c r="T211" s="476">
        <f t="shared" ref="T211:T218" si="76">+S211</f>
        <v>147.5605650655406</v>
      </c>
      <c r="V211" s="1635">
        <f t="shared" ref="V211:V218" si="77">IF(B211&lt;($B$208+1),T211,0)</f>
        <v>147.5605650655406</v>
      </c>
      <c r="W211" s="437"/>
      <c r="X211" s="437"/>
      <c r="Y211" s="437"/>
      <c r="Z211" s="437"/>
      <c r="AA211" s="437"/>
      <c r="AB211" s="258" t="str">
        <f>IF(AZ211&lt;0,"pin in groundstacking hole"," ")</f>
        <v xml:space="preserve"> </v>
      </c>
      <c r="AC211" s="1636"/>
      <c r="AD211" s="1636"/>
      <c r="AE211" s="1636"/>
      <c r="AF211" s="1637">
        <f>SUM(V211:V218)/($B$208)</f>
        <v>147.5605650655406</v>
      </c>
      <c r="AG211" s="1638">
        <f>+AF211+AA142+AA174</f>
        <v>147.56057956998691</v>
      </c>
      <c r="AH211" s="450">
        <f>C211</f>
        <v>0.5</v>
      </c>
      <c r="AI211" s="1639"/>
      <c r="AJ211" s="718">
        <f>69.3447148-AH211</f>
        <v>68.844714800000006</v>
      </c>
      <c r="AK211" s="1639">
        <f t="shared" ref="AK211:AK218" si="78">SIN(AJ211*3.14159265358979/180)</f>
        <v>0.93260573649025791</v>
      </c>
      <c r="AL211" s="1639">
        <f>+AK211*192.42</f>
        <v>179.4519958154554</v>
      </c>
      <c r="AM211" s="1640">
        <f>50.1744799+AH211</f>
        <v>50.674479900000001</v>
      </c>
      <c r="AN211" s="1639">
        <f>SIN(AM211*3.14159265358979/180)</f>
        <v>0.77355801894573117</v>
      </c>
      <c r="AO211" s="1641">
        <f>+AN211*190.76</f>
        <v>147.56392769408768</v>
      </c>
      <c r="AP211" s="439"/>
      <c r="AQ211" s="444">
        <f>$C$16*B208</f>
        <v>25.5</v>
      </c>
      <c r="AR211" s="444"/>
      <c r="AS211" s="445">
        <f>+AO211+AL211</f>
        <v>327.01592350954309</v>
      </c>
      <c r="AT211" s="445">
        <f>+V211-AO211</f>
        <v>-3.3626285470802486E-3</v>
      </c>
      <c r="AU211" s="445"/>
      <c r="AV211" s="447">
        <f>+AF211-AT211</f>
        <v>147.56392769408768</v>
      </c>
      <c r="AW211" s="447">
        <f>+((AS211-AV211)/AS211)*AQ211</f>
        <v>13.993281563124167</v>
      </c>
      <c r="AX211" s="447">
        <f>+(AV211/AS211)*AQ211</f>
        <v>11.506718436875831</v>
      </c>
      <c r="AY211" s="1597">
        <f t="shared" ref="AY211:AY218" si="79">2*$C$20/AW211</f>
        <v>828.96924125138241</v>
      </c>
      <c r="AZ211" s="1787">
        <f>AZ209/AY205</f>
        <v>151.47089874838377</v>
      </c>
      <c r="BA211" s="274">
        <f>ABS(AY211)</f>
        <v>828.96924125138241</v>
      </c>
      <c r="BB211" s="275">
        <f>ABS(AZ211)</f>
        <v>151.47089874838377</v>
      </c>
      <c r="BC211" s="91"/>
    </row>
    <row r="212" spans="2:109" ht="21" customHeight="1" thickBot="1" x14ac:dyDescent="0.25">
      <c r="B212" s="277">
        <v>2</v>
      </c>
      <c r="C212" s="278"/>
      <c r="D212" s="25">
        <v>0</v>
      </c>
      <c r="E212" s="257" t="s">
        <v>173</v>
      </c>
      <c r="F212" s="258"/>
      <c r="G212" s="258">
        <f>+D212+BC212</f>
        <v>0</v>
      </c>
      <c r="H212" s="1632">
        <v>190.76</v>
      </c>
      <c r="I212" s="1633">
        <v>79.651040199999997</v>
      </c>
      <c r="J212" s="474">
        <f t="shared" ref="J212:J218" si="80">+I212-D212</f>
        <v>79.651040199999997</v>
      </c>
      <c r="K212" s="474">
        <f t="shared" ref="K212:K218" si="81">+J212/2</f>
        <v>39.825520099999999</v>
      </c>
      <c r="L212" s="474">
        <f t="shared" si="71"/>
        <v>0.64045183696587837</v>
      </c>
      <c r="M212" s="474">
        <f t="shared" si="72"/>
        <v>122.17259241961095</v>
      </c>
      <c r="N212" s="474">
        <f t="shared" si="73"/>
        <v>244.3451848392219</v>
      </c>
      <c r="O212" s="474">
        <f>+C211+(D212/2)</f>
        <v>0.5</v>
      </c>
      <c r="P212" s="474">
        <f t="shared" si="74"/>
        <v>8.726535498373926E-3</v>
      </c>
      <c r="Q212" s="474">
        <f t="shared" si="75"/>
        <v>2.1322869293562086</v>
      </c>
      <c r="R212" s="474">
        <f t="shared" ref="R212:R218" si="82">+T211</f>
        <v>147.5605650655406</v>
      </c>
      <c r="S212" s="474">
        <f>+R212+Q212</f>
        <v>149.69285199489681</v>
      </c>
      <c r="T212" s="476">
        <f t="shared" si="76"/>
        <v>149.69285199489681</v>
      </c>
      <c r="V212" s="1635">
        <f t="shared" si="77"/>
        <v>0</v>
      </c>
      <c r="W212" s="437"/>
      <c r="X212" s="437"/>
      <c r="Y212" s="437"/>
      <c r="Z212" s="437"/>
      <c r="AA212" s="437"/>
      <c r="AB212" s="280" t="e">
        <f t="shared" ref="AB212:AB217" si="83">IF(AZ212&lt;0,"pin in groundstacking hole"," ")</f>
        <v>#DIV/0!</v>
      </c>
      <c r="AC212" s="1636"/>
      <c r="AD212" s="1636"/>
      <c r="AE212" s="1636"/>
      <c r="AF212" s="1637" t="e">
        <f>SUM(V212:V218)/($B$208-B211)</f>
        <v>#DIV/0!</v>
      </c>
      <c r="AG212" s="1638"/>
      <c r="AH212" s="450">
        <f>SUM(D212)+$C$211</f>
        <v>0.5</v>
      </c>
      <c r="AI212" s="1639"/>
      <c r="AJ212" s="718">
        <f t="shared" ref="AJ212:AJ218" si="84">69.3447148-AH212</f>
        <v>68.844714800000006</v>
      </c>
      <c r="AK212" s="1639">
        <f t="shared" si="78"/>
        <v>0.93260573649025791</v>
      </c>
      <c r="AL212" s="1639">
        <f t="shared" ref="AL212:AL218" si="85">+AK212*192.42</f>
        <v>179.4519958154554</v>
      </c>
      <c r="AM212" s="1640">
        <f t="shared" ref="AM212:AM218" si="86">50.1744799+AH212</f>
        <v>50.674479900000001</v>
      </c>
      <c r="AN212" s="1639">
        <f t="shared" ref="AN212:AN218" si="87">SIN(AM212*3.14159265358979/180)</f>
        <v>0.77355801894573117</v>
      </c>
      <c r="AO212" s="1641">
        <f t="shared" ref="AO212:AO218" si="88">+AN212*190.76</f>
        <v>147.56392769408768</v>
      </c>
      <c r="AP212" s="287"/>
      <c r="AQ212" s="444">
        <f t="shared" ref="AQ212:AQ218" si="89">$C$16*($B$208-B211)</f>
        <v>0</v>
      </c>
      <c r="AR212" s="444"/>
      <c r="AS212" s="445">
        <f t="shared" ref="AS212:AS218" si="90">+AO212+AL212</f>
        <v>327.01592350954309</v>
      </c>
      <c r="AT212" s="445">
        <f>+V212-AO212</f>
        <v>-147.56392769408768</v>
      </c>
      <c r="AU212" s="445"/>
      <c r="AV212" s="447" t="e">
        <f>+AF212-AT212</f>
        <v>#DIV/0!</v>
      </c>
      <c r="AW212" s="447" t="e">
        <f t="shared" ref="AW212:AW218" si="91">+((AS212-AV212)/AS212)*AQ212</f>
        <v>#DIV/0!</v>
      </c>
      <c r="AX212" s="447" t="e">
        <f t="shared" ref="AX212:AX218" si="92">+(AV212/AS212)*AQ212</f>
        <v>#DIV/0!</v>
      </c>
      <c r="AY212" s="1597" t="e">
        <f t="shared" si="79"/>
        <v>#DIV/0!</v>
      </c>
      <c r="AZ212" s="1642" t="e">
        <f t="shared" ref="AZ212:AZ218" si="93">$D$20/AX212</f>
        <v>#DIV/0!</v>
      </c>
      <c r="BA212" s="274" t="e">
        <f t="shared" ref="BA212:BB218" si="94">ABS(AY212)</f>
        <v>#DIV/0!</v>
      </c>
      <c r="BB212" s="294" t="e">
        <f t="shared" si="94"/>
        <v>#DIV/0!</v>
      </c>
    </row>
    <row r="213" spans="2:109" ht="21" customHeight="1" thickBot="1" x14ac:dyDescent="0.25">
      <c r="B213" s="277">
        <v>3</v>
      </c>
      <c r="C213" s="278"/>
      <c r="D213" s="25">
        <v>0</v>
      </c>
      <c r="E213" s="257" t="s">
        <v>54</v>
      </c>
      <c r="F213" s="258"/>
      <c r="G213" s="258">
        <f t="shared" ref="G213:G218" si="95">+D213+BC213</f>
        <v>0</v>
      </c>
      <c r="H213" s="1632">
        <v>190.76</v>
      </c>
      <c r="I213" s="1633">
        <v>79.651040199999997</v>
      </c>
      <c r="J213" s="474">
        <f t="shared" si="80"/>
        <v>79.651040199999997</v>
      </c>
      <c r="K213" s="474">
        <f t="shared" si="81"/>
        <v>39.825520099999999</v>
      </c>
      <c r="L213" s="474">
        <f t="shared" si="71"/>
        <v>0.64045183696587837</v>
      </c>
      <c r="M213" s="474">
        <f t="shared" si="72"/>
        <v>122.17259241961095</v>
      </c>
      <c r="N213" s="474">
        <f t="shared" si="73"/>
        <v>244.3451848392219</v>
      </c>
      <c r="O213" s="474">
        <f>+C211+D212+(D213/2)</f>
        <v>0.5</v>
      </c>
      <c r="P213" s="474">
        <f t="shared" si="74"/>
        <v>8.726535498373926E-3</v>
      </c>
      <c r="Q213" s="474">
        <f t="shared" si="75"/>
        <v>2.1322869293562086</v>
      </c>
      <c r="R213" s="474">
        <f t="shared" si="82"/>
        <v>149.69285199489681</v>
      </c>
      <c r="S213" s="474">
        <f t="shared" ref="S213:S218" si="96">+S212+Q213</f>
        <v>151.82513892425303</v>
      </c>
      <c r="T213" s="476">
        <f t="shared" si="76"/>
        <v>151.82513892425303</v>
      </c>
      <c r="V213" s="1635">
        <f t="shared" si="77"/>
        <v>0</v>
      </c>
      <c r="W213" s="437"/>
      <c r="X213" s="437"/>
      <c r="Y213" s="437"/>
      <c r="Z213" s="437"/>
      <c r="AA213" s="437"/>
      <c r="AB213" s="295" t="str">
        <f t="shared" si="83"/>
        <v>pin in groundstacking hole</v>
      </c>
      <c r="AC213" s="1636"/>
      <c r="AD213" s="1636"/>
      <c r="AE213" s="1636"/>
      <c r="AF213" s="1637">
        <f>SUM(V213:V218)/($B$208-B212)</f>
        <v>0</v>
      </c>
      <c r="AG213" s="1638"/>
      <c r="AH213" s="450">
        <f>SUM(D212:D213)+$C$211</f>
        <v>0.5</v>
      </c>
      <c r="AI213" s="1639"/>
      <c r="AJ213" s="718">
        <f t="shared" si="84"/>
        <v>68.844714800000006</v>
      </c>
      <c r="AK213" s="1639">
        <f t="shared" si="78"/>
        <v>0.93260573649025791</v>
      </c>
      <c r="AL213" s="1639">
        <f t="shared" si="85"/>
        <v>179.4519958154554</v>
      </c>
      <c r="AM213" s="1640">
        <f t="shared" si="86"/>
        <v>50.674479900000001</v>
      </c>
      <c r="AN213" s="1639">
        <f t="shared" si="87"/>
        <v>0.77355801894573117</v>
      </c>
      <c r="AO213" s="1641">
        <f t="shared" si="88"/>
        <v>147.56392769408768</v>
      </c>
      <c r="AP213" s="287"/>
      <c r="AQ213" s="444">
        <f t="shared" si="89"/>
        <v>-25.5</v>
      </c>
      <c r="AR213" s="444"/>
      <c r="AS213" s="445">
        <f t="shared" si="90"/>
        <v>327.01592350954309</v>
      </c>
      <c r="AT213" s="445">
        <f>+V213-AO213</f>
        <v>-147.56392769408768</v>
      </c>
      <c r="AU213" s="445"/>
      <c r="AV213" s="447">
        <f>+AF213-AT213</f>
        <v>147.56392769408768</v>
      </c>
      <c r="AW213" s="447">
        <f t="shared" si="91"/>
        <v>-13.993281563124167</v>
      </c>
      <c r="AX213" s="447">
        <f t="shared" si="92"/>
        <v>-11.506718436875831</v>
      </c>
      <c r="AY213" s="1597">
        <f t="shared" si="79"/>
        <v>-828.96924125138241</v>
      </c>
      <c r="AZ213" s="1642">
        <f t="shared" si="93"/>
        <v>-869.0575036539334</v>
      </c>
      <c r="BA213" s="274">
        <f t="shared" si="94"/>
        <v>828.96924125138241</v>
      </c>
      <c r="BB213" s="275">
        <f t="shared" si="94"/>
        <v>869.0575036539334</v>
      </c>
    </row>
    <row r="214" spans="2:109" ht="21" customHeight="1" thickBot="1" x14ac:dyDescent="0.25">
      <c r="B214" s="277">
        <v>4</v>
      </c>
      <c r="C214" s="278"/>
      <c r="D214" s="25">
        <v>0</v>
      </c>
      <c r="E214" s="257" t="s">
        <v>54</v>
      </c>
      <c r="F214" s="258"/>
      <c r="G214" s="258">
        <f t="shared" si="95"/>
        <v>0</v>
      </c>
      <c r="H214" s="1632">
        <v>190.76</v>
      </c>
      <c r="I214" s="1633">
        <v>79.651040199999997</v>
      </c>
      <c r="J214" s="474">
        <f t="shared" si="80"/>
        <v>79.651040199999997</v>
      </c>
      <c r="K214" s="474">
        <f t="shared" si="81"/>
        <v>39.825520099999999</v>
      </c>
      <c r="L214" s="474">
        <f t="shared" si="71"/>
        <v>0.64045183696587837</v>
      </c>
      <c r="M214" s="474">
        <f t="shared" si="72"/>
        <v>122.17259241961095</v>
      </c>
      <c r="N214" s="474">
        <f t="shared" si="73"/>
        <v>244.3451848392219</v>
      </c>
      <c r="O214" s="474">
        <f>+C211+D212+D213+(D214/2)</f>
        <v>0.5</v>
      </c>
      <c r="P214" s="474">
        <f t="shared" si="74"/>
        <v>8.726535498373926E-3</v>
      </c>
      <c r="Q214" s="474">
        <f t="shared" si="75"/>
        <v>2.1322869293562086</v>
      </c>
      <c r="R214" s="474">
        <f t="shared" si="82"/>
        <v>151.82513892425303</v>
      </c>
      <c r="S214" s="474">
        <f t="shared" si="96"/>
        <v>153.95742585360924</v>
      </c>
      <c r="T214" s="476">
        <f t="shared" si="76"/>
        <v>153.95742585360924</v>
      </c>
      <c r="V214" s="1635">
        <f t="shared" si="77"/>
        <v>0</v>
      </c>
      <c r="W214" s="437"/>
      <c r="X214" s="437"/>
      <c r="Y214" s="437"/>
      <c r="Z214" s="437"/>
      <c r="AA214" s="437"/>
      <c r="AB214" s="295" t="str">
        <f t="shared" si="83"/>
        <v>pin in groundstacking hole</v>
      </c>
      <c r="AC214" s="1636"/>
      <c r="AD214" s="1636"/>
      <c r="AE214" s="1636"/>
      <c r="AF214" s="1637">
        <f>SUM(V214:V218)/($B$208-B213)</f>
        <v>0</v>
      </c>
      <c r="AG214" s="1638"/>
      <c r="AH214" s="450">
        <f>SUM(D212:D214)+$C$211</f>
        <v>0.5</v>
      </c>
      <c r="AI214" s="1639"/>
      <c r="AJ214" s="718">
        <f t="shared" si="84"/>
        <v>68.844714800000006</v>
      </c>
      <c r="AK214" s="1639">
        <f t="shared" si="78"/>
        <v>0.93260573649025791</v>
      </c>
      <c r="AL214" s="1639">
        <f t="shared" si="85"/>
        <v>179.4519958154554</v>
      </c>
      <c r="AM214" s="1640">
        <f t="shared" si="86"/>
        <v>50.674479900000001</v>
      </c>
      <c r="AN214" s="1639">
        <f t="shared" si="87"/>
        <v>0.77355801894573117</v>
      </c>
      <c r="AO214" s="1641">
        <f t="shared" si="88"/>
        <v>147.56392769408768</v>
      </c>
      <c r="AP214" s="287"/>
      <c r="AQ214" s="444">
        <f t="shared" si="89"/>
        <v>-51</v>
      </c>
      <c r="AR214" s="444"/>
      <c r="AS214" s="445">
        <f t="shared" si="90"/>
        <v>327.01592350954309</v>
      </c>
      <c r="AT214" s="445">
        <f>+V214-AO214</f>
        <v>-147.56392769408768</v>
      </c>
      <c r="AU214" s="445"/>
      <c r="AV214" s="447">
        <f t="shared" ref="AV214:AV218" si="97">+AF214-AT214</f>
        <v>147.56392769408768</v>
      </c>
      <c r="AW214" s="447">
        <f t="shared" si="91"/>
        <v>-27.986563126248335</v>
      </c>
      <c r="AX214" s="447">
        <f t="shared" si="92"/>
        <v>-23.013436873751662</v>
      </c>
      <c r="AY214" s="1597">
        <f t="shared" si="79"/>
        <v>-414.48462062569121</v>
      </c>
      <c r="AZ214" s="1642">
        <f t="shared" si="93"/>
        <v>-434.5287518269667</v>
      </c>
      <c r="BA214" s="274">
        <f t="shared" si="94"/>
        <v>414.48462062569121</v>
      </c>
      <c r="BB214" s="275">
        <f t="shared" si="94"/>
        <v>434.5287518269667</v>
      </c>
    </row>
    <row r="215" spans="2:109" ht="21" customHeight="1" thickBot="1" x14ac:dyDescent="0.25">
      <c r="B215" s="277">
        <v>5</v>
      </c>
      <c r="C215" s="278"/>
      <c r="D215" s="25">
        <v>0</v>
      </c>
      <c r="E215" s="257" t="s">
        <v>54</v>
      </c>
      <c r="F215" s="258"/>
      <c r="G215" s="258">
        <f>+D215+BC215</f>
        <v>0</v>
      </c>
      <c r="H215" s="1632">
        <v>190.76</v>
      </c>
      <c r="I215" s="1633">
        <v>79.651040199999997</v>
      </c>
      <c r="J215" s="474">
        <f t="shared" si="80"/>
        <v>79.651040199999997</v>
      </c>
      <c r="K215" s="474">
        <f t="shared" si="81"/>
        <v>39.825520099999999</v>
      </c>
      <c r="L215" s="474">
        <f t="shared" si="71"/>
        <v>0.64045183696587837</v>
      </c>
      <c r="M215" s="474">
        <f t="shared" si="72"/>
        <v>122.17259241961095</v>
      </c>
      <c r="N215" s="474">
        <f t="shared" si="73"/>
        <v>244.3451848392219</v>
      </c>
      <c r="O215" s="474">
        <f>+C211+D212+D213+D214+(D215/2)</f>
        <v>0.5</v>
      </c>
      <c r="P215" s="474">
        <f t="shared" si="74"/>
        <v>8.726535498373926E-3</v>
      </c>
      <c r="Q215" s="474">
        <f t="shared" si="75"/>
        <v>2.1322869293562086</v>
      </c>
      <c r="R215" s="474">
        <f t="shared" si="82"/>
        <v>153.95742585360924</v>
      </c>
      <c r="S215" s="474">
        <f t="shared" si="96"/>
        <v>156.08971278296545</v>
      </c>
      <c r="T215" s="476">
        <f t="shared" si="76"/>
        <v>156.08971278296545</v>
      </c>
      <c r="V215" s="1635">
        <f t="shared" si="77"/>
        <v>0</v>
      </c>
      <c r="W215" s="437"/>
      <c r="X215" s="437"/>
      <c r="Y215" s="437"/>
      <c r="Z215" s="437"/>
      <c r="AA215" s="437"/>
      <c r="AB215" s="295" t="str">
        <f t="shared" si="83"/>
        <v>pin in groundstacking hole</v>
      </c>
      <c r="AC215" s="1636"/>
      <c r="AD215" s="1636"/>
      <c r="AE215" s="1636"/>
      <c r="AF215" s="1637">
        <f>SUM(V215:V218)/($B$208-B214)</f>
        <v>0</v>
      </c>
      <c r="AG215" s="1638"/>
      <c r="AH215" s="450">
        <f>SUM(D212:D215)+$C$211</f>
        <v>0.5</v>
      </c>
      <c r="AI215" s="1639"/>
      <c r="AJ215" s="718">
        <f t="shared" si="84"/>
        <v>68.844714800000006</v>
      </c>
      <c r="AK215" s="1639">
        <f t="shared" si="78"/>
        <v>0.93260573649025791</v>
      </c>
      <c r="AL215" s="1639">
        <f t="shared" si="85"/>
        <v>179.4519958154554</v>
      </c>
      <c r="AM215" s="1640">
        <f t="shared" si="86"/>
        <v>50.674479900000001</v>
      </c>
      <c r="AN215" s="1639">
        <f t="shared" si="87"/>
        <v>0.77355801894573117</v>
      </c>
      <c r="AO215" s="1641">
        <f t="shared" si="88"/>
        <v>147.56392769408768</v>
      </c>
      <c r="AP215" s="287"/>
      <c r="AQ215" s="444">
        <f t="shared" si="89"/>
        <v>-76.5</v>
      </c>
      <c r="AR215" s="444"/>
      <c r="AS215" s="445">
        <f t="shared" si="90"/>
        <v>327.01592350954309</v>
      </c>
      <c r="AT215" s="445">
        <f t="shared" ref="AT215:AT218" si="98">+V215-AO215</f>
        <v>-147.56392769408768</v>
      </c>
      <c r="AU215" s="445"/>
      <c r="AV215" s="447">
        <f t="shared" si="97"/>
        <v>147.56392769408768</v>
      </c>
      <c r="AW215" s="447">
        <f t="shared" si="91"/>
        <v>-41.979844689372506</v>
      </c>
      <c r="AX215" s="447">
        <f t="shared" si="92"/>
        <v>-34.520155310627494</v>
      </c>
      <c r="AY215" s="1597">
        <f t="shared" si="79"/>
        <v>-276.32308041712747</v>
      </c>
      <c r="AZ215" s="1642">
        <f t="shared" si="93"/>
        <v>-289.68583455131113</v>
      </c>
      <c r="BA215" s="274">
        <f t="shared" si="94"/>
        <v>276.32308041712747</v>
      </c>
      <c r="BB215" s="275">
        <f t="shared" si="94"/>
        <v>289.68583455131113</v>
      </c>
      <c r="DE215" s="305"/>
    </row>
    <row r="216" spans="2:109" ht="21" customHeight="1" thickBot="1" x14ac:dyDescent="0.25">
      <c r="B216" s="277">
        <v>6</v>
      </c>
      <c r="C216" s="278"/>
      <c r="D216" s="25">
        <v>0</v>
      </c>
      <c r="E216" s="257" t="s">
        <v>54</v>
      </c>
      <c r="F216" s="258"/>
      <c r="G216" s="258">
        <f t="shared" si="95"/>
        <v>0</v>
      </c>
      <c r="H216" s="1632">
        <v>190.76</v>
      </c>
      <c r="I216" s="1633">
        <v>79.651040199999997</v>
      </c>
      <c r="J216" s="474">
        <f t="shared" si="80"/>
        <v>79.651040199999997</v>
      </c>
      <c r="K216" s="474">
        <f t="shared" si="81"/>
        <v>39.825520099999999</v>
      </c>
      <c r="L216" s="474">
        <f t="shared" si="71"/>
        <v>0.64045183696587837</v>
      </c>
      <c r="M216" s="474">
        <f t="shared" si="72"/>
        <v>122.17259241961095</v>
      </c>
      <c r="N216" s="474">
        <f t="shared" si="73"/>
        <v>244.3451848392219</v>
      </c>
      <c r="O216" s="474">
        <f>+C211+D212+D213+D214+D215+(D216/2)</f>
        <v>0.5</v>
      </c>
      <c r="P216" s="474">
        <f t="shared" si="74"/>
        <v>8.726535498373926E-3</v>
      </c>
      <c r="Q216" s="474">
        <f t="shared" si="75"/>
        <v>2.1322869293562086</v>
      </c>
      <c r="R216" s="474">
        <f t="shared" si="82"/>
        <v>156.08971278296545</v>
      </c>
      <c r="S216" s="474">
        <f t="shared" si="96"/>
        <v>158.22199971232166</v>
      </c>
      <c r="T216" s="476">
        <f t="shared" si="76"/>
        <v>158.22199971232166</v>
      </c>
      <c r="V216" s="1635">
        <f t="shared" si="77"/>
        <v>0</v>
      </c>
      <c r="W216" s="437"/>
      <c r="X216" s="437"/>
      <c r="Y216" s="437"/>
      <c r="Z216" s="437"/>
      <c r="AA216" s="437"/>
      <c r="AB216" s="295" t="str">
        <f t="shared" si="83"/>
        <v>pin in groundstacking hole</v>
      </c>
      <c r="AC216" s="1636"/>
      <c r="AD216" s="1636"/>
      <c r="AE216" s="1636"/>
      <c r="AF216" s="1637">
        <f>SUM(V216:V218)/($B$208-B215)</f>
        <v>0</v>
      </c>
      <c r="AG216" s="1638"/>
      <c r="AH216" s="450">
        <f>SUM(D212:D216)+$C$211</f>
        <v>0.5</v>
      </c>
      <c r="AI216" s="1639"/>
      <c r="AJ216" s="718">
        <f t="shared" si="84"/>
        <v>68.844714800000006</v>
      </c>
      <c r="AK216" s="1639">
        <f t="shared" si="78"/>
        <v>0.93260573649025791</v>
      </c>
      <c r="AL216" s="1639">
        <f t="shared" si="85"/>
        <v>179.4519958154554</v>
      </c>
      <c r="AM216" s="1640">
        <f t="shared" si="86"/>
        <v>50.674479900000001</v>
      </c>
      <c r="AN216" s="1639">
        <f t="shared" si="87"/>
        <v>0.77355801894573117</v>
      </c>
      <c r="AO216" s="1641">
        <f t="shared" si="88"/>
        <v>147.56392769408768</v>
      </c>
      <c r="AP216" s="287"/>
      <c r="AQ216" s="444">
        <f t="shared" si="89"/>
        <v>-102</v>
      </c>
      <c r="AR216" s="444"/>
      <c r="AS216" s="445">
        <f t="shared" si="90"/>
        <v>327.01592350954309</v>
      </c>
      <c r="AT216" s="445">
        <f t="shared" si="98"/>
        <v>-147.56392769408768</v>
      </c>
      <c r="AU216" s="445"/>
      <c r="AV216" s="447">
        <f t="shared" si="97"/>
        <v>147.56392769408768</v>
      </c>
      <c r="AW216" s="447">
        <f t="shared" si="91"/>
        <v>-55.97312625249667</v>
      </c>
      <c r="AX216" s="447">
        <f t="shared" si="92"/>
        <v>-46.026873747503323</v>
      </c>
      <c r="AY216" s="1597">
        <f t="shared" si="79"/>
        <v>-207.2423103128456</v>
      </c>
      <c r="AZ216" s="1642">
        <f t="shared" si="93"/>
        <v>-217.26437591348335</v>
      </c>
      <c r="BA216" s="274">
        <f t="shared" si="94"/>
        <v>207.2423103128456</v>
      </c>
      <c r="BB216" s="275">
        <f t="shared" si="94"/>
        <v>217.26437591348335</v>
      </c>
    </row>
    <row r="217" spans="2:109" ht="21" customHeight="1" thickBot="1" x14ac:dyDescent="0.25">
      <c r="B217" s="277">
        <v>7</v>
      </c>
      <c r="C217" s="278"/>
      <c r="D217" s="25">
        <v>0</v>
      </c>
      <c r="E217" s="257" t="s">
        <v>54</v>
      </c>
      <c r="F217" s="258"/>
      <c r="G217" s="258">
        <f t="shared" si="95"/>
        <v>0</v>
      </c>
      <c r="H217" s="1632">
        <v>190.76</v>
      </c>
      <c r="I217" s="1633">
        <v>79.651040199999997</v>
      </c>
      <c r="J217" s="474">
        <f t="shared" si="80"/>
        <v>79.651040199999997</v>
      </c>
      <c r="K217" s="474">
        <f t="shared" si="81"/>
        <v>39.825520099999999</v>
      </c>
      <c r="L217" s="474">
        <f t="shared" si="71"/>
        <v>0.64045183696587837</v>
      </c>
      <c r="M217" s="474">
        <f t="shared" si="72"/>
        <v>122.17259241961095</v>
      </c>
      <c r="N217" s="474">
        <f t="shared" si="73"/>
        <v>244.3451848392219</v>
      </c>
      <c r="O217" s="474">
        <f>+C211+D212+D213+D214+D215+D216+(D217/2)</f>
        <v>0.5</v>
      </c>
      <c r="P217" s="474">
        <f t="shared" si="74"/>
        <v>8.726535498373926E-3</v>
      </c>
      <c r="Q217" s="474">
        <f t="shared" si="75"/>
        <v>2.1322869293562086</v>
      </c>
      <c r="R217" s="474">
        <f t="shared" si="82"/>
        <v>158.22199971232166</v>
      </c>
      <c r="S217" s="474">
        <f t="shared" si="96"/>
        <v>160.35428664167787</v>
      </c>
      <c r="T217" s="476">
        <f t="shared" si="76"/>
        <v>160.35428664167787</v>
      </c>
      <c r="V217" s="1635">
        <f t="shared" si="77"/>
        <v>0</v>
      </c>
      <c r="W217" s="437"/>
      <c r="X217" s="437"/>
      <c r="Y217" s="437"/>
      <c r="Z217" s="437"/>
      <c r="AA217" s="437"/>
      <c r="AB217" s="295" t="str">
        <f t="shared" si="83"/>
        <v>pin in groundstacking hole</v>
      </c>
      <c r="AC217" s="1636"/>
      <c r="AD217" s="1636"/>
      <c r="AE217" s="1636"/>
      <c r="AF217" s="1637">
        <f>SUM(V217:V218)/($B$208-B216)</f>
        <v>0</v>
      </c>
      <c r="AG217" s="1638"/>
      <c r="AH217" s="450">
        <f>SUM(D212:D217)+$C$211</f>
        <v>0.5</v>
      </c>
      <c r="AI217" s="1639"/>
      <c r="AJ217" s="718">
        <f t="shared" si="84"/>
        <v>68.844714800000006</v>
      </c>
      <c r="AK217" s="1639">
        <f t="shared" si="78"/>
        <v>0.93260573649025791</v>
      </c>
      <c r="AL217" s="1639">
        <f t="shared" si="85"/>
        <v>179.4519958154554</v>
      </c>
      <c r="AM217" s="1640">
        <f t="shared" si="86"/>
        <v>50.674479900000001</v>
      </c>
      <c r="AN217" s="1639">
        <f t="shared" si="87"/>
        <v>0.77355801894573117</v>
      </c>
      <c r="AO217" s="1641">
        <f t="shared" si="88"/>
        <v>147.56392769408768</v>
      </c>
      <c r="AP217" s="287"/>
      <c r="AQ217" s="444">
        <f t="shared" si="89"/>
        <v>-127.5</v>
      </c>
      <c r="AR217" s="444"/>
      <c r="AS217" s="445">
        <f t="shared" si="90"/>
        <v>327.01592350954309</v>
      </c>
      <c r="AT217" s="445">
        <f t="shared" si="98"/>
        <v>-147.56392769408768</v>
      </c>
      <c r="AU217" s="445"/>
      <c r="AV217" s="447">
        <f t="shared" si="97"/>
        <v>147.56392769408768</v>
      </c>
      <c r="AW217" s="447">
        <f t="shared" si="91"/>
        <v>-69.96640781562084</v>
      </c>
      <c r="AX217" s="447">
        <f t="shared" si="92"/>
        <v>-57.533592184379152</v>
      </c>
      <c r="AY217" s="1597">
        <f t="shared" si="79"/>
        <v>-165.79384825027648</v>
      </c>
      <c r="AZ217" s="1642">
        <f t="shared" si="93"/>
        <v>-173.81150073078669</v>
      </c>
      <c r="BA217" s="274">
        <f t="shared" si="94"/>
        <v>165.79384825027648</v>
      </c>
      <c r="BB217" s="275">
        <f t="shared" si="94"/>
        <v>173.81150073078669</v>
      </c>
      <c r="DE217" s="307"/>
    </row>
    <row r="218" spans="2:109" ht="21" customHeight="1" thickBot="1" x14ac:dyDescent="0.25">
      <c r="B218" s="277">
        <v>8</v>
      </c>
      <c r="C218" s="278"/>
      <c r="D218" s="25">
        <v>0</v>
      </c>
      <c r="E218" s="257" t="s">
        <v>54</v>
      </c>
      <c r="F218" s="258"/>
      <c r="G218" s="258">
        <f t="shared" si="95"/>
        <v>0</v>
      </c>
      <c r="H218" s="1632">
        <v>190.76</v>
      </c>
      <c r="I218" s="1633">
        <v>79.651040199999997</v>
      </c>
      <c r="J218" s="474">
        <f t="shared" si="80"/>
        <v>79.651040199999997</v>
      </c>
      <c r="K218" s="474">
        <f t="shared" si="81"/>
        <v>39.825520099999999</v>
      </c>
      <c r="L218" s="474">
        <f t="shared" si="71"/>
        <v>0.64045183696587837</v>
      </c>
      <c r="M218" s="474">
        <f t="shared" si="72"/>
        <v>122.17259241961095</v>
      </c>
      <c r="N218" s="474">
        <f t="shared" si="73"/>
        <v>244.3451848392219</v>
      </c>
      <c r="O218" s="474">
        <f>+C211+D212+D213+D214+D215+D216+D217+(D218/2)</f>
        <v>0.5</v>
      </c>
      <c r="P218" s="474">
        <f t="shared" si="74"/>
        <v>8.726535498373926E-3</v>
      </c>
      <c r="Q218" s="474">
        <f t="shared" si="75"/>
        <v>2.1322869293562086</v>
      </c>
      <c r="R218" s="474">
        <f t="shared" si="82"/>
        <v>160.35428664167787</v>
      </c>
      <c r="S218" s="474">
        <f t="shared" si="96"/>
        <v>162.48657357103409</v>
      </c>
      <c r="T218" s="476">
        <f t="shared" si="76"/>
        <v>162.48657357103409</v>
      </c>
      <c r="V218" s="1635">
        <f t="shared" si="77"/>
        <v>0</v>
      </c>
      <c r="W218" s="437"/>
      <c r="X218" s="437"/>
      <c r="Y218" s="437"/>
      <c r="Z218" s="437"/>
      <c r="AA218" s="437"/>
      <c r="AB218" s="295" t="str">
        <f>IF(AZ218&lt;0,"pin in groundstacking hole"," ")</f>
        <v>pin in groundstacking hole</v>
      </c>
      <c r="AC218" s="1636"/>
      <c r="AD218" s="1636"/>
      <c r="AE218" s="1636"/>
      <c r="AF218" s="1637">
        <f>SUM(V218)/($B$208-B217)</f>
        <v>0</v>
      </c>
      <c r="AG218" s="1638"/>
      <c r="AH218" s="450">
        <f>SUM(D212:D218)+$C$211</f>
        <v>0.5</v>
      </c>
      <c r="AI218" s="1639"/>
      <c r="AJ218" s="718">
        <f t="shared" si="84"/>
        <v>68.844714800000006</v>
      </c>
      <c r="AK218" s="1639">
        <f t="shared" si="78"/>
        <v>0.93260573649025791</v>
      </c>
      <c r="AL218" s="1639">
        <f t="shared" si="85"/>
        <v>179.4519958154554</v>
      </c>
      <c r="AM218" s="1640">
        <f t="shared" si="86"/>
        <v>50.674479900000001</v>
      </c>
      <c r="AN218" s="1639">
        <f t="shared" si="87"/>
        <v>0.77355801894573117</v>
      </c>
      <c r="AO218" s="1641">
        <f t="shared" si="88"/>
        <v>147.56392769408768</v>
      </c>
      <c r="AP218" s="287"/>
      <c r="AQ218" s="444">
        <f t="shared" si="89"/>
        <v>-153</v>
      </c>
      <c r="AR218" s="444"/>
      <c r="AS218" s="445">
        <f t="shared" si="90"/>
        <v>327.01592350954309</v>
      </c>
      <c r="AT218" s="445">
        <f t="shared" si="98"/>
        <v>-147.56392769408768</v>
      </c>
      <c r="AU218" s="445"/>
      <c r="AV218" s="447">
        <f t="shared" si="97"/>
        <v>147.56392769408768</v>
      </c>
      <c r="AW218" s="447">
        <f t="shared" si="91"/>
        <v>-83.959689378745011</v>
      </c>
      <c r="AX218" s="447">
        <f t="shared" si="92"/>
        <v>-69.040310621254989</v>
      </c>
      <c r="AY218" s="1597">
        <f t="shared" si="79"/>
        <v>-138.16154020856374</v>
      </c>
      <c r="AZ218" s="1642">
        <f t="shared" si="93"/>
        <v>-144.84291727565557</v>
      </c>
      <c r="BA218" s="274">
        <f t="shared" si="94"/>
        <v>138.16154020856374</v>
      </c>
      <c r="BB218" s="275">
        <f t="shared" si="94"/>
        <v>144.84291727565557</v>
      </c>
    </row>
    <row r="219" spans="2:109" x14ac:dyDescent="0.2">
      <c r="D219" s="35"/>
      <c r="E219" s="35"/>
      <c r="F219" s="35"/>
      <c r="G219" s="35"/>
      <c r="H219" s="35"/>
      <c r="I219" s="35"/>
      <c r="J219" s="35"/>
      <c r="K219" s="35"/>
      <c r="O219" s="1649"/>
      <c r="T219" s="35"/>
      <c r="V219" s="437"/>
      <c r="AB219" s="35"/>
      <c r="AF219" s="1650"/>
      <c r="AH219" s="1651"/>
      <c r="AI219" s="1651"/>
      <c r="AJ219" s="1651"/>
      <c r="AK219" s="1651"/>
      <c r="AL219" s="1651"/>
      <c r="AM219" s="1651"/>
      <c r="AN219" s="1651"/>
      <c r="AO219" s="1651"/>
      <c r="AP219" s="1651"/>
      <c r="AQ219" s="1651"/>
      <c r="AR219" s="445"/>
      <c r="AS219" s="445"/>
      <c r="AT219" s="445"/>
      <c r="AU219" s="445"/>
      <c r="AV219" s="445"/>
      <c r="AW219" s="445"/>
      <c r="AX219" s="445"/>
      <c r="AY219" s="445"/>
      <c r="AZ219" s="445"/>
      <c r="BA219"/>
      <c r="BB219"/>
      <c r="BD219" s="545"/>
      <c r="BQ219" s="236"/>
      <c r="BR219" s="236"/>
      <c r="BS219" s="236"/>
      <c r="BT219" s="236"/>
      <c r="BU219" s="236"/>
      <c r="BV219" s="236"/>
      <c r="CA219" s="236"/>
      <c r="CB219" s="236"/>
      <c r="CC219" s="236"/>
      <c r="CD219" s="236"/>
      <c r="CI219" s="236"/>
      <c r="CJ219" s="236"/>
      <c r="CK219" s="236"/>
      <c r="CL219" s="236"/>
      <c r="CM219" s="236"/>
      <c r="CN219" s="236"/>
      <c r="DE219" s="126"/>
    </row>
    <row r="220" spans="2:109" x14ac:dyDescent="0.2">
      <c r="D220" s="35"/>
      <c r="E220" s="35"/>
      <c r="F220" s="35"/>
      <c r="G220" s="35"/>
      <c r="H220" s="35"/>
      <c r="I220" s="35"/>
      <c r="J220" s="35"/>
      <c r="K220" s="35"/>
      <c r="L220" s="35"/>
      <c r="M220" s="35"/>
      <c r="N220" s="35"/>
      <c r="O220" s="35"/>
      <c r="P220" s="35"/>
      <c r="Q220" s="35"/>
      <c r="R220" s="35"/>
      <c r="S220" s="35"/>
      <c r="T220" s="35"/>
      <c r="U220" s="35"/>
      <c r="V220" s="35"/>
      <c r="W220" s="35"/>
      <c r="X220" s="35"/>
      <c r="Y220" s="35"/>
      <c r="Z220" s="35"/>
      <c r="AA220" s="35"/>
      <c r="AB220" s="35"/>
      <c r="AC220" s="35"/>
      <c r="AD220" s="35"/>
      <c r="AE220" s="35"/>
      <c r="AF220" s="35"/>
      <c r="AG220" s="35"/>
      <c r="AH220" s="1651"/>
      <c r="AI220" s="1651"/>
      <c r="AJ220" s="1651"/>
      <c r="AK220" s="1651"/>
      <c r="AL220" s="1651"/>
      <c r="AM220" s="1651"/>
      <c r="AN220" s="1651"/>
      <c r="AO220" s="1651"/>
      <c r="AP220" s="1651"/>
      <c r="AQ220" s="1651"/>
      <c r="AR220" s="445"/>
      <c r="AS220" s="445"/>
      <c r="AT220" s="445"/>
      <c r="AU220" s="445"/>
      <c r="AV220" s="445"/>
      <c r="AW220" s="445"/>
      <c r="AX220" s="445"/>
      <c r="AY220" s="445"/>
      <c r="AZ220"/>
      <c r="BA220"/>
      <c r="BB220"/>
      <c r="BD220" s="545"/>
      <c r="DE220" s="126"/>
    </row>
    <row r="221" spans="2:109" x14ac:dyDescent="0.2">
      <c r="D221" s="35"/>
      <c r="E221" s="35"/>
      <c r="F221" s="35"/>
      <c r="G221" s="35"/>
      <c r="H221" s="35"/>
      <c r="I221" s="35"/>
      <c r="J221" s="35"/>
      <c r="K221" s="35"/>
      <c r="L221" s="35"/>
      <c r="M221" s="35"/>
      <c r="N221" s="35"/>
      <c r="O221" s="35"/>
      <c r="P221" s="35"/>
      <c r="Q221" s="35"/>
      <c r="R221" s="35"/>
      <c r="S221" s="35"/>
      <c r="T221" s="35"/>
      <c r="U221" s="35"/>
      <c r="V221" s="35"/>
      <c r="W221" s="35"/>
      <c r="X221" s="35"/>
      <c r="Y221" s="35"/>
      <c r="Z221" s="35"/>
      <c r="AA221" s="35"/>
      <c r="AB221" s="35"/>
      <c r="AC221" s="35"/>
      <c r="AD221" s="35"/>
      <c r="AE221" s="35"/>
      <c r="AF221" s="35"/>
      <c r="AG221" s="35"/>
      <c r="AH221" s="1651"/>
      <c r="AI221" s="1651"/>
      <c r="AJ221" s="1651"/>
      <c r="AK221" s="1651"/>
      <c r="AL221" s="1651"/>
      <c r="AM221" s="1651"/>
      <c r="AN221" s="1651"/>
      <c r="AO221" s="1651"/>
      <c r="AP221" s="1651"/>
      <c r="AQ221" s="1651"/>
      <c r="AR221" s="445"/>
      <c r="AS221" s="445"/>
      <c r="AT221" s="445"/>
      <c r="AU221" s="445"/>
      <c r="AV221" s="445"/>
      <c r="AW221" s="445"/>
      <c r="AX221" s="445"/>
      <c r="AY221" s="445"/>
      <c r="AZ221"/>
      <c r="BA221"/>
      <c r="BB221"/>
      <c r="BD221" s="545"/>
      <c r="DE221" s="126"/>
    </row>
    <row r="222" spans="2:109" x14ac:dyDescent="0.2">
      <c r="D222" s="35"/>
      <c r="E222" s="35"/>
      <c r="F222" s="35"/>
      <c r="G222" s="35"/>
      <c r="H222" s="35"/>
      <c r="I222" s="35"/>
      <c r="J222" s="35"/>
      <c r="K222" s="35"/>
      <c r="L222" s="35"/>
      <c r="M222" s="35"/>
      <c r="N222" s="35"/>
      <c r="O222" s="35"/>
      <c r="P222" s="35"/>
      <c r="Q222" s="35"/>
      <c r="R222" s="35"/>
      <c r="S222" s="35"/>
      <c r="T222" s="35"/>
      <c r="U222" s="35"/>
      <c r="V222" s="35"/>
      <c r="W222" s="35"/>
      <c r="X222" s="35"/>
      <c r="Y222" s="35"/>
      <c r="Z222" s="35"/>
      <c r="AA222" s="35"/>
      <c r="AB222" s="35"/>
      <c r="AC222" s="35"/>
      <c r="AD222" s="35"/>
      <c r="AE222" s="35"/>
      <c r="AF222" s="35"/>
      <c r="AG222" s="35"/>
      <c r="AH222" s="1651"/>
      <c r="AI222" s="1651"/>
      <c r="AJ222" s="1651"/>
      <c r="AK222" s="1651"/>
      <c r="AL222" s="1651"/>
      <c r="AM222" s="1651"/>
      <c r="AN222" s="1651"/>
      <c r="AO222" s="1651"/>
      <c r="AP222" s="1651"/>
      <c r="AQ222" s="1651"/>
      <c r="AR222" s="445"/>
      <c r="AS222" s="445"/>
      <c r="AT222" s="445"/>
      <c r="AU222" s="445"/>
      <c r="AV222" s="445"/>
      <c r="AW222" s="445"/>
      <c r="AX222" s="445"/>
      <c r="AY222" s="445"/>
      <c r="AZ222"/>
      <c r="BA222"/>
      <c r="BB222"/>
      <c r="BD222" s="545"/>
      <c r="DE222" s="211"/>
    </row>
    <row r="223" spans="2:109" x14ac:dyDescent="0.2">
      <c r="D223" s="35"/>
      <c r="E223" s="35"/>
      <c r="F223" s="35"/>
      <c r="G223" s="35"/>
      <c r="H223" s="35"/>
      <c r="I223" s="35"/>
      <c r="J223" s="35"/>
      <c r="K223" s="35"/>
      <c r="L223" s="35"/>
      <c r="M223" s="35"/>
      <c r="N223" s="35"/>
      <c r="O223" s="35"/>
      <c r="P223" s="35"/>
      <c r="Q223" s="35"/>
      <c r="R223" s="35"/>
      <c r="S223" s="35"/>
      <c r="T223" s="35"/>
      <c r="U223" s="35"/>
      <c r="V223" s="35"/>
      <c r="W223" s="35"/>
      <c r="X223" s="35"/>
      <c r="Y223" s="35"/>
      <c r="Z223" s="35"/>
      <c r="AA223" s="35"/>
      <c r="AB223" s="35"/>
      <c r="AC223" s="35"/>
      <c r="AD223" s="35"/>
      <c r="AE223" s="35"/>
      <c r="AF223" s="35"/>
      <c r="AG223" s="35"/>
      <c r="AH223" s="1651"/>
      <c r="AI223" s="1651"/>
      <c r="AJ223" s="1651"/>
      <c r="AK223" s="1651"/>
      <c r="AL223" s="1651"/>
      <c r="AM223" s="1651"/>
      <c r="AN223" s="1651"/>
      <c r="AO223" s="1651"/>
      <c r="AP223" s="1651"/>
      <c r="AQ223" s="1651"/>
      <c r="AR223" s="445"/>
      <c r="AS223" s="445"/>
      <c r="AT223" s="445"/>
      <c r="AU223" s="445"/>
      <c r="AV223" s="445"/>
      <c r="AW223" s="445"/>
      <c r="AX223" s="445"/>
      <c r="AY223" s="445"/>
      <c r="AZ223"/>
      <c r="BA223"/>
      <c r="BB223"/>
      <c r="BD223" s="545"/>
      <c r="DE223" s="126"/>
    </row>
    <row r="224" spans="2:109" ht="20" x14ac:dyDescent="0.2">
      <c r="D224" s="1652"/>
      <c r="E224" s="1653"/>
      <c r="F224" s="543"/>
      <c r="G224" s="543"/>
      <c r="H224" s="1654"/>
      <c r="I224" s="1654"/>
      <c r="O224" s="1649"/>
      <c r="V224" s="437"/>
      <c r="AB224" s="1585"/>
      <c r="AF224" s="1650"/>
      <c r="AH224" s="1651"/>
      <c r="AI224" s="1651"/>
      <c r="AJ224" s="1651"/>
      <c r="AK224" s="1651"/>
      <c r="AL224" s="1651"/>
      <c r="AM224" s="1651"/>
      <c r="AN224" s="1651"/>
      <c r="AO224" s="1651"/>
      <c r="AP224" s="1651"/>
      <c r="AQ224" s="1651"/>
      <c r="AR224" s="445"/>
      <c r="AS224" s="445"/>
      <c r="AT224" s="445"/>
      <c r="AU224" s="445"/>
      <c r="AV224" s="445"/>
      <c r="AW224" s="445"/>
      <c r="AX224" s="445"/>
      <c r="AY224" s="445"/>
      <c r="AZ224"/>
      <c r="BA224"/>
      <c r="BB224"/>
      <c r="BD224" s="545"/>
    </row>
    <row r="225" spans="4:65" ht="20" x14ac:dyDescent="0.2">
      <c r="D225" s="1652"/>
      <c r="E225" s="1653"/>
      <c r="F225" s="543"/>
      <c r="G225" s="543"/>
      <c r="H225" s="1654"/>
      <c r="I225" s="1654"/>
      <c r="O225" s="1649"/>
      <c r="V225" s="437"/>
      <c r="AB225" s="1585"/>
      <c r="AF225" s="1650"/>
      <c r="AH225" s="1651"/>
      <c r="AI225" s="1651"/>
      <c r="AJ225" s="1651"/>
      <c r="AK225" s="1651"/>
      <c r="AL225" s="1651"/>
      <c r="AM225" s="1651"/>
      <c r="AN225" s="1651"/>
      <c r="AO225" s="1651"/>
      <c r="AP225" s="1651"/>
      <c r="AQ225" s="1651"/>
      <c r="AR225" s="445"/>
      <c r="AS225" s="445"/>
      <c r="AT225" s="445"/>
      <c r="AU225" s="445"/>
      <c r="AV225" s="445"/>
      <c r="AW225" s="445"/>
      <c r="AX225" s="445"/>
      <c r="AY225" s="445"/>
      <c r="AZ225"/>
      <c r="BA225"/>
      <c r="BB225"/>
      <c r="BD225" s="545"/>
      <c r="BF225" s="136"/>
      <c r="BG225" s="136"/>
      <c r="BH225" s="136"/>
      <c r="BI225" s="136"/>
      <c r="BJ225" s="136"/>
      <c r="BK225" s="136"/>
      <c r="BL225" s="212"/>
      <c r="BM225"/>
    </row>
    <row r="226" spans="4:65" ht="20" x14ac:dyDescent="0.2">
      <c r="D226" s="1653"/>
      <c r="E226" s="1653"/>
      <c r="F226" s="543"/>
      <c r="G226" s="543"/>
      <c r="H226" s="1654"/>
      <c r="I226" s="1654"/>
      <c r="O226" s="1649"/>
      <c r="V226" s="437"/>
      <c r="AB226" s="1585"/>
      <c r="AF226" s="1650"/>
      <c r="AH226" s="1651"/>
      <c r="AJ226" s="1655"/>
      <c r="AL226" s="1655"/>
      <c r="AM226" s="1655"/>
      <c r="AO226" s="1655"/>
      <c r="AP226" s="445"/>
      <c r="AQ226" s="445"/>
      <c r="AR226" s="445"/>
      <c r="AS226" s="445"/>
      <c r="AT226" s="445"/>
      <c r="AU226" s="445"/>
      <c r="AV226" s="445"/>
      <c r="AW226" s="445"/>
      <c r="AX226" s="445"/>
      <c r="AY226" s="445"/>
      <c r="AZ226"/>
      <c r="BA226"/>
      <c r="BB226"/>
      <c r="BD226" s="545"/>
    </row>
    <row r="227" spans="4:65" ht="20" x14ac:dyDescent="0.2">
      <c r="D227" s="1653"/>
      <c r="E227" s="1653"/>
      <c r="F227" s="543"/>
      <c r="G227" s="543"/>
      <c r="H227" s="1654"/>
      <c r="I227" s="1654"/>
      <c r="O227" s="1649"/>
      <c r="V227" s="437"/>
      <c r="AB227" s="1585"/>
      <c r="AF227" s="1650"/>
      <c r="AH227" s="1651"/>
      <c r="AJ227" s="1655"/>
      <c r="AL227" s="1655"/>
      <c r="AM227" s="1655"/>
      <c r="AO227" s="1655"/>
      <c r="AP227" s="445"/>
      <c r="AQ227" s="445"/>
      <c r="AR227" s="445"/>
      <c r="AS227" s="445"/>
      <c r="AT227" s="445"/>
      <c r="AU227" s="445"/>
      <c r="AV227" s="445"/>
      <c r="AW227" s="445"/>
      <c r="AX227" s="445"/>
      <c r="AY227" s="445"/>
      <c r="AZ227"/>
      <c r="BA227"/>
      <c r="BB227"/>
      <c r="BD227" s="545"/>
    </row>
    <row r="228" spans="4:65" ht="20" x14ac:dyDescent="0.2">
      <c r="D228" s="1653"/>
      <c r="E228" s="1653"/>
      <c r="F228" s="543"/>
      <c r="G228" s="543"/>
      <c r="H228" s="1654"/>
      <c r="I228" s="1654"/>
      <c r="O228" s="1649"/>
      <c r="V228" s="437"/>
      <c r="AB228" s="1585"/>
      <c r="AF228" s="1650"/>
      <c r="AH228" s="1651"/>
      <c r="AJ228" s="1655"/>
      <c r="AL228" s="1655"/>
      <c r="AM228" s="1655"/>
      <c r="AO228" s="1655"/>
      <c r="AP228" s="445"/>
      <c r="AQ228" s="445"/>
      <c r="AR228" s="445"/>
      <c r="AS228" s="445"/>
      <c r="AT228" s="445"/>
      <c r="AU228" s="445"/>
      <c r="AV228" s="445"/>
      <c r="AW228" s="445"/>
      <c r="AX228" s="445"/>
      <c r="AY228" s="445"/>
      <c r="AZ228"/>
      <c r="BA228"/>
      <c r="BB228"/>
    </row>
    <row r="229" spans="4:65" ht="20" x14ac:dyDescent="0.2">
      <c r="D229" s="1652"/>
      <c r="E229" s="1653"/>
      <c r="F229" s="543"/>
      <c r="G229" s="543"/>
      <c r="H229" s="1654"/>
      <c r="I229" s="1654"/>
      <c r="O229" s="1649"/>
      <c r="V229" s="437"/>
      <c r="AB229" s="1585"/>
      <c r="AF229" s="1650"/>
      <c r="AH229" s="1651"/>
      <c r="AJ229" s="1655"/>
      <c r="AL229" s="1655"/>
      <c r="AM229" s="1655"/>
      <c r="AO229" s="1655"/>
      <c r="AP229" s="445"/>
      <c r="AQ229" s="445"/>
      <c r="AR229" s="445"/>
      <c r="AS229" s="445"/>
      <c r="AT229" s="445"/>
      <c r="AU229" s="445"/>
      <c r="AV229" s="445"/>
      <c r="AW229" s="445"/>
      <c r="AX229" s="445"/>
      <c r="AY229" s="445"/>
      <c r="AZ229"/>
      <c r="BA229"/>
      <c r="BB229"/>
    </row>
    <row r="230" spans="4:65" ht="20" x14ac:dyDescent="0.2">
      <c r="D230" s="1652"/>
      <c r="E230" s="1653"/>
      <c r="F230" s="543"/>
      <c r="G230" s="543"/>
      <c r="H230" s="1654"/>
      <c r="I230" s="1654"/>
      <c r="O230" s="1649"/>
      <c r="V230" s="437"/>
      <c r="AB230" s="1585"/>
      <c r="AF230" s="1650"/>
      <c r="AH230" s="1651"/>
      <c r="AJ230" s="1655"/>
      <c r="AL230" s="1655"/>
      <c r="AM230" s="1655"/>
      <c r="AO230" s="1655"/>
      <c r="AP230" s="445"/>
      <c r="AQ230" s="445"/>
      <c r="AR230" s="445"/>
      <c r="AS230" s="445"/>
      <c r="AT230" s="445"/>
      <c r="AU230" s="445"/>
      <c r="AV230" s="445"/>
      <c r="AW230" s="445"/>
      <c r="AX230" s="445"/>
      <c r="AY230" s="445"/>
      <c r="AZ230"/>
      <c r="BA230"/>
      <c r="BB230"/>
    </row>
    <row r="231" spans="4:65" ht="20" x14ac:dyDescent="0.2">
      <c r="D231" s="1652"/>
      <c r="E231" s="1653"/>
      <c r="F231" s="543"/>
      <c r="G231" s="543"/>
      <c r="H231" s="1654"/>
      <c r="I231" s="1654"/>
      <c r="O231" s="1649"/>
      <c r="V231" s="437"/>
      <c r="AB231" s="1585"/>
      <c r="AF231" s="1650"/>
      <c r="AH231" s="1651"/>
      <c r="AJ231" s="1655"/>
      <c r="AL231" s="1655"/>
      <c r="AM231" s="1655"/>
      <c r="AO231" s="1655"/>
      <c r="AP231" s="445"/>
      <c r="AQ231" s="445"/>
      <c r="AR231" s="445"/>
      <c r="AS231" s="445"/>
      <c r="AT231" s="445"/>
      <c r="AU231" s="445"/>
      <c r="AV231" s="445"/>
      <c r="AW231" s="445"/>
      <c r="AX231" s="445"/>
      <c r="AY231" s="445"/>
      <c r="AZ231"/>
      <c r="BA231"/>
      <c r="BB231"/>
    </row>
    <row r="232" spans="4:65" ht="20" x14ac:dyDescent="0.2">
      <c r="D232" s="1652"/>
      <c r="E232" s="1653"/>
      <c r="F232" s="543"/>
      <c r="G232" s="543"/>
      <c r="H232" s="1654"/>
      <c r="I232" s="1654"/>
      <c r="O232" s="1649"/>
      <c r="V232" s="437"/>
      <c r="AB232" s="1585"/>
      <c r="AF232" s="1650"/>
      <c r="AH232" s="1651"/>
      <c r="AJ232" s="1655"/>
      <c r="AL232" s="1655"/>
      <c r="AM232" s="1655"/>
      <c r="AO232" s="1655"/>
      <c r="AP232" s="445"/>
      <c r="AQ232" s="445"/>
      <c r="AR232" s="445"/>
      <c r="AS232" s="445"/>
      <c r="AT232" s="445"/>
      <c r="AU232" s="445"/>
      <c r="AV232" s="445"/>
      <c r="AW232" s="445"/>
      <c r="AX232" s="445"/>
      <c r="AY232" s="445"/>
      <c r="AZ232"/>
      <c r="BA232"/>
      <c r="BB232"/>
    </row>
    <row r="233" spans="4:65" ht="20" x14ac:dyDescent="0.2">
      <c r="D233" s="1652"/>
      <c r="E233" s="1653"/>
      <c r="F233" s="543"/>
      <c r="G233" s="543"/>
      <c r="H233" s="1654"/>
      <c r="I233" s="1654"/>
      <c r="O233" s="1649"/>
      <c r="V233" s="437"/>
      <c r="AB233" s="1585"/>
      <c r="AF233" s="1650"/>
      <c r="AH233" s="1651"/>
      <c r="AJ233" s="1655"/>
      <c r="AL233" s="1655"/>
      <c r="AM233" s="1655"/>
      <c r="AO233" s="1655"/>
      <c r="AP233" s="445"/>
      <c r="AQ233" s="445"/>
      <c r="AR233" s="445"/>
      <c r="AS233" s="445"/>
      <c r="AT233" s="445"/>
      <c r="AU233" s="445"/>
      <c r="AV233" s="445"/>
      <c r="AW233" s="445"/>
      <c r="AX233" s="445"/>
      <c r="AY233" s="445"/>
      <c r="AZ233"/>
      <c r="BA233"/>
      <c r="BB233"/>
    </row>
    <row r="234" spans="4:65" ht="20" x14ac:dyDescent="0.2">
      <c r="D234" s="1652"/>
      <c r="E234" s="1653"/>
      <c r="F234" s="543"/>
      <c r="G234" s="543"/>
      <c r="H234" s="1654"/>
      <c r="I234" s="1654"/>
      <c r="O234" s="1649"/>
      <c r="V234" s="437"/>
      <c r="AB234" s="1585"/>
      <c r="AF234" s="1650"/>
      <c r="AH234" s="1651"/>
      <c r="AJ234" s="1655"/>
      <c r="AL234" s="1655"/>
      <c r="AM234" s="1655"/>
      <c r="AO234" s="1655"/>
      <c r="AP234" s="445"/>
      <c r="AQ234" s="445"/>
      <c r="AR234" s="445"/>
      <c r="AS234" s="445"/>
      <c r="AT234" s="445"/>
      <c r="AU234" s="445"/>
      <c r="AV234" s="445"/>
      <c r="AW234" s="445"/>
      <c r="AX234" s="445"/>
      <c r="AY234" s="445"/>
      <c r="AZ234"/>
      <c r="BA234"/>
      <c r="BB234"/>
    </row>
    <row r="235" spans="4:65" ht="20" x14ac:dyDescent="0.2">
      <c r="D235" s="1652"/>
      <c r="E235" s="1653"/>
      <c r="F235" s="543"/>
      <c r="G235" s="543"/>
      <c r="H235" s="1654"/>
      <c r="I235" s="1654"/>
      <c r="O235" s="1649"/>
      <c r="V235" s="437"/>
      <c r="AB235" s="1585"/>
      <c r="AF235" s="1650"/>
      <c r="AH235" s="1651"/>
      <c r="AJ235" s="1655"/>
      <c r="AL235" s="1655"/>
      <c r="AM235" s="1655"/>
      <c r="AO235" s="1655"/>
      <c r="AP235" s="445"/>
      <c r="AQ235" s="445"/>
      <c r="AR235" s="445"/>
      <c r="AS235" s="445"/>
      <c r="AT235" s="445"/>
      <c r="AU235" s="445"/>
      <c r="AV235" s="445"/>
      <c r="AW235" s="445"/>
      <c r="AX235" s="445"/>
      <c r="AY235" s="445"/>
      <c r="AZ235"/>
      <c r="BA235"/>
      <c r="BB235"/>
    </row>
    <row r="236" spans="4:65" ht="20" x14ac:dyDescent="0.2">
      <c r="D236" s="1652"/>
      <c r="E236" s="1653"/>
      <c r="F236" s="543"/>
      <c r="G236" s="543"/>
      <c r="H236" s="1654"/>
      <c r="I236" s="1654"/>
      <c r="O236" s="1649"/>
      <c r="V236" s="437"/>
      <c r="AB236" s="1585"/>
      <c r="AF236" s="1650"/>
      <c r="AH236" s="1651"/>
      <c r="AJ236" s="1655"/>
      <c r="AL236" s="1655"/>
      <c r="AM236" s="1655"/>
      <c r="AO236" s="1655"/>
      <c r="AP236" s="445"/>
      <c r="AQ236" s="445"/>
      <c r="AR236" s="445"/>
      <c r="AS236" s="445"/>
      <c r="AT236" s="445"/>
      <c r="AU236" s="445"/>
      <c r="AV236" s="445"/>
      <c r="AW236" s="445"/>
      <c r="AX236" s="445"/>
      <c r="AY236" s="445"/>
      <c r="AZ236"/>
      <c r="BA236"/>
      <c r="BB236"/>
    </row>
    <row r="237" spans="4:65" x14ac:dyDescent="0.2">
      <c r="AQ237" s="445"/>
      <c r="AR237" s="445"/>
      <c r="AS237" s="445"/>
      <c r="AT237" s="445"/>
      <c r="AU237" s="445"/>
      <c r="AV237" s="445"/>
      <c r="AW237" s="445"/>
      <c r="AX237" s="445"/>
      <c r="AY237" s="445"/>
      <c r="AZ237"/>
      <c r="BA237"/>
      <c r="BB237"/>
    </row>
    <row r="238" spans="4:65" x14ac:dyDescent="0.2">
      <c r="AZ238"/>
      <c r="BA238"/>
      <c r="BB238"/>
    </row>
    <row r="239" spans="4:65" x14ac:dyDescent="0.2">
      <c r="BF239" s="1656"/>
      <c r="BG239" s="1656"/>
      <c r="BH239" s="297" t="s">
        <v>122</v>
      </c>
      <c r="BI239" s="1656"/>
      <c r="BJ239" s="1656"/>
      <c r="BK239" s="1656"/>
      <c r="BL239" s="1656"/>
      <c r="BM239" s="1656"/>
    </row>
    <row r="240" spans="4:65" ht="20" x14ac:dyDescent="0.3">
      <c r="BF240" s="298">
        <v>1</v>
      </c>
      <c r="BG240" s="1657">
        <v>-473</v>
      </c>
      <c r="BH240" s="300">
        <f>+COS(($B$132*-1)*3.14159265358979/180)*BG240</f>
        <v>-473</v>
      </c>
      <c r="BI240" s="301">
        <f t="shared" ref="BI240:BI276" si="99">+BH240-D$3</f>
        <v>-662.65723727232148</v>
      </c>
      <c r="BJ240" s="302">
        <f t="shared" ref="BJ240:BJ276" si="100">ABS(BI240)</f>
        <v>662.65723727232148</v>
      </c>
      <c r="BK240" s="303">
        <f>MIN(BJ240:BJ276)</f>
        <v>17.657237272321481</v>
      </c>
      <c r="BL240" s="302" t="b">
        <f>IF(BK240=BJ240,BF240)</f>
        <v>0</v>
      </c>
      <c r="BM240" s="304">
        <v>1</v>
      </c>
    </row>
    <row r="241" spans="58:65" ht="20" x14ac:dyDescent="0.3">
      <c r="BF241" s="298">
        <v>2</v>
      </c>
      <c r="BG241" s="1657">
        <f>+BG240+43</f>
        <v>-430</v>
      </c>
      <c r="BH241" s="42">
        <f>+BH240+$E$2</f>
        <v>-430</v>
      </c>
      <c r="BI241" s="301">
        <f t="shared" si="99"/>
        <v>-619.65723727232148</v>
      </c>
      <c r="BJ241" s="302">
        <f t="shared" si="100"/>
        <v>619.65723727232148</v>
      </c>
      <c r="BK241" s="302">
        <f>+BK240</f>
        <v>17.657237272321481</v>
      </c>
      <c r="BL241" s="302" t="b">
        <f t="shared" ref="BL241:BL276" si="101">IF(BK241=BJ241,BF241)</f>
        <v>0</v>
      </c>
      <c r="BM241" s="304">
        <v>2</v>
      </c>
    </row>
    <row r="242" spans="58:65" ht="20" x14ac:dyDescent="0.3">
      <c r="BF242" s="298">
        <v>3</v>
      </c>
      <c r="BG242" s="1657">
        <f t="shared" ref="BG242:BG276" si="102">+BG241+43</f>
        <v>-387</v>
      </c>
      <c r="BH242" s="42">
        <f t="shared" ref="BH242:BH276" si="103">+BH241+$E$2</f>
        <v>-387</v>
      </c>
      <c r="BI242" s="301">
        <f t="shared" si="99"/>
        <v>-576.65723727232148</v>
      </c>
      <c r="BJ242" s="302">
        <f t="shared" si="100"/>
        <v>576.65723727232148</v>
      </c>
      <c r="BK242" s="302">
        <f t="shared" ref="BK242:BK276" si="104">+BK241</f>
        <v>17.657237272321481</v>
      </c>
      <c r="BL242" s="302" t="b">
        <f t="shared" si="101"/>
        <v>0</v>
      </c>
      <c r="BM242" s="304">
        <v>3</v>
      </c>
    </row>
    <row r="243" spans="58:65" ht="20" x14ac:dyDescent="0.3">
      <c r="BF243" s="298">
        <v>4</v>
      </c>
      <c r="BG243" s="1657">
        <f t="shared" si="102"/>
        <v>-344</v>
      </c>
      <c r="BH243" s="42">
        <f t="shared" si="103"/>
        <v>-344</v>
      </c>
      <c r="BI243" s="301">
        <f t="shared" si="99"/>
        <v>-533.65723727232148</v>
      </c>
      <c r="BJ243" s="302">
        <f t="shared" si="100"/>
        <v>533.65723727232148</v>
      </c>
      <c r="BK243" s="302">
        <f t="shared" si="104"/>
        <v>17.657237272321481</v>
      </c>
      <c r="BL243" s="302" t="b">
        <f t="shared" si="101"/>
        <v>0</v>
      </c>
      <c r="BM243" s="304">
        <v>4</v>
      </c>
    </row>
    <row r="244" spans="58:65" ht="20" x14ac:dyDescent="0.3">
      <c r="BF244" s="298">
        <v>5</v>
      </c>
      <c r="BG244" s="1657">
        <f t="shared" si="102"/>
        <v>-301</v>
      </c>
      <c r="BH244" s="42">
        <f t="shared" si="103"/>
        <v>-301</v>
      </c>
      <c r="BI244" s="301">
        <f t="shared" si="99"/>
        <v>-490.65723727232148</v>
      </c>
      <c r="BJ244" s="302">
        <f t="shared" si="100"/>
        <v>490.65723727232148</v>
      </c>
      <c r="BK244" s="302">
        <f t="shared" si="104"/>
        <v>17.657237272321481</v>
      </c>
      <c r="BL244" s="302" t="b">
        <f t="shared" si="101"/>
        <v>0</v>
      </c>
      <c r="BM244" s="304">
        <v>5</v>
      </c>
    </row>
    <row r="245" spans="58:65" ht="20" x14ac:dyDescent="0.3">
      <c r="BF245" s="298">
        <v>6</v>
      </c>
      <c r="BG245" s="1657">
        <f t="shared" si="102"/>
        <v>-258</v>
      </c>
      <c r="BH245" s="42">
        <f t="shared" si="103"/>
        <v>-258</v>
      </c>
      <c r="BI245" s="301">
        <f t="shared" si="99"/>
        <v>-447.65723727232148</v>
      </c>
      <c r="BJ245" s="302">
        <f t="shared" si="100"/>
        <v>447.65723727232148</v>
      </c>
      <c r="BK245" s="302">
        <f t="shared" si="104"/>
        <v>17.657237272321481</v>
      </c>
      <c r="BL245" s="302" t="b">
        <f t="shared" si="101"/>
        <v>0</v>
      </c>
      <c r="BM245" s="304">
        <v>6</v>
      </c>
    </row>
    <row r="246" spans="58:65" ht="20" x14ac:dyDescent="0.3">
      <c r="BF246" s="298">
        <v>7</v>
      </c>
      <c r="BG246" s="1657">
        <f t="shared" si="102"/>
        <v>-215</v>
      </c>
      <c r="BH246" s="42">
        <f t="shared" si="103"/>
        <v>-215</v>
      </c>
      <c r="BI246" s="301">
        <f t="shared" si="99"/>
        <v>-404.65723727232148</v>
      </c>
      <c r="BJ246" s="302">
        <f t="shared" si="100"/>
        <v>404.65723727232148</v>
      </c>
      <c r="BK246" s="302">
        <f t="shared" si="104"/>
        <v>17.657237272321481</v>
      </c>
      <c r="BL246" s="302" t="b">
        <f t="shared" si="101"/>
        <v>0</v>
      </c>
      <c r="BM246" s="304">
        <v>7</v>
      </c>
    </row>
    <row r="247" spans="58:65" ht="20" x14ac:dyDescent="0.3">
      <c r="BF247" s="298">
        <v>8</v>
      </c>
      <c r="BG247" s="1657">
        <f t="shared" si="102"/>
        <v>-172</v>
      </c>
      <c r="BH247" s="42">
        <f t="shared" si="103"/>
        <v>-172</v>
      </c>
      <c r="BI247" s="301">
        <f t="shared" si="99"/>
        <v>-361.65723727232148</v>
      </c>
      <c r="BJ247" s="302">
        <f t="shared" si="100"/>
        <v>361.65723727232148</v>
      </c>
      <c r="BK247" s="302">
        <f t="shared" si="104"/>
        <v>17.657237272321481</v>
      </c>
      <c r="BL247" s="302" t="b">
        <f t="shared" si="101"/>
        <v>0</v>
      </c>
      <c r="BM247" s="304">
        <v>8</v>
      </c>
    </row>
    <row r="248" spans="58:65" ht="20" x14ac:dyDescent="0.3">
      <c r="BF248" s="298">
        <v>9</v>
      </c>
      <c r="BG248" s="1657">
        <f t="shared" si="102"/>
        <v>-129</v>
      </c>
      <c r="BH248" s="42">
        <f t="shared" si="103"/>
        <v>-129</v>
      </c>
      <c r="BI248" s="301">
        <f t="shared" si="99"/>
        <v>-318.65723727232148</v>
      </c>
      <c r="BJ248" s="302">
        <f t="shared" si="100"/>
        <v>318.65723727232148</v>
      </c>
      <c r="BK248" s="302">
        <f t="shared" si="104"/>
        <v>17.657237272321481</v>
      </c>
      <c r="BL248" s="302" t="b">
        <f t="shared" si="101"/>
        <v>0</v>
      </c>
      <c r="BM248" s="304">
        <v>9</v>
      </c>
    </row>
    <row r="249" spans="58:65" ht="20" x14ac:dyDescent="0.3">
      <c r="BF249" s="298">
        <v>10</v>
      </c>
      <c r="BG249" s="1657">
        <f t="shared" si="102"/>
        <v>-86</v>
      </c>
      <c r="BH249" s="42">
        <f t="shared" si="103"/>
        <v>-86</v>
      </c>
      <c r="BI249" s="301">
        <f t="shared" si="99"/>
        <v>-275.65723727232148</v>
      </c>
      <c r="BJ249" s="302">
        <f t="shared" si="100"/>
        <v>275.65723727232148</v>
      </c>
      <c r="BK249" s="302">
        <f t="shared" si="104"/>
        <v>17.657237272321481</v>
      </c>
      <c r="BL249" s="302" t="b">
        <f t="shared" si="101"/>
        <v>0</v>
      </c>
      <c r="BM249" s="304">
        <v>10</v>
      </c>
    </row>
    <row r="250" spans="58:65" ht="20" x14ac:dyDescent="0.3">
      <c r="BF250" s="298">
        <v>11</v>
      </c>
      <c r="BG250" s="1657">
        <f t="shared" si="102"/>
        <v>-43</v>
      </c>
      <c r="BH250" s="42">
        <f t="shared" si="103"/>
        <v>-43</v>
      </c>
      <c r="BI250" s="301">
        <f t="shared" si="99"/>
        <v>-232.65723727232148</v>
      </c>
      <c r="BJ250" s="302">
        <f t="shared" si="100"/>
        <v>232.65723727232148</v>
      </c>
      <c r="BK250" s="302">
        <f t="shared" si="104"/>
        <v>17.657237272321481</v>
      </c>
      <c r="BL250" s="302" t="b">
        <f t="shared" si="101"/>
        <v>0</v>
      </c>
      <c r="BM250" s="304">
        <v>11</v>
      </c>
    </row>
    <row r="251" spans="58:65" ht="20" x14ac:dyDescent="0.3">
      <c r="BF251" s="298">
        <v>12</v>
      </c>
      <c r="BG251" s="1657">
        <f t="shared" si="102"/>
        <v>0</v>
      </c>
      <c r="BH251" s="42">
        <f t="shared" si="103"/>
        <v>0</v>
      </c>
      <c r="BI251" s="301">
        <f t="shared" si="99"/>
        <v>-189.65723727232148</v>
      </c>
      <c r="BJ251" s="302">
        <f t="shared" si="100"/>
        <v>189.65723727232148</v>
      </c>
      <c r="BK251" s="302">
        <f t="shared" si="104"/>
        <v>17.657237272321481</v>
      </c>
      <c r="BL251" s="302" t="b">
        <f t="shared" si="101"/>
        <v>0</v>
      </c>
      <c r="BM251" s="304">
        <v>12</v>
      </c>
    </row>
    <row r="252" spans="58:65" ht="20" x14ac:dyDescent="0.3">
      <c r="BF252" s="298">
        <v>13</v>
      </c>
      <c r="BG252" s="1657">
        <f t="shared" si="102"/>
        <v>43</v>
      </c>
      <c r="BH252" s="42">
        <f t="shared" si="103"/>
        <v>43</v>
      </c>
      <c r="BI252" s="301">
        <f t="shared" si="99"/>
        <v>-146.65723727232148</v>
      </c>
      <c r="BJ252" s="302">
        <f t="shared" si="100"/>
        <v>146.65723727232148</v>
      </c>
      <c r="BK252" s="302">
        <f t="shared" si="104"/>
        <v>17.657237272321481</v>
      </c>
      <c r="BL252" s="302" t="b">
        <f t="shared" si="101"/>
        <v>0</v>
      </c>
      <c r="BM252" s="304">
        <v>13</v>
      </c>
    </row>
    <row r="253" spans="58:65" ht="20" x14ac:dyDescent="0.3">
      <c r="BF253" s="298">
        <v>14</v>
      </c>
      <c r="BG253" s="1657">
        <f t="shared" si="102"/>
        <v>86</v>
      </c>
      <c r="BH253" s="42">
        <f t="shared" si="103"/>
        <v>86</v>
      </c>
      <c r="BI253" s="301">
        <f t="shared" si="99"/>
        <v>-103.65723727232148</v>
      </c>
      <c r="BJ253" s="302">
        <f t="shared" si="100"/>
        <v>103.65723727232148</v>
      </c>
      <c r="BK253" s="302">
        <f t="shared" si="104"/>
        <v>17.657237272321481</v>
      </c>
      <c r="BL253" s="302" t="b">
        <f t="shared" si="101"/>
        <v>0</v>
      </c>
      <c r="BM253" s="304">
        <v>14</v>
      </c>
    </row>
    <row r="254" spans="58:65" ht="20" x14ac:dyDescent="0.3">
      <c r="BF254" s="298">
        <v>15</v>
      </c>
      <c r="BG254" s="1657">
        <f t="shared" si="102"/>
        <v>129</v>
      </c>
      <c r="BH254" s="42">
        <f t="shared" si="103"/>
        <v>129</v>
      </c>
      <c r="BI254" s="301">
        <f t="shared" si="99"/>
        <v>-60.657237272321481</v>
      </c>
      <c r="BJ254" s="302">
        <f t="shared" si="100"/>
        <v>60.657237272321481</v>
      </c>
      <c r="BK254" s="302">
        <f t="shared" si="104"/>
        <v>17.657237272321481</v>
      </c>
      <c r="BL254" s="302" t="b">
        <f t="shared" si="101"/>
        <v>0</v>
      </c>
      <c r="BM254" s="304">
        <v>15</v>
      </c>
    </row>
    <row r="255" spans="58:65" ht="20" x14ac:dyDescent="0.3">
      <c r="BF255" s="298">
        <v>16</v>
      </c>
      <c r="BG255" s="1657">
        <f t="shared" si="102"/>
        <v>172</v>
      </c>
      <c r="BH255" s="42">
        <f t="shared" si="103"/>
        <v>172</v>
      </c>
      <c r="BI255" s="301">
        <f t="shared" si="99"/>
        <v>-17.657237272321481</v>
      </c>
      <c r="BJ255" s="302">
        <f t="shared" si="100"/>
        <v>17.657237272321481</v>
      </c>
      <c r="BK255" s="302">
        <f t="shared" si="104"/>
        <v>17.657237272321481</v>
      </c>
      <c r="BL255" s="302">
        <f t="shared" si="101"/>
        <v>16</v>
      </c>
      <c r="BM255" s="304">
        <v>16</v>
      </c>
    </row>
    <row r="256" spans="58:65" ht="20" x14ac:dyDescent="0.3">
      <c r="BF256" s="298">
        <v>17</v>
      </c>
      <c r="BG256" s="1657">
        <f t="shared" si="102"/>
        <v>215</v>
      </c>
      <c r="BH256" s="42">
        <f t="shared" si="103"/>
        <v>215</v>
      </c>
      <c r="BI256" s="301">
        <f t="shared" si="99"/>
        <v>25.342762727678519</v>
      </c>
      <c r="BJ256" s="302">
        <f t="shared" si="100"/>
        <v>25.342762727678519</v>
      </c>
      <c r="BK256" s="302">
        <f t="shared" si="104"/>
        <v>17.657237272321481</v>
      </c>
      <c r="BL256" s="302" t="b">
        <f t="shared" si="101"/>
        <v>0</v>
      </c>
      <c r="BM256" s="304">
        <v>17</v>
      </c>
    </row>
    <row r="257" spans="58:129" ht="20" x14ac:dyDescent="0.3">
      <c r="BF257" s="298">
        <v>18</v>
      </c>
      <c r="BG257" s="1657">
        <f t="shared" si="102"/>
        <v>258</v>
      </c>
      <c r="BH257" s="42">
        <f t="shared" si="103"/>
        <v>258</v>
      </c>
      <c r="BI257" s="301">
        <f t="shared" si="99"/>
        <v>68.342762727678519</v>
      </c>
      <c r="BJ257" s="302">
        <f t="shared" si="100"/>
        <v>68.342762727678519</v>
      </c>
      <c r="BK257" s="302">
        <f t="shared" si="104"/>
        <v>17.657237272321481</v>
      </c>
      <c r="BL257" s="302" t="b">
        <f t="shared" si="101"/>
        <v>0</v>
      </c>
      <c r="BM257" s="304">
        <v>18</v>
      </c>
    </row>
    <row r="258" spans="58:129" ht="20" x14ac:dyDescent="0.3">
      <c r="BF258" s="298">
        <v>19</v>
      </c>
      <c r="BG258" s="1657">
        <f t="shared" si="102"/>
        <v>301</v>
      </c>
      <c r="BH258" s="42">
        <f t="shared" si="103"/>
        <v>301</v>
      </c>
      <c r="BI258" s="301">
        <f t="shared" si="99"/>
        <v>111.34276272767852</v>
      </c>
      <c r="BJ258" s="302">
        <f t="shared" si="100"/>
        <v>111.34276272767852</v>
      </c>
      <c r="BK258" s="302">
        <f t="shared" si="104"/>
        <v>17.657237272321481</v>
      </c>
      <c r="BL258" s="302" t="b">
        <f t="shared" si="101"/>
        <v>0</v>
      </c>
      <c r="BM258" s="304">
        <v>19</v>
      </c>
    </row>
    <row r="259" spans="58:129" ht="20" x14ac:dyDescent="0.3">
      <c r="BF259" s="298">
        <v>20</v>
      </c>
      <c r="BG259" s="1657">
        <f t="shared" si="102"/>
        <v>344</v>
      </c>
      <c r="BH259" s="42">
        <f t="shared" si="103"/>
        <v>344</v>
      </c>
      <c r="BI259" s="301">
        <f t="shared" si="99"/>
        <v>154.34276272767852</v>
      </c>
      <c r="BJ259" s="302">
        <f t="shared" si="100"/>
        <v>154.34276272767852</v>
      </c>
      <c r="BK259" s="302">
        <f t="shared" si="104"/>
        <v>17.657237272321481</v>
      </c>
      <c r="BL259" s="302" t="b">
        <f t="shared" si="101"/>
        <v>0</v>
      </c>
      <c r="BM259" s="304">
        <v>20</v>
      </c>
    </row>
    <row r="260" spans="58:129" ht="20" x14ac:dyDescent="0.3">
      <c r="BF260" s="298">
        <v>21</v>
      </c>
      <c r="BG260" s="1657">
        <f t="shared" si="102"/>
        <v>387</v>
      </c>
      <c r="BH260" s="42">
        <f t="shared" si="103"/>
        <v>387</v>
      </c>
      <c r="BI260" s="301">
        <f t="shared" si="99"/>
        <v>197.34276272767852</v>
      </c>
      <c r="BJ260" s="302">
        <f t="shared" si="100"/>
        <v>197.34276272767852</v>
      </c>
      <c r="BK260" s="302">
        <f t="shared" si="104"/>
        <v>17.657237272321481</v>
      </c>
      <c r="BL260" s="302" t="b">
        <f t="shared" si="101"/>
        <v>0</v>
      </c>
      <c r="BM260" s="304">
        <v>21</v>
      </c>
    </row>
    <row r="261" spans="58:129" ht="20" x14ac:dyDescent="0.3">
      <c r="BF261" s="298">
        <v>22</v>
      </c>
      <c r="BG261" s="1657">
        <f t="shared" si="102"/>
        <v>430</v>
      </c>
      <c r="BH261" s="42">
        <f t="shared" si="103"/>
        <v>430</v>
      </c>
      <c r="BI261" s="301">
        <f t="shared" si="99"/>
        <v>240.34276272767852</v>
      </c>
      <c r="BJ261" s="302">
        <f t="shared" si="100"/>
        <v>240.34276272767852</v>
      </c>
      <c r="BK261" s="302">
        <f t="shared" si="104"/>
        <v>17.657237272321481</v>
      </c>
      <c r="BL261" s="302" t="b">
        <f t="shared" si="101"/>
        <v>0</v>
      </c>
      <c r="BM261" s="304">
        <v>22</v>
      </c>
      <c r="DF261" s="305"/>
      <c r="DG261" s="305"/>
      <c r="DH261" s="305"/>
      <c r="DI261" s="305"/>
      <c r="DJ261" s="305"/>
      <c r="DK261" s="305"/>
      <c r="DL261" s="1818"/>
      <c r="DM261" s="1818"/>
      <c r="DN261" s="1818"/>
      <c r="DO261" s="126"/>
    </row>
    <row r="262" spans="58:129" ht="20" x14ac:dyDescent="0.3">
      <c r="BF262" s="298">
        <v>23</v>
      </c>
      <c r="BG262" s="1657">
        <f t="shared" si="102"/>
        <v>473</v>
      </c>
      <c r="BH262" s="42">
        <f t="shared" si="103"/>
        <v>473</v>
      </c>
      <c r="BI262" s="301">
        <f t="shared" si="99"/>
        <v>283.34276272767852</v>
      </c>
      <c r="BJ262" s="302">
        <f t="shared" si="100"/>
        <v>283.34276272767852</v>
      </c>
      <c r="BK262" s="302">
        <f t="shared" si="104"/>
        <v>17.657237272321481</v>
      </c>
      <c r="BL262" s="302" t="b">
        <f t="shared" si="101"/>
        <v>0</v>
      </c>
      <c r="BM262" s="304">
        <v>23</v>
      </c>
      <c r="DL262" s="306"/>
      <c r="DY262" s="306"/>
    </row>
    <row r="263" spans="58:129" ht="20" x14ac:dyDescent="0.3">
      <c r="BF263" s="298">
        <v>24</v>
      </c>
      <c r="BG263" s="1657">
        <f t="shared" si="102"/>
        <v>516</v>
      </c>
      <c r="BH263" s="42">
        <f t="shared" si="103"/>
        <v>516</v>
      </c>
      <c r="BI263" s="301">
        <f t="shared" si="99"/>
        <v>326.34276272767852</v>
      </c>
      <c r="BJ263" s="302">
        <f t="shared" si="100"/>
        <v>326.34276272767852</v>
      </c>
      <c r="BK263" s="302">
        <f t="shared" si="104"/>
        <v>17.657237272321481</v>
      </c>
      <c r="BL263" s="302" t="b">
        <f t="shared" si="101"/>
        <v>0</v>
      </c>
      <c r="BM263" s="304">
        <v>24</v>
      </c>
      <c r="DF263" s="307"/>
      <c r="DG263" s="307"/>
      <c r="DH263" s="307"/>
      <c r="DI263" s="307"/>
      <c r="DJ263" s="307"/>
      <c r="DK263" s="307"/>
      <c r="DL263" s="1819"/>
      <c r="DM263" s="1819"/>
      <c r="DX263" s="1813"/>
      <c r="DY263" s="1813"/>
    </row>
    <row r="264" spans="58:129" ht="20" x14ac:dyDescent="0.3">
      <c r="BF264" s="298">
        <v>25</v>
      </c>
      <c r="BG264" s="1657">
        <f t="shared" si="102"/>
        <v>559</v>
      </c>
      <c r="BH264" s="42">
        <f t="shared" si="103"/>
        <v>559</v>
      </c>
      <c r="BI264" s="301">
        <f t="shared" si="99"/>
        <v>369.34276272767852</v>
      </c>
      <c r="BJ264" s="302">
        <f t="shared" si="100"/>
        <v>369.34276272767852</v>
      </c>
      <c r="BK264" s="302">
        <f t="shared" si="104"/>
        <v>17.657237272321481</v>
      </c>
      <c r="BL264" s="302" t="b">
        <f t="shared" si="101"/>
        <v>0</v>
      </c>
      <c r="BM264" s="304">
        <v>25</v>
      </c>
    </row>
    <row r="265" spans="58:129" ht="20" x14ac:dyDescent="0.3">
      <c r="BF265" s="298">
        <v>26</v>
      </c>
      <c r="BG265" s="1657">
        <f t="shared" si="102"/>
        <v>602</v>
      </c>
      <c r="BH265" s="42">
        <f t="shared" si="103"/>
        <v>602</v>
      </c>
      <c r="BI265" s="301">
        <f t="shared" si="99"/>
        <v>412.34276272767852</v>
      </c>
      <c r="BJ265" s="302">
        <f t="shared" si="100"/>
        <v>412.34276272767852</v>
      </c>
      <c r="BK265" s="302">
        <f t="shared" si="104"/>
        <v>17.657237272321481</v>
      </c>
      <c r="BL265" s="302" t="b">
        <f t="shared" si="101"/>
        <v>0</v>
      </c>
      <c r="BM265" s="304">
        <v>26</v>
      </c>
    </row>
    <row r="266" spans="58:129" ht="20" x14ac:dyDescent="0.3">
      <c r="BF266" s="298">
        <v>27</v>
      </c>
      <c r="BG266" s="1657">
        <f t="shared" si="102"/>
        <v>645</v>
      </c>
      <c r="BH266" s="42">
        <f t="shared" si="103"/>
        <v>645</v>
      </c>
      <c r="BI266" s="301">
        <f t="shared" si="99"/>
        <v>455.34276272767852</v>
      </c>
      <c r="BJ266" s="302">
        <f t="shared" si="100"/>
        <v>455.34276272767852</v>
      </c>
      <c r="BK266" s="302">
        <f t="shared" si="104"/>
        <v>17.657237272321481</v>
      </c>
      <c r="BL266" s="302" t="b">
        <f t="shared" si="101"/>
        <v>0</v>
      </c>
      <c r="BM266" s="304">
        <v>27</v>
      </c>
    </row>
    <row r="267" spans="58:129" ht="20" x14ac:dyDescent="0.3">
      <c r="BF267" s="298">
        <v>28</v>
      </c>
      <c r="BG267" s="1657">
        <f t="shared" si="102"/>
        <v>688</v>
      </c>
      <c r="BH267" s="42">
        <f t="shared" si="103"/>
        <v>688</v>
      </c>
      <c r="BI267" s="301">
        <f t="shared" si="99"/>
        <v>498.34276272767852</v>
      </c>
      <c r="BJ267" s="302">
        <f t="shared" si="100"/>
        <v>498.34276272767852</v>
      </c>
      <c r="BK267" s="302">
        <f t="shared" si="104"/>
        <v>17.657237272321481</v>
      </c>
      <c r="BL267" s="302" t="b">
        <f t="shared" si="101"/>
        <v>0</v>
      </c>
      <c r="BM267" s="304">
        <v>28</v>
      </c>
    </row>
    <row r="268" spans="58:129" ht="20" x14ac:dyDescent="0.3">
      <c r="BF268" s="298">
        <v>29</v>
      </c>
      <c r="BG268" s="1657">
        <f t="shared" si="102"/>
        <v>731</v>
      </c>
      <c r="BH268" s="42">
        <f t="shared" si="103"/>
        <v>731</v>
      </c>
      <c r="BI268" s="301">
        <f t="shared" si="99"/>
        <v>541.34276272767852</v>
      </c>
      <c r="BJ268" s="302">
        <f t="shared" si="100"/>
        <v>541.34276272767852</v>
      </c>
      <c r="BK268" s="302">
        <f t="shared" si="104"/>
        <v>17.657237272321481</v>
      </c>
      <c r="BL268" s="302" t="b">
        <f t="shared" si="101"/>
        <v>0</v>
      </c>
      <c r="BM268" s="304">
        <v>29</v>
      </c>
    </row>
    <row r="269" spans="58:129" ht="20" x14ac:dyDescent="0.3">
      <c r="BF269" s="298">
        <v>30</v>
      </c>
      <c r="BG269" s="1657">
        <f t="shared" si="102"/>
        <v>774</v>
      </c>
      <c r="BH269" s="42">
        <f t="shared" si="103"/>
        <v>774</v>
      </c>
      <c r="BI269" s="301">
        <f t="shared" si="99"/>
        <v>584.34276272767852</v>
      </c>
      <c r="BJ269" s="302">
        <f t="shared" si="100"/>
        <v>584.34276272767852</v>
      </c>
      <c r="BK269" s="302">
        <f t="shared" si="104"/>
        <v>17.657237272321481</v>
      </c>
      <c r="BL269" s="302" t="b">
        <f t="shared" si="101"/>
        <v>0</v>
      </c>
      <c r="BM269" s="304">
        <v>30</v>
      </c>
    </row>
    <row r="270" spans="58:129" ht="20" x14ac:dyDescent="0.3">
      <c r="BF270" s="298">
        <v>31</v>
      </c>
      <c r="BG270" s="1657">
        <f t="shared" si="102"/>
        <v>817</v>
      </c>
      <c r="BH270" s="42">
        <f t="shared" si="103"/>
        <v>817</v>
      </c>
      <c r="BI270" s="301">
        <f t="shared" si="99"/>
        <v>627.34276272767852</v>
      </c>
      <c r="BJ270" s="302">
        <f t="shared" si="100"/>
        <v>627.34276272767852</v>
      </c>
      <c r="BK270" s="302">
        <f t="shared" si="104"/>
        <v>17.657237272321481</v>
      </c>
      <c r="BL270" s="302" t="b">
        <f t="shared" si="101"/>
        <v>0</v>
      </c>
      <c r="BM270" s="304">
        <v>31</v>
      </c>
    </row>
    <row r="271" spans="58:129" ht="20" x14ac:dyDescent="0.3">
      <c r="BF271" s="298">
        <v>32</v>
      </c>
      <c r="BG271" s="1657">
        <f t="shared" si="102"/>
        <v>860</v>
      </c>
      <c r="BH271" s="42">
        <f t="shared" si="103"/>
        <v>860</v>
      </c>
      <c r="BI271" s="301">
        <f t="shared" si="99"/>
        <v>670.34276272767852</v>
      </c>
      <c r="BJ271" s="302">
        <f t="shared" si="100"/>
        <v>670.34276272767852</v>
      </c>
      <c r="BK271" s="302">
        <f t="shared" si="104"/>
        <v>17.657237272321481</v>
      </c>
      <c r="BL271" s="302" t="b">
        <f t="shared" si="101"/>
        <v>0</v>
      </c>
      <c r="BM271" s="304">
        <v>32</v>
      </c>
    </row>
    <row r="272" spans="58:129" ht="20" x14ac:dyDescent="0.3">
      <c r="BF272" s="298">
        <v>33</v>
      </c>
      <c r="BG272" s="1657">
        <f t="shared" si="102"/>
        <v>903</v>
      </c>
      <c r="BH272" s="42">
        <f t="shared" si="103"/>
        <v>903</v>
      </c>
      <c r="BI272" s="301">
        <f t="shared" si="99"/>
        <v>713.34276272767852</v>
      </c>
      <c r="BJ272" s="302">
        <f t="shared" si="100"/>
        <v>713.34276272767852</v>
      </c>
      <c r="BK272" s="302">
        <f t="shared" si="104"/>
        <v>17.657237272321481</v>
      </c>
      <c r="BL272" s="302" t="b">
        <f t="shared" si="101"/>
        <v>0</v>
      </c>
      <c r="BM272" s="304">
        <v>33</v>
      </c>
    </row>
    <row r="273" spans="58:114" ht="20" x14ac:dyDescent="0.3">
      <c r="BF273" s="298">
        <v>34</v>
      </c>
      <c r="BG273" s="1657">
        <f t="shared" si="102"/>
        <v>946</v>
      </c>
      <c r="BH273" s="42">
        <f t="shared" si="103"/>
        <v>946</v>
      </c>
      <c r="BI273" s="301">
        <f t="shared" si="99"/>
        <v>756.34276272767852</v>
      </c>
      <c r="BJ273" s="302">
        <f t="shared" si="100"/>
        <v>756.34276272767852</v>
      </c>
      <c r="BK273" s="302">
        <f t="shared" si="104"/>
        <v>17.657237272321481</v>
      </c>
      <c r="BL273" s="302" t="b">
        <f t="shared" si="101"/>
        <v>0</v>
      </c>
      <c r="BM273" s="304">
        <v>34</v>
      </c>
    </row>
    <row r="274" spans="58:114" ht="20" x14ac:dyDescent="0.3">
      <c r="BF274" s="298">
        <v>35</v>
      </c>
      <c r="BG274" s="1657">
        <f t="shared" si="102"/>
        <v>989</v>
      </c>
      <c r="BH274" s="42">
        <f t="shared" si="103"/>
        <v>989</v>
      </c>
      <c r="BI274" s="301">
        <f t="shared" si="99"/>
        <v>799.34276272767852</v>
      </c>
      <c r="BJ274" s="302">
        <f t="shared" si="100"/>
        <v>799.34276272767852</v>
      </c>
      <c r="BK274" s="302">
        <f t="shared" si="104"/>
        <v>17.657237272321481</v>
      </c>
      <c r="BL274" s="302" t="b">
        <f t="shared" si="101"/>
        <v>0</v>
      </c>
      <c r="BM274" s="304">
        <v>35</v>
      </c>
    </row>
    <row r="275" spans="58:114" ht="20" x14ac:dyDescent="0.3">
      <c r="BF275" s="298">
        <v>36</v>
      </c>
      <c r="BG275" s="1657">
        <f t="shared" si="102"/>
        <v>1032</v>
      </c>
      <c r="BH275" s="42">
        <f t="shared" si="103"/>
        <v>1032</v>
      </c>
      <c r="BI275" s="301">
        <f t="shared" si="99"/>
        <v>842.34276272767852</v>
      </c>
      <c r="BJ275" s="302">
        <f t="shared" si="100"/>
        <v>842.34276272767852</v>
      </c>
      <c r="BK275" s="302">
        <f t="shared" si="104"/>
        <v>17.657237272321481</v>
      </c>
      <c r="BL275" s="302" t="b">
        <f t="shared" si="101"/>
        <v>0</v>
      </c>
      <c r="BM275" s="304">
        <v>36</v>
      </c>
    </row>
    <row r="276" spans="58:114" ht="20" x14ac:dyDescent="0.3">
      <c r="BF276" s="298">
        <v>37</v>
      </c>
      <c r="BG276" s="1657">
        <f t="shared" si="102"/>
        <v>1075</v>
      </c>
      <c r="BH276" s="42">
        <f t="shared" si="103"/>
        <v>1075</v>
      </c>
      <c r="BI276" s="301">
        <f t="shared" si="99"/>
        <v>885.34276272767852</v>
      </c>
      <c r="BJ276" s="302">
        <f t="shared" si="100"/>
        <v>885.34276272767852</v>
      </c>
      <c r="BK276" s="302">
        <f t="shared" si="104"/>
        <v>17.657237272321481</v>
      </c>
      <c r="BL276" s="302" t="b">
        <f t="shared" si="101"/>
        <v>0</v>
      </c>
      <c r="BM276" s="304">
        <v>37</v>
      </c>
    </row>
    <row r="280" spans="58:114" x14ac:dyDescent="0.2">
      <c r="DF280" s="126"/>
      <c r="DH280" s="126"/>
      <c r="DJ280" s="126"/>
    </row>
    <row r="1048398" spans="5:5" ht="19" thickBot="1" x14ac:dyDescent="0.25"/>
    <row r="1048399" spans="5:5" ht="19" thickBot="1" x14ac:dyDescent="0.25">
      <c r="E1048399" s="279"/>
    </row>
  </sheetData>
  <sheetProtection algorithmName="SHA-512" hashValue="4ZxmtslIi2JCJw5QrqhUrtwp8GIN3GYgQqdzuMsbs9P9q62kTiTDj9e1e+syS0nTw/dFNO3GP8v1K7GdoxZQnQ==" saltValue="Mdk/F93mcJEB0GqP3zHBoA==" spinCount="100000" sheet="1" objects="1" scenarios="1" selectLockedCells="1"/>
  <protectedRanges>
    <protectedRange sqref="B132 B171 B165 B208 D211 D142 D162:D166 D219:D236" name="Range1"/>
    <protectedRange sqref="B139" name="Range1_1"/>
    <protectedRange sqref="D143:D161" name="Range1_2"/>
    <protectedRange sqref="D212" name="Range1_3"/>
    <protectedRange sqref="D213:D218" name="Range1_4"/>
    <protectedRange sqref="D175:D199" name="Range1_5"/>
    <protectedRange sqref="D174" name="Range1_6"/>
  </protectedRanges>
  <mergeCells count="25">
    <mergeCell ref="DG41:DH41"/>
    <mergeCell ref="DX263:DY263"/>
    <mergeCell ref="W139:AA139"/>
    <mergeCell ref="BA139:BB139"/>
    <mergeCell ref="B163:B164"/>
    <mergeCell ref="W171:AA171"/>
    <mergeCell ref="BA171:BB171"/>
    <mergeCell ref="BA208:BB208"/>
    <mergeCell ref="BV208:BX208"/>
    <mergeCell ref="BV210:BW210"/>
    <mergeCell ref="CH210:CI210"/>
    <mergeCell ref="DL261:DN261"/>
    <mergeCell ref="DL263:DM263"/>
    <mergeCell ref="B130:B131"/>
    <mergeCell ref="BQ34:CA35"/>
    <mergeCell ref="CS34:DA35"/>
    <mergeCell ref="CB35:CC35"/>
    <mergeCell ref="CQ35:CR35"/>
    <mergeCell ref="BQ27:BR27"/>
    <mergeCell ref="CQ28:DA29"/>
    <mergeCell ref="BQ29:BR29"/>
    <mergeCell ref="CO29:CP29"/>
    <mergeCell ref="BQ31:CA32"/>
    <mergeCell ref="CB32:CC32"/>
    <mergeCell ref="CZ32:DA32"/>
  </mergeCells>
  <conditionalFormatting sqref="B212:AW212 AY212:BB212">
    <cfRule type="expression" dxfId="502" priority="10">
      <formula>$B208&lt;2</formula>
    </cfRule>
  </conditionalFormatting>
  <conditionalFormatting sqref="B213:AW213 AY213:BB213">
    <cfRule type="expression" dxfId="501" priority="9">
      <formula>$B208&lt;3</formula>
    </cfRule>
  </conditionalFormatting>
  <conditionalFormatting sqref="B214:AW214 AY214:BB214">
    <cfRule type="expression" dxfId="500" priority="8">
      <formula>$B208&lt;4</formula>
    </cfRule>
  </conditionalFormatting>
  <conditionalFormatting sqref="B215:AW215 AY215:BB215">
    <cfRule type="expression" dxfId="499" priority="7">
      <formula>$B208&lt;5</formula>
    </cfRule>
  </conditionalFormatting>
  <conditionalFormatting sqref="B216:AW216 AY216:BB216">
    <cfRule type="expression" dxfId="498" priority="6">
      <formula>$B208&lt;6</formula>
    </cfRule>
  </conditionalFormatting>
  <conditionalFormatting sqref="B217:AW217 AY217:BB217">
    <cfRule type="expression" dxfId="497" priority="5">
      <formula>$B208&lt;7</formula>
    </cfRule>
  </conditionalFormatting>
  <conditionalFormatting sqref="B218:AW218 AY218:BB218">
    <cfRule type="expression" dxfId="496" priority="4">
      <formula>$B208&lt;8</formula>
    </cfRule>
  </conditionalFormatting>
  <conditionalFormatting sqref="B143:BB143">
    <cfRule type="expression" dxfId="495" priority="31">
      <formula>$B139&lt;2</formula>
    </cfRule>
  </conditionalFormatting>
  <conditionalFormatting sqref="B144:BB144">
    <cfRule type="expression" dxfId="494" priority="30">
      <formula>$B139&lt;3</formula>
    </cfRule>
  </conditionalFormatting>
  <conditionalFormatting sqref="B145:BB145">
    <cfRule type="expression" dxfId="493" priority="29">
      <formula>$B139&lt;4</formula>
    </cfRule>
  </conditionalFormatting>
  <conditionalFormatting sqref="B146:BB146">
    <cfRule type="expression" dxfId="492" priority="28">
      <formula>$B139&lt;5</formula>
    </cfRule>
  </conditionalFormatting>
  <conditionalFormatting sqref="B147:BB147">
    <cfRule type="expression" dxfId="491" priority="27">
      <formula>$B139&lt;6</formula>
    </cfRule>
  </conditionalFormatting>
  <conditionalFormatting sqref="B148:BB148">
    <cfRule type="expression" dxfId="490" priority="26">
      <formula>$B139&lt;7</formula>
    </cfRule>
  </conditionalFormatting>
  <conditionalFormatting sqref="B149:BB149">
    <cfRule type="expression" dxfId="489" priority="25">
      <formula>$B139&lt;8</formula>
    </cfRule>
  </conditionalFormatting>
  <conditionalFormatting sqref="B150:BB150">
    <cfRule type="expression" dxfId="488" priority="24">
      <formula>$B139&lt;9</formula>
    </cfRule>
  </conditionalFormatting>
  <conditionalFormatting sqref="B151:BB151">
    <cfRule type="expression" dxfId="487" priority="23">
      <formula>$B139&lt;10</formula>
    </cfRule>
  </conditionalFormatting>
  <conditionalFormatting sqref="B152:BB152">
    <cfRule type="expression" dxfId="486" priority="22">
      <formula>$B139&lt;11</formula>
    </cfRule>
  </conditionalFormatting>
  <conditionalFormatting sqref="B153:BB153">
    <cfRule type="expression" dxfId="485" priority="21">
      <formula>$B139&lt;12</formula>
    </cfRule>
  </conditionalFormatting>
  <conditionalFormatting sqref="B154:BB154">
    <cfRule type="expression" dxfId="484" priority="20">
      <formula>$B139&lt;13</formula>
    </cfRule>
  </conditionalFormatting>
  <conditionalFormatting sqref="B155:BB155">
    <cfRule type="expression" dxfId="483" priority="19">
      <formula>$B139&lt;14</formula>
    </cfRule>
  </conditionalFormatting>
  <conditionalFormatting sqref="B156:BB156">
    <cfRule type="expression" dxfId="482" priority="18">
      <formula>$B139&lt;15</formula>
    </cfRule>
  </conditionalFormatting>
  <conditionalFormatting sqref="B157:BB157">
    <cfRule type="expression" dxfId="481" priority="17">
      <formula>$B139&lt;16</formula>
    </cfRule>
  </conditionalFormatting>
  <conditionalFormatting sqref="B158:BB158">
    <cfRule type="expression" dxfId="480" priority="16">
      <formula>$B139&lt;17</formula>
    </cfRule>
  </conditionalFormatting>
  <conditionalFormatting sqref="B159:BB159">
    <cfRule type="expression" dxfId="479" priority="15">
      <formula>$B139&lt;18</formula>
    </cfRule>
  </conditionalFormatting>
  <conditionalFormatting sqref="B160:BB160">
    <cfRule type="expression" dxfId="478" priority="14">
      <formula>$B139&lt;19</formula>
    </cfRule>
  </conditionalFormatting>
  <conditionalFormatting sqref="B161:BB161">
    <cfRule type="expression" dxfId="477" priority="13">
      <formula>$B139&lt;20</formula>
    </cfRule>
  </conditionalFormatting>
  <conditionalFormatting sqref="B175:BB175">
    <cfRule type="expression" dxfId="476" priority="58">
      <formula>$B171&lt;2</formula>
    </cfRule>
  </conditionalFormatting>
  <conditionalFormatting sqref="B176:BB176">
    <cfRule type="expression" dxfId="475" priority="57">
      <formula>$B171&lt;3</formula>
    </cfRule>
  </conditionalFormatting>
  <conditionalFormatting sqref="B177:BB177">
    <cfRule type="expression" dxfId="474" priority="56">
      <formula>$B171&lt;4</formula>
    </cfRule>
  </conditionalFormatting>
  <conditionalFormatting sqref="B178:BB178">
    <cfRule type="expression" dxfId="473" priority="55">
      <formula>$B171&lt;5</formula>
    </cfRule>
  </conditionalFormatting>
  <conditionalFormatting sqref="B179:BB179">
    <cfRule type="expression" dxfId="472" priority="54">
      <formula>$B171&lt;6</formula>
    </cfRule>
  </conditionalFormatting>
  <conditionalFormatting sqref="B180:BB180">
    <cfRule type="expression" dxfId="471" priority="53">
      <formula>$B171&lt;7</formula>
    </cfRule>
  </conditionalFormatting>
  <conditionalFormatting sqref="B181:BB181">
    <cfRule type="expression" dxfId="470" priority="52">
      <formula>$B171&lt;8</formula>
    </cfRule>
  </conditionalFormatting>
  <conditionalFormatting sqref="B182:BB182">
    <cfRule type="expression" dxfId="469" priority="51">
      <formula>$B171&lt;9</formula>
    </cfRule>
  </conditionalFormatting>
  <conditionalFormatting sqref="B183:BB183">
    <cfRule type="expression" dxfId="468" priority="50">
      <formula>$B171&lt;10</formula>
    </cfRule>
  </conditionalFormatting>
  <conditionalFormatting sqref="B184:BB184">
    <cfRule type="expression" dxfId="467" priority="49">
      <formula>$B171&lt;11</formula>
    </cfRule>
  </conditionalFormatting>
  <conditionalFormatting sqref="B185:BB185">
    <cfRule type="expression" dxfId="466" priority="48">
      <formula>$B171&lt;12</formula>
    </cfRule>
  </conditionalFormatting>
  <conditionalFormatting sqref="B186:BB186">
    <cfRule type="expression" dxfId="465" priority="47">
      <formula>$B171&lt;13</formula>
    </cfRule>
  </conditionalFormatting>
  <conditionalFormatting sqref="B187:BB187">
    <cfRule type="expression" dxfId="464" priority="46">
      <formula>$B171&lt;14</formula>
    </cfRule>
  </conditionalFormatting>
  <conditionalFormatting sqref="B188:BB188">
    <cfRule type="expression" dxfId="463" priority="45">
      <formula>$B171&lt;15</formula>
    </cfRule>
  </conditionalFormatting>
  <conditionalFormatting sqref="B189:BB189">
    <cfRule type="expression" dxfId="462" priority="44">
      <formula>$B171&lt;16</formula>
    </cfRule>
  </conditionalFormatting>
  <conditionalFormatting sqref="B190:BB190">
    <cfRule type="expression" dxfId="461" priority="43">
      <formula>$B171&lt;17</formula>
    </cfRule>
  </conditionalFormatting>
  <conditionalFormatting sqref="B191:BB191">
    <cfRule type="expression" dxfId="460" priority="42">
      <formula>$B171&lt;18</formula>
    </cfRule>
  </conditionalFormatting>
  <conditionalFormatting sqref="B192:BB192">
    <cfRule type="expression" dxfId="459" priority="41">
      <formula>$B171&lt;19</formula>
    </cfRule>
  </conditionalFormatting>
  <conditionalFormatting sqref="B193:BB193">
    <cfRule type="expression" dxfId="458" priority="40">
      <formula>$B171&lt;20</formula>
    </cfRule>
  </conditionalFormatting>
  <conditionalFormatting sqref="B194:BB194">
    <cfRule type="expression" dxfId="457" priority="39">
      <formula>$B171&lt;21</formula>
    </cfRule>
  </conditionalFormatting>
  <conditionalFormatting sqref="B195:BB195">
    <cfRule type="expression" dxfId="456" priority="38">
      <formula>$B171&lt;22</formula>
    </cfRule>
  </conditionalFormatting>
  <conditionalFormatting sqref="B196:BB196">
    <cfRule type="expression" dxfId="455" priority="37">
      <formula>$B171&lt;23</formula>
    </cfRule>
  </conditionalFormatting>
  <conditionalFormatting sqref="B197:BB197">
    <cfRule type="expression" dxfId="454" priority="36">
      <formula>$B171&lt;24</formula>
    </cfRule>
  </conditionalFormatting>
  <conditionalFormatting sqref="B198:BB198">
    <cfRule type="expression" dxfId="453" priority="35">
      <formula>$B171&lt;25</formula>
    </cfRule>
  </conditionalFormatting>
  <conditionalFormatting sqref="B199:BB199">
    <cfRule type="expression" dxfId="452" priority="34">
      <formula>$B171&lt;26</formula>
    </cfRule>
  </conditionalFormatting>
  <conditionalFormatting sqref="D129:D130">
    <cfRule type="cellIs" dxfId="451" priority="77" stopIfTrue="1" operator="equal">
      <formula>"change the angle of frame or of cabinets"</formula>
    </cfRule>
  </conditionalFormatting>
  <conditionalFormatting sqref="D131">
    <cfRule type="cellIs" dxfId="450" priority="76" stopIfTrue="1" operator="equal">
      <formula>"USE EXBAR AR AT THE FRONT"</formula>
    </cfRule>
  </conditionalFormatting>
  <conditionalFormatting sqref="D132">
    <cfRule type="cellIs" dxfId="449" priority="75" stopIfTrue="1" operator="equal">
      <formula>"USE EXBAR AR AT THE BACK"</formula>
    </cfRule>
  </conditionalFormatting>
  <conditionalFormatting sqref="D142:D161">
    <cfRule type="cellIs" dxfId="448" priority="33" operator="notEqual">
      <formula>0</formula>
    </cfRule>
  </conditionalFormatting>
  <conditionalFormatting sqref="D174">
    <cfRule type="cellIs" dxfId="447" priority="3" operator="notEqual">
      <formula>0</formula>
    </cfRule>
  </conditionalFormatting>
  <conditionalFormatting sqref="D175:D199">
    <cfRule type="cellIs" dxfId="446" priority="60" operator="notEqual">
      <formula>0</formula>
    </cfRule>
  </conditionalFormatting>
  <conditionalFormatting sqref="D211:D218">
    <cfRule type="cellIs" dxfId="445" priority="12" operator="notEqual">
      <formula>0</formula>
    </cfRule>
  </conditionalFormatting>
  <conditionalFormatting sqref="E1048399:E1048576">
    <cfRule type="expression" dxfId="444" priority="61">
      <formula>$B$208&lt;2</formula>
    </cfRule>
  </conditionalFormatting>
  <conditionalFormatting sqref="AX200">
    <cfRule type="expression" dxfId="443" priority="74" stopIfTrue="1">
      <formula>$B$171&lt;20</formula>
    </cfRule>
  </conditionalFormatting>
  <conditionalFormatting sqref="AZ211">
    <cfRule type="expression" dxfId="442" priority="1" stopIfTrue="1">
      <formula>$B$146&lt;1</formula>
    </cfRule>
  </conditionalFormatting>
  <conditionalFormatting sqref="BA142:BB161">
    <cfRule type="cellIs" dxfId="441" priority="32" operator="lessThan">
      <formula>10</formula>
    </cfRule>
  </conditionalFormatting>
  <conditionalFormatting sqref="BA174:BB199">
    <cfRule type="cellIs" dxfId="440" priority="59" operator="lessThan">
      <formula>10</formula>
    </cfRule>
  </conditionalFormatting>
  <conditionalFormatting sqref="BA211:BB218">
    <cfRule type="cellIs" dxfId="439" priority="11" operator="lessThan">
      <formula>10</formula>
    </cfRule>
  </conditionalFormatting>
  <conditionalFormatting sqref="BN28">
    <cfRule type="cellIs" dxfId="438" priority="70" stopIfTrue="1" operator="equal">
      <formula>"negative force at the motor"</formula>
    </cfRule>
  </conditionalFormatting>
  <conditionalFormatting sqref="BN28:BN29">
    <cfRule type="cellIs" dxfId="437" priority="69" operator="equal">
      <formula>"""OK"""</formula>
    </cfRule>
  </conditionalFormatting>
  <conditionalFormatting sqref="BN29">
    <cfRule type="cellIs" dxfId="436" priority="80" stopIfTrue="1" operator="equal">
      <formula>"overload"</formula>
    </cfRule>
  </conditionalFormatting>
  <conditionalFormatting sqref="BN31">
    <cfRule type="cellIs" dxfId="435" priority="68" stopIfTrue="1" operator="equal">
      <formula>"negative force at the motor"</formula>
    </cfRule>
  </conditionalFormatting>
  <conditionalFormatting sqref="BN31:BN32">
    <cfRule type="cellIs" dxfId="434" priority="67" operator="equal">
      <formula>"""OK"""</formula>
    </cfRule>
  </conditionalFormatting>
  <conditionalFormatting sqref="BN34">
    <cfRule type="cellIs" dxfId="433" priority="66" stopIfTrue="1" operator="equal">
      <formula>"negative force at the motor"</formula>
    </cfRule>
  </conditionalFormatting>
  <conditionalFormatting sqref="BN34:BN35">
    <cfRule type="cellIs" dxfId="432" priority="65" operator="equal">
      <formula>"""OK"""</formula>
    </cfRule>
  </conditionalFormatting>
  <conditionalFormatting sqref="BN58 BN63 BN127 BN32 BN35">
    <cfRule type="cellIs" dxfId="431" priority="79" stopIfTrue="1" operator="equal">
      <formula>"overload"</formula>
    </cfRule>
  </conditionalFormatting>
  <conditionalFormatting sqref="BN58 BN127 BN63">
    <cfRule type="cellIs" dxfId="430" priority="78" operator="equal">
      <formula>"""OK"""</formula>
    </cfRule>
  </conditionalFormatting>
  <conditionalFormatting sqref="BO57:BO58 BN58 BN127">
    <cfRule type="expression" dxfId="429" priority="71">
      <formula>$B$132&lt;&gt;0</formula>
    </cfRule>
  </conditionalFormatting>
  <conditionalFormatting sqref="BO126:BO127">
    <cfRule type="expression" dxfId="428" priority="62">
      <formula>$B$132&lt;&gt;0</formula>
    </cfRule>
  </conditionalFormatting>
  <conditionalFormatting sqref="BQ126:CG126">
    <cfRule type="expression" dxfId="427" priority="64">
      <formula>$B$132=0</formula>
    </cfRule>
  </conditionalFormatting>
  <conditionalFormatting sqref="BQ59:DB61 BV171:CI178">
    <cfRule type="cellIs" dxfId="426" priority="81" stopIfTrue="1" operator="equal">
      <formula>FALSE</formula>
    </cfRule>
  </conditionalFormatting>
  <conditionalFormatting sqref="CB57:CR57">
    <cfRule type="expression" dxfId="425" priority="73">
      <formula>$B$132=0</formula>
    </cfRule>
    <cfRule type="cellIs" dxfId="424" priority="72" operator="equal">
      <formula>0</formula>
    </cfRule>
  </conditionalFormatting>
  <conditionalFormatting sqref="CK126:DA126">
    <cfRule type="expression" dxfId="423" priority="63">
      <formula>$B$132=0</formula>
    </cfRule>
  </conditionalFormatting>
  <dataValidations count="15">
    <dataValidation type="custom" allowBlank="1" showInputMessage="1" showErrorMessage="1" sqref="D175:D199" xr:uid="{00000000-0002-0000-1100-000000000000}">
      <formula1>OR(D175=0.5,D175=2.5,D175=1,D175=2,D175=2.5,D175=3,D175=4,D175=5,D175=6,D175=7,D175=8,D175=9,D175=10)</formula1>
    </dataValidation>
    <dataValidation type="whole" allowBlank="1" showInputMessage="1" showErrorMessage="1" errorTitle="Coda Audio" error="YOU HAVE ENTERED A WRONG NUMBER OF CABINETS" promptTitle="Coda Audio" prompt="ENTER THE NUMBER OF CABINETS FROM 1 UP TO 26" sqref="B171" xr:uid="{00000000-0002-0000-1100-000001000000}">
      <formula1>1</formula1>
      <formula2>26</formula2>
    </dataValidation>
    <dataValidation type="whole" allowBlank="1" showInputMessage="1" showErrorMessage="1" sqref="D213:D218" xr:uid="{00000000-0002-0000-1100-000002000000}">
      <formula1>0</formula1>
      <formula2>10</formula2>
    </dataValidation>
    <dataValidation type="whole" allowBlank="1" showInputMessage="1" showErrorMessage="1" sqref="D212" xr:uid="{00000000-0002-0000-1100-000003000000}">
      <formula1>0</formula1>
      <formula2>5</formula2>
    </dataValidation>
    <dataValidation type="whole" allowBlank="1" showInputMessage="1" showErrorMessage="1" errorTitle="Coda Audio" error="YOU HAVE ENTERED A WRONG NUMBER OF CABINETS" promptTitle="Coda Audio" prompt="ENTER THE NUMBER OF CABINETS FROM 1 UP TO 8" sqref="B208" xr:uid="{00000000-0002-0000-1100-000004000000}">
      <formula1>1</formula1>
      <formula2>8</formula2>
    </dataValidation>
    <dataValidation type="decimal" allowBlank="1" showInputMessage="1" showErrorMessage="1" sqref="F144:F166 D136:D137 G212:G236 F213:F236 F176:F199 F134:G137 D134 G143:G166 G175:G199" xr:uid="{00000000-0002-0000-1100-000005000000}">
      <formula1>0</formula1>
      <formula2>8</formula2>
    </dataValidation>
    <dataValidation type="decimal" allowBlank="1" showInputMessage="1" showErrorMessage="1" sqref="F142:G142 F174:G174 F211:G211" xr:uid="{00000000-0002-0000-1100-000006000000}">
      <formula1>0</formula1>
      <formula2>4</formula2>
    </dataValidation>
    <dataValidation type="custom" allowBlank="1" showInputMessage="1" showErrorMessage="1" sqref="D162:D166" xr:uid="{00000000-0002-0000-1100-000007000000}">
      <formula1>OR(D162=0,D162=2.5,D162=5)</formula1>
    </dataValidation>
    <dataValidation type="decimal" allowBlank="1" showInputMessage="1" showErrorMessage="1" sqref="B132" xr:uid="{00000000-0002-0000-1100-000008000000}">
      <formula1>-89.9</formula1>
      <formula2>89.9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39" xr:uid="{00000000-0002-0000-1100-000009000000}">
      <formula1>1</formula1>
      <formula2>20</formula2>
    </dataValidation>
    <dataValidation type="whole" allowBlank="1" showInputMessage="1" showErrorMessage="1" sqref="D142" xr:uid="{00000000-0002-0000-1100-00000A000000}">
      <formula1>-2</formula1>
      <formula2>4</formula2>
    </dataValidation>
    <dataValidation type="custom" allowBlank="1" showInputMessage="1" showErrorMessage="1" sqref="D219:D226 D228:D236" xr:uid="{00000000-0002-0000-1100-00000B000000}">
      <formula1>OR(D219=0.5,D219=1,D219=2,D219=2.5,D219=3,D219=4,D219=5,D219=6,D219=7,D219=8,D219=9,D219=10)</formula1>
    </dataValidation>
    <dataValidation type="custom" allowBlank="1" showInputMessage="1" showErrorMessage="1" sqref="D143:D161" xr:uid="{00000000-0002-0000-1100-00000C000000}">
      <formula1>OR(D143=0,D143=0.5,D143=1,D143=2,D143=2.5,D143=3,D143=4,D143=5,D143=6,D143=7,D143=8)</formula1>
    </dataValidation>
    <dataValidation type="custom" allowBlank="1" showInputMessage="1" showErrorMessage="1" sqref="D211 D227" xr:uid="{00000000-0002-0000-1100-00000D000000}">
      <formula1>OR(D211=0.5,D211=1,D211=2,D211=2.5,D211=3,D211=4,D211=5,,D211=5.5,D211=6.5,D211=7.5,D211=9,D211=10)</formula1>
    </dataValidation>
    <dataValidation type="custom" allowBlank="1" showInputMessage="1" showErrorMessage="1" sqref="D174" xr:uid="{00000000-0002-0000-1100-00000E000000}">
      <formula1>OR(D174=0,D174=0.5,D174=1,D174=2,D174=2.5,D174=3,D174=4,D174=5,D174=6,D174=7,D174=8,D174=9)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theme="8" tint="0.39997558519241921"/>
  </sheetPr>
  <dimension ref="A1:EN284"/>
  <sheetViews>
    <sheetView topLeftCell="A53" zoomScale="50" zoomScaleNormal="50" workbookViewId="0">
      <selection activeCell="D139" sqref="D139"/>
    </sheetView>
  </sheetViews>
  <sheetFormatPr baseColWidth="10" defaultColWidth="9.1640625" defaultRowHeight="18" x14ac:dyDescent="0.2"/>
  <cols>
    <col min="1" max="1" width="1.5" customWidth="1"/>
    <col min="2" max="2" width="37.83203125" style="35" customWidth="1"/>
    <col min="3" max="3" width="19.5" style="35" hidden="1" customWidth="1"/>
    <col min="4" max="4" width="34.83203125" customWidth="1"/>
    <col min="5" max="5" width="46.5" customWidth="1"/>
    <col min="6" max="6" width="39" hidden="1" customWidth="1"/>
    <col min="7" max="7" width="34.5" hidden="1" customWidth="1"/>
    <col min="8" max="9" width="25.5" style="64" hidden="1" customWidth="1"/>
    <col min="10" max="20" width="18.33203125" style="64" hidden="1" customWidth="1"/>
    <col min="21" max="21" width="34.5" style="64" hidden="1" customWidth="1"/>
    <col min="22" max="27" width="15.6640625" style="64" hidden="1" customWidth="1"/>
    <col min="28" max="28" width="40.5" style="64" customWidth="1"/>
    <col min="29" max="35" width="15.6640625" style="64" hidden="1" customWidth="1"/>
    <col min="36" max="43" width="19.83203125" style="64" hidden="1" customWidth="1"/>
    <col min="44" max="44" width="25.5" style="64" hidden="1" customWidth="1"/>
    <col min="45" max="46" width="15.6640625" style="64" hidden="1" customWidth="1"/>
    <col min="47" max="47" width="21.5" style="64" hidden="1" customWidth="1"/>
    <col min="48" max="52" width="15.6640625" style="64" hidden="1" customWidth="1"/>
    <col min="53" max="54" width="15.83203125" style="64" customWidth="1"/>
    <col min="55" max="55" width="24.83203125" hidden="1" customWidth="1"/>
    <col min="56" max="56" width="22.5" hidden="1" customWidth="1"/>
    <col min="57" max="62" width="34.5" hidden="1" customWidth="1"/>
    <col min="63" max="63" width="9.33203125" hidden="1" customWidth="1"/>
    <col min="64" max="64" width="10.83203125" hidden="1" customWidth="1"/>
    <col min="65" max="65" width="13.6640625" style="81" hidden="1" customWidth="1"/>
    <col min="66" max="66" width="24.83203125" bestFit="1" customWidth="1"/>
    <col min="67" max="67" width="34" style="59" customWidth="1"/>
    <col min="68" max="68" width="43.6640625" customWidth="1"/>
    <col min="69" max="79" width="6.5" customWidth="1"/>
    <col min="80" max="80" width="8" customWidth="1"/>
    <col min="81" max="93" width="6.5" customWidth="1"/>
    <col min="94" max="94" width="7.1640625" customWidth="1"/>
    <col min="95" max="105" width="6.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34" width="6.5" hidden="1" customWidth="1"/>
    <col min="135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482" t="s">
        <v>104</v>
      </c>
      <c r="E1" s="482" t="s">
        <v>105</v>
      </c>
      <c r="F1" s="482" t="s">
        <v>106</v>
      </c>
      <c r="G1" s="990" t="s">
        <v>220</v>
      </c>
      <c r="H1" s="1044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+COS(($B$132*-1)*3.14159265358979/180)*C2</f>
        <v>688</v>
      </c>
      <c r="E2" s="41">
        <f>+COS(($B$132*-1)*3.14159265358979/180)*43</f>
        <v>43</v>
      </c>
      <c r="F2" s="42">
        <f>+COS((($B$132*-1)+72.969997)*3.14159265358979/180)*162.1867</f>
        <v>47.500013702602963</v>
      </c>
      <c r="G2" s="994" t="s">
        <v>212</v>
      </c>
      <c r="H2" s="1045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216.97789198691567</v>
      </c>
      <c r="D3" s="40">
        <f>+C9-F2</f>
        <v>216.97787828431271</v>
      </c>
      <c r="G3" s="994" t="s">
        <v>213</v>
      </c>
      <c r="H3" s="1046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+COS(($B$132*-1)*3.14159265358979/180)*C4</f>
        <v>1075</v>
      </c>
      <c r="G4" s="996" t="s">
        <v>233</v>
      </c>
      <c r="H4" s="1047">
        <v>860</v>
      </c>
      <c r="I4" s="984">
        <v>1</v>
      </c>
      <c r="J4" s="1721" t="s">
        <v>228</v>
      </c>
      <c r="K4" s="1727"/>
      <c r="L4" s="1727"/>
      <c r="M4" s="1727"/>
      <c r="N4"/>
      <c r="O4" s="995"/>
    </row>
    <row r="5" spans="2:15" ht="38" hidden="1" x14ac:dyDescent="0.2">
      <c r="B5" s="44" t="s">
        <v>115</v>
      </c>
      <c r="C5" s="45">
        <f>+C9+425.5</f>
        <v>689.97789198691567</v>
      </c>
      <c r="D5" s="40">
        <f>+(COS(($B$132*-1)*3.14159265358979/180)*473)+$D$3</f>
        <v>689.97787828431274</v>
      </c>
      <c r="G5" s="996" t="s">
        <v>214</v>
      </c>
      <c r="H5" s="1047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1" hidden="1" thickBot="1" x14ac:dyDescent="0.25">
      <c r="B6" s="73"/>
      <c r="C6" s="73"/>
      <c r="G6" s="996" t="s">
        <v>259</v>
      </c>
      <c r="H6" s="1047">
        <v>602</v>
      </c>
      <c r="I6"/>
      <c r="J6" s="963">
        <f>+H9/H8*BQ55</f>
        <v>292.02942991823517</v>
      </c>
      <c r="K6" s="963">
        <f>((H8-H9)/H8)*BQ55</f>
        <v>-200.77023306878669</v>
      </c>
      <c r="L6" s="963">
        <f>+CO55</f>
        <v>163.54080315055151</v>
      </c>
      <c r="M6" s="961" t="s">
        <v>223</v>
      </c>
      <c r="N6"/>
      <c r="O6" s="995"/>
    </row>
    <row r="7" spans="2:15" ht="127" hidden="1" thickBot="1" x14ac:dyDescent="0.25">
      <c r="B7" s="483" t="s">
        <v>18</v>
      </c>
      <c r="C7" s="394">
        <f>+C11+C16+30+4.5+0.5</f>
        <v>254.8</v>
      </c>
      <c r="D7" s="1573" t="s">
        <v>309</v>
      </c>
      <c r="G7" s="997" t="s">
        <v>230</v>
      </c>
      <c r="H7" s="1048">
        <f>(+SIN(($B$132*-1)*3.14159265358979/180)*H2)</f>
        <v>0</v>
      </c>
      <c r="I7"/>
      <c r="J7" s="965">
        <f>ABS($H$1/J6)</f>
        <v>61.637623321183042</v>
      </c>
      <c r="K7" s="965">
        <f>ABS($H$1/K6)</f>
        <v>89.654724830811688</v>
      </c>
      <c r="L7" s="965">
        <f>ABS($H$1/L6)</f>
        <v>110.0642754177357</v>
      </c>
      <c r="M7" s="967" t="s">
        <v>222</v>
      </c>
      <c r="N7"/>
      <c r="O7" s="995"/>
    </row>
    <row r="8" spans="2:15" ht="20" hidden="1" x14ac:dyDescent="0.2">
      <c r="B8" s="483" t="s">
        <v>19</v>
      </c>
      <c r="C8" s="483">
        <f>+AS138</f>
        <v>492.39108855494453</v>
      </c>
      <c r="G8" s="997" t="s">
        <v>229</v>
      </c>
      <c r="H8" s="1048">
        <f>(+COS(($B$132*-1)*3.14159265358979/180)*H3)</f>
        <v>215</v>
      </c>
      <c r="I8"/>
      <c r="J8" s="1733">
        <f>ABS($E$20/BQ55)</f>
        <v>87.66239761234921</v>
      </c>
      <c r="K8" s="1733"/>
      <c r="L8" s="1733">
        <f>ABS($E$20/CO55)</f>
        <v>48.917455741215868</v>
      </c>
      <c r="M8" s="1732" t="s">
        <v>350</v>
      </c>
      <c r="N8"/>
      <c r="O8" s="995"/>
    </row>
    <row r="9" spans="2:15" ht="21" hidden="1" thickBot="1" x14ac:dyDescent="0.25">
      <c r="B9" s="483" t="s">
        <v>14</v>
      </c>
      <c r="C9" s="483">
        <f>+AP134</f>
        <v>264.47789198691567</v>
      </c>
      <c r="G9" s="994" t="s">
        <v>227</v>
      </c>
      <c r="H9" s="1048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B10" s="1574" t="s">
        <v>62</v>
      </c>
      <c r="C10" s="1575">
        <v>57</v>
      </c>
      <c r="D10" s="1576" t="s">
        <v>310</v>
      </c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1661" t="s">
        <v>311</v>
      </c>
      <c r="C11" s="1662">
        <f>+B168*C10+31</f>
        <v>88</v>
      </c>
      <c r="G11" s="994" t="s">
        <v>226</v>
      </c>
      <c r="H11" s="1048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1" hidden="1" thickBot="1" x14ac:dyDescent="0.25">
      <c r="B12" s="1663" t="s">
        <v>63</v>
      </c>
      <c r="C12" s="1664">
        <v>747</v>
      </c>
      <c r="D12" s="397"/>
      <c r="G12" s="998"/>
      <c r="H12" s="37"/>
      <c r="I12"/>
      <c r="J12" s="963">
        <f>(CB58)</f>
        <v>203.37119684944849</v>
      </c>
      <c r="K12" s="963">
        <f>((+H8-H11)/H8*CZ58)</f>
        <v>-113.14336693121335</v>
      </c>
      <c r="L12" s="963">
        <f>(H11/H8*CZ58)</f>
        <v>164.57217008176485</v>
      </c>
      <c r="M12" s="961" t="s">
        <v>223</v>
      </c>
      <c r="N12"/>
      <c r="O12" s="995"/>
    </row>
    <row r="13" spans="2:15" ht="23.25" hidden="1" customHeight="1" thickBot="1" x14ac:dyDescent="0.25">
      <c r="B13" s="1574" t="s">
        <v>132</v>
      </c>
      <c r="C13" s="1575">
        <v>40.5</v>
      </c>
      <c r="D13" s="1576" t="s">
        <v>273</v>
      </c>
      <c r="G13" s="998"/>
      <c r="H13"/>
      <c r="I13"/>
      <c r="J13" s="965">
        <f>ABS($H$1/J12)</f>
        <v>88.508108713767513</v>
      </c>
      <c r="K13" s="965">
        <f>ABS($H$1/K12)</f>
        <v>159.09019227740748</v>
      </c>
      <c r="L13" s="965">
        <f>ABS($H$1/L12)</f>
        <v>109.37450719071767</v>
      </c>
      <c r="M13" s="967" t="s">
        <v>222</v>
      </c>
      <c r="N13"/>
      <c r="O13" s="995"/>
    </row>
    <row r="14" spans="2:15" ht="23.25" hidden="1" customHeight="1" thickBot="1" x14ac:dyDescent="0.25">
      <c r="B14" s="1574" t="s">
        <v>275</v>
      </c>
      <c r="C14" s="1575">
        <v>29.3</v>
      </c>
      <c r="D14" s="1576" t="s">
        <v>276</v>
      </c>
      <c r="G14" s="998"/>
      <c r="H14"/>
      <c r="I14"/>
      <c r="J14" s="1733">
        <f>ABS($E$20/CB58)</f>
        <v>39.336937206118897</v>
      </c>
      <c r="K14" s="1733"/>
      <c r="L14" s="1733">
        <f>ABS($E$20/CZ58)</f>
        <v>155.55485467124291</v>
      </c>
      <c r="M14" s="1734" t="s">
        <v>350</v>
      </c>
      <c r="N14"/>
      <c r="O14" s="995"/>
    </row>
    <row r="15" spans="2:15" ht="23.25" hidden="1" customHeight="1" thickBot="1" x14ac:dyDescent="0.25">
      <c r="B15" s="1661" t="s">
        <v>312</v>
      </c>
      <c r="C15" s="1664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3.25" hidden="1" customHeight="1" thickBot="1" x14ac:dyDescent="0.25">
      <c r="B16" s="1661" t="s">
        <v>313</v>
      </c>
      <c r="C16" s="1662">
        <f>(+B192*C14)+31+(B135*C13)+31</f>
        <v>131.80000000000001</v>
      </c>
      <c r="G16" s="994" t="s">
        <v>231</v>
      </c>
      <c r="H16" s="1048">
        <f>+D2+H7-BL137</f>
        <v>-1.9778782843127374</v>
      </c>
      <c r="I16" s="984" t="s">
        <v>251</v>
      </c>
      <c r="J16" s="1721" t="s">
        <v>232</v>
      </c>
      <c r="K16" s="1727"/>
      <c r="L16" s="1727"/>
      <c r="M16" s="1727"/>
      <c r="N16"/>
      <c r="O16" s="995"/>
    </row>
    <row r="17" spans="2:15" ht="20" hidden="1" x14ac:dyDescent="0.2"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5" ht="20" hidden="1" x14ac:dyDescent="0.2">
      <c r="B18" s="484" t="s">
        <v>159</v>
      </c>
      <c r="C18" s="1579">
        <v>5800</v>
      </c>
      <c r="D18" s="1579">
        <v>10000</v>
      </c>
      <c r="G18" s="998"/>
      <c r="H18"/>
      <c r="I18"/>
      <c r="J18" s="963">
        <f>+H16/H8*BQ53</f>
        <v>-2.3440157527576071</v>
      </c>
      <c r="K18" s="963">
        <f>((H8-H16)/H8)*BQ53</f>
        <v>257.14401575275764</v>
      </c>
      <c r="L18" s="963"/>
      <c r="M18" s="961" t="s">
        <v>223</v>
      </c>
      <c r="N18"/>
      <c r="O18" s="995"/>
    </row>
    <row r="19" spans="2:15" ht="20" hidden="1" x14ac:dyDescent="0.2">
      <c r="B19" s="484" t="s">
        <v>77</v>
      </c>
      <c r="C19" s="1579">
        <v>5800</v>
      </c>
      <c r="D19" s="1579">
        <v>5800</v>
      </c>
      <c r="G19" s="998"/>
      <c r="H19"/>
      <c r="I19"/>
      <c r="J19" s="965">
        <f>ABS($H$1/J18)</f>
        <v>7679.129280092925</v>
      </c>
      <c r="K19" s="965">
        <f>ABS($H$1/K18)</f>
        <v>69.99968460205929</v>
      </c>
      <c r="L19" s="965"/>
      <c r="M19" s="967" t="s">
        <v>222</v>
      </c>
      <c r="N19"/>
      <c r="O19" s="995"/>
    </row>
    <row r="20" spans="2:15" ht="20" hidden="1" x14ac:dyDescent="0.2">
      <c r="B20" s="484" t="s">
        <v>78</v>
      </c>
      <c r="C20" s="1579">
        <v>8000</v>
      </c>
      <c r="D20" s="1579">
        <v>8000</v>
      </c>
      <c r="E20" s="49">
        <v>8000</v>
      </c>
      <c r="G20" s="998"/>
      <c r="H20"/>
      <c r="I20"/>
      <c r="J20" s="1733">
        <f>ABS($E$20/BQ53)</f>
        <v>31.397174254317111</v>
      </c>
      <c r="K20" s="1733"/>
      <c r="L20" s="1733"/>
      <c r="M20" s="1734" t="s">
        <v>350</v>
      </c>
      <c r="N20"/>
      <c r="O20" s="995"/>
    </row>
    <row r="21" spans="2:15" ht="19" hidden="1" thickBot="1" x14ac:dyDescent="0.25">
      <c r="B21" s="1579"/>
      <c r="C21" s="1579" t="s">
        <v>20</v>
      </c>
      <c r="D21" s="1579" t="s">
        <v>21</v>
      </c>
      <c r="G21" s="998"/>
      <c r="H21"/>
      <c r="I21"/>
      <c r="J21" s="59"/>
      <c r="K21" s="59"/>
      <c r="L21" s="59"/>
      <c r="M21" s="59"/>
      <c r="N21"/>
      <c r="O21" s="995"/>
    </row>
    <row r="22" spans="2:15" ht="21" hidden="1" thickBot="1" x14ac:dyDescent="0.25">
      <c r="B22" s="1580" t="s">
        <v>64</v>
      </c>
      <c r="C22" s="1579">
        <f>+((C8-C9)/C8)*C7</f>
        <v>117.93934503559488</v>
      </c>
      <c r="D22" s="1579">
        <f>+(C9/C8)*C7</f>
        <v>136.86065496440511</v>
      </c>
      <c r="G22" s="994" t="s">
        <v>219</v>
      </c>
      <c r="H22" s="1048">
        <f>(+COS(($B$132*-1)*3.14159265358979/180)*(H4))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</row>
    <row r="23" spans="2:15" ht="20" hidden="1" x14ac:dyDescent="0.2">
      <c r="G23" s="994" t="s">
        <v>234</v>
      </c>
      <c r="H23" s="1094">
        <f>+BL137-H22+H7</f>
        <v>-170.02212171568726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5" ht="20" hidden="1" x14ac:dyDescent="0.2">
      <c r="G24" s="998"/>
      <c r="H24"/>
      <c r="I24"/>
      <c r="J24" s="963"/>
      <c r="K24" s="963">
        <f>((+H8-H23)/H8*BQ53)</f>
        <v>456.29598424724242</v>
      </c>
      <c r="L24" s="963">
        <f>(H23/H8*BQ53)</f>
        <v>-201.4959842472424</v>
      </c>
      <c r="M24" s="961" t="s">
        <v>223</v>
      </c>
      <c r="N24"/>
      <c r="O24" s="995"/>
    </row>
    <row r="25" spans="2:15" ht="20" hidden="1" x14ac:dyDescent="0.2">
      <c r="G25" s="998"/>
      <c r="H25"/>
      <c r="I25"/>
      <c r="J25" s="965"/>
      <c r="K25" s="965">
        <f>ABS($H$1/K24)</f>
        <v>39.448078925557148</v>
      </c>
      <c r="L25" s="965">
        <f>ABS($H$1/L24)</f>
        <v>89.3318051337112</v>
      </c>
      <c r="M25" s="967" t="s">
        <v>222</v>
      </c>
      <c r="N25"/>
      <c r="O25" s="995"/>
    </row>
    <row r="26" spans="2:15" ht="20" hidden="1" x14ac:dyDescent="0.2">
      <c r="G26" s="998"/>
      <c r="H26"/>
      <c r="I26"/>
      <c r="J26" s="1733"/>
      <c r="K26" s="1733"/>
      <c r="L26" s="1733">
        <f>ABS($E$20/BQ53)</f>
        <v>31.397174254317111</v>
      </c>
      <c r="M26" s="1734" t="s">
        <v>350</v>
      </c>
      <c r="N26"/>
      <c r="O26" s="995"/>
    </row>
    <row r="27" spans="2:15" ht="19" hidden="1" thickBot="1" x14ac:dyDescent="0.25">
      <c r="G27" s="998"/>
      <c r="H27"/>
      <c r="I27"/>
      <c r="J27" s="59"/>
      <c r="K27" s="59"/>
      <c r="L27" s="59"/>
      <c r="M27" s="59"/>
      <c r="N27"/>
      <c r="O27" s="995"/>
    </row>
    <row r="28" spans="2:15" ht="21" hidden="1" thickBot="1" x14ac:dyDescent="0.25"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</row>
    <row r="29" spans="2:15" ht="20" hidden="1" x14ac:dyDescent="0.2"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</row>
    <row r="30" spans="2:15" ht="20" hidden="1" x14ac:dyDescent="0.2">
      <c r="G30" s="1000"/>
      <c r="H30" s="63"/>
      <c r="I30"/>
      <c r="J30" s="963"/>
      <c r="K30" s="963">
        <f>((+H8-H23)/H8*BQ53)</f>
        <v>456.29598424724242</v>
      </c>
      <c r="L30" s="963">
        <f>(H23/H8*BQ53)</f>
        <v>-201.4959842472424</v>
      </c>
      <c r="M30" s="961" t="s">
        <v>223</v>
      </c>
      <c r="N30"/>
      <c r="O30" s="995"/>
    </row>
    <row r="31" spans="2:15" ht="20" hidden="1" x14ac:dyDescent="0.2">
      <c r="G31" s="1000"/>
      <c r="H31" s="63"/>
      <c r="I31"/>
      <c r="J31" s="965"/>
      <c r="K31" s="965">
        <f>ABS($H$1/K30)</f>
        <v>39.448078925557148</v>
      </c>
      <c r="L31" s="965">
        <f>ABS($H$1/L30)</f>
        <v>89.3318051337112</v>
      </c>
      <c r="M31" s="967" t="s">
        <v>222</v>
      </c>
      <c r="N31"/>
      <c r="O31" s="995"/>
    </row>
    <row r="32" spans="2:15" ht="20" hidden="1" x14ac:dyDescent="0.2">
      <c r="G32" s="1000"/>
      <c r="H32" s="63"/>
      <c r="I32"/>
      <c r="J32" s="1733"/>
      <c r="K32" s="1733"/>
      <c r="L32" s="1733">
        <f>ABS($E$20/BQ53)*2</f>
        <v>62.794348508634222</v>
      </c>
      <c r="M32" s="1734" t="s">
        <v>350</v>
      </c>
      <c r="N32" s="1730" t="s">
        <v>352</v>
      </c>
      <c r="O32" s="995"/>
    </row>
    <row r="33" spans="7:15" ht="19" hidden="1" thickBot="1" x14ac:dyDescent="0.25">
      <c r="G33" s="1000"/>
      <c r="H33" s="63"/>
      <c r="I33"/>
      <c r="J33" s="59"/>
      <c r="K33" s="59"/>
      <c r="L33" s="59"/>
      <c r="M33" s="59"/>
      <c r="N33"/>
      <c r="O33" s="995"/>
    </row>
    <row r="34" spans="7:15" ht="21" hidden="1" thickBot="1" x14ac:dyDescent="0.25"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</row>
    <row r="35" spans="7:15" ht="20" hidden="1" x14ac:dyDescent="0.2"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</row>
    <row r="36" spans="7:15" ht="20" hidden="1" x14ac:dyDescent="0.2">
      <c r="G36" s="1000"/>
      <c r="H36" s="63"/>
      <c r="I36"/>
      <c r="J36" s="963">
        <f>+H16/H8*BQ53</f>
        <v>-2.3440157527576071</v>
      </c>
      <c r="K36" s="963">
        <f>((H8-H16)/H8)*BQ53</f>
        <v>257.14401575275764</v>
      </c>
      <c r="L36" s="963"/>
      <c r="M36" s="961" t="s">
        <v>223</v>
      </c>
      <c r="N36"/>
      <c r="O36" s="995"/>
    </row>
    <row r="37" spans="7:15" ht="20" hidden="1" x14ac:dyDescent="0.2">
      <c r="G37" s="1000"/>
      <c r="H37" s="63"/>
      <c r="I37"/>
      <c r="J37" s="965">
        <f>ABS($H$1/J36)</f>
        <v>7679.129280092925</v>
      </c>
      <c r="K37" s="965">
        <f>ABS($H$1/K36)</f>
        <v>69.99968460205929</v>
      </c>
      <c r="L37" s="965"/>
      <c r="M37" s="967" t="s">
        <v>222</v>
      </c>
      <c r="N37"/>
      <c r="O37" s="995"/>
    </row>
    <row r="38" spans="7:15" ht="20" hidden="1" x14ac:dyDescent="0.2">
      <c r="G38" s="1000"/>
      <c r="H38" s="63"/>
      <c r="I38"/>
      <c r="J38" s="1733">
        <f>ABS($E$20/BQ53)*2</f>
        <v>62.794348508634222</v>
      </c>
      <c r="K38" s="1733"/>
      <c r="L38" s="1733"/>
      <c r="M38" s="1734" t="s">
        <v>350</v>
      </c>
      <c r="N38" s="1730" t="s">
        <v>352</v>
      </c>
      <c r="O38" s="995"/>
    </row>
    <row r="39" spans="7:15" ht="19" hidden="1" thickBot="1" x14ac:dyDescent="0.25">
      <c r="G39" s="998"/>
      <c r="H39"/>
      <c r="I39"/>
      <c r="J39" s="59"/>
      <c r="K39" s="59"/>
      <c r="L39" s="59"/>
      <c r="M39" s="59"/>
      <c r="N39"/>
      <c r="O39" s="995"/>
    </row>
    <row r="40" spans="7:15" ht="24" hidden="1" thickBot="1" x14ac:dyDescent="0.3"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/>
      <c r="O40" s="995"/>
    </row>
    <row r="41" spans="7:15" ht="20" hidden="1" x14ac:dyDescent="0.2"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</row>
    <row r="42" spans="7:15" ht="23" hidden="1" x14ac:dyDescent="0.25">
      <c r="G42" s="1002" t="s">
        <v>245</v>
      </c>
      <c r="H42" s="1049">
        <f>SUM(BQ127:CA127)</f>
        <v>8</v>
      </c>
      <c r="I42"/>
      <c r="J42" s="963">
        <f>+H43/H8*BQ53/2</f>
        <v>229.32000000000002</v>
      </c>
      <c r="K42" s="963">
        <f>((H8-H43)/H8)*BQ53/2</f>
        <v>-101.92000000000002</v>
      </c>
      <c r="L42" s="963">
        <f>+BQ53/2</f>
        <v>127.4</v>
      </c>
      <c r="M42" s="961" t="s">
        <v>223</v>
      </c>
      <c r="N42"/>
      <c r="O42" s="995"/>
    </row>
    <row r="43" spans="7:15" ht="20" hidden="1" x14ac:dyDescent="0.2">
      <c r="G43" s="994" t="s">
        <v>243</v>
      </c>
      <c r="H43" s="1048">
        <f>$H$5-((H42-1)*$E$2)</f>
        <v>387</v>
      </c>
      <c r="I43"/>
      <c r="J43" s="965">
        <f>ABS($H$1/J42)</f>
        <v>78.492935635792776</v>
      </c>
      <c r="K43" s="965">
        <f>ABS($H$1/K42)</f>
        <v>176.60910518053373</v>
      </c>
      <c r="L43" s="965">
        <f>ABS($H$1/L42)</f>
        <v>141.28728414442699</v>
      </c>
      <c r="M43" s="967" t="s">
        <v>222</v>
      </c>
      <c r="N43"/>
      <c r="O43" s="995"/>
    </row>
    <row r="44" spans="7:15" ht="20" hidden="1" x14ac:dyDescent="0.2">
      <c r="G44" s="1000"/>
      <c r="H44" s="63"/>
      <c r="I44"/>
      <c r="J44" s="1733"/>
      <c r="K44" s="1733"/>
      <c r="L44" s="1733">
        <f>ABS($E$20/BQ53)*2</f>
        <v>62.794348508634222</v>
      </c>
      <c r="M44" s="1734" t="s">
        <v>350</v>
      </c>
      <c r="N44" s="1730" t="s">
        <v>352</v>
      </c>
      <c r="O44" s="995"/>
    </row>
    <row r="45" spans="7:15" ht="21" hidden="1" thickBot="1" x14ac:dyDescent="0.25">
      <c r="G45" s="998"/>
      <c r="H45" s="1069" t="s">
        <v>263</v>
      </c>
      <c r="I45"/>
      <c r="J45" s="59"/>
      <c r="K45" s="59"/>
      <c r="L45" s="59"/>
      <c r="M45" s="59"/>
      <c r="N45"/>
      <c r="O45" s="995"/>
    </row>
    <row r="46" spans="7:15" ht="21" hidden="1" thickBot="1" x14ac:dyDescent="0.25"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</row>
    <row r="47" spans="7:15" ht="23" hidden="1" x14ac:dyDescent="0.25">
      <c r="G47" s="1002" t="s">
        <v>245</v>
      </c>
      <c r="H47" s="1050">
        <f>SUM(CQ127:DA127)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</row>
    <row r="48" spans="7:15" ht="20" hidden="1" x14ac:dyDescent="0.2">
      <c r="G48" s="994" t="s">
        <v>243</v>
      </c>
      <c r="H48" s="1071">
        <f>($E$2*(H47-1))-$H$4</f>
        <v>-903</v>
      </c>
      <c r="I48"/>
      <c r="J48" s="963">
        <f>+BQ53/2</f>
        <v>127.4</v>
      </c>
      <c r="K48" s="963">
        <f>((H8-H48)/H8)*BQ53/2</f>
        <v>662.48</v>
      </c>
      <c r="L48" s="963">
        <f>+H48/H8*BQ53/2</f>
        <v>-535.08000000000004</v>
      </c>
      <c r="M48" s="961" t="s">
        <v>223</v>
      </c>
      <c r="N48"/>
      <c r="O48" s="995"/>
    </row>
    <row r="49" spans="2:144" ht="20" hidden="1" x14ac:dyDescent="0.2">
      <c r="G49" s="998"/>
      <c r="H49"/>
      <c r="I49"/>
      <c r="J49" s="965">
        <f>ABS($H$1/J48)</f>
        <v>141.28728414442699</v>
      </c>
      <c r="K49" s="965">
        <f>ABS($H$1/K48)</f>
        <v>27.170631566235961</v>
      </c>
      <c r="L49" s="965">
        <f>ABS($H$1/L48)</f>
        <v>33.639829558196901</v>
      </c>
      <c r="M49" s="967" t="s">
        <v>222</v>
      </c>
      <c r="O49" s="1581"/>
    </row>
    <row r="50" spans="2:144" ht="20" hidden="1" x14ac:dyDescent="0.2">
      <c r="G50" s="998"/>
      <c r="H50"/>
      <c r="I50"/>
      <c r="J50" s="1733">
        <f>ABS($E$20/BQ53)*2</f>
        <v>62.794348508634222</v>
      </c>
      <c r="K50" s="1733"/>
      <c r="L50" s="1733"/>
      <c r="M50" s="1734" t="s">
        <v>350</v>
      </c>
      <c r="N50" s="1730" t="s">
        <v>352</v>
      </c>
      <c r="O50" s="995"/>
    </row>
    <row r="51" spans="2:144" ht="19" hidden="1" thickBot="1" x14ac:dyDescent="0.25">
      <c r="G51" s="998"/>
      <c r="H51"/>
      <c r="I51"/>
      <c r="J51" s="59"/>
      <c r="K51" s="59"/>
      <c r="L51" s="59"/>
      <c r="M51" s="59"/>
      <c r="N51"/>
      <c r="O51" s="995"/>
    </row>
    <row r="52" spans="2:144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</row>
    <row r="53" spans="2:144" ht="29.25" customHeight="1" thickBot="1" x14ac:dyDescent="0.3"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E53" s="64"/>
      <c r="BF53" s="64"/>
      <c r="BG53" s="64"/>
      <c r="BH53" s="64"/>
      <c r="BO53" s="64"/>
      <c r="BP53" s="75" t="s">
        <v>25</v>
      </c>
      <c r="BQ53" s="1814">
        <f>+C7</f>
        <v>254.8</v>
      </c>
      <c r="BR53" s="1814"/>
      <c r="BS53" s="76" t="s">
        <v>17</v>
      </c>
      <c r="BT53" s="76"/>
      <c r="BU53" s="77" t="s">
        <v>314</v>
      </c>
      <c r="BV53" s="78"/>
      <c r="BW53" s="78"/>
      <c r="BX53" s="78"/>
      <c r="BY53" s="78"/>
      <c r="BZ53" s="78"/>
      <c r="CA53" s="78"/>
      <c r="CB53" s="78"/>
      <c r="CC53" s="78"/>
      <c r="CD53" s="78"/>
      <c r="CE53" s="78"/>
      <c r="CF53" s="78"/>
      <c r="CG53" s="78"/>
      <c r="CH53" s="78"/>
      <c r="CI53" s="78"/>
      <c r="CJ53" s="78"/>
      <c r="CK53" s="78"/>
      <c r="CL53" s="78"/>
      <c r="CM53" s="78"/>
      <c r="CN53" s="78"/>
      <c r="CO53" s="78"/>
      <c r="CP53" s="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</row>
    <row r="54" spans="2:144" s="64" customFormat="1" ht="42.75" customHeight="1" thickBot="1" x14ac:dyDescent="0.3">
      <c r="B54" s="73"/>
      <c r="C54" s="73"/>
      <c r="G54" s="994" t="s">
        <v>243</v>
      </c>
      <c r="H54" s="956"/>
      <c r="I54"/>
      <c r="J54" s="963">
        <f>+((H6-D3)/H6)*BQ53</f>
        <v>162.96285151687229</v>
      </c>
      <c r="K54" s="963"/>
      <c r="L54" s="963">
        <f>+(D3/H6)*BQ53</f>
        <v>91.83714848312772</v>
      </c>
      <c r="M54" s="961" t="s">
        <v>223</v>
      </c>
      <c r="N54"/>
      <c r="O54" s="995"/>
      <c r="BD54"/>
      <c r="BE54" s="85"/>
      <c r="BF54" s="85"/>
      <c r="BG54" s="85"/>
      <c r="BH54" s="85"/>
      <c r="BI54"/>
      <c r="BJ54"/>
      <c r="BK54"/>
      <c r="BL54"/>
      <c r="BM54" s="81" t="b">
        <f>AND(BQ55&gt;0,CO55&gt;0)</f>
        <v>1</v>
      </c>
      <c r="BN54" s="952" t="str">
        <f>IF(BM54=TRUE,"","negative force at the motor")</f>
        <v/>
      </c>
      <c r="BO54" s="1095" t="s">
        <v>128</v>
      </c>
      <c r="BP54" s="740" t="s">
        <v>27</v>
      </c>
      <c r="BQ54" s="776" t="s">
        <v>28</v>
      </c>
      <c r="BR54" s="777"/>
      <c r="BS54" s="777"/>
      <c r="BT54" s="777"/>
      <c r="BU54" s="777"/>
      <c r="BV54" s="777"/>
      <c r="BW54" s="777"/>
      <c r="BX54" s="777"/>
      <c r="BY54" s="777"/>
      <c r="BZ54" s="777"/>
      <c r="CA54" s="777"/>
      <c r="CB54" s="777"/>
      <c r="CC54" s="777"/>
      <c r="CD54" s="777"/>
      <c r="CE54" s="777"/>
      <c r="CF54" s="777"/>
      <c r="CG54" s="777"/>
      <c r="CH54" s="777"/>
      <c r="CI54" s="884"/>
      <c r="CJ54" s="777"/>
      <c r="CK54" s="885"/>
      <c r="CL54" s="885"/>
      <c r="CM54" s="885"/>
      <c r="CN54" s="885"/>
      <c r="CO54" s="777"/>
      <c r="CP54" s="782" t="s">
        <v>29</v>
      </c>
      <c r="CQ54" s="1801"/>
      <c r="CR54" s="1801"/>
      <c r="CS54" s="1801"/>
      <c r="CT54" s="1801"/>
      <c r="CU54" s="1801"/>
      <c r="CV54" s="1801"/>
      <c r="CW54" s="1801"/>
      <c r="CX54" s="1801"/>
      <c r="CY54" s="1801"/>
      <c r="CZ54" s="1801"/>
      <c r="DA54" s="1802"/>
      <c r="DB54" s="78"/>
      <c r="DC54" s="78"/>
      <c r="DD54" s="78"/>
      <c r="DE54"/>
      <c r="DF54"/>
      <c r="DG54"/>
      <c r="DH54"/>
      <c r="DI54"/>
      <c r="DJ54"/>
      <c r="DK54"/>
      <c r="DL54"/>
      <c r="DM54"/>
      <c r="DN54"/>
      <c r="DO54"/>
      <c r="DP54"/>
      <c r="DQ54"/>
      <c r="DR54"/>
      <c r="DS54"/>
      <c r="DT54"/>
      <c r="DU54"/>
      <c r="DV54"/>
      <c r="DW54"/>
      <c r="DX54"/>
      <c r="DY54"/>
      <c r="DZ54"/>
      <c r="EA54"/>
      <c r="EB54"/>
      <c r="EC54"/>
      <c r="ED54"/>
      <c r="EE54"/>
      <c r="EF54"/>
      <c r="EG54"/>
      <c r="EH54"/>
      <c r="EI54"/>
      <c r="EJ54"/>
      <c r="EK54"/>
      <c r="EL54"/>
      <c r="EM54"/>
      <c r="EN54"/>
    </row>
    <row r="55" spans="2:144" ht="42.75" customHeight="1" thickBot="1" x14ac:dyDescent="0.3">
      <c r="G55" s="1000"/>
      <c r="H55" s="63"/>
      <c r="I55"/>
      <c r="J55" s="965">
        <f>ABS($H$1/J54)</f>
        <v>110.45462099156002</v>
      </c>
      <c r="K55" s="965"/>
      <c r="L55" s="965">
        <f>ABS($H$1/L54)</f>
        <v>195.99911688576603</v>
      </c>
      <c r="M55" s="967" t="s">
        <v>222</v>
      </c>
      <c r="N55"/>
      <c r="O55" s="995"/>
      <c r="U55" s="114"/>
      <c r="BE55" s="85"/>
      <c r="BF55" s="85"/>
      <c r="BG55" s="85"/>
      <c r="BH55" s="85"/>
      <c r="BL55" s="968">
        <v>1</v>
      </c>
      <c r="BM55" s="1762" t="b">
        <f>AND(BO55&gt;=10,$BB$138&gt;=10,$BA$138&gt;=10,$BB$171&gt;=10,$BA$171&gt;=10,$BA$195&gt;=10,$BB$195&gt;=10)</f>
        <v>1</v>
      </c>
      <c r="BN55" s="84" t="str">
        <f>IF(BM55=TRUE,"O K","OVERLOAD")</f>
        <v>O K</v>
      </c>
      <c r="BO55" s="982">
        <f>+MIN(J7:L8)</f>
        <v>48.917455741215868</v>
      </c>
      <c r="BP55" s="741" t="s">
        <v>180</v>
      </c>
      <c r="BQ55" s="1809">
        <f>+((D4-D5)/D4)*C7</f>
        <v>91.259196849448486</v>
      </c>
      <c r="BR55" s="1810"/>
      <c r="BS55" s="783"/>
      <c r="BT55" s="783"/>
      <c r="BU55" s="783"/>
      <c r="BV55" s="784"/>
      <c r="BW55" s="784"/>
      <c r="BX55" s="784"/>
      <c r="BY55" s="886"/>
      <c r="BZ55" s="886"/>
      <c r="CA55" s="886"/>
      <c r="CB55" s="886"/>
      <c r="CC55" s="886"/>
      <c r="CD55" s="886"/>
      <c r="CE55" s="886"/>
      <c r="CF55" s="886"/>
      <c r="CG55" s="886"/>
      <c r="CH55" s="886"/>
      <c r="CI55" s="887"/>
      <c r="CJ55" s="783"/>
      <c r="CK55" s="783"/>
      <c r="CL55" s="783"/>
      <c r="CM55" s="784"/>
      <c r="CN55" s="784"/>
      <c r="CO55" s="1799">
        <f>+(D5/D4)*C7</f>
        <v>163.54080315055151</v>
      </c>
      <c r="CP55" s="1800"/>
      <c r="CQ55" s="1803"/>
      <c r="CR55" s="1803"/>
      <c r="CS55" s="1803"/>
      <c r="CT55" s="1803"/>
      <c r="CU55" s="1803"/>
      <c r="CV55" s="1803"/>
      <c r="CW55" s="1803"/>
      <c r="CX55" s="1803"/>
      <c r="CY55" s="1803"/>
      <c r="CZ55" s="1803"/>
      <c r="DA55" s="1804"/>
      <c r="DB55" s="78"/>
      <c r="DC55" s="78"/>
      <c r="DD55" s="78"/>
    </row>
    <row r="56" spans="2:144" ht="21" customHeight="1" thickBot="1" x14ac:dyDescent="0.3">
      <c r="G56" s="1000"/>
      <c r="H56" s="63"/>
      <c r="J56" s="1733">
        <f>ABS($E$20/BQ53)*2</f>
        <v>62.794348508634222</v>
      </c>
      <c r="K56" s="1733"/>
      <c r="L56" s="1733"/>
      <c r="M56" s="1734" t="s">
        <v>350</v>
      </c>
      <c r="N56" s="1730" t="s">
        <v>352</v>
      </c>
      <c r="O56" s="995"/>
      <c r="BE56" s="85"/>
      <c r="BF56" s="85"/>
      <c r="BG56" s="85"/>
      <c r="BH56" s="85"/>
      <c r="BN56" s="86"/>
      <c r="BO56" s="85"/>
      <c r="BP56" s="87"/>
      <c r="BQ56" s="88"/>
      <c r="BR56" s="88"/>
      <c r="BS56" s="87"/>
      <c r="BT56" s="87"/>
      <c r="BU56" s="87"/>
      <c r="BV56" s="87"/>
      <c r="BW56" s="87"/>
      <c r="BX56" s="87"/>
      <c r="BY56" s="87"/>
      <c r="BZ56" s="87"/>
      <c r="CA56" s="87"/>
      <c r="CB56" s="87"/>
      <c r="CC56" s="87"/>
      <c r="CD56" s="87"/>
      <c r="CE56" s="87"/>
      <c r="CF56" s="87"/>
      <c r="CG56" s="87"/>
      <c r="CH56" s="87"/>
      <c r="CJ56" s="76"/>
      <c r="CK56" s="76"/>
      <c r="CL56" s="88"/>
      <c r="CM56" s="89"/>
      <c r="CN56" s="89"/>
      <c r="CO56" s="89"/>
      <c r="CP56" s="89"/>
      <c r="CQ56" s="89"/>
      <c r="CR56" s="89"/>
      <c r="CS56" s="89"/>
      <c r="CT56" s="89"/>
      <c r="CU56" s="89"/>
      <c r="CV56" s="89"/>
      <c r="CW56" s="89"/>
      <c r="CX56" s="89"/>
      <c r="CY56" s="89"/>
      <c r="CZ56" s="89"/>
      <c r="DA56" s="89"/>
      <c r="DB56" s="89"/>
      <c r="DC56" s="78"/>
      <c r="DD56" s="78"/>
    </row>
    <row r="57" spans="2:144" ht="42.75" customHeight="1" thickBot="1" x14ac:dyDescent="0.3">
      <c r="F57" s="486"/>
      <c r="G57" s="998"/>
      <c r="H57"/>
      <c r="I57"/>
      <c r="J57"/>
      <c r="K57"/>
      <c r="L57"/>
      <c r="M57"/>
      <c r="N57"/>
      <c r="O57" s="995"/>
      <c r="BE57" s="85"/>
      <c r="BF57" s="85"/>
      <c r="BG57" s="85"/>
      <c r="BH57" s="85"/>
      <c r="BM57" s="81" t="b">
        <f>AND(CB58&gt;0,CZ58&gt;0)</f>
        <v>1</v>
      </c>
      <c r="BN57" s="952" t="str">
        <f>IF(BM57=TRUE,"","negative force at the motor")</f>
        <v/>
      </c>
      <c r="BO57" s="1095" t="s">
        <v>128</v>
      </c>
      <c r="BP57" s="742" t="s">
        <v>27</v>
      </c>
      <c r="BQ57" s="1833"/>
      <c r="BR57" s="1834"/>
      <c r="BS57" s="1834"/>
      <c r="BT57" s="1834"/>
      <c r="BU57" s="1834"/>
      <c r="BV57" s="1834"/>
      <c r="BW57" s="1834"/>
      <c r="BX57" s="1834"/>
      <c r="BY57" s="1834"/>
      <c r="BZ57" s="1834"/>
      <c r="CA57" s="1834"/>
      <c r="CB57" s="772" t="s">
        <v>28</v>
      </c>
      <c r="CC57" s="774"/>
      <c r="CD57" s="774"/>
      <c r="CE57" s="774"/>
      <c r="CF57" s="774"/>
      <c r="CG57" s="774"/>
      <c r="CH57" s="774"/>
      <c r="CI57" s="774"/>
      <c r="CJ57" s="774"/>
      <c r="CK57" s="774"/>
      <c r="CL57" s="774"/>
      <c r="CM57" s="774"/>
      <c r="CN57" s="888"/>
      <c r="CO57" s="765"/>
      <c r="CP57" s="765"/>
      <c r="CQ57" s="765"/>
      <c r="CR57" s="765"/>
      <c r="CS57" s="889"/>
      <c r="CT57" s="889"/>
      <c r="CU57" s="888"/>
      <c r="CV57" s="888"/>
      <c r="CW57" s="888"/>
      <c r="CX57" s="888"/>
      <c r="CY57" s="888"/>
      <c r="CZ57" s="765"/>
      <c r="DA57" s="766" t="s">
        <v>29</v>
      </c>
      <c r="DB57" s="90"/>
      <c r="DC57" s="78"/>
      <c r="DD57" s="78"/>
    </row>
    <row r="58" spans="2:144" ht="42.75" customHeight="1" thickBot="1" x14ac:dyDescent="0.3">
      <c r="G58" s="998"/>
      <c r="H58"/>
      <c r="I58"/>
      <c r="J58"/>
      <c r="K58"/>
      <c r="L58"/>
      <c r="M58"/>
      <c r="N58"/>
      <c r="O58" s="995"/>
      <c r="BL58" s="968">
        <v>2</v>
      </c>
      <c r="BM58" s="1762" t="b">
        <f>AND(BO58&gt;=10,$BB$138&gt;=10,$BA$138&gt;=10,$BB$171&gt;=10,$BA$171&gt;=10,$BA$195&gt;=10,$BB$195&gt;=10)</f>
        <v>1</v>
      </c>
      <c r="BN58" s="84" t="str">
        <f>IF(BM58=TRUE,"O K","OVERLOAD")</f>
        <v>O K</v>
      </c>
      <c r="BO58" s="982">
        <f>+MIN(J13:L14)</f>
        <v>39.336937206118897</v>
      </c>
      <c r="BP58" s="743" t="s">
        <v>126</v>
      </c>
      <c r="BQ58" s="1835"/>
      <c r="BR58" s="1836"/>
      <c r="BS58" s="1836"/>
      <c r="BT58" s="1836"/>
      <c r="BU58" s="1836"/>
      <c r="BV58" s="1836"/>
      <c r="BW58" s="1836"/>
      <c r="BX58" s="1836"/>
      <c r="BY58" s="1836"/>
      <c r="BZ58" s="1836"/>
      <c r="CA58" s="1836"/>
      <c r="CB58" s="1840">
        <f>+((D4-D3)/D4)*C7</f>
        <v>203.37119684944849</v>
      </c>
      <c r="CC58" s="1841"/>
      <c r="CD58" s="890"/>
      <c r="CE58" s="890"/>
      <c r="CF58" s="890"/>
      <c r="CG58" s="890"/>
      <c r="CH58" s="890"/>
      <c r="CI58" s="890"/>
      <c r="CJ58" s="890"/>
      <c r="CK58" s="890"/>
      <c r="CL58" s="890"/>
      <c r="CM58" s="890"/>
      <c r="CN58" s="891"/>
      <c r="CO58" s="892"/>
      <c r="CP58" s="892"/>
      <c r="CQ58" s="892"/>
      <c r="CR58" s="892"/>
      <c r="CS58" s="893"/>
      <c r="CT58" s="893"/>
      <c r="CU58" s="883"/>
      <c r="CV58" s="883"/>
      <c r="CW58" s="883"/>
      <c r="CX58" s="883"/>
      <c r="CY58" s="883"/>
      <c r="CZ58" s="1797">
        <f>+(D3/D4)*C7</f>
        <v>51.428803150551516</v>
      </c>
      <c r="DA58" s="1798"/>
      <c r="DB58" s="92"/>
      <c r="DC58" s="78"/>
      <c r="DD58" s="78"/>
    </row>
    <row r="59" spans="2:144" ht="16" customHeight="1" thickBot="1" x14ac:dyDescent="0.3">
      <c r="G59" s="998"/>
      <c r="H59"/>
      <c r="I59"/>
      <c r="J59"/>
      <c r="K59"/>
      <c r="L59"/>
      <c r="M59"/>
      <c r="N59"/>
      <c r="O59" s="995"/>
      <c r="BN59" s="86"/>
      <c r="BO59" s="18"/>
      <c r="BP59" s="93"/>
      <c r="BQ59" s="93"/>
      <c r="BR59" s="93"/>
      <c r="BS59" s="93"/>
      <c r="BT59" s="93"/>
      <c r="BU59" s="93"/>
      <c r="BV59" s="93"/>
      <c r="BW59" s="93"/>
      <c r="BX59" s="93"/>
      <c r="BY59" s="94"/>
      <c r="BZ59" s="94"/>
      <c r="CA59" s="89"/>
      <c r="CB59" s="89"/>
      <c r="CC59" s="89"/>
      <c r="CD59" s="89"/>
      <c r="CE59" s="89"/>
      <c r="CF59" s="89"/>
      <c r="CG59" s="89"/>
      <c r="CH59" s="89"/>
      <c r="CI59" s="89"/>
      <c r="CJ59" s="89"/>
      <c r="CK59" s="89"/>
      <c r="CL59" s="89"/>
      <c r="CM59" s="89"/>
      <c r="CN59" s="37"/>
      <c r="CO59" s="95"/>
      <c r="CP59" s="95"/>
      <c r="CQ59" s="95"/>
      <c r="CR59" s="95"/>
      <c r="CS59" s="92"/>
      <c r="CT59" s="92"/>
      <c r="CU59" s="92"/>
      <c r="CV59" s="92"/>
      <c r="CW59" s="92"/>
      <c r="CX59" s="92"/>
      <c r="CY59" s="92"/>
      <c r="CZ59" s="92"/>
      <c r="DA59" s="92"/>
      <c r="DB59" s="92"/>
      <c r="DC59" s="78"/>
      <c r="DD59" s="78"/>
    </row>
    <row r="60" spans="2:144" ht="42.75" customHeight="1" thickBot="1" x14ac:dyDescent="0.25">
      <c r="E60" s="397"/>
      <c r="F60" s="397"/>
      <c r="G60" s="998"/>
      <c r="H60"/>
      <c r="I60"/>
      <c r="J60"/>
      <c r="K60"/>
      <c r="L60"/>
      <c r="M60"/>
      <c r="N60"/>
      <c r="O60" s="995"/>
      <c r="BM60" s="81" t="b">
        <f>AND(CB61&gt;0,CQ61&gt;0)</f>
        <v>1</v>
      </c>
      <c r="BN60" s="952" t="str">
        <f>IF(BM60=TRUE,"","negative force at the motor")</f>
        <v/>
      </c>
      <c r="BO60" s="1095" t="s">
        <v>128</v>
      </c>
      <c r="BP60" s="744" t="s">
        <v>27</v>
      </c>
      <c r="BQ60" s="1822"/>
      <c r="BR60" s="1823"/>
      <c r="BS60" s="1823"/>
      <c r="BT60" s="1823"/>
      <c r="BU60" s="1823"/>
      <c r="BV60" s="1823"/>
      <c r="BW60" s="1823"/>
      <c r="BX60" s="1823"/>
      <c r="BY60" s="1823"/>
      <c r="BZ60" s="1823"/>
      <c r="CA60" s="1823"/>
      <c r="CB60" s="894" t="s">
        <v>28</v>
      </c>
      <c r="CC60" s="895"/>
      <c r="CD60" s="895"/>
      <c r="CE60" s="895"/>
      <c r="CF60" s="895"/>
      <c r="CG60" s="895"/>
      <c r="CH60" s="895"/>
      <c r="CI60" s="896"/>
      <c r="CJ60" s="895"/>
      <c r="CK60" s="897"/>
      <c r="CL60" s="897"/>
      <c r="CM60" s="895"/>
      <c r="CN60" s="895"/>
      <c r="CO60" s="895"/>
      <c r="CP60" s="895"/>
      <c r="CQ60" s="895"/>
      <c r="CR60" s="898" t="s">
        <v>29</v>
      </c>
      <c r="CS60" s="1801"/>
      <c r="CT60" s="1801"/>
      <c r="CU60" s="1801"/>
      <c r="CV60" s="1801"/>
      <c r="CW60" s="1801"/>
      <c r="CX60" s="1801"/>
      <c r="CY60" s="1801"/>
      <c r="CZ60" s="1801"/>
      <c r="DA60" s="1802"/>
      <c r="DB60" s="89"/>
      <c r="DC60" s="78"/>
      <c r="DD60" s="78"/>
    </row>
    <row r="61" spans="2:144" ht="42.75" customHeight="1" thickBot="1" x14ac:dyDescent="0.3">
      <c r="E61" s="397"/>
      <c r="F61" s="397"/>
      <c r="G61" s="998"/>
      <c r="H61"/>
      <c r="I61"/>
      <c r="J61"/>
      <c r="K61"/>
      <c r="L61"/>
      <c r="M61"/>
      <c r="N61"/>
      <c r="O61" s="995"/>
      <c r="BL61" s="968">
        <v>3</v>
      </c>
      <c r="BM61" s="1762" t="b">
        <f>AND(BO61&gt;=10,$BB$138&gt;=10,$BA$138&gt;=10,$BB$171&gt;=10,$BA$171&gt;=10,$BA$195&gt;=10,$BB$195&gt;=10)</f>
        <v>1</v>
      </c>
      <c r="BN61" s="84" t="str">
        <f>IF(BM61=TRUE,"O K","OVERLOAD")</f>
        <v>O K</v>
      </c>
      <c r="BO61" s="983">
        <f>+$E$20/(MAX(CB61,CQ61))</f>
        <v>45.860385088258894</v>
      </c>
      <c r="BP61" s="745" t="s">
        <v>123</v>
      </c>
      <c r="BQ61" s="1824"/>
      <c r="BR61" s="1825"/>
      <c r="BS61" s="1825"/>
      <c r="BT61" s="1825"/>
      <c r="BU61" s="1825"/>
      <c r="BV61" s="1825"/>
      <c r="BW61" s="1825"/>
      <c r="BX61" s="1825"/>
      <c r="BY61" s="1825"/>
      <c r="BZ61" s="1825"/>
      <c r="CA61" s="1825"/>
      <c r="CB61" s="1807">
        <f>+((D2-D3)/D2)*C7</f>
        <v>174.44249507726326</v>
      </c>
      <c r="CC61" s="1808"/>
      <c r="CD61" s="899"/>
      <c r="CE61" s="899"/>
      <c r="CF61" s="899"/>
      <c r="CG61" s="899"/>
      <c r="CH61" s="899"/>
      <c r="CI61" s="900"/>
      <c r="CJ61" s="899"/>
      <c r="CK61" s="901"/>
      <c r="CL61" s="901"/>
      <c r="CM61" s="902"/>
      <c r="CN61" s="902"/>
      <c r="CO61" s="902"/>
      <c r="CP61" s="902"/>
      <c r="CQ61" s="1795">
        <f>+(D3/D2)*C7</f>
        <v>80.357504922736751</v>
      </c>
      <c r="CR61" s="1796"/>
      <c r="CS61" s="1803"/>
      <c r="CT61" s="1803"/>
      <c r="CU61" s="1803"/>
      <c r="CV61" s="1803"/>
      <c r="CW61" s="1803"/>
      <c r="CX61" s="1803"/>
      <c r="CY61" s="1803"/>
      <c r="CZ61" s="1803"/>
      <c r="DA61" s="1804"/>
      <c r="DB61" s="89"/>
      <c r="DC61" s="78"/>
      <c r="DD61" s="78"/>
    </row>
    <row r="62" spans="2:144" ht="16" customHeight="1" thickBot="1" x14ac:dyDescent="0.3">
      <c r="E62" s="397"/>
      <c r="F62" s="397"/>
      <c r="G62" s="998"/>
      <c r="H62"/>
      <c r="I62"/>
      <c r="J62"/>
      <c r="K62"/>
      <c r="L62"/>
      <c r="M62"/>
      <c r="N62"/>
      <c r="O62" s="995"/>
      <c r="BN62" s="86"/>
      <c r="BO62" s="18"/>
      <c r="BP62" s="93"/>
      <c r="BQ62" s="93"/>
      <c r="BR62" s="93"/>
      <c r="BS62" s="93"/>
      <c r="BT62" s="93"/>
      <c r="BU62" s="93"/>
      <c r="BV62" s="93"/>
      <c r="BW62" s="93"/>
      <c r="BX62" s="93"/>
      <c r="BY62" s="94"/>
      <c r="BZ62" s="94"/>
      <c r="CA62" s="89"/>
      <c r="CB62" s="89"/>
      <c r="CC62" s="89"/>
      <c r="CD62" s="89"/>
      <c r="CE62" s="89"/>
      <c r="CF62" s="89"/>
      <c r="CG62" s="89"/>
      <c r="CH62" s="89"/>
      <c r="CI62" s="89"/>
      <c r="CJ62" s="89"/>
      <c r="CK62" s="93"/>
      <c r="CL62" s="89"/>
      <c r="CM62" s="89"/>
      <c r="CN62" s="37"/>
      <c r="CO62" s="95"/>
      <c r="CP62" s="95"/>
      <c r="CQ62" s="95"/>
      <c r="CR62" s="95"/>
      <c r="CS62" s="92"/>
      <c r="CT62" s="92"/>
      <c r="CU62" s="92"/>
      <c r="CV62" s="92"/>
      <c r="CW62" s="92"/>
      <c r="CX62" s="92"/>
      <c r="CY62" s="92"/>
      <c r="CZ62" s="92"/>
      <c r="DA62" s="92"/>
      <c r="DB62" s="92"/>
      <c r="DC62" s="78"/>
      <c r="DD62" s="78"/>
    </row>
    <row r="63" spans="2:144" hidden="1" x14ac:dyDescent="0.2">
      <c r="B63" s="399"/>
      <c r="C63" s="399"/>
      <c r="D63" s="397"/>
      <c r="E63" s="397"/>
      <c r="F63" s="397"/>
      <c r="G63" s="998"/>
      <c r="H63"/>
      <c r="I63"/>
      <c r="J63"/>
      <c r="K63"/>
      <c r="L63"/>
      <c r="M63"/>
      <c r="N63"/>
      <c r="O63" s="995"/>
      <c r="U63" s="114"/>
      <c r="AB63" s="114"/>
      <c r="AC63" s="114"/>
      <c r="AD63" s="114"/>
      <c r="AE63" s="114"/>
      <c r="BE63" s="136"/>
      <c r="BF63" s="136"/>
      <c r="BG63" s="136"/>
      <c r="BH63" s="136"/>
      <c r="BN63" s="86"/>
    </row>
    <row r="64" spans="2:144" hidden="1" x14ac:dyDescent="0.2">
      <c r="B64" s="399"/>
      <c r="C64" s="399"/>
      <c r="D64" s="397"/>
      <c r="E64" s="397"/>
      <c r="F64" s="397"/>
      <c r="G64" s="998"/>
      <c r="H64"/>
      <c r="I64"/>
      <c r="J64"/>
      <c r="K64"/>
      <c r="L64"/>
      <c r="M64"/>
      <c r="N64"/>
      <c r="O64" s="995"/>
      <c r="U64" s="114"/>
      <c r="AB64" s="114"/>
      <c r="AC64" s="114"/>
      <c r="AD64" s="114"/>
      <c r="AE64" s="114"/>
      <c r="BE64" s="136"/>
      <c r="BF64" s="136"/>
      <c r="BG64" s="136"/>
      <c r="BH64" s="136"/>
      <c r="BN64" s="86"/>
    </row>
    <row r="65" spans="2:144" ht="23" hidden="1" x14ac:dyDescent="0.25">
      <c r="B65" s="399"/>
      <c r="C65" s="399"/>
      <c r="D65" s="397"/>
      <c r="E65" s="397"/>
      <c r="F65" s="397"/>
      <c r="G65" s="998"/>
      <c r="H65"/>
      <c r="I65"/>
      <c r="J65"/>
      <c r="K65"/>
      <c r="L65"/>
      <c r="M65"/>
      <c r="N65"/>
      <c r="O65" s="995"/>
      <c r="U65" s="114"/>
      <c r="AB65" s="114"/>
      <c r="AC65" s="114"/>
      <c r="AD65" s="114"/>
      <c r="AE65" s="114"/>
      <c r="BE65" s="136"/>
      <c r="BF65" s="136"/>
      <c r="BG65" s="136"/>
      <c r="BH65" s="136"/>
      <c r="BN65" s="86"/>
      <c r="BO65" s="17"/>
      <c r="BP65" s="177"/>
      <c r="BQ65" s="178"/>
      <c r="BR65" s="178"/>
      <c r="BS65" s="178"/>
      <c r="BT65" s="178"/>
      <c r="BU65" s="178"/>
      <c r="BV65" s="178"/>
      <c r="BW65" s="178"/>
      <c r="BX65" s="178"/>
      <c r="BY65" s="179"/>
      <c r="BZ65" s="179"/>
      <c r="CA65" s="180"/>
      <c r="CB65" s="180"/>
      <c r="CC65" s="180"/>
      <c r="CD65" s="180"/>
      <c r="CE65" s="180"/>
      <c r="CF65" s="180"/>
      <c r="CG65" s="180"/>
      <c r="CH65" s="180"/>
      <c r="CI65" s="37"/>
      <c r="CJ65" s="89"/>
      <c r="CK65" s="181"/>
      <c r="CL65" s="181"/>
      <c r="CM65" s="89"/>
      <c r="CN65" s="89"/>
      <c r="CO65" s="89"/>
      <c r="CP65" s="89"/>
      <c r="CQ65" s="89"/>
      <c r="CR65" s="89"/>
      <c r="CS65" s="89"/>
      <c r="CT65" s="89"/>
      <c r="CU65" s="89"/>
      <c r="CV65" s="89"/>
      <c r="CW65" s="178"/>
      <c r="CX65" s="178"/>
      <c r="CY65" s="178"/>
      <c r="CZ65" s="178"/>
      <c r="DA65" s="178"/>
      <c r="DB65" s="178"/>
      <c r="DC65" s="178"/>
      <c r="DD65" s="178"/>
    </row>
    <row r="66" spans="2:144" ht="24" hidden="1" thickBot="1" x14ac:dyDescent="0.3">
      <c r="B66" s="399"/>
      <c r="C66" s="399"/>
      <c r="D66" s="397"/>
      <c r="E66" s="397"/>
      <c r="F66" s="397"/>
      <c r="G66" s="998"/>
      <c r="H66"/>
      <c r="I66"/>
      <c r="J66"/>
      <c r="K66"/>
      <c r="L66"/>
      <c r="M66"/>
      <c r="N66"/>
      <c r="O66" s="995"/>
      <c r="U66" s="114"/>
      <c r="AB66" s="114"/>
      <c r="AC66" s="114"/>
      <c r="AD66" s="114"/>
      <c r="AE66" s="114"/>
      <c r="BE66" s="136"/>
      <c r="BF66" s="136"/>
      <c r="BG66" s="136"/>
      <c r="BH66" s="136"/>
      <c r="BN66" s="86"/>
      <c r="BO66" s="17"/>
      <c r="BP66" s="177"/>
      <c r="BQ66" s="178"/>
      <c r="BR66" s="178"/>
      <c r="BS66" s="178"/>
      <c r="BT66" s="178"/>
      <c r="BU66" s="178"/>
      <c r="BV66" s="178"/>
      <c r="BW66" s="178"/>
      <c r="BX66" s="178"/>
      <c r="BY66" s="179"/>
      <c r="BZ66" s="179"/>
      <c r="CA66" s="180"/>
      <c r="CB66" s="180"/>
      <c r="CC66" s="180"/>
      <c r="CD66" s="180"/>
      <c r="CE66" s="180"/>
      <c r="CF66" s="180"/>
      <c r="CG66" s="180"/>
      <c r="CH66" s="180"/>
      <c r="CI66" s="37"/>
      <c r="CJ66" s="89"/>
      <c r="CK66" s="181"/>
      <c r="CL66" s="181"/>
      <c r="CM66" s="89"/>
      <c r="CN66" s="89"/>
      <c r="CO66" s="89"/>
      <c r="CP66" s="89"/>
      <c r="CQ66" s="89"/>
      <c r="CR66" s="89"/>
      <c r="CS66" s="89"/>
      <c r="CT66" s="89"/>
      <c r="CU66" s="89"/>
      <c r="CV66" s="89"/>
      <c r="CW66" s="178"/>
      <c r="CX66" s="178"/>
      <c r="CY66" s="178"/>
      <c r="CZ66" s="178"/>
      <c r="DA66" s="178"/>
      <c r="DB66" s="178"/>
      <c r="DC66" s="178"/>
      <c r="DD66" s="178"/>
    </row>
    <row r="67" spans="2:144" ht="24" hidden="1" thickBot="1" x14ac:dyDescent="0.3">
      <c r="B67" s="399"/>
      <c r="C67" s="399"/>
      <c r="D67" s="397"/>
      <c r="E67" s="397"/>
      <c r="F67" s="397"/>
      <c r="G67" s="998"/>
      <c r="H67"/>
      <c r="I67"/>
      <c r="J67"/>
      <c r="K67"/>
      <c r="L67"/>
      <c r="M67"/>
      <c r="N67"/>
      <c r="O67" s="995"/>
      <c r="U67" s="114"/>
      <c r="AB67" s="114"/>
      <c r="AC67" s="114"/>
      <c r="AD67" s="114"/>
      <c r="AE67" s="114"/>
      <c r="BE67" s="136"/>
      <c r="BF67" s="136"/>
      <c r="BG67" s="136"/>
      <c r="BH67" s="136"/>
      <c r="BN67" s="86"/>
      <c r="BO67" s="17"/>
      <c r="BP67" s="177"/>
      <c r="BQ67" s="178"/>
      <c r="BR67" s="178"/>
      <c r="BS67" s="178"/>
      <c r="BT67" s="178"/>
      <c r="BU67" s="178"/>
      <c r="BV67" s="178"/>
      <c r="BW67" s="178"/>
      <c r="BX67" s="178"/>
      <c r="BY67" s="179"/>
      <c r="BZ67" s="179"/>
      <c r="CA67" s="182">
        <v>16</v>
      </c>
      <c r="CB67" s="180"/>
      <c r="CC67" s="180"/>
      <c r="CD67" s="180"/>
      <c r="CE67" s="180"/>
      <c r="CF67" s="180"/>
      <c r="CG67" s="180"/>
      <c r="CH67" s="180"/>
      <c r="CI67" s="37"/>
      <c r="CJ67" s="89"/>
      <c r="CK67" s="181"/>
      <c r="CL67" s="181"/>
      <c r="CM67" s="89"/>
      <c r="CN67" s="89"/>
      <c r="CO67" s="89"/>
      <c r="CP67" s="117" t="b">
        <f>IF(CQ85=27,15)</f>
        <v>0</v>
      </c>
      <c r="CQ67" s="183"/>
      <c r="CR67" s="103" t="b">
        <f>IF(CQ85=27,17)</f>
        <v>0</v>
      </c>
      <c r="CS67" s="89"/>
      <c r="CT67" s="89"/>
      <c r="CU67" s="89"/>
      <c r="CV67" s="89"/>
      <c r="CW67" s="178"/>
      <c r="CX67" s="178"/>
      <c r="CY67" s="178"/>
      <c r="CZ67" s="178"/>
      <c r="DA67" s="178"/>
      <c r="DB67" s="178"/>
      <c r="DC67" s="178"/>
      <c r="DD67" s="178"/>
      <c r="DG67" s="1814"/>
      <c r="DH67" s="1814"/>
      <c r="DI67" s="76"/>
      <c r="DJ67" s="76"/>
      <c r="DK67" s="77"/>
      <c r="DL67" s="78"/>
      <c r="DM67" s="78"/>
      <c r="DN67" s="78"/>
      <c r="DO67" s="78"/>
      <c r="DP67" s="78"/>
      <c r="DQ67" s="78"/>
      <c r="DR67" s="78"/>
      <c r="DS67" s="78"/>
      <c r="DT67" s="78"/>
      <c r="DU67" s="78"/>
      <c r="DV67" s="78"/>
      <c r="DW67" s="78"/>
      <c r="DX67" s="78"/>
      <c r="DY67" s="78"/>
      <c r="DZ67" s="78"/>
      <c r="EA67" s="78"/>
      <c r="EB67" s="78"/>
      <c r="EC67" s="78"/>
      <c r="ED67" s="78"/>
      <c r="EE67" s="78"/>
      <c r="EF67" s="78"/>
      <c r="EG67" s="78"/>
      <c r="EH67" s="78"/>
      <c r="EI67" s="78"/>
      <c r="EJ67" s="78"/>
      <c r="EK67" s="78"/>
      <c r="EL67" s="78"/>
      <c r="EM67" s="64"/>
      <c r="EN67" s="64"/>
    </row>
    <row r="68" spans="2:144" ht="24" hidden="1" thickBot="1" x14ac:dyDescent="0.3">
      <c r="B68" s="64"/>
      <c r="C68" s="399"/>
      <c r="E68" s="64"/>
      <c r="G68" s="998"/>
      <c r="H68"/>
      <c r="I68"/>
      <c r="J68"/>
      <c r="K68"/>
      <c r="L68"/>
      <c r="M68"/>
      <c r="N68"/>
      <c r="O68" s="995"/>
      <c r="U68" s="114"/>
      <c r="AB68" s="114"/>
      <c r="AC68" s="114"/>
      <c r="AD68" s="114"/>
      <c r="AE68" s="114"/>
      <c r="BE68" s="136"/>
      <c r="BF68" s="136"/>
      <c r="BG68" s="136"/>
      <c r="BH68" s="136"/>
      <c r="BN68" s="86"/>
      <c r="BO68" s="17"/>
      <c r="BP68" s="177"/>
      <c r="BQ68" s="178"/>
      <c r="BR68" s="178"/>
      <c r="BS68" s="178"/>
      <c r="BT68" s="178"/>
      <c r="BU68" s="178"/>
      <c r="BV68" s="178"/>
      <c r="BW68" s="178"/>
      <c r="BX68" s="178"/>
      <c r="BY68" s="179"/>
      <c r="BZ68" s="179"/>
      <c r="CA68" s="182">
        <v>15</v>
      </c>
      <c r="CB68" s="180"/>
      <c r="CC68" s="180"/>
      <c r="CD68" s="180"/>
      <c r="CE68" s="180"/>
      <c r="CF68" s="180"/>
      <c r="CG68" s="180"/>
      <c r="CH68" s="180"/>
      <c r="CI68" s="37"/>
      <c r="CJ68" s="89"/>
      <c r="CK68" s="181"/>
      <c r="CL68" s="181"/>
      <c r="CM68" s="89"/>
      <c r="CN68" s="117" t="b">
        <f>IF(CP85=26,13)</f>
        <v>0</v>
      </c>
      <c r="CO68" s="183"/>
      <c r="CP68" s="183"/>
      <c r="CQ68" s="183"/>
      <c r="CR68" s="103" t="b">
        <f>IF(CP85=26,17)</f>
        <v>0</v>
      </c>
      <c r="CS68" s="89"/>
      <c r="CT68" s="89"/>
      <c r="CU68" s="89"/>
      <c r="CV68" s="89"/>
      <c r="CW68" s="178"/>
      <c r="CX68" s="178"/>
      <c r="CY68" s="178"/>
      <c r="CZ68" s="178"/>
      <c r="DA68" s="178"/>
      <c r="DB68" s="178"/>
      <c r="DC68" s="178"/>
      <c r="DD68" s="178"/>
      <c r="EK68" s="78"/>
      <c r="EL68" s="78"/>
    </row>
    <row r="69" spans="2:144" ht="31" hidden="1" thickBot="1" x14ac:dyDescent="0.35">
      <c r="B69" s="67"/>
      <c r="C69" s="399"/>
      <c r="E69" s="68"/>
      <c r="G69" s="998"/>
      <c r="H69"/>
      <c r="I69"/>
      <c r="J69"/>
      <c r="K69"/>
      <c r="L69"/>
      <c r="M69"/>
      <c r="N69"/>
      <c r="O69" s="995"/>
      <c r="U69" s="114"/>
      <c r="AB69" s="114"/>
      <c r="AC69" s="114"/>
      <c r="AD69" s="114"/>
      <c r="AE69" s="114"/>
      <c r="BE69" s="136"/>
      <c r="BF69" s="136"/>
      <c r="BG69" s="136"/>
      <c r="BH69" s="136"/>
      <c r="BN69" s="86"/>
      <c r="BO69" s="17"/>
      <c r="BP69" s="177"/>
      <c r="BQ69" s="178"/>
      <c r="BR69" s="178"/>
      <c r="BS69" s="178"/>
      <c r="BT69" s="178"/>
      <c r="BU69" s="178"/>
      <c r="BV69" s="178"/>
      <c r="BW69" s="178"/>
      <c r="BX69" s="178"/>
      <c r="BY69" s="179"/>
      <c r="BZ69" s="179"/>
      <c r="CA69" s="182">
        <v>14</v>
      </c>
      <c r="CB69" s="180"/>
      <c r="CC69" s="180"/>
      <c r="CD69" s="180"/>
      <c r="CE69" s="180"/>
      <c r="CF69" s="180"/>
      <c r="CG69" s="180"/>
      <c r="CH69" s="180"/>
      <c r="CI69" s="37"/>
      <c r="CJ69" s="89"/>
      <c r="CK69" s="181"/>
      <c r="CL69" s="117" t="b">
        <f>IF(CO85=25,11)</f>
        <v>0</v>
      </c>
      <c r="CM69" s="183"/>
      <c r="CN69" s="184"/>
      <c r="CO69" s="184"/>
      <c r="CP69" s="184"/>
      <c r="CQ69" s="184"/>
      <c r="CR69" s="124" t="b">
        <f>IF(CO85=25,17)</f>
        <v>0</v>
      </c>
      <c r="CS69" s="89"/>
      <c r="CT69" s="89"/>
      <c r="CU69" s="89"/>
      <c r="CV69" s="89"/>
      <c r="CW69" s="178"/>
      <c r="CX69" s="178"/>
      <c r="CY69" s="178"/>
      <c r="CZ69" s="178"/>
      <c r="DA69" s="178"/>
      <c r="DB69" s="178"/>
      <c r="DC69" s="178"/>
      <c r="DD69" s="178"/>
      <c r="EK69" s="78"/>
      <c r="EL69" s="78"/>
    </row>
    <row r="70" spans="2:144" ht="21" hidden="1" thickBot="1" x14ac:dyDescent="0.25">
      <c r="B70" s="487"/>
      <c r="C70" s="487"/>
      <c r="D70" s="487"/>
      <c r="E70" s="487"/>
      <c r="G70" s="998"/>
      <c r="H70"/>
      <c r="I70"/>
      <c r="J70"/>
      <c r="K70"/>
      <c r="L70"/>
      <c r="M70"/>
      <c r="N70"/>
      <c r="O70" s="995"/>
      <c r="U70" s="114"/>
      <c r="AB70" s="114"/>
      <c r="AC70" s="114"/>
      <c r="AD70" s="114"/>
      <c r="AE70" s="114"/>
      <c r="BE70" s="136"/>
      <c r="BF70" s="136"/>
      <c r="BG70" s="136"/>
      <c r="BH70" s="136"/>
      <c r="BN70" s="86"/>
      <c r="BO70" s="1091"/>
      <c r="BP70" s="177"/>
      <c r="BQ70" s="178"/>
      <c r="BR70" s="178"/>
      <c r="BS70" s="178"/>
      <c r="BT70" s="178"/>
      <c r="BU70" s="178"/>
      <c r="BV70" s="178"/>
      <c r="BW70" s="178"/>
      <c r="BX70" s="178"/>
      <c r="CA70" s="182">
        <v>13</v>
      </c>
      <c r="CB70" s="178"/>
      <c r="CC70" s="177"/>
      <c r="CD70" s="177"/>
      <c r="CE70" s="177"/>
      <c r="CF70" s="177"/>
      <c r="CG70" s="177"/>
      <c r="CH70" s="177"/>
      <c r="CI70" s="177"/>
      <c r="CJ70" s="117" t="b">
        <f>IF(CN85=24,9)</f>
        <v>0</v>
      </c>
      <c r="CK70" s="185"/>
      <c r="CL70" s="186"/>
      <c r="CM70" s="122"/>
      <c r="CN70" s="186"/>
      <c r="CO70" s="122"/>
      <c r="CP70" s="122"/>
      <c r="CQ70" s="121"/>
      <c r="CR70" s="124" t="b">
        <f>IF(CN85=24,17)</f>
        <v>0</v>
      </c>
      <c r="CS70" s="78"/>
      <c r="CT70" s="78"/>
      <c r="CU70" s="78"/>
      <c r="CV70" s="78"/>
      <c r="CW70" s="78"/>
      <c r="CX70" s="78"/>
      <c r="CY70" s="78"/>
      <c r="CZ70" s="78"/>
      <c r="DA70" s="78"/>
      <c r="DB70" s="78"/>
      <c r="DC70" s="78"/>
      <c r="DD70" s="78"/>
      <c r="EK70" s="78"/>
      <c r="EL70" s="78"/>
    </row>
    <row r="71" spans="2:144" ht="21" hidden="1" thickBot="1" x14ac:dyDescent="0.25">
      <c r="B71" s="488"/>
      <c r="C71" s="489"/>
      <c r="D71" s="488"/>
      <c r="E71" s="488"/>
      <c r="G71" s="998"/>
      <c r="H71"/>
      <c r="I71"/>
      <c r="J71"/>
      <c r="K71"/>
      <c r="L71"/>
      <c r="M71"/>
      <c r="N71"/>
      <c r="O71" s="995"/>
      <c r="U71" s="114"/>
      <c r="AB71" s="114"/>
      <c r="AC71" s="114"/>
      <c r="AD71" s="114"/>
      <c r="AE71" s="114"/>
      <c r="BE71" s="136"/>
      <c r="BF71" s="136"/>
      <c r="BG71" s="136"/>
      <c r="BH71" s="136"/>
      <c r="BN71" s="86"/>
      <c r="BO71" s="1091"/>
      <c r="BP71" s="177"/>
      <c r="BQ71" s="177"/>
      <c r="BR71" s="178"/>
      <c r="BS71" s="177"/>
      <c r="BT71" s="177"/>
      <c r="BU71" s="177"/>
      <c r="CA71" s="182">
        <v>12</v>
      </c>
      <c r="CB71" s="178"/>
      <c r="CC71" s="177"/>
      <c r="CD71" s="177"/>
      <c r="CE71" s="177"/>
      <c r="CF71" s="177"/>
      <c r="CG71" s="177"/>
      <c r="CH71" s="117" t="b">
        <f>IF(CM85=23,7)</f>
        <v>0</v>
      </c>
      <c r="CI71" s="185"/>
      <c r="CJ71" s="185"/>
      <c r="CK71" s="118"/>
      <c r="CL71" s="185"/>
      <c r="CM71" s="185"/>
      <c r="CN71" s="185"/>
      <c r="CO71" s="118"/>
      <c r="CP71" s="118"/>
      <c r="CQ71" s="111"/>
      <c r="CR71" s="103" t="b">
        <f>IF(CM85=23,17)</f>
        <v>0</v>
      </c>
      <c r="CS71" s="78"/>
      <c r="CT71" s="78"/>
      <c r="CU71" s="78"/>
      <c r="CV71" s="78"/>
      <c r="CW71" s="78"/>
      <c r="CX71" s="78"/>
      <c r="CY71" s="78"/>
      <c r="CZ71" s="78"/>
      <c r="DA71" s="78"/>
      <c r="DB71" s="78"/>
      <c r="DC71" s="78"/>
      <c r="DD71" s="78"/>
      <c r="EK71" s="78"/>
      <c r="EL71" s="78"/>
    </row>
    <row r="72" spans="2:144" ht="21" hidden="1" thickBot="1" x14ac:dyDescent="0.25">
      <c r="B72" s="399"/>
      <c r="C72" s="399"/>
      <c r="G72" s="998"/>
      <c r="H72"/>
      <c r="I72"/>
      <c r="J72"/>
      <c r="K72"/>
      <c r="L72"/>
      <c r="M72"/>
      <c r="N72"/>
      <c r="O72" s="995"/>
      <c r="U72" s="114"/>
      <c r="AB72" s="114"/>
      <c r="AC72" s="114"/>
      <c r="AD72" s="114"/>
      <c r="AE72" s="114"/>
      <c r="BE72" s="136"/>
      <c r="BF72" s="136"/>
      <c r="BG72" s="136"/>
      <c r="BH72" s="136"/>
      <c r="BN72" s="86"/>
      <c r="BO72" s="1091"/>
      <c r="BP72" s="177"/>
      <c r="BQ72" s="177"/>
      <c r="BR72" s="178"/>
      <c r="BS72" s="177"/>
      <c r="BT72" s="177"/>
      <c r="BU72" s="177"/>
      <c r="CA72" s="182">
        <v>11</v>
      </c>
      <c r="CB72" s="178"/>
      <c r="CC72" s="177"/>
      <c r="CD72" s="177"/>
      <c r="CE72" s="177"/>
      <c r="CF72" s="117" t="b">
        <f>IF(CL85=22,5)</f>
        <v>0</v>
      </c>
      <c r="CG72" s="185"/>
      <c r="CH72" s="185"/>
      <c r="CI72" s="118"/>
      <c r="CJ72" s="185"/>
      <c r="CK72" s="118"/>
      <c r="CL72" s="185"/>
      <c r="CM72" s="118"/>
      <c r="CN72" s="185"/>
      <c r="CO72" s="118"/>
      <c r="CP72" s="118"/>
      <c r="CQ72" s="111"/>
      <c r="CR72" s="103" t="b">
        <f>IF(CL85=22,17)</f>
        <v>0</v>
      </c>
      <c r="CS72" s="78"/>
      <c r="CT72" s="78"/>
      <c r="CU72" s="78"/>
      <c r="CV72" s="78"/>
      <c r="CW72" s="78"/>
      <c r="CX72" s="78"/>
      <c r="CY72" s="78"/>
      <c r="CZ72" s="78"/>
      <c r="DA72" s="78"/>
      <c r="DB72" s="78"/>
      <c r="DC72" s="78"/>
      <c r="DD72" s="78"/>
      <c r="DG72" s="107"/>
      <c r="DH72" s="107"/>
      <c r="DI72" s="107"/>
      <c r="DJ72" s="107"/>
      <c r="DK72" s="107"/>
      <c r="DL72" s="108"/>
      <c r="DM72" s="107"/>
      <c r="DN72" s="107"/>
      <c r="DO72" s="107"/>
      <c r="DP72" s="107"/>
      <c r="DQ72" s="107"/>
      <c r="DR72" s="107"/>
      <c r="DS72" s="107"/>
      <c r="DT72" s="107"/>
      <c r="DU72" s="107"/>
      <c r="DV72" s="107"/>
      <c r="DW72" s="107"/>
      <c r="DX72" s="107"/>
      <c r="DY72" s="107"/>
      <c r="DZ72" s="107"/>
      <c r="EA72" s="107"/>
      <c r="EB72" s="107"/>
      <c r="EC72" s="107"/>
      <c r="ED72" s="108"/>
      <c r="EE72" s="78"/>
      <c r="EF72" s="78"/>
      <c r="EG72" s="78"/>
      <c r="EH72" s="78"/>
      <c r="EI72" s="78"/>
      <c r="EJ72" s="78"/>
      <c r="EK72" s="78"/>
      <c r="EL72" s="78"/>
    </row>
    <row r="73" spans="2:144" ht="21" hidden="1" thickBot="1" x14ac:dyDescent="0.25">
      <c r="B73" s="490"/>
      <c r="C73" s="399"/>
      <c r="D73" s="491"/>
      <c r="E73" s="492"/>
      <c r="F73" s="397"/>
      <c r="G73" s="998"/>
      <c r="H73"/>
      <c r="I73"/>
      <c r="J73"/>
      <c r="K73"/>
      <c r="L73"/>
      <c r="M73"/>
      <c r="N73"/>
      <c r="O73" s="995"/>
      <c r="U73" s="114"/>
      <c r="AB73" s="114"/>
      <c r="AC73" s="114"/>
      <c r="AD73" s="114"/>
      <c r="AE73" s="114"/>
      <c r="BE73" s="136"/>
      <c r="BF73" s="136"/>
      <c r="BG73" s="136"/>
      <c r="BH73" s="136"/>
      <c r="BN73" s="86"/>
      <c r="BO73" s="1091"/>
      <c r="BP73" s="177"/>
      <c r="BQ73" s="177"/>
      <c r="BR73" s="178"/>
      <c r="BS73" s="177"/>
      <c r="BT73" s="177"/>
      <c r="BU73" s="177"/>
      <c r="CA73" s="182">
        <v>10</v>
      </c>
      <c r="CB73" s="178"/>
      <c r="CC73" s="177"/>
      <c r="CD73" s="117" t="b">
        <f>IF(CK85=21,3)</f>
        <v>0</v>
      </c>
      <c r="CE73" s="185"/>
      <c r="CF73" s="185"/>
      <c r="CG73" s="118"/>
      <c r="CH73" s="118"/>
      <c r="CI73" s="118"/>
      <c r="CJ73" s="185"/>
      <c r="CK73" s="185"/>
      <c r="CL73" s="185"/>
      <c r="CM73" s="118"/>
      <c r="CN73" s="185"/>
      <c r="CO73" s="118"/>
      <c r="CP73" s="118"/>
      <c r="CQ73" s="111"/>
      <c r="CR73" s="103" t="b">
        <f>IF(CK85=21,17)</f>
        <v>0</v>
      </c>
      <c r="CS73" s="78"/>
      <c r="CT73" s="78"/>
      <c r="CU73" s="78"/>
      <c r="CV73" s="78"/>
      <c r="CW73" s="78"/>
      <c r="CX73" s="78"/>
      <c r="CY73" s="78"/>
      <c r="CZ73" s="78"/>
      <c r="DA73" s="78"/>
      <c r="DB73" s="78"/>
      <c r="DC73" s="78"/>
      <c r="DD73" s="78"/>
      <c r="DG73" s="107"/>
      <c r="DH73" s="107"/>
      <c r="DI73" s="107"/>
      <c r="DJ73" s="107"/>
      <c r="DK73" s="107"/>
      <c r="DL73" s="108"/>
      <c r="DM73" s="107"/>
      <c r="DN73" s="107"/>
      <c r="DO73" s="107"/>
      <c r="DP73" s="107"/>
      <c r="DQ73" s="107"/>
      <c r="DR73" s="107"/>
      <c r="DS73" s="107"/>
      <c r="DT73" s="107"/>
      <c r="DU73" s="107"/>
      <c r="DV73" s="107"/>
      <c r="DW73" s="107"/>
      <c r="DX73" s="107"/>
      <c r="DY73" s="107"/>
      <c r="DZ73" s="107"/>
      <c r="EA73" s="107"/>
      <c r="EB73" s="107"/>
      <c r="EC73" s="107"/>
      <c r="ED73" s="108"/>
      <c r="EE73" s="78"/>
      <c r="EF73" s="78"/>
      <c r="EG73" s="78"/>
      <c r="EH73" s="78"/>
      <c r="EI73" s="78"/>
      <c r="EJ73" s="78"/>
      <c r="EK73" s="78"/>
      <c r="EL73" s="78"/>
    </row>
    <row r="74" spans="2:144" ht="21" hidden="1" thickBot="1" x14ac:dyDescent="0.25">
      <c r="B74" s="488"/>
      <c r="C74" s="399"/>
      <c r="D74" s="488"/>
      <c r="E74" s="20"/>
      <c r="F74" s="397"/>
      <c r="G74" s="998"/>
      <c r="H74"/>
      <c r="I74"/>
      <c r="J74"/>
      <c r="K74"/>
      <c r="L74"/>
      <c r="M74"/>
      <c r="N74"/>
      <c r="O74" s="995"/>
      <c r="U74" s="114"/>
      <c r="AB74" s="114"/>
      <c r="AC74" s="114"/>
      <c r="AD74" s="114"/>
      <c r="AE74" s="114"/>
      <c r="BE74" s="136"/>
      <c r="BF74" s="136"/>
      <c r="BG74" s="136"/>
      <c r="BH74" s="136"/>
      <c r="BN74" s="86"/>
      <c r="BO74" s="1091"/>
      <c r="BP74" s="177"/>
      <c r="BQ74" s="177"/>
      <c r="BR74" s="178"/>
      <c r="BS74" s="177"/>
      <c r="BT74" s="177"/>
      <c r="BU74" s="177"/>
      <c r="CA74" s="182">
        <v>9</v>
      </c>
      <c r="CB74" s="117" t="b">
        <f>IF(CJ85=20,1)</f>
        <v>0</v>
      </c>
      <c r="CC74" s="185"/>
      <c r="CD74" s="185"/>
      <c r="CE74" s="118"/>
      <c r="CF74" s="185"/>
      <c r="CG74" s="185"/>
      <c r="CH74" s="185"/>
      <c r="CI74" s="185"/>
      <c r="CJ74" s="185"/>
      <c r="CK74" s="185"/>
      <c r="CL74" s="185"/>
      <c r="CM74" s="185"/>
      <c r="CN74" s="185"/>
      <c r="CO74" s="118"/>
      <c r="CP74" s="118"/>
      <c r="CQ74" s="111"/>
      <c r="CR74" s="103" t="b">
        <f>IF(CJ85=20,17)</f>
        <v>0</v>
      </c>
      <c r="CS74" s="78"/>
      <c r="CT74" s="78"/>
      <c r="CU74" s="78"/>
      <c r="CV74" s="78"/>
      <c r="CW74" s="78"/>
      <c r="CX74" s="78"/>
      <c r="CY74" s="78"/>
      <c r="CZ74" s="78"/>
      <c r="DA74" s="78"/>
      <c r="DB74" s="78"/>
      <c r="DC74" s="78"/>
      <c r="DD74" s="78"/>
      <c r="EK74" s="78"/>
      <c r="EL74" s="78"/>
    </row>
    <row r="75" spans="2:144" ht="21" hidden="1" thickBot="1" x14ac:dyDescent="0.25">
      <c r="B75" s="399"/>
      <c r="C75" s="399"/>
      <c r="F75" s="397"/>
      <c r="G75" s="998"/>
      <c r="H75"/>
      <c r="I75"/>
      <c r="J75"/>
      <c r="K75"/>
      <c r="L75"/>
      <c r="M75"/>
      <c r="N75"/>
      <c r="O75" s="995"/>
      <c r="U75" s="114"/>
      <c r="AB75" s="114"/>
      <c r="AC75" s="114"/>
      <c r="AD75" s="114"/>
      <c r="AE75" s="114"/>
      <c r="BE75" s="136"/>
      <c r="BF75" s="136"/>
      <c r="BG75" s="136"/>
      <c r="BH75" s="136"/>
      <c r="BN75" s="86"/>
      <c r="BO75" s="1091"/>
      <c r="BP75" s="177"/>
      <c r="BQ75" s="177"/>
      <c r="BR75" s="178"/>
      <c r="BS75" s="177"/>
      <c r="BT75" s="177"/>
      <c r="BU75" s="177"/>
      <c r="CA75" s="182">
        <v>8</v>
      </c>
      <c r="CB75" s="120" t="b">
        <f>IF(CI85=19,1)</f>
        <v>0</v>
      </c>
      <c r="CC75" s="122"/>
      <c r="CD75" s="186"/>
      <c r="CE75" s="186"/>
      <c r="CF75" s="186"/>
      <c r="CG75" s="186"/>
      <c r="CH75" s="186"/>
      <c r="CI75" s="186"/>
      <c r="CJ75" s="186"/>
      <c r="CK75" s="186"/>
      <c r="CL75" s="186"/>
      <c r="CM75" s="186"/>
      <c r="CN75" s="186"/>
      <c r="CO75" s="122"/>
      <c r="CP75" s="124" t="b">
        <f>IF(CI85=19,15)</f>
        <v>0</v>
      </c>
      <c r="CQ75" s="78"/>
      <c r="CR75" s="78"/>
      <c r="CS75" s="78"/>
      <c r="CT75" s="78"/>
      <c r="CU75" s="78"/>
      <c r="CV75" s="78"/>
      <c r="CW75" s="78"/>
      <c r="CX75" s="78"/>
      <c r="CY75" s="78"/>
      <c r="CZ75" s="78"/>
      <c r="DA75" s="78"/>
      <c r="DB75" s="78"/>
      <c r="DC75" s="78"/>
      <c r="DD75" s="78"/>
      <c r="EK75" s="78"/>
      <c r="EL75" s="78"/>
    </row>
    <row r="76" spans="2:144" ht="21" hidden="1" thickBot="1" x14ac:dyDescent="0.25">
      <c r="B76" s="399"/>
      <c r="C76" s="399"/>
      <c r="G76" s="998"/>
      <c r="H76"/>
      <c r="I76"/>
      <c r="J76"/>
      <c r="K76"/>
      <c r="L76"/>
      <c r="M76"/>
      <c r="N76"/>
      <c r="O76" s="995"/>
      <c r="U76" s="114"/>
      <c r="AB76" s="114"/>
      <c r="AC76" s="114"/>
      <c r="AD76" s="114"/>
      <c r="AE76" s="114"/>
      <c r="BE76" s="136"/>
      <c r="BF76" s="136"/>
      <c r="BG76" s="136"/>
      <c r="BH76" s="136"/>
      <c r="BN76" s="86"/>
      <c r="BO76" s="1091"/>
      <c r="BP76" s="177"/>
      <c r="BQ76" s="177"/>
      <c r="BR76" s="178"/>
      <c r="BS76" s="177"/>
      <c r="BT76" s="177"/>
      <c r="BU76" s="177"/>
      <c r="CA76" s="182">
        <v>7</v>
      </c>
      <c r="CB76" s="120" t="b">
        <f>IF(CH85=18,1)</f>
        <v>0</v>
      </c>
      <c r="CC76" s="186"/>
      <c r="CD76" s="186"/>
      <c r="CE76" s="186"/>
      <c r="CF76" s="186"/>
      <c r="CG76" s="186"/>
      <c r="CH76" s="186"/>
      <c r="CI76" s="186"/>
      <c r="CJ76" s="186"/>
      <c r="CK76" s="186"/>
      <c r="CL76" s="186"/>
      <c r="CM76" s="186"/>
      <c r="CN76" s="124" t="b">
        <f>IF(CH85=18,13)</f>
        <v>0</v>
      </c>
      <c r="CO76" s="178"/>
      <c r="CQ76" s="78"/>
      <c r="CR76" s="78"/>
      <c r="CS76" s="78"/>
      <c r="CT76" s="78"/>
      <c r="CU76" s="78"/>
      <c r="CV76" s="78"/>
      <c r="CW76" s="78"/>
      <c r="CX76" s="78"/>
      <c r="CY76" s="78"/>
      <c r="CZ76" s="78"/>
      <c r="DA76" s="78"/>
      <c r="DB76" s="78"/>
      <c r="DC76" s="78"/>
      <c r="DD76" s="78"/>
      <c r="EK76" s="78"/>
      <c r="EL76" s="78"/>
    </row>
    <row r="77" spans="2:144" ht="21" hidden="1" thickBot="1" x14ac:dyDescent="0.25">
      <c r="G77" s="998"/>
      <c r="H77"/>
      <c r="I77"/>
      <c r="J77"/>
      <c r="K77"/>
      <c r="L77"/>
      <c r="M77"/>
      <c r="N77"/>
      <c r="O77" s="995"/>
      <c r="U77" s="114"/>
      <c r="AB77" s="114"/>
      <c r="AC77" s="114"/>
      <c r="AD77" s="114"/>
      <c r="AE77" s="114"/>
      <c r="BE77" s="136"/>
      <c r="BF77" s="136"/>
      <c r="BG77" s="136"/>
      <c r="BH77" s="136"/>
      <c r="BN77" s="86"/>
      <c r="BO77" s="1091"/>
      <c r="BP77" s="177"/>
      <c r="BQ77" s="177"/>
      <c r="BR77" s="178"/>
      <c r="BS77" s="177"/>
      <c r="BT77" s="177"/>
      <c r="BU77" s="177"/>
      <c r="CA77" s="182">
        <v>6</v>
      </c>
      <c r="CB77" s="120">
        <f>IF(CG85=17,1)</f>
        <v>1</v>
      </c>
      <c r="CC77" s="186"/>
      <c r="CD77" s="186"/>
      <c r="CE77" s="186"/>
      <c r="CF77" s="186"/>
      <c r="CG77" s="186"/>
      <c r="CH77" s="186"/>
      <c r="CI77" s="186"/>
      <c r="CJ77" s="186"/>
      <c r="CK77" s="186"/>
      <c r="CL77" s="124">
        <f>IF(CG85=17,11)</f>
        <v>11</v>
      </c>
      <c r="CM77" s="177"/>
      <c r="CN77" s="177"/>
      <c r="CO77" s="178"/>
      <c r="CQ77" s="78"/>
      <c r="CR77" s="78"/>
      <c r="CS77" s="78"/>
      <c r="CT77" s="78"/>
      <c r="CU77" s="78"/>
      <c r="CV77" s="78"/>
      <c r="CW77" s="78"/>
      <c r="CX77" s="78"/>
      <c r="CY77" s="78"/>
      <c r="CZ77" s="78"/>
      <c r="DA77" s="78"/>
      <c r="DB77" s="78"/>
      <c r="DC77" s="78"/>
      <c r="DD77" s="78"/>
      <c r="EK77" s="78"/>
      <c r="EL77" s="78"/>
    </row>
    <row r="78" spans="2:144" ht="21" hidden="1" thickBot="1" x14ac:dyDescent="0.25">
      <c r="G78" s="998"/>
      <c r="H78"/>
      <c r="I78"/>
      <c r="J78"/>
      <c r="K78"/>
      <c r="L78"/>
      <c r="M78"/>
      <c r="N78"/>
      <c r="O78" s="995"/>
      <c r="U78" s="114"/>
      <c r="AB78" s="114"/>
      <c r="AC78" s="114"/>
      <c r="AD78" s="114"/>
      <c r="AE78" s="114"/>
      <c r="BE78" s="136"/>
      <c r="BF78" s="136"/>
      <c r="BG78" s="136"/>
      <c r="BH78" s="136"/>
      <c r="BN78" s="86"/>
      <c r="BO78" s="1091"/>
      <c r="BP78" s="177"/>
      <c r="BQ78" s="177"/>
      <c r="BR78" s="178"/>
      <c r="BS78" s="177"/>
      <c r="BT78" s="177"/>
      <c r="BU78" s="177"/>
      <c r="CA78" s="182">
        <v>5</v>
      </c>
      <c r="CB78" s="117" t="b">
        <f>IF(CF85=16,1)</f>
        <v>0</v>
      </c>
      <c r="CC78" s="185"/>
      <c r="CD78" s="185"/>
      <c r="CE78" s="118"/>
      <c r="CF78" s="185"/>
      <c r="CG78" s="118"/>
      <c r="CH78" s="185"/>
      <c r="CI78" s="185"/>
      <c r="CJ78" s="103" t="b">
        <f>IF(CF85=16,9)</f>
        <v>0</v>
      </c>
      <c r="CK78" s="177"/>
      <c r="CL78" s="177"/>
      <c r="CM78" s="177"/>
      <c r="CN78" s="177"/>
      <c r="CO78" s="178"/>
      <c r="CQ78" s="78"/>
      <c r="CR78" s="78"/>
      <c r="CS78" s="78"/>
      <c r="CT78" s="78"/>
      <c r="CU78" s="78"/>
      <c r="CV78" s="78"/>
      <c r="CW78" s="78"/>
      <c r="CX78" s="78"/>
      <c r="CY78" s="78"/>
      <c r="CZ78" s="78"/>
      <c r="DA78" s="78"/>
      <c r="DB78" s="78"/>
      <c r="DC78" s="78"/>
      <c r="DD78" s="78"/>
      <c r="EK78" s="78"/>
      <c r="EL78" s="78"/>
    </row>
    <row r="79" spans="2:144" ht="21" hidden="1" thickBot="1" x14ac:dyDescent="0.25">
      <c r="B79" s="406"/>
      <c r="C79" s="406"/>
      <c r="D79" s="407"/>
      <c r="E79" s="407"/>
      <c r="F79" s="407"/>
      <c r="G79" s="1008"/>
      <c r="H79"/>
      <c r="I79"/>
      <c r="J79"/>
      <c r="K79"/>
      <c r="L79"/>
      <c r="M79"/>
      <c r="N79"/>
      <c r="O79" s="995"/>
      <c r="BD79" s="126"/>
      <c r="BE79" s="136"/>
      <c r="BF79" s="136"/>
      <c r="BG79" s="136"/>
      <c r="BH79" s="136"/>
      <c r="BN79" s="86"/>
      <c r="BO79" s="1091"/>
      <c r="BP79" s="177"/>
      <c r="BQ79" s="177"/>
      <c r="BR79" s="178"/>
      <c r="BS79" s="177"/>
      <c r="BT79" s="177"/>
      <c r="BU79" s="177"/>
      <c r="CA79" s="182">
        <v>4</v>
      </c>
      <c r="CB79" s="117" t="b">
        <f>IF(CE85=15,1)</f>
        <v>0</v>
      </c>
      <c r="CC79" s="118"/>
      <c r="CD79" s="118"/>
      <c r="CE79" s="185"/>
      <c r="CF79" s="118"/>
      <c r="CG79" s="118"/>
      <c r="CH79" s="103" t="b">
        <f>IF(CE85=15,7)</f>
        <v>0</v>
      </c>
      <c r="CI79" s="177"/>
      <c r="CJ79" s="177"/>
      <c r="CK79" s="177"/>
      <c r="CL79" s="177"/>
      <c r="CM79" s="177"/>
      <c r="CN79" s="177"/>
      <c r="CO79" s="178"/>
      <c r="CQ79" s="78"/>
      <c r="CR79" s="78"/>
      <c r="CS79" s="78"/>
      <c r="CT79" s="78"/>
      <c r="CU79" s="78"/>
      <c r="CV79" s="78"/>
      <c r="CW79" s="78"/>
      <c r="CX79" s="78"/>
      <c r="CY79" s="78"/>
      <c r="CZ79" s="78"/>
      <c r="DA79" s="78"/>
      <c r="DB79" s="78"/>
      <c r="DC79" s="78"/>
      <c r="DD79" s="78"/>
      <c r="EK79" s="78"/>
      <c r="EL79" s="78"/>
    </row>
    <row r="80" spans="2:144" ht="21" hidden="1" thickBot="1" x14ac:dyDescent="0.25">
      <c r="G80" s="998"/>
      <c r="H80"/>
      <c r="I80"/>
      <c r="J80"/>
      <c r="K80"/>
      <c r="L80"/>
      <c r="M80"/>
      <c r="N80"/>
      <c r="O80" s="995"/>
      <c r="BD80" s="126"/>
      <c r="BE80" s="136"/>
      <c r="BF80" s="136"/>
      <c r="BG80" s="136"/>
      <c r="BH80" s="136"/>
      <c r="BN80" s="86"/>
      <c r="BO80" s="1091"/>
      <c r="BP80" s="177"/>
      <c r="BQ80" s="177"/>
      <c r="BR80" s="178"/>
      <c r="BS80" s="177"/>
      <c r="BT80" s="177"/>
      <c r="BU80" s="177"/>
      <c r="CA80" s="182">
        <v>3</v>
      </c>
      <c r="CB80" s="120" t="b">
        <f>IF(CD85=14,1)</f>
        <v>0</v>
      </c>
      <c r="CC80" s="186"/>
      <c r="CD80" s="186"/>
      <c r="CE80" s="186"/>
      <c r="CF80" s="124" t="b">
        <f>IF(CD85=14,5)</f>
        <v>0</v>
      </c>
      <c r="CG80" s="177"/>
      <c r="CH80" s="177"/>
      <c r="CI80" s="177"/>
      <c r="CJ80" s="177"/>
      <c r="CK80" s="177"/>
      <c r="CL80" s="177"/>
      <c r="CM80" s="177"/>
      <c r="CN80" s="177"/>
      <c r="CO80" s="178"/>
      <c r="CQ80" s="78"/>
      <c r="CR80" s="78"/>
      <c r="CS80" s="78"/>
      <c r="CT80" s="78"/>
      <c r="CU80" s="78"/>
      <c r="CV80" s="78"/>
      <c r="CW80" s="78"/>
      <c r="CX80" s="78"/>
      <c r="CY80" s="78"/>
      <c r="CZ80" s="78"/>
      <c r="DA80" s="78"/>
      <c r="DB80" s="78"/>
      <c r="DC80" s="78"/>
      <c r="DD80" s="78"/>
      <c r="EK80" s="78"/>
      <c r="EL80" s="78"/>
    </row>
    <row r="81" spans="2:142" ht="21" hidden="1" thickBot="1" x14ac:dyDescent="0.25">
      <c r="B81"/>
      <c r="G81" s="998"/>
      <c r="H81"/>
      <c r="I81"/>
      <c r="J81"/>
      <c r="K81"/>
      <c r="L81"/>
      <c r="M81"/>
      <c r="N81"/>
      <c r="O81" s="995"/>
      <c r="BD81" s="126"/>
      <c r="BE81" s="136"/>
      <c r="BF81" s="136"/>
      <c r="BG81" s="136"/>
      <c r="BH81" s="136"/>
      <c r="BN81" s="86"/>
      <c r="BO81" s="1091"/>
      <c r="BP81" s="177"/>
      <c r="BQ81" s="177"/>
      <c r="BR81" s="178"/>
      <c r="BS81" s="177"/>
      <c r="BT81" s="177"/>
      <c r="BU81" s="177"/>
      <c r="CA81" s="182">
        <v>2</v>
      </c>
      <c r="CB81" s="120" t="b">
        <f>IF(CC85=13,1)</f>
        <v>0</v>
      </c>
      <c r="CC81" s="186"/>
      <c r="CD81" s="124" t="b">
        <f>IF(CC85=13,3)</f>
        <v>0</v>
      </c>
      <c r="CE81" s="177"/>
      <c r="CF81" s="177"/>
      <c r="CG81" s="177"/>
      <c r="CH81" s="177"/>
      <c r="CI81" s="177"/>
      <c r="CJ81" s="177"/>
      <c r="CK81" s="177"/>
      <c r="CL81" s="177"/>
      <c r="CM81" s="177"/>
      <c r="CN81" s="177"/>
      <c r="CO81" s="178"/>
      <c r="CQ81" s="78"/>
      <c r="CR81" s="78"/>
      <c r="CS81" s="78"/>
      <c r="CT81" s="78"/>
      <c r="CU81" s="78"/>
      <c r="CV81" s="78"/>
      <c r="CW81" s="78"/>
      <c r="CX81" s="78"/>
      <c r="CY81" s="78"/>
      <c r="CZ81" s="78"/>
      <c r="DA81" s="78"/>
      <c r="DB81" s="78"/>
      <c r="DC81" s="78"/>
      <c r="DD81" s="78"/>
      <c r="EK81" s="78"/>
      <c r="EL81" s="78"/>
    </row>
    <row r="82" spans="2:142" ht="16" hidden="1" customHeight="1" thickBot="1" x14ac:dyDescent="0.25">
      <c r="B82" s="406"/>
      <c r="C82" s="406"/>
      <c r="D82" s="407"/>
      <c r="E82" s="407"/>
      <c r="F82" s="407"/>
      <c r="G82" s="998"/>
      <c r="H82"/>
      <c r="I82"/>
      <c r="J82"/>
      <c r="K82"/>
      <c r="L82"/>
      <c r="M82"/>
      <c r="N82"/>
      <c r="O82" s="995"/>
      <c r="BD82" s="126"/>
      <c r="BE82" s="136"/>
      <c r="BF82" s="136"/>
      <c r="BG82" s="136"/>
      <c r="BH82" s="136"/>
      <c r="BN82" s="86"/>
      <c r="BO82" s="1091"/>
      <c r="BP82" s="177"/>
      <c r="BQ82" s="177"/>
      <c r="BR82" s="178"/>
      <c r="BS82" s="177"/>
      <c r="BT82" s="177"/>
      <c r="BU82" s="177"/>
      <c r="BV82" s="76"/>
      <c r="BW82" s="177"/>
      <c r="CA82" s="177"/>
      <c r="CB82" s="177"/>
      <c r="CC82" s="177"/>
      <c r="CD82" s="177"/>
      <c r="CE82" s="177"/>
      <c r="CF82" s="177"/>
      <c r="CG82" s="177"/>
      <c r="CH82" s="177"/>
      <c r="CI82" s="177"/>
      <c r="CJ82" s="177"/>
      <c r="CK82" s="177"/>
      <c r="CL82" s="178"/>
      <c r="CM82" s="107"/>
      <c r="CN82" s="107"/>
      <c r="CO82" s="107"/>
      <c r="CQ82" s="78"/>
      <c r="CR82" s="78"/>
      <c r="CS82" s="78"/>
      <c r="CT82" s="78"/>
      <c r="CU82" s="78"/>
      <c r="CV82" s="78"/>
      <c r="CW82" s="78"/>
      <c r="CX82" s="78"/>
      <c r="CY82" s="78"/>
      <c r="CZ82" s="78"/>
      <c r="DA82" s="78"/>
      <c r="DB82" s="78"/>
      <c r="DC82" s="78"/>
      <c r="DD82" s="78"/>
      <c r="EK82" s="78"/>
      <c r="EL82" s="78"/>
    </row>
    <row r="83" spans="2:142" ht="42.75" customHeight="1" thickBot="1" x14ac:dyDescent="0.3">
      <c r="B83" s="406"/>
      <c r="C83" s="406"/>
      <c r="D83" s="407"/>
      <c r="E83" s="407"/>
      <c r="F83" s="407"/>
      <c r="G83" s="998"/>
      <c r="H83"/>
      <c r="I83"/>
      <c r="J83"/>
      <c r="K83" s="988">
        <v>5</v>
      </c>
      <c r="L83"/>
      <c r="M83" s="988">
        <v>51</v>
      </c>
      <c r="N83"/>
      <c r="O83" s="995"/>
      <c r="BD83" s="126"/>
      <c r="BE83" s="136"/>
      <c r="BF83" s="136"/>
      <c r="BG83" s="136"/>
      <c r="BH83" s="136"/>
      <c r="BI83" s="136"/>
      <c r="BK83" s="136"/>
      <c r="BL83" s="136"/>
      <c r="BM83" s="402"/>
      <c r="BN83" s="188"/>
      <c r="BO83" s="1095" t="s">
        <v>128</v>
      </c>
      <c r="BP83" s="746" t="s">
        <v>125</v>
      </c>
      <c r="BQ83" s="190"/>
      <c r="BR83" s="191"/>
      <c r="BS83" s="191"/>
      <c r="BT83" s="191"/>
      <c r="BU83" s="191"/>
      <c r="BV83" s="191"/>
      <c r="BW83" s="191"/>
      <c r="BX83" s="191"/>
      <c r="BY83" s="191"/>
      <c r="BZ83" s="191"/>
      <c r="CA83" s="191"/>
      <c r="CB83" s="758">
        <f>SUM(CB67:CB82)</f>
        <v>1</v>
      </c>
      <c r="CC83" s="759">
        <f t="shared" ref="CC83:CR83" si="0">SUM(CC67:CC82)</f>
        <v>0</v>
      </c>
      <c r="CD83" s="759">
        <f t="shared" si="0"/>
        <v>0</v>
      </c>
      <c r="CE83" s="759">
        <f t="shared" si="0"/>
        <v>0</v>
      </c>
      <c r="CF83" s="759">
        <f t="shared" si="0"/>
        <v>0</v>
      </c>
      <c r="CG83" s="759">
        <f t="shared" si="0"/>
        <v>0</v>
      </c>
      <c r="CH83" s="759">
        <f t="shared" si="0"/>
        <v>0</v>
      </c>
      <c r="CI83" s="759">
        <f t="shared" si="0"/>
        <v>0</v>
      </c>
      <c r="CJ83" s="759">
        <f t="shared" si="0"/>
        <v>0</v>
      </c>
      <c r="CK83" s="759">
        <f t="shared" si="0"/>
        <v>0</v>
      </c>
      <c r="CL83" s="759">
        <f t="shared" si="0"/>
        <v>11</v>
      </c>
      <c r="CM83" s="759">
        <f t="shared" si="0"/>
        <v>0</v>
      </c>
      <c r="CN83" s="759">
        <f t="shared" si="0"/>
        <v>0</v>
      </c>
      <c r="CO83" s="759">
        <f t="shared" si="0"/>
        <v>0</v>
      </c>
      <c r="CP83" s="759">
        <f t="shared" si="0"/>
        <v>0</v>
      </c>
      <c r="CQ83" s="759">
        <f t="shared" si="0"/>
        <v>0</v>
      </c>
      <c r="CR83" s="760">
        <f t="shared" si="0"/>
        <v>0</v>
      </c>
      <c r="CS83" s="191"/>
      <c r="CT83" s="191"/>
      <c r="CU83" s="192"/>
      <c r="CV83" s="192"/>
      <c r="CW83" s="192"/>
      <c r="CX83" s="192"/>
      <c r="CY83" s="192"/>
      <c r="CZ83" s="192"/>
      <c r="DA83" s="193"/>
      <c r="DB83" s="89"/>
      <c r="DC83" s="78"/>
      <c r="DD83" s="78"/>
      <c r="EK83" s="78"/>
      <c r="EL83" s="78"/>
    </row>
    <row r="84" spans="2:142" ht="42.75" customHeight="1" thickBot="1" x14ac:dyDescent="0.3"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BD84" s="136"/>
      <c r="BE84" s="136"/>
      <c r="BF84" s="136"/>
      <c r="BG84" s="136"/>
      <c r="BH84" s="136"/>
      <c r="BI84" s="136"/>
      <c r="BJ84" s="136"/>
      <c r="BK84" s="136"/>
      <c r="BL84" s="968">
        <v>4</v>
      </c>
      <c r="BM84" s="1762" t="b">
        <f>AND(BO84&gt;=10,$BB$138&gt;=10,$BA$138&gt;=10,$BB$171&gt;=10,$BA$171&gt;=10,$BA$195&gt;=10,$BB$195&gt;=10)</f>
        <v>1</v>
      </c>
      <c r="BN84" s="84" t="str">
        <f>IF(BM84=TRUE,"O K","OVERLOAD")</f>
        <v>O K</v>
      </c>
      <c r="BO84" s="982">
        <f>+$E$20/(BQ53/2)</f>
        <v>62.794348508634222</v>
      </c>
      <c r="BP84" s="194"/>
      <c r="BQ84" s="107"/>
      <c r="BR84" s="108"/>
      <c r="BS84" s="107"/>
      <c r="BT84" s="107"/>
      <c r="BU84" s="107"/>
      <c r="BV84" s="108"/>
      <c r="BW84" s="107"/>
      <c r="BX84" s="107"/>
      <c r="BY84" s="107"/>
      <c r="BZ84" s="107"/>
      <c r="CA84" s="107"/>
      <c r="CB84" s="107"/>
      <c r="CC84" s="107"/>
      <c r="CD84" s="107"/>
      <c r="CE84" s="107"/>
      <c r="CF84" s="107"/>
      <c r="CG84" s="107"/>
      <c r="CH84" s="107"/>
      <c r="CI84" s="107"/>
      <c r="CJ84" s="107"/>
      <c r="CK84" s="107"/>
      <c r="CL84" s="107"/>
      <c r="CM84" s="107"/>
      <c r="CN84" s="107"/>
      <c r="CO84" s="107"/>
      <c r="CP84" s="107"/>
      <c r="CQ84" s="107"/>
      <c r="CR84" s="107"/>
      <c r="CS84" s="78"/>
      <c r="CT84" s="78"/>
      <c r="CU84" s="78"/>
      <c r="CV84" s="78"/>
      <c r="CW84" s="78"/>
      <c r="CX84" s="78"/>
      <c r="CY84" s="78"/>
      <c r="CZ84" s="78"/>
      <c r="DA84" s="78"/>
      <c r="DB84" s="78"/>
      <c r="DC84" s="78"/>
      <c r="DD84" s="78"/>
      <c r="EK84" s="78"/>
      <c r="EL84" s="78"/>
    </row>
    <row r="85" spans="2:142" ht="60" hidden="1" customHeight="1" thickBot="1" x14ac:dyDescent="0.3">
      <c r="B85" s="408"/>
      <c r="C85" s="408"/>
      <c r="G85" s="998"/>
      <c r="H85"/>
      <c r="I85"/>
      <c r="J85" s="1067" t="s">
        <v>260</v>
      </c>
      <c r="K85" s="1052">
        <f>+MIN(J19:K20)</f>
        <v>31.397174254317111</v>
      </c>
      <c r="L85" s="1051">
        <f>+$E$20/(BQ53)</f>
        <v>31.397174254317111</v>
      </c>
      <c r="M85" s="1051">
        <f>+MIN(K25:L26)</f>
        <v>31.397174254317111</v>
      </c>
      <c r="N85"/>
      <c r="O85" s="995"/>
      <c r="U85" s="73"/>
      <c r="V85" s="73"/>
      <c r="W85" s="73"/>
      <c r="X85" s="73"/>
      <c r="Y85" s="73"/>
      <c r="Z85" s="73"/>
      <c r="AA85" s="73"/>
      <c r="AF85" s="73"/>
      <c r="AG85" s="73"/>
      <c r="AH85" s="73"/>
      <c r="AI85" s="73"/>
      <c r="AJ85" s="73"/>
      <c r="AK85" s="73"/>
      <c r="AL85" s="73"/>
      <c r="AM85" s="73"/>
      <c r="AN85" s="73"/>
      <c r="AO85" s="73"/>
      <c r="AP85" s="73"/>
      <c r="AQ85" s="73"/>
      <c r="AR85" s="73"/>
      <c r="AS85" s="73"/>
      <c r="AT85" s="73"/>
      <c r="AU85" s="73"/>
      <c r="AV85" s="73"/>
      <c r="AW85" s="73"/>
      <c r="AX85" s="73"/>
      <c r="AY85" s="73"/>
      <c r="AZ85" s="73"/>
      <c r="BA85" s="73"/>
      <c r="BB85" s="73"/>
      <c r="BC85" s="126"/>
      <c r="BD85" s="136"/>
      <c r="BE85" s="136"/>
      <c r="BF85" s="136"/>
      <c r="BG85" s="136"/>
      <c r="BH85" s="136"/>
      <c r="BI85" s="136"/>
      <c r="BJ85" s="136"/>
      <c r="BK85" s="136"/>
      <c r="BL85" s="136"/>
      <c r="BM85" s="402"/>
      <c r="BN85" s="188"/>
      <c r="BO85" s="1091"/>
      <c r="BP85" s="76"/>
      <c r="BQ85" s="195" t="b">
        <f>+BK174</f>
        <v>0</v>
      </c>
      <c r="BR85" s="195" t="b">
        <f>+BK175</f>
        <v>0</v>
      </c>
      <c r="BS85" s="195" t="b">
        <f>+BK176</f>
        <v>0</v>
      </c>
      <c r="BT85" s="195" t="b">
        <f>+BK177</f>
        <v>0</v>
      </c>
      <c r="BU85" s="195" t="b">
        <f>+BK178</f>
        <v>0</v>
      </c>
      <c r="BV85" s="195" t="b">
        <f>+BK179</f>
        <v>0</v>
      </c>
      <c r="BW85" s="195" t="b">
        <f>+BK180</f>
        <v>0</v>
      </c>
      <c r="BX85" s="195" t="b">
        <f>+BK181</f>
        <v>0</v>
      </c>
      <c r="BY85" s="195" t="b">
        <f>+BK182</f>
        <v>0</v>
      </c>
      <c r="BZ85" s="195" t="b">
        <f>+BK183</f>
        <v>0</v>
      </c>
      <c r="CA85" s="195" t="b">
        <f>+BK184</f>
        <v>0</v>
      </c>
      <c r="CB85" s="195" t="b">
        <f>+BK185</f>
        <v>0</v>
      </c>
      <c r="CC85" s="195" t="b">
        <f>+BK186</f>
        <v>0</v>
      </c>
      <c r="CD85" s="195" t="b">
        <f>+BK187</f>
        <v>0</v>
      </c>
      <c r="CE85" s="195" t="b">
        <f>+BK188</f>
        <v>0</v>
      </c>
      <c r="CF85" s="195" t="b">
        <f>+BK189</f>
        <v>0</v>
      </c>
      <c r="CG85" s="195">
        <f>+BK190</f>
        <v>17</v>
      </c>
      <c r="CH85" s="195" t="b">
        <f>+BK191</f>
        <v>0</v>
      </c>
      <c r="CI85" s="195" t="b">
        <f>+BK192</f>
        <v>0</v>
      </c>
      <c r="CJ85" s="195" t="b">
        <f>+BK193</f>
        <v>0</v>
      </c>
      <c r="CK85" s="195" t="b">
        <f>+BK194</f>
        <v>0</v>
      </c>
      <c r="CL85" s="195" t="b">
        <f>+BK195</f>
        <v>0</v>
      </c>
      <c r="CM85" s="195" t="b">
        <f>+BK196</f>
        <v>0</v>
      </c>
      <c r="CN85" s="195" t="b">
        <f>+BK197</f>
        <v>0</v>
      </c>
      <c r="CO85" s="195" t="b">
        <f>+BK198</f>
        <v>0</v>
      </c>
      <c r="CP85" s="195" t="b">
        <f>+BK199</f>
        <v>0</v>
      </c>
      <c r="CQ85" s="195" t="b">
        <f>+BK200</f>
        <v>0</v>
      </c>
      <c r="CR85" s="195" t="b">
        <f>+BK201</f>
        <v>0</v>
      </c>
      <c r="CS85" s="195" t="b">
        <f>+BK202</f>
        <v>0</v>
      </c>
      <c r="CT85" s="195" t="b">
        <f>+BK203</f>
        <v>0</v>
      </c>
      <c r="CU85" s="195" t="b">
        <f>+BK204</f>
        <v>0</v>
      </c>
      <c r="CV85" s="195" t="b">
        <f>+BK205</f>
        <v>0</v>
      </c>
      <c r="CW85" s="195" t="b">
        <f>+BK206</f>
        <v>0</v>
      </c>
      <c r="CX85" s="195" t="b">
        <f>+BK207</f>
        <v>0</v>
      </c>
      <c r="CY85" s="195" t="b">
        <f>+BK208</f>
        <v>0</v>
      </c>
      <c r="CZ85" s="195" t="b">
        <f>+BK209</f>
        <v>0</v>
      </c>
      <c r="DA85" s="195" t="b">
        <f>+BK210</f>
        <v>0</v>
      </c>
      <c r="DB85" s="196"/>
      <c r="DC85" s="78"/>
      <c r="DD85" s="78"/>
      <c r="EK85" s="78"/>
      <c r="EL85" s="78"/>
    </row>
    <row r="86" spans="2:142" ht="21" hidden="1" thickBot="1" x14ac:dyDescent="0.25">
      <c r="E86" s="208"/>
      <c r="F86" s="208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BD86" s="136"/>
      <c r="BE86" s="136"/>
      <c r="BF86" s="136"/>
      <c r="BG86" s="136"/>
      <c r="BH86" s="136"/>
      <c r="BI86" s="136"/>
      <c r="BJ86" s="136"/>
      <c r="BK86" s="136"/>
      <c r="BL86" s="136"/>
      <c r="BM86" s="402"/>
      <c r="BN86" s="188"/>
      <c r="BO86" s="1091"/>
      <c r="BP86" s="78"/>
      <c r="BQ86" s="196" t="b">
        <f>+BQ85</f>
        <v>0</v>
      </c>
      <c r="BR86" s="196" t="b">
        <f t="shared" ref="BR86:CI86" si="1">+BR85</f>
        <v>0</v>
      </c>
      <c r="BS86" s="196" t="b">
        <f t="shared" si="1"/>
        <v>0</v>
      </c>
      <c r="BT86" s="196" t="b">
        <f t="shared" si="1"/>
        <v>0</v>
      </c>
      <c r="BU86" s="196" t="b">
        <f t="shared" si="1"/>
        <v>0</v>
      </c>
      <c r="BV86" s="196" t="b">
        <f t="shared" si="1"/>
        <v>0</v>
      </c>
      <c r="BW86" s="196" t="b">
        <f>+BW85</f>
        <v>0</v>
      </c>
      <c r="BX86" s="196" t="b">
        <f t="shared" si="1"/>
        <v>0</v>
      </c>
      <c r="BY86" s="196" t="b">
        <f t="shared" si="1"/>
        <v>0</v>
      </c>
      <c r="BZ86" s="196" t="b">
        <f t="shared" si="1"/>
        <v>0</v>
      </c>
      <c r="CA86" s="196" t="b">
        <f t="shared" si="1"/>
        <v>0</v>
      </c>
      <c r="CB86" s="196" t="b">
        <f>+CB85</f>
        <v>0</v>
      </c>
      <c r="CC86" s="196" t="b">
        <f>+CC85</f>
        <v>0</v>
      </c>
      <c r="CD86" s="196" t="b">
        <f>+CD85</f>
        <v>0</v>
      </c>
      <c r="CE86" s="196" t="b">
        <f>+CE85</f>
        <v>0</v>
      </c>
      <c r="CF86" s="196" t="b">
        <f>+CF85</f>
        <v>0</v>
      </c>
      <c r="CG86" s="196">
        <f t="shared" si="1"/>
        <v>17</v>
      </c>
      <c r="CH86" s="196" t="b">
        <f t="shared" si="1"/>
        <v>0</v>
      </c>
      <c r="CI86" s="196" t="b">
        <f t="shared" si="1"/>
        <v>0</v>
      </c>
      <c r="CJ86" s="196" t="b">
        <f>+CJ85</f>
        <v>0</v>
      </c>
      <c r="CK86" s="196" t="b">
        <f>+CK85</f>
        <v>0</v>
      </c>
      <c r="CL86" s="196" t="b">
        <f t="shared" ref="CL86:DA86" si="2">+CL85</f>
        <v>0</v>
      </c>
      <c r="CM86" s="196" t="b">
        <f t="shared" si="2"/>
        <v>0</v>
      </c>
      <c r="CN86" s="196" t="b">
        <f t="shared" si="2"/>
        <v>0</v>
      </c>
      <c r="CO86" s="196" t="b">
        <f t="shared" si="2"/>
        <v>0</v>
      </c>
      <c r="CP86" s="196" t="b">
        <f t="shared" si="2"/>
        <v>0</v>
      </c>
      <c r="CQ86" s="196" t="b">
        <f t="shared" si="2"/>
        <v>0</v>
      </c>
      <c r="CR86" s="196" t="b">
        <f t="shared" si="2"/>
        <v>0</v>
      </c>
      <c r="CS86" s="196" t="b">
        <f t="shared" si="2"/>
        <v>0</v>
      </c>
      <c r="CT86" s="196" t="b">
        <f t="shared" si="2"/>
        <v>0</v>
      </c>
      <c r="CU86" s="196" t="b">
        <f t="shared" si="2"/>
        <v>0</v>
      </c>
      <c r="CV86" s="196" t="b">
        <f t="shared" si="2"/>
        <v>0</v>
      </c>
      <c r="CW86" s="196" t="b">
        <f t="shared" si="2"/>
        <v>0</v>
      </c>
      <c r="CX86" s="196" t="b">
        <f t="shared" si="2"/>
        <v>0</v>
      </c>
      <c r="CY86" s="196" t="b">
        <f t="shared" si="2"/>
        <v>0</v>
      </c>
      <c r="CZ86" s="196" t="b">
        <f t="shared" si="2"/>
        <v>0</v>
      </c>
      <c r="DA86" s="196" t="b">
        <f t="shared" si="2"/>
        <v>0</v>
      </c>
      <c r="DB86" s="196"/>
      <c r="DC86" s="78"/>
      <c r="DD86" s="78"/>
      <c r="EK86" s="78"/>
      <c r="EL86" s="78"/>
    </row>
    <row r="87" spans="2:142" ht="15.75" customHeight="1" thickBot="1" x14ac:dyDescent="0.25">
      <c r="E87" s="208"/>
      <c r="F87" s="208"/>
      <c r="G87" s="998"/>
      <c r="H87"/>
      <c r="I87"/>
      <c r="J87"/>
      <c r="K87"/>
      <c r="L87"/>
      <c r="M87"/>
      <c r="N87"/>
      <c r="O87" s="995"/>
      <c r="V87" s="1098"/>
      <c r="W87" s="1098"/>
      <c r="X87" s="1098"/>
      <c r="Y87" s="1098"/>
      <c r="Z87" s="1098"/>
      <c r="AA87" s="1098"/>
      <c r="AF87" s="401"/>
      <c r="AG87" s="401"/>
      <c r="AH87" s="401"/>
      <c r="AI87" s="401"/>
      <c r="AJ87" s="401"/>
      <c r="AK87" s="401"/>
      <c r="AL87" s="401"/>
      <c r="AM87" s="401"/>
      <c r="AN87" s="401"/>
      <c r="AO87" s="401"/>
      <c r="AP87" s="401"/>
      <c r="AQ87" s="401"/>
      <c r="AR87" s="401"/>
      <c r="AS87" s="401"/>
      <c r="AT87" s="401"/>
      <c r="AU87" s="401"/>
      <c r="AV87" s="401"/>
      <c r="AW87" s="401"/>
      <c r="AX87" s="401"/>
      <c r="AY87" s="401"/>
      <c r="AZ87" s="401"/>
      <c r="BA87" s="401"/>
      <c r="BB87" s="401"/>
      <c r="BC87" s="143"/>
      <c r="BD87" s="136"/>
      <c r="BE87" s="136"/>
      <c r="BF87" s="136"/>
      <c r="BG87" s="136"/>
      <c r="BH87" s="136"/>
      <c r="BI87" s="136"/>
      <c r="BJ87" s="136"/>
      <c r="BK87" s="136"/>
      <c r="BL87" s="136"/>
      <c r="BM87" s="402"/>
      <c r="BN87" s="188"/>
      <c r="BO87" s="1091"/>
      <c r="BP87" s="78"/>
      <c r="BQ87" s="196"/>
      <c r="BR87" s="196"/>
      <c r="BS87" s="196"/>
      <c r="BT87" s="196"/>
      <c r="BU87" s="196"/>
      <c r="BV87" s="196"/>
      <c r="BW87" s="196"/>
      <c r="BX87" s="196"/>
      <c r="BY87" s="196"/>
      <c r="BZ87" s="196"/>
      <c r="CA87" s="196"/>
      <c r="CB87" s="196"/>
      <c r="CC87" s="196"/>
      <c r="CD87" s="196"/>
      <c r="CE87" s="196"/>
      <c r="CF87" s="196"/>
      <c r="CG87" s="196"/>
      <c r="CH87" s="196"/>
      <c r="CI87" s="196"/>
      <c r="CJ87" s="196"/>
      <c r="CK87" s="196"/>
      <c r="CL87" s="196"/>
      <c r="CM87" s="196"/>
      <c r="CN87" s="196"/>
      <c r="CO87" s="196"/>
      <c r="CP87" s="196"/>
      <c r="CQ87" s="196"/>
      <c r="CR87" s="196"/>
      <c r="CS87" s="196"/>
      <c r="CT87" s="196"/>
      <c r="CU87" s="196"/>
      <c r="CV87" s="196"/>
      <c r="CW87" s="196"/>
      <c r="CX87" s="196"/>
      <c r="CY87" s="196"/>
      <c r="CZ87" s="196"/>
      <c r="DA87" s="196"/>
      <c r="DB87" s="196"/>
      <c r="DC87" s="78"/>
      <c r="DD87" s="78"/>
      <c r="EK87" s="78"/>
      <c r="EL87" s="78"/>
    </row>
    <row r="88" spans="2:142" ht="42.75" customHeight="1" thickBot="1" x14ac:dyDescent="0.3">
      <c r="E88" s="208"/>
      <c r="F88" s="208"/>
      <c r="G88" s="998"/>
      <c r="H88"/>
      <c r="I88"/>
      <c r="J88"/>
      <c r="K88"/>
      <c r="L88"/>
      <c r="M88"/>
      <c r="N88"/>
      <c r="O88" s="995"/>
      <c r="BD88" s="136"/>
      <c r="BE88" s="136"/>
      <c r="BF88" s="136"/>
      <c r="BG88" s="136"/>
      <c r="BH88" s="136"/>
      <c r="BI88" s="136"/>
      <c r="BJ88" s="136"/>
      <c r="BK88" s="136"/>
      <c r="BL88" s="136"/>
      <c r="BM88" s="402"/>
      <c r="BN88" s="188"/>
      <c r="BO88" s="1095" t="s">
        <v>128</v>
      </c>
      <c r="BP88" s="197" t="s">
        <v>129</v>
      </c>
      <c r="BQ88" s="748" t="str">
        <f>IF(BQ86=1,17,"")</f>
        <v/>
      </c>
      <c r="BR88" s="749" t="str">
        <f>IF(BR86=2,16,"")</f>
        <v/>
      </c>
      <c r="BS88" s="749" t="str">
        <f>IF(BS86=3,15,"")</f>
        <v/>
      </c>
      <c r="BT88" s="749" t="str">
        <f>IF(BT86=4,14,"")</f>
        <v/>
      </c>
      <c r="BU88" s="749" t="str">
        <f>IF(BU86=5,13,"")</f>
        <v/>
      </c>
      <c r="BV88" s="749" t="str">
        <f>IF(BV86=6,12,"")</f>
        <v/>
      </c>
      <c r="BW88" s="749" t="str">
        <f>IF(BW86=7,11,"")</f>
        <v/>
      </c>
      <c r="BX88" s="749" t="str">
        <f>IF(BX86=8,10,"")</f>
        <v/>
      </c>
      <c r="BY88" s="749" t="str">
        <f>IF(BY86=9,9,"")</f>
        <v/>
      </c>
      <c r="BZ88" s="749" t="str">
        <f>IF(BZ86=10,8,"")</f>
        <v/>
      </c>
      <c r="CA88" s="749" t="str">
        <f>IF(CA86=11,7,"")</f>
        <v/>
      </c>
      <c r="CB88" s="928" t="str">
        <f>IF(CB86=12,1,"")</f>
        <v/>
      </c>
      <c r="CC88" s="747" t="str">
        <f>IF(CC86=13,2,"")</f>
        <v/>
      </c>
      <c r="CD88" s="747" t="str">
        <f>IF(CD86=14,3,"")</f>
        <v/>
      </c>
      <c r="CE88" s="747" t="str">
        <f>IF(CE86=15,4,"")</f>
        <v/>
      </c>
      <c r="CF88" s="747" t="str">
        <f>IF(CF86=16,5,"")</f>
        <v/>
      </c>
      <c r="CG88" s="747">
        <f>IF(CG86=17,6,"")</f>
        <v>6</v>
      </c>
      <c r="CH88" s="747" t="str">
        <f>IF(CH86=18,7,"")</f>
        <v/>
      </c>
      <c r="CI88" s="747" t="str">
        <f>IF(CI86=19,8,"")</f>
        <v/>
      </c>
      <c r="CJ88" s="747" t="str">
        <f>IF(CJ86=20,9,"")</f>
        <v/>
      </c>
      <c r="CK88" s="747" t="str">
        <f>IF(CK86=21,10,"")</f>
        <v/>
      </c>
      <c r="CL88" s="747" t="str">
        <f>IF(CL86=22,11,"")</f>
        <v/>
      </c>
      <c r="CM88" s="747" t="str">
        <f>IF(CM86=23,12,"")</f>
        <v/>
      </c>
      <c r="CN88" s="747" t="str">
        <f>IF(CN86=24,13,"")</f>
        <v/>
      </c>
      <c r="CO88" s="747" t="str">
        <f>IF(CO86=25,14,"")</f>
        <v/>
      </c>
      <c r="CP88" s="747" t="str">
        <f>IF(CP86=26,15,"")</f>
        <v/>
      </c>
      <c r="CQ88" s="747" t="str">
        <f>IF(CQ86=27,16,"")</f>
        <v/>
      </c>
      <c r="CR88" s="929" t="str">
        <f>IF(CR86=28,17,"")</f>
        <v/>
      </c>
      <c r="CS88" s="756" t="str">
        <f>IF(CS86=29,9,"")</f>
        <v/>
      </c>
      <c r="CT88" s="756" t="str">
        <f>IF(CT86=30,10,"")</f>
        <v/>
      </c>
      <c r="CU88" s="756" t="str">
        <f>IF(CU86=31,11,"")</f>
        <v/>
      </c>
      <c r="CV88" s="756" t="str">
        <f>IF(CV86=32,12,"")</f>
        <v/>
      </c>
      <c r="CW88" s="756" t="str">
        <f>IF(CW86=33,13,"")</f>
        <v/>
      </c>
      <c r="CX88" s="756" t="str">
        <f>IF(CX86=34,14,"")</f>
        <v/>
      </c>
      <c r="CY88" s="756" t="str">
        <f>IF(CY86=35,15,"")</f>
        <v/>
      </c>
      <c r="CZ88" s="756" t="str">
        <f>IF(CZ86=36,16,"")</f>
        <v/>
      </c>
      <c r="DA88" s="757" t="str">
        <f>IF(DA86=37,17,"")</f>
        <v/>
      </c>
      <c r="DB88" s="198"/>
      <c r="DC88" s="78"/>
      <c r="DD88" s="78"/>
      <c r="EK88" s="78"/>
      <c r="EL88" s="78"/>
    </row>
    <row r="89" spans="2:142" ht="42.75" customHeight="1" thickBot="1" x14ac:dyDescent="0.3">
      <c r="E89" s="208"/>
      <c r="F89" s="208"/>
      <c r="G89" s="998"/>
      <c r="H89"/>
      <c r="I89"/>
      <c r="J89"/>
      <c r="K89"/>
      <c r="L89"/>
      <c r="M89"/>
      <c r="N89"/>
      <c r="O89" s="995"/>
      <c r="BD89" s="136"/>
      <c r="BE89" s="136"/>
      <c r="BF89" s="136"/>
      <c r="BG89" s="136"/>
      <c r="BH89" s="136"/>
      <c r="BI89" s="136"/>
      <c r="BJ89" s="136"/>
      <c r="BK89" s="136"/>
      <c r="BL89" s="968">
        <v>5</v>
      </c>
      <c r="BM89" s="1762" t="b">
        <f>AND(BO89&gt;=10,$BB$138&gt;=10,$BA$138&gt;=10,$BB$171&gt;=10,$BA$171&gt;=10,$BA$195&gt;=10,$BB$195&gt;=10)</f>
        <v>1</v>
      </c>
      <c r="BN89" s="84" t="str">
        <f>IF(BM89=TRUE,"O K","OVERLOAD")</f>
        <v>O K</v>
      </c>
      <c r="BO89" s="982">
        <f>IF(SUM(BQ88:CA88)&gt;0,K85,0)+IF(SUM(CB88:CR88)&gt;0,L85,0)+IF(SUM(CS88:DA88)&gt;0,M85,0)</f>
        <v>31.397174254317111</v>
      </c>
      <c r="BP89" s="788" t="s">
        <v>185</v>
      </c>
      <c r="BQ89" s="789">
        <v>-10</v>
      </c>
      <c r="BR89" s="789">
        <v>-9</v>
      </c>
      <c r="BS89" s="789">
        <v>-8</v>
      </c>
      <c r="BT89" s="789">
        <v>-7</v>
      </c>
      <c r="BU89" s="789">
        <v>-6</v>
      </c>
      <c r="BV89" s="789">
        <v>-5</v>
      </c>
      <c r="BW89" s="789">
        <v>-4</v>
      </c>
      <c r="BX89" s="789">
        <v>-3</v>
      </c>
      <c r="BY89" s="789">
        <v>-2</v>
      </c>
      <c r="BZ89" s="789">
        <v>-1</v>
      </c>
      <c r="CA89" s="789">
        <v>0</v>
      </c>
      <c r="CB89" s="789">
        <v>1</v>
      </c>
      <c r="CC89" s="789">
        <v>2</v>
      </c>
      <c r="CD89" s="789">
        <v>3</v>
      </c>
      <c r="CE89" s="789">
        <v>4</v>
      </c>
      <c r="CF89" s="789">
        <v>5</v>
      </c>
      <c r="CG89" s="789">
        <v>6</v>
      </c>
      <c r="CH89" s="789">
        <v>7</v>
      </c>
      <c r="CI89" s="789">
        <v>8</v>
      </c>
      <c r="CJ89" s="789">
        <v>9</v>
      </c>
      <c r="CK89" s="789">
        <v>10</v>
      </c>
      <c r="CL89" s="789">
        <v>11</v>
      </c>
      <c r="CM89" s="789">
        <v>12</v>
      </c>
      <c r="CN89" s="789">
        <v>13</v>
      </c>
      <c r="CO89" s="789">
        <v>14</v>
      </c>
      <c r="CP89" s="789">
        <v>15</v>
      </c>
      <c r="CQ89" s="789">
        <v>16</v>
      </c>
      <c r="CR89" s="789">
        <v>17</v>
      </c>
      <c r="CS89" s="789">
        <v>18</v>
      </c>
      <c r="CT89" s="789">
        <v>19</v>
      </c>
      <c r="CU89" s="789">
        <v>20</v>
      </c>
      <c r="CV89" s="789">
        <v>21</v>
      </c>
      <c r="CW89" s="789">
        <v>22</v>
      </c>
      <c r="CX89" s="789">
        <v>23</v>
      </c>
      <c r="CY89" s="789">
        <v>24</v>
      </c>
      <c r="CZ89" s="789">
        <v>25</v>
      </c>
      <c r="DA89" s="791">
        <v>26</v>
      </c>
      <c r="DB89" s="198"/>
      <c r="DC89" s="78"/>
      <c r="DD89" s="78"/>
      <c r="EK89" s="78"/>
      <c r="EL89" s="78"/>
    </row>
    <row r="90" spans="2:142" ht="149.25" customHeight="1" thickBot="1" x14ac:dyDescent="0.25">
      <c r="G90" s="998"/>
      <c r="H90"/>
      <c r="I90"/>
      <c r="J90"/>
      <c r="K90"/>
      <c r="L90"/>
      <c r="M90"/>
      <c r="N90"/>
      <c r="O90" s="995"/>
      <c r="BD90" s="136"/>
      <c r="BE90" s="136"/>
      <c r="BF90" s="136"/>
      <c r="BG90" s="136"/>
      <c r="BH90" s="136"/>
      <c r="BI90" s="136"/>
      <c r="BJ90" s="136"/>
      <c r="BK90" s="136"/>
      <c r="BL90" s="136"/>
      <c r="BM90" s="402"/>
      <c r="BN90" s="136"/>
      <c r="BP90" s="78"/>
      <c r="BQ90" s="199"/>
      <c r="BR90" s="199"/>
      <c r="BS90" s="199"/>
      <c r="BT90" s="199"/>
      <c r="BU90" s="199"/>
      <c r="BV90" s="199"/>
      <c r="BW90" s="199"/>
      <c r="BX90" s="199"/>
      <c r="BY90" s="199"/>
      <c r="BZ90" s="199"/>
      <c r="CA90" s="199"/>
      <c r="CB90" s="199"/>
      <c r="CC90" s="199"/>
      <c r="CD90" s="199"/>
      <c r="CE90" s="199"/>
      <c r="CF90" s="199"/>
      <c r="CG90" s="199"/>
      <c r="CH90" s="199"/>
      <c r="CI90" s="199"/>
      <c r="CJ90" s="199"/>
      <c r="CK90" s="199"/>
      <c r="CL90" s="199"/>
      <c r="CM90" s="199"/>
      <c r="CN90" s="199"/>
      <c r="CO90" s="199"/>
      <c r="CP90" s="199"/>
      <c r="CQ90" s="199"/>
      <c r="CR90" s="199"/>
      <c r="CS90" s="199"/>
      <c r="CT90" s="199"/>
      <c r="CU90" s="199"/>
      <c r="CV90" s="199"/>
      <c r="CW90" s="199"/>
      <c r="CX90" s="199"/>
      <c r="CY90" s="199"/>
      <c r="CZ90" s="199"/>
      <c r="DA90" s="199"/>
      <c r="DB90" s="199"/>
      <c r="DC90" s="78"/>
      <c r="DD90" s="78"/>
      <c r="EK90" s="78"/>
      <c r="EL90" s="78"/>
    </row>
    <row r="91" spans="2:142" ht="24" hidden="1" thickBot="1" x14ac:dyDescent="0.3">
      <c r="E91" s="397"/>
      <c r="F91" s="397"/>
      <c r="G91" s="998"/>
      <c r="H91"/>
      <c r="I91"/>
      <c r="J91"/>
      <c r="K91"/>
      <c r="L91"/>
      <c r="M91"/>
      <c r="N91"/>
      <c r="O91" s="995"/>
      <c r="BN91" s="86"/>
      <c r="BO91" s="18"/>
      <c r="BP91" s="1582"/>
      <c r="BQ91" s="97"/>
      <c r="BR91" s="97"/>
      <c r="BS91" s="97"/>
      <c r="BT91" s="97"/>
      <c r="BU91" s="97"/>
      <c r="BV91" s="97"/>
      <c r="BW91" s="97"/>
      <c r="BX91" s="97"/>
      <c r="BY91" s="94"/>
      <c r="BZ91" s="94"/>
      <c r="CA91" s="89"/>
      <c r="CB91" s="89"/>
      <c r="CC91" s="89"/>
      <c r="CD91" s="89"/>
      <c r="CE91" s="89"/>
      <c r="CF91" s="89"/>
      <c r="CG91" s="89"/>
      <c r="CH91" s="89"/>
      <c r="CI91" s="89"/>
      <c r="CJ91" s="89"/>
      <c r="CK91" s="89"/>
      <c r="CL91" s="89"/>
      <c r="CM91" s="89"/>
      <c r="CN91" s="37"/>
      <c r="CO91" s="95"/>
      <c r="CP91" s="95"/>
      <c r="CQ91" s="95"/>
      <c r="CR91" s="95"/>
      <c r="CS91" s="92"/>
      <c r="CT91" s="92"/>
      <c r="CU91" s="92"/>
      <c r="CV91" s="92"/>
      <c r="CW91" s="92"/>
      <c r="CX91" s="92"/>
      <c r="CY91" s="92"/>
      <c r="CZ91" s="92"/>
      <c r="DA91" s="92"/>
      <c r="DB91" s="92"/>
      <c r="DC91" s="17"/>
      <c r="DD91" s="78"/>
    </row>
    <row r="92" spans="2:142" ht="24" hidden="1" thickBot="1" x14ac:dyDescent="0.3">
      <c r="E92" s="397"/>
      <c r="F92" s="397"/>
      <c r="G92" s="998"/>
      <c r="H92"/>
      <c r="I92"/>
      <c r="J92"/>
      <c r="K92"/>
      <c r="L92"/>
      <c r="M92"/>
      <c r="N92"/>
      <c r="O92" s="995"/>
      <c r="BN92" s="86"/>
      <c r="BO92" s="18"/>
      <c r="BP92" s="1582">
        <v>36</v>
      </c>
      <c r="BQ92" s="97"/>
      <c r="BR92" s="97"/>
      <c r="BS92" s="97"/>
      <c r="BT92" s="97"/>
      <c r="BU92" s="97"/>
      <c r="BV92" s="97"/>
      <c r="BW92" s="97"/>
      <c r="BX92" s="97"/>
      <c r="BY92" s="94"/>
      <c r="BZ92" s="94"/>
      <c r="CA92" s="89"/>
      <c r="CB92" s="89"/>
      <c r="CC92" s="89"/>
      <c r="CD92" s="89"/>
      <c r="CE92" s="89"/>
      <c r="CF92" s="89"/>
      <c r="CG92" s="89"/>
      <c r="CH92" s="98"/>
      <c r="CI92" s="99"/>
      <c r="CJ92" s="100"/>
      <c r="CK92" s="89"/>
      <c r="CL92" s="89"/>
      <c r="CM92" s="89"/>
      <c r="CN92" s="37"/>
      <c r="CO92" s="95"/>
      <c r="CP92" s="95"/>
      <c r="CQ92" s="95"/>
      <c r="CR92" s="95"/>
      <c r="CS92" s="92"/>
      <c r="CT92" s="92"/>
      <c r="CU92" s="92"/>
      <c r="CV92" s="92"/>
      <c r="CW92" s="92"/>
      <c r="CX92" s="92"/>
      <c r="CY92" s="101" t="b">
        <f>IF(CZ85=36,35)</f>
        <v>0</v>
      </c>
      <c r="CZ92" s="102"/>
      <c r="DA92" s="103" t="b">
        <f>IF(CZ85=36,37)</f>
        <v>0</v>
      </c>
      <c r="DB92" s="92"/>
      <c r="DC92" s="17"/>
      <c r="DD92" s="78"/>
    </row>
    <row r="93" spans="2:142" ht="24" hidden="1" thickBot="1" x14ac:dyDescent="0.3">
      <c r="E93" s="397"/>
      <c r="F93" s="397"/>
      <c r="G93" s="998"/>
      <c r="H93"/>
      <c r="I93"/>
      <c r="J93"/>
      <c r="K93"/>
      <c r="L93"/>
      <c r="M93"/>
      <c r="N93"/>
      <c r="O93" s="995"/>
      <c r="BN93" s="86"/>
      <c r="BO93" s="18"/>
      <c r="BP93" s="1582">
        <v>35</v>
      </c>
      <c r="BQ93" s="97"/>
      <c r="BR93" s="97"/>
      <c r="BS93" s="97"/>
      <c r="BT93" s="97"/>
      <c r="BU93" s="97"/>
      <c r="BV93" s="97"/>
      <c r="BW93" s="97"/>
      <c r="BX93" s="97"/>
      <c r="BY93" s="94"/>
      <c r="BZ93" s="94"/>
      <c r="CA93" s="89"/>
      <c r="CB93" s="89"/>
      <c r="CC93" s="89"/>
      <c r="CD93" s="89"/>
      <c r="CE93" s="89"/>
      <c r="CF93" s="89"/>
      <c r="CG93" s="89"/>
      <c r="CH93" s="104"/>
      <c r="CI93" s="89"/>
      <c r="CJ93" s="105"/>
      <c r="CK93" s="89"/>
      <c r="CL93" s="89"/>
      <c r="CM93" s="89"/>
      <c r="CN93" s="37"/>
      <c r="CO93" s="95"/>
      <c r="CP93" s="95"/>
      <c r="CQ93" s="95"/>
      <c r="CR93" s="95"/>
      <c r="CS93" s="92"/>
      <c r="CT93" s="92"/>
      <c r="CU93" s="92"/>
      <c r="CV93" s="92"/>
      <c r="CW93" s="101" t="b">
        <f>IF(CY85=35,33)</f>
        <v>0</v>
      </c>
      <c r="CX93" s="102"/>
      <c r="CY93" s="102"/>
      <c r="CZ93" s="102"/>
      <c r="DA93" s="103" t="b">
        <f>IF(CY85=35,37)</f>
        <v>0</v>
      </c>
      <c r="DB93" s="92"/>
      <c r="DC93" s="17"/>
      <c r="DD93" s="78"/>
    </row>
    <row r="94" spans="2:142" ht="24" hidden="1" thickBot="1" x14ac:dyDescent="0.3">
      <c r="E94" s="397"/>
      <c r="F94" s="397"/>
      <c r="G94" s="998"/>
      <c r="H94"/>
      <c r="I94"/>
      <c r="J94"/>
      <c r="K94"/>
      <c r="L94"/>
      <c r="M94"/>
      <c r="N94"/>
      <c r="O94" s="995"/>
      <c r="BN94" s="86"/>
      <c r="BO94" s="18"/>
      <c r="BP94" s="1582">
        <v>34</v>
      </c>
      <c r="BQ94" s="97"/>
      <c r="BR94" s="97"/>
      <c r="BS94" s="97"/>
      <c r="BT94" s="97"/>
      <c r="BU94" s="97"/>
      <c r="BV94" s="97"/>
      <c r="BW94" s="97"/>
      <c r="BX94" s="97"/>
      <c r="BY94" s="94"/>
      <c r="BZ94" s="94"/>
      <c r="CA94" s="89"/>
      <c r="CB94" s="89"/>
      <c r="CC94" s="89"/>
      <c r="CD94" s="89"/>
      <c r="CE94" s="89"/>
      <c r="CF94" s="89"/>
      <c r="CG94" s="89"/>
      <c r="CH94" s="104"/>
      <c r="CI94" s="89"/>
      <c r="CJ94" s="105"/>
      <c r="CK94" s="89"/>
      <c r="CL94" s="89"/>
      <c r="CM94" s="89"/>
      <c r="CN94" s="37"/>
      <c r="CO94" s="95"/>
      <c r="CP94" s="95"/>
      <c r="CQ94" s="95"/>
      <c r="CR94" s="95"/>
      <c r="CS94" s="92"/>
      <c r="CT94" s="92"/>
      <c r="CU94" s="101" t="b">
        <f>IF(CX85=34,31)</f>
        <v>0</v>
      </c>
      <c r="CV94" s="102"/>
      <c r="CW94" s="102"/>
      <c r="CX94" s="102"/>
      <c r="CY94" s="102"/>
      <c r="CZ94" s="102"/>
      <c r="DA94" s="103" t="b">
        <f>IF(CX85=34,37)</f>
        <v>0</v>
      </c>
      <c r="DB94" s="92"/>
      <c r="DC94" s="17"/>
      <c r="DD94" s="78"/>
    </row>
    <row r="95" spans="2:142" ht="24" hidden="1" thickBot="1" x14ac:dyDescent="0.3">
      <c r="E95" s="397"/>
      <c r="F95" s="397"/>
      <c r="G95" s="998"/>
      <c r="H95"/>
      <c r="I95"/>
      <c r="J95"/>
      <c r="K95"/>
      <c r="L95"/>
      <c r="M95"/>
      <c r="N95"/>
      <c r="O95" s="995"/>
      <c r="BN95" s="86"/>
      <c r="BO95" s="18"/>
      <c r="BP95" s="1582">
        <v>33</v>
      </c>
      <c r="BQ95" s="97"/>
      <c r="BR95" s="97"/>
      <c r="BS95" s="97"/>
      <c r="BT95" s="97"/>
      <c r="BU95" s="97"/>
      <c r="BV95" s="97"/>
      <c r="BW95" s="97"/>
      <c r="BX95" s="97"/>
      <c r="BY95" s="94"/>
      <c r="BZ95" s="94"/>
      <c r="CA95" s="89"/>
      <c r="CB95" s="89"/>
      <c r="CC95" s="89"/>
      <c r="CD95" s="89"/>
      <c r="CE95" s="89"/>
      <c r="CF95" s="89"/>
      <c r="CG95" s="89"/>
      <c r="CH95" s="104"/>
      <c r="CI95" s="89"/>
      <c r="CJ95" s="105"/>
      <c r="CK95" s="89"/>
      <c r="CL95" s="89"/>
      <c r="CM95" s="89"/>
      <c r="CN95" s="37"/>
      <c r="CO95" s="95"/>
      <c r="CP95" s="95"/>
      <c r="CQ95" s="95"/>
      <c r="CR95" s="95"/>
      <c r="CS95" s="101" t="b">
        <f>IF(CW85=33,29)</f>
        <v>0</v>
      </c>
      <c r="CT95" s="102"/>
      <c r="CU95" s="102"/>
      <c r="CV95" s="102"/>
      <c r="CW95" s="102"/>
      <c r="CX95" s="102"/>
      <c r="CY95" s="102"/>
      <c r="CZ95" s="102"/>
      <c r="DA95" s="103" t="b">
        <f>IF(CW85=33,37)</f>
        <v>0</v>
      </c>
      <c r="DB95" s="92"/>
      <c r="DC95" s="17"/>
      <c r="DD95" s="78"/>
    </row>
    <row r="96" spans="2:142" ht="21" hidden="1" thickBot="1" x14ac:dyDescent="0.25">
      <c r="E96" s="397"/>
      <c r="F96" s="397"/>
      <c r="G96" s="998"/>
      <c r="H96"/>
      <c r="I96"/>
      <c r="J96"/>
      <c r="K96"/>
      <c r="L96"/>
      <c r="M96"/>
      <c r="N96"/>
      <c r="O96" s="995"/>
      <c r="BN96" s="86"/>
      <c r="BP96" s="1582">
        <v>32</v>
      </c>
      <c r="BQ96" s="107"/>
      <c r="BR96" s="107"/>
      <c r="BS96" s="107"/>
      <c r="BT96" s="107"/>
      <c r="BU96" s="107"/>
      <c r="BV96" s="108"/>
      <c r="BW96" s="107"/>
      <c r="BX96" s="107"/>
      <c r="BY96" s="107"/>
      <c r="BZ96" s="107"/>
      <c r="CA96" s="107"/>
      <c r="CB96" s="107"/>
      <c r="CC96" s="107"/>
      <c r="CD96" s="107"/>
      <c r="CE96" s="107"/>
      <c r="CF96" s="107"/>
      <c r="CG96" s="107"/>
      <c r="CH96" s="109"/>
      <c r="CI96" s="107"/>
      <c r="CJ96" s="110"/>
      <c r="CK96" s="107"/>
      <c r="CL96" s="107"/>
      <c r="CM96" s="107"/>
      <c r="CN96" s="108"/>
      <c r="CO96" s="78"/>
      <c r="CP96" s="78"/>
      <c r="CQ96" s="101" t="b">
        <f>IF(CV85=32,27)</f>
        <v>0</v>
      </c>
      <c r="CR96" s="111"/>
      <c r="CS96" s="111"/>
      <c r="CT96" s="111"/>
      <c r="CU96" s="111"/>
      <c r="CV96" s="111"/>
      <c r="CW96" s="111"/>
      <c r="CX96" s="111"/>
      <c r="CY96" s="111"/>
      <c r="CZ96" s="111"/>
      <c r="DA96" s="103" t="b">
        <f>IF(CV85=32,37)</f>
        <v>0</v>
      </c>
      <c r="DB96" s="78"/>
      <c r="DC96" s="78"/>
      <c r="DD96" s="78"/>
    </row>
    <row r="97" spans="5:108" ht="21" hidden="1" thickBot="1" x14ac:dyDescent="0.25">
      <c r="E97" s="397"/>
      <c r="F97" s="397"/>
      <c r="G97" s="998"/>
      <c r="H97"/>
      <c r="I97"/>
      <c r="J97"/>
      <c r="K97"/>
      <c r="L97"/>
      <c r="M97"/>
      <c r="N97"/>
      <c r="O97" s="995"/>
      <c r="BN97" s="86"/>
      <c r="BP97" s="1582">
        <v>31</v>
      </c>
      <c r="BQ97" s="107"/>
      <c r="BR97" s="107"/>
      <c r="BS97" s="107"/>
      <c r="BT97" s="107"/>
      <c r="BU97" s="107"/>
      <c r="BV97" s="108"/>
      <c r="BW97" s="107"/>
      <c r="BX97" s="107"/>
      <c r="BY97" s="107"/>
      <c r="BZ97" s="107"/>
      <c r="CA97" s="107"/>
      <c r="CB97" s="107"/>
      <c r="CC97" s="107"/>
      <c r="CD97" s="107"/>
      <c r="CE97" s="107"/>
      <c r="CF97" s="107"/>
      <c r="CG97" s="107"/>
      <c r="CH97" s="109"/>
      <c r="CI97" s="107"/>
      <c r="CJ97" s="110"/>
      <c r="CK97" s="107"/>
      <c r="CL97" s="107"/>
      <c r="CM97" s="107"/>
      <c r="CN97" s="108"/>
      <c r="CO97" s="101" t="b">
        <f>IF(CU85=31,25)</f>
        <v>0</v>
      </c>
      <c r="CP97" s="111"/>
      <c r="CQ97" s="111"/>
      <c r="CR97" s="111"/>
      <c r="CS97" s="111"/>
      <c r="CT97" s="111"/>
      <c r="CU97" s="111"/>
      <c r="CV97" s="111"/>
      <c r="CW97" s="111"/>
      <c r="CX97" s="111"/>
      <c r="CY97" s="111"/>
      <c r="CZ97" s="111"/>
      <c r="DA97" s="103" t="b">
        <f>IF(CU85=31,37)</f>
        <v>0</v>
      </c>
      <c r="DB97" s="78"/>
      <c r="DC97" s="78"/>
      <c r="DD97" s="78"/>
    </row>
    <row r="98" spans="5:108" ht="21" hidden="1" thickBot="1" x14ac:dyDescent="0.25">
      <c r="E98" s="397"/>
      <c r="F98" s="397"/>
      <c r="G98" s="998"/>
      <c r="H98"/>
      <c r="I98"/>
      <c r="J98"/>
      <c r="K98"/>
      <c r="L98"/>
      <c r="M98"/>
      <c r="N98"/>
      <c r="O98" s="995"/>
      <c r="BN98" s="86"/>
      <c r="BP98" s="1582">
        <v>30</v>
      </c>
      <c r="BQ98" s="107"/>
      <c r="BR98" s="107"/>
      <c r="BS98" s="107"/>
      <c r="BT98" s="107"/>
      <c r="BU98" s="107"/>
      <c r="BV98" s="108"/>
      <c r="BW98" s="107"/>
      <c r="BX98" s="107"/>
      <c r="BY98" s="107"/>
      <c r="BZ98" s="107"/>
      <c r="CA98" s="107"/>
      <c r="CB98" s="107"/>
      <c r="CC98" s="107"/>
      <c r="CD98" s="107"/>
      <c r="CE98" s="107"/>
      <c r="CF98" s="107"/>
      <c r="CG98" s="107"/>
      <c r="CH98" s="109"/>
      <c r="CI98" s="107"/>
      <c r="CJ98" s="110"/>
      <c r="CK98" s="107"/>
      <c r="CL98" s="107"/>
      <c r="CM98" s="101" t="b">
        <f>IF(CT85=30,23)</f>
        <v>0</v>
      </c>
      <c r="CN98" s="112"/>
      <c r="CO98" s="111"/>
      <c r="CP98" s="111"/>
      <c r="CQ98" s="111"/>
      <c r="CR98" s="111"/>
      <c r="CS98" s="111"/>
      <c r="CT98" s="111"/>
      <c r="CU98" s="111"/>
      <c r="CV98" s="111"/>
      <c r="CW98" s="111"/>
      <c r="CX98" s="111"/>
      <c r="CY98" s="111"/>
      <c r="CZ98" s="111"/>
      <c r="DA98" s="103" t="b">
        <f>IF(CT85=30,37)</f>
        <v>0</v>
      </c>
      <c r="DB98" s="78"/>
      <c r="DC98" s="78"/>
      <c r="DD98" s="78"/>
    </row>
    <row r="99" spans="5:108" ht="21" hidden="1" thickBot="1" x14ac:dyDescent="0.25">
      <c r="E99" s="397"/>
      <c r="F99" s="397"/>
      <c r="G99" s="998"/>
      <c r="H99"/>
      <c r="I99"/>
      <c r="J99"/>
      <c r="K99"/>
      <c r="L99"/>
      <c r="M99"/>
      <c r="N99"/>
      <c r="O99" s="995"/>
      <c r="BE99" s="114"/>
      <c r="BF99" s="114"/>
      <c r="BG99" s="114"/>
      <c r="BH99" s="114"/>
      <c r="BN99" s="86"/>
      <c r="BO99" s="114"/>
      <c r="BP99" s="1582">
        <v>29</v>
      </c>
      <c r="BQ99" s="78"/>
      <c r="BR99" s="78"/>
      <c r="BS99" s="78"/>
      <c r="BT99" s="78"/>
      <c r="BU99" s="78"/>
      <c r="BV99" s="78"/>
      <c r="BW99" s="78"/>
      <c r="BX99" s="78"/>
      <c r="BY99" s="78"/>
      <c r="BZ99" s="78"/>
      <c r="CA99" s="78"/>
      <c r="CB99" s="78"/>
      <c r="CC99" s="78"/>
      <c r="CD99" s="78"/>
      <c r="CE99" s="78"/>
      <c r="CF99" s="78"/>
      <c r="CG99" s="78"/>
      <c r="CH99" s="115"/>
      <c r="CI99" s="78"/>
      <c r="CJ99" s="116"/>
      <c r="CK99" s="117" t="b">
        <f>IF(CS85=29,21)</f>
        <v>0</v>
      </c>
      <c r="CL99" s="111"/>
      <c r="CM99" s="111"/>
      <c r="CN99" s="111"/>
      <c r="CO99" s="111"/>
      <c r="CP99" s="111"/>
      <c r="CQ99" s="111"/>
      <c r="CR99" s="118"/>
      <c r="CS99" s="111"/>
      <c r="CT99" s="118"/>
      <c r="CU99" s="119"/>
      <c r="CV99" s="119"/>
      <c r="CW99" s="119"/>
      <c r="CX99" s="119"/>
      <c r="CY99" s="119"/>
      <c r="CZ99" s="119"/>
      <c r="DA99" s="103" t="b">
        <f>IF(CS85=29,37)</f>
        <v>0</v>
      </c>
      <c r="DB99" s="76"/>
      <c r="DC99" s="78"/>
      <c r="DD99" s="78"/>
    </row>
    <row r="100" spans="5:108" ht="21" hidden="1" thickBot="1" x14ac:dyDescent="0.25">
      <c r="E100" s="397"/>
      <c r="F100" s="397"/>
      <c r="G100" s="998"/>
      <c r="H100"/>
      <c r="I100"/>
      <c r="J100"/>
      <c r="K100"/>
      <c r="L100"/>
      <c r="M100"/>
      <c r="N100"/>
      <c r="O100" s="995"/>
      <c r="BE100" s="114"/>
      <c r="BF100" s="114"/>
      <c r="BG100" s="114"/>
      <c r="BH100" s="114"/>
      <c r="BN100" s="86"/>
      <c r="BO100" s="114"/>
      <c r="BP100" s="1582">
        <v>28</v>
      </c>
      <c r="BQ100" s="78"/>
      <c r="BR100" s="78"/>
      <c r="BS100" s="78"/>
      <c r="BT100" s="78"/>
      <c r="BU100" s="78"/>
      <c r="BV100" s="78"/>
      <c r="BW100" s="78"/>
      <c r="BX100" s="78"/>
      <c r="BY100" s="78"/>
      <c r="BZ100" s="78"/>
      <c r="CA100" s="78"/>
      <c r="CB100" s="78"/>
      <c r="CC100" s="78"/>
      <c r="CD100" s="78"/>
      <c r="CE100" s="78"/>
      <c r="CF100" s="78"/>
      <c r="CG100" s="78"/>
      <c r="CH100" s="115"/>
      <c r="CI100" s="78"/>
      <c r="CJ100" s="116"/>
      <c r="CK100" s="120" t="b">
        <f>IF(CR85=28,21)</f>
        <v>0</v>
      </c>
      <c r="CL100" s="121"/>
      <c r="CM100" s="121"/>
      <c r="CN100" s="121"/>
      <c r="CO100" s="121"/>
      <c r="CP100" s="122"/>
      <c r="CQ100" s="121"/>
      <c r="CR100" s="121"/>
      <c r="CS100" s="121"/>
      <c r="CT100" s="122"/>
      <c r="CU100" s="123"/>
      <c r="CV100" s="123"/>
      <c r="CW100" s="123"/>
      <c r="CX100" s="123"/>
      <c r="CY100" s="124" t="b">
        <f>IF(CR85=28,35)</f>
        <v>0</v>
      </c>
      <c r="CZ100" s="76"/>
      <c r="DA100" s="76"/>
      <c r="DB100" s="76"/>
      <c r="DC100" s="78"/>
      <c r="DD100" s="78"/>
    </row>
    <row r="101" spans="5:108" ht="21" hidden="1" thickBot="1" x14ac:dyDescent="0.25">
      <c r="E101" s="397"/>
      <c r="F101" s="397"/>
      <c r="G101" s="998"/>
      <c r="H101"/>
      <c r="I101"/>
      <c r="J101"/>
      <c r="K101"/>
      <c r="L101"/>
      <c r="M101"/>
      <c r="N101"/>
      <c r="O101" s="995"/>
      <c r="BE101" s="114"/>
      <c r="BF101" s="114"/>
      <c r="BG101" s="114"/>
      <c r="BH101" s="114"/>
      <c r="BN101" s="86"/>
      <c r="BO101" s="114"/>
      <c r="BP101" s="1582">
        <v>27</v>
      </c>
      <c r="BQ101" s="78"/>
      <c r="BR101" s="78"/>
      <c r="BS101" s="78"/>
      <c r="BT101" s="78"/>
      <c r="BU101" s="78"/>
      <c r="BV101" s="78"/>
      <c r="BW101" s="78"/>
      <c r="BX101" s="78"/>
      <c r="BY101" s="78"/>
      <c r="BZ101" s="78"/>
      <c r="CA101" s="78"/>
      <c r="CB101" s="78"/>
      <c r="CC101" s="78"/>
      <c r="CD101" s="78"/>
      <c r="CE101" s="78"/>
      <c r="CF101" s="78"/>
      <c r="CG101" s="78"/>
      <c r="CH101" s="115"/>
      <c r="CI101" s="78"/>
      <c r="CJ101" s="116"/>
      <c r="CK101" s="120" t="b">
        <f>IF(CQ85=27,21)</f>
        <v>0</v>
      </c>
      <c r="CL101" s="121"/>
      <c r="CM101" s="121"/>
      <c r="CN101" s="122"/>
      <c r="CO101" s="121"/>
      <c r="CP101" s="121"/>
      <c r="CQ101" s="121"/>
      <c r="CR101" s="121"/>
      <c r="CS101" s="121"/>
      <c r="CT101" s="122"/>
      <c r="CU101" s="123"/>
      <c r="CV101" s="123"/>
      <c r="CW101" s="124" t="b">
        <f>IF(CQ85=27,33)</f>
        <v>0</v>
      </c>
      <c r="CX101" s="76"/>
      <c r="CY101" s="76"/>
      <c r="CZ101" s="76"/>
      <c r="DA101" s="76"/>
      <c r="DB101" s="76"/>
      <c r="DC101" s="78"/>
      <c r="DD101" s="78"/>
    </row>
    <row r="102" spans="5:108" ht="21" hidden="1" thickBot="1" x14ac:dyDescent="0.25">
      <c r="E102" s="397"/>
      <c r="F102" s="397"/>
      <c r="G102" s="998"/>
      <c r="H102"/>
      <c r="I102"/>
      <c r="J102"/>
      <c r="K102"/>
      <c r="L102"/>
      <c r="M102"/>
      <c r="N102"/>
      <c r="O102" s="995"/>
      <c r="BN102" s="86"/>
      <c r="BP102" s="1582">
        <v>26</v>
      </c>
      <c r="BQ102" s="78"/>
      <c r="BR102" s="78"/>
      <c r="BS102" s="78"/>
      <c r="BT102" s="78"/>
      <c r="BU102" s="78"/>
      <c r="BV102" s="78"/>
      <c r="BW102" s="78"/>
      <c r="BX102" s="78"/>
      <c r="BY102" s="78"/>
      <c r="BZ102" s="78"/>
      <c r="CA102" s="78"/>
      <c r="CB102" s="78"/>
      <c r="CC102" s="78"/>
      <c r="CD102" s="78"/>
      <c r="CE102" s="78"/>
      <c r="CF102" s="78"/>
      <c r="CG102" s="78"/>
      <c r="CH102" s="115"/>
      <c r="CI102" s="78"/>
      <c r="CJ102" s="116"/>
      <c r="CK102" s="120" t="b">
        <f>IF(CP85=26,21)</f>
        <v>0</v>
      </c>
      <c r="CL102" s="122"/>
      <c r="CM102" s="121"/>
      <c r="CN102" s="121"/>
      <c r="CO102" s="121"/>
      <c r="CP102" s="121"/>
      <c r="CQ102" s="121"/>
      <c r="CR102" s="121"/>
      <c r="CS102" s="121"/>
      <c r="CT102" s="122"/>
      <c r="CU102" s="124" t="b">
        <f>IF(CP85=26,31)</f>
        <v>0</v>
      </c>
      <c r="CV102" s="76"/>
      <c r="CW102" s="76"/>
      <c r="CX102" s="76"/>
      <c r="CY102" s="76"/>
      <c r="CZ102" s="76"/>
      <c r="DA102" s="76"/>
      <c r="DB102" s="76"/>
      <c r="DC102" s="78"/>
      <c r="DD102" s="78"/>
    </row>
    <row r="103" spans="5:108" ht="21" hidden="1" thickBot="1" x14ac:dyDescent="0.25">
      <c r="E103" s="397"/>
      <c r="F103" s="397"/>
      <c r="G103" s="998"/>
      <c r="H103"/>
      <c r="I103"/>
      <c r="J103"/>
      <c r="K103"/>
      <c r="L103"/>
      <c r="M103"/>
      <c r="N103"/>
      <c r="O103" s="995"/>
      <c r="BE103" s="126"/>
      <c r="BF103" s="126"/>
      <c r="BG103" s="126"/>
      <c r="BH103" s="126"/>
      <c r="BN103" s="86"/>
      <c r="BO103" s="126"/>
      <c r="BP103" s="1582">
        <v>25</v>
      </c>
      <c r="BQ103" s="78"/>
      <c r="BR103" s="78"/>
      <c r="BS103" s="78"/>
      <c r="BT103" s="78"/>
      <c r="BU103" s="78"/>
      <c r="BV103" s="78"/>
      <c r="BW103" s="78"/>
      <c r="BX103" s="78"/>
      <c r="BY103" s="78"/>
      <c r="BZ103" s="78"/>
      <c r="CA103" s="78"/>
      <c r="CC103" s="78"/>
      <c r="CD103" s="78"/>
      <c r="CE103" s="78"/>
      <c r="CF103" s="78"/>
      <c r="CG103" s="78"/>
      <c r="CH103" s="115"/>
      <c r="CI103" s="78"/>
      <c r="CK103" s="128" t="b">
        <f>IF(CO85=25,21)</f>
        <v>0</v>
      </c>
      <c r="CL103" s="121"/>
      <c r="CM103" s="121"/>
      <c r="CN103" s="121"/>
      <c r="CO103" s="121"/>
      <c r="CP103" s="121"/>
      <c r="CQ103" s="121"/>
      <c r="CR103" s="121"/>
      <c r="CS103" s="124" t="b">
        <f>IF(CO85=25,29)</f>
        <v>0</v>
      </c>
      <c r="CU103" s="76"/>
      <c r="CV103" s="76"/>
      <c r="CW103" s="76"/>
      <c r="CX103" s="76"/>
      <c r="CY103" s="76"/>
      <c r="CZ103" s="76"/>
      <c r="DA103" s="76"/>
      <c r="DB103" s="76"/>
      <c r="DC103" s="78"/>
      <c r="DD103" s="78"/>
    </row>
    <row r="104" spans="5:108" ht="21" hidden="1" thickBot="1" x14ac:dyDescent="0.25">
      <c r="E104" s="397"/>
      <c r="F104" s="397"/>
      <c r="G104" s="998"/>
      <c r="H104"/>
      <c r="I104"/>
      <c r="J104"/>
      <c r="K104"/>
      <c r="L104"/>
      <c r="M104"/>
      <c r="N104"/>
      <c r="O104" s="995"/>
      <c r="BE104" s="126"/>
      <c r="BF104" s="126"/>
      <c r="BG104" s="126"/>
      <c r="BH104" s="126"/>
      <c r="BN104" s="86"/>
      <c r="BO104" s="126"/>
      <c r="BP104" s="1582">
        <v>24</v>
      </c>
      <c r="BQ104" s="78"/>
      <c r="BR104" s="78"/>
      <c r="BS104" s="78"/>
      <c r="BT104" s="78"/>
      <c r="BU104" s="78"/>
      <c r="BV104" s="78"/>
      <c r="BW104" s="78"/>
      <c r="BX104" s="78"/>
      <c r="BY104" s="78"/>
      <c r="BZ104" s="78"/>
      <c r="CA104" s="78"/>
      <c r="CB104" s="117" t="b">
        <f>IF(CN85=24,12)</f>
        <v>0</v>
      </c>
      <c r="CC104" s="111"/>
      <c r="CD104" s="111"/>
      <c r="CE104" s="111"/>
      <c r="CF104" s="111"/>
      <c r="CG104" s="111"/>
      <c r="CH104" s="118"/>
      <c r="CI104" s="111"/>
      <c r="CJ104" s="129"/>
      <c r="CK104" s="111"/>
      <c r="CL104" s="111"/>
      <c r="CM104" s="111"/>
      <c r="CN104" s="111"/>
      <c r="CO104" s="111"/>
      <c r="CP104" s="111"/>
      <c r="CQ104" s="111"/>
      <c r="CR104" s="111"/>
      <c r="CS104" s="111"/>
      <c r="CT104" s="118"/>
      <c r="CU104" s="119"/>
      <c r="CV104" s="119"/>
      <c r="CW104" s="119"/>
      <c r="CX104" s="119"/>
      <c r="CY104" s="119"/>
      <c r="CZ104" s="103" t="b">
        <f>IF(CN85=24,36)</f>
        <v>0</v>
      </c>
      <c r="DA104" s="76"/>
      <c r="DB104" s="76"/>
      <c r="DC104" s="78"/>
      <c r="DD104" s="78"/>
    </row>
    <row r="105" spans="5:108" ht="21" hidden="1" thickBot="1" x14ac:dyDescent="0.25">
      <c r="E105" s="397"/>
      <c r="F105" s="397"/>
      <c r="G105" s="998"/>
      <c r="H105"/>
      <c r="I105"/>
      <c r="J105"/>
      <c r="K105"/>
      <c r="L105"/>
      <c r="M105"/>
      <c r="N105"/>
      <c r="O105" s="995"/>
      <c r="BE105" s="126"/>
      <c r="BF105" s="126"/>
      <c r="BG105" s="126"/>
      <c r="BH105" s="126"/>
      <c r="BN105" s="86"/>
      <c r="BO105" s="126"/>
      <c r="BP105" s="1582">
        <v>23</v>
      </c>
      <c r="BQ105" s="78"/>
      <c r="BR105" s="78"/>
      <c r="BS105" s="78"/>
      <c r="BT105" s="78"/>
      <c r="BU105" s="78"/>
      <c r="BV105" s="78"/>
      <c r="BW105" s="78"/>
      <c r="BX105" s="78"/>
      <c r="BY105" s="78"/>
      <c r="BZ105" s="78"/>
      <c r="CA105" s="78"/>
      <c r="CB105" s="120" t="b">
        <f>IF(CM85=23,12)</f>
        <v>0</v>
      </c>
      <c r="CC105" s="121"/>
      <c r="CD105" s="121"/>
      <c r="CE105" s="121"/>
      <c r="CF105" s="122"/>
      <c r="CG105" s="121"/>
      <c r="CH105" s="132"/>
      <c r="CI105" s="121"/>
      <c r="CJ105" s="133"/>
      <c r="CK105" s="121"/>
      <c r="CL105" s="121"/>
      <c r="CM105" s="121"/>
      <c r="CN105" s="121"/>
      <c r="CO105" s="121"/>
      <c r="CP105" s="121"/>
      <c r="CQ105" s="121"/>
      <c r="CR105" s="121"/>
      <c r="CS105" s="121"/>
      <c r="CT105" s="122"/>
      <c r="CU105" s="123"/>
      <c r="CV105" s="123"/>
      <c r="CW105" s="123"/>
      <c r="CX105" s="124" t="b">
        <f>IF(CM85=23,34)</f>
        <v>0</v>
      </c>
      <c r="CY105" s="76"/>
      <c r="CZ105" s="76"/>
      <c r="DA105" s="76"/>
      <c r="DB105" s="76"/>
      <c r="DC105" s="78"/>
      <c r="DD105" s="78"/>
    </row>
    <row r="106" spans="5:108" ht="21" hidden="1" thickBot="1" x14ac:dyDescent="0.25">
      <c r="E106" s="397"/>
      <c r="F106" s="397"/>
      <c r="G106" s="998"/>
      <c r="H106"/>
      <c r="I106"/>
      <c r="J106"/>
      <c r="K106"/>
      <c r="L106"/>
      <c r="M106"/>
      <c r="N106"/>
      <c r="O106" s="995"/>
      <c r="U106" s="114"/>
      <c r="AB106" s="114"/>
      <c r="AC106" s="114"/>
      <c r="AD106" s="114"/>
      <c r="AE106" s="114"/>
      <c r="BE106" s="126"/>
      <c r="BF106" s="126"/>
      <c r="BG106" s="126"/>
      <c r="BH106" s="126"/>
      <c r="BN106" s="86"/>
      <c r="BO106" s="126"/>
      <c r="BP106" s="1582">
        <v>22</v>
      </c>
      <c r="BQ106" s="76"/>
      <c r="BR106" s="76"/>
      <c r="BS106" s="76"/>
      <c r="BT106" s="76"/>
      <c r="BU106" s="76"/>
      <c r="BV106" s="76"/>
      <c r="BW106" s="76"/>
      <c r="BX106" s="76"/>
      <c r="BY106" s="76"/>
      <c r="BZ106" s="76"/>
      <c r="CA106" s="76"/>
      <c r="CB106" s="120" t="b">
        <f>IF(CL85=22,12)</f>
        <v>0</v>
      </c>
      <c r="CC106" s="123"/>
      <c r="CD106" s="123"/>
      <c r="CE106" s="123"/>
      <c r="CF106" s="122"/>
      <c r="CG106" s="123"/>
      <c r="CH106" s="134"/>
      <c r="CI106" s="123"/>
      <c r="CJ106" s="135"/>
      <c r="CK106" s="123"/>
      <c r="CL106" s="123"/>
      <c r="CM106" s="123"/>
      <c r="CN106" s="123"/>
      <c r="CO106" s="121"/>
      <c r="CP106" s="121"/>
      <c r="CQ106" s="122"/>
      <c r="CR106" s="121"/>
      <c r="CS106" s="121"/>
      <c r="CT106" s="121"/>
      <c r="CU106" s="121"/>
      <c r="CV106" s="124" t="b">
        <f>IF(CL85=22,32)</f>
        <v>0</v>
      </c>
      <c r="CW106" s="78"/>
      <c r="CX106" s="78"/>
      <c r="CY106" s="78"/>
      <c r="CZ106" s="78"/>
      <c r="DA106" s="78"/>
      <c r="DB106" s="78"/>
      <c r="DC106" s="78"/>
      <c r="DD106" s="78"/>
    </row>
    <row r="107" spans="5:108" ht="21" hidden="1" thickBot="1" x14ac:dyDescent="0.25">
      <c r="E107" s="397"/>
      <c r="F107" s="397"/>
      <c r="G107" s="998"/>
      <c r="H107"/>
      <c r="I107"/>
      <c r="J107"/>
      <c r="K107"/>
      <c r="L107"/>
      <c r="M107"/>
      <c r="N107"/>
      <c r="O107" s="995"/>
      <c r="BE107" s="126"/>
      <c r="BF107" s="126"/>
      <c r="BG107" s="126"/>
      <c r="BH107" s="126"/>
      <c r="BN107" s="86"/>
      <c r="BO107" s="126"/>
      <c r="BP107" s="1582">
        <v>21</v>
      </c>
      <c r="BQ107" s="78"/>
      <c r="BR107" s="78"/>
      <c r="BS107" s="78"/>
      <c r="BT107" s="78"/>
      <c r="BU107" s="78"/>
      <c r="BV107" s="78"/>
      <c r="BW107" s="78"/>
      <c r="BX107" s="78"/>
      <c r="BY107" s="78"/>
      <c r="BZ107" s="78"/>
      <c r="CA107" s="78"/>
      <c r="CB107" s="120" t="b">
        <f>IF(CK85=21,12)</f>
        <v>0</v>
      </c>
      <c r="CC107" s="121"/>
      <c r="CD107" s="121"/>
      <c r="CE107" s="121"/>
      <c r="CF107" s="121"/>
      <c r="CG107" s="121"/>
      <c r="CH107" s="132"/>
      <c r="CI107" s="121"/>
      <c r="CJ107" s="133"/>
      <c r="CK107" s="121"/>
      <c r="CL107" s="121"/>
      <c r="CM107" s="121"/>
      <c r="CN107" s="121"/>
      <c r="CO107" s="121"/>
      <c r="CP107" s="121"/>
      <c r="CQ107" s="121"/>
      <c r="CR107" s="121"/>
      <c r="CS107" s="121"/>
      <c r="CT107" s="124" t="b">
        <f>IF(CK85=21,30)</f>
        <v>0</v>
      </c>
      <c r="CU107" s="76"/>
      <c r="CV107" s="76"/>
      <c r="CW107" s="76"/>
      <c r="CX107" s="76"/>
      <c r="CY107" s="76"/>
      <c r="CZ107" s="76"/>
      <c r="DA107" s="76"/>
      <c r="DB107" s="76"/>
      <c r="DC107" s="78"/>
      <c r="DD107" s="78"/>
    </row>
    <row r="108" spans="5:108" ht="21" hidden="1" thickBot="1" x14ac:dyDescent="0.25">
      <c r="E108" s="397"/>
      <c r="F108" s="397"/>
      <c r="G108" s="998"/>
      <c r="H108"/>
      <c r="I108"/>
      <c r="J108"/>
      <c r="K108"/>
      <c r="L108"/>
      <c r="M108"/>
      <c r="N108"/>
      <c r="O108" s="995"/>
      <c r="T108" s="401"/>
      <c r="BE108" s="136"/>
      <c r="BF108" s="136"/>
      <c r="BG108" s="136"/>
      <c r="BH108" s="136"/>
      <c r="BN108" s="86"/>
      <c r="BO108" s="1091"/>
      <c r="BP108" s="1582">
        <v>20</v>
      </c>
      <c r="BQ108" s="78"/>
      <c r="BR108" s="78"/>
      <c r="BS108" s="78"/>
      <c r="BT108" s="78"/>
      <c r="BU108" s="78"/>
      <c r="BV108" s="78"/>
      <c r="BW108" s="78"/>
      <c r="BX108" s="78"/>
      <c r="CA108" s="137"/>
      <c r="CB108" s="117" t="b">
        <f>IF(CJ85=20,12)</f>
        <v>0</v>
      </c>
      <c r="CC108" s="111"/>
      <c r="CD108" s="111"/>
      <c r="CE108" s="111"/>
      <c r="CF108" s="111"/>
      <c r="CG108" s="111"/>
      <c r="CH108" s="138"/>
      <c r="CI108" s="111"/>
      <c r="CJ108" s="129"/>
      <c r="CK108" s="111"/>
      <c r="CL108" s="111"/>
      <c r="CM108" s="111"/>
      <c r="CN108" s="111"/>
      <c r="CO108" s="111"/>
      <c r="CP108" s="111"/>
      <c r="CQ108" s="111"/>
      <c r="CR108" s="103" t="b">
        <f>IF(CJ85=20,28)</f>
        <v>0</v>
      </c>
      <c r="CS108" s="137"/>
      <c r="CU108" s="76"/>
      <c r="CV108" s="76"/>
      <c r="CW108" s="76"/>
      <c r="CX108" s="76"/>
      <c r="CY108" s="76"/>
      <c r="CZ108" s="76"/>
      <c r="DA108" s="76"/>
      <c r="DB108" s="76"/>
      <c r="DC108" s="78"/>
      <c r="DD108" s="78"/>
    </row>
    <row r="109" spans="5:108" ht="21" hidden="1" thickBot="1" x14ac:dyDescent="0.25">
      <c r="E109" s="397"/>
      <c r="F109" s="397"/>
      <c r="G109" s="998"/>
      <c r="H109"/>
      <c r="I109"/>
      <c r="J109"/>
      <c r="K109"/>
      <c r="L109"/>
      <c r="M109"/>
      <c r="N109"/>
      <c r="O109" s="995"/>
      <c r="U109" s="114"/>
      <c r="AB109" s="114"/>
      <c r="AC109" s="114"/>
      <c r="AD109" s="114"/>
      <c r="AE109" s="114"/>
      <c r="BE109" s="136"/>
      <c r="BF109" s="136"/>
      <c r="BG109" s="136"/>
      <c r="BH109" s="136"/>
      <c r="BN109" s="86"/>
      <c r="BO109" s="1091"/>
      <c r="BP109" s="1582">
        <v>19</v>
      </c>
      <c r="BQ109" s="78"/>
      <c r="BR109" s="78"/>
      <c r="BS109" s="78"/>
      <c r="BT109" s="78"/>
      <c r="BU109" s="78"/>
      <c r="BV109" s="78"/>
      <c r="BW109" s="78"/>
      <c r="BX109" s="78"/>
      <c r="BZ109" s="139"/>
      <c r="CA109" s="139"/>
      <c r="CB109" s="117" t="b">
        <f>IF(CI85=19,12)</f>
        <v>0</v>
      </c>
      <c r="CC109" s="119"/>
      <c r="CD109" s="119"/>
      <c r="CE109" s="118"/>
      <c r="CF109" s="119"/>
      <c r="CG109" s="119"/>
      <c r="CH109" s="140"/>
      <c r="CI109" s="119"/>
      <c r="CJ109" s="141"/>
      <c r="CK109" s="118"/>
      <c r="CL109" s="119"/>
      <c r="CM109" s="119"/>
      <c r="CN109" s="119"/>
      <c r="CO109" s="111"/>
      <c r="CP109" s="103" t="b">
        <f>IF(CI85=19,26)</f>
        <v>0</v>
      </c>
      <c r="CQ109" s="142"/>
      <c r="CR109" s="137"/>
      <c r="CT109" s="78"/>
      <c r="CU109" s="78"/>
      <c r="CV109" s="78"/>
      <c r="CW109" s="78"/>
      <c r="CX109" s="78"/>
      <c r="CY109" s="78"/>
      <c r="CZ109" s="78"/>
      <c r="DA109" s="78"/>
      <c r="DB109" s="78"/>
      <c r="DC109" s="78"/>
      <c r="DD109" s="78"/>
    </row>
    <row r="110" spans="5:108" ht="21" hidden="1" thickBot="1" x14ac:dyDescent="0.25">
      <c r="E110" s="397"/>
      <c r="F110" s="397"/>
      <c r="G110" s="998"/>
      <c r="H110"/>
      <c r="I110"/>
      <c r="J110"/>
      <c r="K110"/>
      <c r="L110"/>
      <c r="M110"/>
      <c r="N110"/>
      <c r="O110" s="995"/>
      <c r="U110" s="114"/>
      <c r="AB110" s="114"/>
      <c r="AC110" s="114"/>
      <c r="AD110" s="114"/>
      <c r="AE110" s="114"/>
      <c r="BE110" s="136"/>
      <c r="BF110" s="136"/>
      <c r="BG110" s="136"/>
      <c r="BH110" s="136"/>
      <c r="BN110" s="86"/>
      <c r="BO110" s="1091"/>
      <c r="BP110" s="1582">
        <v>18</v>
      </c>
      <c r="BQ110" s="76"/>
      <c r="BR110" s="76"/>
      <c r="BS110" s="76"/>
      <c r="BT110" s="76"/>
      <c r="BU110" s="76"/>
      <c r="BV110" s="76"/>
      <c r="BW110" s="76"/>
      <c r="BX110" s="76"/>
      <c r="BZ110" s="117" t="b">
        <f>IF(CH85=18,10)</f>
        <v>0</v>
      </c>
      <c r="CA110" s="119"/>
      <c r="CB110" s="119"/>
      <c r="CC110" s="119"/>
      <c r="CD110" s="119"/>
      <c r="CE110" s="118"/>
      <c r="CF110" s="119"/>
      <c r="CG110" s="119"/>
      <c r="CH110" s="140"/>
      <c r="CI110" s="119"/>
      <c r="CJ110" s="141"/>
      <c r="CK110" s="118"/>
      <c r="CL110" s="119"/>
      <c r="CM110" s="119"/>
      <c r="CN110" s="119"/>
      <c r="CO110" s="111"/>
      <c r="CP110" s="103" t="b">
        <f>IF(CH85=18,26)</f>
        <v>0</v>
      </c>
      <c r="CR110" s="78"/>
      <c r="CS110" s="78"/>
      <c r="CT110" s="78"/>
      <c r="CU110" s="78"/>
      <c r="CV110" s="78"/>
      <c r="CW110" s="78"/>
      <c r="CX110" s="78"/>
      <c r="CY110" s="78"/>
      <c r="CZ110" s="78"/>
      <c r="DA110" s="78"/>
      <c r="DB110" s="78"/>
      <c r="DC110" s="78"/>
      <c r="DD110" s="78"/>
    </row>
    <row r="111" spans="5:108" ht="21" hidden="1" thickBot="1" x14ac:dyDescent="0.25">
      <c r="E111" s="397"/>
      <c r="F111" s="397"/>
      <c r="G111" s="998"/>
      <c r="H111"/>
      <c r="I111"/>
      <c r="J111"/>
      <c r="K111"/>
      <c r="L111"/>
      <c r="M111"/>
      <c r="N111"/>
      <c r="O111" s="995"/>
      <c r="U111" s="114"/>
      <c r="AB111" s="114"/>
      <c r="AC111" s="114"/>
      <c r="AD111" s="114"/>
      <c r="AE111" s="114"/>
      <c r="BE111" s="136"/>
      <c r="BF111" s="136"/>
      <c r="BG111" s="136"/>
      <c r="BH111" s="136"/>
      <c r="BN111" s="86"/>
      <c r="BO111" s="1091"/>
      <c r="BP111" s="1582">
        <v>17</v>
      </c>
      <c r="BQ111" s="76"/>
      <c r="BR111" s="76"/>
      <c r="BS111" s="76"/>
      <c r="BT111" s="76"/>
      <c r="BU111" s="76"/>
      <c r="BV111" s="76"/>
      <c r="BW111" s="76"/>
      <c r="BX111" s="117">
        <f>IF(CG85=17,8)</f>
        <v>8</v>
      </c>
      <c r="BY111" s="118"/>
      <c r="BZ111" s="118"/>
      <c r="CA111" s="119"/>
      <c r="CB111" s="119"/>
      <c r="CC111" s="119"/>
      <c r="CD111" s="119"/>
      <c r="CE111" s="119"/>
      <c r="CF111" s="119"/>
      <c r="CG111" s="119"/>
      <c r="CH111" s="140"/>
      <c r="CI111" s="119"/>
      <c r="CJ111" s="141"/>
      <c r="CK111" s="119"/>
      <c r="CL111" s="119"/>
      <c r="CM111" s="119"/>
      <c r="CN111" s="118"/>
      <c r="CO111" s="118"/>
      <c r="CP111" s="103">
        <f>IF(CG85=17,26)</f>
        <v>26</v>
      </c>
      <c r="CQ111" s="78"/>
      <c r="CR111" s="78"/>
      <c r="CS111" s="78"/>
      <c r="CT111" s="78"/>
      <c r="CU111" s="78"/>
      <c r="CV111" s="78"/>
      <c r="CW111" s="78"/>
      <c r="CX111" s="78"/>
      <c r="CY111" s="78"/>
      <c r="CZ111" s="78"/>
      <c r="DA111" s="78"/>
      <c r="DB111" s="78"/>
      <c r="DC111" s="78"/>
      <c r="DD111" s="78"/>
    </row>
    <row r="112" spans="5:108" ht="21" hidden="1" thickBot="1" x14ac:dyDescent="0.25">
      <c r="E112" s="397"/>
      <c r="F112" s="397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E112" s="136"/>
      <c r="BF112" s="136"/>
      <c r="BG112" s="136"/>
      <c r="BH112" s="136"/>
      <c r="BN112" s="86"/>
      <c r="BO112" s="1091"/>
      <c r="BP112" s="1582">
        <v>16</v>
      </c>
      <c r="BQ112" s="76"/>
      <c r="BR112" s="76"/>
      <c r="BS112" s="76"/>
      <c r="BT112" s="76"/>
      <c r="BU112" s="76"/>
      <c r="BV112" s="145" t="b">
        <f>IF(CF85=16,6)</f>
        <v>0</v>
      </c>
      <c r="BW112" s="146"/>
      <c r="BX112" s="147"/>
      <c r="BY112" s="147"/>
      <c r="BZ112" s="146"/>
      <c r="CA112" s="146"/>
      <c r="CB112" s="146"/>
      <c r="CC112" s="146"/>
      <c r="CD112" s="146"/>
      <c r="CE112" s="146"/>
      <c r="CF112" s="146"/>
      <c r="CG112" s="146"/>
      <c r="CH112" s="148"/>
      <c r="CI112" s="146"/>
      <c r="CJ112" s="149"/>
      <c r="CK112" s="146"/>
      <c r="CL112" s="146"/>
      <c r="CM112" s="147"/>
      <c r="CN112" s="147"/>
      <c r="CO112" s="150"/>
      <c r="CP112" s="151" t="b">
        <f>IF(CF85=16,26)</f>
        <v>0</v>
      </c>
      <c r="CQ112" s="78"/>
      <c r="CR112" s="78"/>
      <c r="CS112" s="78"/>
      <c r="CT112" s="78"/>
      <c r="CU112" s="78"/>
      <c r="CV112" s="78"/>
      <c r="CW112" s="78"/>
      <c r="CX112" s="78"/>
      <c r="CY112" s="78"/>
      <c r="CZ112" s="78"/>
      <c r="DA112" s="78"/>
      <c r="DB112" s="78"/>
      <c r="DC112" s="78"/>
      <c r="DD112" s="78"/>
    </row>
    <row r="113" spans="2:108" ht="21" hidden="1" thickBot="1" x14ac:dyDescent="0.25">
      <c r="E113" s="397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E113" s="136"/>
      <c r="BF113" s="136"/>
      <c r="BG113" s="136"/>
      <c r="BH113" s="136"/>
      <c r="BN113" s="86"/>
      <c r="BO113" s="1091"/>
      <c r="BP113" s="1582">
        <v>15</v>
      </c>
      <c r="BQ113" s="76"/>
      <c r="BR113" s="76"/>
      <c r="BS113" s="76"/>
      <c r="BT113" s="117" t="b">
        <f>IF(CE85=15,4)</f>
        <v>0</v>
      </c>
      <c r="BU113" s="119"/>
      <c r="BV113" s="119"/>
      <c r="BW113" s="119"/>
      <c r="BX113" s="118"/>
      <c r="BY113" s="119"/>
      <c r="BZ113" s="119"/>
      <c r="CA113" s="118"/>
      <c r="CB113" s="119"/>
      <c r="CC113" s="119"/>
      <c r="CD113" s="119"/>
      <c r="CE113" s="119"/>
      <c r="CF113" s="119"/>
      <c r="CG113" s="119"/>
      <c r="CH113" s="140"/>
      <c r="CI113" s="118"/>
      <c r="CJ113" s="141"/>
      <c r="CK113" s="119"/>
      <c r="CL113" s="118"/>
      <c r="CM113" s="119"/>
      <c r="CN113" s="119"/>
      <c r="CO113" s="111"/>
      <c r="CP113" s="103" t="b">
        <f>IF(CE85=15,26)</f>
        <v>0</v>
      </c>
      <c r="CQ113" s="78"/>
      <c r="CR113" s="78"/>
      <c r="CS113" s="78"/>
      <c r="CT113" s="78"/>
      <c r="CU113" s="78"/>
      <c r="CV113" s="78"/>
      <c r="CW113" s="78"/>
      <c r="CX113" s="78"/>
      <c r="CY113" s="78"/>
      <c r="CZ113" s="78"/>
      <c r="DA113" s="78"/>
      <c r="DB113" s="78"/>
      <c r="DC113" s="78"/>
      <c r="DD113" s="78"/>
    </row>
    <row r="114" spans="2:108" ht="21" hidden="1" thickBot="1" x14ac:dyDescent="0.25">
      <c r="E114" s="397"/>
      <c r="F114" s="397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E114" s="136"/>
      <c r="BF114" s="136"/>
      <c r="BG114" s="136"/>
      <c r="BH114" s="136"/>
      <c r="BN114" s="86"/>
      <c r="BO114" s="1091"/>
      <c r="BP114" s="1582">
        <v>14</v>
      </c>
      <c r="BQ114" s="76"/>
      <c r="BR114" s="117" t="b">
        <f>IF(CD85=14,2)</f>
        <v>0</v>
      </c>
      <c r="BS114" s="119"/>
      <c r="BT114" s="119"/>
      <c r="BU114" s="119"/>
      <c r="BV114" s="118"/>
      <c r="BW114" s="119"/>
      <c r="BX114" s="119"/>
      <c r="BY114" s="118"/>
      <c r="BZ114" s="119"/>
      <c r="CA114" s="119"/>
      <c r="CB114" s="119"/>
      <c r="CC114" s="119"/>
      <c r="CD114" s="119"/>
      <c r="CE114" s="119"/>
      <c r="CF114" s="119"/>
      <c r="CG114" s="119"/>
      <c r="CH114" s="140"/>
      <c r="CI114" s="118"/>
      <c r="CJ114" s="141"/>
      <c r="CK114" s="119"/>
      <c r="CL114" s="118"/>
      <c r="CM114" s="119"/>
      <c r="CN114" s="119"/>
      <c r="CO114" s="111"/>
      <c r="CP114" s="103" t="b">
        <f>IF(CD85=14,26)</f>
        <v>0</v>
      </c>
      <c r="CQ114" s="78"/>
      <c r="CR114" s="78"/>
      <c r="CS114" s="78"/>
      <c r="CT114" s="78"/>
      <c r="CU114" s="78"/>
      <c r="CV114" s="78"/>
      <c r="CW114" s="78"/>
      <c r="CX114" s="78"/>
      <c r="CY114" s="78"/>
      <c r="CZ114" s="78"/>
      <c r="DA114" s="78"/>
      <c r="DB114" s="78"/>
      <c r="DC114" s="78"/>
      <c r="DD114" s="78"/>
    </row>
    <row r="115" spans="2:108" ht="21" hidden="1" thickBot="1" x14ac:dyDescent="0.25">
      <c r="E115" s="397"/>
      <c r="F115" s="397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36"/>
      <c r="BF115" s="136"/>
      <c r="BG115" s="136"/>
      <c r="BH115" s="136"/>
      <c r="BN115" s="86"/>
      <c r="BO115" s="1091"/>
      <c r="BP115" s="1582">
        <v>13</v>
      </c>
      <c r="BQ115" s="76"/>
      <c r="BR115" s="76"/>
      <c r="BS115" s="76"/>
      <c r="BU115" s="152"/>
      <c r="BV115" s="152"/>
      <c r="BW115" s="91"/>
      <c r="BX115" s="152"/>
      <c r="BY115" s="120" t="b">
        <f>IF(CC85=13,9)</f>
        <v>0</v>
      </c>
      <c r="BZ115" s="123"/>
      <c r="CA115" s="123"/>
      <c r="CB115" s="123"/>
      <c r="CC115" s="123"/>
      <c r="CD115" s="123"/>
      <c r="CE115" s="123"/>
      <c r="CF115" s="123"/>
      <c r="CG115" s="124" t="b">
        <f>IF(CC85=13,17)</f>
        <v>0</v>
      </c>
      <c r="CH115" s="153"/>
      <c r="CI115" s="91"/>
      <c r="CJ115" s="154"/>
      <c r="CK115" s="152"/>
      <c r="CM115" s="76"/>
      <c r="CN115" s="76"/>
      <c r="CO115" s="78"/>
      <c r="CP115" s="78"/>
      <c r="CQ115" s="78"/>
      <c r="CR115" s="78"/>
      <c r="CS115" s="78"/>
      <c r="CT115" s="78"/>
      <c r="CU115" s="78"/>
      <c r="CV115" s="78"/>
      <c r="CW115" s="78"/>
      <c r="CX115" s="78"/>
      <c r="CY115" s="78"/>
      <c r="CZ115" s="78"/>
      <c r="DA115" s="78"/>
      <c r="DB115" s="78"/>
      <c r="DC115" s="78"/>
      <c r="DD115" s="78"/>
    </row>
    <row r="116" spans="2:108" ht="21" hidden="1" thickBot="1" x14ac:dyDescent="0.25">
      <c r="D116" s="397"/>
      <c r="E116" s="397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E116" s="136"/>
      <c r="BF116" s="136"/>
      <c r="BG116" s="136"/>
      <c r="BH116" s="136"/>
      <c r="BN116" s="86"/>
      <c r="BO116" s="1091"/>
      <c r="BP116" s="1582">
        <v>12</v>
      </c>
      <c r="BQ116" s="76"/>
      <c r="BS116" s="139"/>
      <c r="BT116" s="139"/>
      <c r="BU116" s="142"/>
      <c r="BV116" s="139"/>
      <c r="BW116" s="117" t="b">
        <f>IF(CB85=12,7)</f>
        <v>0</v>
      </c>
      <c r="BX116" s="119"/>
      <c r="BY116" s="119"/>
      <c r="BZ116" s="119"/>
      <c r="CA116" s="119"/>
      <c r="CB116" s="119"/>
      <c r="CC116" s="119"/>
      <c r="CD116" s="119"/>
      <c r="CE116" s="119"/>
      <c r="CF116" s="119"/>
      <c r="CG116" s="103" t="b">
        <f>IF(CB85=12,17)</f>
        <v>0</v>
      </c>
      <c r="CH116" s="155"/>
      <c r="CI116" s="142"/>
      <c r="CJ116" s="156"/>
      <c r="CK116" s="139"/>
      <c r="CM116" s="76"/>
      <c r="CN116" s="76"/>
      <c r="CO116" s="78"/>
      <c r="CP116" s="78"/>
      <c r="CQ116" s="78"/>
      <c r="CR116" s="78"/>
      <c r="CS116" s="78"/>
      <c r="CT116" s="78"/>
      <c r="CU116" s="78"/>
      <c r="CV116" s="78"/>
      <c r="CW116" s="78"/>
      <c r="CX116" s="78"/>
      <c r="CY116" s="78"/>
      <c r="CZ116" s="78"/>
      <c r="DA116" s="78"/>
      <c r="DB116" s="78"/>
      <c r="DC116" s="78"/>
      <c r="DD116" s="78"/>
    </row>
    <row r="117" spans="2:108" ht="21" hidden="1" thickBot="1" x14ac:dyDescent="0.25">
      <c r="D117" s="397"/>
      <c r="E117" s="397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E117" s="136"/>
      <c r="BF117" s="136"/>
      <c r="BG117" s="136"/>
      <c r="BH117" s="136"/>
      <c r="BN117" s="86"/>
      <c r="BO117" s="1091"/>
      <c r="BP117" s="1582">
        <v>11</v>
      </c>
      <c r="BR117" s="152"/>
      <c r="BS117" s="91"/>
      <c r="BT117" s="152"/>
      <c r="BU117" s="117" t="b">
        <f>IF(CA85=11,5)</f>
        <v>0</v>
      </c>
      <c r="BV117" s="119"/>
      <c r="BW117" s="119"/>
      <c r="BX117" s="119"/>
      <c r="BY117" s="119"/>
      <c r="BZ117" s="119"/>
      <c r="CA117" s="119"/>
      <c r="CB117" s="119"/>
      <c r="CC117" s="119"/>
      <c r="CD117" s="119"/>
      <c r="CE117" s="119"/>
      <c r="CF117" s="119"/>
      <c r="CG117" s="103" t="b">
        <f>IF(CA85=11,17)</f>
        <v>0</v>
      </c>
      <c r="CH117" s="153"/>
      <c r="CI117" s="91"/>
      <c r="CJ117" s="154"/>
      <c r="CL117" s="76"/>
      <c r="CM117" s="76"/>
      <c r="CN117" s="76"/>
      <c r="CO117" s="78"/>
      <c r="CP117" s="78"/>
      <c r="CQ117" s="78"/>
      <c r="CR117" s="78"/>
      <c r="CS117" s="78"/>
      <c r="CT117" s="78"/>
      <c r="CU117" s="78"/>
      <c r="CV117" s="78"/>
      <c r="CW117" s="78"/>
      <c r="CX117" s="78"/>
      <c r="CY117" s="78"/>
      <c r="CZ117" s="78"/>
      <c r="DA117" s="78"/>
      <c r="DB117" s="78"/>
      <c r="DC117" s="78"/>
      <c r="DD117" s="78"/>
    </row>
    <row r="118" spans="2:108" ht="21" hidden="1" thickBot="1" x14ac:dyDescent="0.25">
      <c r="B118" s="399"/>
      <c r="C118" s="399"/>
      <c r="D118" s="397"/>
      <c r="E118" s="397"/>
      <c r="F118" s="397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E118" s="136"/>
      <c r="BF118" s="136"/>
      <c r="BG118" s="136"/>
      <c r="BH118" s="136"/>
      <c r="BN118" s="86"/>
      <c r="BO118" s="1091"/>
      <c r="BP118" s="1582">
        <v>10</v>
      </c>
      <c r="BR118" s="152"/>
      <c r="BS118" s="117" t="b">
        <f>IF(BZ85=10,3)</f>
        <v>0</v>
      </c>
      <c r="BT118" s="119"/>
      <c r="BU118" s="119"/>
      <c r="BV118" s="119"/>
      <c r="BW118" s="119"/>
      <c r="BX118" s="119"/>
      <c r="BY118" s="119"/>
      <c r="BZ118" s="119"/>
      <c r="CA118" s="119"/>
      <c r="CB118" s="119"/>
      <c r="CC118" s="119"/>
      <c r="CD118" s="119"/>
      <c r="CE118" s="119"/>
      <c r="CF118" s="119"/>
      <c r="CG118" s="103" t="b">
        <f>IF(BZ85=10,17)</f>
        <v>0</v>
      </c>
      <c r="CH118" s="153"/>
      <c r="CJ118" s="157"/>
      <c r="CK118" s="76"/>
      <c r="CL118" s="76"/>
      <c r="CM118" s="76"/>
      <c r="CN118" s="76"/>
      <c r="CO118" s="78"/>
      <c r="CP118" s="78"/>
      <c r="CQ118" s="78"/>
      <c r="CR118" s="78"/>
      <c r="CS118" s="78"/>
      <c r="CT118" s="78"/>
      <c r="CU118" s="78"/>
      <c r="CV118" s="78"/>
      <c r="CW118" s="78"/>
      <c r="CX118" s="78"/>
      <c r="CY118" s="78"/>
      <c r="CZ118" s="78"/>
      <c r="DA118" s="78"/>
      <c r="DB118" s="78"/>
      <c r="DC118" s="78"/>
      <c r="DD118" s="78"/>
    </row>
    <row r="119" spans="2:108" ht="21" hidden="1" thickBot="1" x14ac:dyDescent="0.25">
      <c r="B119" s="399"/>
      <c r="C119" s="399"/>
      <c r="D119" s="397"/>
      <c r="E119" s="397"/>
      <c r="F119" s="397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F119" s="136"/>
      <c r="BG119" s="136"/>
      <c r="BH119" s="136"/>
      <c r="BN119" s="86"/>
      <c r="BO119" s="1091"/>
      <c r="BP119" s="1582">
        <v>9</v>
      </c>
      <c r="BQ119" s="117" t="b">
        <f>IF(BY85=9,1)</f>
        <v>0</v>
      </c>
      <c r="BR119" s="119"/>
      <c r="BS119" s="119"/>
      <c r="BT119" s="119"/>
      <c r="BU119" s="119"/>
      <c r="BV119" s="119"/>
      <c r="BW119" s="119"/>
      <c r="BX119" s="119"/>
      <c r="BY119" s="119"/>
      <c r="BZ119" s="119"/>
      <c r="CA119" s="119"/>
      <c r="CB119" s="119"/>
      <c r="CC119" s="119"/>
      <c r="CD119" s="119"/>
      <c r="CE119" s="119"/>
      <c r="CF119" s="119"/>
      <c r="CG119" s="103" t="b">
        <f>IF(BY85=9,17)</f>
        <v>0</v>
      </c>
      <c r="CH119" s="76"/>
      <c r="CI119" s="76"/>
      <c r="CJ119" s="157"/>
      <c r="CK119" s="76"/>
      <c r="CL119" s="76"/>
      <c r="CM119" s="76"/>
      <c r="CN119" s="76"/>
      <c r="CO119" s="78"/>
      <c r="CP119" s="78"/>
      <c r="CQ119" s="78"/>
      <c r="CR119" s="78"/>
      <c r="CS119" s="78"/>
      <c r="CT119" s="78"/>
      <c r="CU119" s="78"/>
      <c r="CV119" s="78"/>
      <c r="CW119" s="78"/>
      <c r="CX119" s="78"/>
      <c r="CY119" s="78"/>
      <c r="CZ119" s="78"/>
      <c r="DA119" s="78"/>
      <c r="DB119" s="78"/>
      <c r="DC119" s="78"/>
      <c r="DD119" s="78"/>
    </row>
    <row r="120" spans="2:108" ht="21" hidden="1" thickBot="1" x14ac:dyDescent="0.25">
      <c r="B120" s="401"/>
      <c r="E120" s="397"/>
      <c r="F120" s="397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E120" s="136"/>
      <c r="BF120" s="136"/>
      <c r="BG120" s="136"/>
      <c r="BH120" s="136"/>
      <c r="BN120" s="86"/>
      <c r="BO120" s="1091"/>
      <c r="BP120" s="1582">
        <v>8</v>
      </c>
      <c r="BQ120" s="117" t="b">
        <f>IF(BX85=8,1)</f>
        <v>0</v>
      </c>
      <c r="BR120" s="119"/>
      <c r="BS120" s="118"/>
      <c r="BT120" s="119"/>
      <c r="BU120" s="119"/>
      <c r="BV120" s="119"/>
      <c r="BW120" s="119"/>
      <c r="BX120" s="119"/>
      <c r="BY120" s="119"/>
      <c r="BZ120" s="119"/>
      <c r="CA120" s="119"/>
      <c r="CB120" s="119"/>
      <c r="CC120" s="118"/>
      <c r="CD120" s="119"/>
      <c r="CE120" s="103" t="b">
        <f>IF(BX85=8,15)</f>
        <v>0</v>
      </c>
      <c r="CF120" s="76"/>
      <c r="CG120" s="76"/>
      <c r="CH120" s="158"/>
      <c r="CI120" s="76"/>
      <c r="CJ120" s="157"/>
      <c r="CK120" s="76"/>
      <c r="CL120" s="76"/>
      <c r="CM120" s="76"/>
      <c r="CN120" s="76"/>
      <c r="CO120" s="78"/>
      <c r="CP120" s="78"/>
      <c r="CQ120" s="78"/>
      <c r="CR120" s="78"/>
      <c r="CS120" s="78"/>
      <c r="CT120" s="78"/>
      <c r="CU120" s="78"/>
      <c r="CV120" s="78"/>
      <c r="CW120" s="78"/>
      <c r="CX120" s="78"/>
      <c r="CY120" s="78"/>
      <c r="CZ120" s="78"/>
      <c r="DA120" s="78"/>
      <c r="DB120" s="78"/>
      <c r="DC120" s="78"/>
      <c r="DD120" s="78"/>
    </row>
    <row r="121" spans="2:108" ht="21" hidden="1" thickBot="1" x14ac:dyDescent="0.25">
      <c r="B121" s="399"/>
      <c r="C121" s="399"/>
      <c r="D121" s="397"/>
      <c r="E121" s="397"/>
      <c r="F121" s="397"/>
      <c r="G121" s="998"/>
      <c r="H121"/>
      <c r="I121"/>
      <c r="J121"/>
      <c r="K121"/>
      <c r="L121"/>
      <c r="M121"/>
      <c r="N121"/>
      <c r="O121" s="995"/>
      <c r="U121" s="114"/>
      <c r="AB121" s="114"/>
      <c r="AC121" s="114"/>
      <c r="AD121" s="114"/>
      <c r="AE121" s="114"/>
      <c r="BF121" s="136"/>
      <c r="BG121" s="136"/>
      <c r="BH121" s="136"/>
      <c r="BN121" s="86"/>
      <c r="BO121" s="1091"/>
      <c r="BP121" s="1582">
        <v>7</v>
      </c>
      <c r="BQ121" s="117" t="b">
        <f>IF(BW85=7,1)</f>
        <v>0</v>
      </c>
      <c r="BR121" s="118"/>
      <c r="BS121" s="119"/>
      <c r="BT121" s="119"/>
      <c r="BU121" s="119"/>
      <c r="BV121" s="119"/>
      <c r="BW121" s="119"/>
      <c r="BX121" s="119"/>
      <c r="BY121" s="119"/>
      <c r="BZ121" s="119"/>
      <c r="CA121" s="118"/>
      <c r="CB121" s="118"/>
      <c r="CC121" s="103" t="b">
        <f>IF(BW85=7,13)</f>
        <v>0</v>
      </c>
      <c r="CD121" s="76"/>
      <c r="CE121" s="76"/>
      <c r="CF121" s="76"/>
      <c r="CG121" s="76"/>
      <c r="CH121" s="158"/>
      <c r="CI121" s="76"/>
      <c r="CJ121" s="157"/>
      <c r="CK121" s="76"/>
      <c r="CL121" s="76"/>
      <c r="CM121" s="76"/>
      <c r="CN121" s="76"/>
      <c r="CO121" s="78"/>
      <c r="CP121" s="78"/>
      <c r="CQ121" s="78"/>
      <c r="CR121" s="78"/>
      <c r="CS121" s="78"/>
      <c r="CT121" s="78"/>
      <c r="CU121" s="78"/>
      <c r="CV121" s="78"/>
      <c r="CW121" s="78"/>
      <c r="CX121" s="78"/>
      <c r="CY121" s="78"/>
      <c r="CZ121" s="78"/>
      <c r="DA121" s="78"/>
      <c r="DB121" s="78"/>
      <c r="DC121" s="78"/>
      <c r="DD121" s="78"/>
    </row>
    <row r="122" spans="2:108" ht="21" hidden="1" thickBot="1" x14ac:dyDescent="0.25">
      <c r="B122" s="399"/>
      <c r="C122" s="399"/>
      <c r="D122" s="397"/>
      <c r="E122" s="397"/>
      <c r="F122" s="397"/>
      <c r="G122" s="998"/>
      <c r="H122"/>
      <c r="I122"/>
      <c r="J122"/>
      <c r="K122"/>
      <c r="L122"/>
      <c r="M122"/>
      <c r="N122"/>
      <c r="O122" s="995"/>
      <c r="U122" s="114"/>
      <c r="AB122" s="114"/>
      <c r="AC122" s="114"/>
      <c r="AD122" s="114"/>
      <c r="AE122" s="114"/>
      <c r="BF122" s="136"/>
      <c r="BG122" s="136"/>
      <c r="BH122" s="136"/>
      <c r="BN122" s="86"/>
      <c r="BO122" s="1091"/>
      <c r="BP122" s="1582">
        <v>6</v>
      </c>
      <c r="BQ122" s="120" t="b">
        <f>IF(BV85=6,1)</f>
        <v>0</v>
      </c>
      <c r="BR122" s="123"/>
      <c r="BS122" s="123"/>
      <c r="BT122" s="123"/>
      <c r="BU122" s="123"/>
      <c r="BV122" s="123"/>
      <c r="BW122" s="123"/>
      <c r="BX122" s="123"/>
      <c r="BY122" s="123"/>
      <c r="BZ122" s="123"/>
      <c r="CA122" s="124" t="b">
        <f>IF(BV85=6,11)</f>
        <v>0</v>
      </c>
      <c r="CB122" s="76"/>
      <c r="CC122" s="76"/>
      <c r="CD122" s="76"/>
      <c r="CE122" s="76"/>
      <c r="CF122" s="76"/>
      <c r="CG122" s="76"/>
      <c r="CH122" s="158"/>
      <c r="CI122" s="76"/>
      <c r="CJ122" s="157"/>
      <c r="CK122" s="76"/>
      <c r="CL122" s="76"/>
      <c r="CM122" s="76"/>
      <c r="CN122" s="76"/>
      <c r="CO122" s="78"/>
      <c r="CP122" s="78"/>
      <c r="CQ122" s="78"/>
      <c r="CR122" s="78"/>
      <c r="CS122" s="78"/>
      <c r="CT122" s="78"/>
      <c r="CU122" s="78"/>
      <c r="CV122" s="78"/>
      <c r="CW122" s="78"/>
      <c r="CX122" s="78"/>
      <c r="CY122" s="78"/>
      <c r="CZ122" s="78"/>
      <c r="DA122" s="78"/>
      <c r="DB122" s="78"/>
      <c r="DC122" s="78"/>
      <c r="DD122" s="78"/>
    </row>
    <row r="123" spans="2:108" ht="21" hidden="1" thickBot="1" x14ac:dyDescent="0.25">
      <c r="B123" s="19"/>
      <c r="C123" s="399"/>
      <c r="D123" s="397"/>
      <c r="E123" s="19"/>
      <c r="F123" s="397"/>
      <c r="G123" s="998"/>
      <c r="H123"/>
      <c r="I123"/>
      <c r="J123"/>
      <c r="K123"/>
      <c r="L123"/>
      <c r="M123"/>
      <c r="N123"/>
      <c r="O123" s="995"/>
      <c r="U123" s="114"/>
      <c r="AB123" s="114"/>
      <c r="AC123" s="114"/>
      <c r="AD123" s="114"/>
      <c r="AE123" s="114"/>
      <c r="BE123" s="136"/>
      <c r="BF123" s="136"/>
      <c r="BG123" s="136"/>
      <c r="BH123" s="136"/>
      <c r="BN123" s="86"/>
      <c r="BO123" s="1091"/>
      <c r="BP123" s="1582">
        <v>5</v>
      </c>
      <c r="BQ123" s="120" t="b">
        <f>IF(BU85=5,1)</f>
        <v>0</v>
      </c>
      <c r="BR123" s="122"/>
      <c r="BS123" s="123"/>
      <c r="BT123" s="123"/>
      <c r="BU123" s="123"/>
      <c r="BV123" s="123"/>
      <c r="BW123" s="123"/>
      <c r="BX123" s="122"/>
      <c r="BY123" s="124" t="b">
        <f>IF(BU85=5,9)</f>
        <v>0</v>
      </c>
      <c r="BZ123" s="76"/>
      <c r="CA123" s="76"/>
      <c r="CB123" s="76"/>
      <c r="CC123" s="76"/>
      <c r="CD123" s="76"/>
      <c r="CE123" s="76"/>
      <c r="CF123" s="76"/>
      <c r="CG123" s="76"/>
      <c r="CH123" s="158"/>
      <c r="CI123" s="76"/>
      <c r="CJ123" s="157"/>
      <c r="CK123" s="76"/>
      <c r="CL123" s="76"/>
      <c r="CM123" s="76"/>
      <c r="CN123" s="76"/>
      <c r="CO123" s="78"/>
      <c r="CP123" s="78"/>
      <c r="CQ123" s="78"/>
      <c r="CR123" s="78"/>
      <c r="CS123" s="78"/>
      <c r="CT123" s="78"/>
      <c r="CU123" s="78"/>
      <c r="CV123" s="78"/>
      <c r="CW123" s="78"/>
      <c r="CX123" s="78"/>
      <c r="CY123" s="78"/>
      <c r="CZ123" s="78"/>
      <c r="DA123" s="78"/>
      <c r="DB123" s="78"/>
      <c r="DC123" s="78"/>
      <c r="DD123" s="78"/>
    </row>
    <row r="124" spans="2:108" ht="127" hidden="1" thickBot="1" x14ac:dyDescent="0.25">
      <c r="E124" s="397"/>
      <c r="F124" s="39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114"/>
      <c r="AB124" s="114"/>
      <c r="AC124" s="114"/>
      <c r="AD124" s="114"/>
      <c r="AE124" s="114"/>
      <c r="BF124" s="136"/>
      <c r="BG124" s="136"/>
      <c r="BH124" s="136"/>
      <c r="BN124" s="86"/>
      <c r="BO124" s="1091"/>
      <c r="BP124" s="1582">
        <v>4</v>
      </c>
      <c r="BQ124" s="120" t="b">
        <f>IF(BT85=4,1)</f>
        <v>0</v>
      </c>
      <c r="BR124" s="123"/>
      <c r="BS124" s="123"/>
      <c r="BT124" s="123"/>
      <c r="BU124" s="123"/>
      <c r="BV124" s="123"/>
      <c r="BW124" s="124" t="b">
        <f>IF(BT85=4,7)</f>
        <v>0</v>
      </c>
      <c r="BX124" s="76"/>
      <c r="BY124" s="159"/>
      <c r="BZ124" s="159"/>
      <c r="CA124" s="76"/>
      <c r="CB124" s="159"/>
      <c r="CC124" s="76"/>
      <c r="CD124" s="76"/>
      <c r="CE124" s="76"/>
      <c r="CF124" s="76"/>
      <c r="CG124" s="76"/>
      <c r="CH124" s="158"/>
      <c r="CI124" s="76"/>
      <c r="CJ124" s="157"/>
      <c r="CK124" s="76"/>
      <c r="CL124" s="76"/>
      <c r="CM124" s="76"/>
      <c r="CN124" s="76"/>
      <c r="CO124" s="78"/>
      <c r="CP124" s="78"/>
      <c r="CQ124" s="78"/>
      <c r="CR124" s="78"/>
      <c r="CS124" s="78"/>
      <c r="CT124" s="78"/>
      <c r="CU124" s="78"/>
      <c r="CV124" s="78"/>
      <c r="CW124" s="78"/>
      <c r="CX124" s="78"/>
      <c r="CY124" s="78"/>
      <c r="CZ124" s="78"/>
      <c r="DA124" s="78"/>
      <c r="DB124" s="78"/>
      <c r="DC124" s="78"/>
      <c r="DD124" s="78"/>
    </row>
    <row r="125" spans="2:108" ht="64" hidden="1" thickBot="1" x14ac:dyDescent="0.25">
      <c r="E125" s="397"/>
      <c r="F125" s="39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114"/>
      <c r="AB125" s="114"/>
      <c r="AC125" s="114"/>
      <c r="AD125" s="114"/>
      <c r="AE125" s="114"/>
      <c r="BE125" s="136"/>
      <c r="BF125" s="136"/>
      <c r="BG125" s="136"/>
      <c r="BH125" s="136"/>
      <c r="BN125" s="86"/>
      <c r="BO125" s="1091"/>
      <c r="BP125" s="1582">
        <v>3</v>
      </c>
      <c r="BQ125" s="120" t="b">
        <f>IF(BS85=3,1)</f>
        <v>0</v>
      </c>
      <c r="BR125" s="123"/>
      <c r="BS125" s="123"/>
      <c r="BT125" s="123"/>
      <c r="BU125" s="124" t="b">
        <f>IF(BS85=3,5)</f>
        <v>0</v>
      </c>
      <c r="BV125" s="76"/>
      <c r="BW125" s="76"/>
      <c r="BX125" s="76"/>
      <c r="BY125" s="76"/>
      <c r="BZ125" s="76"/>
      <c r="CA125" s="76"/>
      <c r="CB125" s="76"/>
      <c r="CC125" s="76"/>
      <c r="CD125" s="76"/>
      <c r="CE125" s="76"/>
      <c r="CF125" s="76"/>
      <c r="CG125" s="76"/>
      <c r="CH125" s="158"/>
      <c r="CI125" s="76"/>
      <c r="CJ125" s="157"/>
      <c r="CK125" s="76"/>
      <c r="CL125" s="76"/>
      <c r="CM125" s="76"/>
      <c r="CN125" s="76"/>
      <c r="CO125" s="78"/>
      <c r="CP125" s="78"/>
      <c r="CQ125" s="78"/>
      <c r="CR125" s="78"/>
      <c r="CS125" s="78"/>
      <c r="CT125" s="78"/>
      <c r="CU125" s="78"/>
      <c r="CV125" s="78"/>
      <c r="CW125" s="78"/>
      <c r="CX125" s="78"/>
      <c r="CY125" s="78"/>
      <c r="CZ125" s="78"/>
      <c r="DA125" s="78"/>
      <c r="DB125" s="78"/>
      <c r="DC125" s="78"/>
      <c r="DD125" s="78"/>
    </row>
    <row r="126" spans="2:108" ht="97" hidden="1" thickBot="1" x14ac:dyDescent="0.3">
      <c r="E126" s="397"/>
      <c r="F126" s="397"/>
      <c r="G126" s="998"/>
      <c r="H126" s="1067" t="s">
        <v>260</v>
      </c>
      <c r="I126" s="1052">
        <f>+MIN(K31:L32)</f>
        <v>39.448078925557148</v>
      </c>
      <c r="J126" s="1052">
        <f>+MIN(J37:K38)</f>
        <v>62.794348508634222</v>
      </c>
      <c r="K126" s="1053">
        <f>+MIN(J43:L44)</f>
        <v>62.794348508634222</v>
      </c>
      <c r="L126" s="1054">
        <f>+MIN(J49:L50)</f>
        <v>27.170631566235961</v>
      </c>
      <c r="M126" s="1055">
        <f>+MIN(J55:L56)</f>
        <v>62.794348508634222</v>
      </c>
      <c r="N126"/>
      <c r="O126" s="995"/>
      <c r="U126" s="114"/>
      <c r="AB126" s="114"/>
      <c r="AC126" s="114"/>
      <c r="AD126" s="114"/>
      <c r="AE126" s="114"/>
      <c r="BE126" s="136"/>
      <c r="BF126" s="136"/>
      <c r="BG126" s="136"/>
      <c r="BH126" s="136"/>
      <c r="BN126" s="86"/>
      <c r="BO126" s="1091"/>
      <c r="BP126" s="1582">
        <v>2</v>
      </c>
      <c r="BQ126" s="160" t="b">
        <f>IF(BR85=2,1)</f>
        <v>0</v>
      </c>
      <c r="BR126" s="161"/>
      <c r="BS126" s="162" t="b">
        <f>IF(BR85=2,3)</f>
        <v>0</v>
      </c>
      <c r="BT126" s="76"/>
      <c r="BU126" s="76"/>
      <c r="BV126" s="76"/>
      <c r="BW126" s="76"/>
      <c r="BX126" s="76"/>
      <c r="BY126" s="76"/>
      <c r="BZ126" s="76"/>
      <c r="CA126" s="76"/>
      <c r="CB126" s="76"/>
      <c r="CC126" s="76"/>
      <c r="CD126" s="76"/>
      <c r="CE126" s="76"/>
      <c r="CF126" s="76"/>
      <c r="CG126" s="76"/>
      <c r="CH126" s="158"/>
      <c r="CI126" s="76"/>
      <c r="CJ126" s="157"/>
      <c r="CK126" s="76"/>
      <c r="CL126" s="76"/>
      <c r="CM126" s="76"/>
      <c r="CN126" s="76"/>
      <c r="CO126" s="78"/>
      <c r="CP126" s="78"/>
      <c r="CQ126" s="78"/>
      <c r="CR126" s="78"/>
      <c r="CS126" s="78"/>
      <c r="CT126" s="78"/>
      <c r="CU126" s="78"/>
      <c r="CV126" s="78"/>
      <c r="CW126" s="78"/>
      <c r="CX126" s="78"/>
      <c r="CY126" s="78"/>
      <c r="CZ126" s="78"/>
      <c r="DA126" s="78"/>
      <c r="DB126" s="78"/>
      <c r="DC126" s="78"/>
      <c r="DD126" s="78"/>
    </row>
    <row r="127" spans="2:108" ht="21" hidden="1" thickBot="1" x14ac:dyDescent="0.25">
      <c r="E127" s="397"/>
      <c r="F127" s="397"/>
      <c r="G127" s="1583"/>
      <c r="H127" s="126"/>
      <c r="I127" s="126"/>
      <c r="J127" s="126"/>
      <c r="K127" s="126"/>
      <c r="L127" s="126"/>
      <c r="M127" s="126"/>
      <c r="N127" s="126"/>
      <c r="O127" s="1584"/>
      <c r="U127" s="114"/>
      <c r="AB127" s="114"/>
      <c r="AC127" s="114"/>
      <c r="AD127" s="114"/>
      <c r="AE127" s="114"/>
      <c r="BE127" s="136"/>
      <c r="BF127" s="136"/>
      <c r="BG127" s="136"/>
      <c r="BH127" s="136"/>
      <c r="BN127" s="86"/>
      <c r="BO127" s="1091"/>
      <c r="BP127" s="163"/>
      <c r="BQ127" s="164">
        <f>SUM(BQ92:BQ126)</f>
        <v>0</v>
      </c>
      <c r="BR127" s="164">
        <f t="shared" ref="BR127:DA127" si="3">SUM(BR92:BR126)</f>
        <v>0</v>
      </c>
      <c r="BS127" s="164">
        <f t="shared" si="3"/>
        <v>0</v>
      </c>
      <c r="BT127" s="164">
        <f t="shared" si="3"/>
        <v>0</v>
      </c>
      <c r="BU127" s="164">
        <f t="shared" si="3"/>
        <v>0</v>
      </c>
      <c r="BV127" s="164">
        <f t="shared" si="3"/>
        <v>0</v>
      </c>
      <c r="BW127" s="164">
        <f t="shared" si="3"/>
        <v>0</v>
      </c>
      <c r="BX127" s="164">
        <f t="shared" si="3"/>
        <v>8</v>
      </c>
      <c r="BY127" s="164">
        <f t="shared" si="3"/>
        <v>0</v>
      </c>
      <c r="BZ127" s="164">
        <f t="shared" si="3"/>
        <v>0</v>
      </c>
      <c r="CA127" s="164">
        <f t="shared" si="3"/>
        <v>0</v>
      </c>
      <c r="CB127" s="164">
        <f t="shared" si="3"/>
        <v>0</v>
      </c>
      <c r="CC127" s="164">
        <f t="shared" si="3"/>
        <v>0</v>
      </c>
      <c r="CD127" s="164">
        <f t="shared" si="3"/>
        <v>0</v>
      </c>
      <c r="CE127" s="164">
        <f t="shared" si="3"/>
        <v>0</v>
      </c>
      <c r="CF127" s="164">
        <f t="shared" si="3"/>
        <v>0</v>
      </c>
      <c r="CG127" s="165">
        <f t="shared" si="3"/>
        <v>0</v>
      </c>
      <c r="CH127" s="166"/>
      <c r="CI127" s="167"/>
      <c r="CJ127" s="168"/>
      <c r="CK127" s="169">
        <f t="shared" si="3"/>
        <v>0</v>
      </c>
      <c r="CL127" s="164">
        <f t="shared" si="3"/>
        <v>0</v>
      </c>
      <c r="CM127" s="164">
        <f t="shared" si="3"/>
        <v>0</v>
      </c>
      <c r="CN127" s="164">
        <f t="shared" si="3"/>
        <v>0</v>
      </c>
      <c r="CO127" s="164">
        <f t="shared" si="3"/>
        <v>0</v>
      </c>
      <c r="CP127" s="164">
        <f t="shared" si="3"/>
        <v>26</v>
      </c>
      <c r="CQ127" s="164">
        <f t="shared" si="3"/>
        <v>0</v>
      </c>
      <c r="CR127" s="164">
        <f t="shared" si="3"/>
        <v>0</v>
      </c>
      <c r="CS127" s="164">
        <f t="shared" si="3"/>
        <v>0</v>
      </c>
      <c r="CT127" s="164">
        <f t="shared" si="3"/>
        <v>0</v>
      </c>
      <c r="CU127" s="164">
        <f t="shared" si="3"/>
        <v>0</v>
      </c>
      <c r="CV127" s="164">
        <f t="shared" si="3"/>
        <v>0</v>
      </c>
      <c r="CW127" s="164">
        <f t="shared" si="3"/>
        <v>0</v>
      </c>
      <c r="CX127" s="164">
        <f t="shared" si="3"/>
        <v>0</v>
      </c>
      <c r="CY127" s="164">
        <f t="shared" si="3"/>
        <v>0</v>
      </c>
      <c r="CZ127" s="164">
        <f t="shared" si="3"/>
        <v>0</v>
      </c>
      <c r="DA127" s="164">
        <f t="shared" si="3"/>
        <v>0</v>
      </c>
      <c r="DB127" s="78"/>
      <c r="DC127" s="78"/>
      <c r="DD127" s="78"/>
    </row>
    <row r="128" spans="2:108" ht="49.5" hidden="1" customHeight="1" thickBot="1" x14ac:dyDescent="0.25">
      <c r="E128" s="397"/>
      <c r="F128" s="397"/>
      <c r="G128" s="998"/>
      <c r="H128" s="201"/>
      <c r="I128" s="201"/>
      <c r="J128" s="201"/>
      <c r="K128" s="201"/>
      <c r="L128" s="201"/>
      <c r="M128" s="201"/>
      <c r="N128" s="201"/>
      <c r="O128" s="1013"/>
      <c r="U128" s="114"/>
      <c r="AB128" s="114"/>
      <c r="AC128" s="114"/>
      <c r="AD128" s="114"/>
      <c r="AE128" s="114"/>
      <c r="BE128" s="136"/>
      <c r="BF128" s="136"/>
      <c r="BG128" s="136"/>
      <c r="BH128" s="136"/>
      <c r="BN128" s="86"/>
      <c r="BO128" s="1091"/>
      <c r="BP128" s="163"/>
      <c r="BQ128" s="170"/>
      <c r="BR128" s="170"/>
      <c r="BS128" s="170"/>
      <c r="BT128" s="170"/>
      <c r="BU128" s="170"/>
      <c r="BV128" s="170"/>
      <c r="BW128" s="170"/>
      <c r="BX128" s="170"/>
      <c r="BY128" s="170"/>
      <c r="BZ128" s="170"/>
      <c r="CA128" s="170"/>
      <c r="CB128" s="170"/>
      <c r="CC128" s="170"/>
      <c r="CD128" s="170"/>
      <c r="CE128" s="170"/>
      <c r="CF128" s="170"/>
      <c r="CG128" s="170"/>
      <c r="CH128" s="170"/>
      <c r="CI128" s="170"/>
      <c r="CJ128" s="170"/>
      <c r="CK128" s="171"/>
      <c r="CL128" s="170"/>
      <c r="CM128" s="170"/>
      <c r="CN128" s="170"/>
      <c r="CO128" s="170"/>
      <c r="CP128" s="170"/>
      <c r="CQ128" s="170"/>
      <c r="CR128" s="170"/>
      <c r="CS128" s="170"/>
      <c r="CT128" s="170"/>
      <c r="CU128" s="170"/>
      <c r="CV128" s="170"/>
      <c r="CW128" s="170"/>
      <c r="CX128" s="170"/>
      <c r="CY128" s="170"/>
      <c r="CZ128" s="170"/>
      <c r="DA128" s="170"/>
      <c r="DB128" s="78"/>
      <c r="DC128" s="78"/>
      <c r="DD128" s="78"/>
    </row>
    <row r="129" spans="2:110" ht="49.5" customHeight="1" thickBot="1" x14ac:dyDescent="0.3">
      <c r="B129" s="408"/>
      <c r="D129" s="409" t="str">
        <f>IF(BL137&gt;0," ","change the angle of frame or of cabinets")</f>
        <v xml:space="preserve"> </v>
      </c>
      <c r="E129" s="397"/>
      <c r="F129" s="397"/>
      <c r="G129" s="998"/>
      <c r="H129"/>
      <c r="I129"/>
      <c r="J129"/>
      <c r="K129"/>
      <c r="L129"/>
      <c r="M129"/>
      <c r="N129"/>
      <c r="O129" s="995"/>
      <c r="U129" s="114"/>
      <c r="AB129" s="114"/>
      <c r="AC129" s="114"/>
      <c r="AD129" s="114"/>
      <c r="AE129" s="114"/>
      <c r="AL129" s="835" t="s">
        <v>174</v>
      </c>
      <c r="AM129" s="836"/>
      <c r="AN129" s="836"/>
      <c r="AO129" s="836"/>
      <c r="AP129" s="837" t="s">
        <v>178</v>
      </c>
      <c r="BE129" s="136"/>
      <c r="BF129" s="136"/>
      <c r="BG129" s="136"/>
      <c r="BH129" s="136"/>
      <c r="BN129" s="86"/>
      <c r="BO129" s="1095" t="s">
        <v>128</v>
      </c>
      <c r="BP129" s="172" t="s">
        <v>124</v>
      </c>
      <c r="BQ129" s="750" t="str">
        <f>IF(BQ127=1,17,"")</f>
        <v/>
      </c>
      <c r="BR129" s="751" t="str">
        <f>IF(BR127=2,16,"")</f>
        <v/>
      </c>
      <c r="BS129" s="751" t="str">
        <f>IF(BS127=3,15,"")</f>
        <v/>
      </c>
      <c r="BT129" s="751" t="str">
        <f>IF(BT127=4,14,"")</f>
        <v/>
      </c>
      <c r="BU129" s="751" t="str">
        <f>IF(BU127=5,13,"")</f>
        <v/>
      </c>
      <c r="BV129" s="751" t="str">
        <f>IF(BV127=6,12,"")</f>
        <v/>
      </c>
      <c r="BW129" s="751" t="str">
        <f>IF(BW127=7,11,"")</f>
        <v/>
      </c>
      <c r="BX129" s="751">
        <f>IF(BX127=8,10,"")</f>
        <v>10</v>
      </c>
      <c r="BY129" s="751" t="str">
        <f>IF(BY127=9,9,"")</f>
        <v/>
      </c>
      <c r="BZ129" s="751" t="str">
        <f>IF(BZ127=10,8,"")</f>
        <v/>
      </c>
      <c r="CA129" s="751" t="str">
        <f>IF(CA127=11,7,"")</f>
        <v/>
      </c>
      <c r="CB129" s="752" t="str">
        <f>IF(CB127=12,"6  ADS ","")</f>
        <v/>
      </c>
      <c r="CC129" s="751" t="str">
        <f>IF(CC127=13,5,"")</f>
        <v/>
      </c>
      <c r="CD129" s="751" t="str">
        <f>IF(CD127=14,4,"")</f>
        <v/>
      </c>
      <c r="CE129" s="751" t="str">
        <f>IF(CE127=15,3,"")</f>
        <v/>
      </c>
      <c r="CF129" s="751" t="str">
        <f>IF(CF127=16,2,"")</f>
        <v/>
      </c>
      <c r="CG129" s="751" t="str">
        <f>IF(CG127=17,1,"")</f>
        <v/>
      </c>
      <c r="CH129" s="173"/>
      <c r="CI129" s="174"/>
      <c r="CJ129" s="175"/>
      <c r="CK129" s="753" t="str">
        <f>IF(CK127=21,1,"")</f>
        <v/>
      </c>
      <c r="CL129" s="753" t="str">
        <f>IF(CL127=22,2,"")</f>
        <v/>
      </c>
      <c r="CM129" s="753" t="str">
        <f>IF(CM127=23,3,"")</f>
        <v/>
      </c>
      <c r="CN129" s="753" t="str">
        <f>IF(CN127=24,4,"")</f>
        <v/>
      </c>
      <c r="CO129" s="753" t="str">
        <f>IF(CO127=25,5,"")</f>
        <v/>
      </c>
      <c r="CP129" s="754" t="str">
        <f>IF(CP127=26,"6  ADS ","")</f>
        <v xml:space="preserve">6  ADS </v>
      </c>
      <c r="CQ129" s="753" t="str">
        <f>IF(CQ127=27,7,"")</f>
        <v/>
      </c>
      <c r="CR129" s="753" t="str">
        <f>IF(CR127=28,8,"")</f>
        <v/>
      </c>
      <c r="CS129" s="753" t="str">
        <f>IF(CS127=29,9,"")</f>
        <v/>
      </c>
      <c r="CT129" s="753" t="str">
        <f>IF(CT127=30,10,"")</f>
        <v/>
      </c>
      <c r="CU129" s="753" t="str">
        <f>IF(CU127=31,11,"")</f>
        <v/>
      </c>
      <c r="CV129" s="753" t="str">
        <f>IF(CV127=32,12,"")</f>
        <v/>
      </c>
      <c r="CW129" s="753" t="str">
        <f>IF(CW127=33,13,"")</f>
        <v/>
      </c>
      <c r="CX129" s="753" t="str">
        <f>IF(CX127=34,14,"")</f>
        <v/>
      </c>
      <c r="CY129" s="753" t="str">
        <f>IF(CY127=35,15,"")</f>
        <v/>
      </c>
      <c r="CZ129" s="753" t="str">
        <f>IF(CZ127=36,16,"")</f>
        <v/>
      </c>
      <c r="DA129" s="755" t="str">
        <f>IF(DA127=37,17,"")</f>
        <v/>
      </c>
      <c r="DB129" s="340"/>
      <c r="DC129" s="78"/>
      <c r="DD129" s="78"/>
    </row>
    <row r="130" spans="2:110" ht="49.5" customHeight="1" thickBot="1" x14ac:dyDescent="0.3">
      <c r="B130" s="1846" t="s">
        <v>116</v>
      </c>
      <c r="D130" s="409" t="str">
        <f>IF(DD138&lt;0," ","change the angle of frame or of cabinets")</f>
        <v xml:space="preserve"> </v>
      </c>
      <c r="E130" s="397"/>
      <c r="F130" s="397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U130" s="114"/>
      <c r="AB130" s="114"/>
      <c r="AC130" s="114"/>
      <c r="AD130" s="114"/>
      <c r="AE130" s="114"/>
      <c r="AL130" s="838" t="s">
        <v>175</v>
      </c>
      <c r="AM130" s="835" t="s">
        <v>176</v>
      </c>
      <c r="AN130" s="835" t="s">
        <v>177</v>
      </c>
      <c r="AO130" s="839" t="s">
        <v>181</v>
      </c>
      <c r="AP130" s="840" t="s">
        <v>179</v>
      </c>
      <c r="BE130" s="136"/>
      <c r="BF130" s="136"/>
      <c r="BG130" s="136"/>
      <c r="BH130" s="136"/>
      <c r="BL130" s="968">
        <v>6</v>
      </c>
      <c r="BM130" s="1762" t="b">
        <f>AND(BO130&gt;=10,$BB$138&gt;=10,$BA$138&gt;=10,$BB$171&gt;=10,$BA$171&gt;=10,$BA$195&gt;=10,$BB$195&gt;=10)</f>
        <v>1</v>
      </c>
      <c r="BN130" s="84" t="str">
        <f>IF(BM130=TRUE,"O K","OVERLOAD")</f>
        <v>O K</v>
      </c>
      <c r="BO130" s="982">
        <f>SUM(I132:M132)</f>
        <v>62.794348508634222</v>
      </c>
      <c r="BP130" s="788" t="s">
        <v>185</v>
      </c>
      <c r="BQ130" s="789">
        <v>-10</v>
      </c>
      <c r="BR130" s="789">
        <v>-9</v>
      </c>
      <c r="BS130" s="789">
        <v>-8</v>
      </c>
      <c r="BT130" s="789">
        <v>-7</v>
      </c>
      <c r="BU130" s="789">
        <v>-6</v>
      </c>
      <c r="BV130" s="789">
        <v>-5</v>
      </c>
      <c r="BW130" s="789">
        <v>-4</v>
      </c>
      <c r="BX130" s="789">
        <v>-3</v>
      </c>
      <c r="BY130" s="789">
        <v>-2</v>
      </c>
      <c r="BZ130" s="789">
        <v>-1</v>
      </c>
      <c r="CA130" s="789">
        <v>0</v>
      </c>
      <c r="CB130" s="789">
        <v>1</v>
      </c>
      <c r="CC130" s="789">
        <v>2</v>
      </c>
      <c r="CD130" s="789">
        <v>3</v>
      </c>
      <c r="CE130" s="789">
        <v>4</v>
      </c>
      <c r="CF130" s="789">
        <v>5</v>
      </c>
      <c r="CG130" s="789">
        <v>6</v>
      </c>
      <c r="CH130" s="789">
        <v>7</v>
      </c>
      <c r="CI130" s="789">
        <v>8</v>
      </c>
      <c r="CJ130" s="789">
        <v>9</v>
      </c>
      <c r="CK130" s="789">
        <v>10</v>
      </c>
      <c r="CL130" s="789">
        <v>11</v>
      </c>
      <c r="CM130" s="789">
        <v>12</v>
      </c>
      <c r="CN130" s="789">
        <v>13</v>
      </c>
      <c r="CO130" s="789">
        <v>14</v>
      </c>
      <c r="CP130" s="789">
        <v>15</v>
      </c>
      <c r="CQ130" s="789">
        <v>16</v>
      </c>
      <c r="CR130" s="789">
        <v>17</v>
      </c>
      <c r="CS130" s="789">
        <v>18</v>
      </c>
      <c r="CT130" s="789">
        <v>19</v>
      </c>
      <c r="CU130" s="789">
        <v>20</v>
      </c>
      <c r="CV130" s="789">
        <v>21</v>
      </c>
      <c r="CW130" s="789">
        <v>22</v>
      </c>
      <c r="CX130" s="789">
        <v>23</v>
      </c>
      <c r="CY130" s="789">
        <v>24</v>
      </c>
      <c r="CZ130" s="789">
        <v>25</v>
      </c>
      <c r="DA130" s="791">
        <v>26</v>
      </c>
      <c r="DB130" s="78"/>
      <c r="DC130" s="78"/>
      <c r="DD130" s="78"/>
    </row>
    <row r="131" spans="2:110" ht="49.5" customHeight="1" thickBot="1" x14ac:dyDescent="0.3">
      <c r="B131" s="1847"/>
      <c r="C131" s="213"/>
      <c r="D131" s="409" t="str">
        <f>IF(BL137&gt;(+COS(($B$132*-1)*3.14159265358979/180)*451.5)," ","USE EXBAR AR AT THE FRONT")</f>
        <v xml:space="preserve"> </v>
      </c>
      <c r="E131" s="397"/>
      <c r="F131" s="397"/>
      <c r="G131" s="1014"/>
      <c r="H131" s="209"/>
      <c r="I131" s="1062">
        <f>COUNTIF(CK127:DA127,"&gt;0")</f>
        <v>1</v>
      </c>
      <c r="J131" s="1062">
        <f>COUNTIF(BQ127:CG127,"&gt;0")</f>
        <v>1</v>
      </c>
      <c r="K131" s="1062" t="b">
        <f>AND(IF(SUM(BQ129:CA129)&gt;0,1,0),IF(CP129="6  ADS ",1,0))</f>
        <v>1</v>
      </c>
      <c r="L131" s="1062" t="b">
        <f>AND(IF(SUM(CQ129:DA129)&gt;0,1,0),IF(CB129="6  ADS ",1,0))</f>
        <v>0</v>
      </c>
      <c r="M131" s="1062" t="b">
        <f>AND(IF(CP129="6  ADS ",1,0),IF(CB129="6  ADS ",1,0))</f>
        <v>0</v>
      </c>
      <c r="N131" s="209"/>
      <c r="O131" s="1015"/>
      <c r="U131" s="114"/>
      <c r="AB131" s="114"/>
      <c r="AC131" s="114"/>
      <c r="AD131" s="114"/>
      <c r="AE131" s="114"/>
      <c r="AL131" s="838"/>
      <c r="AM131" s="835"/>
      <c r="AN131" s="835"/>
      <c r="AO131" s="839"/>
      <c r="AP131" s="817"/>
      <c r="BE131" s="136"/>
      <c r="BF131" s="136"/>
      <c r="BG131" s="136"/>
      <c r="BH131" s="136"/>
      <c r="BN131" s="136"/>
      <c r="BO131" s="1091"/>
      <c r="BP131" s="75"/>
      <c r="BQ131" s="949"/>
      <c r="BR131" s="949"/>
      <c r="BS131" s="949"/>
      <c r="BT131" s="949"/>
      <c r="BU131" s="949"/>
      <c r="BV131" s="949"/>
      <c r="BW131" s="949"/>
      <c r="BX131" s="949"/>
      <c r="BY131" s="949"/>
      <c r="BZ131" s="949"/>
      <c r="CA131" s="949"/>
      <c r="CB131" s="949"/>
      <c r="CC131" s="949"/>
      <c r="CD131" s="949"/>
      <c r="CE131" s="949"/>
      <c r="CF131" s="949"/>
      <c r="CG131" s="949"/>
      <c r="CH131" s="949"/>
      <c r="CI131" s="949"/>
      <c r="CJ131" s="949"/>
      <c r="CK131" s="949"/>
      <c r="CL131" s="949"/>
      <c r="CM131" s="949"/>
      <c r="CN131" s="949"/>
      <c r="CO131" s="949"/>
      <c r="CP131" s="949"/>
      <c r="CQ131" s="949"/>
      <c r="CR131" s="949"/>
      <c r="CS131" s="949"/>
      <c r="CT131" s="949"/>
      <c r="CU131" s="949"/>
      <c r="CV131" s="949"/>
      <c r="CW131" s="949"/>
      <c r="CX131" s="949"/>
      <c r="CY131" s="949"/>
      <c r="CZ131" s="949"/>
      <c r="DA131" s="949"/>
      <c r="DB131" s="78"/>
      <c r="DC131" s="78"/>
      <c r="DD131" s="78"/>
    </row>
    <row r="132" spans="2:110" ht="45" customHeight="1" thickBot="1" x14ac:dyDescent="0.3">
      <c r="B132" s="4">
        <v>0</v>
      </c>
      <c r="C132" s="213"/>
      <c r="D132" s="341" t="str">
        <f>IF(DD138&lt;-(+COS(($B$132*-1)*3.14159265358979/180)*365.5)," ","USE EXBAR AR AT THE BACK")</f>
        <v xml:space="preserve"> </v>
      </c>
      <c r="E132" s="397"/>
      <c r="F132" s="397"/>
      <c r="G132" s="1016"/>
      <c r="H132" s="1017"/>
      <c r="I132" s="1063">
        <f>IF(I131=2,I126,0)</f>
        <v>0</v>
      </c>
      <c r="J132" s="1063">
        <f>IF(J131=2,J126,0)</f>
        <v>0</v>
      </c>
      <c r="K132" s="1063">
        <f t="shared" ref="K132:M132" si="4">IF(K131=TRUE,K126,0)</f>
        <v>62.794348508634222</v>
      </c>
      <c r="L132" s="1063">
        <f t="shared" si="4"/>
        <v>0</v>
      </c>
      <c r="M132" s="1063">
        <f t="shared" si="4"/>
        <v>0</v>
      </c>
      <c r="N132" s="1017"/>
      <c r="O132" s="1018"/>
      <c r="U132" s="114"/>
      <c r="AB132" s="114"/>
      <c r="AC132" s="114"/>
      <c r="AD132" s="114"/>
      <c r="AE132" s="114"/>
      <c r="AL132" s="838"/>
      <c r="AM132" s="835"/>
      <c r="AN132" s="835"/>
      <c r="AO132" s="839"/>
      <c r="AP132" s="817"/>
      <c r="BE132" s="136"/>
      <c r="BF132" s="136"/>
      <c r="BG132" s="136"/>
      <c r="BH132" s="136"/>
      <c r="BN132" s="136"/>
      <c r="BO132" s="1091"/>
      <c r="BP132" s="75"/>
      <c r="BQ132" s="949"/>
      <c r="BR132" s="949"/>
      <c r="BS132" s="949"/>
      <c r="BT132" s="949"/>
      <c r="BU132" s="949"/>
      <c r="BV132" s="949"/>
      <c r="BW132" s="949"/>
      <c r="BX132" s="949"/>
      <c r="BY132" s="949"/>
      <c r="BZ132" s="949"/>
      <c r="CA132" s="949"/>
      <c r="CB132" s="949"/>
      <c r="CC132" s="949"/>
      <c r="CD132" s="949"/>
      <c r="CE132" s="949"/>
      <c r="CF132" s="949"/>
      <c r="CG132" s="949"/>
      <c r="CH132" s="949"/>
      <c r="CI132" s="949"/>
      <c r="CJ132" s="949"/>
      <c r="CK132" s="949"/>
      <c r="CL132" s="949"/>
      <c r="CM132" s="949"/>
      <c r="CN132" s="949"/>
      <c r="CO132" s="949"/>
      <c r="CP132" s="949"/>
      <c r="CQ132" s="949"/>
      <c r="CR132" s="949"/>
      <c r="CS132" s="949"/>
      <c r="CT132" s="949"/>
      <c r="CU132" s="949"/>
      <c r="CV132" s="949"/>
      <c r="CW132" s="949"/>
      <c r="CX132" s="949"/>
      <c r="CY132" s="949"/>
      <c r="CZ132" s="949"/>
      <c r="DA132" s="949"/>
      <c r="DB132" s="78"/>
      <c r="DC132" s="78"/>
      <c r="DD132" s="78"/>
    </row>
    <row r="133" spans="2:110" ht="13.5" customHeight="1" thickBot="1" x14ac:dyDescent="0.3">
      <c r="B133" s="397"/>
      <c r="C133" s="397"/>
      <c r="D133" s="397"/>
      <c r="E133" s="397"/>
      <c r="F133" s="397"/>
      <c r="G133" s="397"/>
      <c r="U133" s="114"/>
      <c r="AB133" s="114"/>
      <c r="AC133" s="114"/>
      <c r="AD133" s="114"/>
      <c r="AE133" s="114"/>
      <c r="AL133" s="838"/>
      <c r="AM133" s="835"/>
      <c r="AN133" s="835"/>
      <c r="AO133" s="839"/>
      <c r="AP133" s="817"/>
      <c r="BE133" s="136"/>
      <c r="BF133" s="136"/>
      <c r="BG133" s="136"/>
      <c r="BH133" s="136"/>
      <c r="BN133" s="136"/>
      <c r="BO133" s="1091"/>
      <c r="BP133" s="75"/>
      <c r="BQ133" s="949"/>
      <c r="BR133" s="949"/>
      <c r="BS133" s="949"/>
      <c r="BT133" s="949"/>
      <c r="BU133" s="949"/>
      <c r="BV133" s="949"/>
      <c r="BW133" s="949"/>
      <c r="BX133" s="949"/>
      <c r="BY133" s="949"/>
      <c r="BZ133" s="949"/>
      <c r="CA133" s="949"/>
      <c r="CB133" s="949"/>
      <c r="CC133" s="949"/>
      <c r="CD133" s="949"/>
      <c r="CE133" s="949"/>
      <c r="CF133" s="949"/>
      <c r="CG133" s="949"/>
      <c r="CH133" s="949"/>
      <c r="CI133" s="949"/>
      <c r="CJ133" s="949"/>
      <c r="CK133" s="949"/>
      <c r="CL133" s="949"/>
      <c r="CM133" s="949"/>
      <c r="CN133" s="949"/>
      <c r="CO133" s="949"/>
      <c r="CP133" s="949"/>
      <c r="CQ133" s="949"/>
      <c r="CR133" s="949"/>
      <c r="CS133" s="949"/>
      <c r="CT133" s="949"/>
      <c r="CU133" s="949"/>
      <c r="CV133" s="949"/>
      <c r="CW133" s="949"/>
      <c r="CX133" s="949"/>
      <c r="CY133" s="949"/>
      <c r="CZ133" s="949"/>
      <c r="DA133" s="949"/>
      <c r="DB133" s="78"/>
      <c r="DC133" s="78"/>
      <c r="DD133" s="78"/>
    </row>
    <row r="134" spans="2:110" ht="66.75" customHeight="1" thickBot="1" x14ac:dyDescent="0.3">
      <c r="B134" s="345" t="s">
        <v>118</v>
      </c>
      <c r="C134" s="454"/>
      <c r="D134" s="455"/>
      <c r="E134" s="37"/>
      <c r="F134" s="37"/>
      <c r="G134" s="37"/>
      <c r="H134" s="456"/>
      <c r="I134" s="456"/>
      <c r="J134" s="456"/>
      <c r="K134" s="456"/>
      <c r="L134" s="456"/>
      <c r="M134" s="456"/>
      <c r="N134" s="456"/>
      <c r="O134" s="456"/>
      <c r="P134" s="456"/>
      <c r="Q134" s="456"/>
      <c r="R134" s="456"/>
      <c r="S134" s="457" t="s">
        <v>66</v>
      </c>
      <c r="T134" s="457">
        <f>SUM(V138:V157)/B135</f>
        <v>213.83080000000001</v>
      </c>
      <c r="U134" s="212"/>
      <c r="V134" s="73"/>
      <c r="AB134" s="73"/>
      <c r="AC134" s="73"/>
      <c r="AD134" s="73"/>
      <c r="AE134" s="73"/>
      <c r="AF134" s="73"/>
      <c r="AG134" s="73"/>
      <c r="AH134" s="73"/>
      <c r="AI134" s="73"/>
      <c r="AJ134" s="73"/>
      <c r="AK134" s="73"/>
      <c r="AL134" s="838">
        <v>6.8623010000000004</v>
      </c>
      <c r="AM134" s="835">
        <f>+$B$132-AL134</f>
        <v>-6.8623010000000004</v>
      </c>
      <c r="AN134" s="841">
        <f>COS(AM134*3.14159265358979/180)</f>
        <v>0.99283617366519983</v>
      </c>
      <c r="AO134" s="842">
        <f>+AN134*378.71303</f>
        <v>375.99999562235405</v>
      </c>
      <c r="AP134" s="813">
        <f>+((AP138*(AR138-31-31))+(AO134*31)+(AP164*31)+(AP189*31))/(AR138+31)</f>
        <v>264.47789198691567</v>
      </c>
      <c r="AQ134" s="1100" t="s">
        <v>267</v>
      </c>
      <c r="AR134" s="73"/>
      <c r="AS134" s="73"/>
      <c r="AT134" s="73"/>
      <c r="AU134" s="73"/>
      <c r="AV134" s="73"/>
      <c r="AW134" s="73"/>
      <c r="AX134" s="73"/>
      <c r="AY134" s="73"/>
      <c r="AZ134" s="73"/>
      <c r="BA134" s="73"/>
      <c r="BB134" s="73"/>
      <c r="BC134" s="126"/>
      <c r="BE134" s="136"/>
      <c r="BF134" s="136"/>
      <c r="BG134" s="136"/>
      <c r="BH134" s="136"/>
      <c r="BI134" s="136"/>
      <c r="BJ134" s="136"/>
      <c r="BK134" s="136"/>
      <c r="BL134" s="136"/>
      <c r="BM134" s="402"/>
      <c r="BN134" s="136"/>
      <c r="BO134" s="1091"/>
      <c r="BP134" s="78"/>
      <c r="BQ134" s="199"/>
      <c r="BR134" s="199"/>
      <c r="BS134" s="199"/>
      <c r="BT134" s="199"/>
      <c r="BU134" s="199"/>
      <c r="BV134" s="199"/>
      <c r="BW134" s="199"/>
      <c r="BX134" s="199"/>
      <c r="BY134" s="199"/>
      <c r="BZ134" s="199"/>
      <c r="CA134" s="199"/>
      <c r="CB134" s="199"/>
      <c r="CC134" s="199"/>
      <c r="CD134" s="199"/>
      <c r="CE134" s="199"/>
      <c r="CF134" s="199"/>
      <c r="CG134" s="199"/>
      <c r="CH134" s="199"/>
      <c r="CI134" s="199"/>
      <c r="CJ134" s="199"/>
      <c r="CK134" s="199"/>
      <c r="CL134" s="199"/>
      <c r="CM134" s="199"/>
      <c r="CN134" s="199"/>
      <c r="CO134" s="199"/>
      <c r="CP134" s="199"/>
      <c r="CQ134" s="199"/>
      <c r="CR134" s="199"/>
      <c r="CS134" s="199"/>
      <c r="CT134" s="199"/>
      <c r="CU134" s="199"/>
      <c r="CV134" s="199"/>
      <c r="CW134" s="199"/>
      <c r="CX134" s="199"/>
      <c r="CY134" s="199"/>
      <c r="CZ134" s="199"/>
      <c r="DA134" s="199"/>
      <c r="DB134" s="199"/>
      <c r="DF134" s="930"/>
    </row>
    <row r="135" spans="2:110" ht="45" customHeight="1" thickBot="1" x14ac:dyDescent="0.3">
      <c r="B135" s="28">
        <v>1</v>
      </c>
      <c r="C135" s="493"/>
      <c r="D135" s="494" t="s">
        <v>117</v>
      </c>
      <c r="E135" s="335"/>
      <c r="F135" s="335"/>
      <c r="G135" s="335"/>
      <c r="H135" s="1665"/>
      <c r="I135" s="1666"/>
      <c r="J135" s="1666"/>
      <c r="K135" s="1666"/>
      <c r="L135" s="1666"/>
      <c r="M135" s="1666"/>
      <c r="N135" s="1666"/>
      <c r="O135" s="1666"/>
      <c r="P135" s="1666"/>
      <c r="Q135" s="1666"/>
      <c r="R135" s="1666"/>
      <c r="S135" s="1667"/>
      <c r="T135" s="1668"/>
      <c r="U135" s="401"/>
      <c r="V135" s="1099"/>
      <c r="W135" s="1859" t="s">
        <v>93</v>
      </c>
      <c r="X135" s="1859"/>
      <c r="Y135" s="1859"/>
      <c r="Z135" s="1859"/>
      <c r="AA135" s="1859"/>
      <c r="AB135" s="1099"/>
      <c r="AC135" s="1099"/>
      <c r="AD135" s="1099"/>
      <c r="AE135" s="1099"/>
      <c r="AF135" s="1099"/>
      <c r="AG135" s="1099"/>
      <c r="AH135" s="1099"/>
      <c r="AI135" s="1099"/>
      <c r="AJ135" s="1099"/>
      <c r="AK135" s="1099"/>
      <c r="AL135" s="1099"/>
      <c r="AM135" s="1099"/>
      <c r="AN135" s="1099"/>
      <c r="AO135" s="1099"/>
      <c r="AP135" s="1099"/>
      <c r="AQ135" s="1099"/>
      <c r="AR135" s="1099"/>
      <c r="AS135" s="1099"/>
      <c r="AT135" s="1099"/>
      <c r="AU135" s="1099"/>
      <c r="AV135" s="1099"/>
      <c r="AW135" s="1099"/>
      <c r="AX135" s="1099"/>
      <c r="AY135" s="1099"/>
      <c r="AZ135" s="1099"/>
      <c r="BA135" s="1857" t="s">
        <v>52</v>
      </c>
      <c r="BB135" s="1858"/>
      <c r="BC135" s="218"/>
      <c r="BE135" s="136"/>
      <c r="BF135" s="136"/>
      <c r="BG135" s="136"/>
      <c r="BH135" s="136"/>
      <c r="BI135" s="136"/>
      <c r="BJ135" s="136"/>
      <c r="BK135" s="136"/>
      <c r="BL135" s="136"/>
      <c r="BM135" s="402"/>
      <c r="BN135" s="136"/>
      <c r="BO135" s="1091"/>
      <c r="BP135" s="76"/>
      <c r="BQ135" s="76"/>
      <c r="BR135" s="76"/>
      <c r="BS135" s="76"/>
      <c r="BT135" s="76"/>
      <c r="BU135" s="76"/>
      <c r="BV135" s="202"/>
      <c r="BW135" s="202"/>
      <c r="BX135" s="202"/>
      <c r="BY135" s="202"/>
      <c r="BZ135" s="202"/>
      <c r="CA135" s="202"/>
      <c r="CB135" s="202"/>
      <c r="CC135" s="202"/>
      <c r="CD135" s="202"/>
      <c r="CE135" s="202"/>
      <c r="CF135" s="202"/>
      <c r="CG135" s="202"/>
      <c r="CH135" s="202"/>
      <c r="CI135" s="202"/>
      <c r="CJ135" s="78"/>
      <c r="CK135" s="78"/>
      <c r="CL135" s="78"/>
      <c r="CM135" s="78"/>
      <c r="CN135" s="78"/>
      <c r="CO135" s="78"/>
      <c r="CP135" s="78"/>
      <c r="CQ135" s="78"/>
      <c r="CR135" s="78"/>
      <c r="CS135" s="78"/>
      <c r="CT135" s="78"/>
      <c r="CU135" s="78"/>
      <c r="CV135" s="78"/>
      <c r="CW135" s="78"/>
      <c r="CX135" s="78"/>
      <c r="CY135" s="78"/>
      <c r="CZ135" s="78"/>
      <c r="DA135" s="78"/>
      <c r="DB135" s="78"/>
      <c r="DC135" s="78"/>
      <c r="DD135" s="78"/>
    </row>
    <row r="136" spans="2:110" ht="44" hidden="1" thickBot="1" x14ac:dyDescent="0.25">
      <c r="C136" s="416"/>
      <c r="D136" s="354"/>
      <c r="H136" s="500" t="s">
        <v>4</v>
      </c>
      <c r="I136" s="500" t="s">
        <v>1</v>
      </c>
      <c r="J136" s="456" t="s">
        <v>0</v>
      </c>
      <c r="K136" s="456" t="s">
        <v>2</v>
      </c>
      <c r="L136" s="456" t="s">
        <v>3</v>
      </c>
      <c r="M136" s="456" t="s">
        <v>8</v>
      </c>
      <c r="N136" s="456" t="s">
        <v>5</v>
      </c>
      <c r="O136" s="456" t="s">
        <v>6</v>
      </c>
      <c r="P136" s="456" t="s">
        <v>7</v>
      </c>
      <c r="Q136" s="456" t="s">
        <v>9</v>
      </c>
      <c r="R136" s="1628" t="s">
        <v>10</v>
      </c>
      <c r="S136" s="456" t="s">
        <v>11</v>
      </c>
      <c r="T136" s="467" t="s">
        <v>12</v>
      </c>
      <c r="V136" s="420"/>
      <c r="W136" s="356" t="s">
        <v>140</v>
      </c>
      <c r="X136" s="316" t="s">
        <v>94</v>
      </c>
      <c r="Y136" s="356" t="s">
        <v>141</v>
      </c>
      <c r="Z136" s="419" t="s">
        <v>100</v>
      </c>
      <c r="AA136" s="419" t="s">
        <v>96</v>
      </c>
      <c r="AB136" s="420"/>
      <c r="AC136" s="457" t="s">
        <v>99</v>
      </c>
      <c r="AD136" s="457"/>
      <c r="AE136" s="457"/>
      <c r="AF136" s="420"/>
      <c r="AG136" s="420"/>
      <c r="AH136" s="420"/>
      <c r="AI136" s="420"/>
      <c r="AJ136" s="420"/>
      <c r="AK136" s="420"/>
      <c r="AL136" s="420"/>
      <c r="AM136" s="420"/>
      <c r="AN136" s="420"/>
      <c r="AO136" s="420"/>
      <c r="AP136" s="420"/>
      <c r="AQ136" s="1589" t="s">
        <v>315</v>
      </c>
      <c r="AR136" s="420"/>
      <c r="AS136" s="420"/>
      <c r="AT136" s="420"/>
      <c r="AU136" s="420" t="s">
        <v>135</v>
      </c>
      <c r="AV136" s="420"/>
      <c r="AW136" s="420"/>
      <c r="AX136" s="420"/>
      <c r="AY136" s="415"/>
      <c r="AZ136" s="420"/>
      <c r="BA136" s="420"/>
      <c r="BB136" s="420"/>
      <c r="BC136" s="231"/>
      <c r="BE136" s="136"/>
      <c r="BF136" s="136"/>
      <c r="BG136" s="136"/>
      <c r="BH136" s="136"/>
      <c r="BI136" s="136"/>
      <c r="BJ136" s="136"/>
      <c r="BK136" s="136"/>
      <c r="BL136" s="1579" t="s">
        <v>59</v>
      </c>
      <c r="BM136" s="402"/>
      <c r="BN136" s="136"/>
      <c r="BO136" s="1091"/>
      <c r="BP136" s="126"/>
      <c r="BQ136" s="126"/>
      <c r="BR136" s="126"/>
      <c r="BS136" s="126"/>
      <c r="BT136" s="126"/>
      <c r="BU136" s="126"/>
      <c r="BV136" s="203"/>
      <c r="BW136" s="203"/>
      <c r="BX136" s="203"/>
      <c r="BY136" s="203"/>
      <c r="BZ136" s="203"/>
      <c r="CA136" s="203"/>
      <c r="CB136" s="203"/>
      <c r="CC136" s="203"/>
      <c r="CD136" s="203"/>
      <c r="CE136" s="203"/>
      <c r="CF136" s="203"/>
      <c r="CG136" s="203"/>
      <c r="CH136" s="203"/>
      <c r="CI136" s="203"/>
    </row>
    <row r="137" spans="2:110" ht="46.5" customHeight="1" thickBot="1" x14ac:dyDescent="0.25">
      <c r="B137" s="501"/>
      <c r="C137" s="237"/>
      <c r="D137" s="502" t="s">
        <v>22</v>
      </c>
      <c r="E137" s="330"/>
      <c r="F137" s="503"/>
      <c r="G137" s="240"/>
      <c r="H137" s="469"/>
      <c r="I137" s="470"/>
      <c r="R137" s="1628"/>
      <c r="T137" s="471"/>
      <c r="V137" s="420"/>
      <c r="W137" s="420"/>
      <c r="X137" s="420"/>
      <c r="Y137" s="420"/>
      <c r="Z137" s="420"/>
      <c r="AA137" s="420"/>
      <c r="AB137" s="420"/>
      <c r="AC137" s="484">
        <f>SUM(AC138:AC157)</f>
        <v>213.83080000000001</v>
      </c>
      <c r="AD137" s="48"/>
      <c r="AE137" s="48"/>
      <c r="AF137" s="420" t="s">
        <v>38</v>
      </c>
      <c r="AG137" s="420"/>
      <c r="AH137" s="425" t="s">
        <v>31</v>
      </c>
      <c r="AI137" s="504"/>
      <c r="AJ137" s="368" t="s">
        <v>120</v>
      </c>
      <c r="AK137" s="426" t="s">
        <v>32</v>
      </c>
      <c r="AL137" s="472" t="s">
        <v>142</v>
      </c>
      <c r="AM137" s="368" t="s">
        <v>121</v>
      </c>
      <c r="AN137" s="427" t="s">
        <v>34</v>
      </c>
      <c r="AO137" s="472" t="s">
        <v>143</v>
      </c>
      <c r="AP137" s="428" t="s">
        <v>179</v>
      </c>
      <c r="AQ137" s="250" t="s">
        <v>36</v>
      </c>
      <c r="AR137" s="1669" t="s">
        <v>316</v>
      </c>
      <c r="AS137" s="420" t="s">
        <v>37</v>
      </c>
      <c r="AT137" s="420" t="s">
        <v>39</v>
      </c>
      <c r="AU137" s="428" t="s">
        <v>317</v>
      </c>
      <c r="AV137" s="420"/>
      <c r="AW137" s="1594" t="s">
        <v>41</v>
      </c>
      <c r="AX137" s="1594" t="s">
        <v>42</v>
      </c>
      <c r="AY137" s="430" t="s">
        <v>23</v>
      </c>
      <c r="AZ137" s="430" t="s">
        <v>24</v>
      </c>
      <c r="BA137" s="505" t="s">
        <v>23</v>
      </c>
      <c r="BB137" s="505" t="s">
        <v>24</v>
      </c>
      <c r="BE137" s="136"/>
      <c r="BF137" s="136"/>
      <c r="BG137" s="136"/>
      <c r="BH137" s="136"/>
      <c r="BI137" s="136"/>
      <c r="BJ137" s="136"/>
      <c r="BL137" s="1579">
        <f>-+BH174</f>
        <v>689.97787828431274</v>
      </c>
      <c r="BM137" s="402"/>
      <c r="BN137" s="73"/>
      <c r="BO137" s="1091"/>
      <c r="BP137" s="64"/>
      <c r="BS137" s="126"/>
      <c r="BT137" s="126"/>
      <c r="BU137" s="126"/>
      <c r="BV137" s="203"/>
      <c r="BW137" s="203"/>
      <c r="BX137" s="203"/>
      <c r="BY137" s="203"/>
      <c r="BZ137" s="203"/>
      <c r="CA137" s="203"/>
      <c r="CB137" s="203"/>
      <c r="CC137" s="203"/>
      <c r="CD137" s="203"/>
      <c r="CE137" s="203"/>
      <c r="CF137" s="203"/>
      <c r="CG137" s="203"/>
      <c r="CH137" s="203"/>
      <c r="CI137" s="203"/>
      <c r="CR137" s="64"/>
      <c r="DD137" s="1579" t="s">
        <v>58</v>
      </c>
    </row>
    <row r="138" spans="2:110" ht="21" customHeight="1" thickBot="1" x14ac:dyDescent="0.25">
      <c r="B138" s="255">
        <v>1</v>
      </c>
      <c r="C138" s="256">
        <f>+(B132*-1)+D138</f>
        <v>0</v>
      </c>
      <c r="D138" s="25">
        <v>0</v>
      </c>
      <c r="E138" s="257" t="s">
        <v>119</v>
      </c>
      <c r="F138" s="258"/>
      <c r="G138" s="258">
        <f>+D138</f>
        <v>0</v>
      </c>
      <c r="H138" s="506">
        <v>279.06049999999999</v>
      </c>
      <c r="I138" s="507">
        <v>79.962900599999998</v>
      </c>
      <c r="J138" s="508">
        <f>+I138-C138</f>
        <v>79.962900599999998</v>
      </c>
      <c r="K138" s="508">
        <f>+J138/2</f>
        <v>39.981450299999999</v>
      </c>
      <c r="L138" s="508">
        <f t="shared" ref="L138:L157" si="5">SIN(K138*3.14159265358979/180)</f>
        <v>0.64253956655634092</v>
      </c>
      <c r="M138" s="508">
        <f t="shared" ref="M138:M157" si="6">+L138*H138</f>
        <v>179.30741271299578</v>
      </c>
      <c r="N138" s="508">
        <f t="shared" ref="N138:N157" si="7">+M138*2</f>
        <v>358.61482542599157</v>
      </c>
      <c r="O138" s="508">
        <f>+C138/2</f>
        <v>0</v>
      </c>
      <c r="P138" s="508">
        <f t="shared" ref="P138:P157" si="8">SIN(O138*3.14159265358979/180)</f>
        <v>0</v>
      </c>
      <c r="Q138" s="508">
        <f t="shared" ref="Q138:Q157" si="9">+P138*N138</f>
        <v>0</v>
      </c>
      <c r="R138" s="509">
        <v>213.83080000000001</v>
      </c>
      <c r="S138" s="508">
        <f>+R138+Q138</f>
        <v>213.83080000000001</v>
      </c>
      <c r="T138" s="510">
        <f t="shared" ref="T138:T157" si="10">+S138</f>
        <v>213.83080000000001</v>
      </c>
      <c r="U138" s="456"/>
      <c r="V138" s="511">
        <f t="shared" ref="V138:V157" si="11">IF(B138&lt;($B$135+1),T138,0)</f>
        <v>213.83080000000001</v>
      </c>
      <c r="W138" s="512">
        <v>39.981450000000002</v>
      </c>
      <c r="X138" s="511">
        <f>+W138+AI159</f>
        <v>39.981450000000002</v>
      </c>
      <c r="Y138" s="512">
        <v>279.06049999999999</v>
      </c>
      <c r="Z138" s="419">
        <f>+COS(X138*3.14159265358979/180)*Y138</f>
        <v>213.83080883710866</v>
      </c>
      <c r="AA138" s="513">
        <f>+AC137-Z138</f>
        <v>-8.8371086519600794E-6</v>
      </c>
      <c r="AB138" s="1595" t="str">
        <f>IF(AZ138&lt;0,"use the locking pin"," ")</f>
        <v xml:space="preserve"> </v>
      </c>
      <c r="AC138" s="514">
        <f>IF(AD138=1,AF138)</f>
        <v>213.83080000000001</v>
      </c>
      <c r="AD138" s="514">
        <f t="shared" ref="AD138:AD157" si="12">MAX(AE$138:AE$157)</f>
        <v>1</v>
      </c>
      <c r="AE138" s="514">
        <f>IF(V138=0,0,1)</f>
        <v>1</v>
      </c>
      <c r="AF138" s="511">
        <f>SUM(V138:V157)/($B$135)</f>
        <v>213.83080000000001</v>
      </c>
      <c r="AG138" s="511"/>
      <c r="AH138" s="515">
        <f>C138</f>
        <v>0</v>
      </c>
      <c r="AI138" s="516">
        <f>IF(B138&lt;($B$135+1),AH138)</f>
        <v>0</v>
      </c>
      <c r="AJ138" s="287">
        <f>66.2555484-AH138</f>
        <v>66.255548399999995</v>
      </c>
      <c r="AK138" s="517">
        <f t="shared" ref="AK138:AK157" si="13">SIN(AJ138*3.14159265358979/180)</f>
        <v>0.91535047595051022</v>
      </c>
      <c r="AL138" s="289">
        <f>+AK138*304.3209</f>
        <v>278.56028065668761</v>
      </c>
      <c r="AM138" s="287">
        <f>50.0185497+AH138</f>
        <v>50.018549700000001</v>
      </c>
      <c r="AN138" s="518">
        <f>SIN(AM138*3.14159265358979/180)</f>
        <v>0.76625250760411079</v>
      </c>
      <c r="AO138" s="291">
        <f>+AN138*279.0605</f>
        <v>213.83080789825695</v>
      </c>
      <c r="AP138" s="519">
        <f t="shared" ref="AP138:AP157" si="14">+((AF138*AQ138)+($AG$171*$AQ$171)+($AQ$195*$AG$195))/AR138</f>
        <v>182.68328916281661</v>
      </c>
      <c r="AQ138" s="1670">
        <f>$C$13*B135</f>
        <v>40.5</v>
      </c>
      <c r="AR138" s="519">
        <f t="shared" ref="AR138:AR157" si="15">+AQ138+$AQ$195+$AQ$171+31+31</f>
        <v>188.8</v>
      </c>
      <c r="AS138" s="520">
        <f>+AO138+AL138</f>
        <v>492.39108855494453</v>
      </c>
      <c r="AT138" s="521">
        <f>+V138-AO138</f>
        <v>-7.8982569391428115E-6</v>
      </c>
      <c r="AU138" s="522">
        <f>+AP138-AT138</f>
        <v>182.68329706107355</v>
      </c>
      <c r="AV138" s="521"/>
      <c r="AW138" s="523">
        <f>+((AS138-AU138)/AS138)*AR138</f>
        <v>118.75282147296221</v>
      </c>
      <c r="AX138" s="523">
        <f>+(AU138/AS138)*AR138</f>
        <v>70.047178527037829</v>
      </c>
      <c r="AY138" s="1597">
        <f t="shared" ref="AY138:AY157" si="16">2*$C$18/AW138</f>
        <v>97.681889626859117</v>
      </c>
      <c r="AZ138" s="1597">
        <f t="shared" ref="AZ138:AZ157" si="17">$D$18/AX138</f>
        <v>142.76092499771499</v>
      </c>
      <c r="BA138" s="542">
        <f>ABS(AY138)</f>
        <v>97.681889626859117</v>
      </c>
      <c r="BB138" s="542">
        <f>ABS(AZ138)</f>
        <v>142.76092499771499</v>
      </c>
      <c r="BC138" s="91"/>
      <c r="BE138" s="136"/>
      <c r="BF138" s="136"/>
      <c r="BG138" s="136"/>
      <c r="BH138" s="136"/>
      <c r="BI138" s="136"/>
      <c r="BJ138" s="136"/>
      <c r="BK138" s="212"/>
      <c r="BM138" s="402"/>
      <c r="BN138" s="73"/>
      <c r="BO138" s="1091"/>
      <c r="BP138" s="64"/>
      <c r="BS138" s="126"/>
      <c r="BT138" s="126"/>
      <c r="BU138" s="126"/>
      <c r="BV138" s="203"/>
      <c r="BW138" s="203"/>
      <c r="BX138" s="203"/>
      <c r="BY138" s="203"/>
      <c r="BZ138" s="203"/>
      <c r="CA138" s="203"/>
      <c r="CB138" s="203"/>
      <c r="CC138" s="203"/>
      <c r="CD138" s="203"/>
      <c r="CE138" s="203"/>
      <c r="CF138" s="203"/>
      <c r="CG138" s="203"/>
      <c r="CH138" s="203"/>
      <c r="CI138" s="203"/>
      <c r="CP138" s="212"/>
      <c r="CR138" s="64"/>
      <c r="DD138" s="1579">
        <f>+-BH210</f>
        <v>-858.02212171568726</v>
      </c>
    </row>
    <row r="139" spans="2:110" ht="21" customHeight="1" thickBot="1" x14ac:dyDescent="0.25">
      <c r="B139" s="277">
        <v>2</v>
      </c>
      <c r="C139" s="278"/>
      <c r="D139" s="25">
        <v>0</v>
      </c>
      <c r="E139" s="279" t="s">
        <v>130</v>
      </c>
      <c r="F139" s="258"/>
      <c r="G139" s="258" t="e">
        <f>+D139+BC139</f>
        <v>#DIV/0!</v>
      </c>
      <c r="H139" s="506">
        <v>279.06049999999999</v>
      </c>
      <c r="I139" s="507">
        <v>79.962900599999998</v>
      </c>
      <c r="J139" s="474">
        <f t="shared" ref="J139:J157" si="18">+I139-D139</f>
        <v>79.962900599999998</v>
      </c>
      <c r="K139" s="474">
        <f t="shared" ref="K139:K157" si="19">+J139/2</f>
        <v>39.981450299999999</v>
      </c>
      <c r="L139" s="474">
        <f t="shared" si="5"/>
        <v>0.64253956655634092</v>
      </c>
      <c r="M139" s="474">
        <f t="shared" si="6"/>
        <v>179.30741271299578</v>
      </c>
      <c r="N139" s="474">
        <f t="shared" si="7"/>
        <v>358.61482542599157</v>
      </c>
      <c r="O139" s="474">
        <f>+C138+(D139/2)</f>
        <v>0</v>
      </c>
      <c r="P139" s="474">
        <f t="shared" si="8"/>
        <v>0</v>
      </c>
      <c r="Q139" s="474">
        <f t="shared" si="9"/>
        <v>0</v>
      </c>
      <c r="R139" s="474">
        <f t="shared" ref="R139:R157" si="20">+T138</f>
        <v>213.83080000000001</v>
      </c>
      <c r="S139" s="474">
        <f>+R139+Q139</f>
        <v>213.83080000000001</v>
      </c>
      <c r="T139" s="476">
        <f t="shared" si="10"/>
        <v>213.83080000000001</v>
      </c>
      <c r="V139" s="437">
        <f t="shared" si="11"/>
        <v>0</v>
      </c>
      <c r="W139" s="437"/>
      <c r="X139" s="437"/>
      <c r="Y139" s="437"/>
      <c r="Z139" s="437"/>
      <c r="AA139" s="437"/>
      <c r="AB139" s="1595" t="e">
        <f t="shared" ref="AB139:AB157" si="21">IF(AZ139&lt;0,"use the locking pin"," ")</f>
        <v>#DIV/0!</v>
      </c>
      <c r="AC139" s="514" t="b">
        <f>IF(AD139=2,AF139)</f>
        <v>0</v>
      </c>
      <c r="AD139" s="514">
        <f t="shared" si="12"/>
        <v>1</v>
      </c>
      <c r="AE139" s="514">
        <f>IF(V139=0,0,2)</f>
        <v>0</v>
      </c>
      <c r="AF139" s="437" t="e">
        <f>SUM(V139:V157)/($B$135-B138)</f>
        <v>#DIV/0!</v>
      </c>
      <c r="AG139" s="437"/>
      <c r="AH139" s="450">
        <f>SUM(D139)+$C$138</f>
        <v>0</v>
      </c>
      <c r="AI139" s="516" t="b">
        <f t="shared" ref="AI139:AI157" si="22">IF(B139&lt;($B$135+1),AH139)</f>
        <v>0</v>
      </c>
      <c r="AJ139" s="287">
        <f t="shared" ref="AJ139:AJ157" si="23">66.2555484-AH139</f>
        <v>66.255548399999995</v>
      </c>
      <c r="AK139" s="441">
        <f t="shared" si="13"/>
        <v>0.91535047595051022</v>
      </c>
      <c r="AL139" s="289">
        <f t="shared" ref="AL139:AL157" si="24">+AK139*304.3209</f>
        <v>278.56028065668761</v>
      </c>
      <c r="AM139" s="287">
        <f t="shared" ref="AM139:AM157" si="25">50.0185497+AH139</f>
        <v>50.018549700000001</v>
      </c>
      <c r="AN139" s="442">
        <f t="shared" ref="AN139:AN157" si="26">SIN(AM139*3.14159265358979/180)</f>
        <v>0.76625250760411079</v>
      </c>
      <c r="AO139" s="291">
        <f t="shared" ref="AO139:AO157" si="27">+AN139*279.0605</f>
        <v>213.83080789825695</v>
      </c>
      <c r="AP139" s="519" t="e">
        <f t="shared" si="14"/>
        <v>#DIV/0!</v>
      </c>
      <c r="AQ139" s="1639">
        <f>$C$13*($B$135-B138)</f>
        <v>0</v>
      </c>
      <c r="AR139" s="443">
        <f t="shared" si="15"/>
        <v>148.30000000000001</v>
      </c>
      <c r="AS139" s="444">
        <f t="shared" ref="AS139:AS157" si="28">+AO139+AL139</f>
        <v>492.39108855494453</v>
      </c>
      <c r="AT139" s="445">
        <f>+V139-AO139</f>
        <v>-213.83080789825695</v>
      </c>
      <c r="AU139" s="446" t="e">
        <f t="shared" ref="AU139:AU157" si="29">+AP139-AT139</f>
        <v>#DIV/0!</v>
      </c>
      <c r="AV139" s="445"/>
      <c r="AW139" s="447" t="e">
        <f t="shared" ref="AW139:AW157" si="30">+((AS139-AU139)/AS139)*AR139</f>
        <v>#DIV/0!</v>
      </c>
      <c r="AX139" s="447" t="e">
        <f t="shared" ref="AX139:AX157" si="31">+(AU139/AS139)*AR139</f>
        <v>#DIV/0!</v>
      </c>
      <c r="AY139" s="1597" t="e">
        <f t="shared" si="16"/>
        <v>#DIV/0!</v>
      </c>
      <c r="AZ139" s="1597" t="e">
        <f t="shared" si="17"/>
        <v>#DIV/0!</v>
      </c>
      <c r="BA139" s="542" t="e">
        <f t="shared" ref="BA139:BB157" si="32">ABS(AY139)</f>
        <v>#DIV/0!</v>
      </c>
      <c r="BB139" s="542" t="e">
        <f t="shared" si="32"/>
        <v>#DIV/0!</v>
      </c>
      <c r="BC139" t="e">
        <f t="shared" ref="BC139:BC157" si="33">IF(AZ139&lt;0,0.3,0)</f>
        <v>#DIV/0!</v>
      </c>
      <c r="BM139" s="402"/>
      <c r="BN139" s="136"/>
      <c r="BO139" s="1091"/>
      <c r="BP139" s="126"/>
      <c r="BQ139" s="126"/>
      <c r="BR139" s="126"/>
      <c r="BS139" s="126"/>
      <c r="BT139" s="126"/>
      <c r="BU139" s="126"/>
      <c r="BV139" s="203"/>
      <c r="BW139" s="203"/>
      <c r="BX139" s="203"/>
      <c r="BY139" s="203"/>
      <c r="BZ139" s="203"/>
      <c r="CA139" s="203"/>
      <c r="CB139" s="203"/>
      <c r="CC139" s="203"/>
      <c r="CD139" s="203"/>
      <c r="CE139" s="203"/>
      <c r="CF139" s="203"/>
      <c r="CG139" s="203"/>
      <c r="CH139" s="203"/>
      <c r="CI139" s="203"/>
    </row>
    <row r="140" spans="2:110" ht="21" customHeight="1" thickBot="1" x14ac:dyDescent="0.35">
      <c r="B140" s="277">
        <v>3</v>
      </c>
      <c r="C140" s="278"/>
      <c r="D140" s="25">
        <v>0</v>
      </c>
      <c r="E140" s="279" t="s">
        <v>130</v>
      </c>
      <c r="F140" s="258"/>
      <c r="G140" s="258">
        <f>+D140+BC140</f>
        <v>0</v>
      </c>
      <c r="H140" s="506">
        <v>279.06049999999999</v>
      </c>
      <c r="I140" s="507">
        <v>79.962900599999998</v>
      </c>
      <c r="J140" s="474">
        <f t="shared" si="18"/>
        <v>79.962900599999998</v>
      </c>
      <c r="K140" s="474">
        <f t="shared" si="19"/>
        <v>39.981450299999999</v>
      </c>
      <c r="L140" s="474">
        <f t="shared" si="5"/>
        <v>0.64253956655634092</v>
      </c>
      <c r="M140" s="474">
        <f t="shared" si="6"/>
        <v>179.30741271299578</v>
      </c>
      <c r="N140" s="474">
        <f t="shared" si="7"/>
        <v>358.61482542599157</v>
      </c>
      <c r="O140" s="474">
        <f>+C138+D139+(D140/2)</f>
        <v>0</v>
      </c>
      <c r="P140" s="474">
        <f t="shared" si="8"/>
        <v>0</v>
      </c>
      <c r="Q140" s="474">
        <f t="shared" si="9"/>
        <v>0</v>
      </c>
      <c r="R140" s="474">
        <f t="shared" si="20"/>
        <v>213.83080000000001</v>
      </c>
      <c r="S140" s="474">
        <f t="shared" ref="S140:S157" si="34">+S139+Q140</f>
        <v>213.83080000000001</v>
      </c>
      <c r="T140" s="476">
        <f t="shared" si="10"/>
        <v>213.83080000000001</v>
      </c>
      <c r="V140" s="437">
        <f t="shared" si="11"/>
        <v>0</v>
      </c>
      <c r="W140" s="437"/>
      <c r="X140" s="437"/>
      <c r="Y140" s="437"/>
      <c r="Z140" s="437"/>
      <c r="AA140" s="437"/>
      <c r="AB140" s="1595" t="str">
        <f t="shared" si="21"/>
        <v xml:space="preserve"> </v>
      </c>
      <c r="AC140" s="514" t="b">
        <f>IF(AD140=3,AF140)</f>
        <v>0</v>
      </c>
      <c r="AD140" s="514">
        <f t="shared" si="12"/>
        <v>1</v>
      </c>
      <c r="AE140" s="514">
        <f>IF(V140=0,0,3)</f>
        <v>0</v>
      </c>
      <c r="AF140" s="437">
        <f>SUM(V140:V157)/($B$135-B139)</f>
        <v>0</v>
      </c>
      <c r="AG140" s="437"/>
      <c r="AH140" s="450">
        <f>SUM(D139:D140)+$C$138</f>
        <v>0</v>
      </c>
      <c r="AI140" s="516" t="b">
        <f t="shared" si="22"/>
        <v>0</v>
      </c>
      <c r="AJ140" s="287">
        <f t="shared" si="23"/>
        <v>66.255548399999995</v>
      </c>
      <c r="AK140" s="441">
        <f t="shared" si="13"/>
        <v>0.91535047595051022</v>
      </c>
      <c r="AL140" s="289">
        <f t="shared" si="24"/>
        <v>278.56028065668761</v>
      </c>
      <c r="AM140" s="287">
        <f t="shared" si="25"/>
        <v>50.018549700000001</v>
      </c>
      <c r="AN140" s="442">
        <f t="shared" si="26"/>
        <v>0.76625250760411079</v>
      </c>
      <c r="AO140" s="291">
        <f t="shared" si="27"/>
        <v>213.83080789825695</v>
      </c>
      <c r="AP140" s="519">
        <f t="shared" si="14"/>
        <v>239.61463445213153</v>
      </c>
      <c r="AQ140" s="1639">
        <f t="shared" ref="AQ140:AQ157" si="35">$C$13*($B$135-B139)</f>
        <v>-40.5</v>
      </c>
      <c r="AR140" s="443">
        <f t="shared" si="15"/>
        <v>107.8</v>
      </c>
      <c r="AS140" s="444">
        <f t="shared" si="28"/>
        <v>492.39108855494453</v>
      </c>
      <c r="AT140" s="445">
        <f>+V140-AO140</f>
        <v>-213.83080789825695</v>
      </c>
      <c r="AU140" s="446">
        <f t="shared" si="29"/>
        <v>453.44544235038848</v>
      </c>
      <c r="AV140" s="445"/>
      <c r="AW140" s="447">
        <f t="shared" si="30"/>
        <v>8.5264351009526074</v>
      </c>
      <c r="AX140" s="447">
        <f t="shared" si="31"/>
        <v>99.273564899047386</v>
      </c>
      <c r="AY140" s="1597">
        <f t="shared" si="16"/>
        <v>1360.4747895992314</v>
      </c>
      <c r="AZ140" s="1597">
        <f t="shared" si="17"/>
        <v>100.73175079558322</v>
      </c>
      <c r="BA140" s="542">
        <f t="shared" si="32"/>
        <v>1360.4747895992314</v>
      </c>
      <c r="BB140" s="542">
        <f t="shared" si="32"/>
        <v>100.73175079558322</v>
      </c>
      <c r="BC140">
        <f t="shared" si="33"/>
        <v>0</v>
      </c>
      <c r="BM140" s="214"/>
      <c r="BN140" s="214"/>
      <c r="BO140" s="214"/>
      <c r="BP140" s="126"/>
      <c r="BQ140" s="126"/>
      <c r="BR140" s="126"/>
      <c r="BS140" s="126"/>
      <c r="BT140" s="126"/>
      <c r="BU140" s="126"/>
      <c r="BV140" s="203"/>
      <c r="BW140" s="203"/>
      <c r="BX140" s="203"/>
      <c r="BY140" s="203"/>
      <c r="BZ140" s="203"/>
      <c r="CA140" s="203"/>
      <c r="CB140" s="203"/>
      <c r="CC140" s="203"/>
      <c r="CD140" s="203"/>
      <c r="CE140" s="203"/>
      <c r="CF140" s="203"/>
      <c r="CG140" s="203"/>
      <c r="CH140" s="203"/>
      <c r="CI140" s="203"/>
    </row>
    <row r="141" spans="2:110" ht="21" customHeight="1" thickBot="1" x14ac:dyDescent="0.35">
      <c r="B141" s="277">
        <v>4</v>
      </c>
      <c r="C141" s="278"/>
      <c r="D141" s="25">
        <v>0</v>
      </c>
      <c r="E141" s="279" t="s">
        <v>130</v>
      </c>
      <c r="F141" s="258"/>
      <c r="G141" s="258">
        <f>+D141+BC141</f>
        <v>0</v>
      </c>
      <c r="H141" s="506">
        <v>279.06049999999999</v>
      </c>
      <c r="I141" s="507">
        <v>79.962900599999998</v>
      </c>
      <c r="J141" s="474">
        <f t="shared" si="18"/>
        <v>79.962900599999998</v>
      </c>
      <c r="K141" s="474">
        <f t="shared" si="19"/>
        <v>39.981450299999999</v>
      </c>
      <c r="L141" s="474">
        <f t="shared" si="5"/>
        <v>0.64253956655634092</v>
      </c>
      <c r="M141" s="474">
        <f t="shared" si="6"/>
        <v>179.30741271299578</v>
      </c>
      <c r="N141" s="474">
        <f t="shared" si="7"/>
        <v>358.61482542599157</v>
      </c>
      <c r="O141" s="474">
        <f>+C138+D139+D140+(D141/2)</f>
        <v>0</v>
      </c>
      <c r="P141" s="474">
        <f t="shared" si="8"/>
        <v>0</v>
      </c>
      <c r="Q141" s="474">
        <f t="shared" si="9"/>
        <v>0</v>
      </c>
      <c r="R141" s="474">
        <f t="shared" si="20"/>
        <v>213.83080000000001</v>
      </c>
      <c r="S141" s="474">
        <f t="shared" si="34"/>
        <v>213.83080000000001</v>
      </c>
      <c r="T141" s="476">
        <f t="shared" si="10"/>
        <v>213.83080000000001</v>
      </c>
      <c r="V141" s="437">
        <f t="shared" si="11"/>
        <v>0</v>
      </c>
      <c r="W141" s="437"/>
      <c r="X141" s="437"/>
      <c r="Y141" s="437"/>
      <c r="Z141" s="437"/>
      <c r="AA141" s="437"/>
      <c r="AB141" s="1595" t="str">
        <f t="shared" si="21"/>
        <v xml:space="preserve"> </v>
      </c>
      <c r="AC141" s="514" t="b">
        <f>IF(AD141=4,AF141)</f>
        <v>0</v>
      </c>
      <c r="AD141" s="514">
        <f t="shared" si="12"/>
        <v>1</v>
      </c>
      <c r="AE141" s="514">
        <f>IF(V141=0,0,4)</f>
        <v>0</v>
      </c>
      <c r="AF141" s="437">
        <f>SUM(V141:V157)/($B$135-B140)</f>
        <v>0</v>
      </c>
      <c r="AG141" s="437"/>
      <c r="AH141" s="450">
        <f>SUM(D139:D141)+$C$138</f>
        <v>0</v>
      </c>
      <c r="AI141" s="516" t="b">
        <f t="shared" si="22"/>
        <v>0</v>
      </c>
      <c r="AJ141" s="287">
        <f t="shared" si="23"/>
        <v>66.255548399999995</v>
      </c>
      <c r="AK141" s="441">
        <f t="shared" si="13"/>
        <v>0.91535047595051022</v>
      </c>
      <c r="AL141" s="289">
        <f t="shared" si="24"/>
        <v>278.56028065668761</v>
      </c>
      <c r="AM141" s="287">
        <f t="shared" si="25"/>
        <v>50.018549700000001</v>
      </c>
      <c r="AN141" s="442">
        <f t="shared" si="26"/>
        <v>0.76625250760411079</v>
      </c>
      <c r="AO141" s="291">
        <f t="shared" si="27"/>
        <v>213.83080789825695</v>
      </c>
      <c r="AP141" s="519">
        <f t="shared" si="14"/>
        <v>383.81066261426116</v>
      </c>
      <c r="AQ141" s="1639">
        <f t="shared" si="35"/>
        <v>-81</v>
      </c>
      <c r="AR141" s="443">
        <f t="shared" si="15"/>
        <v>67.3</v>
      </c>
      <c r="AS141" s="444">
        <f t="shared" si="28"/>
        <v>492.39108855494453</v>
      </c>
      <c r="AT141" s="445">
        <f>+V141-AO141</f>
        <v>-213.83080789825695</v>
      </c>
      <c r="AU141" s="446">
        <f t="shared" si="29"/>
        <v>597.64147051251814</v>
      </c>
      <c r="AV141" s="445"/>
      <c r="AW141" s="447">
        <f t="shared" si="30"/>
        <v>-14.385619216896718</v>
      </c>
      <c r="AX141" s="447">
        <f t="shared" si="31"/>
        <v>81.685619216896711</v>
      </c>
      <c r="AY141" s="1597">
        <f t="shared" si="16"/>
        <v>-806.36084030190011</v>
      </c>
      <c r="AZ141" s="1597">
        <f t="shared" si="17"/>
        <v>122.42056920015972</v>
      </c>
      <c r="BA141" s="542">
        <f t="shared" si="32"/>
        <v>806.36084030190011</v>
      </c>
      <c r="BB141" s="542">
        <f t="shared" si="32"/>
        <v>122.42056920015972</v>
      </c>
      <c r="BC141">
        <f t="shared" si="33"/>
        <v>0</v>
      </c>
      <c r="BM141" s="214"/>
      <c r="BN141" s="214"/>
      <c r="BO141" s="214"/>
      <c r="BP141" s="126"/>
      <c r="BQ141" s="126"/>
      <c r="BR141" s="126"/>
      <c r="BS141" s="126"/>
      <c r="BT141" s="126"/>
      <c r="BU141" s="126"/>
      <c r="BV141" s="203"/>
      <c r="BW141" s="203"/>
      <c r="BX141" s="203"/>
      <c r="BY141" s="203"/>
      <c r="BZ141" s="203"/>
      <c r="CA141" s="203"/>
      <c r="CB141" s="203"/>
      <c r="CC141" s="203"/>
      <c r="CD141" s="203"/>
      <c r="CE141" s="203"/>
      <c r="CF141" s="203"/>
      <c r="CG141" s="203"/>
      <c r="CH141" s="203"/>
      <c r="CI141" s="203"/>
    </row>
    <row r="142" spans="2:110" ht="21" customHeight="1" thickBot="1" x14ac:dyDescent="0.35">
      <c r="B142" s="277">
        <v>5</v>
      </c>
      <c r="C142" s="278"/>
      <c r="D142" s="25">
        <v>0</v>
      </c>
      <c r="E142" s="279" t="s">
        <v>130</v>
      </c>
      <c r="F142" s="258"/>
      <c r="G142" s="258">
        <f>+D142+BC142</f>
        <v>0</v>
      </c>
      <c r="H142" s="506">
        <v>279.06049999999999</v>
      </c>
      <c r="I142" s="507">
        <v>79.962900599999998</v>
      </c>
      <c r="J142" s="474">
        <f t="shared" si="18"/>
        <v>79.962900599999998</v>
      </c>
      <c r="K142" s="474">
        <f t="shared" si="19"/>
        <v>39.981450299999999</v>
      </c>
      <c r="L142" s="474">
        <f t="shared" si="5"/>
        <v>0.64253956655634092</v>
      </c>
      <c r="M142" s="474">
        <f t="shared" si="6"/>
        <v>179.30741271299578</v>
      </c>
      <c r="N142" s="474">
        <f t="shared" si="7"/>
        <v>358.61482542599157</v>
      </c>
      <c r="O142" s="474">
        <f>+C138+D139+D140+D141+(D142/2)</f>
        <v>0</v>
      </c>
      <c r="P142" s="474">
        <f t="shared" si="8"/>
        <v>0</v>
      </c>
      <c r="Q142" s="474">
        <f t="shared" si="9"/>
        <v>0</v>
      </c>
      <c r="R142" s="474">
        <f t="shared" si="20"/>
        <v>213.83080000000001</v>
      </c>
      <c r="S142" s="474">
        <f t="shared" si="34"/>
        <v>213.83080000000001</v>
      </c>
      <c r="T142" s="476">
        <f t="shared" si="10"/>
        <v>213.83080000000001</v>
      </c>
      <c r="V142" s="437">
        <f t="shared" si="11"/>
        <v>0</v>
      </c>
      <c r="W142" s="437"/>
      <c r="X142" s="437"/>
      <c r="Y142" s="437"/>
      <c r="Z142" s="437"/>
      <c r="AA142" s="437"/>
      <c r="AB142" s="1595" t="str">
        <f t="shared" si="21"/>
        <v xml:space="preserve"> </v>
      </c>
      <c r="AC142" s="514" t="b">
        <f>IF(AD142=5,AF142)</f>
        <v>0</v>
      </c>
      <c r="AD142" s="514">
        <f t="shared" si="12"/>
        <v>1</v>
      </c>
      <c r="AE142" s="514">
        <f>IF(V142=0,0,5)</f>
        <v>0</v>
      </c>
      <c r="AF142" s="437">
        <f>SUM(V142:V157)/($B$135-B141)</f>
        <v>0</v>
      </c>
      <c r="AG142" s="437"/>
      <c r="AH142" s="450">
        <f>SUM(D139:D142)+$C$138</f>
        <v>0</v>
      </c>
      <c r="AI142" s="516" t="b">
        <f t="shared" si="22"/>
        <v>0</v>
      </c>
      <c r="AJ142" s="287">
        <f t="shared" si="23"/>
        <v>66.255548399999995</v>
      </c>
      <c r="AK142" s="441">
        <f t="shared" si="13"/>
        <v>0.91535047595051022</v>
      </c>
      <c r="AL142" s="289">
        <f t="shared" si="24"/>
        <v>278.56028065668761</v>
      </c>
      <c r="AM142" s="287">
        <f t="shared" si="25"/>
        <v>50.018549700000001</v>
      </c>
      <c r="AN142" s="442">
        <f t="shared" si="26"/>
        <v>0.76625250760411079</v>
      </c>
      <c r="AO142" s="291">
        <f t="shared" si="27"/>
        <v>213.83080789825695</v>
      </c>
      <c r="AP142" s="519">
        <f t="shared" si="14"/>
        <v>963.82304454999178</v>
      </c>
      <c r="AQ142" s="1639">
        <f t="shared" si="35"/>
        <v>-121.5</v>
      </c>
      <c r="AR142" s="443">
        <f t="shared" si="15"/>
        <v>26.799999999999997</v>
      </c>
      <c r="AS142" s="444">
        <f t="shared" si="28"/>
        <v>492.39108855494453</v>
      </c>
      <c r="AT142" s="445">
        <f t="shared" ref="AT142:AT157" si="36">+V142-AO142</f>
        <v>-213.83080789825695</v>
      </c>
      <c r="AU142" s="446">
        <f t="shared" si="29"/>
        <v>1177.6538524482487</v>
      </c>
      <c r="AV142" s="445"/>
      <c r="AW142" s="447">
        <f t="shared" si="30"/>
        <v>-37.297673534746046</v>
      </c>
      <c r="AX142" s="447">
        <f t="shared" si="31"/>
        <v>64.097673534746036</v>
      </c>
      <c r="AY142" s="1597">
        <f t="shared" si="16"/>
        <v>-311.01135541855137</v>
      </c>
      <c r="AZ142" s="1597">
        <f t="shared" si="17"/>
        <v>156.01190259392496</v>
      </c>
      <c r="BA142" s="542">
        <f t="shared" si="32"/>
        <v>311.01135541855137</v>
      </c>
      <c r="BB142" s="542">
        <f t="shared" si="32"/>
        <v>156.01190259392496</v>
      </c>
      <c r="BC142">
        <f t="shared" si="33"/>
        <v>0</v>
      </c>
      <c r="BM142" s="214"/>
      <c r="BN142" s="214"/>
      <c r="BO142" s="214"/>
      <c r="BP142" s="126"/>
      <c r="BQ142" s="126"/>
      <c r="BR142" s="126"/>
      <c r="BS142" s="126"/>
      <c r="BT142" s="126"/>
      <c r="BU142" s="126"/>
      <c r="BV142" s="203"/>
      <c r="BW142" s="203"/>
      <c r="BX142" s="203"/>
      <c r="BY142" s="203"/>
      <c r="BZ142" s="203"/>
      <c r="CA142" s="203"/>
      <c r="CB142" s="203"/>
      <c r="CC142" s="203"/>
      <c r="CD142" s="203"/>
      <c r="CE142" s="203"/>
      <c r="CF142" s="203"/>
      <c r="CG142" s="203"/>
      <c r="CH142" s="203"/>
      <c r="CI142" s="203"/>
    </row>
    <row r="143" spans="2:110" ht="21" customHeight="1" thickBot="1" x14ac:dyDescent="0.35">
      <c r="B143" s="277">
        <v>6</v>
      </c>
      <c r="C143" s="278"/>
      <c r="D143" s="25">
        <v>0</v>
      </c>
      <c r="E143" s="279" t="s">
        <v>130</v>
      </c>
      <c r="F143" s="258"/>
      <c r="G143" s="258">
        <f t="shared" ref="G143:G157" si="37">+D143+BC143</f>
        <v>0</v>
      </c>
      <c r="H143" s="506">
        <v>279.06049999999999</v>
      </c>
      <c r="I143" s="507">
        <v>79.962900599999998</v>
      </c>
      <c r="J143" s="474">
        <f t="shared" si="18"/>
        <v>79.962900599999998</v>
      </c>
      <c r="K143" s="474">
        <f t="shared" si="19"/>
        <v>39.981450299999999</v>
      </c>
      <c r="L143" s="474">
        <f t="shared" si="5"/>
        <v>0.64253956655634092</v>
      </c>
      <c r="M143" s="474">
        <f t="shared" si="6"/>
        <v>179.30741271299578</v>
      </c>
      <c r="N143" s="474">
        <f t="shared" si="7"/>
        <v>358.61482542599157</v>
      </c>
      <c r="O143" s="474">
        <f>+C138+D139+D140+D141+D142+(D143/2)</f>
        <v>0</v>
      </c>
      <c r="P143" s="474">
        <f t="shared" si="8"/>
        <v>0</v>
      </c>
      <c r="Q143" s="474">
        <f t="shared" si="9"/>
        <v>0</v>
      </c>
      <c r="R143" s="474">
        <f t="shared" si="20"/>
        <v>213.83080000000001</v>
      </c>
      <c r="S143" s="474">
        <f t="shared" si="34"/>
        <v>213.83080000000001</v>
      </c>
      <c r="T143" s="476">
        <f t="shared" si="10"/>
        <v>213.83080000000001</v>
      </c>
      <c r="V143" s="437">
        <f t="shared" si="11"/>
        <v>0</v>
      </c>
      <c r="W143" s="437"/>
      <c r="X143" s="437"/>
      <c r="Y143" s="437"/>
      <c r="Z143" s="437"/>
      <c r="AA143" s="437"/>
      <c r="AB143" s="1595" t="str">
        <f t="shared" si="21"/>
        <v xml:space="preserve"> </v>
      </c>
      <c r="AC143" s="514" t="b">
        <f>IF(AD143=6,AF143)</f>
        <v>0</v>
      </c>
      <c r="AD143" s="514">
        <f t="shared" si="12"/>
        <v>1</v>
      </c>
      <c r="AE143" s="514">
        <f>IF(V143=0,0,6)</f>
        <v>0</v>
      </c>
      <c r="AF143" s="437">
        <f>SUM(V143:V157)/($B$135-B142)</f>
        <v>0</v>
      </c>
      <c r="AG143" s="437"/>
      <c r="AH143" s="450">
        <f>SUM(D139:D143)+$C$138</f>
        <v>0</v>
      </c>
      <c r="AI143" s="516" t="b">
        <f t="shared" si="22"/>
        <v>0</v>
      </c>
      <c r="AJ143" s="287">
        <f t="shared" si="23"/>
        <v>66.255548399999995</v>
      </c>
      <c r="AK143" s="441">
        <f t="shared" si="13"/>
        <v>0.91535047595051022</v>
      </c>
      <c r="AL143" s="289">
        <f t="shared" si="24"/>
        <v>278.56028065668761</v>
      </c>
      <c r="AM143" s="287">
        <f t="shared" si="25"/>
        <v>50.018549700000001</v>
      </c>
      <c r="AN143" s="442">
        <f t="shared" si="26"/>
        <v>0.76625250760411079</v>
      </c>
      <c r="AO143" s="291">
        <f t="shared" si="27"/>
        <v>213.83080789825695</v>
      </c>
      <c r="AP143" s="519">
        <f t="shared" si="14"/>
        <v>-1885.4348608715181</v>
      </c>
      <c r="AQ143" s="1639">
        <f t="shared" si="35"/>
        <v>-162</v>
      </c>
      <c r="AR143" s="443">
        <f t="shared" si="15"/>
        <v>-13.699999999999989</v>
      </c>
      <c r="AS143" s="444">
        <f t="shared" si="28"/>
        <v>492.39108855494453</v>
      </c>
      <c r="AT143" s="445">
        <f t="shared" si="36"/>
        <v>-213.83080789825695</v>
      </c>
      <c r="AU143" s="446">
        <f t="shared" si="29"/>
        <v>-1671.6040529732611</v>
      </c>
      <c r="AV143" s="445"/>
      <c r="AW143" s="447">
        <f t="shared" si="30"/>
        <v>-60.209727852595364</v>
      </c>
      <c r="AX143" s="447">
        <f t="shared" si="31"/>
        <v>46.509727852595368</v>
      </c>
      <c r="AY143" s="1597">
        <f t="shared" si="16"/>
        <v>-192.65989755673638</v>
      </c>
      <c r="AZ143" s="1597">
        <f t="shared" si="17"/>
        <v>215.00878336018843</v>
      </c>
      <c r="BA143" s="542">
        <f t="shared" si="32"/>
        <v>192.65989755673638</v>
      </c>
      <c r="BB143" s="542">
        <f t="shared" si="32"/>
        <v>215.00878336018843</v>
      </c>
      <c r="BC143">
        <f t="shared" si="33"/>
        <v>0</v>
      </c>
      <c r="BM143" s="214"/>
      <c r="BN143" s="214"/>
      <c r="BO143" s="214"/>
      <c r="CI143" s="236"/>
      <c r="CJ143" s="236"/>
      <c r="CK143" s="236"/>
      <c r="CL143" s="236"/>
      <c r="CM143" s="236"/>
      <c r="CN143" s="236"/>
    </row>
    <row r="144" spans="2:110" ht="21" customHeight="1" thickBot="1" x14ac:dyDescent="0.35">
      <c r="B144" s="277">
        <v>7</v>
      </c>
      <c r="C144" s="278"/>
      <c r="D144" s="25">
        <v>0</v>
      </c>
      <c r="E144" s="279" t="s">
        <v>130</v>
      </c>
      <c r="F144" s="258"/>
      <c r="G144" s="258">
        <f t="shared" si="37"/>
        <v>0</v>
      </c>
      <c r="H144" s="506">
        <v>279.06049999999999</v>
      </c>
      <c r="I144" s="507">
        <v>79.962900599999998</v>
      </c>
      <c r="J144" s="474">
        <f t="shared" si="18"/>
        <v>79.962900599999998</v>
      </c>
      <c r="K144" s="474">
        <f t="shared" si="19"/>
        <v>39.981450299999999</v>
      </c>
      <c r="L144" s="474">
        <f t="shared" si="5"/>
        <v>0.64253956655634092</v>
      </c>
      <c r="M144" s="474">
        <f t="shared" si="6"/>
        <v>179.30741271299578</v>
      </c>
      <c r="N144" s="474">
        <f t="shared" si="7"/>
        <v>358.61482542599157</v>
      </c>
      <c r="O144" s="474">
        <f>+C138+D139+D140+D141+D142+D143+(D144/2)</f>
        <v>0</v>
      </c>
      <c r="P144" s="474">
        <f t="shared" si="8"/>
        <v>0</v>
      </c>
      <c r="Q144" s="474">
        <f t="shared" si="9"/>
        <v>0</v>
      </c>
      <c r="R144" s="474">
        <f t="shared" si="20"/>
        <v>213.83080000000001</v>
      </c>
      <c r="S144" s="474">
        <f t="shared" si="34"/>
        <v>213.83080000000001</v>
      </c>
      <c r="T144" s="476">
        <f t="shared" si="10"/>
        <v>213.83080000000001</v>
      </c>
      <c r="V144" s="437">
        <f t="shared" si="11"/>
        <v>0</v>
      </c>
      <c r="W144" s="437"/>
      <c r="X144" s="437"/>
      <c r="Y144" s="437"/>
      <c r="Z144" s="437"/>
      <c r="AA144" s="437"/>
      <c r="AB144" s="1595" t="str">
        <f t="shared" si="21"/>
        <v xml:space="preserve"> </v>
      </c>
      <c r="AC144" s="514" t="b">
        <f>IF(AD144=7,AF144)</f>
        <v>0</v>
      </c>
      <c r="AD144" s="514">
        <f t="shared" si="12"/>
        <v>1</v>
      </c>
      <c r="AE144" s="514">
        <f>IF(V144=0,0,7)</f>
        <v>0</v>
      </c>
      <c r="AF144" s="437">
        <f>SUM(V144:V157)/($B$135-B143)</f>
        <v>0</v>
      </c>
      <c r="AG144" s="437"/>
      <c r="AH144" s="450">
        <f>SUM(D139:D144)+$C$138</f>
        <v>0</v>
      </c>
      <c r="AI144" s="516" t="b">
        <f t="shared" si="22"/>
        <v>0</v>
      </c>
      <c r="AJ144" s="287">
        <f t="shared" si="23"/>
        <v>66.255548399999995</v>
      </c>
      <c r="AK144" s="441">
        <f t="shared" si="13"/>
        <v>0.91535047595051022</v>
      </c>
      <c r="AL144" s="289">
        <f t="shared" si="24"/>
        <v>278.56028065668761</v>
      </c>
      <c r="AM144" s="287">
        <f t="shared" si="25"/>
        <v>50.018549700000001</v>
      </c>
      <c r="AN144" s="442">
        <f t="shared" si="26"/>
        <v>0.76625250760411079</v>
      </c>
      <c r="AO144" s="291">
        <f t="shared" si="27"/>
        <v>213.83080789825695</v>
      </c>
      <c r="AP144" s="519">
        <f t="shared" si="14"/>
        <v>-476.57670837527274</v>
      </c>
      <c r="AQ144" s="1639">
        <f t="shared" si="35"/>
        <v>-202.5</v>
      </c>
      <c r="AR144" s="443">
        <f t="shared" si="15"/>
        <v>-54.199999999999989</v>
      </c>
      <c r="AS144" s="444">
        <f t="shared" si="28"/>
        <v>492.39108855494453</v>
      </c>
      <c r="AT144" s="445">
        <f t="shared" si="36"/>
        <v>-213.83080789825695</v>
      </c>
      <c r="AU144" s="446">
        <f t="shared" si="29"/>
        <v>-262.74590047701577</v>
      </c>
      <c r="AV144" s="445"/>
      <c r="AW144" s="447">
        <f t="shared" si="30"/>
        <v>-83.121782170444689</v>
      </c>
      <c r="AX144" s="447">
        <f t="shared" si="31"/>
        <v>28.921782170444697</v>
      </c>
      <c r="AY144" s="1597">
        <f t="shared" si="16"/>
        <v>-139.55427442849717</v>
      </c>
      <c r="AZ144" s="1597">
        <f t="shared" si="17"/>
        <v>345.76015893719875</v>
      </c>
      <c r="BA144" s="542">
        <f t="shared" si="32"/>
        <v>139.55427442849717</v>
      </c>
      <c r="BB144" s="542">
        <f t="shared" si="32"/>
        <v>345.76015893719875</v>
      </c>
      <c r="BC144">
        <f t="shared" si="33"/>
        <v>0</v>
      </c>
      <c r="BM144" s="214"/>
      <c r="BN144" s="214"/>
      <c r="BO144" s="214"/>
    </row>
    <row r="145" spans="1:129" ht="21" customHeight="1" thickBot="1" x14ac:dyDescent="0.35">
      <c r="B145" s="277">
        <v>8</v>
      </c>
      <c r="C145" s="278"/>
      <c r="D145" s="25">
        <v>0</v>
      </c>
      <c r="E145" s="279" t="s">
        <v>130</v>
      </c>
      <c r="F145" s="258"/>
      <c r="G145" s="258">
        <f t="shared" si="37"/>
        <v>0</v>
      </c>
      <c r="H145" s="506">
        <v>279.06049999999999</v>
      </c>
      <c r="I145" s="507">
        <v>79.962900599999998</v>
      </c>
      <c r="J145" s="474">
        <f t="shared" si="18"/>
        <v>79.962900599999998</v>
      </c>
      <c r="K145" s="474">
        <f t="shared" si="19"/>
        <v>39.981450299999999</v>
      </c>
      <c r="L145" s="474">
        <f t="shared" si="5"/>
        <v>0.64253956655634092</v>
      </c>
      <c r="M145" s="474">
        <f t="shared" si="6"/>
        <v>179.30741271299578</v>
      </c>
      <c r="N145" s="474">
        <f t="shared" si="7"/>
        <v>358.61482542599157</v>
      </c>
      <c r="O145" s="474">
        <f>+C138+D139+D140+D141+D142+D143+D144+(D145/2)</f>
        <v>0</v>
      </c>
      <c r="P145" s="474">
        <f t="shared" si="8"/>
        <v>0</v>
      </c>
      <c r="Q145" s="474">
        <f t="shared" si="9"/>
        <v>0</v>
      </c>
      <c r="R145" s="474">
        <f t="shared" si="20"/>
        <v>213.83080000000001</v>
      </c>
      <c r="S145" s="474">
        <f t="shared" si="34"/>
        <v>213.83080000000001</v>
      </c>
      <c r="T145" s="476">
        <f t="shared" si="10"/>
        <v>213.83080000000001</v>
      </c>
      <c r="V145" s="437">
        <f t="shared" si="11"/>
        <v>0</v>
      </c>
      <c r="W145" s="437"/>
      <c r="X145" s="437"/>
      <c r="Y145" s="437"/>
      <c r="Z145" s="437"/>
      <c r="AA145" s="437"/>
      <c r="AB145" s="1595" t="str">
        <f t="shared" si="21"/>
        <v xml:space="preserve"> </v>
      </c>
      <c r="AC145" s="514" t="b">
        <f>IF(AD145=8,AF145)</f>
        <v>0</v>
      </c>
      <c r="AD145" s="514">
        <f t="shared" si="12"/>
        <v>1</v>
      </c>
      <c r="AE145" s="514">
        <f>IF(V145=0,0,8)</f>
        <v>0</v>
      </c>
      <c r="AF145" s="437">
        <f>SUM(V145:V157)/($B$135-B144)</f>
        <v>0</v>
      </c>
      <c r="AG145" s="437"/>
      <c r="AH145" s="450">
        <f>SUM(D139:D145)+$C$138</f>
        <v>0</v>
      </c>
      <c r="AI145" s="516" t="b">
        <f t="shared" si="22"/>
        <v>0</v>
      </c>
      <c r="AJ145" s="287">
        <f t="shared" si="23"/>
        <v>66.255548399999995</v>
      </c>
      <c r="AK145" s="441">
        <f t="shared" si="13"/>
        <v>0.91535047595051022</v>
      </c>
      <c r="AL145" s="289">
        <f t="shared" si="24"/>
        <v>278.56028065668761</v>
      </c>
      <c r="AM145" s="287">
        <f t="shared" si="25"/>
        <v>50.018549700000001</v>
      </c>
      <c r="AN145" s="442">
        <f t="shared" si="26"/>
        <v>0.76625250760411079</v>
      </c>
      <c r="AO145" s="291">
        <f t="shared" si="27"/>
        <v>213.83080789825695</v>
      </c>
      <c r="AP145" s="519">
        <f t="shared" si="14"/>
        <v>-272.76090384308111</v>
      </c>
      <c r="AQ145" s="1639">
        <f t="shared" si="35"/>
        <v>-243</v>
      </c>
      <c r="AR145" s="443">
        <f t="shared" si="15"/>
        <v>-94.699999999999989</v>
      </c>
      <c r="AS145" s="444">
        <f t="shared" si="28"/>
        <v>492.39108855494453</v>
      </c>
      <c r="AT145" s="445">
        <f t="shared" si="36"/>
        <v>-213.83080789825695</v>
      </c>
      <c r="AU145" s="446">
        <f t="shared" si="29"/>
        <v>-58.93009594482416</v>
      </c>
      <c r="AV145" s="445"/>
      <c r="AW145" s="447">
        <f t="shared" si="30"/>
        <v>-106.03383648829403</v>
      </c>
      <c r="AX145" s="447">
        <f t="shared" si="31"/>
        <v>11.333836488294029</v>
      </c>
      <c r="AY145" s="1597">
        <f t="shared" si="16"/>
        <v>-109.3990407607351</v>
      </c>
      <c r="AZ145" s="1597">
        <f t="shared" si="17"/>
        <v>882.31376995144933</v>
      </c>
      <c r="BA145" s="542">
        <f t="shared" si="32"/>
        <v>109.3990407607351</v>
      </c>
      <c r="BB145" s="542">
        <f t="shared" si="32"/>
        <v>882.31376995144933</v>
      </c>
      <c r="BC145">
        <f t="shared" si="33"/>
        <v>0</v>
      </c>
      <c r="BM145" s="214"/>
      <c r="BN145" s="214"/>
      <c r="BO145" s="214"/>
    </row>
    <row r="146" spans="1:129" ht="21" customHeight="1" thickBot="1" x14ac:dyDescent="0.35">
      <c r="B146" s="277">
        <v>9</v>
      </c>
      <c r="C146" s="278"/>
      <c r="D146" s="25">
        <v>0</v>
      </c>
      <c r="E146" s="279" t="s">
        <v>130</v>
      </c>
      <c r="F146" s="258"/>
      <c r="G146" s="258">
        <f t="shared" si="37"/>
        <v>0.3</v>
      </c>
      <c r="H146" s="506">
        <v>279.06049999999999</v>
      </c>
      <c r="I146" s="507">
        <v>79.962900599999998</v>
      </c>
      <c r="J146" s="474">
        <f t="shared" si="18"/>
        <v>79.962900599999998</v>
      </c>
      <c r="K146" s="474">
        <f t="shared" si="19"/>
        <v>39.981450299999999</v>
      </c>
      <c r="L146" s="474">
        <f t="shared" si="5"/>
        <v>0.64253956655634092</v>
      </c>
      <c r="M146" s="474">
        <f t="shared" si="6"/>
        <v>179.30741271299578</v>
      </c>
      <c r="N146" s="474">
        <f t="shared" si="7"/>
        <v>358.61482542599157</v>
      </c>
      <c r="O146" s="474">
        <f>+C138+D139+D140+D141+D142+D143+D144+D145+(D146/2)</f>
        <v>0</v>
      </c>
      <c r="P146" s="474">
        <f t="shared" si="8"/>
        <v>0</v>
      </c>
      <c r="Q146" s="474">
        <f t="shared" si="9"/>
        <v>0</v>
      </c>
      <c r="R146" s="474">
        <f t="shared" si="20"/>
        <v>213.83080000000001</v>
      </c>
      <c r="S146" s="474">
        <f t="shared" si="34"/>
        <v>213.83080000000001</v>
      </c>
      <c r="T146" s="476">
        <f t="shared" si="10"/>
        <v>213.83080000000001</v>
      </c>
      <c r="V146" s="437">
        <f t="shared" si="11"/>
        <v>0</v>
      </c>
      <c r="W146" s="437"/>
      <c r="X146" s="437"/>
      <c r="Y146" s="437"/>
      <c r="Z146" s="437"/>
      <c r="AA146" s="437"/>
      <c r="AB146" s="1595" t="str">
        <f t="shared" si="21"/>
        <v>use the locking pin</v>
      </c>
      <c r="AC146" s="514" t="b">
        <f>IF(AD146=9,AF146)</f>
        <v>0</v>
      </c>
      <c r="AD146" s="514">
        <f t="shared" si="12"/>
        <v>1</v>
      </c>
      <c r="AE146" s="514">
        <f>IF(V146=0,0,9)</f>
        <v>0</v>
      </c>
      <c r="AF146" s="437">
        <f>SUM(V146:V157)/($B$135-B145)</f>
        <v>0</v>
      </c>
      <c r="AG146" s="437"/>
      <c r="AH146" s="450">
        <f>SUM(D139:D146)+$C$138</f>
        <v>0</v>
      </c>
      <c r="AI146" s="516" t="b">
        <f t="shared" si="22"/>
        <v>0</v>
      </c>
      <c r="AJ146" s="287">
        <f t="shared" si="23"/>
        <v>66.255548399999995</v>
      </c>
      <c r="AK146" s="441">
        <f t="shared" si="13"/>
        <v>0.91535047595051022</v>
      </c>
      <c r="AL146" s="289">
        <f t="shared" si="24"/>
        <v>278.56028065668761</v>
      </c>
      <c r="AM146" s="287">
        <f t="shared" si="25"/>
        <v>50.018549700000001</v>
      </c>
      <c r="AN146" s="442">
        <f t="shared" si="26"/>
        <v>0.76625250760411079</v>
      </c>
      <c r="AO146" s="291">
        <f t="shared" si="27"/>
        <v>213.83080789825695</v>
      </c>
      <c r="AP146" s="519">
        <f t="shared" si="14"/>
        <v>-191.05368042854866</v>
      </c>
      <c r="AQ146" s="1639">
        <f t="shared" si="35"/>
        <v>-283.5</v>
      </c>
      <c r="AR146" s="443">
        <f t="shared" si="15"/>
        <v>-135.19999999999999</v>
      </c>
      <c r="AS146" s="444">
        <f t="shared" si="28"/>
        <v>492.39108855494453</v>
      </c>
      <c r="AT146" s="445">
        <f t="shared" si="36"/>
        <v>-213.83080789825695</v>
      </c>
      <c r="AU146" s="446">
        <f t="shared" si="29"/>
        <v>22.77712746970829</v>
      </c>
      <c r="AV146" s="445"/>
      <c r="AW146" s="447">
        <f t="shared" si="30"/>
        <v>-128.94589080614335</v>
      </c>
      <c r="AX146" s="447">
        <f t="shared" si="31"/>
        <v>-6.254109193856646</v>
      </c>
      <c r="AY146" s="1597">
        <f t="shared" si="16"/>
        <v>-89.960214532461421</v>
      </c>
      <c r="AZ146" s="1597">
        <f t="shared" si="17"/>
        <v>-1598.9487375472927</v>
      </c>
      <c r="BA146" s="542">
        <f t="shared" si="32"/>
        <v>89.960214532461421</v>
      </c>
      <c r="BB146" s="542">
        <f t="shared" si="32"/>
        <v>1598.9487375472927</v>
      </c>
      <c r="BC146">
        <f t="shared" si="33"/>
        <v>0.3</v>
      </c>
      <c r="BM146" s="214"/>
      <c r="BN146" s="214"/>
      <c r="BO146" s="214"/>
    </row>
    <row r="147" spans="1:129" ht="21" customHeight="1" thickBot="1" x14ac:dyDescent="0.35">
      <c r="B147" s="277">
        <v>10</v>
      </c>
      <c r="C147" s="278"/>
      <c r="D147" s="25">
        <v>0</v>
      </c>
      <c r="E147" s="279" t="s">
        <v>130</v>
      </c>
      <c r="F147" s="258"/>
      <c r="G147" s="258">
        <f t="shared" si="37"/>
        <v>0.3</v>
      </c>
      <c r="H147" s="506">
        <v>279.06049999999999</v>
      </c>
      <c r="I147" s="507">
        <v>79.962900599999998</v>
      </c>
      <c r="J147" s="474">
        <f t="shared" si="18"/>
        <v>79.962900599999998</v>
      </c>
      <c r="K147" s="474">
        <f t="shared" si="19"/>
        <v>39.981450299999999</v>
      </c>
      <c r="L147" s="474">
        <f t="shared" si="5"/>
        <v>0.64253956655634092</v>
      </c>
      <c r="M147" s="474">
        <f t="shared" si="6"/>
        <v>179.30741271299578</v>
      </c>
      <c r="N147" s="474">
        <f t="shared" si="7"/>
        <v>358.61482542599157</v>
      </c>
      <c r="O147" s="474">
        <f>+C138+D139+D140+D141+D142+D143+D144+D145+D146+(D147/2)</f>
        <v>0</v>
      </c>
      <c r="P147" s="474">
        <f t="shared" si="8"/>
        <v>0</v>
      </c>
      <c r="Q147" s="474">
        <f t="shared" si="9"/>
        <v>0</v>
      </c>
      <c r="R147" s="474">
        <f t="shared" si="20"/>
        <v>213.83080000000001</v>
      </c>
      <c r="S147" s="474">
        <f t="shared" si="34"/>
        <v>213.83080000000001</v>
      </c>
      <c r="T147" s="476">
        <f t="shared" si="10"/>
        <v>213.83080000000001</v>
      </c>
      <c r="V147" s="437">
        <f t="shared" si="11"/>
        <v>0</v>
      </c>
      <c r="W147" s="437"/>
      <c r="X147" s="437"/>
      <c r="Y147" s="437"/>
      <c r="Z147" s="437"/>
      <c r="AA147" s="437"/>
      <c r="AB147" s="1595" t="str">
        <f t="shared" si="21"/>
        <v>use the locking pin</v>
      </c>
      <c r="AC147" s="514" t="b">
        <f>IF(AD147=10,AF147)</f>
        <v>0</v>
      </c>
      <c r="AD147" s="514">
        <f t="shared" si="12"/>
        <v>1</v>
      </c>
      <c r="AE147" s="514">
        <f>IF(V147=0,0,10)</f>
        <v>0</v>
      </c>
      <c r="AF147" s="437">
        <f>SUM(V147:V157)/($B$135-B146)</f>
        <v>0</v>
      </c>
      <c r="AG147" s="437"/>
      <c r="AH147" s="450">
        <f>SUM(D139:D147)+$C$138</f>
        <v>0</v>
      </c>
      <c r="AI147" s="516" t="b">
        <f t="shared" si="22"/>
        <v>0</v>
      </c>
      <c r="AJ147" s="287">
        <f t="shared" si="23"/>
        <v>66.255548399999995</v>
      </c>
      <c r="AK147" s="441">
        <f t="shared" si="13"/>
        <v>0.91535047595051022</v>
      </c>
      <c r="AL147" s="289">
        <f t="shared" si="24"/>
        <v>278.56028065668761</v>
      </c>
      <c r="AM147" s="287">
        <f t="shared" si="25"/>
        <v>50.018549700000001</v>
      </c>
      <c r="AN147" s="442">
        <f t="shared" si="26"/>
        <v>0.76625250760411079</v>
      </c>
      <c r="AO147" s="291">
        <f t="shared" si="27"/>
        <v>213.83080789825695</v>
      </c>
      <c r="AP147" s="519">
        <f t="shared" si="14"/>
        <v>-147.0145565961285</v>
      </c>
      <c r="AQ147" s="1639">
        <f t="shared" si="35"/>
        <v>-324</v>
      </c>
      <c r="AR147" s="443">
        <f t="shared" si="15"/>
        <v>-175.7</v>
      </c>
      <c r="AS147" s="444">
        <f t="shared" si="28"/>
        <v>492.39108855494453</v>
      </c>
      <c r="AT147" s="445">
        <f t="shared" si="36"/>
        <v>-213.83080789825695</v>
      </c>
      <c r="AU147" s="446">
        <f t="shared" si="29"/>
        <v>66.81625130212845</v>
      </c>
      <c r="AV147" s="445"/>
      <c r="AW147" s="447">
        <f t="shared" si="30"/>
        <v>-151.85794512399269</v>
      </c>
      <c r="AX147" s="447">
        <f t="shared" si="31"/>
        <v>-23.842054876007321</v>
      </c>
      <c r="AY147" s="1597">
        <f t="shared" si="16"/>
        <v>-76.387178757940831</v>
      </c>
      <c r="AZ147" s="1597">
        <f t="shared" si="17"/>
        <v>-419.42693496872937</v>
      </c>
      <c r="BA147" s="542">
        <f t="shared" si="32"/>
        <v>76.387178757940831</v>
      </c>
      <c r="BB147" s="542">
        <f t="shared" si="32"/>
        <v>419.42693496872937</v>
      </c>
      <c r="BC147">
        <f t="shared" si="33"/>
        <v>0.3</v>
      </c>
      <c r="BM147" s="214"/>
      <c r="BN147" s="214"/>
      <c r="BO147" s="214"/>
    </row>
    <row r="148" spans="1:129" ht="21" customHeight="1" thickBot="1" x14ac:dyDescent="0.35">
      <c r="A148" s="296"/>
      <c r="B148" s="277">
        <v>11</v>
      </c>
      <c r="C148" s="278"/>
      <c r="D148" s="25">
        <v>0</v>
      </c>
      <c r="E148" s="279" t="s">
        <v>130</v>
      </c>
      <c r="F148" s="258"/>
      <c r="G148" s="258">
        <f t="shared" si="37"/>
        <v>0.3</v>
      </c>
      <c r="H148" s="506">
        <v>279.06049999999999</v>
      </c>
      <c r="I148" s="507">
        <v>79.962900599999998</v>
      </c>
      <c r="J148" s="474">
        <f t="shared" si="18"/>
        <v>79.962900599999998</v>
      </c>
      <c r="K148" s="474">
        <f t="shared" si="19"/>
        <v>39.981450299999999</v>
      </c>
      <c r="L148" s="474">
        <f t="shared" si="5"/>
        <v>0.64253956655634092</v>
      </c>
      <c r="M148" s="474">
        <f t="shared" si="6"/>
        <v>179.30741271299578</v>
      </c>
      <c r="N148" s="474">
        <f t="shared" si="7"/>
        <v>358.61482542599157</v>
      </c>
      <c r="O148" s="474">
        <f>+C138+D139+D140+D141+D142+D143+D144+D145+D146+D147+(D148/2)</f>
        <v>0</v>
      </c>
      <c r="P148" s="474">
        <f t="shared" si="8"/>
        <v>0</v>
      </c>
      <c r="Q148" s="474">
        <f t="shared" si="9"/>
        <v>0</v>
      </c>
      <c r="R148" s="474">
        <f t="shared" si="20"/>
        <v>213.83080000000001</v>
      </c>
      <c r="S148" s="474">
        <f t="shared" si="34"/>
        <v>213.83080000000001</v>
      </c>
      <c r="T148" s="476">
        <f t="shared" si="10"/>
        <v>213.83080000000001</v>
      </c>
      <c r="V148" s="437">
        <f t="shared" si="11"/>
        <v>0</v>
      </c>
      <c r="W148" s="437"/>
      <c r="X148" s="437"/>
      <c r="Y148" s="437"/>
      <c r="Z148" s="437"/>
      <c r="AA148" s="437"/>
      <c r="AB148" s="1595" t="str">
        <f t="shared" si="21"/>
        <v>use the locking pin</v>
      </c>
      <c r="AC148" s="514" t="b">
        <f>IF(AD148=11,AF148)</f>
        <v>0</v>
      </c>
      <c r="AD148" s="514">
        <f t="shared" si="12"/>
        <v>1</v>
      </c>
      <c r="AE148" s="514">
        <f>IF(V148=0,0,11)</f>
        <v>0</v>
      </c>
      <c r="AF148" s="437">
        <f>SUM(V148:V157)/($B$135-B147)</f>
        <v>0</v>
      </c>
      <c r="AG148" s="437"/>
      <c r="AH148" s="450">
        <f>SUM(D139:D148)+$C$138</f>
        <v>0</v>
      </c>
      <c r="AI148" s="516" t="b">
        <f t="shared" si="22"/>
        <v>0</v>
      </c>
      <c r="AJ148" s="287">
        <f t="shared" si="23"/>
        <v>66.255548399999995</v>
      </c>
      <c r="AK148" s="441">
        <f t="shared" si="13"/>
        <v>0.91535047595051022</v>
      </c>
      <c r="AL148" s="289">
        <f t="shared" si="24"/>
        <v>278.56028065668761</v>
      </c>
      <c r="AM148" s="287">
        <f t="shared" si="25"/>
        <v>50.018549700000001</v>
      </c>
      <c r="AN148" s="442">
        <f t="shared" si="26"/>
        <v>0.76625250760411079</v>
      </c>
      <c r="AO148" s="291">
        <f t="shared" si="27"/>
        <v>213.83080789825695</v>
      </c>
      <c r="AP148" s="519">
        <f t="shared" si="14"/>
        <v>-119.47482698399527</v>
      </c>
      <c r="AQ148" s="1639">
        <f t="shared" si="35"/>
        <v>-364.5</v>
      </c>
      <c r="AR148" s="443">
        <f t="shared" si="15"/>
        <v>-216.2</v>
      </c>
      <c r="AS148" s="444">
        <f t="shared" si="28"/>
        <v>492.39108855494453</v>
      </c>
      <c r="AT148" s="445">
        <f t="shared" si="36"/>
        <v>-213.83080789825695</v>
      </c>
      <c r="AU148" s="446">
        <f t="shared" si="29"/>
        <v>94.355980914261679</v>
      </c>
      <c r="AV148" s="445"/>
      <c r="AW148" s="447">
        <f t="shared" si="30"/>
        <v>-174.769999441842</v>
      </c>
      <c r="AX148" s="447">
        <f t="shared" si="31"/>
        <v>-41.430000558157992</v>
      </c>
      <c r="AY148" s="1597">
        <f t="shared" si="16"/>
        <v>-66.37294751414197</v>
      </c>
      <c r="AZ148" s="1597">
        <f t="shared" si="17"/>
        <v>-241.37098395551186</v>
      </c>
      <c r="BA148" s="542">
        <f t="shared" si="32"/>
        <v>66.37294751414197</v>
      </c>
      <c r="BB148" s="542">
        <f t="shared" si="32"/>
        <v>241.37098395551186</v>
      </c>
      <c r="BC148">
        <f t="shared" si="33"/>
        <v>0.3</v>
      </c>
      <c r="BM148" s="214"/>
      <c r="BN148" s="214"/>
      <c r="BO148" s="214"/>
    </row>
    <row r="149" spans="1:129" ht="21" customHeight="1" thickBot="1" x14ac:dyDescent="0.35">
      <c r="A149" s="296"/>
      <c r="B149" s="277">
        <v>12</v>
      </c>
      <c r="C149" s="278"/>
      <c r="D149" s="25">
        <v>0</v>
      </c>
      <c r="E149" s="279" t="s">
        <v>130</v>
      </c>
      <c r="F149" s="258"/>
      <c r="G149" s="258">
        <f t="shared" si="37"/>
        <v>0.3</v>
      </c>
      <c r="H149" s="506">
        <v>279.06049999999999</v>
      </c>
      <c r="I149" s="507">
        <v>79.962900599999998</v>
      </c>
      <c r="J149" s="474">
        <f t="shared" si="18"/>
        <v>79.962900599999998</v>
      </c>
      <c r="K149" s="474">
        <f t="shared" si="19"/>
        <v>39.981450299999999</v>
      </c>
      <c r="L149" s="474">
        <f t="shared" si="5"/>
        <v>0.64253956655634092</v>
      </c>
      <c r="M149" s="474">
        <f t="shared" si="6"/>
        <v>179.30741271299578</v>
      </c>
      <c r="N149" s="474">
        <f t="shared" si="7"/>
        <v>358.61482542599157</v>
      </c>
      <c r="O149" s="474">
        <f>+C138+D139+D140+D141+D142+D143+D144+D145+D146+D147+D148+(D149/2)</f>
        <v>0</v>
      </c>
      <c r="P149" s="474">
        <f t="shared" si="8"/>
        <v>0</v>
      </c>
      <c r="Q149" s="474">
        <f t="shared" si="9"/>
        <v>0</v>
      </c>
      <c r="R149" s="474">
        <f t="shared" si="20"/>
        <v>213.83080000000001</v>
      </c>
      <c r="S149" s="474">
        <f t="shared" si="34"/>
        <v>213.83080000000001</v>
      </c>
      <c r="T149" s="476">
        <f t="shared" si="10"/>
        <v>213.83080000000001</v>
      </c>
      <c r="V149" s="437">
        <f t="shared" si="11"/>
        <v>0</v>
      </c>
      <c r="W149" s="437"/>
      <c r="X149" s="437"/>
      <c r="Y149" s="437"/>
      <c r="Z149" s="437"/>
      <c r="AA149" s="437"/>
      <c r="AB149" s="1595" t="str">
        <f t="shared" si="21"/>
        <v>use the locking pin</v>
      </c>
      <c r="AC149" s="514" t="b">
        <f>IF(AD149=12,AF149)</f>
        <v>0</v>
      </c>
      <c r="AD149" s="514">
        <f t="shared" si="12"/>
        <v>1</v>
      </c>
      <c r="AE149" s="514">
        <f>IF(V149=0,0,12)</f>
        <v>0</v>
      </c>
      <c r="AF149" s="437">
        <f>SUM(V149:V157)/($B$135-B148)</f>
        <v>0</v>
      </c>
      <c r="AG149" s="437"/>
      <c r="AH149" s="450">
        <f>SUM(D139:D149)+$C$138</f>
        <v>0</v>
      </c>
      <c r="AI149" s="516" t="b">
        <f t="shared" si="22"/>
        <v>0</v>
      </c>
      <c r="AJ149" s="287">
        <f t="shared" si="23"/>
        <v>66.255548399999995</v>
      </c>
      <c r="AK149" s="441">
        <f t="shared" si="13"/>
        <v>0.91535047595051022</v>
      </c>
      <c r="AL149" s="289">
        <f t="shared" si="24"/>
        <v>278.56028065668761</v>
      </c>
      <c r="AM149" s="287">
        <f t="shared" si="25"/>
        <v>50.018549700000001</v>
      </c>
      <c r="AN149" s="442">
        <f t="shared" si="26"/>
        <v>0.76625250760411079</v>
      </c>
      <c r="AO149" s="291">
        <f t="shared" si="27"/>
        <v>213.83080789825695</v>
      </c>
      <c r="AP149" s="519">
        <f t="shared" si="14"/>
        <v>-100.62507827791109</v>
      </c>
      <c r="AQ149" s="1639">
        <f t="shared" si="35"/>
        <v>-405</v>
      </c>
      <c r="AR149" s="443">
        <f t="shared" si="15"/>
        <v>-256.7</v>
      </c>
      <c r="AS149" s="444">
        <f t="shared" si="28"/>
        <v>492.39108855494453</v>
      </c>
      <c r="AT149" s="445">
        <f t="shared" si="36"/>
        <v>-213.83080789825695</v>
      </c>
      <c r="AU149" s="446">
        <f t="shared" si="29"/>
        <v>113.20572962034586</v>
      </c>
      <c r="AV149" s="445"/>
      <c r="AW149" s="447">
        <f t="shared" si="30"/>
        <v>-197.68205375969129</v>
      </c>
      <c r="AX149" s="447">
        <f t="shared" si="31"/>
        <v>-59.017946240308675</v>
      </c>
      <c r="AY149" s="1597">
        <f t="shared" si="16"/>
        <v>-58.680086428590712</v>
      </c>
      <c r="AZ149" s="1597">
        <f t="shared" si="17"/>
        <v>-169.43998625913042</v>
      </c>
      <c r="BA149" s="542">
        <f t="shared" si="32"/>
        <v>58.680086428590712</v>
      </c>
      <c r="BB149" s="542">
        <f t="shared" si="32"/>
        <v>169.43998625913042</v>
      </c>
      <c r="BC149">
        <f t="shared" si="33"/>
        <v>0.3</v>
      </c>
      <c r="BM149" s="214"/>
      <c r="BN149" s="214"/>
      <c r="BO149" s="214"/>
    </row>
    <row r="150" spans="1:129" ht="21" customHeight="1" thickBot="1" x14ac:dyDescent="0.35">
      <c r="B150" s="277">
        <v>13</v>
      </c>
      <c r="C150" s="278"/>
      <c r="D150" s="25">
        <v>0</v>
      </c>
      <c r="E150" s="279" t="s">
        <v>130</v>
      </c>
      <c r="F150" s="258"/>
      <c r="G150" s="258">
        <f t="shared" si="37"/>
        <v>0.3</v>
      </c>
      <c r="H150" s="506">
        <v>279.06049999999999</v>
      </c>
      <c r="I150" s="507">
        <v>79.962900599999998</v>
      </c>
      <c r="J150" s="474">
        <f t="shared" si="18"/>
        <v>79.962900599999998</v>
      </c>
      <c r="K150" s="474">
        <f t="shared" si="19"/>
        <v>39.981450299999999</v>
      </c>
      <c r="L150" s="474">
        <f t="shared" si="5"/>
        <v>0.64253956655634092</v>
      </c>
      <c r="M150" s="474">
        <f t="shared" si="6"/>
        <v>179.30741271299578</v>
      </c>
      <c r="N150" s="474">
        <f t="shared" si="7"/>
        <v>358.61482542599157</v>
      </c>
      <c r="O150" s="474">
        <f>+C138+D139+D140+D141+D142+D143+D144+D145+D146+D147+D148+D149+(D150/2)</f>
        <v>0</v>
      </c>
      <c r="P150" s="474">
        <f t="shared" si="8"/>
        <v>0</v>
      </c>
      <c r="Q150" s="474">
        <f t="shared" si="9"/>
        <v>0</v>
      </c>
      <c r="R150" s="474">
        <f t="shared" si="20"/>
        <v>213.83080000000001</v>
      </c>
      <c r="S150" s="474">
        <f t="shared" si="34"/>
        <v>213.83080000000001</v>
      </c>
      <c r="T150" s="476">
        <f t="shared" si="10"/>
        <v>213.83080000000001</v>
      </c>
      <c r="V150" s="437">
        <f t="shared" si="11"/>
        <v>0</v>
      </c>
      <c r="W150" s="437"/>
      <c r="X150" s="437"/>
      <c r="Y150" s="437"/>
      <c r="Z150" s="437"/>
      <c r="AA150" s="437"/>
      <c r="AB150" s="1595" t="str">
        <f t="shared" si="21"/>
        <v>use the locking pin</v>
      </c>
      <c r="AC150" s="514" t="b">
        <f>IF(AD150=13,AF150)</f>
        <v>0</v>
      </c>
      <c r="AD150" s="514">
        <f t="shared" si="12"/>
        <v>1</v>
      </c>
      <c r="AE150" s="514">
        <f>IF(V150=0,0,13)</f>
        <v>0</v>
      </c>
      <c r="AF150" s="437">
        <f>SUM(V150:V157)/($B$135-B149)</f>
        <v>0</v>
      </c>
      <c r="AG150" s="437"/>
      <c r="AH150" s="450">
        <f>SUM(D139:D150)+$C$138</f>
        <v>0</v>
      </c>
      <c r="AI150" s="516" t="b">
        <f t="shared" si="22"/>
        <v>0</v>
      </c>
      <c r="AJ150" s="287">
        <f t="shared" si="23"/>
        <v>66.255548399999995</v>
      </c>
      <c r="AK150" s="441">
        <f t="shared" si="13"/>
        <v>0.91535047595051022</v>
      </c>
      <c r="AL150" s="289">
        <f t="shared" si="24"/>
        <v>278.56028065668761</v>
      </c>
      <c r="AM150" s="287">
        <f t="shared" si="25"/>
        <v>50.018549700000001</v>
      </c>
      <c r="AN150" s="442">
        <f t="shared" si="26"/>
        <v>0.76625250760411079</v>
      </c>
      <c r="AO150" s="291">
        <f t="shared" si="27"/>
        <v>213.83080789825695</v>
      </c>
      <c r="AP150" s="519">
        <f t="shared" si="14"/>
        <v>-86.912710612179595</v>
      </c>
      <c r="AQ150" s="1639">
        <f t="shared" si="35"/>
        <v>-445.5</v>
      </c>
      <c r="AR150" s="443">
        <f t="shared" si="15"/>
        <v>-297.2</v>
      </c>
      <c r="AS150" s="444">
        <f t="shared" si="28"/>
        <v>492.39108855494453</v>
      </c>
      <c r="AT150" s="445">
        <f t="shared" si="36"/>
        <v>-213.83080789825695</v>
      </c>
      <c r="AU150" s="446">
        <f t="shared" si="29"/>
        <v>126.91809728607736</v>
      </c>
      <c r="AV150" s="445"/>
      <c r="AW150" s="447">
        <f t="shared" si="30"/>
        <v>-220.59410807754065</v>
      </c>
      <c r="AX150" s="447">
        <f t="shared" si="31"/>
        <v>-76.605891922459335</v>
      </c>
      <c r="AY150" s="1597">
        <f t="shared" si="16"/>
        <v>-52.585266674133038</v>
      </c>
      <c r="AZ150" s="1597">
        <f t="shared" si="17"/>
        <v>-130.53826212378056</v>
      </c>
      <c r="BA150" s="542">
        <f t="shared" si="32"/>
        <v>52.585266674133038</v>
      </c>
      <c r="BB150" s="542">
        <f t="shared" si="32"/>
        <v>130.53826212378056</v>
      </c>
      <c r="BC150">
        <f t="shared" si="33"/>
        <v>0.3</v>
      </c>
      <c r="BM150" s="214"/>
      <c r="BN150" s="214"/>
      <c r="BO150" s="214"/>
      <c r="DE150" s="126"/>
    </row>
    <row r="151" spans="1:129" ht="21" customHeight="1" thickBot="1" x14ac:dyDescent="0.35">
      <c r="B151" s="277">
        <v>14</v>
      </c>
      <c r="C151" s="278"/>
      <c r="D151" s="25">
        <v>0</v>
      </c>
      <c r="E151" s="279" t="s">
        <v>130</v>
      </c>
      <c r="F151" s="258"/>
      <c r="G151" s="258">
        <f t="shared" si="37"/>
        <v>0.3</v>
      </c>
      <c r="H151" s="506">
        <v>279.06049999999999</v>
      </c>
      <c r="I151" s="507">
        <v>79.962900599999998</v>
      </c>
      <c r="J151" s="474">
        <f t="shared" si="18"/>
        <v>79.962900599999998</v>
      </c>
      <c r="K151" s="474">
        <f t="shared" si="19"/>
        <v>39.981450299999999</v>
      </c>
      <c r="L151" s="474">
        <f t="shared" si="5"/>
        <v>0.64253956655634092</v>
      </c>
      <c r="M151" s="474">
        <f t="shared" si="6"/>
        <v>179.30741271299578</v>
      </c>
      <c r="N151" s="474">
        <f t="shared" si="7"/>
        <v>358.61482542599157</v>
      </c>
      <c r="O151" s="474">
        <f>+C138+D139+D140+D141+D142+D143+D144+D145+D146+D147+D148+D149+D150+(D151/2)</f>
        <v>0</v>
      </c>
      <c r="P151" s="474">
        <f t="shared" si="8"/>
        <v>0</v>
      </c>
      <c r="Q151" s="474">
        <f t="shared" si="9"/>
        <v>0</v>
      </c>
      <c r="R151" s="474">
        <f t="shared" si="20"/>
        <v>213.83080000000001</v>
      </c>
      <c r="S151" s="474">
        <f t="shared" si="34"/>
        <v>213.83080000000001</v>
      </c>
      <c r="T151" s="476">
        <f t="shared" si="10"/>
        <v>213.83080000000001</v>
      </c>
      <c r="V151" s="437">
        <f t="shared" si="11"/>
        <v>0</v>
      </c>
      <c r="W151" s="437"/>
      <c r="X151" s="437"/>
      <c r="Y151" s="437"/>
      <c r="Z151" s="437"/>
      <c r="AA151" s="437"/>
      <c r="AB151" s="1595" t="str">
        <f t="shared" si="21"/>
        <v>use the locking pin</v>
      </c>
      <c r="AC151" s="514" t="b">
        <f>IF(AD151=14,AF151)</f>
        <v>0</v>
      </c>
      <c r="AD151" s="514">
        <f t="shared" si="12"/>
        <v>1</v>
      </c>
      <c r="AE151" s="514">
        <f>IF(V151=0,0,14)</f>
        <v>0</v>
      </c>
      <c r="AF151" s="437">
        <f>SUM(V151:V157)/($B$135-B150)</f>
        <v>0</v>
      </c>
      <c r="AG151" s="437"/>
      <c r="AH151" s="450">
        <f>SUM(D139:D151)+$C$138</f>
        <v>0</v>
      </c>
      <c r="AI151" s="516" t="b">
        <f t="shared" si="22"/>
        <v>0</v>
      </c>
      <c r="AJ151" s="287">
        <f t="shared" si="23"/>
        <v>66.255548399999995</v>
      </c>
      <c r="AK151" s="441">
        <f t="shared" si="13"/>
        <v>0.91535047595051022</v>
      </c>
      <c r="AL151" s="289">
        <f t="shared" si="24"/>
        <v>278.56028065668761</v>
      </c>
      <c r="AM151" s="287">
        <f t="shared" si="25"/>
        <v>50.018549700000001</v>
      </c>
      <c r="AN151" s="442">
        <f t="shared" si="26"/>
        <v>0.76625250760411079</v>
      </c>
      <c r="AO151" s="291">
        <f t="shared" si="27"/>
        <v>213.83080789825695</v>
      </c>
      <c r="AP151" s="519">
        <f t="shared" si="14"/>
        <v>-76.48936213781397</v>
      </c>
      <c r="AQ151" s="1639">
        <f t="shared" si="35"/>
        <v>-486</v>
      </c>
      <c r="AR151" s="443">
        <f t="shared" si="15"/>
        <v>-337.7</v>
      </c>
      <c r="AS151" s="444">
        <f t="shared" si="28"/>
        <v>492.39108855494453</v>
      </c>
      <c r="AT151" s="445">
        <f t="shared" si="36"/>
        <v>-213.83080789825695</v>
      </c>
      <c r="AU151" s="446">
        <f t="shared" si="29"/>
        <v>137.34144576044298</v>
      </c>
      <c r="AV151" s="445"/>
      <c r="AW151" s="447">
        <f t="shared" si="30"/>
        <v>-243.50616239538999</v>
      </c>
      <c r="AX151" s="447">
        <f t="shared" si="31"/>
        <v>-94.19383760461001</v>
      </c>
      <c r="AY151" s="1597">
        <f t="shared" si="16"/>
        <v>-47.637398108901451</v>
      </c>
      <c r="AZ151" s="1597">
        <f t="shared" si="17"/>
        <v>-106.1640575891621</v>
      </c>
      <c r="BA151" s="542">
        <f t="shared" si="32"/>
        <v>47.637398108901451</v>
      </c>
      <c r="BB151" s="542">
        <f t="shared" si="32"/>
        <v>106.1640575891621</v>
      </c>
      <c r="BC151">
        <f t="shared" si="33"/>
        <v>0.3</v>
      </c>
      <c r="BM151" s="214"/>
      <c r="BN151" s="214"/>
      <c r="BO151" s="214"/>
      <c r="DE151" s="126"/>
    </row>
    <row r="152" spans="1:129" ht="21" customHeight="1" thickBot="1" x14ac:dyDescent="0.35">
      <c r="B152" s="277">
        <v>15</v>
      </c>
      <c r="C152" s="278"/>
      <c r="D152" s="25">
        <v>0</v>
      </c>
      <c r="E152" s="279" t="s">
        <v>130</v>
      </c>
      <c r="F152" s="258"/>
      <c r="G152" s="258">
        <f t="shared" si="37"/>
        <v>0.3</v>
      </c>
      <c r="H152" s="506">
        <v>279.06049999999999</v>
      </c>
      <c r="I152" s="507">
        <v>79.962900599999998</v>
      </c>
      <c r="J152" s="474">
        <f t="shared" si="18"/>
        <v>79.962900599999998</v>
      </c>
      <c r="K152" s="474">
        <f t="shared" si="19"/>
        <v>39.981450299999999</v>
      </c>
      <c r="L152" s="474">
        <f t="shared" si="5"/>
        <v>0.64253956655634092</v>
      </c>
      <c r="M152" s="474">
        <f t="shared" si="6"/>
        <v>179.30741271299578</v>
      </c>
      <c r="N152" s="474">
        <f t="shared" si="7"/>
        <v>358.61482542599157</v>
      </c>
      <c r="O152" s="474">
        <f>+C138+D139+D140+D141+D142+D143+D144+D145+D146+D147+D148+D149+D150+D151+(D152/2)</f>
        <v>0</v>
      </c>
      <c r="P152" s="474">
        <f t="shared" si="8"/>
        <v>0</v>
      </c>
      <c r="Q152" s="474">
        <f t="shared" si="9"/>
        <v>0</v>
      </c>
      <c r="R152" s="474">
        <f t="shared" si="20"/>
        <v>213.83080000000001</v>
      </c>
      <c r="S152" s="474">
        <f t="shared" si="34"/>
        <v>213.83080000000001</v>
      </c>
      <c r="T152" s="476">
        <f t="shared" si="10"/>
        <v>213.83080000000001</v>
      </c>
      <c r="V152" s="437">
        <f t="shared" si="11"/>
        <v>0</v>
      </c>
      <c r="W152" s="437"/>
      <c r="X152" s="437"/>
      <c r="Y152" s="437"/>
      <c r="Z152" s="437"/>
      <c r="AA152" s="437"/>
      <c r="AB152" s="1595" t="str">
        <f t="shared" si="21"/>
        <v>use the locking pin</v>
      </c>
      <c r="AC152" s="514" t="b">
        <f>IF(AD152=15,AF152)</f>
        <v>0</v>
      </c>
      <c r="AD152" s="514">
        <f t="shared" si="12"/>
        <v>1</v>
      </c>
      <c r="AE152" s="514">
        <f>IF(V152=0,0,15)</f>
        <v>0</v>
      </c>
      <c r="AF152" s="437">
        <f>SUM(V152:V157)/($B$135-B151)</f>
        <v>0</v>
      </c>
      <c r="AG152" s="437"/>
      <c r="AH152" s="450">
        <f>SUM(D139:D152)+$C$138</f>
        <v>0</v>
      </c>
      <c r="AI152" s="516" t="b">
        <f t="shared" si="22"/>
        <v>0</v>
      </c>
      <c r="AJ152" s="287">
        <f t="shared" si="23"/>
        <v>66.255548399999995</v>
      </c>
      <c r="AK152" s="441">
        <f t="shared" si="13"/>
        <v>0.91535047595051022</v>
      </c>
      <c r="AL152" s="289">
        <f t="shared" si="24"/>
        <v>278.56028065668761</v>
      </c>
      <c r="AM152" s="287">
        <f t="shared" si="25"/>
        <v>50.018549700000001</v>
      </c>
      <c r="AN152" s="442">
        <f t="shared" si="26"/>
        <v>0.76625250760411079</v>
      </c>
      <c r="AO152" s="291">
        <f t="shared" si="27"/>
        <v>213.83080789825695</v>
      </c>
      <c r="AP152" s="519">
        <f t="shared" si="14"/>
        <v>-68.298407175938067</v>
      </c>
      <c r="AQ152" s="1639">
        <f t="shared" si="35"/>
        <v>-526.5</v>
      </c>
      <c r="AR152" s="443">
        <f t="shared" si="15"/>
        <v>-378.2</v>
      </c>
      <c r="AS152" s="444">
        <f t="shared" si="28"/>
        <v>492.39108855494453</v>
      </c>
      <c r="AT152" s="445">
        <f t="shared" si="36"/>
        <v>-213.83080789825695</v>
      </c>
      <c r="AU152" s="446">
        <f t="shared" si="29"/>
        <v>145.53240072231887</v>
      </c>
      <c r="AV152" s="445"/>
      <c r="AW152" s="447">
        <f t="shared" si="30"/>
        <v>-266.4182167132393</v>
      </c>
      <c r="AX152" s="447">
        <f t="shared" si="31"/>
        <v>-111.78178328676067</v>
      </c>
      <c r="AY152" s="1597">
        <f t="shared" si="16"/>
        <v>-43.540566193661313</v>
      </c>
      <c r="AZ152" s="1597">
        <f t="shared" si="17"/>
        <v>-89.460014914473021</v>
      </c>
      <c r="BA152" s="542">
        <f t="shared" si="32"/>
        <v>43.540566193661313</v>
      </c>
      <c r="BB152" s="542">
        <f t="shared" si="32"/>
        <v>89.460014914473021</v>
      </c>
      <c r="BC152">
        <f t="shared" si="33"/>
        <v>0.3</v>
      </c>
      <c r="BM152" s="214"/>
      <c r="BN152" s="214"/>
      <c r="BO152" s="214"/>
      <c r="DE152" s="126"/>
    </row>
    <row r="153" spans="1:129" ht="21" customHeight="1" thickBot="1" x14ac:dyDescent="0.35">
      <c r="B153" s="277">
        <v>16</v>
      </c>
      <c r="C153" s="278"/>
      <c r="D153" s="25">
        <v>0</v>
      </c>
      <c r="E153" s="279" t="s">
        <v>130</v>
      </c>
      <c r="F153" s="258"/>
      <c r="G153" s="258">
        <f t="shared" si="37"/>
        <v>0.3</v>
      </c>
      <c r="H153" s="506">
        <v>279.06049999999999</v>
      </c>
      <c r="I153" s="507">
        <v>79.962900599999998</v>
      </c>
      <c r="J153" s="474">
        <f t="shared" si="18"/>
        <v>79.962900599999998</v>
      </c>
      <c r="K153" s="474">
        <f t="shared" si="19"/>
        <v>39.981450299999999</v>
      </c>
      <c r="L153" s="474">
        <f t="shared" si="5"/>
        <v>0.64253956655634092</v>
      </c>
      <c r="M153" s="474">
        <f t="shared" si="6"/>
        <v>179.30741271299578</v>
      </c>
      <c r="N153" s="474">
        <f t="shared" si="7"/>
        <v>358.61482542599157</v>
      </c>
      <c r="O153" s="474">
        <f>+C138+D139+D140+D141+D142+D143+D144+D145+D146+D147+D148+D149+D150+D151+D152+(D153/2)</f>
        <v>0</v>
      </c>
      <c r="P153" s="474">
        <f t="shared" si="8"/>
        <v>0</v>
      </c>
      <c r="Q153" s="474">
        <f t="shared" si="9"/>
        <v>0</v>
      </c>
      <c r="R153" s="474">
        <f t="shared" si="20"/>
        <v>213.83080000000001</v>
      </c>
      <c r="S153" s="474">
        <f t="shared" si="34"/>
        <v>213.83080000000001</v>
      </c>
      <c r="T153" s="476">
        <f t="shared" si="10"/>
        <v>213.83080000000001</v>
      </c>
      <c r="V153" s="437">
        <f t="shared" si="11"/>
        <v>0</v>
      </c>
      <c r="W153" s="437"/>
      <c r="X153" s="437"/>
      <c r="Y153" s="437"/>
      <c r="Z153" s="437"/>
      <c r="AA153" s="437"/>
      <c r="AB153" s="1595" t="str">
        <f t="shared" si="21"/>
        <v>use the locking pin</v>
      </c>
      <c r="AC153" s="514" t="b">
        <f>IF(AD153=16,AF153)</f>
        <v>0</v>
      </c>
      <c r="AD153" s="514">
        <f t="shared" si="12"/>
        <v>1</v>
      </c>
      <c r="AE153" s="514">
        <f>IF(V153=0,0,16)</f>
        <v>0</v>
      </c>
      <c r="AF153" s="437">
        <f>SUM(V153:V157)/($B$135-B152)</f>
        <v>0</v>
      </c>
      <c r="AG153" s="437"/>
      <c r="AH153" s="450">
        <f>SUM(D139:D153)+$C$138</f>
        <v>0</v>
      </c>
      <c r="AI153" s="516" t="b">
        <f t="shared" si="22"/>
        <v>0</v>
      </c>
      <c r="AJ153" s="287">
        <f t="shared" si="23"/>
        <v>66.255548399999995</v>
      </c>
      <c r="AK153" s="441">
        <f t="shared" si="13"/>
        <v>0.91535047595051022</v>
      </c>
      <c r="AL153" s="289">
        <f t="shared" si="24"/>
        <v>278.56028065668761</v>
      </c>
      <c r="AM153" s="287">
        <f t="shared" si="25"/>
        <v>50.018549700000001</v>
      </c>
      <c r="AN153" s="442">
        <f t="shared" si="26"/>
        <v>0.76625250760411079</v>
      </c>
      <c r="AO153" s="291">
        <f t="shared" si="27"/>
        <v>213.83080789825695</v>
      </c>
      <c r="AP153" s="519">
        <f t="shared" si="14"/>
        <v>-61.692041065057971</v>
      </c>
      <c r="AQ153" s="1639">
        <f t="shared" si="35"/>
        <v>-567</v>
      </c>
      <c r="AR153" s="443">
        <f t="shared" si="15"/>
        <v>-418.70000000000005</v>
      </c>
      <c r="AS153" s="444">
        <f t="shared" si="28"/>
        <v>492.39108855494453</v>
      </c>
      <c r="AT153" s="445">
        <f t="shared" si="36"/>
        <v>-213.83080789825695</v>
      </c>
      <c r="AU153" s="446">
        <f t="shared" si="29"/>
        <v>152.13876683319899</v>
      </c>
      <c r="AV153" s="445"/>
      <c r="AW153" s="447">
        <f t="shared" si="30"/>
        <v>-289.33027103108867</v>
      </c>
      <c r="AX153" s="447">
        <f t="shared" si="31"/>
        <v>-129.3697289689114</v>
      </c>
      <c r="AY153" s="1597">
        <f t="shared" si="16"/>
        <v>-40.092590238349359</v>
      </c>
      <c r="AZ153" s="1597">
        <f t="shared" si="17"/>
        <v>-77.297835279558186</v>
      </c>
      <c r="BA153" s="542">
        <f t="shared" si="32"/>
        <v>40.092590238349359</v>
      </c>
      <c r="BB153" s="542">
        <f t="shared" si="32"/>
        <v>77.297835279558186</v>
      </c>
      <c r="BC153">
        <f t="shared" si="33"/>
        <v>0.3</v>
      </c>
      <c r="BM153" s="214"/>
      <c r="BN153" s="214"/>
      <c r="BO153" s="214"/>
      <c r="DE153" s="126"/>
    </row>
    <row r="154" spans="1:129" ht="21" customHeight="1" thickBot="1" x14ac:dyDescent="0.35">
      <c r="B154" s="277">
        <v>17</v>
      </c>
      <c r="C154" s="278"/>
      <c r="D154" s="25">
        <v>0</v>
      </c>
      <c r="E154" s="279" t="s">
        <v>130</v>
      </c>
      <c r="F154" s="258"/>
      <c r="G154" s="258">
        <f t="shared" si="37"/>
        <v>0.3</v>
      </c>
      <c r="H154" s="506">
        <v>279.06049999999999</v>
      </c>
      <c r="I154" s="507">
        <v>79.962900599999998</v>
      </c>
      <c r="J154" s="474">
        <f t="shared" si="18"/>
        <v>79.962900599999998</v>
      </c>
      <c r="K154" s="474">
        <f t="shared" si="19"/>
        <v>39.981450299999999</v>
      </c>
      <c r="L154" s="474">
        <f t="shared" si="5"/>
        <v>0.64253956655634092</v>
      </c>
      <c r="M154" s="474">
        <f t="shared" si="6"/>
        <v>179.30741271299578</v>
      </c>
      <c r="N154" s="474">
        <f t="shared" si="7"/>
        <v>358.61482542599157</v>
      </c>
      <c r="O154" s="474">
        <f>+C138+D139+D140+D141+D142+D143+D144+D145+D146+D147+D148+D149+D150+D151+D152+D153+(D154/2)</f>
        <v>0</v>
      </c>
      <c r="P154" s="474">
        <f t="shared" si="8"/>
        <v>0</v>
      </c>
      <c r="Q154" s="474">
        <f t="shared" si="9"/>
        <v>0</v>
      </c>
      <c r="R154" s="474">
        <f t="shared" si="20"/>
        <v>213.83080000000001</v>
      </c>
      <c r="S154" s="474">
        <f t="shared" si="34"/>
        <v>213.83080000000001</v>
      </c>
      <c r="T154" s="476">
        <f t="shared" si="10"/>
        <v>213.83080000000001</v>
      </c>
      <c r="V154" s="437">
        <f t="shared" si="11"/>
        <v>0</v>
      </c>
      <c r="W154" s="437"/>
      <c r="X154" s="437"/>
      <c r="Y154" s="437"/>
      <c r="Z154" s="437"/>
      <c r="AA154" s="437"/>
      <c r="AB154" s="1595" t="str">
        <f t="shared" si="21"/>
        <v>use the locking pin</v>
      </c>
      <c r="AC154" s="514" t="b">
        <f>IF(AD154=17,AF154)</f>
        <v>0</v>
      </c>
      <c r="AD154" s="514">
        <f t="shared" si="12"/>
        <v>1</v>
      </c>
      <c r="AE154" s="514">
        <f>IF(V154=0,0,17)</f>
        <v>0</v>
      </c>
      <c r="AF154" s="437">
        <f>SUM(V154:V157)/($B$135-B153)</f>
        <v>0</v>
      </c>
      <c r="AG154" s="437"/>
      <c r="AH154" s="450">
        <f>SUM(D139:D154)+$C$138</f>
        <v>0</v>
      </c>
      <c r="AI154" s="516" t="b">
        <f t="shared" si="22"/>
        <v>0</v>
      </c>
      <c r="AJ154" s="287">
        <f t="shared" si="23"/>
        <v>66.255548399999995</v>
      </c>
      <c r="AK154" s="441">
        <f t="shared" si="13"/>
        <v>0.91535047595051022</v>
      </c>
      <c r="AL154" s="289">
        <f t="shared" si="24"/>
        <v>278.56028065668761</v>
      </c>
      <c r="AM154" s="287">
        <f t="shared" si="25"/>
        <v>50.018549700000001</v>
      </c>
      <c r="AN154" s="442">
        <f t="shared" si="26"/>
        <v>0.76625250760411079</v>
      </c>
      <c r="AO154" s="291">
        <f t="shared" si="27"/>
        <v>213.83080789825695</v>
      </c>
      <c r="AP154" s="519">
        <f t="shared" si="14"/>
        <v>-56.250996502482089</v>
      </c>
      <c r="AQ154" s="1639">
        <f t="shared" si="35"/>
        <v>-607.5</v>
      </c>
      <c r="AR154" s="443">
        <f t="shared" si="15"/>
        <v>-459.20000000000005</v>
      </c>
      <c r="AS154" s="444">
        <f t="shared" si="28"/>
        <v>492.39108855494453</v>
      </c>
      <c r="AT154" s="445">
        <f t="shared" si="36"/>
        <v>-213.83080789825695</v>
      </c>
      <c r="AU154" s="446">
        <f t="shared" si="29"/>
        <v>157.57981139577487</v>
      </c>
      <c r="AV154" s="445"/>
      <c r="AW154" s="447">
        <f t="shared" si="30"/>
        <v>-312.24232534893798</v>
      </c>
      <c r="AX154" s="447">
        <f t="shared" si="31"/>
        <v>-146.95767465106206</v>
      </c>
      <c r="AY154" s="1597">
        <f t="shared" si="16"/>
        <v>-37.150632884368683</v>
      </c>
      <c r="AZ154" s="1597">
        <f t="shared" si="17"/>
        <v>-68.04680343332943</v>
      </c>
      <c r="BA154" s="542">
        <f t="shared" si="32"/>
        <v>37.150632884368683</v>
      </c>
      <c r="BB154" s="542">
        <f t="shared" si="32"/>
        <v>68.04680343332943</v>
      </c>
      <c r="BC154">
        <f t="shared" si="33"/>
        <v>0.3</v>
      </c>
      <c r="BD154" s="136"/>
      <c r="BM154" s="214"/>
      <c r="BN154" s="214"/>
      <c r="BO154" s="214"/>
      <c r="DF154" s="126"/>
      <c r="DG154" s="126"/>
      <c r="DH154" s="126"/>
      <c r="DI154" s="126"/>
      <c r="DJ154" s="126"/>
      <c r="DK154" s="126"/>
      <c r="DL154" s="203"/>
      <c r="DM154" s="203"/>
      <c r="DN154" s="203"/>
      <c r="DO154" s="203"/>
      <c r="DP154" s="203"/>
      <c r="DQ154" s="203"/>
      <c r="DR154" s="203"/>
      <c r="DS154" s="203"/>
      <c r="DT154" s="203"/>
      <c r="DU154" s="203"/>
      <c r="DV154" s="203"/>
      <c r="DW154" s="203"/>
      <c r="DX154" s="203"/>
      <c r="DY154" s="203"/>
    </row>
    <row r="155" spans="1:129" ht="21" customHeight="1" thickBot="1" x14ac:dyDescent="0.35">
      <c r="B155" s="277">
        <v>18</v>
      </c>
      <c r="C155" s="278"/>
      <c r="D155" s="25">
        <v>0</v>
      </c>
      <c r="E155" s="279" t="s">
        <v>130</v>
      </c>
      <c r="F155" s="258"/>
      <c r="G155" s="258">
        <f t="shared" si="37"/>
        <v>0.3</v>
      </c>
      <c r="H155" s="506">
        <v>279.06049999999999</v>
      </c>
      <c r="I155" s="507">
        <v>79.962900599999998</v>
      </c>
      <c r="J155" s="474">
        <f t="shared" si="18"/>
        <v>79.962900599999998</v>
      </c>
      <c r="K155" s="474">
        <f t="shared" si="19"/>
        <v>39.981450299999999</v>
      </c>
      <c r="L155" s="474">
        <f t="shared" si="5"/>
        <v>0.64253956655634092</v>
      </c>
      <c r="M155" s="474">
        <f t="shared" si="6"/>
        <v>179.30741271299578</v>
      </c>
      <c r="N155" s="474">
        <f t="shared" si="7"/>
        <v>358.61482542599157</v>
      </c>
      <c r="O155" s="474">
        <f>+C138+D139+D140+D141+D142+D143+D144+D145+D146+D147+D148+D149+D150+D151+D152+D153+D154+(D155/2)</f>
        <v>0</v>
      </c>
      <c r="P155" s="474">
        <f t="shared" si="8"/>
        <v>0</v>
      </c>
      <c r="Q155" s="474">
        <f t="shared" si="9"/>
        <v>0</v>
      </c>
      <c r="R155" s="474">
        <f t="shared" si="20"/>
        <v>213.83080000000001</v>
      </c>
      <c r="S155" s="474">
        <f t="shared" si="34"/>
        <v>213.83080000000001</v>
      </c>
      <c r="T155" s="476">
        <f t="shared" si="10"/>
        <v>213.83080000000001</v>
      </c>
      <c r="V155" s="437">
        <f t="shared" si="11"/>
        <v>0</v>
      </c>
      <c r="W155" s="437"/>
      <c r="X155" s="437"/>
      <c r="Y155" s="437"/>
      <c r="Z155" s="437"/>
      <c r="AA155" s="437"/>
      <c r="AB155" s="1595" t="str">
        <f t="shared" si="21"/>
        <v>use the locking pin</v>
      </c>
      <c r="AC155" s="514" t="b">
        <f>IF(AD155=18,AF155)</f>
        <v>0</v>
      </c>
      <c r="AD155" s="514">
        <f t="shared" si="12"/>
        <v>1</v>
      </c>
      <c r="AE155" s="514">
        <f>IF(V155=0,0,18)</f>
        <v>0</v>
      </c>
      <c r="AF155" s="437">
        <f>SUM(V155:V157)/($B$135-B154)</f>
        <v>0</v>
      </c>
      <c r="AG155" s="437"/>
      <c r="AH155" s="450">
        <f>SUM(D139:D155)+$C$138</f>
        <v>0</v>
      </c>
      <c r="AI155" s="516" t="b">
        <f t="shared" si="22"/>
        <v>0</v>
      </c>
      <c r="AJ155" s="287">
        <f t="shared" si="23"/>
        <v>66.255548399999995</v>
      </c>
      <c r="AK155" s="441">
        <f t="shared" si="13"/>
        <v>0.91535047595051022</v>
      </c>
      <c r="AL155" s="289">
        <f t="shared" si="24"/>
        <v>278.56028065668761</v>
      </c>
      <c r="AM155" s="287">
        <f t="shared" si="25"/>
        <v>50.018549700000001</v>
      </c>
      <c r="AN155" s="442">
        <f t="shared" si="26"/>
        <v>0.76625250760411079</v>
      </c>
      <c r="AO155" s="291">
        <f t="shared" si="27"/>
        <v>213.83080789825695</v>
      </c>
      <c r="AP155" s="519">
        <f t="shared" si="14"/>
        <v>-51.691930346087197</v>
      </c>
      <c r="AQ155" s="1639">
        <f t="shared" si="35"/>
        <v>-648</v>
      </c>
      <c r="AR155" s="443">
        <f t="shared" si="15"/>
        <v>-499.70000000000005</v>
      </c>
      <c r="AS155" s="444">
        <f t="shared" si="28"/>
        <v>492.39108855494453</v>
      </c>
      <c r="AT155" s="445">
        <f t="shared" si="36"/>
        <v>-213.83080789825695</v>
      </c>
      <c r="AU155" s="446">
        <f t="shared" si="29"/>
        <v>162.13887755216976</v>
      </c>
      <c r="AV155" s="445"/>
      <c r="AW155" s="447">
        <f t="shared" si="30"/>
        <v>-335.15437966678729</v>
      </c>
      <c r="AX155" s="447">
        <f t="shared" si="31"/>
        <v>-164.54562033321272</v>
      </c>
      <c r="AY155" s="1597">
        <f t="shared" si="16"/>
        <v>-34.610915756293551</v>
      </c>
      <c r="AZ155" s="1597">
        <f t="shared" si="17"/>
        <v>-60.773419430730051</v>
      </c>
      <c r="BA155" s="542">
        <f t="shared" si="32"/>
        <v>34.610915756293551</v>
      </c>
      <c r="BB155" s="542">
        <f t="shared" si="32"/>
        <v>60.773419430730051</v>
      </c>
      <c r="BC155">
        <f t="shared" si="33"/>
        <v>0.3</v>
      </c>
      <c r="BD155" s="458"/>
      <c r="BM155" s="214"/>
      <c r="BN155" s="214"/>
      <c r="BO155" s="214"/>
      <c r="DF155" s="126"/>
      <c r="DG155" s="126"/>
      <c r="DH155" s="126"/>
      <c r="DI155" s="126"/>
      <c r="DJ155" s="126"/>
      <c r="DK155" s="126"/>
      <c r="DL155" s="203"/>
      <c r="DM155" s="203"/>
      <c r="DN155" s="203"/>
      <c r="DO155" s="203"/>
      <c r="DP155" s="203"/>
      <c r="DQ155" s="203"/>
      <c r="DR155" s="203"/>
      <c r="DS155" s="203"/>
      <c r="DT155" s="203"/>
      <c r="DU155" s="203"/>
      <c r="DV155" s="203"/>
      <c r="DW155" s="203"/>
      <c r="DX155" s="203"/>
      <c r="DY155" s="203"/>
    </row>
    <row r="156" spans="1:129" ht="21" customHeight="1" thickBot="1" x14ac:dyDescent="0.35">
      <c r="B156" s="277">
        <v>19</v>
      </c>
      <c r="C156" s="524"/>
      <c r="D156" s="29">
        <v>0</v>
      </c>
      <c r="E156" s="279" t="s">
        <v>130</v>
      </c>
      <c r="F156" s="525"/>
      <c r="G156" s="525">
        <f t="shared" si="37"/>
        <v>0.3</v>
      </c>
      <c r="H156" s="506">
        <v>279.06049999999999</v>
      </c>
      <c r="I156" s="507">
        <v>79.962900599999998</v>
      </c>
      <c r="J156" s="526">
        <f t="shared" si="18"/>
        <v>79.962900599999998</v>
      </c>
      <c r="K156" s="526">
        <f t="shared" si="19"/>
        <v>39.981450299999999</v>
      </c>
      <c r="L156" s="526">
        <f t="shared" si="5"/>
        <v>0.64253956655634092</v>
      </c>
      <c r="M156" s="526">
        <f t="shared" si="6"/>
        <v>179.30741271299578</v>
      </c>
      <c r="N156" s="526">
        <f t="shared" si="7"/>
        <v>358.61482542599157</v>
      </c>
      <c r="O156" s="526">
        <f>+C138+D139+D140+D141+D142+D143+D144+D145+D146+D147+D148+D149+D150+D151+D152+D153+D154+D155+(D156/2)</f>
        <v>0</v>
      </c>
      <c r="P156" s="526">
        <f t="shared" si="8"/>
        <v>0</v>
      </c>
      <c r="Q156" s="526">
        <f t="shared" si="9"/>
        <v>0</v>
      </c>
      <c r="R156" s="526">
        <f t="shared" si="20"/>
        <v>213.83080000000001</v>
      </c>
      <c r="S156" s="526">
        <f t="shared" si="34"/>
        <v>213.83080000000001</v>
      </c>
      <c r="T156" s="527">
        <f t="shared" si="10"/>
        <v>213.83080000000001</v>
      </c>
      <c r="U156" s="528"/>
      <c r="V156" s="529">
        <f t="shared" si="11"/>
        <v>0</v>
      </c>
      <c r="W156" s="529"/>
      <c r="X156" s="529"/>
      <c r="Y156" s="529"/>
      <c r="Z156" s="529"/>
      <c r="AA156" s="529"/>
      <c r="AB156" s="530" t="str">
        <f t="shared" si="21"/>
        <v>use the locking pin</v>
      </c>
      <c r="AC156" s="531" t="b">
        <f>IF(AD156=19,AF156)</f>
        <v>0</v>
      </c>
      <c r="AD156" s="531">
        <f t="shared" si="12"/>
        <v>1</v>
      </c>
      <c r="AE156" s="531">
        <f>IF(V156=0,0,19)</f>
        <v>0</v>
      </c>
      <c r="AF156" s="529">
        <f>SUM(V156:V157)/($B$135-B155)</f>
        <v>0</v>
      </c>
      <c r="AG156" s="529"/>
      <c r="AH156" s="532">
        <f>SUM(D139:D156)+$C$138</f>
        <v>0</v>
      </c>
      <c r="AI156" s="533" t="b">
        <f t="shared" si="22"/>
        <v>0</v>
      </c>
      <c r="AJ156" s="287">
        <f t="shared" si="23"/>
        <v>66.255548399999995</v>
      </c>
      <c r="AK156" s="534">
        <f t="shared" si="13"/>
        <v>0.91535047595051022</v>
      </c>
      <c r="AL156" s="289">
        <f t="shared" si="24"/>
        <v>278.56028065668761</v>
      </c>
      <c r="AM156" s="287">
        <f t="shared" si="25"/>
        <v>50.018549700000001</v>
      </c>
      <c r="AN156" s="535">
        <f t="shared" si="26"/>
        <v>0.76625250760411079</v>
      </c>
      <c r="AO156" s="291">
        <f t="shared" si="27"/>
        <v>213.83080789825695</v>
      </c>
      <c r="AP156" s="536">
        <f t="shared" si="14"/>
        <v>-47.816470925471627</v>
      </c>
      <c r="AQ156" s="1639">
        <f t="shared" si="35"/>
        <v>-688.5</v>
      </c>
      <c r="AR156" s="537">
        <f t="shared" si="15"/>
        <v>-540.20000000000005</v>
      </c>
      <c r="AS156" s="538">
        <f t="shared" si="28"/>
        <v>492.39108855494453</v>
      </c>
      <c r="AT156" s="529">
        <f t="shared" si="36"/>
        <v>-213.83080789825695</v>
      </c>
      <c r="AU156" s="539">
        <f t="shared" si="29"/>
        <v>166.01433697278532</v>
      </c>
      <c r="AV156" s="529"/>
      <c r="AW156" s="540">
        <f t="shared" si="30"/>
        <v>-358.0664339846366</v>
      </c>
      <c r="AX156" s="540">
        <f t="shared" si="31"/>
        <v>-182.13356601536339</v>
      </c>
      <c r="AY156" s="541">
        <f t="shared" si="16"/>
        <v>-32.3962228766121</v>
      </c>
      <c r="AZ156" s="541">
        <f t="shared" si="17"/>
        <v>-54.904761482331473</v>
      </c>
      <c r="BA156" s="542">
        <f t="shared" si="32"/>
        <v>32.3962228766121</v>
      </c>
      <c r="BB156" s="542">
        <f t="shared" si="32"/>
        <v>54.904761482331473</v>
      </c>
      <c r="BC156">
        <f t="shared" si="33"/>
        <v>0.3</v>
      </c>
      <c r="BD156" s="144"/>
      <c r="BM156" s="214"/>
      <c r="BN156" s="214"/>
      <c r="BO156" s="214"/>
      <c r="DF156" s="126"/>
      <c r="DG156" s="126"/>
      <c r="DH156" s="126"/>
      <c r="DI156" s="126"/>
      <c r="DJ156" s="126"/>
      <c r="DK156" s="126"/>
      <c r="DL156" s="203"/>
      <c r="DM156" s="203"/>
      <c r="DN156" s="203"/>
      <c r="DO156" s="203"/>
      <c r="DP156" s="203"/>
      <c r="DQ156" s="203"/>
      <c r="DR156" s="203"/>
      <c r="DS156" s="203"/>
      <c r="DT156" s="203"/>
      <c r="DU156" s="203"/>
      <c r="DV156" s="203"/>
      <c r="DW156" s="203"/>
      <c r="DX156" s="203"/>
      <c r="DY156" s="203"/>
    </row>
    <row r="157" spans="1:129" ht="21" customHeight="1" thickBot="1" x14ac:dyDescent="0.35">
      <c r="B157" s="277">
        <v>20</v>
      </c>
      <c r="C157" s="278"/>
      <c r="D157" s="25">
        <v>0</v>
      </c>
      <c r="E157" s="279" t="s">
        <v>130</v>
      </c>
      <c r="F157" s="258"/>
      <c r="G157" s="258">
        <f t="shared" si="37"/>
        <v>0.3</v>
      </c>
      <c r="H157" s="506">
        <v>279.06049999999999</v>
      </c>
      <c r="I157" s="507">
        <v>79.962900599999998</v>
      </c>
      <c r="J157" s="474">
        <f t="shared" si="18"/>
        <v>79.962900599999998</v>
      </c>
      <c r="K157" s="474">
        <f t="shared" si="19"/>
        <v>39.981450299999999</v>
      </c>
      <c r="L157" s="474">
        <f t="shared" si="5"/>
        <v>0.64253956655634092</v>
      </c>
      <c r="M157" s="474">
        <f t="shared" si="6"/>
        <v>179.30741271299578</v>
      </c>
      <c r="N157" s="474">
        <f t="shared" si="7"/>
        <v>358.61482542599157</v>
      </c>
      <c r="O157" s="474">
        <f>+C138+D139+D140+D141+D142+D143+D144+D145+D146+D147+D148+D149+D150+D151+D152+D153+D154+D155+D156+(D157/2)</f>
        <v>0</v>
      </c>
      <c r="P157" s="474">
        <f t="shared" si="8"/>
        <v>0</v>
      </c>
      <c r="Q157" s="474">
        <f t="shared" si="9"/>
        <v>0</v>
      </c>
      <c r="R157" s="474">
        <f t="shared" si="20"/>
        <v>213.83080000000001</v>
      </c>
      <c r="S157" s="474">
        <f t="shared" si="34"/>
        <v>213.83080000000001</v>
      </c>
      <c r="T157" s="476">
        <f t="shared" si="10"/>
        <v>213.83080000000001</v>
      </c>
      <c r="V157" s="437">
        <f t="shared" si="11"/>
        <v>0</v>
      </c>
      <c r="W157" s="437"/>
      <c r="X157" s="437"/>
      <c r="Y157" s="437"/>
      <c r="Z157" s="437"/>
      <c r="AA157" s="437"/>
      <c r="AB157" s="1595" t="str">
        <f t="shared" si="21"/>
        <v>use the locking pin</v>
      </c>
      <c r="AC157" s="514" t="b">
        <f>IF(AD157=20,AF157)</f>
        <v>0</v>
      </c>
      <c r="AD157" s="514">
        <f t="shared" si="12"/>
        <v>1</v>
      </c>
      <c r="AE157" s="514">
        <f>IF(V157=0,0,20)</f>
        <v>0</v>
      </c>
      <c r="AF157" s="437">
        <f>SUM(V157:V157)/($B$135-B156)</f>
        <v>0</v>
      </c>
      <c r="AG157" s="437"/>
      <c r="AH157" s="450">
        <f>SUM(D139:D157)+$C$138</f>
        <v>0</v>
      </c>
      <c r="AI157" s="516" t="b">
        <f t="shared" si="22"/>
        <v>0</v>
      </c>
      <c r="AJ157" s="287">
        <f t="shared" si="23"/>
        <v>66.255548399999995</v>
      </c>
      <c r="AK157" s="441">
        <f t="shared" si="13"/>
        <v>0.91535047595051022</v>
      </c>
      <c r="AL157" s="289">
        <f t="shared" si="24"/>
        <v>278.56028065668761</v>
      </c>
      <c r="AM157" s="287">
        <f t="shared" si="25"/>
        <v>50.018549700000001</v>
      </c>
      <c r="AN157" s="442">
        <f t="shared" si="26"/>
        <v>0.76625250760411079</v>
      </c>
      <c r="AO157" s="291">
        <f t="shared" si="27"/>
        <v>213.83080789825695</v>
      </c>
      <c r="AP157" s="519">
        <f t="shared" si="14"/>
        <v>-44.481587039675865</v>
      </c>
      <c r="AQ157" s="1639">
        <f t="shared" si="35"/>
        <v>-729</v>
      </c>
      <c r="AR157" s="443">
        <f t="shared" si="15"/>
        <v>-580.70000000000005</v>
      </c>
      <c r="AS157" s="444">
        <f t="shared" si="28"/>
        <v>492.39108855494453</v>
      </c>
      <c r="AT157" s="445">
        <f t="shared" si="36"/>
        <v>-213.83080789825695</v>
      </c>
      <c r="AU157" s="446">
        <f t="shared" si="29"/>
        <v>169.34922085858108</v>
      </c>
      <c r="AV157" s="445"/>
      <c r="AW157" s="447">
        <f t="shared" si="30"/>
        <v>-380.97848830248597</v>
      </c>
      <c r="AX157" s="447">
        <f t="shared" si="31"/>
        <v>-199.72151169751407</v>
      </c>
      <c r="AY157" s="1597">
        <f t="shared" si="16"/>
        <v>-30.447913349873794</v>
      </c>
      <c r="AZ157" s="1597">
        <f t="shared" si="17"/>
        <v>-50.069719155467766</v>
      </c>
      <c r="BA157" s="542">
        <f t="shared" si="32"/>
        <v>30.447913349873794</v>
      </c>
      <c r="BB157" s="542">
        <f t="shared" si="32"/>
        <v>50.069719155467766</v>
      </c>
      <c r="BC157">
        <f t="shared" si="33"/>
        <v>0.3</v>
      </c>
      <c r="BD157" s="144"/>
      <c r="BM157" s="214"/>
      <c r="BN157" s="214"/>
      <c r="BO157" s="214"/>
      <c r="DF157" s="126"/>
      <c r="DG157" s="126"/>
      <c r="DH157" s="126"/>
      <c r="DI157" s="126"/>
      <c r="DJ157" s="126"/>
      <c r="DK157" s="126"/>
      <c r="DL157" s="203"/>
      <c r="DM157" s="203"/>
      <c r="DN157" s="203"/>
      <c r="DO157" s="203"/>
      <c r="DP157" s="203"/>
      <c r="DQ157" s="203"/>
      <c r="DR157" s="203"/>
      <c r="DS157" s="203"/>
      <c r="DT157" s="203"/>
      <c r="DU157" s="203"/>
      <c r="DV157" s="203"/>
      <c r="DW157" s="203"/>
      <c r="DX157" s="203"/>
      <c r="DY157" s="203"/>
    </row>
    <row r="158" spans="1:129" ht="21" customHeight="1" thickBot="1" x14ac:dyDescent="0.35">
      <c r="D158" s="543"/>
      <c r="E158" s="543"/>
      <c r="F158" s="543"/>
      <c r="G158" s="543"/>
      <c r="V158" s="437"/>
      <c r="W158" s="437"/>
      <c r="X158" s="437"/>
      <c r="Y158" s="437"/>
      <c r="Z158" s="437"/>
      <c r="AA158" s="437"/>
      <c r="AB158" s="1585"/>
      <c r="AC158" s="1585"/>
      <c r="AD158" s="1585"/>
      <c r="AE158" s="1585"/>
      <c r="AF158" s="437"/>
      <c r="AG158" s="437"/>
      <c r="AH158" s="437"/>
      <c r="AI158" s="437"/>
      <c r="AJ158" s="543"/>
      <c r="AK158" s="415"/>
      <c r="AL158" s="292"/>
      <c r="AM158" s="543"/>
      <c r="AN158" s="415"/>
      <c r="AO158" s="292"/>
      <c r="AP158" s="445"/>
      <c r="AQ158" s="292"/>
      <c r="AR158" s="445"/>
      <c r="AS158" s="445"/>
      <c r="AT158" s="445"/>
      <c r="AU158" s="445"/>
      <c r="AV158" s="445"/>
      <c r="AW158" s="445"/>
      <c r="AX158" s="445"/>
      <c r="AY158" s="1586"/>
      <c r="AZ158" s="1586"/>
      <c r="BA158" s="1586"/>
      <c r="BB158" s="1586"/>
      <c r="BD158" s="545"/>
      <c r="BM158" s="214"/>
      <c r="BN158" s="214"/>
      <c r="BO158" s="214"/>
    </row>
    <row r="159" spans="1:129" ht="17.25" customHeight="1" thickBot="1" x14ac:dyDescent="0.35">
      <c r="B159" s="1854" t="s">
        <v>268</v>
      </c>
      <c r="D159" s="543"/>
      <c r="E159" s="543"/>
      <c r="F159" s="543"/>
      <c r="G159" s="543"/>
      <c r="V159" s="437"/>
      <c r="W159" s="437"/>
      <c r="X159" s="437"/>
      <c r="Y159" s="437"/>
      <c r="Z159" s="437"/>
      <c r="AA159" s="437"/>
      <c r="AB159" s="1585"/>
      <c r="AC159" s="1585"/>
      <c r="AD159" s="1585"/>
      <c r="AE159" s="1585"/>
      <c r="AF159" s="437"/>
      <c r="AG159" s="437"/>
      <c r="AH159" s="546" t="s">
        <v>79</v>
      </c>
      <c r="AI159" s="547">
        <f>MAX(AI138:AI157)</f>
        <v>0</v>
      </c>
      <c r="AJ159" s="543"/>
      <c r="AK159" s="415"/>
      <c r="AL159" s="845" t="s">
        <v>200</v>
      </c>
      <c r="AM159" s="846"/>
      <c r="AN159" s="846"/>
      <c r="AO159" s="846"/>
      <c r="AP159" s="847"/>
      <c r="AQ159" s="292"/>
      <c r="AR159" s="445"/>
      <c r="AS159" s="445"/>
      <c r="AT159" s="445"/>
      <c r="AU159" s="445"/>
      <c r="AV159" s="445"/>
      <c r="AW159" s="445"/>
      <c r="AX159" s="445"/>
      <c r="AY159" s="1586"/>
      <c r="AZ159" s="1586"/>
      <c r="BA159" s="1586"/>
      <c r="BB159" s="1586"/>
      <c r="BD159" s="545"/>
      <c r="BM159" s="214"/>
      <c r="BN159" s="214"/>
      <c r="BO159" s="214"/>
    </row>
    <row r="160" spans="1:129" ht="17.25" customHeight="1" thickBot="1" x14ac:dyDescent="0.35">
      <c r="B160" s="1855"/>
      <c r="D160" s="543"/>
      <c r="E160" s="543"/>
      <c r="F160" s="543"/>
      <c r="G160" s="543"/>
      <c r="V160" s="437"/>
      <c r="W160" s="437"/>
      <c r="X160" s="437"/>
      <c r="Y160" s="437"/>
      <c r="Z160" s="437"/>
      <c r="AA160" s="437"/>
      <c r="AB160" s="1585"/>
      <c r="AC160" s="1585"/>
      <c r="AD160" s="1585"/>
      <c r="AE160" s="1585"/>
      <c r="AF160" s="437"/>
      <c r="AG160" s="437"/>
      <c r="AH160" s="853"/>
      <c r="AI160" s="854"/>
      <c r="AJ160" s="543"/>
      <c r="AK160" s="415"/>
      <c r="AL160" s="814" t="s">
        <v>175</v>
      </c>
      <c r="AM160" s="815" t="s">
        <v>176</v>
      </c>
      <c r="AN160" s="815" t="s">
        <v>177</v>
      </c>
      <c r="AO160" s="816" t="s">
        <v>181</v>
      </c>
      <c r="AP160" s="817"/>
      <c r="AQ160" s="292"/>
      <c r="AR160" s="445"/>
      <c r="AS160" s="445"/>
      <c r="AT160" s="445"/>
      <c r="AU160" s="445"/>
      <c r="AV160" s="445"/>
      <c r="AW160" s="445"/>
      <c r="AX160" s="445"/>
      <c r="AY160" s="1586"/>
      <c r="AZ160" s="1586"/>
      <c r="BA160" s="1586"/>
      <c r="BB160" s="1586"/>
      <c r="BD160" s="545"/>
      <c r="BM160" s="214"/>
      <c r="BN160" s="214"/>
      <c r="BO160" s="214"/>
    </row>
    <row r="161" spans="2:142" ht="17.25" customHeight="1" thickBot="1" x14ac:dyDescent="0.35">
      <c r="B161" s="1855"/>
      <c r="D161" s="543"/>
      <c r="E161" s="543"/>
      <c r="F161" s="543"/>
      <c r="G161" s="543"/>
      <c r="V161" s="437"/>
      <c r="W161" s="437"/>
      <c r="X161" s="437"/>
      <c r="Y161" s="437"/>
      <c r="Z161" s="437"/>
      <c r="AA161" s="437"/>
      <c r="AB161" s="1585"/>
      <c r="AC161" s="1585"/>
      <c r="AD161" s="1585"/>
      <c r="AE161" s="1585"/>
      <c r="AF161" s="437"/>
      <c r="AG161" s="437"/>
      <c r="AH161" s="853"/>
      <c r="AI161" s="854"/>
      <c r="AJ161" s="543"/>
      <c r="AK161" s="415"/>
      <c r="AL161" s="818">
        <v>6.8623010000000004</v>
      </c>
      <c r="AM161" s="819">
        <f>+(AI159*-1)-AL161</f>
        <v>-6.8623010000000004</v>
      </c>
      <c r="AN161" s="820">
        <f>COS(AM161*3.14159265358979/180)</f>
        <v>0.99283617366519983</v>
      </c>
      <c r="AO161" s="848">
        <f>+AN161*378.71303</f>
        <v>375.99999562235405</v>
      </c>
      <c r="AP161" s="821"/>
      <c r="AQ161" s="292"/>
      <c r="AR161" s="445"/>
      <c r="AS161" s="445"/>
      <c r="AT161" s="445"/>
      <c r="AU161" s="445"/>
      <c r="AV161" s="445"/>
      <c r="AW161" s="445"/>
      <c r="AX161" s="445"/>
      <c r="AY161" s="1586"/>
      <c r="AZ161" s="1586"/>
      <c r="BA161" s="1586"/>
      <c r="BB161" s="1586"/>
      <c r="BD161" s="545"/>
      <c r="BM161" s="214"/>
      <c r="BN161" s="214"/>
      <c r="BO161" s="214"/>
    </row>
    <row r="162" spans="2:142" ht="17.25" customHeight="1" thickBot="1" x14ac:dyDescent="0.35">
      <c r="B162" s="1855"/>
      <c r="D162" s="543"/>
      <c r="E162" s="199"/>
      <c r="F162" s="543"/>
      <c r="G162" s="543"/>
      <c r="V162" s="437"/>
      <c r="W162" s="437"/>
      <c r="X162" s="437"/>
      <c r="Y162" s="437"/>
      <c r="Z162" s="437"/>
      <c r="AA162" s="437"/>
      <c r="AB162" s="1585"/>
      <c r="AC162" s="1585"/>
      <c r="AD162" s="1585"/>
      <c r="AE162" s="1585"/>
      <c r="AF162" s="437"/>
      <c r="AG162" s="437"/>
      <c r="AH162" s="853"/>
      <c r="AI162" s="854"/>
      <c r="AJ162" s="543"/>
      <c r="AK162" s="415"/>
      <c r="AL162" s="844" t="s">
        <v>199</v>
      </c>
      <c r="AM162" s="849"/>
      <c r="AN162" s="849"/>
      <c r="AO162" s="849"/>
      <c r="AP162" s="850"/>
      <c r="AQ162" s="292"/>
      <c r="AR162" s="445"/>
      <c r="AS162" s="445"/>
      <c r="AT162" s="445"/>
      <c r="AU162" s="445"/>
      <c r="AV162" s="445"/>
      <c r="AW162" s="445"/>
      <c r="AX162" s="445"/>
      <c r="AY162" s="1586"/>
      <c r="AZ162" s="1586"/>
      <c r="BA162" s="1586"/>
      <c r="BB162" s="1586"/>
      <c r="BD162" s="545"/>
      <c r="BM162" s="214"/>
      <c r="BN162" s="214"/>
      <c r="BO162" s="214"/>
    </row>
    <row r="163" spans="2:142" ht="17.25" customHeight="1" x14ac:dyDescent="0.3">
      <c r="B163" s="1855"/>
      <c r="D163" s="543"/>
      <c r="F163" s="543"/>
      <c r="G163" s="543"/>
      <c r="V163" s="437"/>
      <c r="W163" s="437"/>
      <c r="X163" s="437"/>
      <c r="Y163" s="437"/>
      <c r="Z163" s="437"/>
      <c r="AA163" s="437"/>
      <c r="AB163" s="1585"/>
      <c r="AC163" s="1585"/>
      <c r="AD163" s="1585"/>
      <c r="AE163" s="1585"/>
      <c r="AF163" s="437"/>
      <c r="AG163" s="437"/>
      <c r="AH163" s="853"/>
      <c r="AI163" s="854"/>
      <c r="AJ163" s="543"/>
      <c r="AK163" s="415"/>
      <c r="AL163" s="851"/>
      <c r="AM163" s="815" t="s">
        <v>194</v>
      </c>
      <c r="AN163" s="815" t="s">
        <v>193</v>
      </c>
      <c r="AO163" s="816" t="s">
        <v>197</v>
      </c>
      <c r="AP163" s="1671" t="s">
        <v>191</v>
      </c>
      <c r="AQ163" s="292"/>
      <c r="AR163" s="445"/>
      <c r="AS163" s="445"/>
      <c r="AT163" s="445"/>
      <c r="AU163" s="445"/>
      <c r="AV163" s="445"/>
      <c r="AW163" s="445"/>
      <c r="AX163" s="445"/>
      <c r="AY163" s="1586"/>
      <c r="AZ163" s="1586"/>
      <c r="BA163" s="1586"/>
      <c r="BB163" s="1586"/>
      <c r="BD163" s="545"/>
      <c r="BM163" s="214"/>
      <c r="BN163" s="214"/>
      <c r="BO163" s="214"/>
    </row>
    <row r="164" spans="2:142" ht="17.25" customHeight="1" thickBot="1" x14ac:dyDescent="0.35">
      <c r="B164" s="1856"/>
      <c r="C164"/>
      <c r="D164" s="543"/>
      <c r="E164" s="543"/>
      <c r="F164" s="543"/>
      <c r="G164" s="543"/>
      <c r="V164" s="437"/>
      <c r="W164" s="437"/>
      <c r="X164" s="437"/>
      <c r="Y164" s="437"/>
      <c r="Z164" s="437"/>
      <c r="AA164" s="437"/>
      <c r="AB164" s="1585"/>
      <c r="AC164" s="1585"/>
      <c r="AD164" s="1585"/>
      <c r="AE164" s="1585"/>
      <c r="AF164" s="437"/>
      <c r="AG164" s="437"/>
      <c r="AH164" s="437"/>
      <c r="AI164" s="437"/>
      <c r="AJ164" s="543"/>
      <c r="AK164" s="415"/>
      <c r="AL164" s="852"/>
      <c r="AM164" s="822">
        <f>+AI159</f>
        <v>0</v>
      </c>
      <c r="AN164" s="823">
        <f>SIN(AM164*3.14159265358979/180)</f>
        <v>0</v>
      </c>
      <c r="AO164" s="824">
        <f>+AN164*((+B135*358.6)+119+119)</f>
        <v>0</v>
      </c>
      <c r="AP164" s="1672">
        <f>+AO161+AO164</f>
        <v>375.99999562235405</v>
      </c>
      <c r="AQ164" s="292"/>
      <c r="AR164" s="445"/>
      <c r="AS164" s="445"/>
      <c r="AT164" s="445"/>
      <c r="AU164" s="445"/>
      <c r="AV164" s="445"/>
      <c r="AW164" s="445"/>
      <c r="AX164" s="445"/>
      <c r="AY164" s="1586"/>
      <c r="AZ164" s="1586"/>
      <c r="BA164" s="1586"/>
      <c r="BB164" s="1586"/>
      <c r="BD164" s="545"/>
      <c r="BM164" s="214"/>
      <c r="BN164" s="214"/>
      <c r="BO164" s="214"/>
    </row>
    <row r="165" spans="2:142" ht="31.5" customHeight="1" thickBot="1" x14ac:dyDescent="0.35">
      <c r="B165" s="34">
        <v>0</v>
      </c>
      <c r="D165" s="548" t="s">
        <v>269</v>
      </c>
      <c r="E165" s="1673"/>
      <c r="G165" s="543"/>
      <c r="V165" s="437"/>
      <c r="W165" s="437"/>
      <c r="X165" s="437"/>
      <c r="Y165" s="437"/>
      <c r="Z165" s="437"/>
      <c r="AA165" s="437"/>
      <c r="AB165" s="1586"/>
      <c r="AC165" s="1585"/>
      <c r="AD165" s="1585"/>
      <c r="AE165" s="1585"/>
      <c r="AF165" s="437"/>
      <c r="AG165" s="437"/>
      <c r="AH165" s="437"/>
      <c r="AI165" s="437"/>
      <c r="AJ165" s="543"/>
      <c r="AK165" s="415"/>
      <c r="AL165" s="292"/>
      <c r="AM165" s="543"/>
      <c r="AN165" s="415"/>
      <c r="AO165" s="292"/>
      <c r="AP165" s="445"/>
      <c r="AQ165" s="292"/>
      <c r="AR165" s="445"/>
      <c r="AS165" s="445"/>
      <c r="AT165" s="445"/>
      <c r="AU165" s="445"/>
      <c r="AV165" s="445"/>
      <c r="AW165" s="445"/>
      <c r="AX165" s="445"/>
      <c r="AY165" s="1586"/>
      <c r="AZ165" s="1586"/>
      <c r="BA165" s="1586"/>
      <c r="BB165" s="1586"/>
      <c r="BD165" s="545"/>
      <c r="BM165" s="214"/>
      <c r="BN165" s="214"/>
      <c r="BO165" s="214"/>
    </row>
    <row r="166" spans="2:142" ht="21" thickBot="1" x14ac:dyDescent="0.35">
      <c r="D166" s="543"/>
      <c r="E166" s="543"/>
      <c r="F166" s="543"/>
      <c r="G166" s="543"/>
      <c r="V166" s="437"/>
      <c r="W166" s="437"/>
      <c r="X166" s="437"/>
      <c r="Y166" s="437"/>
      <c r="Z166" s="437"/>
      <c r="AA166" s="437"/>
      <c r="AB166" s="1585"/>
      <c r="AC166" s="1585"/>
      <c r="AD166" s="1585"/>
      <c r="AE166" s="1585"/>
      <c r="AF166" s="437"/>
      <c r="AG166" s="437"/>
      <c r="AH166" s="437"/>
      <c r="AI166" s="437"/>
      <c r="AJ166" s="543"/>
      <c r="AK166" s="415"/>
      <c r="AL166" s="292"/>
      <c r="AM166" s="543"/>
      <c r="AN166" s="415"/>
      <c r="AO166" s="292"/>
      <c r="AP166" s="445"/>
      <c r="AQ166" s="292"/>
      <c r="AR166" s="445"/>
      <c r="AS166" s="445"/>
      <c r="AT166" s="445"/>
      <c r="AU166" s="445"/>
      <c r="AV166" s="445"/>
      <c r="AW166" s="445"/>
      <c r="AX166" s="445"/>
      <c r="AY166" s="1586"/>
      <c r="AZ166" s="1586"/>
      <c r="BA166" s="1586"/>
      <c r="BB166" s="1586"/>
      <c r="BD166" s="545"/>
      <c r="BM166" s="214"/>
      <c r="BN166" s="214"/>
      <c r="BO166" s="214"/>
    </row>
    <row r="167" spans="2:142" ht="61.5" customHeight="1" thickBot="1" x14ac:dyDescent="0.35">
      <c r="B167" s="345" t="s">
        <v>30</v>
      </c>
      <c r="C167" s="412"/>
      <c r="D167" s="37"/>
      <c r="E167" s="37"/>
      <c r="F167" s="37"/>
      <c r="G167" s="37"/>
      <c r="T167" s="73"/>
      <c r="AQ167" s="1674" t="s">
        <v>318</v>
      </c>
      <c r="BD167" s="136"/>
      <c r="BM167" s="214"/>
      <c r="BN167" s="214"/>
      <c r="BO167" s="214"/>
      <c r="EK167" s="78"/>
      <c r="EL167" s="78"/>
    </row>
    <row r="168" spans="2:142" ht="27" thickBot="1" x14ac:dyDescent="0.35">
      <c r="B168" s="27">
        <v>1</v>
      </c>
      <c r="C168" s="216"/>
      <c r="D168" s="549" t="s">
        <v>65</v>
      </c>
      <c r="E168" s="330"/>
      <c r="F168" s="330"/>
      <c r="G168" s="330"/>
      <c r="H168" s="342" t="s">
        <v>87</v>
      </c>
      <c r="I168" s="342" t="s">
        <v>88</v>
      </c>
      <c r="J168" s="342" t="s">
        <v>89</v>
      </c>
      <c r="K168"/>
      <c r="L168"/>
      <c r="M168"/>
      <c r="N168"/>
      <c r="O168"/>
      <c r="P168" s="342" t="s">
        <v>90</v>
      </c>
      <c r="Q168" s="342" t="s">
        <v>91</v>
      </c>
      <c r="R168" s="330"/>
      <c r="S168" s="342" t="s">
        <v>92</v>
      </c>
      <c r="T168" s="1588"/>
      <c r="W168" s="1850" t="s">
        <v>93</v>
      </c>
      <c r="X168" s="1850"/>
      <c r="Y168" s="1850"/>
      <c r="Z168" s="1850"/>
      <c r="AA168" s="1850"/>
      <c r="AZ168" s="415"/>
      <c r="BA168" s="1848" t="s">
        <v>52</v>
      </c>
      <c r="BB168" s="1849"/>
      <c r="BD168" s="136"/>
      <c r="BM168" s="214"/>
      <c r="BN168" s="214"/>
      <c r="BO168" s="214"/>
      <c r="EK168" s="78"/>
      <c r="EL168" s="78"/>
    </row>
    <row r="169" spans="2:142" ht="41" hidden="1" thickBot="1" x14ac:dyDescent="0.35">
      <c r="C169" s="416"/>
      <c r="D169" s="550" t="s">
        <v>13</v>
      </c>
      <c r="H169" s="356" t="s">
        <v>4</v>
      </c>
      <c r="I169" s="356" t="s">
        <v>1</v>
      </c>
      <c r="J169" s="377" t="s">
        <v>73</v>
      </c>
      <c r="K169" s="316" t="s">
        <v>2</v>
      </c>
      <c r="L169" s="316" t="s">
        <v>3</v>
      </c>
      <c r="M169" s="316" t="s">
        <v>8</v>
      </c>
      <c r="N169" s="316" t="s">
        <v>5</v>
      </c>
      <c r="O169" s="316" t="s">
        <v>6</v>
      </c>
      <c r="P169" s="316" t="s">
        <v>7</v>
      </c>
      <c r="Q169" s="316" t="s">
        <v>9</v>
      </c>
      <c r="R169" s="356" t="s">
        <v>10</v>
      </c>
      <c r="S169" s="316" t="s">
        <v>11</v>
      </c>
      <c r="T169" s="418" t="s">
        <v>12</v>
      </c>
      <c r="W169" s="356" t="s">
        <v>97</v>
      </c>
      <c r="X169" s="316" t="s">
        <v>94</v>
      </c>
      <c r="Y169" s="356" t="s">
        <v>98</v>
      </c>
      <c r="Z169" s="419" t="s">
        <v>95</v>
      </c>
      <c r="AA169" s="419" t="s">
        <v>96</v>
      </c>
      <c r="AC169" s="316" t="s">
        <v>99</v>
      </c>
      <c r="AD169" s="316"/>
      <c r="AE169" s="316"/>
      <c r="AF169" s="420"/>
      <c r="AG169" s="420"/>
      <c r="AH169" s="420"/>
      <c r="AI169" s="420"/>
      <c r="AJ169" s="420"/>
      <c r="AK169" s="420"/>
      <c r="AL169" s="420"/>
      <c r="AM169" s="420"/>
      <c r="AN169" s="420"/>
      <c r="AO169" s="420"/>
      <c r="AP169" s="420" t="s">
        <v>135</v>
      </c>
      <c r="AQ169" s="420"/>
      <c r="AR169" s="420" t="s">
        <v>135</v>
      </c>
      <c r="AS169" s="420"/>
      <c r="AT169" s="420"/>
      <c r="AU169" s="420" t="s">
        <v>135</v>
      </c>
      <c r="AV169" s="420"/>
      <c r="AW169" s="420"/>
      <c r="AX169" s="420"/>
      <c r="AY169" s="415"/>
      <c r="AZ169" s="415"/>
      <c r="BA169" s="420"/>
      <c r="BB169" s="420"/>
      <c r="BC169" s="231"/>
      <c r="BD169" s="136"/>
      <c r="BM169" s="214"/>
      <c r="BN169" s="214"/>
      <c r="BO169" s="214"/>
      <c r="EK169" s="78"/>
      <c r="EL169" s="78"/>
    </row>
    <row r="170" spans="2:142" ht="38.25" customHeight="1" thickBot="1" x14ac:dyDescent="0.35">
      <c r="B170" s="421"/>
      <c r="C170" s="422"/>
      <c r="D170" s="551" t="s">
        <v>22</v>
      </c>
      <c r="E170" s="37"/>
      <c r="F170" s="330"/>
      <c r="G170" s="240"/>
      <c r="H170" s="356"/>
      <c r="I170" s="356"/>
      <c r="J170" s="377"/>
      <c r="K170" s="316"/>
      <c r="L170" s="316"/>
      <c r="M170" s="316"/>
      <c r="N170" s="316"/>
      <c r="O170" s="316"/>
      <c r="P170" s="316"/>
      <c r="Q170" s="316"/>
      <c r="R170" s="356"/>
      <c r="S170" s="316"/>
      <c r="T170" s="418"/>
      <c r="V170" s="420"/>
      <c r="W170" s="420"/>
      <c r="X170" s="420"/>
      <c r="Y170" s="420"/>
      <c r="Z170" s="420"/>
      <c r="AA170" s="420"/>
      <c r="AB170" s="420"/>
      <c r="AC170" s="423">
        <f>SUM(AC171:AC182)</f>
        <v>343.49989132317432</v>
      </c>
      <c r="AD170" s="424"/>
      <c r="AE170" s="424"/>
      <c r="AF170" s="420" t="s">
        <v>38</v>
      </c>
      <c r="AG170" s="552" t="s">
        <v>101</v>
      </c>
      <c r="AH170" s="425" t="s">
        <v>31</v>
      </c>
      <c r="AI170" s="425"/>
      <c r="AJ170" s="367" t="s">
        <v>67</v>
      </c>
      <c r="AK170" s="426" t="s">
        <v>32</v>
      </c>
      <c r="AL170" s="367" t="s">
        <v>33</v>
      </c>
      <c r="AM170" s="368" t="s">
        <v>68</v>
      </c>
      <c r="AN170" s="427" t="s">
        <v>34</v>
      </c>
      <c r="AO170" s="367" t="s">
        <v>35</v>
      </c>
      <c r="AP170" s="428" t="s">
        <v>48</v>
      </c>
      <c r="AQ170" s="1675" t="s">
        <v>319</v>
      </c>
      <c r="AR170" s="428" t="s">
        <v>146</v>
      </c>
      <c r="AS170" s="420" t="s">
        <v>46</v>
      </c>
      <c r="AT170" s="420" t="s">
        <v>72</v>
      </c>
      <c r="AU170" s="428" t="s">
        <v>71</v>
      </c>
      <c r="AV170" s="553"/>
      <c r="AW170" s="1594" t="s">
        <v>41</v>
      </c>
      <c r="AX170" s="1594" t="s">
        <v>42</v>
      </c>
      <c r="AY170" s="430" t="s">
        <v>23</v>
      </c>
      <c r="AZ170" s="430" t="s">
        <v>24</v>
      </c>
      <c r="BA170" s="431" t="s">
        <v>23</v>
      </c>
      <c r="BB170" s="431" t="s">
        <v>24</v>
      </c>
      <c r="BD170" s="136"/>
      <c r="BM170" s="214"/>
      <c r="BN170" s="214"/>
      <c r="BO170" s="214"/>
      <c r="EK170" s="78"/>
      <c r="EL170" s="78"/>
    </row>
    <row r="171" spans="2:142" ht="23" thickBot="1" x14ac:dyDescent="0.35">
      <c r="B171" s="255">
        <v>1</v>
      </c>
      <c r="C171" s="256">
        <f>+B165+AI159+D171</f>
        <v>0</v>
      </c>
      <c r="D171" s="25">
        <v>0</v>
      </c>
      <c r="E171" s="257" t="s">
        <v>80</v>
      </c>
      <c r="F171" s="258"/>
      <c r="G171" s="258"/>
      <c r="H171" s="506">
        <v>421.92079999999999</v>
      </c>
      <c r="I171" s="507">
        <v>35.4982179</v>
      </c>
      <c r="J171" s="508">
        <f>+I171-C171</f>
        <v>35.4982179</v>
      </c>
      <c r="K171" s="508"/>
      <c r="L171" s="508"/>
      <c r="M171" s="508"/>
      <c r="N171" s="508"/>
      <c r="O171" s="508"/>
      <c r="P171" s="508">
        <f>COS(J171*3.14159265358979/180)</f>
        <v>0.81413357986421708</v>
      </c>
      <c r="Q171" s="508">
        <f>+P171*H171</f>
        <v>343.49989132317432</v>
      </c>
      <c r="R171" s="509">
        <v>343.5</v>
      </c>
      <c r="S171" s="508">
        <f>+Q171</f>
        <v>343.49989132317432</v>
      </c>
      <c r="T171" s="510">
        <f t="shared" ref="T171:T182" si="38">+S171</f>
        <v>343.49989132317432</v>
      </c>
      <c r="U171" s="456"/>
      <c r="V171" s="511">
        <f>IF(B171&lt;($B$168+1),T171,0)</f>
        <v>343.49989132317432</v>
      </c>
      <c r="W171" s="512">
        <v>35.4982179</v>
      </c>
      <c r="X171" s="511">
        <f>+W171+AI183</f>
        <v>35.4982179</v>
      </c>
      <c r="Y171" s="512">
        <v>421.92079999999999</v>
      </c>
      <c r="Z171" s="419">
        <f>+COS(X171*3.14159265358979/180)*Y171</f>
        <v>343.49989132317432</v>
      </c>
      <c r="AA171" s="513">
        <f>+AC170-Z171</f>
        <v>0</v>
      </c>
      <c r="AB171" s="1595"/>
      <c r="AC171" s="514">
        <f>IF(AD171=1,AF171)</f>
        <v>343.49989132317432</v>
      </c>
      <c r="AD171" s="514">
        <f>MAX(AE$171:AE$182)</f>
        <v>1</v>
      </c>
      <c r="AE171" s="514">
        <f>IF(V171=0,0,1)</f>
        <v>1</v>
      </c>
      <c r="AF171" s="511">
        <f>SUM(V171:V182)/($B$168)</f>
        <v>343.49989132317432</v>
      </c>
      <c r="AG171" s="511">
        <f>+AF171+$AA$138</f>
        <v>343.49988248606564</v>
      </c>
      <c r="AH171" s="515">
        <f>+D171+C171</f>
        <v>0</v>
      </c>
      <c r="AI171" s="516">
        <f>IF(B171&lt;($B$168+1),AH171)</f>
        <v>0</v>
      </c>
      <c r="AJ171" s="287">
        <f>54.5017821+AH171</f>
        <v>54.5017821</v>
      </c>
      <c r="AK171" s="517">
        <f>SIN(AJ171*3.14159265358979/180)</f>
        <v>0.81413357986421619</v>
      </c>
      <c r="AL171" s="289">
        <f>+AK171*421.92</f>
        <v>343.49924001631013</v>
      </c>
      <c r="AM171" s="287">
        <f>58.7344156-AH171</f>
        <v>58.734415599999998</v>
      </c>
      <c r="AN171" s="518">
        <f>SIN(AM171*3.14159265358979/180)</f>
        <v>0.85477073319485097</v>
      </c>
      <c r="AO171" s="291">
        <f>+AN171*472.06</f>
        <v>403.50307231196138</v>
      </c>
      <c r="AP171" s="519">
        <f t="shared" ref="AP171:AP182" si="39">+((AF171*AQ171)+($AQ$195*($AF$195+$AA$171)))/AR171</f>
        <v>220.20851113880866</v>
      </c>
      <c r="AQ171" s="1670">
        <f>C10*B168</f>
        <v>57</v>
      </c>
      <c r="AR171" s="519">
        <f>+AQ171+$AQ$195+31</f>
        <v>117.3</v>
      </c>
      <c r="AS171" s="520">
        <f>+AO171+AL171</f>
        <v>747.0023123282715</v>
      </c>
      <c r="AT171" s="521">
        <f>+V171-AL171</f>
        <v>6.5130686419934136E-4</v>
      </c>
      <c r="AU171" s="522">
        <f>+AP171-AT171</f>
        <v>220.20785983194446</v>
      </c>
      <c r="AV171" s="521"/>
      <c r="AW171" s="523">
        <f>+((AS171-AU171)/AS171)*AR171</f>
        <v>82.721282461926464</v>
      </c>
      <c r="AX171" s="523">
        <f>+(AU171/AS171)*AR171</f>
        <v>34.578717538073526</v>
      </c>
      <c r="AY171" s="1597">
        <f>2*$C$19/AW171</f>
        <v>140.2299342413973</v>
      </c>
      <c r="AZ171" s="1597">
        <f>2*$D$19/AX171</f>
        <v>335.46646104580395</v>
      </c>
      <c r="BA171" s="542">
        <f>ABS(AY171)</f>
        <v>140.2299342413973</v>
      </c>
      <c r="BB171" s="542">
        <f>ABS(AZ171)</f>
        <v>335.46646104580395</v>
      </c>
      <c r="BC171" s="91"/>
      <c r="BD171" s="136"/>
      <c r="BM171" s="214"/>
      <c r="BN171" s="214"/>
      <c r="BO171" s="214"/>
      <c r="EK171" s="78"/>
      <c r="EL171" s="78"/>
    </row>
    <row r="172" spans="2:142" ht="23" thickBot="1" x14ac:dyDescent="0.35">
      <c r="B172" s="277">
        <v>2</v>
      </c>
      <c r="C172" s="278"/>
      <c r="D172" s="25">
        <v>0</v>
      </c>
      <c r="E172" s="279" t="s">
        <v>80</v>
      </c>
      <c r="F172" s="258"/>
      <c r="G172" s="258"/>
      <c r="H172" s="506">
        <v>472.06</v>
      </c>
      <c r="I172" s="507">
        <v>62.531168700000002</v>
      </c>
      <c r="J172" s="474">
        <f>+I172+D172</f>
        <v>62.531168700000002</v>
      </c>
      <c r="K172" s="474">
        <f t="shared" ref="K172:K182" si="40">+J172/2</f>
        <v>31.265584350000001</v>
      </c>
      <c r="L172" s="474">
        <f t="shared" ref="L172:L182" si="41">SIN(K172*3.14159265358979/180)</f>
        <v>0.51900577347391186</v>
      </c>
      <c r="M172" s="474">
        <f t="shared" ref="M172:M182" si="42">+L172*H172</f>
        <v>245.00186542609484</v>
      </c>
      <c r="N172" s="474">
        <f t="shared" ref="N172:N182" si="43">+M172*2</f>
        <v>490.00373085218968</v>
      </c>
      <c r="O172" s="474">
        <f>+C171+(D172/2)</f>
        <v>0</v>
      </c>
      <c r="P172" s="474">
        <f t="shared" ref="P172:P182" si="44">SIN(O172*3.14159265358979/180)</f>
        <v>0</v>
      </c>
      <c r="Q172" s="474">
        <f t="shared" ref="Q172:Q182" si="45">+P172*N172</f>
        <v>0</v>
      </c>
      <c r="R172" s="474">
        <f t="shared" ref="R172:R182" si="46">+T171</f>
        <v>343.49989132317432</v>
      </c>
      <c r="S172" s="474">
        <f>+R172+Q172</f>
        <v>343.49989132317432</v>
      </c>
      <c r="T172" s="476">
        <f t="shared" si="38"/>
        <v>343.49989132317432</v>
      </c>
      <c r="V172" s="437">
        <f t="shared" ref="V172:V182" si="47">IF(B172&lt;($B$168+1),T172,0)</f>
        <v>0</v>
      </c>
      <c r="W172" s="437"/>
      <c r="X172" s="437"/>
      <c r="Y172" s="437"/>
      <c r="Z172" s="437"/>
      <c r="AA172" s="437"/>
      <c r="AB172" s="1595"/>
      <c r="AC172" s="514" t="b">
        <f>IF(AD172=2,AF172)</f>
        <v>0</v>
      </c>
      <c r="AD172" s="514">
        <f t="shared" ref="AD172:AD182" si="48">MAX(AE$171:AE$182)</f>
        <v>1</v>
      </c>
      <c r="AE172" s="514">
        <f>IF(V172=0,0,2)</f>
        <v>0</v>
      </c>
      <c r="AF172" s="437" t="e">
        <f>SUM(V172:V182)/($B$168-B171)</f>
        <v>#DIV/0!</v>
      </c>
      <c r="AG172" s="437"/>
      <c r="AH172" s="450">
        <f>SUM(D172)+$C$171</f>
        <v>0</v>
      </c>
      <c r="AI172" s="516" t="b">
        <f t="shared" ref="AI172:AI182" si="49">IF(B172&lt;($B$168+1),AH172)</f>
        <v>0</v>
      </c>
      <c r="AJ172" s="287">
        <f t="shared" ref="AJ172:AJ182" si="50">54.5017821+AH172</f>
        <v>54.5017821</v>
      </c>
      <c r="AK172" s="441">
        <f>SIN(AJ172*3.14159265358979/180)</f>
        <v>0.81413357986421619</v>
      </c>
      <c r="AL172" s="289">
        <f t="shared" ref="AL172:AL182" si="51">+AK172*421.92</f>
        <v>343.49924001631013</v>
      </c>
      <c r="AM172" s="287">
        <f t="shared" ref="AM172:AM182" si="52">58.7344156-AH172</f>
        <v>58.734415599999998</v>
      </c>
      <c r="AN172" s="442">
        <f t="shared" ref="AN172:AN182" si="53">SIN(AM172*3.14159265358979/180)</f>
        <v>0.85477073319485097</v>
      </c>
      <c r="AO172" s="291">
        <f t="shared" ref="AO172:AO182" si="54">+AN172*472.06</f>
        <v>403.50307231196138</v>
      </c>
      <c r="AP172" s="519" t="e">
        <f t="shared" si="39"/>
        <v>#DIV/0!</v>
      </c>
      <c r="AQ172" s="1639">
        <f>$C$10*($B$168-B171)</f>
        <v>0</v>
      </c>
      <c r="AR172" s="443">
        <f t="shared" ref="AR172:AR182" si="55">+AQ172+$AQ$195+31</f>
        <v>60.3</v>
      </c>
      <c r="AS172" s="444">
        <f t="shared" ref="AS172:AS182" si="56">+AO172+AL172</f>
        <v>747.0023123282715</v>
      </c>
      <c r="AT172" s="445">
        <f t="shared" ref="AT172:AT182" si="57">+V172-AL172</f>
        <v>-343.49924001631013</v>
      </c>
      <c r="AU172" s="446" t="e">
        <f t="shared" ref="AU172:AU182" si="58">+AP172-AT172</f>
        <v>#DIV/0!</v>
      </c>
      <c r="AV172" s="445"/>
      <c r="AW172" s="447" t="e">
        <f t="shared" ref="AW172:AW182" si="59">+((AS172-AU172)/AS172)*AR172</f>
        <v>#DIV/0!</v>
      </c>
      <c r="AX172" s="447" t="e">
        <f t="shared" ref="AX172:AX182" si="60">+(AU172/AS172)*AR172</f>
        <v>#DIV/0!</v>
      </c>
      <c r="AY172" s="1597" t="e">
        <f t="shared" ref="AY172:AY182" si="61">2*$C$19/AW172</f>
        <v>#DIV/0!</v>
      </c>
      <c r="AZ172" s="1597" t="e">
        <f t="shared" ref="AZ172:AZ182" si="62">2*$D$19/AX172</f>
        <v>#DIV/0!</v>
      </c>
      <c r="BA172" s="542" t="e">
        <f t="shared" ref="BA172:BB182" si="63">ABS(AY172)</f>
        <v>#DIV/0!</v>
      </c>
      <c r="BB172" s="542" t="e">
        <f t="shared" si="63"/>
        <v>#DIV/0!</v>
      </c>
      <c r="BD172" s="136"/>
      <c r="BM172" s="214"/>
      <c r="BN172" s="214"/>
      <c r="BO172" s="214"/>
      <c r="EK172" s="78"/>
      <c r="EL172" s="78"/>
    </row>
    <row r="173" spans="2:142" ht="23" thickBot="1" x14ac:dyDescent="0.35">
      <c r="B173" s="277">
        <v>3</v>
      </c>
      <c r="C173" s="278"/>
      <c r="D173" s="25">
        <v>0</v>
      </c>
      <c r="E173" s="279" t="s">
        <v>80</v>
      </c>
      <c r="F173" s="258"/>
      <c r="G173" s="258"/>
      <c r="H173" s="506">
        <v>472.06</v>
      </c>
      <c r="I173" s="507">
        <v>62.531168700000002</v>
      </c>
      <c r="J173" s="474">
        <f t="shared" ref="J173:J182" si="64">+I173+D173</f>
        <v>62.531168700000002</v>
      </c>
      <c r="K173" s="474">
        <f t="shared" si="40"/>
        <v>31.265584350000001</v>
      </c>
      <c r="L173" s="474">
        <f t="shared" si="41"/>
        <v>0.51900577347391186</v>
      </c>
      <c r="M173" s="474">
        <f t="shared" si="42"/>
        <v>245.00186542609484</v>
      </c>
      <c r="N173" s="474">
        <f t="shared" si="43"/>
        <v>490.00373085218968</v>
      </c>
      <c r="O173" s="474">
        <f>+C171+D172+(D173/2)</f>
        <v>0</v>
      </c>
      <c r="P173" s="474">
        <f t="shared" si="44"/>
        <v>0</v>
      </c>
      <c r="Q173" s="474">
        <f t="shared" si="45"/>
        <v>0</v>
      </c>
      <c r="R173" s="474">
        <f t="shared" si="46"/>
        <v>343.49989132317432</v>
      </c>
      <c r="S173" s="474">
        <f t="shared" ref="S173:S182" si="65">+S172+Q173</f>
        <v>343.49989132317432</v>
      </c>
      <c r="T173" s="476">
        <f t="shared" si="38"/>
        <v>343.49989132317432</v>
      </c>
      <c r="V173" s="437">
        <f t="shared" si="47"/>
        <v>0</v>
      </c>
      <c r="W173" s="437"/>
      <c r="X173" s="437"/>
      <c r="Y173" s="437"/>
      <c r="Z173" s="437"/>
      <c r="AA173" s="437"/>
      <c r="AB173" s="1595"/>
      <c r="AC173" s="514" t="b">
        <f>IF(AD173=3,AF173)</f>
        <v>0</v>
      </c>
      <c r="AD173" s="514">
        <f t="shared" si="48"/>
        <v>1</v>
      </c>
      <c r="AE173" s="514">
        <f>IF(V173=0,0,3)</f>
        <v>0</v>
      </c>
      <c r="AF173" s="437">
        <f>SUM(V173:V182)/($B$168-B172)</f>
        <v>0</v>
      </c>
      <c r="AG173" s="437"/>
      <c r="AH173" s="450">
        <f>SUM(D172:D173)+$C$171</f>
        <v>0</v>
      </c>
      <c r="AI173" s="516" t="b">
        <f t="shared" si="49"/>
        <v>0</v>
      </c>
      <c r="AJ173" s="287">
        <f t="shared" si="50"/>
        <v>54.5017821</v>
      </c>
      <c r="AK173" s="441">
        <f t="shared" ref="AK173:AK182" si="66">SIN(AJ173*3.14159265358979/180)</f>
        <v>0.81413357986421619</v>
      </c>
      <c r="AL173" s="289">
        <f t="shared" si="51"/>
        <v>343.49924001631013</v>
      </c>
      <c r="AM173" s="287">
        <f t="shared" si="52"/>
        <v>58.734415599999998</v>
      </c>
      <c r="AN173" s="442">
        <f t="shared" si="53"/>
        <v>0.85477073319485097</v>
      </c>
      <c r="AO173" s="291">
        <f t="shared" si="54"/>
        <v>403.50307231196138</v>
      </c>
      <c r="AP173" s="519">
        <f t="shared" si="39"/>
        <v>1894.2316821700961</v>
      </c>
      <c r="AQ173" s="1639">
        <f t="shared" ref="AQ173:AQ182" si="67">$C$10*($B$168-B172)</f>
        <v>-57</v>
      </c>
      <c r="AR173" s="443">
        <f t="shared" si="55"/>
        <v>3.3000000000000007</v>
      </c>
      <c r="AS173" s="444">
        <f t="shared" si="56"/>
        <v>747.0023123282715</v>
      </c>
      <c r="AT173" s="445">
        <f t="shared" si="57"/>
        <v>-343.49924001631013</v>
      </c>
      <c r="AU173" s="446">
        <f t="shared" si="58"/>
        <v>2237.7309221864061</v>
      </c>
      <c r="AV173" s="445"/>
      <c r="AW173" s="447">
        <f t="shared" si="59"/>
        <v>-6.5855276902677167</v>
      </c>
      <c r="AX173" s="447">
        <f t="shared" si="60"/>
        <v>9.8855276902677183</v>
      </c>
      <c r="AY173" s="1597">
        <f t="shared" si="61"/>
        <v>-1761.4381938053066</v>
      </c>
      <c r="AZ173" s="1597">
        <f t="shared" si="62"/>
        <v>1173.4325534710886</v>
      </c>
      <c r="BA173" s="542">
        <f t="shared" si="63"/>
        <v>1761.4381938053066</v>
      </c>
      <c r="BB173" s="542">
        <f t="shared" si="63"/>
        <v>1173.4325534710886</v>
      </c>
      <c r="BD173" s="136"/>
      <c r="BE173" s="136"/>
      <c r="BF173" s="136"/>
      <c r="BG173" s="297" t="s">
        <v>122</v>
      </c>
      <c r="BH173" s="136"/>
      <c r="BI173" s="136"/>
      <c r="BJ173" s="136"/>
      <c r="BK173" s="136"/>
      <c r="BL173" s="136"/>
      <c r="BM173" s="214"/>
      <c r="BN173" s="214"/>
      <c r="BO173" s="214"/>
      <c r="EK173" s="78"/>
      <c r="EL173" s="78"/>
    </row>
    <row r="174" spans="2:142" ht="23" thickBot="1" x14ac:dyDescent="0.35">
      <c r="B174" s="277">
        <v>4</v>
      </c>
      <c r="C174" s="278"/>
      <c r="D174" s="25">
        <v>0</v>
      </c>
      <c r="E174" s="279" t="s">
        <v>80</v>
      </c>
      <c r="F174" s="258"/>
      <c r="G174" s="258"/>
      <c r="H174" s="506">
        <v>472.06</v>
      </c>
      <c r="I174" s="507">
        <v>62.531168700000002</v>
      </c>
      <c r="J174" s="474">
        <f t="shared" si="64"/>
        <v>62.531168700000002</v>
      </c>
      <c r="K174" s="474">
        <f t="shared" si="40"/>
        <v>31.265584350000001</v>
      </c>
      <c r="L174" s="474">
        <f t="shared" si="41"/>
        <v>0.51900577347391186</v>
      </c>
      <c r="M174" s="474">
        <f t="shared" si="42"/>
        <v>245.00186542609484</v>
      </c>
      <c r="N174" s="474">
        <f t="shared" si="43"/>
        <v>490.00373085218968</v>
      </c>
      <c r="O174" s="474">
        <f>+C171+D172+D173+(D174/2)</f>
        <v>0</v>
      </c>
      <c r="P174" s="474">
        <f t="shared" si="44"/>
        <v>0</v>
      </c>
      <c r="Q174" s="474">
        <f t="shared" si="45"/>
        <v>0</v>
      </c>
      <c r="R174" s="474">
        <f t="shared" si="46"/>
        <v>343.49989132317432</v>
      </c>
      <c r="S174" s="474">
        <f t="shared" si="65"/>
        <v>343.49989132317432</v>
      </c>
      <c r="T174" s="476">
        <f t="shared" si="38"/>
        <v>343.49989132317432</v>
      </c>
      <c r="V174" s="437">
        <f t="shared" si="47"/>
        <v>0</v>
      </c>
      <c r="W174" s="437"/>
      <c r="X174" s="437"/>
      <c r="Y174" s="437"/>
      <c r="Z174" s="437"/>
      <c r="AA174" s="437"/>
      <c r="AB174" s="1595"/>
      <c r="AC174" s="514" t="b">
        <f>IF(AD174=4,AF174)</f>
        <v>0</v>
      </c>
      <c r="AD174" s="514">
        <f t="shared" si="48"/>
        <v>1</v>
      </c>
      <c r="AE174" s="514">
        <f>IF(V174=0,0,4)</f>
        <v>0</v>
      </c>
      <c r="AF174" s="437">
        <f>SUM(V174:V182)/($B$168-B173)</f>
        <v>0</v>
      </c>
      <c r="AG174" s="437"/>
      <c r="AH174" s="450">
        <f>SUM(D172:D174)+$C$171</f>
        <v>0</v>
      </c>
      <c r="AI174" s="516" t="b">
        <f t="shared" si="49"/>
        <v>0</v>
      </c>
      <c r="AJ174" s="287">
        <f t="shared" si="50"/>
        <v>54.5017821</v>
      </c>
      <c r="AK174" s="441">
        <f t="shared" si="66"/>
        <v>0.81413357986421619</v>
      </c>
      <c r="AL174" s="289">
        <f t="shared" si="51"/>
        <v>343.49924001631013</v>
      </c>
      <c r="AM174" s="287">
        <f t="shared" si="52"/>
        <v>58.734415599999998</v>
      </c>
      <c r="AN174" s="442">
        <f t="shared" si="53"/>
        <v>0.85477073319485097</v>
      </c>
      <c r="AO174" s="291">
        <f t="shared" si="54"/>
        <v>403.50307231196138</v>
      </c>
      <c r="AP174" s="519">
        <f t="shared" si="39"/>
        <v>-116.40529890430759</v>
      </c>
      <c r="AQ174" s="1639">
        <f t="shared" si="67"/>
        <v>-114</v>
      </c>
      <c r="AR174" s="443">
        <f t="shared" si="55"/>
        <v>-53.7</v>
      </c>
      <c r="AS174" s="444">
        <f t="shared" si="56"/>
        <v>747.0023123282715</v>
      </c>
      <c r="AT174" s="445">
        <f t="shared" si="57"/>
        <v>-343.49924001631013</v>
      </c>
      <c r="AU174" s="446">
        <f t="shared" si="58"/>
        <v>227.09394111200254</v>
      </c>
      <c r="AV174" s="445"/>
      <c r="AW174" s="447">
        <f t="shared" si="59"/>
        <v>-37.37482344237317</v>
      </c>
      <c r="AX174" s="447">
        <f t="shared" si="60"/>
        <v>-16.325176557626836</v>
      </c>
      <c r="AY174" s="1597">
        <f t="shared" si="61"/>
        <v>-310.36935914588605</v>
      </c>
      <c r="AZ174" s="1597">
        <f t="shared" si="62"/>
        <v>-710.55893080560179</v>
      </c>
      <c r="BA174" s="542">
        <f t="shared" si="63"/>
        <v>310.36935914588605</v>
      </c>
      <c r="BB174" s="542">
        <f t="shared" si="63"/>
        <v>710.55893080560179</v>
      </c>
      <c r="BD174" s="136"/>
      <c r="BE174" s="298">
        <v>1</v>
      </c>
      <c r="BF174" s="1657">
        <v>-473</v>
      </c>
      <c r="BG174" s="300">
        <f>+COS(($B$132*-1)*3.14159265358979/180)*BF174</f>
        <v>-473</v>
      </c>
      <c r="BH174" s="301">
        <f t="shared" ref="BH174:BH210" si="68">+BG174-D$3</f>
        <v>-689.97787828431274</v>
      </c>
      <c r="BI174" s="302">
        <f t="shared" ref="BI174:BI210" si="69">ABS(BH174)</f>
        <v>689.97787828431274</v>
      </c>
      <c r="BJ174" s="303">
        <f>MIN(BI174:BI210)</f>
        <v>1.977878284312709</v>
      </c>
      <c r="BK174" s="302" t="b">
        <f>IF(BJ174=BI174,BE174)</f>
        <v>0</v>
      </c>
      <c r="BL174" s="304">
        <v>1</v>
      </c>
      <c r="BM174" s="214"/>
      <c r="BN174" s="214"/>
      <c r="BO174" s="214"/>
      <c r="EK174" s="78"/>
      <c r="EL174" s="78"/>
    </row>
    <row r="175" spans="2:142" ht="23" thickBot="1" x14ac:dyDescent="0.35">
      <c r="B175" s="277">
        <v>5</v>
      </c>
      <c r="C175" s="278"/>
      <c r="D175" s="25">
        <v>0</v>
      </c>
      <c r="E175" s="279" t="s">
        <v>80</v>
      </c>
      <c r="F175" s="258"/>
      <c r="G175" s="258"/>
      <c r="H175" s="506">
        <v>472.06</v>
      </c>
      <c r="I175" s="507">
        <v>62.531168700000002</v>
      </c>
      <c r="J175" s="474">
        <f t="shared" si="64"/>
        <v>62.531168700000002</v>
      </c>
      <c r="K175" s="474">
        <f t="shared" si="40"/>
        <v>31.265584350000001</v>
      </c>
      <c r="L175" s="474">
        <f t="shared" si="41"/>
        <v>0.51900577347391186</v>
      </c>
      <c r="M175" s="474">
        <f t="shared" si="42"/>
        <v>245.00186542609484</v>
      </c>
      <c r="N175" s="474">
        <f t="shared" si="43"/>
        <v>490.00373085218968</v>
      </c>
      <c r="O175" s="474">
        <f>+C171+D172+D173+D174+(D175/2)</f>
        <v>0</v>
      </c>
      <c r="P175" s="474">
        <f t="shared" si="44"/>
        <v>0</v>
      </c>
      <c r="Q175" s="474">
        <f t="shared" si="45"/>
        <v>0</v>
      </c>
      <c r="R175" s="474">
        <f t="shared" si="46"/>
        <v>343.49989132317432</v>
      </c>
      <c r="S175" s="474">
        <f t="shared" si="65"/>
        <v>343.49989132317432</v>
      </c>
      <c r="T175" s="476">
        <f t="shared" si="38"/>
        <v>343.49989132317432</v>
      </c>
      <c r="V175" s="437">
        <f t="shared" si="47"/>
        <v>0</v>
      </c>
      <c r="W175" s="437"/>
      <c r="X175" s="437"/>
      <c r="Y175" s="437"/>
      <c r="Z175" s="437"/>
      <c r="AA175" s="437"/>
      <c r="AB175" s="1595"/>
      <c r="AC175" s="514" t="b">
        <f>IF(AD175=5,AF175)</f>
        <v>0</v>
      </c>
      <c r="AD175" s="514">
        <f t="shared" si="48"/>
        <v>1</v>
      </c>
      <c r="AE175" s="514">
        <f>IF(V175=0,0,5)</f>
        <v>0</v>
      </c>
      <c r="AF175" s="437">
        <f>SUM(V175:V182)/($B$168-B174)</f>
        <v>0</v>
      </c>
      <c r="AG175" s="437"/>
      <c r="AH175" s="450">
        <f>SUM(D172:D175)+$C$171</f>
        <v>0</v>
      </c>
      <c r="AI175" s="516" t="b">
        <f t="shared" si="49"/>
        <v>0</v>
      </c>
      <c r="AJ175" s="287">
        <f t="shared" si="50"/>
        <v>54.5017821</v>
      </c>
      <c r="AK175" s="441">
        <f t="shared" si="66"/>
        <v>0.81413357986421619</v>
      </c>
      <c r="AL175" s="289">
        <f t="shared" si="51"/>
        <v>343.49924001631013</v>
      </c>
      <c r="AM175" s="287">
        <f t="shared" si="52"/>
        <v>58.734415599999998</v>
      </c>
      <c r="AN175" s="442">
        <f t="shared" si="53"/>
        <v>0.85477073319485097</v>
      </c>
      <c r="AO175" s="291">
        <f t="shared" si="54"/>
        <v>403.50307231196138</v>
      </c>
      <c r="AP175" s="519">
        <f t="shared" si="39"/>
        <v>-56.467611121601792</v>
      </c>
      <c r="AQ175" s="1639">
        <f t="shared" si="67"/>
        <v>-171</v>
      </c>
      <c r="AR175" s="443">
        <f t="shared" si="55"/>
        <v>-110.69999999999999</v>
      </c>
      <c r="AS175" s="444">
        <f t="shared" si="56"/>
        <v>747.0023123282715</v>
      </c>
      <c r="AT175" s="445">
        <f t="shared" si="57"/>
        <v>-343.49924001631013</v>
      </c>
      <c r="AU175" s="446">
        <f t="shared" si="58"/>
        <v>287.03162889470832</v>
      </c>
      <c r="AV175" s="445"/>
      <c r="AW175" s="447">
        <f t="shared" si="59"/>
        <v>-68.164119194478616</v>
      </c>
      <c r="AX175" s="447">
        <f t="shared" si="60"/>
        <v>-42.53588080552138</v>
      </c>
      <c r="AY175" s="1597">
        <f t="shared" si="61"/>
        <v>-170.17750888710398</v>
      </c>
      <c r="AZ175" s="1597">
        <f t="shared" si="62"/>
        <v>-272.71093910189489</v>
      </c>
      <c r="BA175" s="542">
        <f t="shared" si="63"/>
        <v>170.17750888710398</v>
      </c>
      <c r="BB175" s="542">
        <f t="shared" si="63"/>
        <v>272.71093910189489</v>
      </c>
      <c r="BD175" s="136"/>
      <c r="BE175" s="298">
        <v>2</v>
      </c>
      <c r="BF175" s="1657">
        <f>+BF174+43</f>
        <v>-430</v>
      </c>
      <c r="BG175" s="42">
        <f>+BG174+$E$2</f>
        <v>-430</v>
      </c>
      <c r="BH175" s="301">
        <f t="shared" si="68"/>
        <v>-646.97787828431274</v>
      </c>
      <c r="BI175" s="302">
        <f t="shared" si="69"/>
        <v>646.97787828431274</v>
      </c>
      <c r="BJ175" s="302">
        <f>+BJ174</f>
        <v>1.977878284312709</v>
      </c>
      <c r="BK175" s="302" t="b">
        <f t="shared" ref="BK175:BK210" si="70">IF(BJ175=BI175,BE175)</f>
        <v>0</v>
      </c>
      <c r="BL175" s="304">
        <v>2</v>
      </c>
      <c r="BM175" s="214"/>
      <c r="BN175" s="214"/>
      <c r="BO175" s="214"/>
      <c r="EK175" s="78"/>
      <c r="EL175" s="78"/>
    </row>
    <row r="176" spans="2:142" ht="23" thickBot="1" x14ac:dyDescent="0.35">
      <c r="B176" s="277">
        <v>6</v>
      </c>
      <c r="C176" s="278"/>
      <c r="D176" s="25">
        <v>0</v>
      </c>
      <c r="E176" s="279" t="s">
        <v>80</v>
      </c>
      <c r="F176" s="258"/>
      <c r="G176" s="258"/>
      <c r="H176" s="506">
        <v>472.06</v>
      </c>
      <c r="I176" s="507">
        <v>62.531168700000002</v>
      </c>
      <c r="J176" s="474">
        <f t="shared" si="64"/>
        <v>62.531168700000002</v>
      </c>
      <c r="K176" s="474">
        <f t="shared" si="40"/>
        <v>31.265584350000001</v>
      </c>
      <c r="L176" s="474">
        <f t="shared" si="41"/>
        <v>0.51900577347391186</v>
      </c>
      <c r="M176" s="474">
        <f t="shared" si="42"/>
        <v>245.00186542609484</v>
      </c>
      <c r="N176" s="474">
        <f t="shared" si="43"/>
        <v>490.00373085218968</v>
      </c>
      <c r="O176" s="474">
        <f>+C171+D172+D173+D174+D175+(D176/2)</f>
        <v>0</v>
      </c>
      <c r="P176" s="474">
        <f t="shared" si="44"/>
        <v>0</v>
      </c>
      <c r="Q176" s="474">
        <f t="shared" si="45"/>
        <v>0</v>
      </c>
      <c r="R176" s="474">
        <f t="shared" si="46"/>
        <v>343.49989132317432</v>
      </c>
      <c r="S176" s="474">
        <f t="shared" si="65"/>
        <v>343.49989132317432</v>
      </c>
      <c r="T176" s="476">
        <f t="shared" si="38"/>
        <v>343.49989132317432</v>
      </c>
      <c r="V176" s="437">
        <f t="shared" si="47"/>
        <v>0</v>
      </c>
      <c r="W176" s="437"/>
      <c r="X176" s="437"/>
      <c r="Y176" s="437"/>
      <c r="Z176" s="437"/>
      <c r="AA176" s="437"/>
      <c r="AB176" s="1595"/>
      <c r="AC176" s="514" t="b">
        <f>IF(AD176=6,AF176)</f>
        <v>0</v>
      </c>
      <c r="AD176" s="514">
        <f t="shared" si="48"/>
        <v>1</v>
      </c>
      <c r="AE176" s="514">
        <f>IF(V176=0,0,6)</f>
        <v>0</v>
      </c>
      <c r="AF176" s="437">
        <f>SUM(V176:V182)/($B$168-B175)</f>
        <v>0</v>
      </c>
      <c r="AG176" s="437"/>
      <c r="AH176" s="450">
        <f>SUM(D172:D176)+$C$171</f>
        <v>0</v>
      </c>
      <c r="AI176" s="516" t="b">
        <f t="shared" si="49"/>
        <v>0</v>
      </c>
      <c r="AJ176" s="287">
        <f t="shared" si="50"/>
        <v>54.5017821</v>
      </c>
      <c r="AK176" s="441">
        <f t="shared" si="66"/>
        <v>0.81413357986421619</v>
      </c>
      <c r="AL176" s="289">
        <f t="shared" si="51"/>
        <v>343.49924001631013</v>
      </c>
      <c r="AM176" s="287">
        <f t="shared" si="52"/>
        <v>58.734415599999998</v>
      </c>
      <c r="AN176" s="442">
        <f t="shared" si="53"/>
        <v>0.85477073319485097</v>
      </c>
      <c r="AO176" s="291">
        <f t="shared" si="54"/>
        <v>403.50307231196138</v>
      </c>
      <c r="AP176" s="519">
        <f t="shared" si="39"/>
        <v>-37.274684264527835</v>
      </c>
      <c r="AQ176" s="1639">
        <f t="shared" si="67"/>
        <v>-228</v>
      </c>
      <c r="AR176" s="443">
        <f t="shared" si="55"/>
        <v>-167.7</v>
      </c>
      <c r="AS176" s="444">
        <f t="shared" si="56"/>
        <v>747.0023123282715</v>
      </c>
      <c r="AT176" s="445">
        <f t="shared" si="57"/>
        <v>-343.49924001631013</v>
      </c>
      <c r="AU176" s="446">
        <f t="shared" si="58"/>
        <v>306.2245557517823</v>
      </c>
      <c r="AV176" s="445"/>
      <c r="AW176" s="447">
        <f t="shared" si="59"/>
        <v>-98.953414946584061</v>
      </c>
      <c r="AX176" s="447">
        <f t="shared" si="60"/>
        <v>-68.746585053415927</v>
      </c>
      <c r="AY176" s="1597">
        <f t="shared" si="61"/>
        <v>-117.22687899413864</v>
      </c>
      <c r="AZ176" s="1597">
        <f t="shared" si="62"/>
        <v>-168.73565415630213</v>
      </c>
      <c r="BA176" s="542">
        <f t="shared" si="63"/>
        <v>117.22687899413864</v>
      </c>
      <c r="BB176" s="542">
        <f t="shared" si="63"/>
        <v>168.73565415630213</v>
      </c>
      <c r="BD176" s="136"/>
      <c r="BE176" s="298">
        <v>3</v>
      </c>
      <c r="BF176" s="1657">
        <f t="shared" ref="BF176:BF210" si="71">+BF175+43</f>
        <v>-387</v>
      </c>
      <c r="BG176" s="42">
        <f t="shared" ref="BG176:BG210" si="72">+BG175+$E$2</f>
        <v>-387</v>
      </c>
      <c r="BH176" s="301">
        <f t="shared" si="68"/>
        <v>-603.97787828431274</v>
      </c>
      <c r="BI176" s="302">
        <f t="shared" si="69"/>
        <v>603.97787828431274</v>
      </c>
      <c r="BJ176" s="302">
        <f t="shared" ref="BJ176:BJ210" si="73">+BJ175</f>
        <v>1.977878284312709</v>
      </c>
      <c r="BK176" s="302" t="b">
        <f t="shared" si="70"/>
        <v>0</v>
      </c>
      <c r="BL176" s="304">
        <v>3</v>
      </c>
      <c r="BM176" s="214"/>
      <c r="BN176" s="214"/>
      <c r="BO176" s="214"/>
      <c r="EK176" s="78"/>
      <c r="EL176" s="78"/>
    </row>
    <row r="177" spans="2:142" ht="23" thickBot="1" x14ac:dyDescent="0.35">
      <c r="B177" s="277">
        <v>7</v>
      </c>
      <c r="C177" s="278"/>
      <c r="D177" s="25">
        <v>0</v>
      </c>
      <c r="E177" s="279" t="s">
        <v>80</v>
      </c>
      <c r="F177" s="258"/>
      <c r="G177" s="258"/>
      <c r="H177" s="506">
        <v>472.06</v>
      </c>
      <c r="I177" s="507">
        <v>62.531168700000002</v>
      </c>
      <c r="J177" s="474">
        <f t="shared" si="64"/>
        <v>62.531168700000002</v>
      </c>
      <c r="K177" s="474">
        <f t="shared" si="40"/>
        <v>31.265584350000001</v>
      </c>
      <c r="L177" s="474">
        <f t="shared" si="41"/>
        <v>0.51900577347391186</v>
      </c>
      <c r="M177" s="474">
        <f t="shared" si="42"/>
        <v>245.00186542609484</v>
      </c>
      <c r="N177" s="474">
        <f t="shared" si="43"/>
        <v>490.00373085218968</v>
      </c>
      <c r="O177" s="474">
        <f>+C171+D172+D173+D174+D175+D176+(D177/2)</f>
        <v>0</v>
      </c>
      <c r="P177" s="474">
        <f t="shared" si="44"/>
        <v>0</v>
      </c>
      <c r="Q177" s="474">
        <f t="shared" si="45"/>
        <v>0</v>
      </c>
      <c r="R177" s="474">
        <f t="shared" si="46"/>
        <v>343.49989132317432</v>
      </c>
      <c r="S177" s="474">
        <f t="shared" si="65"/>
        <v>343.49989132317432</v>
      </c>
      <c r="T177" s="476">
        <f t="shared" si="38"/>
        <v>343.49989132317432</v>
      </c>
      <c r="V177" s="437">
        <f t="shared" si="47"/>
        <v>0</v>
      </c>
      <c r="W177" s="437"/>
      <c r="X177" s="437"/>
      <c r="Y177" s="437"/>
      <c r="Z177" s="437"/>
      <c r="AA177" s="437"/>
      <c r="AB177" s="1595"/>
      <c r="AC177" s="514" t="b">
        <f>IF(AD177=7,AF177)</f>
        <v>0</v>
      </c>
      <c r="AD177" s="514">
        <f t="shared" si="48"/>
        <v>1</v>
      </c>
      <c r="AE177" s="514">
        <f>IF(V177=0,0,7)</f>
        <v>0</v>
      </c>
      <c r="AF177" s="437">
        <f>SUM(V177:V182)/($B$168-B176)</f>
        <v>0</v>
      </c>
      <c r="AG177" s="437"/>
      <c r="AH177" s="450">
        <f>SUM(D172:D177)+$C$171</f>
        <v>0</v>
      </c>
      <c r="AI177" s="516" t="b">
        <f t="shared" si="49"/>
        <v>0</v>
      </c>
      <c r="AJ177" s="287">
        <f t="shared" si="50"/>
        <v>54.5017821</v>
      </c>
      <c r="AK177" s="441">
        <f t="shared" si="66"/>
        <v>0.81413357986421619</v>
      </c>
      <c r="AL177" s="289">
        <f t="shared" si="51"/>
        <v>343.49924001631013</v>
      </c>
      <c r="AM177" s="287">
        <f t="shared" si="52"/>
        <v>58.734415599999998</v>
      </c>
      <c r="AN177" s="442">
        <f t="shared" si="53"/>
        <v>0.85477073319485097</v>
      </c>
      <c r="AO177" s="291">
        <f t="shared" si="54"/>
        <v>403.50307231196138</v>
      </c>
      <c r="AP177" s="519">
        <f t="shared" si="39"/>
        <v>-27.819156881002751</v>
      </c>
      <c r="AQ177" s="1639">
        <f t="shared" si="67"/>
        <v>-285</v>
      </c>
      <c r="AR177" s="443">
        <f t="shared" si="55"/>
        <v>-224.7</v>
      </c>
      <c r="AS177" s="444">
        <f t="shared" si="56"/>
        <v>747.0023123282715</v>
      </c>
      <c r="AT177" s="445">
        <f t="shared" si="57"/>
        <v>-343.49924001631013</v>
      </c>
      <c r="AU177" s="446">
        <f t="shared" si="58"/>
        <v>315.68008313530737</v>
      </c>
      <c r="AV177" s="445"/>
      <c r="AW177" s="447">
        <f t="shared" si="59"/>
        <v>-129.74271069868951</v>
      </c>
      <c r="AX177" s="447">
        <f t="shared" si="60"/>
        <v>-94.957289301310468</v>
      </c>
      <c r="AY177" s="1597">
        <f t="shared" si="61"/>
        <v>-89.407720383918019</v>
      </c>
      <c r="AZ177" s="1597">
        <f t="shared" si="62"/>
        <v>-122.16018470358665</v>
      </c>
      <c r="BA177" s="542">
        <f t="shared" si="63"/>
        <v>89.407720383918019</v>
      </c>
      <c r="BB177" s="542">
        <f t="shared" si="63"/>
        <v>122.16018470358665</v>
      </c>
      <c r="BD177" s="136"/>
      <c r="BE177" s="298">
        <v>4</v>
      </c>
      <c r="BF177" s="1657">
        <f t="shared" si="71"/>
        <v>-344</v>
      </c>
      <c r="BG177" s="42">
        <f t="shared" si="72"/>
        <v>-344</v>
      </c>
      <c r="BH177" s="301">
        <f t="shared" si="68"/>
        <v>-560.97787828431274</v>
      </c>
      <c r="BI177" s="302">
        <f t="shared" si="69"/>
        <v>560.97787828431274</v>
      </c>
      <c r="BJ177" s="302">
        <f t="shared" si="73"/>
        <v>1.977878284312709</v>
      </c>
      <c r="BK177" s="302" t="b">
        <f t="shared" si="70"/>
        <v>0</v>
      </c>
      <c r="BL177" s="304">
        <v>4</v>
      </c>
      <c r="EK177" s="78"/>
      <c r="EL177" s="78"/>
    </row>
    <row r="178" spans="2:142" ht="23" thickBot="1" x14ac:dyDescent="0.35">
      <c r="B178" s="277">
        <v>8</v>
      </c>
      <c r="C178" s="278"/>
      <c r="D178" s="25">
        <v>0</v>
      </c>
      <c r="E178" s="279" t="s">
        <v>80</v>
      </c>
      <c r="F178" s="258"/>
      <c r="G178" s="258"/>
      <c r="H178" s="506">
        <v>472.06</v>
      </c>
      <c r="I178" s="507">
        <v>62.531168700000002</v>
      </c>
      <c r="J178" s="474">
        <f t="shared" si="64"/>
        <v>62.531168700000002</v>
      </c>
      <c r="K178" s="474">
        <f t="shared" si="40"/>
        <v>31.265584350000001</v>
      </c>
      <c r="L178" s="474">
        <f t="shared" si="41"/>
        <v>0.51900577347391186</v>
      </c>
      <c r="M178" s="474">
        <f t="shared" si="42"/>
        <v>245.00186542609484</v>
      </c>
      <c r="N178" s="474">
        <f t="shared" si="43"/>
        <v>490.00373085218968</v>
      </c>
      <c r="O178" s="474">
        <f>+C171+D172+D173+D174+D175+D176+D177+(D178/2)</f>
        <v>0</v>
      </c>
      <c r="P178" s="474">
        <f t="shared" si="44"/>
        <v>0</v>
      </c>
      <c r="Q178" s="474">
        <f t="shared" si="45"/>
        <v>0</v>
      </c>
      <c r="R178" s="474">
        <f t="shared" si="46"/>
        <v>343.49989132317432</v>
      </c>
      <c r="S178" s="474">
        <f t="shared" si="65"/>
        <v>343.49989132317432</v>
      </c>
      <c r="T178" s="476">
        <f t="shared" si="38"/>
        <v>343.49989132317432</v>
      </c>
      <c r="V178" s="437">
        <f t="shared" si="47"/>
        <v>0</v>
      </c>
      <c r="W178" s="437"/>
      <c r="X178" s="437"/>
      <c r="Y178" s="437"/>
      <c r="Z178" s="437"/>
      <c r="AA178" s="437"/>
      <c r="AB178" s="1595"/>
      <c r="AC178" s="514" t="b">
        <f>IF(AD178=8,AF178)</f>
        <v>0</v>
      </c>
      <c r="AD178" s="514">
        <f t="shared" si="48"/>
        <v>1</v>
      </c>
      <c r="AE178" s="514">
        <f>IF(V178=0,0,8)</f>
        <v>0</v>
      </c>
      <c r="AF178" s="437">
        <f>SUM(V178:V182)/($B$168-B177)</f>
        <v>0</v>
      </c>
      <c r="AG178" s="437"/>
      <c r="AH178" s="450">
        <f>SUM(D172:D178)+$C$171</f>
        <v>0</v>
      </c>
      <c r="AI178" s="516" t="b">
        <f t="shared" si="49"/>
        <v>0</v>
      </c>
      <c r="AJ178" s="287">
        <f t="shared" si="50"/>
        <v>54.5017821</v>
      </c>
      <c r="AK178" s="441">
        <f t="shared" si="66"/>
        <v>0.81413357986421619</v>
      </c>
      <c r="AL178" s="289">
        <f t="shared" si="51"/>
        <v>343.49924001631013</v>
      </c>
      <c r="AM178" s="287">
        <f t="shared" si="52"/>
        <v>58.734415599999998</v>
      </c>
      <c r="AN178" s="442">
        <f t="shared" si="53"/>
        <v>0.85477073319485097</v>
      </c>
      <c r="AO178" s="291">
        <f t="shared" si="54"/>
        <v>403.50307231196138</v>
      </c>
      <c r="AP178" s="519">
        <f t="shared" si="39"/>
        <v>-22.190147501460128</v>
      </c>
      <c r="AQ178" s="1639">
        <f t="shared" si="67"/>
        <v>-342</v>
      </c>
      <c r="AR178" s="443">
        <f t="shared" si="55"/>
        <v>-281.7</v>
      </c>
      <c r="AS178" s="444">
        <f t="shared" si="56"/>
        <v>747.0023123282715</v>
      </c>
      <c r="AT178" s="445">
        <f t="shared" si="57"/>
        <v>-343.49924001631013</v>
      </c>
      <c r="AU178" s="446">
        <f t="shared" si="58"/>
        <v>321.30909251485002</v>
      </c>
      <c r="AV178" s="445"/>
      <c r="AW178" s="447">
        <f t="shared" si="59"/>
        <v>-160.53200645079497</v>
      </c>
      <c r="AX178" s="447">
        <f t="shared" si="60"/>
        <v>-121.16799354920504</v>
      </c>
      <c r="AY178" s="1597">
        <f t="shared" si="61"/>
        <v>-72.259733472873165</v>
      </c>
      <c r="AZ178" s="1597">
        <f t="shared" si="62"/>
        <v>-95.734852581258295</v>
      </c>
      <c r="BA178" s="542">
        <f t="shared" si="63"/>
        <v>72.259733472873165</v>
      </c>
      <c r="BB178" s="542">
        <f t="shared" si="63"/>
        <v>95.734852581258295</v>
      </c>
      <c r="BD178" s="136"/>
      <c r="BE178" s="298">
        <v>5</v>
      </c>
      <c r="BF178" s="1657">
        <f t="shared" si="71"/>
        <v>-301</v>
      </c>
      <c r="BG178" s="42">
        <f t="shared" si="72"/>
        <v>-301</v>
      </c>
      <c r="BH178" s="301">
        <f t="shared" si="68"/>
        <v>-517.97787828431274</v>
      </c>
      <c r="BI178" s="302">
        <f t="shared" si="69"/>
        <v>517.97787828431274</v>
      </c>
      <c r="BJ178" s="302">
        <f t="shared" si="73"/>
        <v>1.977878284312709</v>
      </c>
      <c r="BK178" s="302" t="b">
        <f t="shared" si="70"/>
        <v>0</v>
      </c>
      <c r="BL178" s="304">
        <v>5</v>
      </c>
      <c r="EK178" s="78"/>
      <c r="EL178" s="78"/>
    </row>
    <row r="179" spans="2:142" ht="23" thickBot="1" x14ac:dyDescent="0.35">
      <c r="B179" s="277">
        <v>9</v>
      </c>
      <c r="C179" s="278"/>
      <c r="D179" s="25">
        <v>0</v>
      </c>
      <c r="E179" s="279" t="s">
        <v>80</v>
      </c>
      <c r="F179" s="258"/>
      <c r="G179" s="258"/>
      <c r="H179" s="506">
        <v>472.06</v>
      </c>
      <c r="I179" s="507">
        <v>62.531168700000002</v>
      </c>
      <c r="J179" s="474">
        <f t="shared" si="64"/>
        <v>62.531168700000002</v>
      </c>
      <c r="K179" s="474">
        <f t="shared" si="40"/>
        <v>31.265584350000001</v>
      </c>
      <c r="L179" s="474">
        <f t="shared" si="41"/>
        <v>0.51900577347391186</v>
      </c>
      <c r="M179" s="474">
        <f t="shared" si="42"/>
        <v>245.00186542609484</v>
      </c>
      <c r="N179" s="474">
        <f t="shared" si="43"/>
        <v>490.00373085218968</v>
      </c>
      <c r="O179" s="474">
        <f>+C171+D172+D173+D174+D175+D176+D177+D178+(D179/2)</f>
        <v>0</v>
      </c>
      <c r="P179" s="474">
        <f t="shared" si="44"/>
        <v>0</v>
      </c>
      <c r="Q179" s="474">
        <f t="shared" si="45"/>
        <v>0</v>
      </c>
      <c r="R179" s="474">
        <f t="shared" si="46"/>
        <v>343.49989132317432</v>
      </c>
      <c r="S179" s="474">
        <f t="shared" si="65"/>
        <v>343.49989132317432</v>
      </c>
      <c r="T179" s="476">
        <f t="shared" si="38"/>
        <v>343.49989132317432</v>
      </c>
      <c r="V179" s="437">
        <f t="shared" si="47"/>
        <v>0</v>
      </c>
      <c r="W179" s="437"/>
      <c r="X179" s="437"/>
      <c r="Y179" s="437"/>
      <c r="Z179" s="437"/>
      <c r="AA179" s="437"/>
      <c r="AB179" s="1595"/>
      <c r="AC179" s="514" t="b">
        <f>IF(AD179=9,AF179)</f>
        <v>0</v>
      </c>
      <c r="AD179" s="514">
        <f t="shared" si="48"/>
        <v>1</v>
      </c>
      <c r="AE179" s="514">
        <f>IF(V179=0,0,9)</f>
        <v>0</v>
      </c>
      <c r="AF179" s="437">
        <f>SUM(V179:V182)/($B$168-B178)</f>
        <v>0</v>
      </c>
      <c r="AG179" s="437"/>
      <c r="AH179" s="450">
        <f>SUM(D172:D179)+$C$171</f>
        <v>0</v>
      </c>
      <c r="AI179" s="516" t="b">
        <f t="shared" si="49"/>
        <v>0</v>
      </c>
      <c r="AJ179" s="287">
        <f t="shared" si="50"/>
        <v>54.5017821</v>
      </c>
      <c r="AK179" s="441">
        <f t="shared" si="66"/>
        <v>0.81413357986421619</v>
      </c>
      <c r="AL179" s="289">
        <f t="shared" si="51"/>
        <v>343.49924001631013</v>
      </c>
      <c r="AM179" s="287">
        <f t="shared" si="52"/>
        <v>58.734415599999998</v>
      </c>
      <c r="AN179" s="442">
        <f t="shared" si="53"/>
        <v>0.85477073319485097</v>
      </c>
      <c r="AO179" s="291">
        <f t="shared" si="54"/>
        <v>403.50307231196138</v>
      </c>
      <c r="AP179" s="519">
        <f t="shared" si="39"/>
        <v>-18.455755982171002</v>
      </c>
      <c r="AQ179" s="1639">
        <f t="shared" si="67"/>
        <v>-399</v>
      </c>
      <c r="AR179" s="443">
        <f t="shared" si="55"/>
        <v>-338.7</v>
      </c>
      <c r="AS179" s="444">
        <f t="shared" si="56"/>
        <v>747.0023123282715</v>
      </c>
      <c r="AT179" s="445">
        <f t="shared" si="57"/>
        <v>-343.49924001631013</v>
      </c>
      <c r="AU179" s="446">
        <f t="shared" si="58"/>
        <v>325.04348403413911</v>
      </c>
      <c r="AV179" s="445"/>
      <c r="AW179" s="447">
        <f t="shared" si="59"/>
        <v>-191.3213022029004</v>
      </c>
      <c r="AX179" s="447">
        <f t="shared" si="60"/>
        <v>-147.37869779709956</v>
      </c>
      <c r="AY179" s="1597">
        <f t="shared" si="61"/>
        <v>-60.630990205669562</v>
      </c>
      <c r="AZ179" s="1597">
        <f t="shared" si="62"/>
        <v>-78.708796952257302</v>
      </c>
      <c r="BA179" s="542">
        <f t="shared" si="63"/>
        <v>60.630990205669562</v>
      </c>
      <c r="BB179" s="542">
        <f t="shared" si="63"/>
        <v>78.708796952257302</v>
      </c>
      <c r="BD179" s="136"/>
      <c r="BE179" s="298">
        <v>6</v>
      </c>
      <c r="BF179" s="1657">
        <f t="shared" si="71"/>
        <v>-258</v>
      </c>
      <c r="BG179" s="42">
        <f t="shared" si="72"/>
        <v>-258</v>
      </c>
      <c r="BH179" s="301">
        <f t="shared" si="68"/>
        <v>-474.97787828431274</v>
      </c>
      <c r="BI179" s="302">
        <f t="shared" si="69"/>
        <v>474.97787828431274</v>
      </c>
      <c r="BJ179" s="302">
        <f t="shared" si="73"/>
        <v>1.977878284312709</v>
      </c>
      <c r="BK179" s="302" t="b">
        <f t="shared" si="70"/>
        <v>0</v>
      </c>
      <c r="BL179" s="304">
        <v>6</v>
      </c>
      <c r="EK179" s="78"/>
      <c r="EL179" s="78"/>
    </row>
    <row r="180" spans="2:142" ht="23" thickBot="1" x14ac:dyDescent="0.35">
      <c r="B180" s="277">
        <v>10</v>
      </c>
      <c r="C180" s="278"/>
      <c r="D180" s="25">
        <v>0</v>
      </c>
      <c r="E180" s="279" t="s">
        <v>80</v>
      </c>
      <c r="F180" s="258"/>
      <c r="G180" s="258"/>
      <c r="H180" s="506">
        <v>472.06</v>
      </c>
      <c r="I180" s="507">
        <v>62.531168700000002</v>
      </c>
      <c r="J180" s="474">
        <f t="shared" si="64"/>
        <v>62.531168700000002</v>
      </c>
      <c r="K180" s="474">
        <f t="shared" si="40"/>
        <v>31.265584350000001</v>
      </c>
      <c r="L180" s="474">
        <f t="shared" si="41"/>
        <v>0.51900577347391186</v>
      </c>
      <c r="M180" s="474">
        <f>+L180*H180</f>
        <v>245.00186542609484</v>
      </c>
      <c r="N180" s="474">
        <f t="shared" si="43"/>
        <v>490.00373085218968</v>
      </c>
      <c r="O180" s="474">
        <f>+C171+D172+D173+D174+D175+D176+D177+D178+D179+(D180/2)</f>
        <v>0</v>
      </c>
      <c r="P180" s="474">
        <f t="shared" si="44"/>
        <v>0</v>
      </c>
      <c r="Q180" s="474">
        <f t="shared" si="45"/>
        <v>0</v>
      </c>
      <c r="R180" s="474">
        <f t="shared" si="46"/>
        <v>343.49989132317432</v>
      </c>
      <c r="S180" s="474">
        <f t="shared" si="65"/>
        <v>343.49989132317432</v>
      </c>
      <c r="T180" s="476">
        <f t="shared" si="38"/>
        <v>343.49989132317432</v>
      </c>
      <c r="V180" s="437">
        <f t="shared" si="47"/>
        <v>0</v>
      </c>
      <c r="W180" s="437"/>
      <c r="X180" s="437"/>
      <c r="Y180" s="437"/>
      <c r="Z180" s="437"/>
      <c r="AA180" s="437"/>
      <c r="AB180" s="1595"/>
      <c r="AC180" s="514" t="b">
        <f>IF(AD180=10,AF180)</f>
        <v>0</v>
      </c>
      <c r="AD180" s="514">
        <f t="shared" si="48"/>
        <v>1</v>
      </c>
      <c r="AE180" s="514">
        <f>IF(V180=0,0,10)</f>
        <v>0</v>
      </c>
      <c r="AF180" s="437">
        <f>SUM(V180:V182)/($B$168-B179)</f>
        <v>0</v>
      </c>
      <c r="AG180" s="437"/>
      <c r="AH180" s="450">
        <f>SUM(D172:D180)+$C$171</f>
        <v>0</v>
      </c>
      <c r="AI180" s="516" t="b">
        <f t="shared" si="49"/>
        <v>0</v>
      </c>
      <c r="AJ180" s="287">
        <f t="shared" si="50"/>
        <v>54.5017821</v>
      </c>
      <c r="AK180" s="441">
        <f t="shared" si="66"/>
        <v>0.81413357986421619</v>
      </c>
      <c r="AL180" s="289">
        <f t="shared" si="51"/>
        <v>343.49924001631013</v>
      </c>
      <c r="AM180" s="287">
        <f t="shared" si="52"/>
        <v>58.734415599999998</v>
      </c>
      <c r="AN180" s="442">
        <f t="shared" si="53"/>
        <v>0.85477073319485097</v>
      </c>
      <c r="AO180" s="291">
        <f t="shared" si="54"/>
        <v>403.50307231196138</v>
      </c>
      <c r="AP180" s="519">
        <f t="shared" si="39"/>
        <v>-15.797231617794587</v>
      </c>
      <c r="AQ180" s="1639">
        <f t="shared" si="67"/>
        <v>-456</v>
      </c>
      <c r="AR180" s="443">
        <f t="shared" si="55"/>
        <v>-395.7</v>
      </c>
      <c r="AS180" s="444">
        <f t="shared" si="56"/>
        <v>747.0023123282715</v>
      </c>
      <c r="AT180" s="445">
        <f t="shared" si="57"/>
        <v>-343.49924001631013</v>
      </c>
      <c r="AU180" s="446">
        <f t="shared" si="58"/>
        <v>327.70200839851555</v>
      </c>
      <c r="AV180" s="445"/>
      <c r="AW180" s="447">
        <f t="shared" si="59"/>
        <v>-222.11059795500589</v>
      </c>
      <c r="AX180" s="447">
        <f t="shared" si="60"/>
        <v>-173.58940204499413</v>
      </c>
      <c r="AY180" s="1597">
        <f t="shared" si="61"/>
        <v>-52.226233717806984</v>
      </c>
      <c r="AZ180" s="1597">
        <f t="shared" si="62"/>
        <v>-66.824355999528677</v>
      </c>
      <c r="BA180" s="542">
        <f t="shared" si="63"/>
        <v>52.226233717806984</v>
      </c>
      <c r="BB180" s="542">
        <f t="shared" si="63"/>
        <v>66.824355999528677</v>
      </c>
      <c r="BD180" s="136"/>
      <c r="BE180" s="298">
        <v>7</v>
      </c>
      <c r="BF180" s="1657">
        <f t="shared" si="71"/>
        <v>-215</v>
      </c>
      <c r="BG180" s="42">
        <f t="shared" si="72"/>
        <v>-215</v>
      </c>
      <c r="BH180" s="301">
        <f t="shared" si="68"/>
        <v>-431.97787828431274</v>
      </c>
      <c r="BI180" s="302">
        <f t="shared" si="69"/>
        <v>431.97787828431274</v>
      </c>
      <c r="BJ180" s="302">
        <f t="shared" si="73"/>
        <v>1.977878284312709</v>
      </c>
      <c r="BK180" s="302" t="b">
        <f t="shared" si="70"/>
        <v>0</v>
      </c>
      <c r="BL180" s="304">
        <v>7</v>
      </c>
      <c r="EK180" s="78"/>
      <c r="EL180" s="78"/>
    </row>
    <row r="181" spans="2:142" ht="23" thickBot="1" x14ac:dyDescent="0.35">
      <c r="B181" s="277">
        <v>11</v>
      </c>
      <c r="C181" s="278"/>
      <c r="D181" s="25">
        <v>0</v>
      </c>
      <c r="E181" s="279" t="s">
        <v>80</v>
      </c>
      <c r="F181" s="258"/>
      <c r="G181" s="258"/>
      <c r="H181" s="506">
        <v>472.06</v>
      </c>
      <c r="I181" s="507">
        <v>62.531168700000002</v>
      </c>
      <c r="J181" s="474">
        <f t="shared" si="64"/>
        <v>62.531168700000002</v>
      </c>
      <c r="K181" s="474">
        <f t="shared" si="40"/>
        <v>31.265584350000001</v>
      </c>
      <c r="L181" s="474">
        <f t="shared" si="41"/>
        <v>0.51900577347391186</v>
      </c>
      <c r="M181" s="474">
        <f t="shared" si="42"/>
        <v>245.00186542609484</v>
      </c>
      <c r="N181" s="474">
        <f t="shared" si="43"/>
        <v>490.00373085218968</v>
      </c>
      <c r="O181" s="474">
        <f>+C171+D172+D173+D174+D175+D176+D177+D178+D179+D180+(D181/2)</f>
        <v>0</v>
      </c>
      <c r="P181" s="474">
        <f t="shared" si="44"/>
        <v>0</v>
      </c>
      <c r="Q181" s="474">
        <f t="shared" si="45"/>
        <v>0</v>
      </c>
      <c r="R181" s="474">
        <f t="shared" si="46"/>
        <v>343.49989132317432</v>
      </c>
      <c r="S181" s="474">
        <f t="shared" si="65"/>
        <v>343.49989132317432</v>
      </c>
      <c r="T181" s="476">
        <f t="shared" si="38"/>
        <v>343.49989132317432</v>
      </c>
      <c r="V181" s="437">
        <f t="shared" si="47"/>
        <v>0</v>
      </c>
      <c r="W181" s="437"/>
      <c r="X181" s="437"/>
      <c r="Y181" s="437"/>
      <c r="Z181" s="437"/>
      <c r="AA181" s="437"/>
      <c r="AB181" s="1595"/>
      <c r="AC181" s="514" t="b">
        <f>IF(AD181=11,AF181)</f>
        <v>0</v>
      </c>
      <c r="AD181" s="514">
        <f t="shared" si="48"/>
        <v>1</v>
      </c>
      <c r="AE181" s="514">
        <f>IF(V181=0,0,11)</f>
        <v>0</v>
      </c>
      <c r="AF181" s="437">
        <f>SUM(V181:V182)/($B$168-B180)</f>
        <v>0</v>
      </c>
      <c r="AG181" s="437"/>
      <c r="AH181" s="450">
        <f>SUM(D172:D181)+$C$171</f>
        <v>0</v>
      </c>
      <c r="AI181" s="516" t="b">
        <f t="shared" si="49"/>
        <v>0</v>
      </c>
      <c r="AJ181" s="287">
        <f t="shared" si="50"/>
        <v>54.5017821</v>
      </c>
      <c r="AK181" s="441">
        <f t="shared" si="66"/>
        <v>0.81413357986421619</v>
      </c>
      <c r="AL181" s="289">
        <f t="shared" si="51"/>
        <v>343.49924001631013</v>
      </c>
      <c r="AM181" s="287">
        <f t="shared" si="52"/>
        <v>58.734415599999998</v>
      </c>
      <c r="AN181" s="442">
        <f t="shared" si="53"/>
        <v>0.85477073319485097</v>
      </c>
      <c r="AO181" s="291">
        <f t="shared" si="54"/>
        <v>403.50307231196138</v>
      </c>
      <c r="AP181" s="519">
        <f t="shared" si="39"/>
        <v>-13.80818323649507</v>
      </c>
      <c r="AQ181" s="1639">
        <f t="shared" si="67"/>
        <v>-513</v>
      </c>
      <c r="AR181" s="443">
        <f t="shared" si="55"/>
        <v>-452.7</v>
      </c>
      <c r="AS181" s="444">
        <f t="shared" si="56"/>
        <v>747.0023123282715</v>
      </c>
      <c r="AT181" s="445">
        <f t="shared" si="57"/>
        <v>-343.49924001631013</v>
      </c>
      <c r="AU181" s="446">
        <f t="shared" si="58"/>
        <v>329.69105677981503</v>
      </c>
      <c r="AV181" s="445"/>
      <c r="AW181" s="447">
        <f t="shared" si="59"/>
        <v>-252.89989370711135</v>
      </c>
      <c r="AX181" s="447">
        <f t="shared" si="60"/>
        <v>-199.80010629288867</v>
      </c>
      <c r="AY181" s="1597">
        <f t="shared" si="61"/>
        <v>-45.867951267050366</v>
      </c>
      <c r="AZ181" s="1597">
        <f t="shared" si="62"/>
        <v>-58.058027171394301</v>
      </c>
      <c r="BA181" s="542">
        <f t="shared" si="63"/>
        <v>45.867951267050366</v>
      </c>
      <c r="BB181" s="542">
        <f t="shared" si="63"/>
        <v>58.058027171394301</v>
      </c>
      <c r="BD181" s="136"/>
      <c r="BE181" s="298">
        <v>8</v>
      </c>
      <c r="BF181" s="1657">
        <f t="shared" si="71"/>
        <v>-172</v>
      </c>
      <c r="BG181" s="42">
        <f t="shared" si="72"/>
        <v>-172</v>
      </c>
      <c r="BH181" s="301">
        <f t="shared" si="68"/>
        <v>-388.97787828431274</v>
      </c>
      <c r="BI181" s="302">
        <f t="shared" si="69"/>
        <v>388.97787828431274</v>
      </c>
      <c r="BJ181" s="302">
        <f t="shared" si="73"/>
        <v>1.977878284312709</v>
      </c>
      <c r="BK181" s="302" t="b">
        <f t="shared" si="70"/>
        <v>0</v>
      </c>
      <c r="BL181" s="304">
        <v>8</v>
      </c>
      <c r="EK181" s="78"/>
      <c r="EL181" s="78"/>
    </row>
    <row r="182" spans="2:142" ht="23" thickBot="1" x14ac:dyDescent="0.35">
      <c r="B182" s="277">
        <v>12</v>
      </c>
      <c r="C182" s="278"/>
      <c r="D182" s="25">
        <v>0</v>
      </c>
      <c r="E182" s="279" t="s">
        <v>80</v>
      </c>
      <c r="F182" s="258"/>
      <c r="G182" s="258"/>
      <c r="H182" s="506">
        <v>472.06</v>
      </c>
      <c r="I182" s="507">
        <v>62.531168700000002</v>
      </c>
      <c r="J182" s="474">
        <f t="shared" si="64"/>
        <v>62.531168700000002</v>
      </c>
      <c r="K182" s="474">
        <f t="shared" si="40"/>
        <v>31.265584350000001</v>
      </c>
      <c r="L182" s="474">
        <f t="shared" si="41"/>
        <v>0.51900577347391186</v>
      </c>
      <c r="M182" s="474">
        <f t="shared" si="42"/>
        <v>245.00186542609484</v>
      </c>
      <c r="N182" s="474">
        <f t="shared" si="43"/>
        <v>490.00373085218968</v>
      </c>
      <c r="O182" s="474">
        <f>+C171+D172+D173+D174+D175+D176+D177+D178+D179+D180+D181+(D182/2)</f>
        <v>0</v>
      </c>
      <c r="P182" s="474">
        <f t="shared" si="44"/>
        <v>0</v>
      </c>
      <c r="Q182" s="474">
        <f t="shared" si="45"/>
        <v>0</v>
      </c>
      <c r="R182" s="474">
        <f t="shared" si="46"/>
        <v>343.49989132317432</v>
      </c>
      <c r="S182" s="474">
        <f t="shared" si="65"/>
        <v>343.49989132317432</v>
      </c>
      <c r="T182" s="476">
        <f t="shared" si="38"/>
        <v>343.49989132317432</v>
      </c>
      <c r="V182" s="437">
        <f t="shared" si="47"/>
        <v>0</v>
      </c>
      <c r="W182" s="437"/>
      <c r="X182" s="437"/>
      <c r="Y182" s="437"/>
      <c r="Z182" s="437"/>
      <c r="AA182" s="437"/>
      <c r="AB182" s="1595"/>
      <c r="AC182" s="514" t="b">
        <f>IF(AD182=12,AF182)</f>
        <v>0</v>
      </c>
      <c r="AD182" s="514">
        <f t="shared" si="48"/>
        <v>1</v>
      </c>
      <c r="AE182" s="514">
        <f>IF(V182=0,0,12)</f>
        <v>0</v>
      </c>
      <c r="AF182" s="437">
        <f>SUM(V182)/($B$168-B181)</f>
        <v>0</v>
      </c>
      <c r="AG182" s="437"/>
      <c r="AH182" s="450">
        <f>SUM(D172:D182)+$C$171</f>
        <v>0</v>
      </c>
      <c r="AI182" s="516" t="b">
        <f t="shared" si="49"/>
        <v>0</v>
      </c>
      <c r="AJ182" s="287">
        <f t="shared" si="50"/>
        <v>54.5017821</v>
      </c>
      <c r="AK182" s="441">
        <f t="shared" si="66"/>
        <v>0.81413357986421619</v>
      </c>
      <c r="AL182" s="289">
        <f t="shared" si="51"/>
        <v>343.49924001631013</v>
      </c>
      <c r="AM182" s="287">
        <f t="shared" si="52"/>
        <v>58.734415599999998</v>
      </c>
      <c r="AN182" s="442">
        <f t="shared" si="53"/>
        <v>0.85477073319485097</v>
      </c>
      <c r="AO182" s="291">
        <f t="shared" si="54"/>
        <v>403.50307231196138</v>
      </c>
      <c r="AP182" s="519">
        <f t="shared" si="39"/>
        <v>-12.264007359547415</v>
      </c>
      <c r="AQ182" s="1639">
        <f t="shared" si="67"/>
        <v>-570</v>
      </c>
      <c r="AR182" s="443">
        <f t="shared" si="55"/>
        <v>-509.70000000000005</v>
      </c>
      <c r="AS182" s="444">
        <f t="shared" si="56"/>
        <v>747.0023123282715</v>
      </c>
      <c r="AT182" s="445">
        <f t="shared" si="57"/>
        <v>-343.49924001631013</v>
      </c>
      <c r="AU182" s="446">
        <f t="shared" si="58"/>
        <v>331.23523265676272</v>
      </c>
      <c r="AV182" s="445"/>
      <c r="AW182" s="447">
        <f t="shared" si="59"/>
        <v>-283.68918945921678</v>
      </c>
      <c r="AX182" s="447">
        <f t="shared" si="60"/>
        <v>-226.01081054078324</v>
      </c>
      <c r="AY182" s="1597">
        <f t="shared" si="61"/>
        <v>-40.889820377408562</v>
      </c>
      <c r="AZ182" s="1597">
        <f t="shared" si="62"/>
        <v>-51.324978536399705</v>
      </c>
      <c r="BA182" s="542">
        <f t="shared" si="63"/>
        <v>40.889820377408562</v>
      </c>
      <c r="BB182" s="542">
        <f t="shared" si="63"/>
        <v>51.324978536399705</v>
      </c>
      <c r="BD182" s="136"/>
      <c r="BE182" s="298">
        <v>9</v>
      </c>
      <c r="BF182" s="1657">
        <f t="shared" si="71"/>
        <v>-129</v>
      </c>
      <c r="BG182" s="42">
        <f t="shared" si="72"/>
        <v>-129</v>
      </c>
      <c r="BH182" s="301">
        <f t="shared" si="68"/>
        <v>-345.97787828431274</v>
      </c>
      <c r="BI182" s="302">
        <f t="shared" si="69"/>
        <v>345.97787828431274</v>
      </c>
      <c r="BJ182" s="302">
        <f t="shared" si="73"/>
        <v>1.977878284312709</v>
      </c>
      <c r="BK182" s="302" t="b">
        <f t="shared" si="70"/>
        <v>0</v>
      </c>
      <c r="BL182" s="304">
        <v>9</v>
      </c>
      <c r="EK182" s="78"/>
      <c r="EL182" s="78"/>
    </row>
    <row r="183" spans="2:142" ht="45" hidden="1" thickBot="1" x14ac:dyDescent="0.35">
      <c r="U183" s="276"/>
      <c r="AH183" s="554" t="s">
        <v>79</v>
      </c>
      <c r="AI183" s="555">
        <f>MAX(AI171:AI182)</f>
        <v>0</v>
      </c>
      <c r="BD183" s="136"/>
      <c r="BE183" s="298">
        <v>10</v>
      </c>
      <c r="BF183" s="1657">
        <f t="shared" si="71"/>
        <v>-86</v>
      </c>
      <c r="BG183" s="42">
        <f t="shared" si="72"/>
        <v>-86</v>
      </c>
      <c r="BH183" s="301">
        <f t="shared" si="68"/>
        <v>-302.97787828431274</v>
      </c>
      <c r="BI183" s="302">
        <f t="shared" si="69"/>
        <v>302.97787828431274</v>
      </c>
      <c r="BJ183" s="302">
        <f t="shared" si="73"/>
        <v>1.977878284312709</v>
      </c>
      <c r="BK183" s="302" t="b">
        <f t="shared" si="70"/>
        <v>0</v>
      </c>
      <c r="BL183" s="304">
        <v>10</v>
      </c>
      <c r="EK183" s="78"/>
      <c r="EL183" s="78"/>
    </row>
    <row r="184" spans="2:142" ht="27" hidden="1" thickBot="1" x14ac:dyDescent="0.35">
      <c r="B184" s="350"/>
      <c r="U184" s="276"/>
      <c r="AL184" s="845" t="s">
        <v>201</v>
      </c>
      <c r="AM184" s="846"/>
      <c r="AN184" s="846"/>
      <c r="AO184" s="846"/>
      <c r="AP184" s="847"/>
      <c r="BE184" s="298">
        <v>11</v>
      </c>
      <c r="BF184" s="1657">
        <f t="shared" si="71"/>
        <v>-43</v>
      </c>
      <c r="BG184" s="42">
        <f t="shared" si="72"/>
        <v>-43</v>
      </c>
      <c r="BH184" s="301">
        <f t="shared" si="68"/>
        <v>-259.97787828431274</v>
      </c>
      <c r="BI184" s="302">
        <f t="shared" si="69"/>
        <v>259.97787828431274</v>
      </c>
      <c r="BJ184" s="302">
        <f t="shared" si="73"/>
        <v>1.977878284312709</v>
      </c>
      <c r="BK184" s="302" t="b">
        <f t="shared" si="70"/>
        <v>0</v>
      </c>
      <c r="BL184" s="304">
        <v>11</v>
      </c>
    </row>
    <row r="185" spans="2:142" ht="98" hidden="1" thickBot="1" x14ac:dyDescent="0.35">
      <c r="B185" s="350"/>
      <c r="AB185" s="415"/>
      <c r="AC185" s="415"/>
      <c r="AD185" s="415"/>
      <c r="AE185" s="415"/>
      <c r="AH185" s="546" t="s">
        <v>79</v>
      </c>
      <c r="AI185" s="547">
        <f>MAX(AI171:AI183)</f>
        <v>0</v>
      </c>
      <c r="AL185" s="814" t="s">
        <v>175</v>
      </c>
      <c r="AM185" s="815" t="s">
        <v>176</v>
      </c>
      <c r="AN185" s="815" t="s">
        <v>177</v>
      </c>
      <c r="AO185" s="816" t="s">
        <v>181</v>
      </c>
      <c r="AP185" s="817"/>
      <c r="BE185" s="298">
        <v>12</v>
      </c>
      <c r="BF185" s="1657">
        <f t="shared" si="71"/>
        <v>0</v>
      </c>
      <c r="BG185" s="42">
        <f t="shared" si="72"/>
        <v>0</v>
      </c>
      <c r="BH185" s="301">
        <f t="shared" si="68"/>
        <v>-216.97787828431271</v>
      </c>
      <c r="BI185" s="302">
        <f t="shared" si="69"/>
        <v>216.97787828431271</v>
      </c>
      <c r="BJ185" s="302">
        <f t="shared" si="73"/>
        <v>1.977878284312709</v>
      </c>
      <c r="BK185" s="302" t="b">
        <f t="shared" si="70"/>
        <v>0</v>
      </c>
      <c r="BL185" s="304">
        <v>12</v>
      </c>
    </row>
    <row r="186" spans="2:142" ht="25" hidden="1" thickBot="1" x14ac:dyDescent="0.35">
      <c r="B186" s="350"/>
      <c r="AB186" s="415"/>
      <c r="AC186" s="415"/>
      <c r="AD186" s="415"/>
      <c r="AE186" s="415"/>
      <c r="AH186" s="853"/>
      <c r="AI186" s="854"/>
      <c r="AL186" s="818">
        <v>6.8623010000000004</v>
      </c>
      <c r="AM186" s="819">
        <f>+(AI185*-1)-AL186</f>
        <v>-6.8623010000000004</v>
      </c>
      <c r="AN186" s="820">
        <f>COS(AM186*3.14159265358979/180)</f>
        <v>0.99283617366519983</v>
      </c>
      <c r="AO186" s="848">
        <f>+AN186*378.71303</f>
        <v>375.99999562235405</v>
      </c>
      <c r="AP186" s="821"/>
      <c r="BE186" s="298">
        <v>13</v>
      </c>
      <c r="BF186" s="1657">
        <f t="shared" si="71"/>
        <v>43</v>
      </c>
      <c r="BG186" s="42">
        <f t="shared" si="72"/>
        <v>43</v>
      </c>
      <c r="BH186" s="301">
        <f t="shared" si="68"/>
        <v>-173.97787828431271</v>
      </c>
      <c r="BI186" s="302">
        <f t="shared" si="69"/>
        <v>173.97787828431271</v>
      </c>
      <c r="BJ186" s="302">
        <f t="shared" si="73"/>
        <v>1.977878284312709</v>
      </c>
      <c r="BK186" s="302" t="b">
        <f t="shared" si="70"/>
        <v>0</v>
      </c>
      <c r="BL186" s="304">
        <v>13</v>
      </c>
    </row>
    <row r="187" spans="2:142" ht="27" hidden="1" thickBot="1" x14ac:dyDescent="0.35">
      <c r="B187" s="350"/>
      <c r="AB187" s="415"/>
      <c r="AC187" s="415"/>
      <c r="AD187" s="415"/>
      <c r="AE187" s="415"/>
      <c r="AH187" s="853"/>
      <c r="AI187" s="854"/>
      <c r="AL187" s="844" t="s">
        <v>202</v>
      </c>
      <c r="AM187" s="849"/>
      <c r="AN187" s="849"/>
      <c r="AO187" s="849"/>
      <c r="AP187" s="850"/>
      <c r="BE187" s="298">
        <v>14</v>
      </c>
      <c r="BF187" s="1657">
        <f t="shared" si="71"/>
        <v>86</v>
      </c>
      <c r="BG187" s="42">
        <f t="shared" si="72"/>
        <v>86</v>
      </c>
      <c r="BH187" s="301">
        <f t="shared" si="68"/>
        <v>-130.97787828431271</v>
      </c>
      <c r="BI187" s="302">
        <f t="shared" si="69"/>
        <v>130.97787828431271</v>
      </c>
      <c r="BJ187" s="302">
        <f t="shared" si="73"/>
        <v>1.977878284312709</v>
      </c>
      <c r="BK187" s="302" t="b">
        <f t="shared" si="70"/>
        <v>0</v>
      </c>
      <c r="BL187" s="304">
        <v>14</v>
      </c>
    </row>
    <row r="188" spans="2:142" ht="217" hidden="1" x14ac:dyDescent="0.3">
      <c r="B188" s="350"/>
      <c r="AB188" s="415"/>
      <c r="AC188" s="415"/>
      <c r="AD188" s="415"/>
      <c r="AE188" s="415"/>
      <c r="AH188" s="853"/>
      <c r="AI188" s="854"/>
      <c r="AL188" s="851"/>
      <c r="AM188" s="815" t="s">
        <v>194</v>
      </c>
      <c r="AN188" s="815" t="s">
        <v>193</v>
      </c>
      <c r="AO188" s="816" t="s">
        <v>203</v>
      </c>
      <c r="AP188" s="843" t="s">
        <v>191</v>
      </c>
      <c r="BE188" s="298">
        <v>15</v>
      </c>
      <c r="BF188" s="1657">
        <f t="shared" si="71"/>
        <v>129</v>
      </c>
      <c r="BG188" s="42">
        <f t="shared" si="72"/>
        <v>129</v>
      </c>
      <c r="BH188" s="301">
        <f t="shared" si="68"/>
        <v>-87.977878284312709</v>
      </c>
      <c r="BI188" s="302">
        <f t="shared" si="69"/>
        <v>87.977878284312709</v>
      </c>
      <c r="BJ188" s="302">
        <f t="shared" si="73"/>
        <v>1.977878284312709</v>
      </c>
      <c r="BK188" s="302" t="b">
        <f t="shared" si="70"/>
        <v>0</v>
      </c>
      <c r="BL188" s="304">
        <v>15</v>
      </c>
    </row>
    <row r="189" spans="2:142" ht="25" hidden="1" thickBot="1" x14ac:dyDescent="0.35">
      <c r="V189" s="73"/>
      <c r="W189" s="73"/>
      <c r="X189" s="73"/>
      <c r="Y189" s="73"/>
      <c r="Z189" s="73"/>
      <c r="AA189" s="73"/>
      <c r="AB189" s="73"/>
      <c r="AC189" s="73"/>
      <c r="AD189" s="73"/>
      <c r="AE189" s="73"/>
      <c r="AF189" s="73"/>
      <c r="AG189" s="73"/>
      <c r="AH189" s="73"/>
      <c r="AI189" s="73"/>
      <c r="AJ189" s="73"/>
      <c r="AK189" s="73"/>
      <c r="AL189" s="852"/>
      <c r="AM189" s="822">
        <f>+AI185</f>
        <v>0</v>
      </c>
      <c r="AN189" s="823">
        <f>SIN(AM189*3.14159265358979/180)</f>
        <v>0</v>
      </c>
      <c r="AO189" s="824">
        <f>+AN189*((+B135*358.6)+(B168*491.5)+119+119+119)</f>
        <v>0</v>
      </c>
      <c r="AP189" s="825">
        <f>+AO186+AO189</f>
        <v>375.99999562235405</v>
      </c>
      <c r="AQ189" s="73"/>
      <c r="AR189" s="73"/>
      <c r="AS189" s="73"/>
      <c r="AT189" s="73">
        <f>+AS171-AP171</f>
        <v>526.79380118946278</v>
      </c>
      <c r="AU189" s="73"/>
      <c r="AV189" s="73"/>
      <c r="AW189" s="73"/>
      <c r="AX189" s="73"/>
      <c r="AY189" s="73"/>
      <c r="AZ189" s="73"/>
      <c r="BA189" s="73"/>
      <c r="BB189" s="73"/>
      <c r="BC189" s="126"/>
      <c r="BE189" s="298">
        <v>16</v>
      </c>
      <c r="BF189" s="1657">
        <f t="shared" si="71"/>
        <v>172</v>
      </c>
      <c r="BG189" s="42">
        <f t="shared" si="72"/>
        <v>172</v>
      </c>
      <c r="BH189" s="301">
        <f t="shared" si="68"/>
        <v>-44.977878284312709</v>
      </c>
      <c r="BI189" s="302">
        <f t="shared" si="69"/>
        <v>44.977878284312709</v>
      </c>
      <c r="BJ189" s="302">
        <f t="shared" si="73"/>
        <v>1.977878284312709</v>
      </c>
      <c r="BK189" s="302" t="b">
        <f t="shared" si="70"/>
        <v>0</v>
      </c>
      <c r="BL189" s="304">
        <v>16</v>
      </c>
    </row>
    <row r="190" spans="2:142" ht="21" thickBot="1" x14ac:dyDescent="0.35">
      <c r="V190" s="73"/>
      <c r="W190" s="73"/>
      <c r="X190" s="73"/>
      <c r="Y190" s="73"/>
      <c r="Z190" s="73"/>
      <c r="AA190" s="73"/>
      <c r="AB190" s="73"/>
      <c r="AC190" s="73"/>
      <c r="AD190" s="73"/>
      <c r="AE190" s="73"/>
      <c r="AF190" s="73"/>
      <c r="AG190" s="73"/>
      <c r="AH190" s="73"/>
      <c r="AI190" s="73"/>
      <c r="AJ190" s="73"/>
      <c r="AK190" s="73"/>
      <c r="AL190" s="73"/>
      <c r="AM190" s="73"/>
      <c r="AN190" s="73"/>
      <c r="AO190" s="73"/>
      <c r="AP190" s="73"/>
      <c r="AQ190" s="73"/>
      <c r="AR190" s="73"/>
      <c r="AS190" s="73"/>
      <c r="AT190" s="73"/>
      <c r="AU190" s="73"/>
      <c r="AV190" s="73"/>
      <c r="AW190" s="73"/>
      <c r="AX190" s="73"/>
      <c r="AY190" s="73"/>
      <c r="AZ190" s="73"/>
      <c r="BA190" s="73"/>
      <c r="BB190" s="73"/>
      <c r="BC190" s="126"/>
      <c r="BE190" s="298">
        <v>17</v>
      </c>
      <c r="BF190" s="1657">
        <f t="shared" si="71"/>
        <v>215</v>
      </c>
      <c r="BG190" s="42">
        <f t="shared" si="72"/>
        <v>215</v>
      </c>
      <c r="BH190" s="301">
        <f t="shared" si="68"/>
        <v>-1.977878284312709</v>
      </c>
      <c r="BI190" s="302">
        <f t="shared" si="69"/>
        <v>1.977878284312709</v>
      </c>
      <c r="BJ190" s="302">
        <f t="shared" si="73"/>
        <v>1.977878284312709</v>
      </c>
      <c r="BK190" s="302">
        <f t="shared" si="70"/>
        <v>17</v>
      </c>
      <c r="BL190" s="304">
        <v>17</v>
      </c>
    </row>
    <row r="191" spans="2:142" ht="63" customHeight="1" thickBot="1" x14ac:dyDescent="0.35">
      <c r="B191" s="345" t="s">
        <v>288</v>
      </c>
      <c r="C191" s="454"/>
      <c r="D191" s="455"/>
      <c r="E191" s="37"/>
      <c r="F191" s="37"/>
      <c r="G191" s="37"/>
      <c r="H191" s="456"/>
      <c r="I191" s="456"/>
      <c r="J191" s="456"/>
      <c r="K191" s="456"/>
      <c r="L191" s="456"/>
      <c r="M191" s="456"/>
      <c r="N191" s="456"/>
      <c r="O191" s="456"/>
      <c r="P191" s="456"/>
      <c r="Q191" s="456"/>
      <c r="R191" s="456"/>
      <c r="S191" s="457" t="s">
        <v>66</v>
      </c>
      <c r="T191" s="457">
        <f>SUM(V195:V214)/B192</f>
        <v>213.34350003963542</v>
      </c>
      <c r="U191" s="212"/>
      <c r="V191" s="73"/>
      <c r="W191" s="73"/>
      <c r="X191" s="73"/>
      <c r="Y191" s="73"/>
      <c r="Z191" s="73"/>
      <c r="AA191" s="73"/>
      <c r="AB191" s="73"/>
      <c r="AC191" s="73"/>
      <c r="AD191" s="73"/>
      <c r="AE191" s="73"/>
      <c r="AF191" s="73"/>
      <c r="AG191" s="73"/>
      <c r="AH191" s="73"/>
      <c r="AI191" s="73"/>
      <c r="AJ191" s="73"/>
      <c r="AK191" s="73"/>
      <c r="AL191" s="73"/>
      <c r="AM191" s="73"/>
      <c r="AN191" s="73"/>
      <c r="AO191" s="73"/>
      <c r="AP191" s="73"/>
      <c r="AQ191" s="73"/>
      <c r="AR191" s="73"/>
      <c r="AS191" s="73"/>
      <c r="AT191" s="73"/>
      <c r="AU191" s="73"/>
      <c r="AV191" s="73"/>
      <c r="AW191" s="73"/>
      <c r="AX191" s="73"/>
      <c r="AY191" s="73"/>
      <c r="AZ191" s="73"/>
      <c r="BA191" s="73"/>
      <c r="BB191" s="73"/>
      <c r="BC191" s="126"/>
      <c r="BE191" s="298">
        <v>18</v>
      </c>
      <c r="BF191" s="1657">
        <f t="shared" si="71"/>
        <v>258</v>
      </c>
      <c r="BG191" s="42">
        <f t="shared" si="72"/>
        <v>258</v>
      </c>
      <c r="BH191" s="301">
        <f t="shared" si="68"/>
        <v>41.022121715687291</v>
      </c>
      <c r="BI191" s="302">
        <f t="shared" si="69"/>
        <v>41.022121715687291</v>
      </c>
      <c r="BJ191" s="302">
        <f t="shared" si="73"/>
        <v>1.977878284312709</v>
      </c>
      <c r="BK191" s="302" t="b">
        <f t="shared" si="70"/>
        <v>0</v>
      </c>
      <c r="BL191" s="304">
        <v>18</v>
      </c>
    </row>
    <row r="192" spans="2:142" ht="42.75" customHeight="1" thickBot="1" x14ac:dyDescent="0.35">
      <c r="B192" s="27">
        <v>1</v>
      </c>
      <c r="C192" s="216"/>
      <c r="D192" s="549" t="s">
        <v>290</v>
      </c>
      <c r="E192" s="330"/>
      <c r="F192" s="330"/>
      <c r="G192" s="330"/>
      <c r="H192" s="1676" t="s">
        <v>291</v>
      </c>
      <c r="I192" s="1676" t="s">
        <v>292</v>
      </c>
      <c r="J192" s="1623"/>
      <c r="K192" s="1623"/>
      <c r="L192" s="1623"/>
      <c r="M192" s="1623"/>
      <c r="N192" s="1623"/>
      <c r="O192" s="1623"/>
      <c r="P192" s="1623"/>
      <c r="Q192" s="1623"/>
      <c r="R192" s="1623"/>
      <c r="S192" s="1624"/>
      <c r="T192" s="1625"/>
      <c r="U192" s="401"/>
      <c r="V192" s="1585"/>
      <c r="W192" s="1585"/>
      <c r="X192" s="1585"/>
      <c r="Y192" s="1585"/>
      <c r="Z192" s="1585"/>
      <c r="AA192" s="1585"/>
      <c r="AC192" s="1585"/>
      <c r="AD192" s="1585"/>
      <c r="AE192" s="1585"/>
      <c r="AF192" s="1585"/>
      <c r="AG192" s="1585"/>
      <c r="AH192" s="1585"/>
      <c r="AI192" s="1585"/>
      <c r="AJ192" s="1585"/>
      <c r="AK192" s="1585"/>
      <c r="AL192" s="1585"/>
      <c r="AM192" s="1585"/>
      <c r="AN192" s="1585"/>
      <c r="AO192" s="1585"/>
      <c r="AP192" s="1585"/>
      <c r="AQ192" s="1585"/>
      <c r="AR192" s="1585"/>
      <c r="AS192" s="1585"/>
      <c r="AT192" s="1585"/>
      <c r="AU192" s="1585"/>
      <c r="AV192" s="1585"/>
      <c r="AW192" s="1585"/>
      <c r="AX192" s="1585"/>
      <c r="AY192" s="1585"/>
      <c r="AZ192" s="1585"/>
      <c r="BA192" s="1848" t="s">
        <v>52</v>
      </c>
      <c r="BB192" s="1849"/>
      <c r="BC192" s="218"/>
      <c r="BE192" s="298">
        <v>19</v>
      </c>
      <c r="BF192" s="1657">
        <f t="shared" si="71"/>
        <v>301</v>
      </c>
      <c r="BG192" s="42">
        <f t="shared" si="72"/>
        <v>301</v>
      </c>
      <c r="BH192" s="301">
        <f t="shared" si="68"/>
        <v>84.022121715687291</v>
      </c>
      <c r="BI192" s="302">
        <f t="shared" si="69"/>
        <v>84.022121715687291</v>
      </c>
      <c r="BJ192" s="302">
        <f t="shared" si="73"/>
        <v>1.977878284312709</v>
      </c>
      <c r="BK192" s="302" t="b">
        <f t="shared" si="70"/>
        <v>0</v>
      </c>
      <c r="BL192" s="304">
        <v>19</v>
      </c>
      <c r="BP192" s="305"/>
      <c r="BQ192" s="305"/>
      <c r="BR192" s="305"/>
      <c r="BS192" s="305"/>
      <c r="BT192" s="305"/>
      <c r="BU192" s="305"/>
      <c r="BV192" s="1818"/>
      <c r="BW192" s="1818"/>
      <c r="BX192" s="1818"/>
      <c r="BY192" s="126"/>
    </row>
    <row r="193" spans="1:109" ht="46" hidden="1" thickBot="1" x14ac:dyDescent="0.35">
      <c r="C193" s="416"/>
      <c r="D193" s="354" t="s">
        <v>13</v>
      </c>
      <c r="H193" s="1626" t="s">
        <v>4</v>
      </c>
      <c r="I193" s="1627" t="s">
        <v>1</v>
      </c>
      <c r="J193" s="456" t="s">
        <v>0</v>
      </c>
      <c r="K193" s="456" t="s">
        <v>2</v>
      </c>
      <c r="L193" s="456" t="s">
        <v>3</v>
      </c>
      <c r="M193" s="456" t="s">
        <v>8</v>
      </c>
      <c r="N193" s="456" t="s">
        <v>5</v>
      </c>
      <c r="O193" s="456" t="s">
        <v>6</v>
      </c>
      <c r="P193" s="456" t="s">
        <v>7</v>
      </c>
      <c r="Q193" s="456" t="s">
        <v>9</v>
      </c>
      <c r="R193" s="1628" t="s">
        <v>10</v>
      </c>
      <c r="S193" s="456" t="s">
        <v>11</v>
      </c>
      <c r="T193" s="467" t="s">
        <v>12</v>
      </c>
      <c r="V193" s="420"/>
      <c r="W193" s="420"/>
      <c r="X193" s="420"/>
      <c r="Y193" s="420"/>
      <c r="Z193" s="420"/>
      <c r="AA193" s="420"/>
      <c r="AB193" s="1677" t="s">
        <v>320</v>
      </c>
      <c r="AC193" s="420"/>
      <c r="AD193" s="420"/>
      <c r="AE193" s="420"/>
      <c r="AF193" s="420"/>
      <c r="AG193" s="420"/>
      <c r="AH193" s="420"/>
      <c r="AI193" s="420"/>
      <c r="AJ193" s="1589" t="s">
        <v>295</v>
      </c>
      <c r="AK193" s="420"/>
      <c r="AL193" s="1589" t="s">
        <v>296</v>
      </c>
      <c r="AM193" s="1589" t="s">
        <v>297</v>
      </c>
      <c r="AN193" s="420"/>
      <c r="AO193" s="1589" t="s">
        <v>298</v>
      </c>
      <c r="AP193" s="420"/>
      <c r="AQ193" s="1589" t="s">
        <v>321</v>
      </c>
      <c r="AR193" s="420"/>
      <c r="AS193" s="420"/>
      <c r="AT193" s="420"/>
      <c r="AU193" s="420"/>
      <c r="AV193" s="420"/>
      <c r="AW193" s="420"/>
      <c r="AX193" s="420"/>
      <c r="AY193" s="415"/>
      <c r="AZ193" s="420"/>
      <c r="BA193" s="420"/>
      <c r="BB193" s="420"/>
      <c r="BC193" s="231"/>
      <c r="BE193" s="298">
        <v>20</v>
      </c>
      <c r="BF193" s="1657">
        <f t="shared" si="71"/>
        <v>344</v>
      </c>
      <c r="BG193" s="42">
        <f t="shared" si="72"/>
        <v>344</v>
      </c>
      <c r="BH193" s="301">
        <f t="shared" si="68"/>
        <v>127.02212171568729</v>
      </c>
      <c r="BI193" s="302">
        <f t="shared" si="69"/>
        <v>127.02212171568729</v>
      </c>
      <c r="BJ193" s="302">
        <f t="shared" si="73"/>
        <v>1.977878284312709</v>
      </c>
      <c r="BK193" s="302" t="b">
        <f t="shared" si="70"/>
        <v>0</v>
      </c>
      <c r="BL193" s="304">
        <v>20</v>
      </c>
      <c r="BV193" s="306"/>
      <c r="CI193" s="306"/>
    </row>
    <row r="194" spans="1:109" ht="44.25" customHeight="1" thickBot="1" x14ac:dyDescent="0.35">
      <c r="B194" s="421"/>
      <c r="C194" s="422"/>
      <c r="D194" s="551" t="s">
        <v>22</v>
      </c>
      <c r="E194" s="330"/>
      <c r="F194" s="468" t="s">
        <v>45</v>
      </c>
      <c r="G194" s="240"/>
      <c r="H194" s="469"/>
      <c r="I194" s="470"/>
      <c r="R194" s="1628"/>
      <c r="T194" s="471"/>
      <c r="V194" s="420"/>
      <c r="W194" s="420"/>
      <c r="X194" s="420"/>
      <c r="Y194" s="420"/>
      <c r="Z194" s="420"/>
      <c r="AA194" s="420"/>
      <c r="AB194" s="420"/>
      <c r="AC194" s="420"/>
      <c r="AD194" s="420"/>
      <c r="AE194" s="420"/>
      <c r="AF194" s="418" t="s">
        <v>38</v>
      </c>
      <c r="AG194" s="552" t="s">
        <v>102</v>
      </c>
      <c r="AH194" s="425" t="s">
        <v>31</v>
      </c>
      <c r="AI194" s="425"/>
      <c r="AJ194" s="1630" t="s">
        <v>301</v>
      </c>
      <c r="AK194" s="426" t="s">
        <v>32</v>
      </c>
      <c r="AL194" s="1631" t="s">
        <v>33</v>
      </c>
      <c r="AM194" s="1630" t="s">
        <v>302</v>
      </c>
      <c r="AN194" s="427" t="s">
        <v>34</v>
      </c>
      <c r="AO194" s="1630" t="s">
        <v>35</v>
      </c>
      <c r="AP194" s="427"/>
      <c r="AQ194" s="1678" t="s">
        <v>36</v>
      </c>
      <c r="AR194" s="420"/>
      <c r="AS194" s="420" t="s">
        <v>37</v>
      </c>
      <c r="AT194" s="420" t="s">
        <v>39</v>
      </c>
      <c r="AU194" s="420"/>
      <c r="AV194" s="420" t="s">
        <v>40</v>
      </c>
      <c r="AW194" s="1594" t="s">
        <v>41</v>
      </c>
      <c r="AX194" s="1594" t="s">
        <v>42</v>
      </c>
      <c r="AY194" s="430" t="s">
        <v>23</v>
      </c>
      <c r="AZ194" s="430" t="s">
        <v>24</v>
      </c>
      <c r="BA194" s="431" t="s">
        <v>23</v>
      </c>
      <c r="BB194" s="431" t="s">
        <v>24</v>
      </c>
      <c r="BE194" s="298">
        <v>21</v>
      </c>
      <c r="BF194" s="1657">
        <f t="shared" si="71"/>
        <v>387</v>
      </c>
      <c r="BG194" s="42">
        <f t="shared" si="72"/>
        <v>387</v>
      </c>
      <c r="BH194" s="301">
        <f t="shared" si="68"/>
        <v>170.02212171568729</v>
      </c>
      <c r="BI194" s="302">
        <f t="shared" si="69"/>
        <v>170.02212171568729</v>
      </c>
      <c r="BJ194" s="302">
        <f t="shared" si="73"/>
        <v>1.977878284312709</v>
      </c>
      <c r="BK194" s="302" t="b">
        <f t="shared" si="70"/>
        <v>0</v>
      </c>
      <c r="BL194" s="304">
        <v>21</v>
      </c>
      <c r="BP194" s="307"/>
      <c r="BQ194" s="307"/>
      <c r="BR194" s="307"/>
      <c r="BS194" s="307"/>
      <c r="BT194" s="307"/>
      <c r="BU194" s="307"/>
      <c r="BV194" s="1819"/>
      <c r="BW194" s="1819"/>
      <c r="CH194" s="1813"/>
      <c r="CI194" s="1813"/>
    </row>
    <row r="195" spans="1:109" ht="21" customHeight="1" thickBot="1" x14ac:dyDescent="0.35">
      <c r="B195" s="255">
        <v>1</v>
      </c>
      <c r="C195" s="256">
        <f>+AI185+D195</f>
        <v>1</v>
      </c>
      <c r="D195" s="25">
        <v>1</v>
      </c>
      <c r="E195" s="257" t="s">
        <v>119</v>
      </c>
      <c r="F195" s="258">
        <f>+G195</f>
        <v>1</v>
      </c>
      <c r="G195" s="258">
        <f>+D195</f>
        <v>1</v>
      </c>
      <c r="H195" s="1632">
        <v>251.073172</v>
      </c>
      <c r="I195" s="1633">
        <v>65.636175100000003</v>
      </c>
      <c r="J195" s="474">
        <f>+I195-C195</f>
        <v>64.636175100000003</v>
      </c>
      <c r="K195" s="474">
        <f>+J195/2</f>
        <v>32.318087550000001</v>
      </c>
      <c r="L195" s="474">
        <f t="shared" ref="L195:L220" si="74">SIN(K195*3.14159265358979/180)</f>
        <v>0.53461916118589337</v>
      </c>
      <c r="M195" s="474">
        <f t="shared" ref="M195:M220" si="75">+L195*H195</f>
        <v>134.22852861092153</v>
      </c>
      <c r="N195" s="474">
        <f t="shared" ref="N195:N220" si="76">+M195*2</f>
        <v>268.45705722184306</v>
      </c>
      <c r="O195" s="474">
        <f>+C195/2</f>
        <v>0.5</v>
      </c>
      <c r="P195" s="474">
        <f t="shared" ref="P195:P220" si="77">SIN(O195*3.14159265358979/180)</f>
        <v>8.726535498373926E-3</v>
      </c>
      <c r="Q195" s="474">
        <f t="shared" ref="Q195:Q220" si="78">+P195*N195</f>
        <v>2.3427000396354138</v>
      </c>
      <c r="R195" s="1634">
        <v>211.0008</v>
      </c>
      <c r="S195" s="474">
        <f>+R195+Q195</f>
        <v>213.34350003963542</v>
      </c>
      <c r="T195" s="476">
        <f t="shared" ref="T195:T220" si="79">+S195</f>
        <v>213.34350003963542</v>
      </c>
      <c r="V195" s="1635">
        <f t="shared" ref="V195:V220" si="80">IF(B195&lt;($B$192+1),T195,0)</f>
        <v>213.34350003963542</v>
      </c>
      <c r="W195" s="437"/>
      <c r="X195" s="437"/>
      <c r="Y195" s="437"/>
      <c r="Z195" s="437"/>
      <c r="AA195" s="437"/>
      <c r="AB195" s="258" t="str">
        <f>IF(AZ195&lt;0,"use the locking pin"," ")</f>
        <v xml:space="preserve"> </v>
      </c>
      <c r="AC195" s="1636"/>
      <c r="AD195" s="1636"/>
      <c r="AE195" s="1636"/>
      <c r="AF195" s="1637">
        <f>SUM(V195:V220)/($B$192)</f>
        <v>213.34350003963542</v>
      </c>
      <c r="AG195" s="1638">
        <f>+AF195+AA171+AA138</f>
        <v>213.34349120252676</v>
      </c>
      <c r="AH195" s="450">
        <f>C195</f>
        <v>1</v>
      </c>
      <c r="AI195" s="1639"/>
      <c r="AJ195" s="718">
        <f>75.4990086-AH195</f>
        <v>74.499008599999996</v>
      </c>
      <c r="AK195" s="1639">
        <f t="shared" ref="AK195:AK220" si="81">SIN(AJ195*3.14159265358979/180)</f>
        <v>0.96362582898684701</v>
      </c>
      <c r="AL195" s="1639">
        <f>+AK195*290.642868</f>
        <v>280.07097461561477</v>
      </c>
      <c r="AM195" s="1640">
        <f>57.1819124+AH195</f>
        <v>58.181912400000002</v>
      </c>
      <c r="AN195" s="1639">
        <f>SIN(AM195*3.14159265358979/180)</f>
        <v>0.84972629692714396</v>
      </c>
      <c r="AO195" s="1641">
        <f>+AN195*251.073172</f>
        <v>213.34347670131189</v>
      </c>
      <c r="AP195" s="439"/>
      <c r="AQ195" s="444">
        <f>$C$14*B192</f>
        <v>29.3</v>
      </c>
      <c r="AR195" s="444"/>
      <c r="AS195" s="445">
        <f>+AO195+AL195</f>
        <v>493.41445131692666</v>
      </c>
      <c r="AT195" s="445">
        <f>+V195-AO195</f>
        <v>2.3338323529742411E-5</v>
      </c>
      <c r="AU195" s="445"/>
      <c r="AV195" s="447">
        <f>+AF195-AT195</f>
        <v>213.34347670131189</v>
      </c>
      <c r="AW195" s="447">
        <f>+((AS195-AV195)/AS195)*AQ195</f>
        <v>16.631210404023289</v>
      </c>
      <c r="AX195" s="1597">
        <f>+(AV195/AS195)*AQ195</f>
        <v>12.668789595976712</v>
      </c>
      <c r="AY195" s="1597">
        <f t="shared" ref="AY195:AY220" si="82">2*$C$18/AW195</f>
        <v>697.4838101497304</v>
      </c>
      <c r="AZ195" s="1642">
        <f t="shared" ref="AZ195:AZ220" si="83">$D$18/AX195</f>
        <v>789.34139084413778</v>
      </c>
      <c r="BA195" s="274">
        <f>ABS(AY195)</f>
        <v>697.4838101497304</v>
      </c>
      <c r="BB195" s="275">
        <f>ABS(AZ195)</f>
        <v>789.34139084413778</v>
      </c>
      <c r="BC195" s="91" t="s">
        <v>43</v>
      </c>
      <c r="BE195" s="298">
        <v>22</v>
      </c>
      <c r="BF195" s="1657">
        <f t="shared" si="71"/>
        <v>430</v>
      </c>
      <c r="BG195" s="42">
        <f t="shared" si="72"/>
        <v>430</v>
      </c>
      <c r="BH195" s="301">
        <f t="shared" si="68"/>
        <v>213.02212171568729</v>
      </c>
      <c r="BI195" s="302">
        <f t="shared" si="69"/>
        <v>213.02212171568729</v>
      </c>
      <c r="BJ195" s="302">
        <f t="shared" si="73"/>
        <v>1.977878284312709</v>
      </c>
      <c r="BK195" s="302" t="b">
        <f t="shared" si="70"/>
        <v>0</v>
      </c>
      <c r="BL195" s="304">
        <v>22</v>
      </c>
    </row>
    <row r="196" spans="1:109" ht="21" customHeight="1" thickBot="1" x14ac:dyDescent="0.35">
      <c r="B196" s="277">
        <v>2</v>
      </c>
      <c r="C196" s="278"/>
      <c r="D196" s="25">
        <v>1</v>
      </c>
      <c r="E196" s="257" t="s">
        <v>305</v>
      </c>
      <c r="F196" s="258" t="e">
        <f t="shared" ref="F196:F220" si="84">+G196</f>
        <v>#DIV/0!</v>
      </c>
      <c r="G196" s="258" t="e">
        <f>+D196+BC196</f>
        <v>#DIV/0!</v>
      </c>
      <c r="H196" s="1632">
        <v>251.073172</v>
      </c>
      <c r="I196" s="1633">
        <v>65.636175100000003</v>
      </c>
      <c r="J196" s="474">
        <f t="shared" ref="J196:J220" si="85">+I196-D196</f>
        <v>64.636175100000003</v>
      </c>
      <c r="K196" s="474">
        <f t="shared" ref="K196:K220" si="86">+J196/2</f>
        <v>32.318087550000001</v>
      </c>
      <c r="L196" s="474">
        <f t="shared" si="74"/>
        <v>0.53461916118589337</v>
      </c>
      <c r="M196" s="474">
        <f t="shared" si="75"/>
        <v>134.22852861092153</v>
      </c>
      <c r="N196" s="474">
        <f t="shared" si="76"/>
        <v>268.45705722184306</v>
      </c>
      <c r="O196" s="474">
        <f>+C195+(D196/2)</f>
        <v>1.5</v>
      </c>
      <c r="P196" s="474">
        <f t="shared" si="77"/>
        <v>2.6176948307873125E-2</v>
      </c>
      <c r="Q196" s="474">
        <f t="shared" si="78"/>
        <v>7.0273865097799231</v>
      </c>
      <c r="R196" s="474">
        <f t="shared" ref="R196:R220" si="87">+T195</f>
        <v>213.34350003963542</v>
      </c>
      <c r="S196" s="474">
        <f>+R196+Q196</f>
        <v>220.37088654941533</v>
      </c>
      <c r="T196" s="476">
        <f t="shared" si="79"/>
        <v>220.37088654941533</v>
      </c>
      <c r="V196" s="1635">
        <f t="shared" si="80"/>
        <v>0</v>
      </c>
      <c r="W196" s="437"/>
      <c r="X196" s="437"/>
      <c r="Y196" s="437"/>
      <c r="Z196" s="437"/>
      <c r="AA196" s="437"/>
      <c r="AB196" s="280" t="e">
        <f t="shared" ref="AB196:AB220" si="88">IF(AZ196&lt;0,"use the locking pin"," ")</f>
        <v>#DIV/0!</v>
      </c>
      <c r="AC196" s="1636"/>
      <c r="AD196" s="1636"/>
      <c r="AE196" s="1636"/>
      <c r="AF196" s="1637" t="e">
        <f>SUM(V196:V220)/($B$192-B195)</f>
        <v>#DIV/0!</v>
      </c>
      <c r="AG196" s="1638"/>
      <c r="AH196" s="450">
        <f>SUM(D196)+$C$195</f>
        <v>2</v>
      </c>
      <c r="AI196" s="1639"/>
      <c r="AJ196" s="718">
        <f t="shared" ref="AJ196:AJ220" si="89">75.4990086-AH196</f>
        <v>73.499008599999996</v>
      </c>
      <c r="AK196" s="1639">
        <f t="shared" si="81"/>
        <v>0.95881482035199095</v>
      </c>
      <c r="AL196" s="1639">
        <f t="shared" ref="AL196:AL220" si="90">+AK196*290.642868</f>
        <v>278.67268926800745</v>
      </c>
      <c r="AM196" s="1640">
        <f t="shared" ref="AM196:AM220" si="91">57.1819124+AH196</f>
        <v>59.181912400000002</v>
      </c>
      <c r="AN196" s="1639">
        <f t="shared" ref="AN196:AN220" si="92">SIN(AM196*3.14159265358979/180)</f>
        <v>0.85879820825488717</v>
      </c>
      <c r="AO196" s="1641">
        <f t="shared" ref="AO196:AO220" si="93">+AN196*251.073172</f>
        <v>215.62119025447112</v>
      </c>
      <c r="AP196" s="287"/>
      <c r="AQ196" s="444">
        <f>$C$14*($B$192-B195)</f>
        <v>0</v>
      </c>
      <c r="AR196" s="444"/>
      <c r="AS196" s="445">
        <f t="shared" ref="AS196:AS220" si="94">+AO196+AL196</f>
        <v>494.29387952247856</v>
      </c>
      <c r="AT196" s="445">
        <f>+V196-AO196</f>
        <v>-215.62119025447112</v>
      </c>
      <c r="AU196" s="445"/>
      <c r="AV196" s="447" t="e">
        <f>+AF196-AT196</f>
        <v>#DIV/0!</v>
      </c>
      <c r="AW196" s="447" t="e">
        <f t="shared" ref="AW196:AW220" si="95">+((AS196-AV196)/AS196)*AQ196</f>
        <v>#DIV/0!</v>
      </c>
      <c r="AX196" s="1597" t="e">
        <f t="shared" ref="AX196:AX220" si="96">+(AV196/AS196)*AQ196</f>
        <v>#DIV/0!</v>
      </c>
      <c r="AY196" s="1597" t="e">
        <f t="shared" si="82"/>
        <v>#DIV/0!</v>
      </c>
      <c r="AZ196" s="1642" t="e">
        <f t="shared" si="83"/>
        <v>#DIV/0!</v>
      </c>
      <c r="BA196" s="274" t="e">
        <f t="shared" ref="BA196:BB215" si="97">ABS(AY196)</f>
        <v>#DIV/0!</v>
      </c>
      <c r="BB196" s="294" t="e">
        <f t="shared" si="97"/>
        <v>#DIV/0!</v>
      </c>
      <c r="BC196" s="37" t="e">
        <f t="shared" ref="BC196:BC220" si="98">IF(AZ196&lt;0,0.3,0)</f>
        <v>#DIV/0!</v>
      </c>
      <c r="BE196" s="298">
        <v>23</v>
      </c>
      <c r="BF196" s="1657">
        <f t="shared" si="71"/>
        <v>473</v>
      </c>
      <c r="BG196" s="42">
        <f t="shared" si="72"/>
        <v>473</v>
      </c>
      <c r="BH196" s="301">
        <f t="shared" si="68"/>
        <v>256.02212171568726</v>
      </c>
      <c r="BI196" s="302">
        <f t="shared" si="69"/>
        <v>256.02212171568726</v>
      </c>
      <c r="BJ196" s="302">
        <f t="shared" si="73"/>
        <v>1.977878284312709</v>
      </c>
      <c r="BK196" s="302" t="b">
        <f t="shared" si="70"/>
        <v>0</v>
      </c>
      <c r="BL196" s="304">
        <v>23</v>
      </c>
    </row>
    <row r="197" spans="1:109" ht="21" customHeight="1" thickBot="1" x14ac:dyDescent="0.35">
      <c r="B197" s="277">
        <v>3</v>
      </c>
      <c r="C197" s="278"/>
      <c r="D197" s="25">
        <v>1</v>
      </c>
      <c r="E197" s="257" t="s">
        <v>305</v>
      </c>
      <c r="F197" s="258">
        <f t="shared" si="84"/>
        <v>1.3</v>
      </c>
      <c r="G197" s="258">
        <f t="shared" ref="G197:G220" si="99">+D197+BC197</f>
        <v>1.3</v>
      </c>
      <c r="H197" s="1632">
        <v>251.073172</v>
      </c>
      <c r="I197" s="1633">
        <v>65.636175100000003</v>
      </c>
      <c r="J197" s="474">
        <f t="shared" si="85"/>
        <v>64.636175100000003</v>
      </c>
      <c r="K197" s="474">
        <f t="shared" si="86"/>
        <v>32.318087550000001</v>
      </c>
      <c r="L197" s="474">
        <f t="shared" si="74"/>
        <v>0.53461916118589337</v>
      </c>
      <c r="M197" s="474">
        <f t="shared" si="75"/>
        <v>134.22852861092153</v>
      </c>
      <c r="N197" s="474">
        <f t="shared" si="76"/>
        <v>268.45705722184306</v>
      </c>
      <c r="O197" s="474">
        <f>+C195+D196+(D197/2)</f>
        <v>2.5</v>
      </c>
      <c r="P197" s="474">
        <f t="shared" si="77"/>
        <v>4.3619387365335958E-2</v>
      </c>
      <c r="Q197" s="474">
        <f t="shared" si="78"/>
        <v>11.709932369917734</v>
      </c>
      <c r="R197" s="474">
        <f t="shared" si="87"/>
        <v>220.37088654941533</v>
      </c>
      <c r="S197" s="474">
        <f t="shared" ref="S197:S220" si="100">+S196+Q197</f>
        <v>232.08081891933307</v>
      </c>
      <c r="T197" s="476">
        <f t="shared" si="79"/>
        <v>232.08081891933307</v>
      </c>
      <c r="V197" s="1635">
        <f t="shared" si="80"/>
        <v>0</v>
      </c>
      <c r="W197" s="437"/>
      <c r="X197" s="437"/>
      <c r="Y197" s="437"/>
      <c r="Z197" s="437"/>
      <c r="AA197" s="437"/>
      <c r="AB197" s="295" t="str">
        <f t="shared" si="88"/>
        <v>use the locking pin</v>
      </c>
      <c r="AC197" s="1636"/>
      <c r="AD197" s="1636"/>
      <c r="AE197" s="1636"/>
      <c r="AF197" s="1637">
        <f>SUM(V197:V220)/($B$192-B196)</f>
        <v>0</v>
      </c>
      <c r="AG197" s="1638"/>
      <c r="AH197" s="450">
        <f>SUM(D196:D197)+$C$195</f>
        <v>3</v>
      </c>
      <c r="AI197" s="1639"/>
      <c r="AJ197" s="718">
        <f t="shared" si="89"/>
        <v>72.499008599999996</v>
      </c>
      <c r="AK197" s="1639">
        <f t="shared" si="81"/>
        <v>0.95371174743460796</v>
      </c>
      <c r="AL197" s="1639">
        <f t="shared" si="90"/>
        <v>277.18951751968609</v>
      </c>
      <c r="AM197" s="1640">
        <f t="shared" si="91"/>
        <v>60.181912400000002</v>
      </c>
      <c r="AN197" s="1639">
        <f t="shared" si="92"/>
        <v>0.86760852132903066</v>
      </c>
      <c r="AO197" s="1641">
        <f t="shared" si="93"/>
        <v>217.83322350430939</v>
      </c>
      <c r="AP197" s="287"/>
      <c r="AQ197" s="444">
        <f t="shared" ref="AQ197:AQ220" si="101">$C$14*($B$192-B196)</f>
        <v>-29.3</v>
      </c>
      <c r="AR197" s="444"/>
      <c r="AS197" s="445">
        <f t="shared" si="94"/>
        <v>495.02274102399548</v>
      </c>
      <c r="AT197" s="445">
        <f>+V197-AO197</f>
        <v>-217.83322350430939</v>
      </c>
      <c r="AU197" s="445"/>
      <c r="AV197" s="447">
        <f>+AF197-AT197</f>
        <v>217.83322350430939</v>
      </c>
      <c r="AW197" s="447">
        <f t="shared" si="95"/>
        <v>-16.406625777487502</v>
      </c>
      <c r="AX197" s="1597">
        <f t="shared" si="96"/>
        <v>-12.893374222512502</v>
      </c>
      <c r="AY197" s="1597">
        <f t="shared" si="82"/>
        <v>-707.03142482332009</v>
      </c>
      <c r="AZ197" s="1642">
        <f t="shared" si="83"/>
        <v>-775.5921628753689</v>
      </c>
      <c r="BA197" s="274">
        <f t="shared" si="97"/>
        <v>707.03142482332009</v>
      </c>
      <c r="BB197" s="275">
        <f t="shared" si="97"/>
        <v>775.5921628753689</v>
      </c>
      <c r="BC197" s="37">
        <f t="shared" si="98"/>
        <v>0.3</v>
      </c>
      <c r="BE197" s="298">
        <v>24</v>
      </c>
      <c r="BF197" s="1657">
        <f t="shared" si="71"/>
        <v>516</v>
      </c>
      <c r="BG197" s="42">
        <f t="shared" si="72"/>
        <v>516</v>
      </c>
      <c r="BH197" s="301">
        <f t="shared" si="68"/>
        <v>299.02212171568726</v>
      </c>
      <c r="BI197" s="302">
        <f t="shared" si="69"/>
        <v>299.02212171568726</v>
      </c>
      <c r="BJ197" s="302">
        <f t="shared" si="73"/>
        <v>1.977878284312709</v>
      </c>
      <c r="BK197" s="302" t="b">
        <f t="shared" si="70"/>
        <v>0</v>
      </c>
      <c r="BL197" s="304">
        <v>24</v>
      </c>
    </row>
    <row r="198" spans="1:109" ht="21" customHeight="1" thickBot="1" x14ac:dyDescent="0.35">
      <c r="B198" s="277">
        <v>4</v>
      </c>
      <c r="C198" s="278"/>
      <c r="D198" s="25">
        <v>1</v>
      </c>
      <c r="E198" s="257" t="s">
        <v>305</v>
      </c>
      <c r="F198" s="258">
        <f t="shared" si="84"/>
        <v>1.3</v>
      </c>
      <c r="G198" s="258">
        <f t="shared" si="99"/>
        <v>1.3</v>
      </c>
      <c r="H198" s="1632">
        <v>251.073172</v>
      </c>
      <c r="I198" s="1633">
        <v>65.636175100000003</v>
      </c>
      <c r="J198" s="474">
        <f t="shared" si="85"/>
        <v>64.636175100000003</v>
      </c>
      <c r="K198" s="474">
        <f t="shared" si="86"/>
        <v>32.318087550000001</v>
      </c>
      <c r="L198" s="474">
        <f t="shared" si="74"/>
        <v>0.53461916118589337</v>
      </c>
      <c r="M198" s="474">
        <f t="shared" si="75"/>
        <v>134.22852861092153</v>
      </c>
      <c r="N198" s="474">
        <f t="shared" si="76"/>
        <v>268.45705722184306</v>
      </c>
      <c r="O198" s="474">
        <f>+C195+D196+D197+(D198/2)</f>
        <v>3.5</v>
      </c>
      <c r="P198" s="474">
        <f t="shared" si="77"/>
        <v>6.1048539534856811E-2</v>
      </c>
      <c r="Q198" s="474">
        <f t="shared" si="78"/>
        <v>16.388911271219001</v>
      </c>
      <c r="R198" s="474">
        <f t="shared" si="87"/>
        <v>232.08081891933307</v>
      </c>
      <c r="S198" s="474">
        <f t="shared" si="100"/>
        <v>248.46973019055207</v>
      </c>
      <c r="T198" s="476">
        <f t="shared" si="79"/>
        <v>248.46973019055207</v>
      </c>
      <c r="V198" s="1635">
        <f t="shared" si="80"/>
        <v>0</v>
      </c>
      <c r="W198" s="437"/>
      <c r="X198" s="437"/>
      <c r="Y198" s="437"/>
      <c r="Z198" s="437"/>
      <c r="AA198" s="437"/>
      <c r="AB198" s="295" t="str">
        <f t="shared" si="88"/>
        <v>use the locking pin</v>
      </c>
      <c r="AC198" s="1636"/>
      <c r="AD198" s="1636"/>
      <c r="AE198" s="1636"/>
      <c r="AF198" s="1637">
        <f>SUM(V198:V220)/($B$192-B197)</f>
        <v>0</v>
      </c>
      <c r="AG198" s="1638"/>
      <c r="AH198" s="450">
        <f>SUM(D196:D198)+$C$195</f>
        <v>4</v>
      </c>
      <c r="AI198" s="1639"/>
      <c r="AJ198" s="718">
        <f t="shared" si="89"/>
        <v>71.499008599999996</v>
      </c>
      <c r="AK198" s="1639">
        <f t="shared" si="81"/>
        <v>0.94831816468014318</v>
      </c>
      <c r="AL198" s="1639">
        <f t="shared" si="90"/>
        <v>275.62191115913316</v>
      </c>
      <c r="AM198" s="1640">
        <f t="shared" si="91"/>
        <v>61.181912400000002</v>
      </c>
      <c r="AN198" s="1639">
        <f t="shared" si="92"/>
        <v>0.87615455244286489</v>
      </c>
      <c r="AO198" s="1641">
        <f t="shared" si="93"/>
        <v>219.97890264407044</v>
      </c>
      <c r="AP198" s="287"/>
      <c r="AQ198" s="444">
        <f t="shared" si="101"/>
        <v>-58.6</v>
      </c>
      <c r="AR198" s="444"/>
      <c r="AS198" s="445">
        <f t="shared" si="94"/>
        <v>495.60081380320361</v>
      </c>
      <c r="AT198" s="445">
        <f>+V198-AO198</f>
        <v>-219.97890264407044</v>
      </c>
      <c r="AU198" s="445"/>
      <c r="AV198" s="447">
        <f t="shared" ref="AV198:AV220" si="102">+AF198-AT198</f>
        <v>219.97890264407044</v>
      </c>
      <c r="AW198" s="447">
        <f t="shared" si="95"/>
        <v>-32.589623632738267</v>
      </c>
      <c r="AX198" s="1597">
        <f t="shared" si="96"/>
        <v>-26.010376367261731</v>
      </c>
      <c r="AY198" s="1597">
        <f t="shared" si="82"/>
        <v>-355.94151472025874</v>
      </c>
      <c r="AZ198" s="1642">
        <f t="shared" si="83"/>
        <v>-384.46194929292216</v>
      </c>
      <c r="BA198" s="274">
        <f t="shared" si="97"/>
        <v>355.94151472025874</v>
      </c>
      <c r="BB198" s="275">
        <f t="shared" si="97"/>
        <v>384.46194929292216</v>
      </c>
      <c r="BC198" s="37">
        <f t="shared" si="98"/>
        <v>0.3</v>
      </c>
      <c r="BE198" s="298">
        <v>25</v>
      </c>
      <c r="BF198" s="1657">
        <f t="shared" si="71"/>
        <v>559</v>
      </c>
      <c r="BG198" s="42">
        <f t="shared" si="72"/>
        <v>559</v>
      </c>
      <c r="BH198" s="301">
        <f t="shared" si="68"/>
        <v>342.02212171568726</v>
      </c>
      <c r="BI198" s="302">
        <f t="shared" si="69"/>
        <v>342.02212171568726</v>
      </c>
      <c r="BJ198" s="302">
        <f t="shared" si="73"/>
        <v>1.977878284312709</v>
      </c>
      <c r="BK198" s="302" t="b">
        <f t="shared" si="70"/>
        <v>0</v>
      </c>
      <c r="BL198" s="304">
        <v>25</v>
      </c>
    </row>
    <row r="199" spans="1:109" ht="21" customHeight="1" thickBot="1" x14ac:dyDescent="0.35">
      <c r="B199" s="277">
        <v>5</v>
      </c>
      <c r="C199" s="278"/>
      <c r="D199" s="25">
        <v>1</v>
      </c>
      <c r="E199" s="257" t="s">
        <v>305</v>
      </c>
      <c r="F199" s="258">
        <f t="shared" si="84"/>
        <v>1.3</v>
      </c>
      <c r="G199" s="258">
        <f>+D199+BC199</f>
        <v>1.3</v>
      </c>
      <c r="H199" s="1632">
        <v>251.073172</v>
      </c>
      <c r="I199" s="1633">
        <v>65.636175100000003</v>
      </c>
      <c r="J199" s="474">
        <f t="shared" si="85"/>
        <v>64.636175100000003</v>
      </c>
      <c r="K199" s="474">
        <f t="shared" si="86"/>
        <v>32.318087550000001</v>
      </c>
      <c r="L199" s="474">
        <f t="shared" si="74"/>
        <v>0.53461916118589337</v>
      </c>
      <c r="M199" s="474">
        <f t="shared" si="75"/>
        <v>134.22852861092153</v>
      </c>
      <c r="N199" s="474">
        <f t="shared" si="76"/>
        <v>268.45705722184306</v>
      </c>
      <c r="O199" s="474">
        <f>+C195+D196+D197+D198+(D199/2)</f>
        <v>4.5</v>
      </c>
      <c r="P199" s="474">
        <f t="shared" si="77"/>
        <v>7.845909572784486E-2</v>
      </c>
      <c r="Q199" s="474">
        <f t="shared" si="78"/>
        <v>21.062897951384109</v>
      </c>
      <c r="R199" s="474">
        <f t="shared" si="87"/>
        <v>248.46973019055207</v>
      </c>
      <c r="S199" s="474">
        <f t="shared" si="100"/>
        <v>269.53262814193619</v>
      </c>
      <c r="T199" s="476">
        <f t="shared" si="79"/>
        <v>269.53262814193619</v>
      </c>
      <c r="V199" s="1635">
        <f t="shared" si="80"/>
        <v>0</v>
      </c>
      <c r="W199" s="437"/>
      <c r="X199" s="437"/>
      <c r="Y199" s="437"/>
      <c r="Z199" s="437"/>
      <c r="AA199" s="437"/>
      <c r="AB199" s="295" t="str">
        <f>IF(AZ199&lt;0,"use the locking pin"," ")</f>
        <v>use the locking pin</v>
      </c>
      <c r="AC199" s="1636"/>
      <c r="AD199" s="1636"/>
      <c r="AE199" s="1636"/>
      <c r="AF199" s="1637">
        <f>SUM(V199:V220)/($B$192-B198)</f>
        <v>0</v>
      </c>
      <c r="AG199" s="1638"/>
      <c r="AH199" s="450">
        <f>SUM(D196:D199)+$C$195</f>
        <v>5</v>
      </c>
      <c r="AI199" s="1639"/>
      <c r="AJ199" s="718">
        <f t="shared" si="89"/>
        <v>70.499008599999996</v>
      </c>
      <c r="AK199" s="1639">
        <f t="shared" si="81"/>
        <v>0.94263571502615251</v>
      </c>
      <c r="AL199" s="1639">
        <f t="shared" si="90"/>
        <v>273.97034769443167</v>
      </c>
      <c r="AM199" s="1640">
        <f t="shared" si="91"/>
        <v>62.181912400000002</v>
      </c>
      <c r="AN199" s="1639">
        <f t="shared" si="92"/>
        <v>0.88443369839252528</v>
      </c>
      <c r="AO199" s="1641">
        <f t="shared" si="93"/>
        <v>222.05757407910264</v>
      </c>
      <c r="AP199" s="287"/>
      <c r="AQ199" s="444">
        <f t="shared" si="101"/>
        <v>-87.9</v>
      </c>
      <c r="AR199" s="444"/>
      <c r="AS199" s="445">
        <f t="shared" si="94"/>
        <v>496.02792177353433</v>
      </c>
      <c r="AT199" s="445">
        <f t="shared" ref="AT199:AT220" si="103">+V199-AO199</f>
        <v>-222.05757407910264</v>
      </c>
      <c r="AU199" s="445"/>
      <c r="AV199" s="447">
        <f t="shared" si="102"/>
        <v>222.05757407910264</v>
      </c>
      <c r="AW199" s="447">
        <f t="shared" si="95"/>
        <v>-48.549673325316114</v>
      </c>
      <c r="AX199" s="1597">
        <f t="shared" si="96"/>
        <v>-39.350326674683892</v>
      </c>
      <c r="AY199" s="1597">
        <f t="shared" si="82"/>
        <v>-238.93054691165568</v>
      </c>
      <c r="AZ199" s="1642">
        <f t="shared" si="83"/>
        <v>-254.12749639086272</v>
      </c>
      <c r="BA199" s="274">
        <f t="shared" si="97"/>
        <v>238.93054691165568</v>
      </c>
      <c r="BB199" s="275">
        <f t="shared" si="97"/>
        <v>254.12749639086272</v>
      </c>
      <c r="BC199" s="37">
        <f t="shared" si="98"/>
        <v>0.3</v>
      </c>
      <c r="BE199" s="298">
        <v>26</v>
      </c>
      <c r="BF199" s="1657">
        <f t="shared" si="71"/>
        <v>602</v>
      </c>
      <c r="BG199" s="42">
        <f t="shared" si="72"/>
        <v>602</v>
      </c>
      <c r="BH199" s="301">
        <f t="shared" si="68"/>
        <v>385.02212171568726</v>
      </c>
      <c r="BI199" s="302">
        <f t="shared" si="69"/>
        <v>385.02212171568726</v>
      </c>
      <c r="BJ199" s="302">
        <f t="shared" si="73"/>
        <v>1.977878284312709</v>
      </c>
      <c r="BK199" s="302" t="b">
        <f t="shared" si="70"/>
        <v>0</v>
      </c>
      <c r="BL199" s="304">
        <v>26</v>
      </c>
      <c r="DE199" s="305"/>
    </row>
    <row r="200" spans="1:109" ht="21" customHeight="1" thickBot="1" x14ac:dyDescent="0.35">
      <c r="B200" s="277">
        <v>6</v>
      </c>
      <c r="C200" s="278"/>
      <c r="D200" s="25">
        <v>1</v>
      </c>
      <c r="E200" s="257" t="s">
        <v>305</v>
      </c>
      <c r="F200" s="258">
        <f t="shared" si="84"/>
        <v>1.3</v>
      </c>
      <c r="G200" s="258">
        <f t="shared" si="99"/>
        <v>1.3</v>
      </c>
      <c r="H200" s="1632">
        <v>251.073172</v>
      </c>
      <c r="I200" s="1633">
        <v>65.636175100000003</v>
      </c>
      <c r="J200" s="474">
        <f t="shared" si="85"/>
        <v>64.636175100000003</v>
      </c>
      <c r="K200" s="474">
        <f t="shared" si="86"/>
        <v>32.318087550000001</v>
      </c>
      <c r="L200" s="474">
        <f t="shared" si="74"/>
        <v>0.53461916118589337</v>
      </c>
      <c r="M200" s="474">
        <f t="shared" si="75"/>
        <v>134.22852861092153</v>
      </c>
      <c r="N200" s="474">
        <f t="shared" si="76"/>
        <v>268.45705722184306</v>
      </c>
      <c r="O200" s="474">
        <f>+C195+D196+D197+D198+D199+(D200/2)</f>
        <v>5.5</v>
      </c>
      <c r="P200" s="474">
        <f t="shared" si="77"/>
        <v>9.5845752520223898E-2</v>
      </c>
      <c r="Q200" s="474">
        <f t="shared" si="78"/>
        <v>25.730468668792355</v>
      </c>
      <c r="R200" s="474">
        <f t="shared" si="87"/>
        <v>269.53262814193619</v>
      </c>
      <c r="S200" s="474">
        <f t="shared" si="100"/>
        <v>295.26309681072854</v>
      </c>
      <c r="T200" s="476">
        <f t="shared" si="79"/>
        <v>295.26309681072854</v>
      </c>
      <c r="V200" s="1635">
        <f t="shared" si="80"/>
        <v>0</v>
      </c>
      <c r="W200" s="437"/>
      <c r="X200" s="437"/>
      <c r="Y200" s="437"/>
      <c r="Z200" s="437"/>
      <c r="AA200" s="437"/>
      <c r="AB200" s="295" t="str">
        <f t="shared" si="88"/>
        <v>use the locking pin</v>
      </c>
      <c r="AC200" s="1636"/>
      <c r="AD200" s="1636"/>
      <c r="AE200" s="1636"/>
      <c r="AF200" s="1637">
        <f>SUM(V200:V220)/($B$192-B199)</f>
        <v>0</v>
      </c>
      <c r="AG200" s="1638"/>
      <c r="AH200" s="450">
        <f>SUM(D196:D200)+$C$195</f>
        <v>6</v>
      </c>
      <c r="AI200" s="1639"/>
      <c r="AJ200" s="718">
        <f t="shared" si="89"/>
        <v>69.499008599999996</v>
      </c>
      <c r="AK200" s="1639">
        <f t="shared" si="81"/>
        <v>0.93666612940184768</v>
      </c>
      <c r="AL200" s="1639">
        <f t="shared" si="90"/>
        <v>272.23533020781213</v>
      </c>
      <c r="AM200" s="1640">
        <f t="shared" si="91"/>
        <v>63.181912400000002</v>
      </c>
      <c r="AN200" s="1639">
        <f t="shared" si="92"/>
        <v>0.8924434372699539</v>
      </c>
      <c r="AO200" s="1641">
        <f t="shared" si="93"/>
        <v>224.06860462595034</v>
      </c>
      <c r="AP200" s="287"/>
      <c r="AQ200" s="444">
        <f t="shared" si="101"/>
        <v>-117.2</v>
      </c>
      <c r="AR200" s="444"/>
      <c r="AS200" s="445">
        <f t="shared" si="94"/>
        <v>496.30393483376247</v>
      </c>
      <c r="AT200" s="445">
        <f t="shared" si="103"/>
        <v>-224.06860462595034</v>
      </c>
      <c r="AU200" s="445"/>
      <c r="AV200" s="447">
        <f t="shared" si="102"/>
        <v>224.06860462595034</v>
      </c>
      <c r="AW200" s="447">
        <f t="shared" si="95"/>
        <v>-64.287180618550863</v>
      </c>
      <c r="AX200" s="1597">
        <f t="shared" si="96"/>
        <v>-52.912819381449147</v>
      </c>
      <c r="AY200" s="1597">
        <f t="shared" si="82"/>
        <v>-180.44032866877157</v>
      </c>
      <c r="AZ200" s="1642">
        <f t="shared" si="83"/>
        <v>-188.99011840419769</v>
      </c>
      <c r="BA200" s="274">
        <f t="shared" si="97"/>
        <v>180.44032866877157</v>
      </c>
      <c r="BB200" s="275">
        <f t="shared" si="97"/>
        <v>188.99011840419769</v>
      </c>
      <c r="BC200" s="37">
        <f t="shared" si="98"/>
        <v>0.3</v>
      </c>
      <c r="BE200" s="298">
        <v>27</v>
      </c>
      <c r="BF200" s="1657">
        <f t="shared" si="71"/>
        <v>645</v>
      </c>
      <c r="BG200" s="42">
        <f t="shared" si="72"/>
        <v>645</v>
      </c>
      <c r="BH200" s="301">
        <f t="shared" si="68"/>
        <v>428.02212171568726</v>
      </c>
      <c r="BI200" s="302">
        <f t="shared" si="69"/>
        <v>428.02212171568726</v>
      </c>
      <c r="BJ200" s="302">
        <f t="shared" si="73"/>
        <v>1.977878284312709</v>
      </c>
      <c r="BK200" s="302" t="b">
        <f t="shared" si="70"/>
        <v>0</v>
      </c>
      <c r="BL200" s="304">
        <v>27</v>
      </c>
    </row>
    <row r="201" spans="1:109" ht="21" customHeight="1" thickBot="1" x14ac:dyDescent="0.35">
      <c r="B201" s="277">
        <v>7</v>
      </c>
      <c r="C201" s="278"/>
      <c r="D201" s="25">
        <v>1</v>
      </c>
      <c r="E201" s="257" t="s">
        <v>305</v>
      </c>
      <c r="F201" s="258">
        <f t="shared" si="84"/>
        <v>1.3</v>
      </c>
      <c r="G201" s="258">
        <f t="shared" si="99"/>
        <v>1.3</v>
      </c>
      <c r="H201" s="1632">
        <v>251.073172</v>
      </c>
      <c r="I201" s="1633">
        <v>65.636175100000003</v>
      </c>
      <c r="J201" s="474">
        <f t="shared" si="85"/>
        <v>64.636175100000003</v>
      </c>
      <c r="K201" s="474">
        <f t="shared" si="86"/>
        <v>32.318087550000001</v>
      </c>
      <c r="L201" s="474">
        <f t="shared" si="74"/>
        <v>0.53461916118589337</v>
      </c>
      <c r="M201" s="474">
        <f t="shared" si="75"/>
        <v>134.22852861092153</v>
      </c>
      <c r="N201" s="474">
        <f t="shared" si="76"/>
        <v>268.45705722184306</v>
      </c>
      <c r="O201" s="474">
        <f>+C195+D196+D197+D198+D199+D200+(D201/2)</f>
        <v>6.5</v>
      </c>
      <c r="P201" s="474">
        <f t="shared" si="77"/>
        <v>0.11320321376790661</v>
      </c>
      <c r="Q201" s="474">
        <f t="shared" si="78"/>
        <v>30.390201636187438</v>
      </c>
      <c r="R201" s="474">
        <f t="shared" si="87"/>
        <v>295.26309681072854</v>
      </c>
      <c r="S201" s="474">
        <f t="shared" si="100"/>
        <v>325.65329844691598</v>
      </c>
      <c r="T201" s="476">
        <f t="shared" si="79"/>
        <v>325.65329844691598</v>
      </c>
      <c r="V201" s="1635">
        <f t="shared" si="80"/>
        <v>0</v>
      </c>
      <c r="W201" s="437"/>
      <c r="X201" s="437"/>
      <c r="Y201" s="437"/>
      <c r="Z201" s="437"/>
      <c r="AA201" s="437"/>
      <c r="AB201" s="295" t="str">
        <f t="shared" si="88"/>
        <v>use the locking pin</v>
      </c>
      <c r="AC201" s="1636"/>
      <c r="AD201" s="1636"/>
      <c r="AE201" s="1636"/>
      <c r="AF201" s="1637">
        <f>SUM(V201:V220)/($B$192-B200)</f>
        <v>0</v>
      </c>
      <c r="AG201" s="1638"/>
      <c r="AH201" s="450">
        <f>SUM(D196:D201)+$C$195</f>
        <v>7</v>
      </c>
      <c r="AI201" s="1639"/>
      <c r="AJ201" s="718">
        <f t="shared" si="89"/>
        <v>68.499008599999996</v>
      </c>
      <c r="AK201" s="1639">
        <f t="shared" si="81"/>
        <v>0.93041122620083849</v>
      </c>
      <c r="AL201" s="1639">
        <f t="shared" si="90"/>
        <v>270.41738720240846</v>
      </c>
      <c r="AM201" s="1640">
        <f t="shared" si="91"/>
        <v>64.181912400000002</v>
      </c>
      <c r="AN201" s="1639">
        <f t="shared" si="92"/>
        <v>0.90018132923109617</v>
      </c>
      <c r="AO201" s="1641">
        <f t="shared" si="93"/>
        <v>226.01138170522765</v>
      </c>
      <c r="AP201" s="287"/>
      <c r="AQ201" s="444">
        <f t="shared" si="101"/>
        <v>-146.5</v>
      </c>
      <c r="AR201" s="444"/>
      <c r="AS201" s="445">
        <f t="shared" si="94"/>
        <v>496.42876890763614</v>
      </c>
      <c r="AT201" s="445">
        <f t="shared" si="103"/>
        <v>-226.01138170522765</v>
      </c>
      <c r="AU201" s="445"/>
      <c r="AV201" s="447">
        <f t="shared" si="102"/>
        <v>226.01138170522765</v>
      </c>
      <c r="AW201" s="447">
        <f t="shared" si="95"/>
        <v>-79.802279211831276</v>
      </c>
      <c r="AX201" s="1597">
        <f t="shared" si="96"/>
        <v>-66.697720788168724</v>
      </c>
      <c r="AY201" s="1597">
        <f t="shared" si="82"/>
        <v>-145.35925683536385</v>
      </c>
      <c r="AZ201" s="1642">
        <f t="shared" si="83"/>
        <v>-149.93016075856471</v>
      </c>
      <c r="BA201" s="274">
        <f t="shared" si="97"/>
        <v>145.35925683536385</v>
      </c>
      <c r="BB201" s="275">
        <f t="shared" si="97"/>
        <v>149.93016075856471</v>
      </c>
      <c r="BC201" s="37">
        <f t="shared" si="98"/>
        <v>0.3</v>
      </c>
      <c r="BE201" s="298">
        <v>28</v>
      </c>
      <c r="BF201" s="1657">
        <f t="shared" si="71"/>
        <v>688</v>
      </c>
      <c r="BG201" s="42">
        <f t="shared" si="72"/>
        <v>688</v>
      </c>
      <c r="BH201" s="301">
        <f t="shared" si="68"/>
        <v>471.02212171568726</v>
      </c>
      <c r="BI201" s="302">
        <f t="shared" si="69"/>
        <v>471.02212171568726</v>
      </c>
      <c r="BJ201" s="302">
        <f t="shared" si="73"/>
        <v>1.977878284312709</v>
      </c>
      <c r="BK201" s="302" t="b">
        <f t="shared" si="70"/>
        <v>0</v>
      </c>
      <c r="BL201" s="304">
        <v>28</v>
      </c>
      <c r="DE201" s="307"/>
    </row>
    <row r="202" spans="1:109" ht="21" customHeight="1" thickBot="1" x14ac:dyDescent="0.35">
      <c r="B202" s="277">
        <v>8</v>
      </c>
      <c r="C202" s="278"/>
      <c r="D202" s="25">
        <v>1</v>
      </c>
      <c r="E202" s="257" t="s">
        <v>305</v>
      </c>
      <c r="F202" s="258">
        <f t="shared" si="84"/>
        <v>1.3</v>
      </c>
      <c r="G202" s="258">
        <f t="shared" si="99"/>
        <v>1.3</v>
      </c>
      <c r="H202" s="1632">
        <v>251.073172</v>
      </c>
      <c r="I202" s="1633">
        <v>65.636175100000003</v>
      </c>
      <c r="J202" s="474">
        <f t="shared" si="85"/>
        <v>64.636175100000003</v>
      </c>
      <c r="K202" s="474">
        <f t="shared" si="86"/>
        <v>32.318087550000001</v>
      </c>
      <c r="L202" s="474">
        <f t="shared" si="74"/>
        <v>0.53461916118589337</v>
      </c>
      <c r="M202" s="474">
        <f t="shared" si="75"/>
        <v>134.22852861092153</v>
      </c>
      <c r="N202" s="474">
        <f t="shared" si="76"/>
        <v>268.45705722184306</v>
      </c>
      <c r="O202" s="474">
        <f>+C195+D196+D197+D198+D199+D200+D201+(D202/2)</f>
        <v>7.5</v>
      </c>
      <c r="P202" s="474">
        <f t="shared" si="77"/>
        <v>0.13052619222005146</v>
      </c>
      <c r="Q202" s="474">
        <f t="shared" si="78"/>
        <v>35.040677453767643</v>
      </c>
      <c r="R202" s="474">
        <f t="shared" si="87"/>
        <v>325.65329844691598</v>
      </c>
      <c r="S202" s="474">
        <f t="shared" si="100"/>
        <v>360.69397590068365</v>
      </c>
      <c r="T202" s="476">
        <f t="shared" si="79"/>
        <v>360.69397590068365</v>
      </c>
      <c r="V202" s="1635">
        <f t="shared" si="80"/>
        <v>0</v>
      </c>
      <c r="W202" s="437"/>
      <c r="X202" s="437"/>
      <c r="Y202" s="437"/>
      <c r="Z202" s="437"/>
      <c r="AA202" s="437"/>
      <c r="AB202" s="295" t="str">
        <f t="shared" si="88"/>
        <v>use the locking pin</v>
      </c>
      <c r="AC202" s="1636"/>
      <c r="AD202" s="1636"/>
      <c r="AE202" s="1636"/>
      <c r="AF202" s="1637">
        <f>SUM(V202:V220)/($B$192-B201)</f>
        <v>0</v>
      </c>
      <c r="AG202" s="1638"/>
      <c r="AH202" s="450">
        <f>SUM(D196:D202)+$C$195</f>
        <v>8</v>
      </c>
      <c r="AI202" s="1639"/>
      <c r="AJ202" s="718">
        <f t="shared" si="89"/>
        <v>67.499008599999996</v>
      </c>
      <c r="AK202" s="1639">
        <f t="shared" si="81"/>
        <v>0.92387291072723265</v>
      </c>
      <c r="AL202" s="1639">
        <f t="shared" si="90"/>
        <v>268.5170724412709</v>
      </c>
      <c r="AM202" s="1640">
        <f t="shared" si="91"/>
        <v>65.181912400000002</v>
      </c>
      <c r="AN202" s="1639">
        <f t="shared" si="92"/>
        <v>0.9076450172391024</v>
      </c>
      <c r="AO202" s="1641">
        <f t="shared" si="93"/>
        <v>227.88531352821613</v>
      </c>
      <c r="AP202" s="287"/>
      <c r="AQ202" s="444">
        <f t="shared" si="101"/>
        <v>-175.8</v>
      </c>
      <c r="AR202" s="444"/>
      <c r="AS202" s="445">
        <f t="shared" si="94"/>
        <v>496.402385969487</v>
      </c>
      <c r="AT202" s="445">
        <f t="shared" si="103"/>
        <v>-227.88531352821613</v>
      </c>
      <c r="AU202" s="445"/>
      <c r="AV202" s="447">
        <f t="shared" si="102"/>
        <v>227.88531352821613</v>
      </c>
      <c r="AW202" s="447">
        <f t="shared" si="95"/>
        <v>-95.094831671653282</v>
      </c>
      <c r="AX202" s="1597">
        <f t="shared" si="96"/>
        <v>-80.705168328346744</v>
      </c>
      <c r="AY202" s="1597">
        <f t="shared" si="82"/>
        <v>-121.98349580188417</v>
      </c>
      <c r="AZ202" s="1642">
        <f t="shared" si="83"/>
        <v>-123.90780178185463</v>
      </c>
      <c r="BA202" s="274">
        <f t="shared" si="97"/>
        <v>121.98349580188417</v>
      </c>
      <c r="BB202" s="275">
        <f t="shared" si="97"/>
        <v>123.90780178185463</v>
      </c>
      <c r="BC202" s="37">
        <f t="shared" si="98"/>
        <v>0.3</v>
      </c>
      <c r="BE202" s="298">
        <v>29</v>
      </c>
      <c r="BF202" s="1657">
        <f t="shared" si="71"/>
        <v>731</v>
      </c>
      <c r="BG202" s="42">
        <f t="shared" si="72"/>
        <v>731</v>
      </c>
      <c r="BH202" s="301">
        <f t="shared" si="68"/>
        <v>514.02212171568726</v>
      </c>
      <c r="BI202" s="302">
        <f t="shared" si="69"/>
        <v>514.02212171568726</v>
      </c>
      <c r="BJ202" s="302">
        <f t="shared" si="73"/>
        <v>1.977878284312709</v>
      </c>
      <c r="BK202" s="302" t="b">
        <f t="shared" si="70"/>
        <v>0</v>
      </c>
      <c r="BL202" s="304">
        <v>29</v>
      </c>
    </row>
    <row r="203" spans="1:109" ht="21" customHeight="1" thickBot="1" x14ac:dyDescent="0.35">
      <c r="B203" s="277">
        <v>9</v>
      </c>
      <c r="C203" s="278"/>
      <c r="D203" s="25">
        <v>1</v>
      </c>
      <c r="E203" s="257" t="s">
        <v>305</v>
      </c>
      <c r="F203" s="258">
        <f t="shared" si="84"/>
        <v>1.3</v>
      </c>
      <c r="G203" s="258">
        <f t="shared" si="99"/>
        <v>1.3</v>
      </c>
      <c r="H203" s="1632">
        <v>251.073172</v>
      </c>
      <c r="I203" s="1633">
        <v>65.636175100000003</v>
      </c>
      <c r="J203" s="474">
        <f t="shared" si="85"/>
        <v>64.636175100000003</v>
      </c>
      <c r="K203" s="474">
        <f t="shared" si="86"/>
        <v>32.318087550000001</v>
      </c>
      <c r="L203" s="474">
        <f t="shared" si="74"/>
        <v>0.53461916118589337</v>
      </c>
      <c r="M203" s="474">
        <f t="shared" si="75"/>
        <v>134.22852861092153</v>
      </c>
      <c r="N203" s="474">
        <f t="shared" si="76"/>
        <v>268.45705722184306</v>
      </c>
      <c r="O203" s="474">
        <f>+C195+D196+D197+D198+D199+D200+D201+D202+(D203/2)</f>
        <v>8.5</v>
      </c>
      <c r="P203" s="474">
        <f t="shared" si="77"/>
        <v>0.14780941112961046</v>
      </c>
      <c r="Q203" s="474">
        <f t="shared" si="78"/>
        <v>39.680479541548763</v>
      </c>
      <c r="R203" s="474">
        <f t="shared" si="87"/>
        <v>360.69397590068365</v>
      </c>
      <c r="S203" s="474">
        <f t="shared" si="100"/>
        <v>400.37445544223243</v>
      </c>
      <c r="T203" s="476">
        <f t="shared" si="79"/>
        <v>400.37445544223243</v>
      </c>
      <c r="V203" s="1635">
        <f t="shared" si="80"/>
        <v>0</v>
      </c>
      <c r="W203" s="437"/>
      <c r="X203" s="437"/>
      <c r="Y203" s="437"/>
      <c r="Z203" s="437"/>
      <c r="AA203" s="437"/>
      <c r="AB203" s="295" t="str">
        <f t="shared" si="88"/>
        <v>use the locking pin</v>
      </c>
      <c r="AC203" s="1636"/>
      <c r="AD203" s="1636"/>
      <c r="AE203" s="1636"/>
      <c r="AF203" s="1637">
        <f>SUM(V203:V220)/($B$192-B202)</f>
        <v>0</v>
      </c>
      <c r="AG203" s="1638"/>
      <c r="AH203" s="450">
        <f>SUM(D196:D203)+$C$195</f>
        <v>9</v>
      </c>
      <c r="AI203" s="1639"/>
      <c r="AJ203" s="718">
        <f t="shared" si="89"/>
        <v>66.499008599999996</v>
      </c>
      <c r="AK203" s="1639">
        <f t="shared" si="81"/>
        <v>0.91705317461526137</v>
      </c>
      <c r="AL203" s="1639">
        <f t="shared" si="90"/>
        <v>266.53496477868435</v>
      </c>
      <c r="AM203" s="1640">
        <f t="shared" si="91"/>
        <v>66.181912400000002</v>
      </c>
      <c r="AN203" s="1639">
        <f t="shared" si="92"/>
        <v>0.91483222778230289</v>
      </c>
      <c r="AO203" s="1641">
        <f t="shared" si="93"/>
        <v>229.68982927712932</v>
      </c>
      <c r="AP203" s="287"/>
      <c r="AQ203" s="444">
        <f t="shared" si="101"/>
        <v>-205.1</v>
      </c>
      <c r="AR203" s="444"/>
      <c r="AS203" s="445">
        <f t="shared" si="94"/>
        <v>496.22479405581367</v>
      </c>
      <c r="AT203" s="445">
        <f t="shared" si="103"/>
        <v>-229.68982927712932</v>
      </c>
      <c r="AU203" s="445"/>
      <c r="AV203" s="447">
        <f t="shared" si="102"/>
        <v>229.68982927712932</v>
      </c>
      <c r="AW203" s="447">
        <f t="shared" si="95"/>
        <v>-110.16442936940284</v>
      </c>
      <c r="AX203" s="1597">
        <f t="shared" si="96"/>
        <v>-94.935570630597155</v>
      </c>
      <c r="AY203" s="1597">
        <f t="shared" si="82"/>
        <v>-105.29714596989319</v>
      </c>
      <c r="AZ203" s="1642">
        <f t="shared" si="83"/>
        <v>-105.33459622748674</v>
      </c>
      <c r="BA203" s="274">
        <f t="shared" si="97"/>
        <v>105.29714596989319</v>
      </c>
      <c r="BB203" s="275">
        <f t="shared" si="97"/>
        <v>105.33459622748674</v>
      </c>
      <c r="BC203" s="37">
        <f t="shared" si="98"/>
        <v>0.3</v>
      </c>
      <c r="BE203" s="298">
        <v>30</v>
      </c>
      <c r="BF203" s="1657">
        <f t="shared" si="71"/>
        <v>774</v>
      </c>
      <c r="BG203" s="42">
        <f t="shared" si="72"/>
        <v>774</v>
      </c>
      <c r="BH203" s="301">
        <f t="shared" si="68"/>
        <v>557.02212171568726</v>
      </c>
      <c r="BI203" s="302">
        <f t="shared" si="69"/>
        <v>557.02212171568726</v>
      </c>
      <c r="BJ203" s="302">
        <f t="shared" si="73"/>
        <v>1.977878284312709</v>
      </c>
      <c r="BK203" s="302" t="b">
        <f t="shared" si="70"/>
        <v>0</v>
      </c>
      <c r="BL203" s="304">
        <v>30</v>
      </c>
    </row>
    <row r="204" spans="1:109" ht="21" customHeight="1" thickBot="1" x14ac:dyDescent="0.35">
      <c r="B204" s="277">
        <v>10</v>
      </c>
      <c r="C204" s="278"/>
      <c r="D204" s="25">
        <v>1</v>
      </c>
      <c r="E204" s="257" t="s">
        <v>305</v>
      </c>
      <c r="F204" s="258">
        <f t="shared" si="84"/>
        <v>1.3</v>
      </c>
      <c r="G204" s="258">
        <f t="shared" si="99"/>
        <v>1.3</v>
      </c>
      <c r="H204" s="1632">
        <v>251.073172</v>
      </c>
      <c r="I204" s="1633">
        <v>65.636175100000003</v>
      </c>
      <c r="J204" s="474">
        <f t="shared" si="85"/>
        <v>64.636175100000003</v>
      </c>
      <c r="K204" s="474">
        <f t="shared" si="86"/>
        <v>32.318087550000001</v>
      </c>
      <c r="L204" s="474">
        <f t="shared" si="74"/>
        <v>0.53461916118589337</v>
      </c>
      <c r="M204" s="474">
        <f t="shared" si="75"/>
        <v>134.22852861092153</v>
      </c>
      <c r="N204" s="474">
        <f t="shared" si="76"/>
        <v>268.45705722184306</v>
      </c>
      <c r="O204" s="474">
        <f>+C195+D196+D197+D198+D199+D200+D201+D202+D203+(D204/2)</f>
        <v>9.5</v>
      </c>
      <c r="P204" s="474">
        <f t="shared" si="77"/>
        <v>0.16504760586067749</v>
      </c>
      <c r="Q204" s="474">
        <f t="shared" si="78"/>
        <v>44.308194570868096</v>
      </c>
      <c r="R204" s="474">
        <f t="shared" si="87"/>
        <v>400.37445544223243</v>
      </c>
      <c r="S204" s="474">
        <f t="shared" si="100"/>
        <v>444.68265001310056</v>
      </c>
      <c r="T204" s="476">
        <f t="shared" si="79"/>
        <v>444.68265001310056</v>
      </c>
      <c r="V204" s="1635">
        <f t="shared" si="80"/>
        <v>0</v>
      </c>
      <c r="W204" s="437"/>
      <c r="X204" s="437"/>
      <c r="Y204" s="437"/>
      <c r="Z204" s="437"/>
      <c r="AA204" s="437"/>
      <c r="AB204" s="295" t="str">
        <f t="shared" si="88"/>
        <v>use the locking pin</v>
      </c>
      <c r="AC204" s="1636"/>
      <c r="AD204" s="1636"/>
      <c r="AE204" s="1636"/>
      <c r="AF204" s="1637">
        <f>SUM(V204:V220)/($B$192-B203)</f>
        <v>0</v>
      </c>
      <c r="AG204" s="1638"/>
      <c r="AH204" s="450">
        <f>SUM(D196:D204)+$C$195</f>
        <v>10</v>
      </c>
      <c r="AI204" s="1639"/>
      <c r="AJ204" s="718">
        <f t="shared" si="89"/>
        <v>65.499008599999996</v>
      </c>
      <c r="AK204" s="1639">
        <f t="shared" si="81"/>
        <v>0.90995409522260873</v>
      </c>
      <c r="AL204" s="1639">
        <f t="shared" si="90"/>
        <v>264.4716679838441</v>
      </c>
      <c r="AM204" s="1640">
        <f t="shared" si="91"/>
        <v>67.181912400000002</v>
      </c>
      <c r="AN204" s="1639">
        <f t="shared" si="92"/>
        <v>0.92174077156674206</v>
      </c>
      <c r="AO204" s="1641">
        <f t="shared" si="93"/>
        <v>231.42437927898933</v>
      </c>
      <c r="AP204" s="287"/>
      <c r="AQ204" s="444">
        <f t="shared" si="101"/>
        <v>-234.4</v>
      </c>
      <c r="AR204" s="444"/>
      <c r="AS204" s="445">
        <f t="shared" si="94"/>
        <v>495.89604726283346</v>
      </c>
      <c r="AT204" s="445">
        <f t="shared" si="103"/>
        <v>-231.42437927898933</v>
      </c>
      <c r="AU204" s="445"/>
      <c r="AV204" s="447">
        <f t="shared" si="102"/>
        <v>231.42437927898933</v>
      </c>
      <c r="AW204" s="447">
        <f t="shared" si="95"/>
        <v>-125.01039142696804</v>
      </c>
      <c r="AX204" s="1597">
        <f t="shared" si="96"/>
        <v>-109.38960857303194</v>
      </c>
      <c r="AY204" s="1597">
        <f t="shared" si="82"/>
        <v>-92.792286045890847</v>
      </c>
      <c r="AZ204" s="1642">
        <f t="shared" si="83"/>
        <v>-91.416361484863401</v>
      </c>
      <c r="BA204" s="274">
        <f t="shared" si="97"/>
        <v>92.792286045890847</v>
      </c>
      <c r="BB204" s="275">
        <f t="shared" si="97"/>
        <v>91.416361484863401</v>
      </c>
      <c r="BC204" s="37">
        <f t="shared" si="98"/>
        <v>0.3</v>
      </c>
      <c r="BE204" s="298">
        <v>31</v>
      </c>
      <c r="BF204" s="1657">
        <f t="shared" si="71"/>
        <v>817</v>
      </c>
      <c r="BG204" s="42">
        <f t="shared" si="72"/>
        <v>817</v>
      </c>
      <c r="BH204" s="301">
        <f t="shared" si="68"/>
        <v>600.02212171568726</v>
      </c>
      <c r="BI204" s="302">
        <f t="shared" si="69"/>
        <v>600.02212171568726</v>
      </c>
      <c r="BJ204" s="302">
        <f t="shared" si="73"/>
        <v>1.977878284312709</v>
      </c>
      <c r="BK204" s="302" t="b">
        <f t="shared" si="70"/>
        <v>0</v>
      </c>
      <c r="BL204" s="304">
        <v>31</v>
      </c>
    </row>
    <row r="205" spans="1:109" ht="21" customHeight="1" thickBot="1" x14ac:dyDescent="0.35">
      <c r="A205" s="296"/>
      <c r="B205" s="277">
        <v>11</v>
      </c>
      <c r="C205" s="278"/>
      <c r="D205" s="25">
        <v>1</v>
      </c>
      <c r="E205" s="257" t="s">
        <v>305</v>
      </c>
      <c r="F205" s="258">
        <f t="shared" si="84"/>
        <v>1.3</v>
      </c>
      <c r="G205" s="258">
        <f t="shared" si="99"/>
        <v>1.3</v>
      </c>
      <c r="H205" s="1632">
        <v>251.073172</v>
      </c>
      <c r="I205" s="1633">
        <v>65.636175100000003</v>
      </c>
      <c r="J205" s="474">
        <f t="shared" si="85"/>
        <v>64.636175100000003</v>
      </c>
      <c r="K205" s="474">
        <f t="shared" si="86"/>
        <v>32.318087550000001</v>
      </c>
      <c r="L205" s="474">
        <f t="shared" si="74"/>
        <v>0.53461916118589337</v>
      </c>
      <c r="M205" s="474">
        <f t="shared" si="75"/>
        <v>134.22852861092153</v>
      </c>
      <c r="N205" s="474">
        <f t="shared" si="76"/>
        <v>268.45705722184306</v>
      </c>
      <c r="O205" s="474">
        <f>+C195+D196+D197+D198+D199+D200+D201+D202+D203+D204+(D205/2)</f>
        <v>10.5</v>
      </c>
      <c r="P205" s="474">
        <f t="shared" si="77"/>
        <v>0.18223552549214728</v>
      </c>
      <c r="Q205" s="474">
        <f t="shared" si="78"/>
        <v>48.922412894898024</v>
      </c>
      <c r="R205" s="474">
        <f t="shared" si="87"/>
        <v>444.68265001310056</v>
      </c>
      <c r="S205" s="474">
        <f t="shared" si="100"/>
        <v>493.60506290799856</v>
      </c>
      <c r="T205" s="476">
        <f t="shared" si="79"/>
        <v>493.60506290799856</v>
      </c>
      <c r="V205" s="1635">
        <f t="shared" si="80"/>
        <v>0</v>
      </c>
      <c r="W205" s="437"/>
      <c r="X205" s="437"/>
      <c r="Y205" s="437"/>
      <c r="Z205" s="437"/>
      <c r="AA205" s="437"/>
      <c r="AB205" s="295" t="str">
        <f t="shared" si="88"/>
        <v>use the locking pin</v>
      </c>
      <c r="AC205" s="1636"/>
      <c r="AD205" s="1636"/>
      <c r="AE205" s="1636"/>
      <c r="AF205" s="1637">
        <f>SUM(V205:V220)/($B$192-B204)</f>
        <v>0</v>
      </c>
      <c r="AG205" s="1638"/>
      <c r="AH205" s="450">
        <f>SUM(D196:D205)+$C$195</f>
        <v>11</v>
      </c>
      <c r="AI205" s="1639"/>
      <c r="AJ205" s="718">
        <f t="shared" si="89"/>
        <v>64.499008599999996</v>
      </c>
      <c r="AK205" s="1639">
        <f t="shared" si="81"/>
        <v>0.902577834997628</v>
      </c>
      <c r="AL205" s="1639">
        <f t="shared" si="90"/>
        <v>262.32781055694142</v>
      </c>
      <c r="AM205" s="1640">
        <f t="shared" si="91"/>
        <v>68.181912400000002</v>
      </c>
      <c r="AN205" s="1639">
        <f t="shared" si="92"/>
        <v>0.9283685441830587</v>
      </c>
      <c r="AO205" s="1641">
        <f t="shared" si="93"/>
        <v>233.08843517306269</v>
      </c>
      <c r="AP205" s="287"/>
      <c r="AQ205" s="444">
        <f t="shared" si="101"/>
        <v>-263.7</v>
      </c>
      <c r="AR205" s="444"/>
      <c r="AS205" s="445">
        <f t="shared" si="94"/>
        <v>495.41624573000411</v>
      </c>
      <c r="AT205" s="445">
        <f t="shared" si="103"/>
        <v>-233.08843517306269</v>
      </c>
      <c r="AU205" s="445"/>
      <c r="AV205" s="447">
        <f t="shared" si="102"/>
        <v>233.08843517306269</v>
      </c>
      <c r="AW205" s="447">
        <f t="shared" si="95"/>
        <v>-139.63176266441099</v>
      </c>
      <c r="AX205" s="1597">
        <f t="shared" si="96"/>
        <v>-124.06823733558899</v>
      </c>
      <c r="AY205" s="1597">
        <f t="shared" si="82"/>
        <v>-83.075653981961665</v>
      </c>
      <c r="AZ205" s="1642">
        <f t="shared" si="83"/>
        <v>-80.6008065783288</v>
      </c>
      <c r="BA205" s="274">
        <f t="shared" si="97"/>
        <v>83.075653981961665</v>
      </c>
      <c r="BB205" s="275">
        <f t="shared" si="97"/>
        <v>80.6008065783288</v>
      </c>
      <c r="BC205" s="37">
        <f t="shared" si="98"/>
        <v>0.3</v>
      </c>
      <c r="BE205" s="298">
        <v>32</v>
      </c>
      <c r="BF205" s="1657">
        <f t="shared" si="71"/>
        <v>860</v>
      </c>
      <c r="BG205" s="42">
        <f t="shared" si="72"/>
        <v>860</v>
      </c>
      <c r="BH205" s="301">
        <f t="shared" si="68"/>
        <v>643.02212171568726</v>
      </c>
      <c r="BI205" s="302">
        <f t="shared" si="69"/>
        <v>643.02212171568726</v>
      </c>
      <c r="BJ205" s="302">
        <f t="shared" si="73"/>
        <v>1.977878284312709</v>
      </c>
      <c r="BK205" s="302" t="b">
        <f t="shared" si="70"/>
        <v>0</v>
      </c>
      <c r="BL205" s="304">
        <v>32</v>
      </c>
    </row>
    <row r="206" spans="1:109" ht="21" customHeight="1" thickBot="1" x14ac:dyDescent="0.35">
      <c r="A206" s="296"/>
      <c r="B206" s="277">
        <v>12</v>
      </c>
      <c r="C206" s="278"/>
      <c r="D206" s="25">
        <v>1</v>
      </c>
      <c r="E206" s="257" t="s">
        <v>305</v>
      </c>
      <c r="F206" s="258">
        <f t="shared" si="84"/>
        <v>1.3</v>
      </c>
      <c r="G206" s="258">
        <f t="shared" si="99"/>
        <v>1.3</v>
      </c>
      <c r="H206" s="1632">
        <v>251.073172</v>
      </c>
      <c r="I206" s="1633">
        <v>65.636175100000003</v>
      </c>
      <c r="J206" s="474">
        <f t="shared" si="85"/>
        <v>64.636175100000003</v>
      </c>
      <c r="K206" s="474">
        <f t="shared" si="86"/>
        <v>32.318087550000001</v>
      </c>
      <c r="L206" s="474">
        <f t="shared" si="74"/>
        <v>0.53461916118589337</v>
      </c>
      <c r="M206" s="474">
        <f t="shared" si="75"/>
        <v>134.22852861092153</v>
      </c>
      <c r="N206" s="474">
        <f t="shared" si="76"/>
        <v>268.45705722184306</v>
      </c>
      <c r="O206" s="474">
        <f>+C195+D196+D197+D198+D199+D200+D201+D202+D203+D204+D205+(D206/2)</f>
        <v>11.5</v>
      </c>
      <c r="P206" s="474">
        <f t="shared" si="77"/>
        <v>0.19936793441719697</v>
      </c>
      <c r="Q206" s="474">
        <f t="shared" si="78"/>
        <v>53.521728978038098</v>
      </c>
      <c r="R206" s="474">
        <f t="shared" si="87"/>
        <v>493.60506290799856</v>
      </c>
      <c r="S206" s="474">
        <f t="shared" si="100"/>
        <v>547.1267918860367</v>
      </c>
      <c r="T206" s="476">
        <f t="shared" si="79"/>
        <v>547.1267918860367</v>
      </c>
      <c r="V206" s="1635">
        <f t="shared" si="80"/>
        <v>0</v>
      </c>
      <c r="W206" s="437"/>
      <c r="X206" s="437"/>
      <c r="Y206" s="437"/>
      <c r="Z206" s="437"/>
      <c r="AA206" s="437"/>
      <c r="AB206" s="295" t="str">
        <f t="shared" si="88"/>
        <v>use the locking pin</v>
      </c>
      <c r="AC206" s="1636"/>
      <c r="AD206" s="1636"/>
      <c r="AE206" s="1636"/>
      <c r="AF206" s="1637">
        <f>SUM(V206:V220)/($B$192-B205)</f>
        <v>0</v>
      </c>
      <c r="AG206" s="1638"/>
      <c r="AH206" s="450">
        <f>SUM(D196:D206)+$C$195</f>
        <v>12</v>
      </c>
      <c r="AI206" s="1639"/>
      <c r="AJ206" s="718">
        <f t="shared" si="89"/>
        <v>63.499008599999996</v>
      </c>
      <c r="AK206" s="1639">
        <f t="shared" si="81"/>
        <v>0.89492664082063922</v>
      </c>
      <c r="AL206" s="1639">
        <f t="shared" si="90"/>
        <v>260.1040455377165</v>
      </c>
      <c r="AM206" s="1640">
        <f t="shared" si="91"/>
        <v>69.181912400000002</v>
      </c>
      <c r="AN206" s="1639">
        <f t="shared" si="92"/>
        <v>0.93471352674750907</v>
      </c>
      <c r="AO206" s="1641">
        <f t="shared" si="93"/>
        <v>234.68149007180395</v>
      </c>
      <c r="AP206" s="287"/>
      <c r="AQ206" s="444">
        <f t="shared" si="101"/>
        <v>-293</v>
      </c>
      <c r="AR206" s="444"/>
      <c r="AS206" s="445">
        <f t="shared" si="94"/>
        <v>494.78553560952048</v>
      </c>
      <c r="AT206" s="445">
        <f t="shared" si="103"/>
        <v>-234.68149007180395</v>
      </c>
      <c r="AU206" s="445"/>
      <c r="AV206" s="447">
        <f t="shared" si="102"/>
        <v>234.68149007180395</v>
      </c>
      <c r="AW206" s="447">
        <f t="shared" si="95"/>
        <v>-154.02731053701507</v>
      </c>
      <c r="AX206" s="1597">
        <f t="shared" si="96"/>
        <v>-138.97268946298493</v>
      </c>
      <c r="AY206" s="1597">
        <f t="shared" si="82"/>
        <v>-75.311319528703621</v>
      </c>
      <c r="AZ206" s="1642">
        <f t="shared" si="83"/>
        <v>-71.956583978059072</v>
      </c>
      <c r="BA206" s="274">
        <f t="shared" si="97"/>
        <v>75.311319528703621</v>
      </c>
      <c r="BB206" s="275">
        <f t="shared" si="97"/>
        <v>71.956583978059072</v>
      </c>
      <c r="BC206" s="37">
        <f t="shared" si="98"/>
        <v>0.3</v>
      </c>
      <c r="BE206" s="298">
        <v>33</v>
      </c>
      <c r="BF206" s="1657">
        <f t="shared" si="71"/>
        <v>903</v>
      </c>
      <c r="BG206" s="42">
        <f t="shared" si="72"/>
        <v>903</v>
      </c>
      <c r="BH206" s="301">
        <f t="shared" si="68"/>
        <v>686.02212171568726</v>
      </c>
      <c r="BI206" s="302">
        <f t="shared" si="69"/>
        <v>686.02212171568726</v>
      </c>
      <c r="BJ206" s="302">
        <f t="shared" si="73"/>
        <v>1.977878284312709</v>
      </c>
      <c r="BK206" s="302" t="b">
        <f t="shared" si="70"/>
        <v>0</v>
      </c>
      <c r="BL206" s="304">
        <v>33</v>
      </c>
    </row>
    <row r="207" spans="1:109" ht="21" customHeight="1" thickBot="1" x14ac:dyDescent="0.35">
      <c r="B207" s="277">
        <v>13</v>
      </c>
      <c r="C207" s="278"/>
      <c r="D207" s="25">
        <v>1</v>
      </c>
      <c r="E207" s="257" t="s">
        <v>305</v>
      </c>
      <c r="F207" s="258">
        <f t="shared" si="84"/>
        <v>1.3</v>
      </c>
      <c r="G207" s="258">
        <f t="shared" si="99"/>
        <v>1.3</v>
      </c>
      <c r="H207" s="1632">
        <v>251.073172</v>
      </c>
      <c r="I207" s="1633">
        <v>65.636175100000003</v>
      </c>
      <c r="J207" s="474">
        <f t="shared" si="85"/>
        <v>64.636175100000003</v>
      </c>
      <c r="K207" s="474">
        <f t="shared" si="86"/>
        <v>32.318087550000001</v>
      </c>
      <c r="L207" s="474">
        <f t="shared" si="74"/>
        <v>0.53461916118589337</v>
      </c>
      <c r="M207" s="474">
        <f t="shared" si="75"/>
        <v>134.22852861092153</v>
      </c>
      <c r="N207" s="474">
        <f t="shared" si="76"/>
        <v>268.45705722184306</v>
      </c>
      <c r="O207" s="474">
        <f>+C195+D196+D197+D198+D199+D200+D201+D202+D203+D204+D205+D206+(D207/2)</f>
        <v>12.5</v>
      </c>
      <c r="P207" s="474">
        <f t="shared" si="77"/>
        <v>0.21643961393810265</v>
      </c>
      <c r="Q207" s="474">
        <f t="shared" si="78"/>
        <v>58.104741824054848</v>
      </c>
      <c r="R207" s="474">
        <f t="shared" si="87"/>
        <v>547.1267918860367</v>
      </c>
      <c r="S207" s="474">
        <f t="shared" si="100"/>
        <v>605.23153371009153</v>
      </c>
      <c r="T207" s="476">
        <f t="shared" si="79"/>
        <v>605.23153371009153</v>
      </c>
      <c r="V207" s="1635">
        <f t="shared" si="80"/>
        <v>0</v>
      </c>
      <c r="W207" s="437"/>
      <c r="X207" s="437"/>
      <c r="Y207" s="437"/>
      <c r="Z207" s="437"/>
      <c r="AA207" s="437"/>
      <c r="AB207" s="295" t="str">
        <f t="shared" si="88"/>
        <v>use the locking pin</v>
      </c>
      <c r="AC207" s="1636"/>
      <c r="AD207" s="1636"/>
      <c r="AE207" s="1636"/>
      <c r="AF207" s="1637">
        <f>SUM(V207:V220)/($B$192-B206)</f>
        <v>0</v>
      </c>
      <c r="AG207" s="1638"/>
      <c r="AH207" s="450">
        <f>SUM(D196:D207)+$C$195</f>
        <v>13</v>
      </c>
      <c r="AI207" s="1639"/>
      <c r="AJ207" s="718">
        <f t="shared" si="89"/>
        <v>62.499008599999996</v>
      </c>
      <c r="AK207" s="1639">
        <f t="shared" si="81"/>
        <v>0.88700284331950752</v>
      </c>
      <c r="AL207" s="1639">
        <f t="shared" si="90"/>
        <v>257.8010503065363</v>
      </c>
      <c r="AM207" s="1640">
        <f t="shared" si="91"/>
        <v>70.181912400000002</v>
      </c>
      <c r="AN207" s="1639">
        <f t="shared" si="92"/>
        <v>0.94077378651693899</v>
      </c>
      <c r="AO207" s="1641">
        <f t="shared" si="93"/>
        <v>236.20305871525869</v>
      </c>
      <c r="AP207" s="287"/>
      <c r="AQ207" s="444">
        <f t="shared" si="101"/>
        <v>-322.3</v>
      </c>
      <c r="AR207" s="444"/>
      <c r="AS207" s="445">
        <f t="shared" si="94"/>
        <v>494.00410902179499</v>
      </c>
      <c r="AT207" s="445">
        <f t="shared" si="103"/>
        <v>-236.20305871525869</v>
      </c>
      <c r="AU207" s="445"/>
      <c r="AV207" s="447">
        <f t="shared" si="102"/>
        <v>236.20305871525869</v>
      </c>
      <c r="AW207" s="447">
        <f t="shared" si="95"/>
        <v>-168.19552104197342</v>
      </c>
      <c r="AX207" s="1597">
        <f t="shared" si="96"/>
        <v>-154.10447895802659</v>
      </c>
      <c r="AY207" s="1597">
        <f t="shared" si="82"/>
        <v>-68.967353756734127</v>
      </c>
      <c r="AZ207" s="1642">
        <f t="shared" si="83"/>
        <v>-64.891040595411241</v>
      </c>
      <c r="BA207" s="274">
        <f t="shared" si="97"/>
        <v>68.967353756734127</v>
      </c>
      <c r="BB207" s="275">
        <f t="shared" si="97"/>
        <v>64.891040595411241</v>
      </c>
      <c r="BC207" s="37">
        <f t="shared" si="98"/>
        <v>0.3</v>
      </c>
      <c r="BE207" s="298">
        <v>34</v>
      </c>
      <c r="BF207" s="1657">
        <f t="shared" si="71"/>
        <v>946</v>
      </c>
      <c r="BG207" s="42">
        <f t="shared" si="72"/>
        <v>946</v>
      </c>
      <c r="BH207" s="301">
        <f t="shared" si="68"/>
        <v>729.02212171568726</v>
      </c>
      <c r="BI207" s="302">
        <f t="shared" si="69"/>
        <v>729.02212171568726</v>
      </c>
      <c r="BJ207" s="302">
        <f t="shared" si="73"/>
        <v>1.977878284312709</v>
      </c>
      <c r="BK207" s="302" t="b">
        <f t="shared" si="70"/>
        <v>0</v>
      </c>
      <c r="BL207" s="304">
        <v>34</v>
      </c>
    </row>
    <row r="208" spans="1:109" ht="21" customHeight="1" thickBot="1" x14ac:dyDescent="0.35">
      <c r="B208" s="277">
        <v>14</v>
      </c>
      <c r="C208" s="278"/>
      <c r="D208" s="25">
        <v>1</v>
      </c>
      <c r="E208" s="257" t="s">
        <v>305</v>
      </c>
      <c r="F208" s="258">
        <f t="shared" si="84"/>
        <v>1.3</v>
      </c>
      <c r="G208" s="258">
        <f t="shared" si="99"/>
        <v>1.3</v>
      </c>
      <c r="H208" s="1632">
        <v>251.073172</v>
      </c>
      <c r="I208" s="1633">
        <v>65.636175100000003</v>
      </c>
      <c r="J208" s="474">
        <f t="shared" si="85"/>
        <v>64.636175100000003</v>
      </c>
      <c r="K208" s="474">
        <f t="shared" si="86"/>
        <v>32.318087550000001</v>
      </c>
      <c r="L208" s="474">
        <f t="shared" si="74"/>
        <v>0.53461916118589337</v>
      </c>
      <c r="M208" s="474">
        <f t="shared" si="75"/>
        <v>134.22852861092153</v>
      </c>
      <c r="N208" s="474">
        <f t="shared" si="76"/>
        <v>268.45705722184306</v>
      </c>
      <c r="O208" s="474">
        <f>+C195+D196+D197+D198+D199+D200+D201+D202+D203+D204+D205+D206+D207+(D208/2)</f>
        <v>13.5</v>
      </c>
      <c r="P208" s="474">
        <f t="shared" si="77"/>
        <v>0.23344536385590517</v>
      </c>
      <c r="Q208" s="474">
        <f t="shared" si="78"/>
        <v>62.670055402838706</v>
      </c>
      <c r="R208" s="474">
        <f t="shared" si="87"/>
        <v>605.23153371009153</v>
      </c>
      <c r="S208" s="474">
        <f t="shared" si="100"/>
        <v>667.9015891129302</v>
      </c>
      <c r="T208" s="476">
        <f t="shared" si="79"/>
        <v>667.9015891129302</v>
      </c>
      <c r="V208" s="1635">
        <f t="shared" si="80"/>
        <v>0</v>
      </c>
      <c r="W208" s="437"/>
      <c r="X208" s="437"/>
      <c r="Y208" s="437"/>
      <c r="Z208" s="437"/>
      <c r="AA208" s="437"/>
      <c r="AB208" s="295" t="str">
        <f t="shared" si="88"/>
        <v>use the locking pin</v>
      </c>
      <c r="AC208" s="1636"/>
      <c r="AD208" s="1636"/>
      <c r="AE208" s="1636"/>
      <c r="AF208" s="1637">
        <f>SUM(V208:V220)/($B$192-B207)</f>
        <v>0</v>
      </c>
      <c r="AG208" s="1638"/>
      <c r="AH208" s="450">
        <f>SUM(D196:D208)+$C$195</f>
        <v>14</v>
      </c>
      <c r="AI208" s="1639"/>
      <c r="AJ208" s="718">
        <f t="shared" si="89"/>
        <v>61.499008599999996</v>
      </c>
      <c r="AK208" s="1639">
        <f t="shared" si="81"/>
        <v>0.87880885615971105</v>
      </c>
      <c r="AL208" s="1639">
        <f t="shared" si="90"/>
        <v>255.4195263780579</v>
      </c>
      <c r="AM208" s="1640">
        <f t="shared" si="91"/>
        <v>71.181912400000002</v>
      </c>
      <c r="AN208" s="1639">
        <f t="shared" si="92"/>
        <v>0.94654747747751544</v>
      </c>
      <c r="AO208" s="1641">
        <f t="shared" si="93"/>
        <v>237.65267761887836</v>
      </c>
      <c r="AP208" s="287"/>
      <c r="AQ208" s="444">
        <f t="shared" si="101"/>
        <v>-351.6</v>
      </c>
      <c r="AR208" s="444"/>
      <c r="AS208" s="445">
        <f t="shared" si="94"/>
        <v>493.07220399693625</v>
      </c>
      <c r="AT208" s="445">
        <f t="shared" si="103"/>
        <v>-237.65267761887836</v>
      </c>
      <c r="AU208" s="445"/>
      <c r="AV208" s="447">
        <f t="shared" si="102"/>
        <v>237.65267761887836</v>
      </c>
      <c r="AW208" s="447">
        <f t="shared" si="95"/>
        <v>-182.13459356772657</v>
      </c>
      <c r="AX208" s="1597">
        <f t="shared" si="96"/>
        <v>-169.46540643227343</v>
      </c>
      <c r="AY208" s="1597">
        <f t="shared" si="82"/>
        <v>-63.689164001052617</v>
      </c>
      <c r="AZ208" s="1642">
        <f t="shared" si="83"/>
        <v>-59.009093422240625</v>
      </c>
      <c r="BA208" s="274">
        <f t="shared" si="97"/>
        <v>63.689164001052617</v>
      </c>
      <c r="BB208" s="275">
        <f t="shared" si="97"/>
        <v>59.009093422240625</v>
      </c>
      <c r="BC208" s="37">
        <f t="shared" si="98"/>
        <v>0.3</v>
      </c>
      <c r="BE208" s="298">
        <v>35</v>
      </c>
      <c r="BF208" s="1657">
        <f t="shared" si="71"/>
        <v>989</v>
      </c>
      <c r="BG208" s="42">
        <f t="shared" si="72"/>
        <v>989</v>
      </c>
      <c r="BH208" s="301">
        <f t="shared" si="68"/>
        <v>772.02212171568726</v>
      </c>
      <c r="BI208" s="302">
        <f t="shared" si="69"/>
        <v>772.02212171568726</v>
      </c>
      <c r="BJ208" s="302">
        <f t="shared" si="73"/>
        <v>1.977878284312709</v>
      </c>
      <c r="BK208" s="302" t="b">
        <f t="shared" si="70"/>
        <v>0</v>
      </c>
      <c r="BL208" s="304">
        <v>35</v>
      </c>
    </row>
    <row r="209" spans="2:129" ht="21" customHeight="1" thickBot="1" x14ac:dyDescent="0.35">
      <c r="B209" s="277">
        <v>15</v>
      </c>
      <c r="C209" s="278"/>
      <c r="D209" s="25">
        <v>1</v>
      </c>
      <c r="E209" s="257" t="s">
        <v>305</v>
      </c>
      <c r="F209" s="258">
        <f t="shared" si="84"/>
        <v>1.3</v>
      </c>
      <c r="G209" s="258">
        <f t="shared" si="99"/>
        <v>1.3</v>
      </c>
      <c r="H209" s="1632">
        <v>251.073172</v>
      </c>
      <c r="I209" s="1633">
        <v>65.636175100000003</v>
      </c>
      <c r="J209" s="474">
        <f t="shared" si="85"/>
        <v>64.636175100000003</v>
      </c>
      <c r="K209" s="474">
        <f t="shared" si="86"/>
        <v>32.318087550000001</v>
      </c>
      <c r="L209" s="474">
        <f t="shared" si="74"/>
        <v>0.53461916118589337</v>
      </c>
      <c r="M209" s="474">
        <f t="shared" si="75"/>
        <v>134.22852861092153</v>
      </c>
      <c r="N209" s="474">
        <f t="shared" si="76"/>
        <v>268.45705722184306</v>
      </c>
      <c r="O209" s="474">
        <f>+C195+D196+D197+D198+D199+D200+D201+D202+D203+D204+D205+D206+D207+D208+(D209/2)</f>
        <v>14.5</v>
      </c>
      <c r="P209" s="474">
        <f t="shared" si="77"/>
        <v>0.25038000405444116</v>
      </c>
      <c r="Q209" s="474">
        <f t="shared" si="78"/>
        <v>67.216279075648401</v>
      </c>
      <c r="R209" s="474">
        <f t="shared" si="87"/>
        <v>667.9015891129302</v>
      </c>
      <c r="S209" s="474">
        <f t="shared" si="100"/>
        <v>735.11786818857854</v>
      </c>
      <c r="T209" s="476">
        <f t="shared" si="79"/>
        <v>735.11786818857854</v>
      </c>
      <c r="V209" s="1635">
        <f t="shared" si="80"/>
        <v>0</v>
      </c>
      <c r="W209" s="437"/>
      <c r="X209" s="437"/>
      <c r="Y209" s="437"/>
      <c r="Z209" s="437"/>
      <c r="AA209" s="437"/>
      <c r="AB209" s="295" t="str">
        <f t="shared" si="88"/>
        <v>use the locking pin</v>
      </c>
      <c r="AC209" s="1636"/>
      <c r="AD209" s="1636"/>
      <c r="AE209" s="1636"/>
      <c r="AF209" s="1637">
        <f>SUM(V209:V220)/($B$192-B208)</f>
        <v>0</v>
      </c>
      <c r="AG209" s="1638"/>
      <c r="AH209" s="450">
        <f>SUM(D196:D209)+$C$195</f>
        <v>15</v>
      </c>
      <c r="AI209" s="1639"/>
      <c r="AJ209" s="718">
        <f t="shared" si="89"/>
        <v>60.499008599999996</v>
      </c>
      <c r="AK209" s="1639">
        <f t="shared" si="81"/>
        <v>0.87034717530911587</v>
      </c>
      <c r="AL209" s="1639">
        <f t="shared" si="90"/>
        <v>252.96019918754024</v>
      </c>
      <c r="AM209" s="1640">
        <f t="shared" si="91"/>
        <v>72.181912400000002</v>
      </c>
      <c r="AN209" s="1639">
        <f t="shared" si="92"/>
        <v>0.95203284090704099</v>
      </c>
      <c r="AO209" s="1641">
        <f t="shared" si="93"/>
        <v>239.02990521470213</v>
      </c>
      <c r="AP209" s="287"/>
      <c r="AQ209" s="444">
        <f t="shared" si="101"/>
        <v>-380.90000000000003</v>
      </c>
      <c r="AR209" s="444"/>
      <c r="AS209" s="445">
        <f t="shared" si="94"/>
        <v>491.99010440224237</v>
      </c>
      <c r="AT209" s="445">
        <f t="shared" si="103"/>
        <v>-239.02990521470213</v>
      </c>
      <c r="AU209" s="445"/>
      <c r="AV209" s="447">
        <f t="shared" si="102"/>
        <v>239.02990521470213</v>
      </c>
      <c r="AW209" s="447">
        <f t="shared" si="95"/>
        <v>-195.842434651405</v>
      </c>
      <c r="AX209" s="1597">
        <f t="shared" si="96"/>
        <v>-185.05756534859501</v>
      </c>
      <c r="AY209" s="1597">
        <f t="shared" si="82"/>
        <v>-59.231289789915714</v>
      </c>
      <c r="AZ209" s="1642">
        <f t="shared" si="83"/>
        <v>-54.037239607918153</v>
      </c>
      <c r="BA209" s="274">
        <f t="shared" si="97"/>
        <v>59.231289789915714</v>
      </c>
      <c r="BB209" s="275">
        <f t="shared" si="97"/>
        <v>54.037239607918153</v>
      </c>
      <c r="BC209" s="37">
        <f t="shared" si="98"/>
        <v>0.3</v>
      </c>
      <c r="BE209" s="298">
        <v>36</v>
      </c>
      <c r="BF209" s="1657">
        <f t="shared" si="71"/>
        <v>1032</v>
      </c>
      <c r="BG209" s="42">
        <f t="shared" si="72"/>
        <v>1032</v>
      </c>
      <c r="BH209" s="301">
        <f t="shared" si="68"/>
        <v>815.02212171568726</v>
      </c>
      <c r="BI209" s="302">
        <f t="shared" si="69"/>
        <v>815.02212171568726</v>
      </c>
      <c r="BJ209" s="302">
        <f t="shared" si="73"/>
        <v>1.977878284312709</v>
      </c>
      <c r="BK209" s="302" t="b">
        <f t="shared" si="70"/>
        <v>0</v>
      </c>
      <c r="BL209" s="304">
        <v>36</v>
      </c>
    </row>
    <row r="210" spans="2:129" ht="21" customHeight="1" thickBot="1" x14ac:dyDescent="0.35">
      <c r="B210" s="277">
        <v>16</v>
      </c>
      <c r="C210" s="278"/>
      <c r="D210" s="25">
        <v>1</v>
      </c>
      <c r="E210" s="257" t="s">
        <v>305</v>
      </c>
      <c r="F210" s="258">
        <f t="shared" si="84"/>
        <v>1.3</v>
      </c>
      <c r="G210" s="258">
        <f>+D210+BC210</f>
        <v>1.3</v>
      </c>
      <c r="H210" s="1632">
        <v>251.073172</v>
      </c>
      <c r="I210" s="1633">
        <v>65.636175100000003</v>
      </c>
      <c r="J210" s="474">
        <f t="shared" si="85"/>
        <v>64.636175100000003</v>
      </c>
      <c r="K210" s="474">
        <f t="shared" si="86"/>
        <v>32.318087550000001</v>
      </c>
      <c r="L210" s="474">
        <f t="shared" si="74"/>
        <v>0.53461916118589337</v>
      </c>
      <c r="M210" s="474">
        <f t="shared" si="75"/>
        <v>134.22852861092153</v>
      </c>
      <c r="N210" s="474">
        <f t="shared" si="76"/>
        <v>268.45705722184306</v>
      </c>
      <c r="O210" s="474">
        <f>+C195+D196+D197+D198+D199+D200+D201+D202+D203+D204+D205+D206+D207+D208+D209+(D210/2)</f>
        <v>15.5</v>
      </c>
      <c r="P210" s="474">
        <f t="shared" si="77"/>
        <v>0.26723837607825657</v>
      </c>
      <c r="Q210" s="474">
        <f t="shared" si="78"/>
        <v>71.742028018712944</v>
      </c>
      <c r="R210" s="474">
        <f t="shared" si="87"/>
        <v>735.11786818857854</v>
      </c>
      <c r="S210" s="474">
        <f t="shared" si="100"/>
        <v>806.85989620729151</v>
      </c>
      <c r="T210" s="476">
        <f t="shared" si="79"/>
        <v>806.85989620729151</v>
      </c>
      <c r="V210" s="1635">
        <f t="shared" si="80"/>
        <v>0</v>
      </c>
      <c r="W210" s="437"/>
      <c r="X210" s="437"/>
      <c r="Y210" s="437"/>
      <c r="Z210" s="437"/>
      <c r="AA210" s="437"/>
      <c r="AB210" s="295" t="str">
        <f t="shared" si="88"/>
        <v>use the locking pin</v>
      </c>
      <c r="AC210" s="1636"/>
      <c r="AD210" s="1636"/>
      <c r="AE210" s="1636"/>
      <c r="AF210" s="1637">
        <f>SUM(V210:V220)/($B$192-B209)</f>
        <v>0</v>
      </c>
      <c r="AG210" s="1638"/>
      <c r="AH210" s="450">
        <f>SUM(D196:D210)+$C$195</f>
        <v>16</v>
      </c>
      <c r="AI210" s="1639"/>
      <c r="AJ210" s="718">
        <f t="shared" si="89"/>
        <v>59.499008599999996</v>
      </c>
      <c r="AK210" s="1639">
        <f t="shared" si="81"/>
        <v>0.86162037827767901</v>
      </c>
      <c r="AL210" s="1639">
        <f t="shared" si="90"/>
        <v>250.42381786986954</v>
      </c>
      <c r="AM210" s="1640">
        <f t="shared" si="91"/>
        <v>73.181912400000002</v>
      </c>
      <c r="AN210" s="1639">
        <f t="shared" si="92"/>
        <v>0.95722820591067703</v>
      </c>
      <c r="AO210" s="1641">
        <f t="shared" si="93"/>
        <v>240.33432198586283</v>
      </c>
      <c r="AP210" s="287"/>
      <c r="AQ210" s="444">
        <f t="shared" si="101"/>
        <v>-410.2</v>
      </c>
      <c r="AR210" s="444"/>
      <c r="AS210" s="445">
        <f t="shared" si="94"/>
        <v>490.75813985573234</v>
      </c>
      <c r="AT210" s="445">
        <f t="shared" si="103"/>
        <v>-240.33432198586283</v>
      </c>
      <c r="AU210" s="445"/>
      <c r="AV210" s="447">
        <f t="shared" si="102"/>
        <v>240.33432198586283</v>
      </c>
      <c r="AW210" s="447">
        <f t="shared" si="95"/>
        <v>-209.31665060189954</v>
      </c>
      <c r="AX210" s="1597">
        <f t="shared" si="96"/>
        <v>-200.88334939810045</v>
      </c>
      <c r="AY210" s="1597">
        <f t="shared" si="82"/>
        <v>-55.418429287128724</v>
      </c>
      <c r="AZ210" s="1642">
        <f t="shared" si="83"/>
        <v>-49.780133744098954</v>
      </c>
      <c r="BA210" s="274">
        <f t="shared" si="97"/>
        <v>55.418429287128724</v>
      </c>
      <c r="BB210" s="275">
        <f t="shared" si="97"/>
        <v>49.780133744098954</v>
      </c>
      <c r="BC210" s="37">
        <f t="shared" si="98"/>
        <v>0.3</v>
      </c>
      <c r="BE210" s="308">
        <v>37</v>
      </c>
      <c r="BF210" s="1679">
        <f t="shared" si="71"/>
        <v>1075</v>
      </c>
      <c r="BG210" s="42">
        <f t="shared" si="72"/>
        <v>1075</v>
      </c>
      <c r="BH210" s="301">
        <f t="shared" si="68"/>
        <v>858.02212171568726</v>
      </c>
      <c r="BI210" s="302">
        <f t="shared" si="69"/>
        <v>858.02212171568726</v>
      </c>
      <c r="BJ210" s="302">
        <f t="shared" si="73"/>
        <v>1.977878284312709</v>
      </c>
      <c r="BK210" s="302" t="b">
        <f t="shared" si="70"/>
        <v>0</v>
      </c>
      <c r="BL210" s="310">
        <v>37</v>
      </c>
    </row>
    <row r="211" spans="2:129" ht="21" customHeight="1" thickBot="1" x14ac:dyDescent="0.25">
      <c r="B211" s="277">
        <v>17</v>
      </c>
      <c r="C211" s="278"/>
      <c r="D211" s="25">
        <v>1</v>
      </c>
      <c r="E211" s="257" t="s">
        <v>305</v>
      </c>
      <c r="F211" s="258">
        <f t="shared" si="84"/>
        <v>1.3</v>
      </c>
      <c r="G211" s="258">
        <f t="shared" si="99"/>
        <v>1.3</v>
      </c>
      <c r="H211" s="1632">
        <v>251.073172</v>
      </c>
      <c r="I211" s="1633">
        <v>65.636175100000003</v>
      </c>
      <c r="J211" s="474">
        <f t="shared" si="85"/>
        <v>64.636175100000003</v>
      </c>
      <c r="K211" s="474">
        <f t="shared" si="86"/>
        <v>32.318087550000001</v>
      </c>
      <c r="L211" s="474">
        <f t="shared" si="74"/>
        <v>0.53461916118589337</v>
      </c>
      <c r="M211" s="474">
        <f t="shared" si="75"/>
        <v>134.22852861092153</v>
      </c>
      <c r="N211" s="474">
        <f t="shared" si="76"/>
        <v>268.45705722184306</v>
      </c>
      <c r="O211" s="474">
        <f>+C195+D196+D197+D198+D199+D200+D201+D202+D203+D204+D205+D206+D207+D208+D209+D210+(D211/2)</f>
        <v>16.5</v>
      </c>
      <c r="P211" s="474">
        <f t="shared" si="77"/>
        <v>0.28401534470392237</v>
      </c>
      <c r="Q211" s="474">
        <f t="shared" si="78"/>
        <v>76.245923645062362</v>
      </c>
      <c r="R211" s="474">
        <f t="shared" si="87"/>
        <v>806.85989620729151</v>
      </c>
      <c r="S211" s="474">
        <f t="shared" si="100"/>
        <v>883.10581985235387</v>
      </c>
      <c r="T211" s="476">
        <f t="shared" si="79"/>
        <v>883.10581985235387</v>
      </c>
      <c r="V211" s="1635">
        <f t="shared" si="80"/>
        <v>0</v>
      </c>
      <c r="W211" s="437"/>
      <c r="X211" s="437"/>
      <c r="Y211" s="437"/>
      <c r="Z211" s="437"/>
      <c r="AA211" s="437"/>
      <c r="AB211" s="295" t="str">
        <f t="shared" si="88"/>
        <v>use the locking pin</v>
      </c>
      <c r="AC211" s="1636"/>
      <c r="AD211" s="1636"/>
      <c r="AE211" s="1636"/>
      <c r="AF211" s="1637">
        <f>SUM(V211:V220)/($B$192-B210)</f>
        <v>0</v>
      </c>
      <c r="AG211" s="1638"/>
      <c r="AH211" s="450">
        <f>SUM(D196:D211)+$C$195</f>
        <v>17</v>
      </c>
      <c r="AI211" s="1639"/>
      <c r="AJ211" s="718">
        <f t="shared" si="89"/>
        <v>58.499008599999996</v>
      </c>
      <c r="AK211" s="1639">
        <f t="shared" si="81"/>
        <v>0.85263112333231494</v>
      </c>
      <c r="AL211" s="1639">
        <f t="shared" si="90"/>
        <v>247.81115503136576</v>
      </c>
      <c r="AM211" s="1640">
        <f t="shared" si="91"/>
        <v>74.181912400000002</v>
      </c>
      <c r="AN211" s="1639">
        <f t="shared" si="92"/>
        <v>0.96213198992991489</v>
      </c>
      <c r="AO211" s="1641">
        <f t="shared" si="93"/>
        <v>241.56553059437579</v>
      </c>
      <c r="AP211" s="287"/>
      <c r="AQ211" s="444">
        <f t="shared" si="101"/>
        <v>-439.5</v>
      </c>
      <c r="AR211" s="444"/>
      <c r="AS211" s="445">
        <f t="shared" si="94"/>
        <v>489.37668562574152</v>
      </c>
      <c r="AT211" s="445">
        <f t="shared" si="103"/>
        <v>-241.56553059437579</v>
      </c>
      <c r="AU211" s="445"/>
      <c r="AV211" s="447">
        <f t="shared" si="102"/>
        <v>241.56553059437579</v>
      </c>
      <c r="AW211" s="447">
        <f t="shared" si="95"/>
        <v>-222.55453893767663</v>
      </c>
      <c r="AX211" s="1597">
        <f t="shared" si="96"/>
        <v>-216.94546106232335</v>
      </c>
      <c r="AY211" s="1597">
        <f t="shared" si="82"/>
        <v>-52.122055363914292</v>
      </c>
      <c r="AZ211" s="1642">
        <f t="shared" si="83"/>
        <v>-46.094534317669982</v>
      </c>
      <c r="BA211" s="274">
        <f t="shared" si="97"/>
        <v>52.122055363914292</v>
      </c>
      <c r="BB211" s="275">
        <f t="shared" si="97"/>
        <v>46.094534317669982</v>
      </c>
      <c r="BC211" s="37">
        <f t="shared" si="98"/>
        <v>0.3</v>
      </c>
      <c r="BD211" s="136"/>
      <c r="BP211" s="126"/>
      <c r="BR211" s="126"/>
      <c r="BT211" s="126"/>
      <c r="DF211" s="126"/>
      <c r="DG211" s="126"/>
      <c r="DH211" s="126"/>
      <c r="DI211" s="126"/>
      <c r="DJ211" s="126"/>
      <c r="DK211" s="126"/>
      <c r="DL211" s="203"/>
      <c r="DM211" s="203"/>
      <c r="DN211" s="203"/>
      <c r="DO211" s="203"/>
      <c r="DP211" s="203"/>
      <c r="DQ211" s="203"/>
      <c r="DR211" s="203"/>
      <c r="DS211" s="203"/>
      <c r="DT211" s="203"/>
      <c r="DU211" s="203"/>
      <c r="DV211" s="203"/>
      <c r="DW211" s="203"/>
      <c r="DX211" s="203"/>
      <c r="DY211" s="203"/>
    </row>
    <row r="212" spans="2:129" ht="21" customHeight="1" thickBot="1" x14ac:dyDescent="0.25">
      <c r="B212" s="277">
        <v>18</v>
      </c>
      <c r="C212" s="278"/>
      <c r="D212" s="25">
        <v>1</v>
      </c>
      <c r="E212" s="257" t="s">
        <v>305</v>
      </c>
      <c r="F212" s="258">
        <f t="shared" si="84"/>
        <v>1.3</v>
      </c>
      <c r="G212" s="258">
        <f t="shared" si="99"/>
        <v>1.3</v>
      </c>
      <c r="H212" s="1632">
        <v>251.073172</v>
      </c>
      <c r="I212" s="1633">
        <v>65.636175100000003</v>
      </c>
      <c r="J212" s="474">
        <f t="shared" si="85"/>
        <v>64.636175100000003</v>
      </c>
      <c r="K212" s="474">
        <f t="shared" si="86"/>
        <v>32.318087550000001</v>
      </c>
      <c r="L212" s="474">
        <f t="shared" si="74"/>
        <v>0.53461916118589337</v>
      </c>
      <c r="M212" s="474">
        <f t="shared" si="75"/>
        <v>134.22852861092153</v>
      </c>
      <c r="N212" s="474">
        <f t="shared" si="76"/>
        <v>268.45705722184306</v>
      </c>
      <c r="O212" s="474">
        <f>+C195+D196+D197+D198+D199+D200+D201+D202+D203+D204+D205+D206+D207+D208+D209+D210+D211+(D212/2)</f>
        <v>17.5</v>
      </c>
      <c r="P212" s="474">
        <f t="shared" si="77"/>
        <v>0.30070579950427284</v>
      </c>
      <c r="Q212" s="474">
        <f t="shared" si="78"/>
        <v>80.726594024458635</v>
      </c>
      <c r="R212" s="474">
        <f t="shared" si="87"/>
        <v>883.10581985235387</v>
      </c>
      <c r="S212" s="474">
        <f t="shared" si="100"/>
        <v>963.83241387681255</v>
      </c>
      <c r="T212" s="476">
        <f t="shared" si="79"/>
        <v>963.83241387681255</v>
      </c>
      <c r="V212" s="1635">
        <f t="shared" si="80"/>
        <v>0</v>
      </c>
      <c r="W212" s="437"/>
      <c r="X212" s="437"/>
      <c r="Y212" s="437"/>
      <c r="Z212" s="437"/>
      <c r="AA212" s="437"/>
      <c r="AB212" s="295" t="str">
        <f t="shared" si="88"/>
        <v>use the locking pin</v>
      </c>
      <c r="AC212" s="1636"/>
      <c r="AD212" s="1636"/>
      <c r="AE212" s="1636"/>
      <c r="AF212" s="1637">
        <f>SUM(V212:V220)/($B$192-B211)</f>
        <v>0</v>
      </c>
      <c r="AG212" s="1638"/>
      <c r="AH212" s="450">
        <f>SUM(D196:D212)+$C$195</f>
        <v>18</v>
      </c>
      <c r="AI212" s="1639"/>
      <c r="AJ212" s="718">
        <f t="shared" si="89"/>
        <v>57.499008599999996</v>
      </c>
      <c r="AK212" s="1639">
        <f t="shared" si="81"/>
        <v>0.84338214868716044</v>
      </c>
      <c r="AL212" s="1639">
        <f t="shared" si="90"/>
        <v>245.12300651443877</v>
      </c>
      <c r="AM212" s="1640">
        <f t="shared" si="91"/>
        <v>75.181912400000002</v>
      </c>
      <c r="AN212" s="1639">
        <f t="shared" si="92"/>
        <v>0.96674269922463818</v>
      </c>
      <c r="AO212" s="1641">
        <f t="shared" si="93"/>
        <v>242.72315600217186</v>
      </c>
      <c r="AP212" s="287"/>
      <c r="AQ212" s="444">
        <f t="shared" si="101"/>
        <v>-468.8</v>
      </c>
      <c r="AR212" s="444"/>
      <c r="AS212" s="445">
        <f t="shared" si="94"/>
        <v>487.84616251661066</v>
      </c>
      <c r="AT212" s="445">
        <f t="shared" si="103"/>
        <v>-242.72315600217186</v>
      </c>
      <c r="AU212" s="445"/>
      <c r="AV212" s="447">
        <f t="shared" si="102"/>
        <v>242.72315600217186</v>
      </c>
      <c r="AW212" s="447">
        <f t="shared" si="95"/>
        <v>-235.5530785794717</v>
      </c>
      <c r="AX212" s="1597">
        <f t="shared" si="96"/>
        <v>-233.24692142052831</v>
      </c>
      <c r="AY212" s="1597">
        <f t="shared" si="82"/>
        <v>-49.245800861338999</v>
      </c>
      <c r="AZ212" s="1642">
        <f t="shared" si="83"/>
        <v>-42.873020312969885</v>
      </c>
      <c r="BA212" s="274">
        <f t="shared" si="97"/>
        <v>49.245800861338999</v>
      </c>
      <c r="BB212" s="275">
        <f t="shared" si="97"/>
        <v>42.873020312969885</v>
      </c>
      <c r="BC212" s="37">
        <f t="shared" si="98"/>
        <v>0.3</v>
      </c>
      <c r="BD212" s="458"/>
      <c r="BP212" s="126"/>
      <c r="BT212" s="126"/>
      <c r="DF212" s="126"/>
      <c r="DG212" s="126"/>
      <c r="DH212" s="126"/>
      <c r="DI212" s="126"/>
      <c r="DJ212" s="126"/>
      <c r="DK212" s="126"/>
      <c r="DL212" s="203"/>
      <c r="DM212" s="203"/>
      <c r="DN212" s="203"/>
      <c r="DO212" s="203"/>
      <c r="DP212" s="203"/>
      <c r="DQ212" s="203"/>
      <c r="DR212" s="203"/>
      <c r="DS212" s="203"/>
      <c r="DT212" s="203"/>
      <c r="DU212" s="203"/>
      <c r="DV212" s="203"/>
      <c r="DW212" s="203"/>
      <c r="DX212" s="203"/>
      <c r="DY212" s="203"/>
    </row>
    <row r="213" spans="2:129" ht="21" customHeight="1" thickBot="1" x14ac:dyDescent="0.25">
      <c r="B213" s="277">
        <v>19</v>
      </c>
      <c r="C213" s="278"/>
      <c r="D213" s="25">
        <v>1</v>
      </c>
      <c r="E213" s="257" t="s">
        <v>305</v>
      </c>
      <c r="F213" s="258">
        <f t="shared" si="84"/>
        <v>1.3</v>
      </c>
      <c r="G213" s="258">
        <f t="shared" si="99"/>
        <v>1.3</v>
      </c>
      <c r="H213" s="1632">
        <v>251.073172</v>
      </c>
      <c r="I213" s="1633">
        <v>65.636175100000003</v>
      </c>
      <c r="J213" s="474">
        <f t="shared" si="85"/>
        <v>64.636175100000003</v>
      </c>
      <c r="K213" s="474">
        <f t="shared" si="86"/>
        <v>32.318087550000001</v>
      </c>
      <c r="L213" s="474">
        <f t="shared" si="74"/>
        <v>0.53461916118589337</v>
      </c>
      <c r="M213" s="474">
        <f t="shared" si="75"/>
        <v>134.22852861092153</v>
      </c>
      <c r="N213" s="474">
        <f t="shared" si="76"/>
        <v>268.45705722184306</v>
      </c>
      <c r="O213" s="474">
        <f>+C195+D196+D197+D198+D199+D200+D201+D202+D203+D204+D205+D206+D207+D208+D209+D210+D211+D212+(D213/2)</f>
        <v>18.5</v>
      </c>
      <c r="P213" s="474">
        <f t="shared" si="77"/>
        <v>0.31730465640509181</v>
      </c>
      <c r="Q213" s="474">
        <f t="shared" si="78"/>
        <v>85.182674301298988</v>
      </c>
      <c r="R213" s="474">
        <f t="shared" si="87"/>
        <v>963.83241387681255</v>
      </c>
      <c r="S213" s="474">
        <f t="shared" si="100"/>
        <v>1049.0150881781115</v>
      </c>
      <c r="T213" s="476">
        <f t="shared" si="79"/>
        <v>1049.0150881781115</v>
      </c>
      <c r="V213" s="1635">
        <f t="shared" si="80"/>
        <v>0</v>
      </c>
      <c r="W213" s="437"/>
      <c r="X213" s="437"/>
      <c r="Y213" s="437"/>
      <c r="Z213" s="437"/>
      <c r="AA213" s="437"/>
      <c r="AB213" s="258" t="str">
        <f t="shared" si="88"/>
        <v>use the locking pin</v>
      </c>
      <c r="AC213" s="1636"/>
      <c r="AD213" s="1636"/>
      <c r="AE213" s="1636"/>
      <c r="AF213" s="1637">
        <f>SUM(V213:V220)/($B$192-B212)</f>
        <v>0</v>
      </c>
      <c r="AG213" s="1638"/>
      <c r="AH213" s="450">
        <f>SUM(D196:D213)+$C$195</f>
        <v>19</v>
      </c>
      <c r="AI213" s="1639"/>
      <c r="AJ213" s="718">
        <f t="shared" si="89"/>
        <v>56.499008599999996</v>
      </c>
      <c r="AK213" s="1639">
        <f t="shared" si="81"/>
        <v>0.83387627166948974</v>
      </c>
      <c r="AL213" s="1639">
        <f t="shared" si="90"/>
        <v>242.36019115516766</v>
      </c>
      <c r="AM213" s="1640">
        <f t="shared" si="91"/>
        <v>76.181912400000002</v>
      </c>
      <c r="AN213" s="1639">
        <f t="shared" si="92"/>
        <v>0.97105892932813076</v>
      </c>
      <c r="AO213" s="1641">
        <f t="shared" si="93"/>
        <v>243.80684558533761</v>
      </c>
      <c r="AP213" s="287"/>
      <c r="AQ213" s="444">
        <f t="shared" si="101"/>
        <v>-498.1</v>
      </c>
      <c r="AR213" s="444"/>
      <c r="AS213" s="445">
        <f t="shared" si="94"/>
        <v>486.1670367405053</v>
      </c>
      <c r="AT213" s="445">
        <f t="shared" si="103"/>
        <v>-243.80684558533761</v>
      </c>
      <c r="AU213" s="445"/>
      <c r="AV213" s="447">
        <f t="shared" si="102"/>
        <v>243.80684558533761</v>
      </c>
      <c r="AW213" s="447">
        <f t="shared" si="95"/>
        <v>-248.30891872832561</v>
      </c>
      <c r="AX213" s="1597">
        <f t="shared" si="96"/>
        <v>-249.79108127167441</v>
      </c>
      <c r="AY213" s="1597">
        <f t="shared" si="82"/>
        <v>-46.716002225806243</v>
      </c>
      <c r="AZ213" s="1642">
        <f t="shared" si="83"/>
        <v>-40.033454953997875</v>
      </c>
      <c r="BA213" s="274">
        <f t="shared" si="97"/>
        <v>46.716002225806243</v>
      </c>
      <c r="BB213" s="275">
        <f t="shared" si="97"/>
        <v>40.033454953997875</v>
      </c>
      <c r="BC213" s="37">
        <f t="shared" si="98"/>
        <v>0.3</v>
      </c>
      <c r="BD213" s="144"/>
      <c r="BP213" s="126"/>
      <c r="BQ213" s="311"/>
      <c r="BR213" s="311"/>
      <c r="BS213" s="311"/>
      <c r="BT213" s="311"/>
      <c r="BU213" s="311"/>
      <c r="BV213" s="311"/>
      <c r="BW213" s="311"/>
      <c r="BX213" s="311"/>
      <c r="BY213" s="311"/>
      <c r="BZ213" s="311"/>
      <c r="CA213" s="311"/>
      <c r="CB213" s="311"/>
      <c r="CC213" s="311"/>
      <c r="CD213" s="311"/>
      <c r="CE213" s="311"/>
      <c r="CF213" s="311"/>
      <c r="CG213" s="311"/>
      <c r="CH213" s="311"/>
      <c r="CI213" s="311"/>
      <c r="CJ213" s="311"/>
      <c r="CK213" s="311"/>
      <c r="CL213" s="311"/>
      <c r="CM213" s="311"/>
      <c r="CN213" s="311"/>
      <c r="DF213" s="126"/>
      <c r="DG213" s="126"/>
      <c r="DH213" s="126"/>
      <c r="DI213" s="126"/>
      <c r="DJ213" s="126"/>
      <c r="DK213" s="126"/>
      <c r="DL213" s="203"/>
      <c r="DM213" s="203"/>
      <c r="DN213" s="203"/>
      <c r="DO213" s="203"/>
      <c r="DP213" s="203"/>
      <c r="DQ213" s="203"/>
      <c r="DR213" s="203"/>
      <c r="DS213" s="203"/>
      <c r="DT213" s="203"/>
      <c r="DU213" s="203"/>
      <c r="DV213" s="203"/>
      <c r="DW213" s="203"/>
      <c r="DX213" s="203"/>
      <c r="DY213" s="203"/>
    </row>
    <row r="214" spans="2:129" ht="21" customHeight="1" thickBot="1" x14ac:dyDescent="0.25">
      <c r="B214" s="277">
        <v>20</v>
      </c>
      <c r="C214" s="278"/>
      <c r="D214" s="25">
        <v>1</v>
      </c>
      <c r="E214" s="257" t="s">
        <v>305</v>
      </c>
      <c r="F214" s="258">
        <f t="shared" si="84"/>
        <v>1.3</v>
      </c>
      <c r="G214" s="258">
        <f t="shared" si="99"/>
        <v>1.3</v>
      </c>
      <c r="H214" s="1632">
        <v>251.073172</v>
      </c>
      <c r="I214" s="1633">
        <v>65.636175100000003</v>
      </c>
      <c r="J214" s="474">
        <f t="shared" si="85"/>
        <v>64.636175100000003</v>
      </c>
      <c r="K214" s="474">
        <f t="shared" si="86"/>
        <v>32.318087550000001</v>
      </c>
      <c r="L214" s="474">
        <f t="shared" si="74"/>
        <v>0.53461916118589337</v>
      </c>
      <c r="M214" s="474">
        <f t="shared" si="75"/>
        <v>134.22852861092153</v>
      </c>
      <c r="N214" s="474">
        <f t="shared" si="76"/>
        <v>268.45705722184306</v>
      </c>
      <c r="O214" s="64">
        <f>+C195+D196+D197+D198+D199+D200+D201+D202+D203+D204+D205+D206+D207+D208+D209+D210+D211+D212+D213+(D214/2)</f>
        <v>19.5</v>
      </c>
      <c r="P214" s="474">
        <f t="shared" si="77"/>
        <v>0.33380685923377057</v>
      </c>
      <c r="Q214" s="474">
        <f t="shared" si="78"/>
        <v>89.612807110364059</v>
      </c>
      <c r="R214" s="474">
        <f t="shared" si="87"/>
        <v>1049.0150881781115</v>
      </c>
      <c r="S214" s="474">
        <f t="shared" si="100"/>
        <v>1138.6278952884754</v>
      </c>
      <c r="T214" s="476">
        <f t="shared" si="79"/>
        <v>1138.6278952884754</v>
      </c>
      <c r="V214" s="1635">
        <f t="shared" si="80"/>
        <v>0</v>
      </c>
      <c r="W214" s="437"/>
      <c r="X214" s="437"/>
      <c r="Y214" s="437"/>
      <c r="Z214" s="437"/>
      <c r="AA214" s="437"/>
      <c r="AB214" s="281" t="str">
        <f t="shared" si="88"/>
        <v>use the locking pin</v>
      </c>
      <c r="AC214" s="1636"/>
      <c r="AD214" s="1636"/>
      <c r="AE214" s="1636"/>
      <c r="AF214" s="1637">
        <f>SUM(V214:V220)/($B$192-B213)</f>
        <v>0</v>
      </c>
      <c r="AG214" s="1638"/>
      <c r="AH214" s="450">
        <f>SUM(D196:D214)+$C$195</f>
        <v>20</v>
      </c>
      <c r="AI214" s="1639"/>
      <c r="AJ214" s="718">
        <f t="shared" si="89"/>
        <v>55.499008599999996</v>
      </c>
      <c r="AK214" s="1639">
        <f t="shared" si="81"/>
        <v>0.82411638786152763</v>
      </c>
      <c r="AL214" s="1639">
        <f t="shared" si="90"/>
        <v>239.52355053387478</v>
      </c>
      <c r="AM214" s="1640">
        <f t="shared" si="91"/>
        <v>77.181912400000002</v>
      </c>
      <c r="AN214" s="1639">
        <f t="shared" si="92"/>
        <v>0.97507936547489105</v>
      </c>
      <c r="AO214" s="1641">
        <f t="shared" si="93"/>
        <v>244.81626924152818</v>
      </c>
      <c r="AP214" s="287"/>
      <c r="AQ214" s="444">
        <f t="shared" si="101"/>
        <v>-527.4</v>
      </c>
      <c r="AR214" s="444"/>
      <c r="AS214" s="445">
        <f t="shared" si="94"/>
        <v>484.33981977540293</v>
      </c>
      <c r="AT214" s="445">
        <f t="shared" si="103"/>
        <v>-244.81626924152818</v>
      </c>
      <c r="AU214" s="445"/>
      <c r="AV214" s="447">
        <f t="shared" si="102"/>
        <v>244.81626924152818</v>
      </c>
      <c r="AW214" s="447">
        <f t="shared" si="95"/>
        <v>-260.81836634895018</v>
      </c>
      <c r="AX214" s="1597">
        <f t="shared" si="96"/>
        <v>-266.58163365104986</v>
      </c>
      <c r="AY214" s="1597">
        <f t="shared" si="82"/>
        <v>-44.475395511374003</v>
      </c>
      <c r="AZ214" s="1642">
        <f t="shared" si="83"/>
        <v>-37.511961582056344</v>
      </c>
      <c r="BA214" s="274">
        <f t="shared" si="97"/>
        <v>44.475395511374003</v>
      </c>
      <c r="BB214" s="275">
        <f t="shared" si="97"/>
        <v>37.511961582056344</v>
      </c>
      <c r="BC214" s="37">
        <f t="shared" si="98"/>
        <v>0.3</v>
      </c>
      <c r="BD214" s="144"/>
      <c r="BP214" s="126"/>
      <c r="DF214" s="126"/>
      <c r="DG214" s="126"/>
      <c r="DH214" s="126"/>
      <c r="DI214" s="126"/>
      <c r="DJ214" s="126"/>
      <c r="DK214" s="126"/>
      <c r="DL214" s="203"/>
      <c r="DM214" s="203"/>
      <c r="DN214" s="203"/>
      <c r="DO214" s="203"/>
      <c r="DP214" s="203"/>
      <c r="DQ214" s="203"/>
      <c r="DR214" s="203"/>
      <c r="DS214" s="203"/>
      <c r="DT214" s="203"/>
      <c r="DU214" s="203"/>
      <c r="DV214" s="203"/>
      <c r="DW214" s="203"/>
      <c r="DX214" s="203"/>
      <c r="DY214" s="203"/>
    </row>
    <row r="215" spans="2:129" ht="19" thickBot="1" x14ac:dyDescent="0.25">
      <c r="B215" s="277">
        <v>21</v>
      </c>
      <c r="C215" s="1644"/>
      <c r="D215" s="25">
        <v>1</v>
      </c>
      <c r="E215" s="257" t="s">
        <v>305</v>
      </c>
      <c r="F215" s="258">
        <f t="shared" si="84"/>
        <v>1.3</v>
      </c>
      <c r="G215" s="258">
        <f t="shared" si="99"/>
        <v>1.3</v>
      </c>
      <c r="H215" s="1632">
        <v>251.073172</v>
      </c>
      <c r="I215" s="1633">
        <v>65.636175100000003</v>
      </c>
      <c r="J215" s="474">
        <f t="shared" si="85"/>
        <v>64.636175100000003</v>
      </c>
      <c r="K215" s="474">
        <f t="shared" si="86"/>
        <v>32.318087550000001</v>
      </c>
      <c r="L215" s="474">
        <f t="shared" si="74"/>
        <v>0.53461916118589337</v>
      </c>
      <c r="M215" s="474">
        <f t="shared" si="75"/>
        <v>134.22852861092153</v>
      </c>
      <c r="N215" s="474">
        <f t="shared" si="76"/>
        <v>268.45705722184306</v>
      </c>
      <c r="O215" s="1645">
        <f>+C195+D196+D197+D198+D199+D200+D201+D202+D203+D204+D205+D206+D207+D208+D209+D210+D211+D212+D213+D214+(D215/2)</f>
        <v>20.5</v>
      </c>
      <c r="P215" s="474">
        <f t="shared" si="77"/>
        <v>0.35020738125946715</v>
      </c>
      <c r="Q215" s="474">
        <f t="shared" si="78"/>
        <v>94.015642990284576</v>
      </c>
      <c r="R215" s="474">
        <f t="shared" si="87"/>
        <v>1138.6278952884754</v>
      </c>
      <c r="S215" s="474">
        <f t="shared" si="100"/>
        <v>1232.6435382787599</v>
      </c>
      <c r="T215" s="476">
        <f t="shared" si="79"/>
        <v>1232.6435382787599</v>
      </c>
      <c r="V215" s="1635">
        <f t="shared" si="80"/>
        <v>0</v>
      </c>
      <c r="AB215" s="281" t="str">
        <f t="shared" si="88"/>
        <v>use the locking pin</v>
      </c>
      <c r="AF215" s="1637">
        <f>SUM(V215:V220)/($B$192-B214)</f>
        <v>0</v>
      </c>
      <c r="AG215" s="1646"/>
      <c r="AH215" s="450">
        <f>SUM(D196:D215)+$C$195</f>
        <v>21</v>
      </c>
      <c r="AI215" s="1639"/>
      <c r="AJ215" s="718">
        <f t="shared" si="89"/>
        <v>54.499008599999996</v>
      </c>
      <c r="AK215" s="1639">
        <f t="shared" si="81"/>
        <v>0.81410547021842816</v>
      </c>
      <c r="AL215" s="1639">
        <f t="shared" si="90"/>
        <v>236.61394871877258</v>
      </c>
      <c r="AM215" s="1640">
        <f t="shared" si="91"/>
        <v>78.181912400000002</v>
      </c>
      <c r="AN215" s="1639">
        <f t="shared" si="92"/>
        <v>0.97880278300112167</v>
      </c>
      <c r="AO215" s="1641">
        <f t="shared" si="93"/>
        <v>245.7511194905193</v>
      </c>
      <c r="AP215" s="287"/>
      <c r="AQ215" s="444">
        <f t="shared" si="101"/>
        <v>-556.70000000000005</v>
      </c>
      <c r="AR215" s="444"/>
      <c r="AS215" s="445">
        <f t="shared" si="94"/>
        <v>482.36506820929185</v>
      </c>
      <c r="AT215" s="64">
        <f t="shared" si="103"/>
        <v>-245.7511194905193</v>
      </c>
      <c r="AU215" s="445"/>
      <c r="AV215" s="447">
        <f t="shared" si="102"/>
        <v>245.7511194905193</v>
      </c>
      <c r="AW215" s="447">
        <f t="shared" si="95"/>
        <v>-273.07737216698251</v>
      </c>
      <c r="AX215" s="1597">
        <f t="shared" si="96"/>
        <v>-283.62262783301753</v>
      </c>
      <c r="AY215" s="1597">
        <f t="shared" si="82"/>
        <v>-42.478803380701869</v>
      </c>
      <c r="AZ215" s="1642">
        <f t="shared" si="83"/>
        <v>-35.258117719322051</v>
      </c>
      <c r="BA215" s="274">
        <f t="shared" si="97"/>
        <v>42.478803380701869</v>
      </c>
      <c r="BB215" s="275">
        <f t="shared" si="97"/>
        <v>35.258117719322051</v>
      </c>
      <c r="BC215" s="37">
        <f t="shared" si="98"/>
        <v>0.3</v>
      </c>
      <c r="BD215" s="545"/>
      <c r="BQ215" s="236"/>
      <c r="BR215" s="236"/>
      <c r="BS215" s="236"/>
      <c r="BT215" s="236"/>
      <c r="BU215" s="236"/>
      <c r="BV215" s="236"/>
      <c r="CA215" s="236"/>
      <c r="CB215" s="236"/>
      <c r="CC215" s="236"/>
      <c r="CD215" s="236"/>
      <c r="CI215" s="236"/>
      <c r="CJ215" s="236"/>
      <c r="CK215" s="236"/>
      <c r="CL215" s="236"/>
      <c r="CM215" s="236"/>
      <c r="CN215" s="236"/>
      <c r="DE215" s="126"/>
    </row>
    <row r="216" spans="2:129" ht="19" thickBot="1" x14ac:dyDescent="0.25">
      <c r="B216" s="277">
        <v>22</v>
      </c>
      <c r="C216" s="1644"/>
      <c r="D216" s="25">
        <v>1</v>
      </c>
      <c r="E216" s="257" t="s">
        <v>305</v>
      </c>
      <c r="F216" s="258">
        <f t="shared" si="84"/>
        <v>1.3</v>
      </c>
      <c r="G216" s="258">
        <f t="shared" si="99"/>
        <v>1.3</v>
      </c>
      <c r="H216" s="1632">
        <v>251.073172</v>
      </c>
      <c r="I216" s="1633">
        <v>65.636175100000003</v>
      </c>
      <c r="J216" s="474">
        <f t="shared" si="85"/>
        <v>64.636175100000003</v>
      </c>
      <c r="K216" s="474">
        <f t="shared" si="86"/>
        <v>32.318087550000001</v>
      </c>
      <c r="L216" s="474">
        <f t="shared" si="74"/>
        <v>0.53461916118589337</v>
      </c>
      <c r="M216" s="474">
        <f t="shared" si="75"/>
        <v>134.22852861092153</v>
      </c>
      <c r="N216" s="474">
        <f t="shared" si="76"/>
        <v>268.45705722184306</v>
      </c>
      <c r="O216" s="1645">
        <f>+C195+D196+D197+D198+D199+D200+D201+D202+D203+D204+D205+D206+D207+D208+D209+D210+D211+D212+D213+D214+D215+(D216/2)</f>
        <v>21.5</v>
      </c>
      <c r="P216" s="474">
        <f t="shared" si="77"/>
        <v>0.36650122672429686</v>
      </c>
      <c r="Q216" s="474">
        <f t="shared" si="78"/>
        <v>98.389840794600232</v>
      </c>
      <c r="R216" s="474">
        <f t="shared" si="87"/>
        <v>1232.6435382787599</v>
      </c>
      <c r="S216" s="474">
        <f t="shared" si="100"/>
        <v>1331.0333790733603</v>
      </c>
      <c r="T216" s="476">
        <f t="shared" si="79"/>
        <v>1331.0333790733603</v>
      </c>
      <c r="V216" s="1635">
        <f t="shared" si="80"/>
        <v>0</v>
      </c>
      <c r="AB216" s="281" t="str">
        <f t="shared" si="88"/>
        <v>use the locking pin</v>
      </c>
      <c r="AF216" s="1637">
        <f>SUM(V216:V220)/($B$192-B215)</f>
        <v>0</v>
      </c>
      <c r="AG216" s="1646"/>
      <c r="AH216" s="450">
        <f>SUM(D196:D216)+$C$195</f>
        <v>22</v>
      </c>
      <c r="AI216" s="1639"/>
      <c r="AJ216" s="718">
        <f t="shared" si="89"/>
        <v>53.499008599999996</v>
      </c>
      <c r="AK216" s="1639">
        <f t="shared" si="81"/>
        <v>0.80384656816268329</v>
      </c>
      <c r="AL216" s="1639">
        <f t="shared" si="90"/>
        <v>233.63227200275978</v>
      </c>
      <c r="AM216" s="1640">
        <f t="shared" si="91"/>
        <v>79.181912400000002</v>
      </c>
      <c r="AN216" s="1639">
        <f t="shared" si="92"/>
        <v>0.98222804771777472</v>
      </c>
      <c r="AO216" s="1641">
        <f t="shared" si="93"/>
        <v>246.61111156786907</v>
      </c>
      <c r="AP216" s="287"/>
      <c r="AQ216" s="444">
        <f t="shared" si="101"/>
        <v>-586</v>
      </c>
      <c r="AR216" s="444"/>
      <c r="AS216" s="445">
        <f t="shared" si="94"/>
        <v>480.24338357062885</v>
      </c>
      <c r="AT216" s="64">
        <f t="shared" si="103"/>
        <v>-246.61111156786907</v>
      </c>
      <c r="AU216" s="445"/>
      <c r="AV216" s="447">
        <f t="shared" si="102"/>
        <v>246.61111156786907</v>
      </c>
      <c r="AW216" s="447">
        <f t="shared" si="95"/>
        <v>-285.08151507616191</v>
      </c>
      <c r="AX216" s="1597">
        <f t="shared" si="96"/>
        <v>-300.91848492383809</v>
      </c>
      <c r="AY216" s="1597">
        <f t="shared" si="82"/>
        <v>-40.690116287971051</v>
      </c>
      <c r="AZ216" s="1642">
        <f t="shared" si="83"/>
        <v>-33.231590949060447</v>
      </c>
      <c r="BA216" s="274">
        <f t="shared" ref="BA216:BB220" si="104">ABS(AY216)</f>
        <v>40.690116287971051</v>
      </c>
      <c r="BB216" s="275">
        <f t="shared" si="104"/>
        <v>33.231590949060447</v>
      </c>
      <c r="BC216" s="37">
        <f t="shared" si="98"/>
        <v>0.3</v>
      </c>
      <c r="BD216" s="545"/>
      <c r="DE216" s="126"/>
    </row>
    <row r="217" spans="2:129" ht="19" thickBot="1" x14ac:dyDescent="0.25">
      <c r="B217" s="277">
        <v>23</v>
      </c>
      <c r="C217" s="1644"/>
      <c r="D217" s="25">
        <v>1</v>
      </c>
      <c r="E217" s="257" t="s">
        <v>305</v>
      </c>
      <c r="F217" s="258">
        <f t="shared" si="84"/>
        <v>1.3</v>
      </c>
      <c r="G217" s="258">
        <f t="shared" si="99"/>
        <v>1.3</v>
      </c>
      <c r="H217" s="1632">
        <v>251.073172</v>
      </c>
      <c r="I217" s="1633">
        <v>65.636175100000003</v>
      </c>
      <c r="J217" s="474">
        <f t="shared" si="85"/>
        <v>64.636175100000003</v>
      </c>
      <c r="K217" s="474">
        <f t="shared" si="86"/>
        <v>32.318087550000001</v>
      </c>
      <c r="L217" s="474">
        <f t="shared" si="74"/>
        <v>0.53461916118589337</v>
      </c>
      <c r="M217" s="474">
        <f t="shared" si="75"/>
        <v>134.22852861092153</v>
      </c>
      <c r="N217" s="474">
        <f t="shared" si="76"/>
        <v>268.45705722184306</v>
      </c>
      <c r="O217" s="1645">
        <f>+C195+D196+D197+D198+D199+D200+D201+D202+D203+D204+D205+D206+D207+D208+D209+D210+D211+D212+D213+D214+D215+D216+(D217/2)</f>
        <v>22.5</v>
      </c>
      <c r="P217" s="474">
        <f t="shared" si="77"/>
        <v>0.38268343236508939</v>
      </c>
      <c r="Q217" s="474">
        <f t="shared" si="78"/>
        <v>102.73406810028611</v>
      </c>
      <c r="R217" s="474">
        <f t="shared" si="87"/>
        <v>1331.0333790733603</v>
      </c>
      <c r="S217" s="474">
        <f t="shared" si="100"/>
        <v>1433.7674471736464</v>
      </c>
      <c r="T217" s="476">
        <f t="shared" si="79"/>
        <v>1433.7674471736464</v>
      </c>
      <c r="V217" s="1635">
        <f t="shared" si="80"/>
        <v>0</v>
      </c>
      <c r="AB217" s="281" t="str">
        <f t="shared" si="88"/>
        <v>use the locking pin</v>
      </c>
      <c r="AF217" s="1637">
        <f>SUM(V217:V220)/($B$192-B216)</f>
        <v>0</v>
      </c>
      <c r="AG217" s="1646"/>
      <c r="AH217" s="450">
        <f>SUM(D196:D217)+$C$195</f>
        <v>23</v>
      </c>
      <c r="AI217" s="1639"/>
      <c r="AJ217" s="718">
        <f t="shared" si="89"/>
        <v>52.499008599999996</v>
      </c>
      <c r="AK217" s="1639">
        <f t="shared" si="81"/>
        <v>0.79334280665523971</v>
      </c>
      <c r="AL217" s="1639">
        <f t="shared" si="90"/>
        <v>230.57942863344837</v>
      </c>
      <c r="AM217" s="1640">
        <f t="shared" si="91"/>
        <v>80.181912400000002</v>
      </c>
      <c r="AN217" s="1639">
        <f t="shared" si="92"/>
        <v>0.98535411625603619</v>
      </c>
      <c r="AO217" s="1641">
        <f t="shared" si="93"/>
        <v>247.39598351165978</v>
      </c>
      <c r="AP217" s="287"/>
      <c r="AQ217" s="444">
        <f t="shared" si="101"/>
        <v>-615.30000000000007</v>
      </c>
      <c r="AR217" s="444"/>
      <c r="AS217" s="445">
        <f t="shared" si="94"/>
        <v>477.97541214510818</v>
      </c>
      <c r="AT217" s="64">
        <f t="shared" si="103"/>
        <v>-247.39598351165978</v>
      </c>
      <c r="AU217" s="445"/>
      <c r="AV217" s="447">
        <f t="shared" si="102"/>
        <v>247.39598351165978</v>
      </c>
      <c r="AW217" s="447">
        <f t="shared" si="95"/>
        <v>-296.82598483766554</v>
      </c>
      <c r="AX217" s="1597">
        <f t="shared" si="96"/>
        <v>-318.47401516233452</v>
      </c>
      <c r="AY217" s="1597">
        <f t="shared" si="82"/>
        <v>-39.080136485840526</v>
      </c>
      <c r="AZ217" s="1642">
        <f t="shared" si="83"/>
        <v>-31.399736003274047</v>
      </c>
      <c r="BA217" s="274">
        <f t="shared" si="104"/>
        <v>39.080136485840526</v>
      </c>
      <c r="BB217" s="275">
        <f t="shared" si="104"/>
        <v>31.399736003274047</v>
      </c>
      <c r="BC217" s="37">
        <f t="shared" si="98"/>
        <v>0.3</v>
      </c>
      <c r="BD217" s="545"/>
      <c r="DE217" s="126"/>
    </row>
    <row r="218" spans="2:129" ht="19" thickBot="1" x14ac:dyDescent="0.25">
      <c r="B218" s="277">
        <v>24</v>
      </c>
      <c r="C218" s="1647"/>
      <c r="D218" s="25">
        <v>1</v>
      </c>
      <c r="E218" s="257" t="s">
        <v>305</v>
      </c>
      <c r="F218" s="258">
        <f t="shared" si="84"/>
        <v>1.3</v>
      </c>
      <c r="G218" s="258">
        <f t="shared" si="99"/>
        <v>1.3</v>
      </c>
      <c r="H218" s="1632">
        <v>251.073172</v>
      </c>
      <c r="I218" s="1633">
        <v>65.636175100000003</v>
      </c>
      <c r="J218" s="474">
        <f t="shared" si="85"/>
        <v>64.636175100000003</v>
      </c>
      <c r="K218" s="474">
        <f t="shared" si="86"/>
        <v>32.318087550000001</v>
      </c>
      <c r="L218" s="474">
        <f t="shared" si="74"/>
        <v>0.53461916118589337</v>
      </c>
      <c r="M218" s="474">
        <f t="shared" si="75"/>
        <v>134.22852861092153</v>
      </c>
      <c r="N218" s="474">
        <f t="shared" si="76"/>
        <v>268.45705722184306</v>
      </c>
      <c r="O218" s="1645">
        <f>+C195+D196+D197+D198+D199+D200+D201+D202+D203+D204+D205+D206+D207+D208+D209+D210+D211+D212+D213+D214+D215+D216+D217+(D218/2)</f>
        <v>23.5</v>
      </c>
      <c r="P218" s="474">
        <f t="shared" si="77"/>
        <v>0.39874906892524581</v>
      </c>
      <c r="Q218" s="474">
        <f t="shared" si="78"/>
        <v>107.04700161362136</v>
      </c>
      <c r="R218" s="474">
        <f t="shared" si="87"/>
        <v>1433.7674471736464</v>
      </c>
      <c r="S218" s="474">
        <f t="shared" si="100"/>
        <v>1540.8144487872678</v>
      </c>
      <c r="T218" s="476">
        <f t="shared" si="79"/>
        <v>1540.8144487872678</v>
      </c>
      <c r="V218" s="1635">
        <f t="shared" si="80"/>
        <v>0</v>
      </c>
      <c r="AB218" s="281" t="str">
        <f t="shared" si="88"/>
        <v>use the locking pin</v>
      </c>
      <c r="AF218" s="1637">
        <f>SUM(V218:V220)/($B$192-B217)</f>
        <v>0</v>
      </c>
      <c r="AG218" s="1646"/>
      <c r="AH218" s="450">
        <f>SUM(D196:D218)+$C$195</f>
        <v>24</v>
      </c>
      <c r="AI218" s="1639"/>
      <c r="AJ218" s="718">
        <f t="shared" si="89"/>
        <v>51.499008599999996</v>
      </c>
      <c r="AK218" s="1639">
        <f t="shared" si="81"/>
        <v>0.78259738524360445</v>
      </c>
      <c r="AL218" s="1639">
        <f t="shared" si="90"/>
        <v>227.45634853650211</v>
      </c>
      <c r="AM218" s="1640">
        <f t="shared" si="91"/>
        <v>81.181912400000002</v>
      </c>
      <c r="AN218" s="1639">
        <f t="shared" si="92"/>
        <v>0.9881800363851464</v>
      </c>
      <c r="AO218" s="1641">
        <f t="shared" si="93"/>
        <v>248.10549624229412</v>
      </c>
      <c r="AP218" s="287"/>
      <c r="AQ218" s="444">
        <f t="shared" si="101"/>
        <v>-644.6</v>
      </c>
      <c r="AR218" s="444"/>
      <c r="AS218" s="445">
        <f t="shared" si="94"/>
        <v>475.56184477879623</v>
      </c>
      <c r="AT218" s="64">
        <f t="shared" si="103"/>
        <v>-248.10549624229412</v>
      </c>
      <c r="AU218" s="445"/>
      <c r="AV218" s="447">
        <f t="shared" si="102"/>
        <v>248.10549624229412</v>
      </c>
      <c r="AW218" s="447">
        <f t="shared" si="95"/>
        <v>-308.30556293856506</v>
      </c>
      <c r="AX218" s="1597">
        <f t="shared" si="96"/>
        <v>-336.29443706143502</v>
      </c>
      <c r="AY218" s="1597">
        <f t="shared" si="82"/>
        <v>-37.625010361267762</v>
      </c>
      <c r="AZ218" s="1642">
        <f t="shared" si="83"/>
        <v>-29.73584721585263</v>
      </c>
      <c r="BA218" s="274">
        <f t="shared" si="104"/>
        <v>37.625010361267762</v>
      </c>
      <c r="BB218" s="275">
        <f t="shared" si="104"/>
        <v>29.73584721585263</v>
      </c>
      <c r="BC218" s="37">
        <f t="shared" si="98"/>
        <v>0.3</v>
      </c>
      <c r="BD218" s="545"/>
      <c r="DE218" s="211"/>
    </row>
    <row r="219" spans="2:129" ht="19" thickBot="1" x14ac:dyDescent="0.25">
      <c r="B219" s="277">
        <v>25</v>
      </c>
      <c r="C219" s="1648"/>
      <c r="D219" s="25">
        <v>1</v>
      </c>
      <c r="E219" s="257" t="s">
        <v>305</v>
      </c>
      <c r="F219" s="258">
        <f t="shared" si="84"/>
        <v>1.3</v>
      </c>
      <c r="G219" s="258">
        <f t="shared" si="99"/>
        <v>1.3</v>
      </c>
      <c r="H219" s="1632">
        <v>251.073172</v>
      </c>
      <c r="I219" s="1633">
        <v>65.636175100000003</v>
      </c>
      <c r="J219" s="474">
        <f t="shared" si="85"/>
        <v>64.636175100000003</v>
      </c>
      <c r="K219" s="474">
        <f t="shared" si="86"/>
        <v>32.318087550000001</v>
      </c>
      <c r="L219" s="474">
        <f t="shared" si="74"/>
        <v>0.53461916118589337</v>
      </c>
      <c r="M219" s="474">
        <f t="shared" si="75"/>
        <v>134.22852861092153</v>
      </c>
      <c r="N219" s="474">
        <f t="shared" si="76"/>
        <v>268.45705722184306</v>
      </c>
      <c r="O219" s="1645">
        <f>+C195+D196+D197+D198+D199+D200+D201+D202+D203+D204+D205+D206+D207+D208+D209+D210+D211+D212+D213+D214+D215+D216+D217+D218+(D219/2)</f>
        <v>24.5</v>
      </c>
      <c r="P219" s="474">
        <f t="shared" si="77"/>
        <v>0.41469324265623864</v>
      </c>
      <c r="Q219" s="474">
        <f t="shared" si="78"/>
        <v>111.3273275732775</v>
      </c>
      <c r="R219" s="474">
        <f t="shared" si="87"/>
        <v>1540.8144487872678</v>
      </c>
      <c r="S219" s="474">
        <f t="shared" si="100"/>
        <v>1652.1417763605452</v>
      </c>
      <c r="T219" s="476">
        <f t="shared" si="79"/>
        <v>1652.1417763605452</v>
      </c>
      <c r="V219" s="1635">
        <f t="shared" si="80"/>
        <v>0</v>
      </c>
      <c r="AB219" s="281" t="str">
        <f t="shared" si="88"/>
        <v>use the locking pin</v>
      </c>
      <c r="AF219" s="1637">
        <f>SUM(V219:V220)/($B$192-B218)</f>
        <v>0</v>
      </c>
      <c r="AG219" s="1646"/>
      <c r="AH219" s="450">
        <f>SUM(D196:D219)+$C$195</f>
        <v>25</v>
      </c>
      <c r="AI219" s="1639"/>
      <c r="AJ219" s="718">
        <f t="shared" si="89"/>
        <v>50.499008599999996</v>
      </c>
      <c r="AK219" s="1639">
        <f t="shared" si="81"/>
        <v>0.77161357708723288</v>
      </c>
      <c r="AL219" s="1639">
        <f t="shared" si="90"/>
        <v>224.26398303237247</v>
      </c>
      <c r="AM219" s="1640">
        <f t="shared" si="91"/>
        <v>82.181912400000002</v>
      </c>
      <c r="AN219" s="1639">
        <f t="shared" si="92"/>
        <v>0.99070494730245873</v>
      </c>
      <c r="AO219" s="1641">
        <f t="shared" si="93"/>
        <v>248.73943363532115</v>
      </c>
      <c r="AP219" s="287"/>
      <c r="AQ219" s="444">
        <f t="shared" si="101"/>
        <v>-673.9</v>
      </c>
      <c r="AR219" s="444"/>
      <c r="AS219" s="445">
        <f t="shared" si="94"/>
        <v>473.00341666769361</v>
      </c>
      <c r="AT219" s="64">
        <f t="shared" si="103"/>
        <v>-248.73943363532115</v>
      </c>
      <c r="AU219" s="445"/>
      <c r="AV219" s="447">
        <f t="shared" si="102"/>
        <v>248.73943363532115</v>
      </c>
      <c r="AW219" s="447">
        <f t="shared" si="95"/>
        <v>-319.51460145940666</v>
      </c>
      <c r="AX219" s="1597">
        <f t="shared" si="96"/>
        <v>-354.38539854059326</v>
      </c>
      <c r="AY219" s="1597">
        <f t="shared" si="82"/>
        <v>-36.305070087614581</v>
      </c>
      <c r="AZ219" s="1642">
        <f t="shared" si="83"/>
        <v>-28.21786687933912</v>
      </c>
      <c r="BA219" s="274">
        <f t="shared" si="104"/>
        <v>36.305070087614581</v>
      </c>
      <c r="BB219" s="275">
        <f t="shared" si="104"/>
        <v>28.21786687933912</v>
      </c>
      <c r="BC219" s="37">
        <f t="shared" si="98"/>
        <v>0.3</v>
      </c>
      <c r="BD219" s="545"/>
      <c r="DE219" s="126"/>
    </row>
    <row r="220" spans="2:129" ht="19" thickBot="1" x14ac:dyDescent="0.25">
      <c r="B220" s="277">
        <v>26</v>
      </c>
      <c r="C220" s="1648"/>
      <c r="D220" s="25">
        <v>1</v>
      </c>
      <c r="E220" s="257" t="s">
        <v>305</v>
      </c>
      <c r="F220" s="258">
        <f t="shared" si="84"/>
        <v>1.3</v>
      </c>
      <c r="G220" s="258">
        <f t="shared" si="99"/>
        <v>1.3</v>
      </c>
      <c r="H220" s="1632">
        <v>251.073172</v>
      </c>
      <c r="I220" s="1633">
        <v>65.636175100000003</v>
      </c>
      <c r="J220" s="474">
        <f t="shared" si="85"/>
        <v>64.636175100000003</v>
      </c>
      <c r="K220" s="474">
        <f t="shared" si="86"/>
        <v>32.318087550000001</v>
      </c>
      <c r="L220" s="474">
        <f t="shared" si="74"/>
        <v>0.53461916118589337</v>
      </c>
      <c r="M220" s="474">
        <f t="shared" si="75"/>
        <v>134.22852861092153</v>
      </c>
      <c r="N220" s="474">
        <f t="shared" si="76"/>
        <v>268.45705722184306</v>
      </c>
      <c r="O220" s="1645">
        <f>+C195+D196+D197+D198+D199+D200+D201+D202+D203+D204+D205+D206+D207+D208+D209+D210+D211+D212+D213+D214+D215+D216+D217+D218+D219+(D220/2)</f>
        <v>25.5</v>
      </c>
      <c r="P220" s="474">
        <f t="shared" si="77"/>
        <v>0.43051109680829475</v>
      </c>
      <c r="Q220" s="474">
        <f t="shared" si="78"/>
        <v>115.5737421505028</v>
      </c>
      <c r="R220" s="474">
        <f t="shared" si="87"/>
        <v>1652.1417763605452</v>
      </c>
      <c r="S220" s="474">
        <f t="shared" si="100"/>
        <v>1767.715518511048</v>
      </c>
      <c r="T220" s="476">
        <f t="shared" si="79"/>
        <v>1767.715518511048</v>
      </c>
      <c r="V220" s="1635">
        <f t="shared" si="80"/>
        <v>0</v>
      </c>
      <c r="AB220" s="281" t="str">
        <f t="shared" si="88"/>
        <v>use the locking pin</v>
      </c>
      <c r="AF220" s="1637">
        <f>SUM(V220)/($B$192-B219)</f>
        <v>0</v>
      </c>
      <c r="AG220" s="1646"/>
      <c r="AH220" s="450">
        <f>SUM(D196:D220)+$C$195</f>
        <v>26</v>
      </c>
      <c r="AI220" s="1639"/>
      <c r="AJ220" s="718">
        <f t="shared" si="89"/>
        <v>49.499008599999996</v>
      </c>
      <c r="AK220" s="1639">
        <f t="shared" si="81"/>
        <v>0.76039472796049201</v>
      </c>
      <c r="AL220" s="1639">
        <f t="shared" si="90"/>
        <v>221.0033045465172</v>
      </c>
      <c r="AM220" s="1640">
        <f t="shared" si="91"/>
        <v>83.181912400000002</v>
      </c>
      <c r="AN220" s="1639">
        <f t="shared" si="92"/>
        <v>0.99292807989564835</v>
      </c>
      <c r="AO220" s="1641">
        <f t="shared" si="93"/>
        <v>249.29760258726986</v>
      </c>
      <c r="AP220" s="287"/>
      <c r="AQ220" s="444">
        <f t="shared" si="101"/>
        <v>-703.2</v>
      </c>
      <c r="AR220" s="444"/>
      <c r="AS220" s="445">
        <f t="shared" si="94"/>
        <v>470.30090713378706</v>
      </c>
      <c r="AT220" s="64">
        <f t="shared" si="103"/>
        <v>-249.29760258726986</v>
      </c>
      <c r="AU220" s="445"/>
      <c r="AV220" s="447">
        <f t="shared" si="102"/>
        <v>249.29760258726986</v>
      </c>
      <c r="AW220" s="447">
        <f t="shared" si="95"/>
        <v>-330.44699978199571</v>
      </c>
      <c r="AX220" s="1597">
        <f t="shared" si="96"/>
        <v>-372.75300021800433</v>
      </c>
      <c r="AY220" s="1597">
        <f t="shared" si="82"/>
        <v>-35.103965258128582</v>
      </c>
      <c r="AZ220" s="1642">
        <f t="shared" si="83"/>
        <v>-26.827416530923983</v>
      </c>
      <c r="BA220" s="274">
        <f t="shared" si="104"/>
        <v>35.103965258128582</v>
      </c>
      <c r="BB220" s="275">
        <f t="shared" si="104"/>
        <v>26.827416530923983</v>
      </c>
      <c r="BC220" s="37">
        <f t="shared" si="98"/>
        <v>0.3</v>
      </c>
      <c r="BD220" s="545"/>
    </row>
    <row r="221" spans="2:129" x14ac:dyDescent="0.2">
      <c r="AH221" s="450"/>
      <c r="AO221" s="1680"/>
      <c r="BD221" s="545"/>
    </row>
    <row r="222" spans="2:129" x14ac:dyDescent="0.2">
      <c r="BD222" s="545"/>
    </row>
    <row r="223" spans="2:129" x14ac:dyDescent="0.2">
      <c r="BD223" s="545"/>
    </row>
    <row r="257" spans="110:129" x14ac:dyDescent="0.2">
      <c r="DF257" s="305"/>
      <c r="DG257" s="305"/>
      <c r="DH257" s="305"/>
      <c r="DI257" s="305"/>
      <c r="DJ257" s="305"/>
      <c r="DK257" s="305"/>
      <c r="DL257" s="1818"/>
      <c r="DM257" s="1818"/>
      <c r="DN257" s="1818"/>
      <c r="DO257" s="126"/>
    </row>
    <row r="258" spans="110:129" x14ac:dyDescent="0.2">
      <c r="DL258" s="306"/>
      <c r="DY258" s="306"/>
    </row>
    <row r="259" spans="110:129" x14ac:dyDescent="0.2">
      <c r="DF259" s="307"/>
      <c r="DG259" s="307"/>
      <c r="DH259" s="307"/>
      <c r="DI259" s="307"/>
      <c r="DJ259" s="307"/>
      <c r="DK259" s="307"/>
      <c r="DL259" s="1819"/>
      <c r="DM259" s="1819"/>
      <c r="DX259" s="1813"/>
      <c r="DY259" s="1813"/>
    </row>
    <row r="276" spans="110:134" x14ac:dyDescent="0.2">
      <c r="DF276" s="126"/>
      <c r="DH276" s="126"/>
      <c r="DJ276" s="126"/>
    </row>
    <row r="277" spans="110:134" x14ac:dyDescent="0.2">
      <c r="DF277" s="126"/>
      <c r="DJ277" s="126"/>
    </row>
    <row r="278" spans="110:134" x14ac:dyDescent="0.2">
      <c r="DF278" s="126"/>
      <c r="DG278" s="311"/>
      <c r="DH278" s="311"/>
      <c r="DI278" s="311"/>
      <c r="DJ278" s="311"/>
      <c r="DK278" s="311"/>
      <c r="DL278" s="311"/>
      <c r="DM278" s="311"/>
      <c r="DN278" s="311"/>
      <c r="DO278" s="311"/>
      <c r="DP278" s="311"/>
      <c r="DQ278" s="311"/>
      <c r="DR278" s="311"/>
      <c r="DS278" s="311"/>
      <c r="DT278" s="311"/>
      <c r="DU278" s="311"/>
      <c r="DV278" s="311"/>
      <c r="DW278" s="311"/>
      <c r="DX278" s="311"/>
      <c r="DY278" s="311"/>
      <c r="DZ278" s="311"/>
      <c r="EA278" s="311"/>
      <c r="EB278" s="311"/>
      <c r="EC278" s="311"/>
      <c r="ED278" s="311"/>
    </row>
    <row r="279" spans="110:134" x14ac:dyDescent="0.2">
      <c r="DF279" s="126"/>
    </row>
    <row r="280" spans="110:134" x14ac:dyDescent="0.2">
      <c r="DF280" s="211"/>
      <c r="DG280" s="312"/>
      <c r="DH280" s="312"/>
      <c r="DI280" s="312"/>
      <c r="DJ280" s="312"/>
      <c r="DK280" s="312"/>
      <c r="DL280" s="312"/>
      <c r="DM280" s="312"/>
      <c r="DN280" s="312"/>
      <c r="DO280" s="312"/>
      <c r="DP280" s="312"/>
      <c r="DQ280" s="312"/>
      <c r="DR280" s="312"/>
      <c r="DS280" s="312"/>
      <c r="DT280" s="312"/>
      <c r="DU280" s="312"/>
      <c r="DV280" s="312"/>
      <c r="DW280" s="312"/>
      <c r="DX280" s="312"/>
      <c r="DY280" s="312"/>
      <c r="DZ280" s="312"/>
      <c r="EA280" s="312"/>
      <c r="EB280" s="312"/>
      <c r="EC280" s="312"/>
      <c r="ED280" s="312"/>
    </row>
    <row r="281" spans="110:134" x14ac:dyDescent="0.2">
      <c r="DF281" s="126"/>
      <c r="DG281" s="203"/>
      <c r="DH281" s="203"/>
      <c r="DI281" s="203"/>
      <c r="DJ281" s="203"/>
      <c r="DK281" s="203"/>
      <c r="DL281" s="203"/>
      <c r="DM281" s="203"/>
      <c r="DN281" s="203"/>
      <c r="DO281" s="203"/>
      <c r="DP281" s="203"/>
      <c r="DQ281" s="203"/>
      <c r="DR281" s="203"/>
      <c r="DS281" s="203"/>
      <c r="DT281" s="203"/>
      <c r="DU281" s="203"/>
      <c r="DV281" s="203"/>
      <c r="DW281" s="203"/>
      <c r="DX281" s="203"/>
      <c r="DY281" s="203"/>
      <c r="DZ281" s="203"/>
      <c r="EA281" s="203"/>
      <c r="EB281" s="203"/>
      <c r="EC281" s="203"/>
      <c r="ED281" s="203"/>
    </row>
    <row r="283" spans="110:134" x14ac:dyDescent="0.2">
      <c r="DG283" s="236"/>
      <c r="DH283" s="236"/>
      <c r="DI283" s="236"/>
      <c r="DJ283" s="236"/>
      <c r="DK283" s="236"/>
      <c r="DL283" s="236"/>
      <c r="DM283" s="126"/>
      <c r="DN283" s="126"/>
      <c r="DO283" s="126"/>
      <c r="DP283" s="126"/>
      <c r="DQ283" s="126"/>
      <c r="DR283" s="236"/>
      <c r="DS283" s="236"/>
      <c r="DT283" s="236"/>
      <c r="DU283" s="126"/>
      <c r="DV283" s="126"/>
      <c r="DW283" s="126"/>
      <c r="DX283" s="126"/>
      <c r="DY283" s="126"/>
      <c r="DZ283" s="126"/>
      <c r="EA283" s="126"/>
      <c r="EB283" s="126"/>
      <c r="EC283" s="126"/>
      <c r="ED283" s="126"/>
    </row>
    <row r="284" spans="110:134" x14ac:dyDescent="0.2">
      <c r="DG284" s="236"/>
      <c r="DH284" s="236"/>
      <c r="DI284" s="236"/>
      <c r="DJ284" s="236"/>
      <c r="DK284" s="236"/>
      <c r="DL284" s="236"/>
      <c r="DQ284" s="236"/>
      <c r="DR284" s="236"/>
      <c r="DS284" s="236"/>
      <c r="DT284" s="236"/>
      <c r="DY284" s="236"/>
      <c r="DZ284" s="236"/>
      <c r="EA284" s="236"/>
      <c r="EB284" s="236"/>
      <c r="EC284" s="236"/>
      <c r="ED284" s="236"/>
    </row>
  </sheetData>
  <sheetProtection algorithmName="SHA-512" hashValue="ajiHcj8hi9yjB/nzyjNtg30Y8nt3vDcuhkBvxMZk/C32YdOEMvEQeFIOPxvMtn4pYWf2Fo9CRVKMD3YCxTAthA==" saltValue="BNCjeDmw8vHlogpds9HdDQ==" spinCount="100000" sheet="1" objects="1" scenarios="1" selectLockedCells="1"/>
  <protectedRanges>
    <protectedRange sqref="B132:B133 B135 D138:D157 B168 D171:D182 B192 D195:D220" name="Range1"/>
    <protectedRange sqref="B165" name="Range1_3"/>
  </protectedRanges>
  <mergeCells count="25">
    <mergeCell ref="DG67:DH67"/>
    <mergeCell ref="DX259:DY259"/>
    <mergeCell ref="W135:AA135"/>
    <mergeCell ref="BA135:BB135"/>
    <mergeCell ref="B159:B164"/>
    <mergeCell ref="W168:AA168"/>
    <mergeCell ref="BA168:BB168"/>
    <mergeCell ref="BA192:BB192"/>
    <mergeCell ref="BV192:BX192"/>
    <mergeCell ref="BV194:BW194"/>
    <mergeCell ref="CH194:CI194"/>
    <mergeCell ref="DL257:DN257"/>
    <mergeCell ref="DL259:DM259"/>
    <mergeCell ref="B130:B131"/>
    <mergeCell ref="BQ60:CA61"/>
    <mergeCell ref="CS60:DA61"/>
    <mergeCell ref="CB61:CC61"/>
    <mergeCell ref="CQ61:CR61"/>
    <mergeCell ref="BQ53:BR53"/>
    <mergeCell ref="CQ54:DA55"/>
    <mergeCell ref="BQ55:BR55"/>
    <mergeCell ref="CO55:CP55"/>
    <mergeCell ref="BQ57:CA58"/>
    <mergeCell ref="CB58:CC58"/>
    <mergeCell ref="CZ58:DA58"/>
  </mergeCells>
  <conditionalFormatting sqref="B140:AP140 AR140:BB140">
    <cfRule type="expression" dxfId="422" priority="66" stopIfTrue="1">
      <formula>$B$135&lt;3</formula>
    </cfRule>
  </conditionalFormatting>
  <conditionalFormatting sqref="B141:AP141 AR141:BB141">
    <cfRule type="expression" dxfId="421" priority="65">
      <formula>$B$135&lt;4</formula>
    </cfRule>
  </conditionalFormatting>
  <conditionalFormatting sqref="B142:AP142 AR142:BB142">
    <cfRule type="expression" dxfId="420" priority="64">
      <formula>$B$135&lt;5</formula>
    </cfRule>
  </conditionalFormatting>
  <conditionalFormatting sqref="B143:AP143 AR143:BB143">
    <cfRule type="expression" dxfId="419" priority="63">
      <formula>$B$135&lt;6</formula>
    </cfRule>
  </conditionalFormatting>
  <conditionalFormatting sqref="B144:AP144 AR144:BB144">
    <cfRule type="expression" dxfId="418" priority="62">
      <formula>$B$135&lt;7</formula>
    </cfRule>
  </conditionalFormatting>
  <conditionalFormatting sqref="B145:AP145 AR145:BB145">
    <cfRule type="expression" dxfId="417" priority="61">
      <formula>$B$135&lt;8</formula>
    </cfRule>
  </conditionalFormatting>
  <conditionalFormatting sqref="B146:AP146 AR146:BB146">
    <cfRule type="expression" dxfId="416" priority="60">
      <formula>$B$135&lt;9</formula>
    </cfRule>
  </conditionalFormatting>
  <conditionalFormatting sqref="B147:AP147 AR147:BB147">
    <cfRule type="expression" dxfId="415" priority="59">
      <formula>$B$135&lt;10</formula>
    </cfRule>
  </conditionalFormatting>
  <conditionalFormatting sqref="B148:AP148 AR148:BB148">
    <cfRule type="expression" dxfId="414" priority="58">
      <formula>$B$135&lt;11</formula>
    </cfRule>
  </conditionalFormatting>
  <conditionalFormatting sqref="B149:AP149 AR149:BB149">
    <cfRule type="expression" dxfId="413" priority="57">
      <formula>$B$135&lt;12</formula>
    </cfRule>
  </conditionalFormatting>
  <conditionalFormatting sqref="B150:AP150 AR150:BB150">
    <cfRule type="expression" dxfId="412" priority="56">
      <formula>$B$135&lt;13</formula>
    </cfRule>
  </conditionalFormatting>
  <conditionalFormatting sqref="B151:AP151 AR151:BB151">
    <cfRule type="expression" dxfId="411" priority="55">
      <formula>$B$135&lt;14</formula>
    </cfRule>
  </conditionalFormatting>
  <conditionalFormatting sqref="B152:AP152 AR152:BB152">
    <cfRule type="expression" dxfId="410" priority="54">
      <formula>$B$135&lt;15</formula>
    </cfRule>
  </conditionalFormatting>
  <conditionalFormatting sqref="B153:AP153 AR153:BB153">
    <cfRule type="expression" dxfId="409" priority="53">
      <formula>$B$135&lt;16</formula>
    </cfRule>
  </conditionalFormatting>
  <conditionalFormatting sqref="B154:AP154 AR154:BB154">
    <cfRule type="expression" dxfId="408" priority="52">
      <formula>$B$135&lt;17</formula>
    </cfRule>
  </conditionalFormatting>
  <conditionalFormatting sqref="B155:AP155 AR155:BB155">
    <cfRule type="expression" dxfId="407" priority="51">
      <formula>$B$135&lt;18</formula>
    </cfRule>
  </conditionalFormatting>
  <conditionalFormatting sqref="B156:AP156 AR156:BB156">
    <cfRule type="expression" dxfId="406" priority="50">
      <formula>$B$135&lt;19</formula>
    </cfRule>
  </conditionalFormatting>
  <conditionalFormatting sqref="B157:AP157 AR157:BB157">
    <cfRule type="expression" dxfId="405" priority="47">
      <formula>$B$135&lt;20</formula>
    </cfRule>
  </conditionalFormatting>
  <conditionalFormatting sqref="B173:AP173 AR173:BB173">
    <cfRule type="expression" dxfId="404" priority="45" stopIfTrue="1">
      <formula>$B$168&lt;3</formula>
    </cfRule>
  </conditionalFormatting>
  <conditionalFormatting sqref="B174:AP174 AR174:BB174">
    <cfRule type="expression" dxfId="403" priority="44">
      <formula>$B$168&lt;4</formula>
    </cfRule>
  </conditionalFormatting>
  <conditionalFormatting sqref="B175:AP175 AR175:BB175">
    <cfRule type="expression" dxfId="402" priority="43">
      <formula>$B$168&lt;5</formula>
    </cfRule>
  </conditionalFormatting>
  <conditionalFormatting sqref="B176:AP176 AR176:BB176">
    <cfRule type="expression" dxfId="401" priority="42">
      <formula>$B$168&lt;6</formula>
    </cfRule>
  </conditionalFormatting>
  <conditionalFormatting sqref="B177:AP177 AR177:BB177">
    <cfRule type="expression" dxfId="400" priority="41">
      <formula>$B$168&lt;7</formula>
    </cfRule>
  </conditionalFormatting>
  <conditionalFormatting sqref="B178:AP178 AR178:BB178">
    <cfRule type="expression" dxfId="399" priority="40">
      <formula>$B$168&lt;8</formula>
    </cfRule>
  </conditionalFormatting>
  <conditionalFormatting sqref="B179:AP179 AR179:BB179">
    <cfRule type="expression" dxfId="398" priority="39">
      <formula>$B$168&lt;9</formula>
    </cfRule>
  </conditionalFormatting>
  <conditionalFormatting sqref="B180:AP180 AR180:BB180">
    <cfRule type="expression" dxfId="397" priority="38">
      <formula>$B$168&lt;10</formula>
    </cfRule>
  </conditionalFormatting>
  <conditionalFormatting sqref="B181:AP181 AR181:BB181">
    <cfRule type="expression" dxfId="396" priority="37">
      <formula>$B$168&lt;11</formula>
    </cfRule>
  </conditionalFormatting>
  <conditionalFormatting sqref="B182:AP182 AR182:BB182">
    <cfRule type="expression" dxfId="395" priority="36">
      <formula>$B$168&lt;12</formula>
    </cfRule>
  </conditionalFormatting>
  <conditionalFormatting sqref="B139:BB139 AQ140:AQ157">
    <cfRule type="expression" dxfId="394" priority="67" stopIfTrue="1">
      <formula>$B$135&lt;2</formula>
    </cfRule>
  </conditionalFormatting>
  <conditionalFormatting sqref="B172:BB172 AQ173:AQ182">
    <cfRule type="expression" dxfId="393" priority="46" stopIfTrue="1">
      <formula>$B$168&lt;2</formula>
    </cfRule>
  </conditionalFormatting>
  <conditionalFormatting sqref="B196:BB196">
    <cfRule type="expression" dxfId="392" priority="25">
      <formula>$B192&lt;2</formula>
    </cfRule>
  </conditionalFormatting>
  <conditionalFormatting sqref="B197:BB197">
    <cfRule type="expression" dxfId="391" priority="24">
      <formula>$B192&lt;3</formula>
    </cfRule>
  </conditionalFormatting>
  <conditionalFormatting sqref="B198:BB198">
    <cfRule type="expression" dxfId="390" priority="23">
      <formula>$B192&lt;4</formula>
    </cfRule>
  </conditionalFormatting>
  <conditionalFormatting sqref="B199:BB199">
    <cfRule type="expression" dxfId="389" priority="22">
      <formula>$B192&lt;5</formula>
    </cfRule>
  </conditionalFormatting>
  <conditionalFormatting sqref="B200:BB200">
    <cfRule type="expression" dxfId="388" priority="21">
      <formula>$B192&lt;6</formula>
    </cfRule>
  </conditionalFormatting>
  <conditionalFormatting sqref="B201:BB201">
    <cfRule type="expression" dxfId="387" priority="20">
      <formula>$B192&lt;7</formula>
    </cfRule>
  </conditionalFormatting>
  <conditionalFormatting sqref="B202:BB202">
    <cfRule type="expression" dxfId="386" priority="19">
      <formula>$B192&lt;8</formula>
    </cfRule>
  </conditionalFormatting>
  <conditionalFormatting sqref="B203:BB203">
    <cfRule type="expression" dxfId="385" priority="18">
      <formula>$B192&lt;9</formula>
    </cfRule>
  </conditionalFormatting>
  <conditionalFormatting sqref="B204:BB204">
    <cfRule type="expression" dxfId="384" priority="17">
      <formula>$B192&lt;10</formula>
    </cfRule>
  </conditionalFormatting>
  <conditionalFormatting sqref="B205:BB205">
    <cfRule type="expression" dxfId="383" priority="16">
      <formula>$B192&lt;11</formula>
    </cfRule>
  </conditionalFormatting>
  <conditionalFormatting sqref="B206:BB206">
    <cfRule type="expression" dxfId="382" priority="15">
      <formula>$B192&lt;12</formula>
    </cfRule>
  </conditionalFormatting>
  <conditionalFormatting sqref="B207:BB207">
    <cfRule type="expression" dxfId="381" priority="14">
      <formula>$B192&lt;13</formula>
    </cfRule>
  </conditionalFormatting>
  <conditionalFormatting sqref="B208:BB208">
    <cfRule type="expression" dxfId="380" priority="13">
      <formula>$B192&lt;14</formula>
    </cfRule>
  </conditionalFormatting>
  <conditionalFormatting sqref="B209:BB209">
    <cfRule type="expression" dxfId="379" priority="12">
      <formula>$B192&lt;15</formula>
    </cfRule>
  </conditionalFormatting>
  <conditionalFormatting sqref="B210:BB210">
    <cfRule type="expression" dxfId="378" priority="11">
      <formula>$B192&lt;16</formula>
    </cfRule>
  </conditionalFormatting>
  <conditionalFormatting sqref="B211:BB211">
    <cfRule type="expression" dxfId="377" priority="10">
      <formula>$B192&lt;17</formula>
    </cfRule>
  </conditionalFormatting>
  <conditionalFormatting sqref="B212:BB212">
    <cfRule type="expression" dxfId="376" priority="9">
      <formula>$B192&lt;18</formula>
    </cfRule>
  </conditionalFormatting>
  <conditionalFormatting sqref="B213:BB213">
    <cfRule type="expression" dxfId="375" priority="8">
      <formula>$B192&lt;19</formula>
    </cfRule>
  </conditionalFormatting>
  <conditionalFormatting sqref="B214:BB214">
    <cfRule type="expression" dxfId="374" priority="7">
      <formula>$B192&lt;20</formula>
    </cfRule>
  </conditionalFormatting>
  <conditionalFormatting sqref="B215:BB215">
    <cfRule type="expression" dxfId="373" priority="6">
      <formula>$B192&lt;21</formula>
    </cfRule>
  </conditionalFormatting>
  <conditionalFormatting sqref="B216:BB216">
    <cfRule type="expression" dxfId="372" priority="5">
      <formula>$B192&lt;22</formula>
    </cfRule>
  </conditionalFormatting>
  <conditionalFormatting sqref="B217:BB217">
    <cfRule type="expression" dxfId="371" priority="4">
      <formula>$B192&lt;23</formula>
    </cfRule>
  </conditionalFormatting>
  <conditionalFormatting sqref="B218:BB218">
    <cfRule type="expression" dxfId="370" priority="3">
      <formula>$B192&lt;24</formula>
    </cfRule>
  </conditionalFormatting>
  <conditionalFormatting sqref="B219:BB219">
    <cfRule type="expression" dxfId="369" priority="2">
      <formula>$B192&lt;25</formula>
    </cfRule>
  </conditionalFormatting>
  <conditionalFormatting sqref="B220:BB220">
    <cfRule type="expression" dxfId="368" priority="1">
      <formula>$B192&lt;26</formula>
    </cfRule>
  </conditionalFormatting>
  <conditionalFormatting sqref="D129:D130">
    <cfRule type="cellIs" dxfId="367" priority="70" stopIfTrue="1" operator="equal">
      <formula>"change the angle of frame or of cabinets"</formula>
    </cfRule>
  </conditionalFormatting>
  <conditionalFormatting sqref="D131">
    <cfRule type="cellIs" dxfId="366" priority="69" stopIfTrue="1" operator="equal">
      <formula>"USE EXBAR AR AT THE FRONT"</formula>
    </cfRule>
  </conditionalFormatting>
  <conditionalFormatting sqref="D132">
    <cfRule type="cellIs" dxfId="365" priority="68" stopIfTrue="1" operator="equal">
      <formula>"USE EXBAR AR AT THE BACK"</formula>
    </cfRule>
  </conditionalFormatting>
  <conditionalFormatting sqref="D138:D157">
    <cfRule type="cellIs" dxfId="364" priority="78" operator="notEqual">
      <formula>0</formula>
    </cfRule>
  </conditionalFormatting>
  <conditionalFormatting sqref="D171:D182">
    <cfRule type="cellIs" dxfId="363" priority="49" operator="notEqual">
      <formula>0</formula>
    </cfRule>
  </conditionalFormatting>
  <conditionalFormatting sqref="D195:D220">
    <cfRule type="cellIs" dxfId="362" priority="27" operator="notEqual">
      <formula>0</formula>
    </cfRule>
  </conditionalFormatting>
  <conditionalFormatting sqref="E138">
    <cfRule type="expression" dxfId="361" priority="77" stopIfTrue="1">
      <formula>$B$142&lt;1</formula>
    </cfRule>
  </conditionalFormatting>
  <conditionalFormatting sqref="E171">
    <cfRule type="expression" dxfId="360" priority="48" stopIfTrue="1">
      <formula>$B$168&lt;1</formula>
    </cfRule>
  </conditionalFormatting>
  <conditionalFormatting sqref="AH221">
    <cfRule type="expression" dxfId="359" priority="28">
      <formula>$B$192&lt;20</formula>
    </cfRule>
  </conditionalFormatting>
  <conditionalFormatting sqref="BA138:BB157 BA171:BB182">
    <cfRule type="cellIs" dxfId="358" priority="76" operator="lessThan">
      <formula>10</formula>
    </cfRule>
  </conditionalFormatting>
  <conditionalFormatting sqref="BA195:BB220">
    <cfRule type="cellIs" dxfId="357" priority="26" operator="lessThan">
      <formula>10</formula>
    </cfRule>
  </conditionalFormatting>
  <conditionalFormatting sqref="BK174:BK210">
    <cfRule type="cellIs" dxfId="356" priority="74" stopIfTrue="1" operator="equal">
      <formula>FALSE</formula>
    </cfRule>
  </conditionalFormatting>
  <conditionalFormatting sqref="BN54">
    <cfRule type="cellIs" dxfId="355" priority="35" stopIfTrue="1" operator="equal">
      <formula>"negative force at the motor"</formula>
    </cfRule>
  </conditionalFormatting>
  <conditionalFormatting sqref="BN54:BN55">
    <cfRule type="cellIs" dxfId="354" priority="34" operator="equal">
      <formula>"""OK"""</formula>
    </cfRule>
  </conditionalFormatting>
  <conditionalFormatting sqref="BN55">
    <cfRule type="cellIs" dxfId="353" priority="73" stopIfTrue="1" operator="equal">
      <formula>"overload"</formula>
    </cfRule>
  </conditionalFormatting>
  <conditionalFormatting sqref="BN57">
    <cfRule type="cellIs" dxfId="352" priority="33" stopIfTrue="1" operator="equal">
      <formula>"negative force at the motor"</formula>
    </cfRule>
  </conditionalFormatting>
  <conditionalFormatting sqref="BN57:BN58">
    <cfRule type="cellIs" dxfId="351" priority="32" operator="equal">
      <formula>"""OK"""</formula>
    </cfRule>
  </conditionalFormatting>
  <conditionalFormatting sqref="BN60">
    <cfRule type="cellIs" dxfId="350" priority="31" stopIfTrue="1" operator="equal">
      <formula>"negative force at the motor"</formula>
    </cfRule>
  </conditionalFormatting>
  <conditionalFormatting sqref="BN60:BN61">
    <cfRule type="cellIs" dxfId="349" priority="30" operator="equal">
      <formula>"""OK"""</formula>
    </cfRule>
  </conditionalFormatting>
  <conditionalFormatting sqref="BN84 BN89 BN130">
    <cfRule type="cellIs" dxfId="348" priority="71" operator="equal">
      <formula>"""OK"""</formula>
    </cfRule>
  </conditionalFormatting>
  <conditionalFormatting sqref="BN84 BN130 BN89 BN58 BN61">
    <cfRule type="cellIs" dxfId="347" priority="81" stopIfTrue="1" operator="equal">
      <formula>"overload"</formula>
    </cfRule>
  </conditionalFormatting>
  <conditionalFormatting sqref="BN84 BN130 BO83:BO84">
    <cfRule type="expression" dxfId="346" priority="72">
      <formula>$B$132&lt;&gt;0</formula>
    </cfRule>
  </conditionalFormatting>
  <conditionalFormatting sqref="BO129:BO130">
    <cfRule type="expression" dxfId="345" priority="29">
      <formula>$B$132&lt;&gt;0</formula>
    </cfRule>
  </conditionalFormatting>
  <conditionalFormatting sqref="BQ129:CG129">
    <cfRule type="expression" dxfId="344" priority="82">
      <formula>$B$132=0</formula>
    </cfRule>
  </conditionalFormatting>
  <conditionalFormatting sqref="BQ85:DB87 BV135:CI142">
    <cfRule type="cellIs" dxfId="343" priority="75" stopIfTrue="1" operator="equal">
      <formula>FALSE</formula>
    </cfRule>
  </conditionalFormatting>
  <conditionalFormatting sqref="CB83:CR83">
    <cfRule type="cellIs" dxfId="342" priority="79" operator="equal">
      <formula>0</formula>
    </cfRule>
    <cfRule type="expression" dxfId="341" priority="80">
      <formula>$B$132=0</formula>
    </cfRule>
  </conditionalFormatting>
  <conditionalFormatting sqref="CK129:DA129">
    <cfRule type="expression" dxfId="340" priority="83">
      <formula>$B$132=0</formula>
    </cfRule>
  </conditionalFormatting>
  <dataValidations count="11">
    <dataValidation type="custom" allowBlank="1" showInputMessage="1" showErrorMessage="1" sqref="B165" xr:uid="{00000000-0002-0000-1200-000000000000}">
      <formula1>OR(B165=-6,B165=-5,B165=-4,B165=-3,B165=-2,B165=-1,B165=0,B165=0.5,B165=1,B165=2,B165=2.5,B165=3,B165=4)</formula1>
    </dataValidation>
    <dataValidation type="custom" allowBlank="1" showInputMessage="1" showErrorMessage="1" sqref="D196:D220" xr:uid="{00000000-0002-0000-1200-000001000000}">
      <formula1>OR(D196=0.5,D196=1,D196=2,D196=2.5,D196=3,D196=4,D196=5,D196=6,D196=7,D196=8,D196=9,D196=10)</formula1>
    </dataValidation>
    <dataValidation type="whole" allowBlank="1" showInputMessage="1" showErrorMessage="1" errorTitle="Coda Audio" error="YOU HAVE ENTERED A WRONG NUMBER OF CABINETS" promptTitle="Coda Audio" prompt="ENTER THE NUMBER OF CABINETS FROM 1 UP TO 26" sqref="B192" xr:uid="{00000000-0002-0000-1200-000002000000}">
      <formula1>1</formula1>
      <formula2>26</formula2>
    </dataValidation>
    <dataValidation type="custom" allowBlank="1" showInputMessage="1" showErrorMessage="1" sqref="D139:D157" xr:uid="{00000000-0002-0000-1200-000003000000}">
      <formula1>OR(D139=0,D139=0.5,D139=1,D139=2,D139=2.5,D139=3,D139=4,D139=5,D139=6,D139=7,D139=8)</formula1>
    </dataValidation>
    <dataValidation type="decimal" allowBlank="1" showInputMessage="1" showErrorMessage="1" sqref="B132:B133" xr:uid="{00000000-0002-0000-1200-000004000000}">
      <formula1>-89.9</formula1>
      <formula2>89.9</formula2>
    </dataValidation>
    <dataValidation type="custom" allowBlank="1" showInputMessage="1" showErrorMessage="1" sqref="D171:D182" xr:uid="{00000000-0002-0000-1200-000005000000}">
      <formula1>OR(D171=0,D171=2.5,D171=5)</formula1>
    </dataValidation>
    <dataValidation type="whole" allowBlank="1" showInputMessage="1" showErrorMessage="1" sqref="D195 D138" xr:uid="{00000000-0002-0000-1200-000006000000}">
      <formula1>-2</formula1>
      <formula2>4</formula2>
    </dataValidation>
    <dataValidation type="decimal" allowBlank="1" showInputMessage="1" showErrorMessage="1" sqref="F171:G171 F138:G138 F195:G195" xr:uid="{00000000-0002-0000-1200-000007000000}">
      <formula1>0</formula1>
      <formula2>4</formula2>
    </dataValidation>
    <dataValidation type="decimal" allowBlank="1" showInputMessage="1" showErrorMessage="1" sqref="G172:G182 D166 D158:D163 G196:G220 F197:F220 F173:F182 G139:G166 F140:F164 F166" xr:uid="{00000000-0002-0000-1200-000008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68" xr:uid="{00000000-0002-0000-1200-000009000000}">
      <formula1>1</formula1>
      <formula2>12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35" xr:uid="{00000000-0002-0000-1200-00000A000000}">
      <formula1>1</formula1>
      <formula2>20</formula2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tabColor theme="8" tint="0.39997558519241921"/>
  </sheetPr>
  <dimension ref="A1:EN284"/>
  <sheetViews>
    <sheetView topLeftCell="A25" zoomScale="50" zoomScaleNormal="50" workbookViewId="0">
      <selection activeCell="B165" sqref="B165"/>
    </sheetView>
  </sheetViews>
  <sheetFormatPr baseColWidth="10" defaultColWidth="9.1640625" defaultRowHeight="18" x14ac:dyDescent="0.2"/>
  <cols>
    <col min="1" max="1" width="3.83203125" customWidth="1"/>
    <col min="2" max="2" width="38.33203125" style="35" customWidth="1"/>
    <col min="3" max="3" width="19.83203125" style="35" hidden="1" customWidth="1"/>
    <col min="4" max="4" width="35" customWidth="1"/>
    <col min="5" max="5" width="45" customWidth="1"/>
    <col min="6" max="6" width="35" hidden="1" customWidth="1"/>
    <col min="7" max="7" width="31.6640625" hidden="1" customWidth="1"/>
    <col min="8" max="8" width="14" style="64" hidden="1" customWidth="1"/>
    <col min="9" max="11" width="17.5" style="64" hidden="1" customWidth="1"/>
    <col min="12" max="13" width="19.5" style="64" hidden="1" customWidth="1"/>
    <col min="14" max="14" width="11.5" style="64" hidden="1" customWidth="1"/>
    <col min="15" max="22" width="13.83203125" style="64" hidden="1" customWidth="1"/>
    <col min="23" max="27" width="13.5" style="64" hidden="1" customWidth="1"/>
    <col min="28" max="28" width="28.5" style="64" customWidth="1"/>
    <col min="29" max="29" width="11.5" style="64" hidden="1" customWidth="1"/>
    <col min="30" max="35" width="8.83203125" style="64" hidden="1" customWidth="1"/>
    <col min="36" max="36" width="17.5" style="64" hidden="1" customWidth="1"/>
    <col min="37" max="37" width="8.83203125" style="64" hidden="1" customWidth="1"/>
    <col min="38" max="40" width="13.33203125" style="64" hidden="1" customWidth="1"/>
    <col min="41" max="41" width="24.1640625" style="64" hidden="1" customWidth="1"/>
    <col min="42" max="42" width="32.5" style="64" hidden="1" customWidth="1"/>
    <col min="43" max="43" width="13.83203125" style="64" hidden="1" customWidth="1"/>
    <col min="44" max="44" width="24.6640625" style="64" hidden="1" customWidth="1"/>
    <col min="45" max="45" width="13.83203125" style="64" hidden="1" customWidth="1"/>
    <col min="46" max="46" width="21.1640625" style="64" hidden="1" customWidth="1"/>
    <col min="47" max="47" width="30.1640625" style="64" hidden="1" customWidth="1"/>
    <col min="48" max="52" width="13.83203125" style="64" hidden="1" customWidth="1"/>
    <col min="53" max="54" width="13.83203125" style="64" customWidth="1"/>
    <col min="55" max="64" width="13.83203125" hidden="1" customWidth="1"/>
    <col min="65" max="65" width="25.5" style="81" hidden="1" customWidth="1"/>
    <col min="66" max="66" width="26.83203125" customWidth="1"/>
    <col min="67" max="67" width="34.33203125" style="59" customWidth="1"/>
    <col min="68" max="68" width="43.6640625" customWidth="1"/>
    <col min="69" max="104" width="6.5" customWidth="1"/>
    <col min="105" max="105" width="6.8320312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32" width="6.5" hidden="1" customWidth="1"/>
    <col min="133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482" t="s">
        <v>104</v>
      </c>
      <c r="E1" s="482" t="s">
        <v>105</v>
      </c>
      <c r="F1" s="482" t="s">
        <v>106</v>
      </c>
      <c r="G1" s="990" t="s">
        <v>220</v>
      </c>
      <c r="H1" s="1044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+COS(($B$133*-1)*3.14159265358979/180)*C2</f>
        <v>688</v>
      </c>
      <c r="E2" s="41">
        <f>+COS(($B$133*-1)*3.14159265358979/180)*43</f>
        <v>43</v>
      </c>
      <c r="F2" s="42">
        <f>+COS((($B$133*-1)+72.969997)*3.14159265358979/180)*162.1867</f>
        <v>47.500013702602963</v>
      </c>
      <c r="G2" s="994" t="s">
        <v>212</v>
      </c>
      <c r="H2" s="1045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216.77709638834608</v>
      </c>
      <c r="D3" s="40">
        <f>+C9-F2</f>
        <v>216.77708268574312</v>
      </c>
      <c r="G3" s="994" t="s">
        <v>213</v>
      </c>
      <c r="H3" s="1046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+COS(($B$133*-1)*3.14159265358979/180)*C4</f>
        <v>1075</v>
      </c>
      <c r="G4" s="996" t="s">
        <v>233</v>
      </c>
      <c r="H4" s="1047">
        <v>860</v>
      </c>
      <c r="I4" s="984">
        <v>1</v>
      </c>
      <c r="J4" s="1721" t="s">
        <v>228</v>
      </c>
      <c r="K4" s="1727"/>
      <c r="L4" s="1727"/>
      <c r="M4" s="1727"/>
      <c r="N4"/>
      <c r="O4" s="995"/>
    </row>
    <row r="5" spans="2:15" ht="38" hidden="1" x14ac:dyDescent="0.2">
      <c r="B5" s="44" t="s">
        <v>115</v>
      </c>
      <c r="C5" s="45">
        <f>+C9+425.5</f>
        <v>689.77709638834608</v>
      </c>
      <c r="D5" s="40">
        <f>+(COS(($B$133*-1)*3.14159265358979/180)*473)+$D$3</f>
        <v>689.77708268574315</v>
      </c>
      <c r="G5" s="996" t="s">
        <v>214</v>
      </c>
      <c r="H5" s="1047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1" hidden="1" thickBot="1" x14ac:dyDescent="0.25">
      <c r="B6" s="73"/>
      <c r="C6" s="73"/>
      <c r="G6" s="996" t="s">
        <v>259</v>
      </c>
      <c r="H6" s="1047">
        <v>602</v>
      </c>
      <c r="I6"/>
      <c r="J6" s="963">
        <f>+H9/H8*BQ27</f>
        <v>309.382379434825</v>
      </c>
      <c r="K6" s="963">
        <f>((H8-H9)/H8)*BQ27</f>
        <v>-212.70038586144219</v>
      </c>
      <c r="L6" s="963">
        <f>+CO27</f>
        <v>173.11800642661723</v>
      </c>
      <c r="M6" s="961" t="s">
        <v>223</v>
      </c>
      <c r="N6"/>
      <c r="O6" s="995"/>
    </row>
    <row r="7" spans="2:15" ht="39" hidden="1" customHeight="1" thickBot="1" x14ac:dyDescent="0.25">
      <c r="B7" s="483" t="s">
        <v>18</v>
      </c>
      <c r="C7" s="394">
        <f>+C11+C16+30+4.5+0.5</f>
        <v>269.8</v>
      </c>
      <c r="D7" s="1573" t="s">
        <v>309</v>
      </c>
      <c r="G7" s="997" t="s">
        <v>230</v>
      </c>
      <c r="H7" s="1048">
        <f>(+SIN(($B$133*-1)*3.14159265358979/180)*H2)</f>
        <v>0</v>
      </c>
      <c r="I7"/>
      <c r="J7" s="965">
        <f>ABS($H$1/J6)</f>
        <v>58.180430420381811</v>
      </c>
      <c r="K7" s="965">
        <f>ABS($H$1/K6)</f>
        <v>84.626080611464445</v>
      </c>
      <c r="L7" s="965">
        <f>ABS($H$1/L6)</f>
        <v>103.97531933011253</v>
      </c>
      <c r="M7" s="967" t="s">
        <v>222</v>
      </c>
      <c r="N7"/>
      <c r="O7" s="995"/>
    </row>
    <row r="8" spans="2:15" ht="20" hidden="1" x14ac:dyDescent="0.2">
      <c r="B8" s="483" t="s">
        <v>19</v>
      </c>
      <c r="C8" s="483">
        <f>+AS139</f>
        <v>492.39108855494453</v>
      </c>
      <c r="G8" s="997" t="s">
        <v>229</v>
      </c>
      <c r="H8" s="1048">
        <f>(+COS(($B$133*-1)*3.14159265358979/180)*H3)</f>
        <v>215</v>
      </c>
      <c r="I8"/>
      <c r="J8" s="1733">
        <f>ABS($E$20/BQ27)</f>
        <v>82.745501042320811</v>
      </c>
      <c r="K8" s="1733"/>
      <c r="L8" s="1733">
        <f>ABS($E$20/CO27)</f>
        <v>46.211253035605573</v>
      </c>
      <c r="M8" s="1734" t="s">
        <v>350</v>
      </c>
      <c r="N8"/>
      <c r="O8" s="995"/>
    </row>
    <row r="9" spans="2:15" ht="21" hidden="1" thickBot="1" x14ac:dyDescent="0.25">
      <c r="B9" s="483" t="s">
        <v>14</v>
      </c>
      <c r="C9" s="483">
        <f>+AP135</f>
        <v>264.27709638834608</v>
      </c>
      <c r="G9" s="994" t="s">
        <v>227</v>
      </c>
      <c r="H9" s="1048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B10" s="1574" t="s">
        <v>112</v>
      </c>
      <c r="C10" s="1575">
        <v>72</v>
      </c>
      <c r="D10" s="1576" t="s">
        <v>322</v>
      </c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483" t="s">
        <v>323</v>
      </c>
      <c r="C11" s="1681">
        <f>+B168*C10+31</f>
        <v>103</v>
      </c>
      <c r="G11" s="994" t="s">
        <v>226</v>
      </c>
      <c r="H11" s="1048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1" hidden="1" thickBot="1" x14ac:dyDescent="0.25">
      <c r="B12" s="483" t="s">
        <v>150</v>
      </c>
      <c r="C12" s="394">
        <v>747</v>
      </c>
      <c r="D12" s="397"/>
      <c r="G12" s="998"/>
      <c r="H12" s="37"/>
      <c r="I12"/>
      <c r="J12" s="963">
        <f>(CB30)</f>
        <v>215.39399357338277</v>
      </c>
      <c r="K12" s="963">
        <f>((+H8-H11)/H8*CZ30)</f>
        <v>-119.69321413855786</v>
      </c>
      <c r="L12" s="963">
        <f>(H11/H8*CZ30)</f>
        <v>174.09922056517507</v>
      </c>
      <c r="M12" s="961" t="s">
        <v>223</v>
      </c>
      <c r="N12"/>
      <c r="O12" s="995"/>
    </row>
    <row r="13" spans="2:15" ht="21.75" hidden="1" customHeight="1" thickBot="1" x14ac:dyDescent="0.25">
      <c r="B13" s="1574" t="s">
        <v>132</v>
      </c>
      <c r="C13" s="1575">
        <v>40.5</v>
      </c>
      <c r="D13" s="1576" t="s">
        <v>273</v>
      </c>
      <c r="G13" s="998"/>
      <c r="H13"/>
      <c r="I13"/>
      <c r="J13" s="965">
        <f>ABS($H$1/J12)</f>
        <v>83.567789896924694</v>
      </c>
      <c r="K13" s="965">
        <f>ABS($H$1/K12)</f>
        <v>150.38446523094493</v>
      </c>
      <c r="L13" s="965">
        <f>ABS($H$1/L12)</f>
        <v>103.38931984627463</v>
      </c>
      <c r="M13" s="967" t="s">
        <v>222</v>
      </c>
      <c r="N13"/>
      <c r="O13" s="995"/>
    </row>
    <row r="14" spans="2:15" ht="22.5" hidden="1" customHeight="1" thickBot="1" x14ac:dyDescent="0.25">
      <c r="B14" s="1574" t="s">
        <v>275</v>
      </c>
      <c r="C14" s="1575">
        <v>29.3</v>
      </c>
      <c r="D14" s="1576" t="s">
        <v>276</v>
      </c>
      <c r="G14" s="998"/>
      <c r="H14"/>
      <c r="I14"/>
      <c r="J14" s="1733">
        <f>ABS($E$20/CB30)</f>
        <v>37.141239954188755</v>
      </c>
      <c r="K14" s="1733"/>
      <c r="L14" s="1733">
        <f>ABS($E$20/CZ30)</f>
        <v>147.04258822581284</v>
      </c>
      <c r="M14" s="1734" t="s">
        <v>350</v>
      </c>
      <c r="N14"/>
      <c r="O14" s="995"/>
    </row>
    <row r="15" spans="2:15" ht="22.5" hidden="1" customHeight="1" thickBot="1" x14ac:dyDescent="0.25">
      <c r="B15" s="483" t="s">
        <v>312</v>
      </c>
      <c r="C15" s="394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1.75" hidden="1" customHeight="1" thickBot="1" x14ac:dyDescent="0.25">
      <c r="B16" s="483" t="s">
        <v>313</v>
      </c>
      <c r="C16" s="1682">
        <f>(+B192*C14)+31+(B136*C13)+31</f>
        <v>131.80000000000001</v>
      </c>
      <c r="D16" s="397"/>
      <c r="G16" s="994" t="s">
        <v>231</v>
      </c>
      <c r="H16" s="1048">
        <f>+D2+H7-BL139</f>
        <v>-1.777082685743153</v>
      </c>
      <c r="I16" s="984" t="s">
        <v>251</v>
      </c>
      <c r="J16" s="1721" t="s">
        <v>232</v>
      </c>
      <c r="K16" s="1727"/>
      <c r="L16" s="1727"/>
      <c r="M16" s="1727"/>
      <c r="N16"/>
      <c r="O16" s="995"/>
    </row>
    <row r="17" spans="2:144" ht="20" hidden="1" x14ac:dyDescent="0.2">
      <c r="B17" s="399"/>
      <c r="C17" s="399"/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44" ht="20" hidden="1" x14ac:dyDescent="0.2">
      <c r="B18" s="484" t="s">
        <v>76</v>
      </c>
      <c r="C18" s="1579">
        <v>5800</v>
      </c>
      <c r="D18" s="1579">
        <v>10000</v>
      </c>
      <c r="G18" s="998"/>
      <c r="H18"/>
      <c r="I18"/>
      <c r="J18" s="963">
        <f>+H16/H8*BQ25</f>
        <v>-2.2300321330860591</v>
      </c>
      <c r="K18" s="963">
        <f>((H8-H16)/H8)*BQ27</f>
        <v>97.481118674789258</v>
      </c>
      <c r="L18" s="963"/>
      <c r="M18" s="961" t="s">
        <v>223</v>
      </c>
      <c r="N18"/>
      <c r="O18" s="995"/>
    </row>
    <row r="19" spans="2:144" ht="20" hidden="1" x14ac:dyDescent="0.2">
      <c r="B19" s="484" t="s">
        <v>77</v>
      </c>
      <c r="C19" s="1579">
        <v>5800</v>
      </c>
      <c r="D19" s="1579">
        <v>5800</v>
      </c>
      <c r="G19" s="998"/>
      <c r="H19"/>
      <c r="I19"/>
      <c r="J19" s="965">
        <f>ABS($H$1/J18)</f>
        <v>8071.6325710923566</v>
      </c>
      <c r="K19" s="965">
        <f>ABS($H$1/K18)</f>
        <v>184.65114316189309</v>
      </c>
      <c r="L19" s="965"/>
      <c r="M19" s="967" t="s">
        <v>222</v>
      </c>
      <c r="N19"/>
      <c r="O19" s="995"/>
    </row>
    <row r="20" spans="2:144" ht="20" hidden="1" x14ac:dyDescent="0.2">
      <c r="B20" s="484" t="s">
        <v>78</v>
      </c>
      <c r="C20" s="1579">
        <v>8000</v>
      </c>
      <c r="D20" s="1579">
        <v>8000</v>
      </c>
      <c r="E20" s="49">
        <v>8000</v>
      </c>
      <c r="G20" s="998"/>
      <c r="H20"/>
      <c r="I20"/>
      <c r="J20" s="1733">
        <f>ABS($E$20/BQ25)</f>
        <v>29.651593773165306</v>
      </c>
      <c r="K20" s="1733"/>
      <c r="L20" s="1733"/>
      <c r="M20" s="1734" t="s">
        <v>350</v>
      </c>
      <c r="N20"/>
      <c r="O20" s="995"/>
    </row>
    <row r="21" spans="2:144" ht="19" hidden="1" thickBot="1" x14ac:dyDescent="0.25">
      <c r="B21" s="1579"/>
      <c r="C21" s="1579" t="s">
        <v>20</v>
      </c>
      <c r="D21" s="1579" t="s">
        <v>21</v>
      </c>
      <c r="G21" s="998"/>
      <c r="H21"/>
      <c r="I21"/>
      <c r="J21" s="59"/>
      <c r="K21" s="59"/>
      <c r="L21" s="59"/>
      <c r="M21" s="59"/>
      <c r="N21"/>
      <c r="O21" s="995"/>
    </row>
    <row r="22" spans="2:144" ht="21" hidden="1" thickBot="1" x14ac:dyDescent="0.25">
      <c r="B22" s="1580" t="s">
        <v>64</v>
      </c>
      <c r="C22" s="1579">
        <f>+((C8-C9)/C8)*C7</f>
        <v>124.99242272472731</v>
      </c>
      <c r="D22" s="1579">
        <f>+(C9/C8)*C7</f>
        <v>144.80757727527271</v>
      </c>
      <c r="G22" s="994" t="s">
        <v>219</v>
      </c>
      <c r="H22" s="1048">
        <f>(+COS(($B$133*-1)*3.14159265358979/180)*(H4))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</row>
    <row r="23" spans="2:144" ht="20" hidden="1" x14ac:dyDescent="0.2">
      <c r="G23" s="994" t="s">
        <v>234</v>
      </c>
      <c r="H23" s="1094">
        <f>+BL139-H22+H7</f>
        <v>-170.22291731425685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44" ht="20" hidden="1" x14ac:dyDescent="0.2">
      <c r="G24" s="998"/>
      <c r="H24"/>
      <c r="I24"/>
      <c r="J24" s="963"/>
      <c r="K24" s="963">
        <f>((+H8-H23)/H8*BQ25)</f>
        <v>483.40996786691397</v>
      </c>
      <c r="L24" s="963">
        <f>(H23/H8*BQ25)</f>
        <v>-213.60996786691396</v>
      </c>
      <c r="M24" s="961" t="s">
        <v>223</v>
      </c>
      <c r="N24"/>
      <c r="O24" s="995"/>
    </row>
    <row r="25" spans="2:144" ht="33.75" customHeight="1" thickBot="1" x14ac:dyDescent="0.25">
      <c r="G25" s="998"/>
      <c r="H25"/>
      <c r="I25"/>
      <c r="J25" s="965"/>
      <c r="K25" s="965">
        <f>ABS($H$1/K24)</f>
        <v>37.235475469044367</v>
      </c>
      <c r="L25" s="965">
        <f>ABS($H$1/L24)</f>
        <v>84.265730573091005</v>
      </c>
      <c r="M25" s="967" t="s">
        <v>222</v>
      </c>
      <c r="N25"/>
      <c r="O25" s="995"/>
      <c r="BE25" s="64"/>
      <c r="BF25" s="64"/>
      <c r="BG25" s="64"/>
      <c r="BH25" s="64"/>
      <c r="BO25" s="64"/>
      <c r="BP25" s="75" t="s">
        <v>25</v>
      </c>
      <c r="BQ25" s="1814">
        <f>+C7</f>
        <v>269.8</v>
      </c>
      <c r="BR25" s="1814"/>
      <c r="BS25" s="76" t="s">
        <v>17</v>
      </c>
      <c r="BT25" s="76"/>
      <c r="BU25" s="77" t="s">
        <v>324</v>
      </c>
      <c r="BV25" s="78"/>
      <c r="BW25" s="78"/>
      <c r="BX25" s="78"/>
      <c r="BY25" s="78"/>
      <c r="BZ25" s="78"/>
      <c r="CA25" s="78"/>
      <c r="CB25" s="78"/>
      <c r="CC25" s="78"/>
      <c r="CD25" s="78"/>
      <c r="CE25" s="78"/>
      <c r="CF25" s="78"/>
      <c r="CG25" s="78"/>
      <c r="CH25" s="78"/>
      <c r="CI25" s="78"/>
      <c r="CJ25" s="78"/>
      <c r="CK25" s="78"/>
      <c r="CL25" s="78"/>
      <c r="CM25" s="78"/>
      <c r="CN25" s="78"/>
      <c r="CO25" s="78"/>
      <c r="CP25" s="78"/>
      <c r="CQ25" s="78"/>
      <c r="CR25" s="78"/>
      <c r="CS25" s="78"/>
      <c r="CT25" s="78"/>
      <c r="CU25" s="78"/>
      <c r="CV25" s="78"/>
      <c r="CW25" s="78"/>
      <c r="CX25" s="78"/>
      <c r="CY25" s="78"/>
      <c r="CZ25" s="78"/>
      <c r="DA25" s="78"/>
      <c r="DB25" s="78"/>
      <c r="DC25" s="78"/>
      <c r="DD25" s="78"/>
    </row>
    <row r="26" spans="2:144" s="64" customFormat="1" ht="38.5" customHeight="1" thickBot="1" x14ac:dyDescent="0.3">
      <c r="B26" s="73"/>
      <c r="C26" s="73"/>
      <c r="G26" s="998"/>
      <c r="H26"/>
      <c r="I26"/>
      <c r="J26" s="1733"/>
      <c r="K26" s="1733"/>
      <c r="L26" s="1733">
        <f>ABS($E$20/BQ25)</f>
        <v>29.651593773165306</v>
      </c>
      <c r="M26" s="1734" t="s">
        <v>350</v>
      </c>
      <c r="N26"/>
      <c r="O26" s="995"/>
      <c r="BD26"/>
      <c r="BE26" s="85"/>
      <c r="BF26" s="85"/>
      <c r="BG26" s="85"/>
      <c r="BH26" s="85"/>
      <c r="BI26"/>
      <c r="BJ26"/>
      <c r="BK26"/>
      <c r="BL26"/>
      <c r="BM26" s="81" t="b">
        <f>AND(BQ27&gt;0,CO27&gt;0)</f>
        <v>1</v>
      </c>
      <c r="BN26" s="952" t="str">
        <f>IF(BM26=TRUE,"","negative force at the motor")</f>
        <v/>
      </c>
      <c r="BO26" s="1095" t="s">
        <v>128</v>
      </c>
      <c r="BP26" s="740" t="s">
        <v>27</v>
      </c>
      <c r="BQ26" s="776" t="s">
        <v>28</v>
      </c>
      <c r="BR26" s="777"/>
      <c r="BS26" s="777"/>
      <c r="BT26" s="777"/>
      <c r="BU26" s="777"/>
      <c r="BV26" s="777"/>
      <c r="BW26" s="777"/>
      <c r="BX26" s="777"/>
      <c r="BY26" s="777"/>
      <c r="BZ26" s="777"/>
      <c r="CA26" s="777"/>
      <c r="CB26" s="777"/>
      <c r="CC26" s="777"/>
      <c r="CD26" s="777"/>
      <c r="CE26" s="777"/>
      <c r="CF26" s="777"/>
      <c r="CG26" s="777"/>
      <c r="CH26" s="777"/>
      <c r="CI26" s="884"/>
      <c r="CJ26" s="777"/>
      <c r="CK26" s="885"/>
      <c r="CL26" s="885"/>
      <c r="CM26" s="885"/>
      <c r="CN26" s="885"/>
      <c r="CO26" s="777"/>
      <c r="CP26" s="782" t="s">
        <v>29</v>
      </c>
      <c r="CQ26" s="1801"/>
      <c r="CR26" s="1801"/>
      <c r="CS26" s="1801"/>
      <c r="CT26" s="1801"/>
      <c r="CU26" s="1801"/>
      <c r="CV26" s="1801"/>
      <c r="CW26" s="1801"/>
      <c r="CX26" s="1801"/>
      <c r="CY26" s="1801"/>
      <c r="CZ26" s="1801"/>
      <c r="DA26" s="1802"/>
      <c r="DB26" s="78"/>
      <c r="DC26" s="78"/>
      <c r="DD26" s="78"/>
      <c r="DE26"/>
      <c r="DF26"/>
      <c r="DG26"/>
      <c r="DH26"/>
      <c r="DI26"/>
      <c r="DJ26"/>
      <c r="DK26"/>
      <c r="DL26"/>
      <c r="DM26"/>
      <c r="DN26"/>
      <c r="DO26"/>
      <c r="DP26"/>
      <c r="DQ26"/>
      <c r="DR26"/>
      <c r="DS26"/>
      <c r="DT26"/>
      <c r="DU26"/>
      <c r="DV26"/>
      <c r="DW26"/>
      <c r="DX26"/>
      <c r="DY26"/>
      <c r="DZ26"/>
      <c r="EA26"/>
      <c r="EB26"/>
      <c r="EC26"/>
      <c r="ED26"/>
      <c r="EE26"/>
      <c r="EF26"/>
      <c r="EG26"/>
      <c r="EH26"/>
      <c r="EI26"/>
      <c r="EJ26"/>
      <c r="EK26"/>
      <c r="EL26"/>
      <c r="EM26"/>
      <c r="EN26"/>
    </row>
    <row r="27" spans="2:144" ht="44" thickBot="1" x14ac:dyDescent="0.3">
      <c r="G27" s="998"/>
      <c r="H27"/>
      <c r="I27"/>
      <c r="J27" s="59"/>
      <c r="K27" s="59"/>
      <c r="L27" s="59"/>
      <c r="M27" s="59"/>
      <c r="N27"/>
      <c r="O27" s="995"/>
      <c r="U27" s="114"/>
      <c r="BE27" s="85"/>
      <c r="BF27" s="85"/>
      <c r="BG27" s="85"/>
      <c r="BH27" s="85"/>
      <c r="BL27" s="968">
        <v>1</v>
      </c>
      <c r="BM27" s="1762" t="b">
        <f>AND(BO27&gt;=10,$BB$139&gt;=10,$BA$139&gt;=10,$BB$171&gt;=10,$BA$171&gt;=10,$BA$195&gt;=10,$BB$195&gt;=10)</f>
        <v>1</v>
      </c>
      <c r="BN27" s="84" t="str">
        <f>IF(BM27=TRUE,"O K","OVERLOAD")</f>
        <v>O K</v>
      </c>
      <c r="BO27" s="982">
        <f>+MIN(J7:L8)</f>
        <v>46.211253035605573</v>
      </c>
      <c r="BP27" s="741" t="s">
        <v>180</v>
      </c>
      <c r="BQ27" s="1809">
        <f>+((D4-D5)/D4)*C7</f>
        <v>96.681993573382798</v>
      </c>
      <c r="BR27" s="1810"/>
      <c r="BS27" s="783"/>
      <c r="BT27" s="783"/>
      <c r="BU27" s="783"/>
      <c r="BV27" s="784"/>
      <c r="BW27" s="784"/>
      <c r="BX27" s="784"/>
      <c r="BY27" s="886"/>
      <c r="BZ27" s="886"/>
      <c r="CA27" s="886"/>
      <c r="CB27" s="886"/>
      <c r="CC27" s="886"/>
      <c r="CD27" s="886"/>
      <c r="CE27" s="886"/>
      <c r="CF27" s="886"/>
      <c r="CG27" s="886"/>
      <c r="CH27" s="886"/>
      <c r="CI27" s="887"/>
      <c r="CJ27" s="783"/>
      <c r="CK27" s="783"/>
      <c r="CL27" s="783"/>
      <c r="CM27" s="784"/>
      <c r="CN27" s="784"/>
      <c r="CO27" s="1799">
        <f>+(D5/D4)*C7</f>
        <v>173.11800642661723</v>
      </c>
      <c r="CP27" s="1800"/>
      <c r="CQ27" s="1803"/>
      <c r="CR27" s="1803"/>
      <c r="CS27" s="1803"/>
      <c r="CT27" s="1803"/>
      <c r="CU27" s="1803"/>
      <c r="CV27" s="1803"/>
      <c r="CW27" s="1803"/>
      <c r="CX27" s="1803"/>
      <c r="CY27" s="1803"/>
      <c r="CZ27" s="1803"/>
      <c r="DA27" s="1804"/>
      <c r="DB27" s="78"/>
      <c r="DC27" s="78"/>
      <c r="DD27" s="78"/>
    </row>
    <row r="28" spans="2:144" ht="17.25" customHeight="1" thickBot="1" x14ac:dyDescent="0.3">
      <c r="G28" s="998"/>
      <c r="H28"/>
      <c r="I28" s="984">
        <v>60</v>
      </c>
      <c r="J28" s="1721" t="s">
        <v>241</v>
      </c>
      <c r="K28" s="1727"/>
      <c r="L28" s="1727"/>
      <c r="M28" s="1727"/>
      <c r="N28"/>
      <c r="O28" s="995"/>
      <c r="BE28" s="85"/>
      <c r="BF28" s="85"/>
      <c r="BG28" s="85"/>
      <c r="BH28" s="85"/>
      <c r="BN28" s="86"/>
      <c r="BO28" s="85"/>
      <c r="BP28" s="87"/>
      <c r="BQ28" s="88"/>
      <c r="BR28" s="88"/>
      <c r="BS28" s="87"/>
      <c r="BT28" s="87"/>
      <c r="BU28" s="87"/>
      <c r="BV28" s="87"/>
      <c r="BW28" s="87"/>
      <c r="BX28" s="87"/>
      <c r="BY28" s="87"/>
      <c r="BZ28" s="87"/>
      <c r="CA28" s="87"/>
      <c r="CB28" s="87"/>
      <c r="CC28" s="87"/>
      <c r="CD28" s="87"/>
      <c r="CE28" s="87"/>
      <c r="CF28" s="87"/>
      <c r="CG28" s="87"/>
      <c r="CH28" s="87"/>
      <c r="CJ28" s="76"/>
      <c r="CK28" s="76"/>
      <c r="CL28" s="88"/>
      <c r="CM28" s="89"/>
      <c r="CN28" s="89"/>
      <c r="CO28" s="89"/>
      <c r="CP28" s="89"/>
      <c r="CQ28" s="89"/>
      <c r="CR28" s="89"/>
      <c r="CS28" s="89"/>
      <c r="CT28" s="89"/>
      <c r="CU28" s="89"/>
      <c r="CV28" s="89"/>
      <c r="CW28" s="89"/>
      <c r="CX28" s="89"/>
      <c r="CY28" s="89"/>
      <c r="CZ28" s="89"/>
      <c r="DA28" s="89"/>
      <c r="DB28" s="89"/>
      <c r="DC28" s="78"/>
      <c r="DD28" s="78"/>
    </row>
    <row r="29" spans="2:144" ht="38.5" customHeight="1" thickBot="1" x14ac:dyDescent="0.3">
      <c r="F29" s="486"/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  <c r="BE29" s="85"/>
      <c r="BF29" s="85"/>
      <c r="BG29" s="85"/>
      <c r="BH29" s="85"/>
      <c r="BM29" s="81" t="b">
        <f>AND(CB30&gt;0,CZ30&gt;0)</f>
        <v>1</v>
      </c>
      <c r="BN29" s="952" t="str">
        <f>IF(BM29=TRUE,"","negative force at the motor")</f>
        <v/>
      </c>
      <c r="BO29" s="1095" t="s">
        <v>128</v>
      </c>
      <c r="BP29" s="742" t="s">
        <v>27</v>
      </c>
      <c r="BQ29" s="1833"/>
      <c r="BR29" s="1834"/>
      <c r="BS29" s="1834"/>
      <c r="BT29" s="1834"/>
      <c r="BU29" s="1834"/>
      <c r="BV29" s="1834"/>
      <c r="BW29" s="1834"/>
      <c r="BX29" s="1834"/>
      <c r="BY29" s="1834"/>
      <c r="BZ29" s="1834"/>
      <c r="CA29" s="1834"/>
      <c r="CB29" s="772" t="s">
        <v>28</v>
      </c>
      <c r="CC29" s="774"/>
      <c r="CD29" s="774"/>
      <c r="CE29" s="774"/>
      <c r="CF29" s="774"/>
      <c r="CG29" s="774"/>
      <c r="CH29" s="774"/>
      <c r="CI29" s="774"/>
      <c r="CJ29" s="774"/>
      <c r="CK29" s="774"/>
      <c r="CL29" s="774"/>
      <c r="CM29" s="774"/>
      <c r="CN29" s="888"/>
      <c r="CO29" s="765"/>
      <c r="CP29" s="765"/>
      <c r="CQ29" s="765"/>
      <c r="CR29" s="765"/>
      <c r="CS29" s="889"/>
      <c r="CT29" s="889"/>
      <c r="CU29" s="888"/>
      <c r="CV29" s="888"/>
      <c r="CW29" s="888"/>
      <c r="CX29" s="888"/>
      <c r="CY29" s="888"/>
      <c r="CZ29" s="765"/>
      <c r="DA29" s="766" t="s">
        <v>29</v>
      </c>
      <c r="DB29" s="90"/>
      <c r="DC29" s="78"/>
      <c r="DD29" s="78"/>
    </row>
    <row r="30" spans="2:144" ht="44" thickBot="1" x14ac:dyDescent="0.3">
      <c r="G30" s="1000"/>
      <c r="H30" s="63"/>
      <c r="I30"/>
      <c r="J30" s="963"/>
      <c r="K30" s="963">
        <f>((+H8-H23)/H8*BQ25)</f>
        <v>483.40996786691397</v>
      </c>
      <c r="L30" s="963">
        <f>(H23/H8*BQ25)</f>
        <v>-213.60996786691396</v>
      </c>
      <c r="M30" s="961" t="s">
        <v>223</v>
      </c>
      <c r="N30"/>
      <c r="O30" s="995"/>
      <c r="BL30" s="968">
        <v>2</v>
      </c>
      <c r="BM30" s="1762" t="b">
        <f>AND(BO30&gt;=10,$BB$139&gt;=10,$BA$139&gt;=10,$BB$171&gt;=10,$BA$171&gt;=10,$BA$195&gt;=10,$BB$195&gt;=10)</f>
        <v>1</v>
      </c>
      <c r="BN30" s="84" t="str">
        <f>IF(BM30=TRUE,"O K","OVERLOAD")</f>
        <v>O K</v>
      </c>
      <c r="BO30" s="982">
        <f>+MIN(J13:L14)</f>
        <v>37.141239954188755</v>
      </c>
      <c r="BP30" s="743" t="s">
        <v>126</v>
      </c>
      <c r="BQ30" s="1835"/>
      <c r="BR30" s="1836"/>
      <c r="BS30" s="1836"/>
      <c r="BT30" s="1836"/>
      <c r="BU30" s="1836"/>
      <c r="BV30" s="1836"/>
      <c r="BW30" s="1836"/>
      <c r="BX30" s="1836"/>
      <c r="BY30" s="1836"/>
      <c r="BZ30" s="1836"/>
      <c r="CA30" s="1836"/>
      <c r="CB30" s="1840">
        <f>+((D4-D3)/D4)*C7</f>
        <v>215.39399357338277</v>
      </c>
      <c r="CC30" s="1841"/>
      <c r="CD30" s="890"/>
      <c r="CE30" s="890"/>
      <c r="CF30" s="890"/>
      <c r="CG30" s="890"/>
      <c r="CH30" s="890"/>
      <c r="CI30" s="890"/>
      <c r="CJ30" s="890"/>
      <c r="CK30" s="890"/>
      <c r="CL30" s="890"/>
      <c r="CM30" s="890"/>
      <c r="CN30" s="891"/>
      <c r="CO30" s="892"/>
      <c r="CP30" s="892"/>
      <c r="CQ30" s="892"/>
      <c r="CR30" s="892"/>
      <c r="CS30" s="893"/>
      <c r="CT30" s="893"/>
      <c r="CU30" s="883"/>
      <c r="CV30" s="883"/>
      <c r="CW30" s="883"/>
      <c r="CX30" s="883"/>
      <c r="CY30" s="883"/>
      <c r="CZ30" s="1797">
        <f>+(D3/D4)*C7</f>
        <v>54.406006426617203</v>
      </c>
      <c r="DA30" s="1798"/>
      <c r="DB30" s="92"/>
      <c r="DC30" s="78"/>
      <c r="DD30" s="78"/>
    </row>
    <row r="31" spans="2:144" ht="17.25" customHeight="1" thickBot="1" x14ac:dyDescent="0.3">
      <c r="G31" s="1000"/>
      <c r="H31" s="63"/>
      <c r="I31"/>
      <c r="J31" s="965"/>
      <c r="K31" s="965">
        <f>ABS($H$1/K30)</f>
        <v>37.235475469044367</v>
      </c>
      <c r="L31" s="965">
        <f>ABS($H$1/L30)</f>
        <v>84.265730573091005</v>
      </c>
      <c r="M31" s="967" t="s">
        <v>222</v>
      </c>
      <c r="N31"/>
      <c r="O31" s="995"/>
      <c r="BN31" s="86"/>
      <c r="BO31" s="18"/>
      <c r="BP31" s="93"/>
      <c r="BQ31" s="93"/>
      <c r="BR31" s="93"/>
      <c r="BS31" s="93"/>
      <c r="BT31" s="93"/>
      <c r="BU31" s="93"/>
      <c r="BV31" s="93"/>
      <c r="BW31" s="93"/>
      <c r="BX31" s="93"/>
      <c r="BY31" s="94"/>
      <c r="BZ31" s="94"/>
      <c r="CA31" s="89"/>
      <c r="CB31" s="89"/>
      <c r="CC31" s="89"/>
      <c r="CD31" s="89"/>
      <c r="CE31" s="89"/>
      <c r="CF31" s="89"/>
      <c r="CG31" s="89"/>
      <c r="CH31" s="89"/>
      <c r="CI31" s="89"/>
      <c r="CJ31" s="89"/>
      <c r="CK31" s="89"/>
      <c r="CL31" s="89"/>
      <c r="CM31" s="89"/>
      <c r="CN31" s="37"/>
      <c r="CO31" s="95"/>
      <c r="CP31" s="95"/>
      <c r="CQ31" s="95"/>
      <c r="CR31" s="95"/>
      <c r="CS31" s="92"/>
      <c r="CT31" s="92"/>
      <c r="CU31" s="92"/>
      <c r="CV31" s="92"/>
      <c r="CW31" s="92"/>
      <c r="CX31" s="92"/>
      <c r="CY31" s="92"/>
      <c r="CZ31" s="92"/>
      <c r="DA31" s="92"/>
      <c r="DB31" s="92"/>
      <c r="DC31" s="78"/>
      <c r="DD31" s="78"/>
    </row>
    <row r="32" spans="2:144" ht="38.5" customHeight="1" thickBot="1" x14ac:dyDescent="0.25">
      <c r="E32" s="397"/>
      <c r="F32" s="397"/>
      <c r="G32" s="1000"/>
      <c r="H32" s="63"/>
      <c r="I32"/>
      <c r="J32" s="1733"/>
      <c r="K32" s="1733"/>
      <c r="L32" s="1733">
        <f>ABS($E$20/BQ25)*2</f>
        <v>59.303187546330612</v>
      </c>
      <c r="M32" s="1734" t="s">
        <v>350</v>
      </c>
      <c r="N32" s="1730" t="s">
        <v>352</v>
      </c>
      <c r="O32" s="995"/>
      <c r="BM32" s="81" t="b">
        <f>AND(CB33&gt;0,CQ33&gt;0)</f>
        <v>1</v>
      </c>
      <c r="BN32" s="952" t="str">
        <f>IF(BM32=TRUE,"","negative force at the motor")</f>
        <v/>
      </c>
      <c r="BO32" s="1095" t="s">
        <v>128</v>
      </c>
      <c r="BP32" s="744" t="s">
        <v>27</v>
      </c>
      <c r="BQ32" s="1822"/>
      <c r="BR32" s="1823"/>
      <c r="BS32" s="1823"/>
      <c r="BT32" s="1823"/>
      <c r="BU32" s="1823"/>
      <c r="BV32" s="1823"/>
      <c r="BW32" s="1823"/>
      <c r="BX32" s="1823"/>
      <c r="BY32" s="1823"/>
      <c r="BZ32" s="1823"/>
      <c r="CA32" s="1823"/>
      <c r="CB32" s="894" t="s">
        <v>28</v>
      </c>
      <c r="CC32" s="895"/>
      <c r="CD32" s="895"/>
      <c r="CE32" s="895"/>
      <c r="CF32" s="895"/>
      <c r="CG32" s="895"/>
      <c r="CH32" s="895"/>
      <c r="CI32" s="896"/>
      <c r="CJ32" s="895"/>
      <c r="CK32" s="897"/>
      <c r="CL32" s="897"/>
      <c r="CM32" s="895"/>
      <c r="CN32" s="895"/>
      <c r="CO32" s="895"/>
      <c r="CP32" s="895"/>
      <c r="CQ32" s="895"/>
      <c r="CR32" s="898" t="s">
        <v>29</v>
      </c>
      <c r="CS32" s="1801"/>
      <c r="CT32" s="1801"/>
      <c r="CU32" s="1801"/>
      <c r="CV32" s="1801"/>
      <c r="CW32" s="1801"/>
      <c r="CX32" s="1801"/>
      <c r="CY32" s="1801"/>
      <c r="CZ32" s="1801"/>
      <c r="DA32" s="1802"/>
      <c r="DB32" s="89"/>
      <c r="DC32" s="78"/>
      <c r="DD32" s="78"/>
    </row>
    <row r="33" spans="2:144" ht="31" thickBot="1" x14ac:dyDescent="0.3">
      <c r="E33" s="397"/>
      <c r="F33" s="397"/>
      <c r="G33" s="1000"/>
      <c r="H33" s="63"/>
      <c r="I33"/>
      <c r="J33" s="59"/>
      <c r="K33" s="59"/>
      <c r="L33" s="59"/>
      <c r="M33" s="59"/>
      <c r="N33"/>
      <c r="O33" s="995"/>
      <c r="BL33" s="968">
        <v>3</v>
      </c>
      <c r="BM33" s="1762" t="b">
        <f>AND(BO33&gt;=10,$BB$139&gt;=10,$BA$139&gt;=10,$BB$171&gt;=10,$BA$171&gt;=10,$BA$195&gt;=10,$BB$195&gt;=10)</f>
        <v>1</v>
      </c>
      <c r="BN33" s="84" t="str">
        <f>IF(BM33=TRUE,"O K","OVERLOAD")</f>
        <v>O K</v>
      </c>
      <c r="BO33" s="983">
        <f>+$E$20/(MAX(CB33,CQ33))</f>
        <v>43.292241880360095</v>
      </c>
      <c r="BP33" s="745" t="s">
        <v>123</v>
      </c>
      <c r="BQ33" s="1824"/>
      <c r="BR33" s="1825"/>
      <c r="BS33" s="1825"/>
      <c r="BT33" s="1825"/>
      <c r="BU33" s="1825"/>
      <c r="BV33" s="1825"/>
      <c r="BW33" s="1825"/>
      <c r="BX33" s="1825"/>
      <c r="BY33" s="1825"/>
      <c r="BZ33" s="1825"/>
      <c r="CA33" s="1825"/>
      <c r="CB33" s="1807">
        <f>+((D2-D3)/D2)*C7</f>
        <v>184.7906149584106</v>
      </c>
      <c r="CC33" s="1808"/>
      <c r="CD33" s="899"/>
      <c r="CE33" s="899"/>
      <c r="CF33" s="899"/>
      <c r="CG33" s="899"/>
      <c r="CH33" s="899"/>
      <c r="CI33" s="900"/>
      <c r="CJ33" s="899"/>
      <c r="CK33" s="901"/>
      <c r="CL33" s="901"/>
      <c r="CM33" s="902"/>
      <c r="CN33" s="902"/>
      <c r="CO33" s="902"/>
      <c r="CP33" s="902"/>
      <c r="CQ33" s="1795">
        <f>+(D3/D2)*C7</f>
        <v>85.009385041589383</v>
      </c>
      <c r="CR33" s="1796"/>
      <c r="CS33" s="1803"/>
      <c r="CT33" s="1803"/>
      <c r="CU33" s="1803"/>
      <c r="CV33" s="1803"/>
      <c r="CW33" s="1803"/>
      <c r="CX33" s="1803"/>
      <c r="CY33" s="1803"/>
      <c r="CZ33" s="1803"/>
      <c r="DA33" s="1804"/>
      <c r="DB33" s="89"/>
      <c r="DC33" s="78"/>
      <c r="DD33" s="78"/>
    </row>
    <row r="34" spans="2:144" ht="17.25" hidden="1" customHeight="1" thickBot="1" x14ac:dyDescent="0.3">
      <c r="E34" s="397"/>
      <c r="F34" s="397"/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  <c r="BN34" s="86"/>
      <c r="BO34" s="18"/>
      <c r="BP34" s="93"/>
      <c r="BQ34" s="93"/>
      <c r="BR34" s="93"/>
      <c r="BS34" s="93"/>
      <c r="BT34" s="93"/>
      <c r="BU34" s="93"/>
      <c r="BV34" s="93"/>
      <c r="BW34" s="93"/>
      <c r="BX34" s="93"/>
      <c r="BY34" s="94"/>
      <c r="BZ34" s="94"/>
      <c r="CA34" s="89"/>
      <c r="CB34" s="89"/>
      <c r="CC34" s="89"/>
      <c r="CD34" s="89"/>
      <c r="CE34" s="89"/>
      <c r="CF34" s="89"/>
      <c r="CG34" s="89"/>
      <c r="CH34" s="89"/>
      <c r="CI34" s="89"/>
      <c r="CJ34" s="89"/>
      <c r="CK34" s="93"/>
      <c r="CL34" s="89"/>
      <c r="CM34" s="89"/>
      <c r="CN34" s="37"/>
      <c r="CO34" s="95"/>
      <c r="CP34" s="95"/>
      <c r="CQ34" s="95"/>
      <c r="CR34" s="95"/>
      <c r="CS34" s="92"/>
      <c r="CT34" s="92"/>
      <c r="CU34" s="92"/>
      <c r="CV34" s="92"/>
      <c r="CW34" s="92"/>
      <c r="CX34" s="92"/>
      <c r="CY34" s="92"/>
      <c r="CZ34" s="92"/>
      <c r="DA34" s="92"/>
      <c r="DB34" s="92"/>
      <c r="DC34" s="78"/>
      <c r="DD34" s="78"/>
    </row>
    <row r="35" spans="2:144" ht="20" hidden="1" x14ac:dyDescent="0.2">
      <c r="B35" s="399"/>
      <c r="C35" s="399"/>
      <c r="D35" s="397"/>
      <c r="E35" s="397"/>
      <c r="F35" s="397"/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  <c r="U35" s="114"/>
      <c r="AB35" s="114"/>
      <c r="AC35" s="114"/>
      <c r="AD35" s="114"/>
      <c r="AE35" s="114"/>
      <c r="BE35" s="136"/>
      <c r="BF35" s="136"/>
      <c r="BG35" s="136"/>
      <c r="BH35" s="136"/>
      <c r="BN35" s="86"/>
    </row>
    <row r="36" spans="2:144" ht="20" hidden="1" x14ac:dyDescent="0.2">
      <c r="B36" s="399"/>
      <c r="C36" s="399"/>
      <c r="D36" s="397"/>
      <c r="E36" s="397"/>
      <c r="F36" s="397"/>
      <c r="G36" s="1000"/>
      <c r="H36" s="63"/>
      <c r="I36"/>
      <c r="J36" s="963">
        <f>+H16/H8*BQ25</f>
        <v>-2.2300321330860591</v>
      </c>
      <c r="K36" s="963">
        <f>((H8-H16)/H8)*BQ25</f>
        <v>272.03003213308608</v>
      </c>
      <c r="L36" s="963"/>
      <c r="M36" s="961" t="s">
        <v>223</v>
      </c>
      <c r="N36"/>
      <c r="O36" s="995"/>
      <c r="U36" s="114"/>
      <c r="AB36" s="114"/>
      <c r="AC36" s="114"/>
      <c r="AD36" s="114"/>
      <c r="AE36" s="114"/>
      <c r="BE36" s="136"/>
      <c r="BF36" s="136"/>
      <c r="BG36" s="136"/>
      <c r="BH36" s="136"/>
      <c r="BN36" s="86"/>
    </row>
    <row r="37" spans="2:144" ht="23" hidden="1" x14ac:dyDescent="0.25">
      <c r="B37" s="399"/>
      <c r="C37" s="399"/>
      <c r="D37" s="397"/>
      <c r="E37" s="397"/>
      <c r="F37" s="397"/>
      <c r="G37" s="1000"/>
      <c r="H37" s="63"/>
      <c r="I37"/>
      <c r="J37" s="965">
        <f>ABS($H$1/J36)</f>
        <v>8071.6325710923566</v>
      </c>
      <c r="K37" s="965">
        <f>ABS($H$1/K36)</f>
        <v>66.169164701615756</v>
      </c>
      <c r="L37" s="965"/>
      <c r="M37" s="967" t="s">
        <v>222</v>
      </c>
      <c r="N37"/>
      <c r="O37" s="995"/>
      <c r="U37" s="114"/>
      <c r="AB37" s="114"/>
      <c r="AC37" s="114"/>
      <c r="AD37" s="114"/>
      <c r="AE37" s="114"/>
      <c r="BE37" s="136"/>
      <c r="BF37" s="136"/>
      <c r="BG37" s="136"/>
      <c r="BH37" s="136"/>
      <c r="BN37" s="86"/>
      <c r="BO37" s="17"/>
      <c r="BP37" s="177"/>
      <c r="BQ37" s="178"/>
      <c r="BR37" s="178"/>
      <c r="BS37" s="178"/>
      <c r="BT37" s="178"/>
      <c r="BU37" s="178"/>
      <c r="BV37" s="178"/>
      <c r="BW37" s="178"/>
      <c r="BX37" s="178"/>
      <c r="BY37" s="179"/>
      <c r="BZ37" s="179"/>
      <c r="CA37" s="180"/>
      <c r="CB37" s="180"/>
      <c r="CC37" s="180"/>
      <c r="CD37" s="180"/>
      <c r="CE37" s="180"/>
      <c r="CF37" s="180"/>
      <c r="CG37" s="180"/>
      <c r="CH37" s="180"/>
      <c r="CI37" s="37"/>
      <c r="CJ37" s="89"/>
      <c r="CK37" s="181"/>
      <c r="CL37" s="181"/>
      <c r="CM37" s="89"/>
      <c r="CN37" s="89"/>
      <c r="CO37" s="89"/>
      <c r="CP37" s="89"/>
      <c r="CQ37" s="89"/>
      <c r="CR37" s="89"/>
      <c r="CS37" s="89"/>
      <c r="CT37" s="89"/>
      <c r="CU37" s="89"/>
      <c r="CV37" s="89"/>
      <c r="CW37" s="178"/>
      <c r="CX37" s="178"/>
      <c r="CY37" s="178"/>
      <c r="CZ37" s="178"/>
      <c r="DA37" s="178"/>
      <c r="DB37" s="178"/>
      <c r="DC37" s="178"/>
      <c r="DD37" s="178"/>
    </row>
    <row r="38" spans="2:144" ht="24" hidden="1" thickBot="1" x14ac:dyDescent="0.3">
      <c r="B38" s="399"/>
      <c r="C38" s="399"/>
      <c r="D38" s="397"/>
      <c r="E38" s="397"/>
      <c r="F38" s="397"/>
      <c r="G38" s="1000"/>
      <c r="H38" s="63"/>
      <c r="I38"/>
      <c r="J38" s="1733">
        <f>ABS($E$20/BQ25)*2</f>
        <v>59.303187546330612</v>
      </c>
      <c r="K38" s="1733"/>
      <c r="L38" s="1733"/>
      <c r="M38" s="1734" t="s">
        <v>350</v>
      </c>
      <c r="N38" s="1730" t="s">
        <v>352</v>
      </c>
      <c r="O38" s="995"/>
      <c r="U38" s="114"/>
      <c r="AB38" s="114"/>
      <c r="AC38" s="114"/>
      <c r="AD38" s="114"/>
      <c r="AE38" s="114"/>
      <c r="BE38" s="136"/>
      <c r="BF38" s="136"/>
      <c r="BG38" s="136"/>
      <c r="BH38" s="136"/>
      <c r="BN38" s="86"/>
      <c r="BO38" s="17"/>
      <c r="BP38" s="177"/>
      <c r="BQ38" s="178"/>
      <c r="BR38" s="178"/>
      <c r="BS38" s="178"/>
      <c r="BT38" s="178"/>
      <c r="BU38" s="178"/>
      <c r="BV38" s="178"/>
      <c r="BW38" s="178"/>
      <c r="BX38" s="178"/>
      <c r="BY38" s="179"/>
      <c r="BZ38" s="179"/>
      <c r="CA38" s="180"/>
      <c r="CB38" s="180"/>
      <c r="CC38" s="180"/>
      <c r="CD38" s="180"/>
      <c r="CE38" s="180"/>
      <c r="CF38" s="180"/>
      <c r="CG38" s="180"/>
      <c r="CH38" s="180"/>
      <c r="CI38" s="37"/>
      <c r="CJ38" s="89"/>
      <c r="CK38" s="181"/>
      <c r="CL38" s="181"/>
      <c r="CM38" s="89"/>
      <c r="CN38" s="89"/>
      <c r="CO38" s="89"/>
      <c r="CP38" s="89"/>
      <c r="CQ38" s="89"/>
      <c r="CR38" s="89"/>
      <c r="CS38" s="89"/>
      <c r="CT38" s="89"/>
      <c r="CU38" s="89"/>
      <c r="CV38" s="89"/>
      <c r="CW38" s="178"/>
      <c r="CX38" s="178"/>
      <c r="CY38" s="178"/>
      <c r="CZ38" s="178"/>
      <c r="DA38" s="178"/>
      <c r="DB38" s="178"/>
      <c r="DC38" s="178"/>
      <c r="DD38" s="178"/>
    </row>
    <row r="39" spans="2:144" ht="24" hidden="1" thickBot="1" x14ac:dyDescent="0.3">
      <c r="B39" s="399"/>
      <c r="C39" s="399"/>
      <c r="D39" s="397"/>
      <c r="E39" s="397"/>
      <c r="F39" s="397"/>
      <c r="G39" s="998"/>
      <c r="H39"/>
      <c r="I39"/>
      <c r="J39" s="59"/>
      <c r="K39" s="59"/>
      <c r="L39" s="59"/>
      <c r="M39" s="59"/>
      <c r="N39"/>
      <c r="O39" s="995"/>
      <c r="U39" s="114"/>
      <c r="AB39" s="114"/>
      <c r="AC39" s="114"/>
      <c r="AD39" s="114"/>
      <c r="AE39" s="114"/>
      <c r="BE39" s="136"/>
      <c r="BF39" s="136"/>
      <c r="BG39" s="136"/>
      <c r="BH39" s="136"/>
      <c r="BN39" s="86"/>
      <c r="BO39" s="17"/>
      <c r="BP39" s="177"/>
      <c r="BQ39" s="178"/>
      <c r="BR39" s="178"/>
      <c r="BS39" s="178"/>
      <c r="BT39" s="178"/>
      <c r="BU39" s="178"/>
      <c r="BV39" s="178"/>
      <c r="BW39" s="178"/>
      <c r="BX39" s="178"/>
      <c r="BY39" s="179"/>
      <c r="BZ39" s="179"/>
      <c r="CA39" s="182">
        <v>16</v>
      </c>
      <c r="CB39" s="180"/>
      <c r="CC39" s="180"/>
      <c r="CD39" s="180"/>
      <c r="CE39" s="180"/>
      <c r="CF39" s="180"/>
      <c r="CG39" s="180"/>
      <c r="CH39" s="180"/>
      <c r="CI39" s="37"/>
      <c r="CJ39" s="89"/>
      <c r="CK39" s="181"/>
      <c r="CL39" s="181"/>
      <c r="CM39" s="89"/>
      <c r="CN39" s="89"/>
      <c r="CO39" s="89"/>
      <c r="CP39" s="117" t="b">
        <f>IF(CQ57=27,15)</f>
        <v>0</v>
      </c>
      <c r="CQ39" s="183"/>
      <c r="CR39" s="103" t="b">
        <f>IF(CQ57=27,17)</f>
        <v>0</v>
      </c>
      <c r="CS39" s="89"/>
      <c r="CT39" s="89"/>
      <c r="CU39" s="89"/>
      <c r="CV39" s="89"/>
      <c r="CW39" s="178"/>
      <c r="CX39" s="178"/>
      <c r="CY39" s="178"/>
      <c r="CZ39" s="178"/>
      <c r="DA39" s="178"/>
      <c r="DB39" s="178"/>
      <c r="DC39" s="178"/>
      <c r="DD39" s="178"/>
      <c r="DG39" s="1814"/>
      <c r="DH39" s="1814"/>
      <c r="DI39" s="76"/>
      <c r="DJ39" s="76"/>
      <c r="DK39" s="77"/>
      <c r="DL39" s="78"/>
      <c r="DM39" s="78"/>
      <c r="DN39" s="78"/>
      <c r="DO39" s="78"/>
      <c r="DP39" s="78"/>
      <c r="DQ39" s="78"/>
      <c r="DR39" s="78"/>
      <c r="DS39" s="78"/>
      <c r="DT39" s="78"/>
      <c r="DU39" s="78"/>
      <c r="DV39" s="78"/>
      <c r="DW39" s="78"/>
      <c r="DX39" s="78"/>
      <c r="DY39" s="78"/>
      <c r="DZ39" s="78"/>
      <c r="EA39" s="78"/>
      <c r="EB39" s="78"/>
      <c r="EC39" s="78"/>
      <c r="ED39" s="78"/>
      <c r="EE39" s="78"/>
      <c r="EF39" s="78"/>
      <c r="EG39" s="78"/>
      <c r="EH39" s="78"/>
      <c r="EI39" s="78"/>
      <c r="EJ39" s="78"/>
      <c r="EK39" s="78"/>
      <c r="EL39" s="78"/>
      <c r="EM39" s="64"/>
      <c r="EN39" s="64"/>
    </row>
    <row r="40" spans="2:144" ht="24" hidden="1" thickBot="1" x14ac:dyDescent="0.3">
      <c r="B40" s="64"/>
      <c r="C40" s="399"/>
      <c r="E40" s="64"/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/>
      <c r="O40" s="995"/>
      <c r="U40" s="114"/>
      <c r="AB40" s="114"/>
      <c r="AC40" s="114"/>
      <c r="AD40" s="114"/>
      <c r="AE40" s="114"/>
      <c r="BE40" s="136"/>
      <c r="BF40" s="136"/>
      <c r="BG40" s="136"/>
      <c r="BH40" s="136"/>
      <c r="BN40" s="86"/>
      <c r="BO40" s="17"/>
      <c r="BP40" s="177"/>
      <c r="BQ40" s="178"/>
      <c r="BR40" s="178"/>
      <c r="BS40" s="178"/>
      <c r="BT40" s="178"/>
      <c r="BU40" s="178"/>
      <c r="BV40" s="178"/>
      <c r="BW40" s="178"/>
      <c r="BX40" s="178"/>
      <c r="BY40" s="179"/>
      <c r="BZ40" s="179"/>
      <c r="CA40" s="182">
        <v>15</v>
      </c>
      <c r="CB40" s="180"/>
      <c r="CC40" s="180"/>
      <c r="CD40" s="180"/>
      <c r="CE40" s="180"/>
      <c r="CF40" s="180"/>
      <c r="CG40" s="180"/>
      <c r="CH40" s="180"/>
      <c r="CI40" s="37"/>
      <c r="CJ40" s="89"/>
      <c r="CK40" s="181"/>
      <c r="CL40" s="181"/>
      <c r="CM40" s="89"/>
      <c r="CN40" s="117" t="b">
        <f>IF(CP57=26,13)</f>
        <v>0</v>
      </c>
      <c r="CO40" s="183"/>
      <c r="CP40" s="183"/>
      <c r="CQ40" s="183"/>
      <c r="CR40" s="103" t="b">
        <f>IF(CP57=26,17)</f>
        <v>0</v>
      </c>
      <c r="CS40" s="89"/>
      <c r="CT40" s="89"/>
      <c r="CU40" s="89"/>
      <c r="CV40" s="89"/>
      <c r="CW40" s="178"/>
      <c r="CX40" s="178"/>
      <c r="CY40" s="178"/>
      <c r="CZ40" s="178"/>
      <c r="DA40" s="178"/>
      <c r="DB40" s="178"/>
      <c r="DC40" s="178"/>
      <c r="DD40" s="178"/>
      <c r="EK40" s="78"/>
      <c r="EL40" s="78"/>
    </row>
    <row r="41" spans="2:144" ht="31" hidden="1" thickBot="1" x14ac:dyDescent="0.35">
      <c r="B41" s="67"/>
      <c r="C41" s="399"/>
      <c r="E41" s="68"/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  <c r="U41" s="114"/>
      <c r="AB41" s="114"/>
      <c r="AC41" s="114"/>
      <c r="AD41" s="114"/>
      <c r="AE41" s="114"/>
      <c r="BE41" s="136"/>
      <c r="BF41" s="136"/>
      <c r="BG41" s="136"/>
      <c r="BH41" s="136"/>
      <c r="BN41" s="86"/>
      <c r="BO41" s="17"/>
      <c r="BP41" s="177"/>
      <c r="BQ41" s="178"/>
      <c r="BR41" s="178"/>
      <c r="BS41" s="178"/>
      <c r="BT41" s="178"/>
      <c r="BU41" s="178"/>
      <c r="BV41" s="178"/>
      <c r="BW41" s="178"/>
      <c r="BX41" s="178"/>
      <c r="BY41" s="179"/>
      <c r="BZ41" s="179"/>
      <c r="CA41" s="182">
        <v>14</v>
      </c>
      <c r="CB41" s="180"/>
      <c r="CC41" s="180"/>
      <c r="CD41" s="180"/>
      <c r="CE41" s="180"/>
      <c r="CF41" s="180"/>
      <c r="CG41" s="180"/>
      <c r="CH41" s="180"/>
      <c r="CI41" s="37"/>
      <c r="CJ41" s="89"/>
      <c r="CK41" s="181"/>
      <c r="CL41" s="117" t="b">
        <f>IF(CO57=25,11)</f>
        <v>0</v>
      </c>
      <c r="CM41" s="183"/>
      <c r="CN41" s="184"/>
      <c r="CO41" s="184"/>
      <c r="CP41" s="184"/>
      <c r="CQ41" s="184"/>
      <c r="CR41" s="124" t="b">
        <f>IF(CO57=25,17)</f>
        <v>0</v>
      </c>
      <c r="CS41" s="89"/>
      <c r="CT41" s="89"/>
      <c r="CU41" s="89"/>
      <c r="CV41" s="89"/>
      <c r="CW41" s="178"/>
      <c r="CX41" s="178"/>
      <c r="CY41" s="178"/>
      <c r="CZ41" s="178"/>
      <c r="DA41" s="178"/>
      <c r="DB41" s="178"/>
      <c r="DC41" s="178"/>
      <c r="DD41" s="178"/>
      <c r="EK41" s="78"/>
      <c r="EL41" s="78"/>
    </row>
    <row r="42" spans="2:144" ht="24" hidden="1" thickBot="1" x14ac:dyDescent="0.3">
      <c r="B42" s="487"/>
      <c r="C42" s="487"/>
      <c r="D42" s="487"/>
      <c r="E42" s="487"/>
      <c r="G42" s="1002" t="s">
        <v>245</v>
      </c>
      <c r="H42" s="1049">
        <f>SUM(BQ99:CA99)</f>
        <v>8</v>
      </c>
      <c r="I42"/>
      <c r="J42" s="963">
        <f>+H43/H8*BQ25/2</f>
        <v>242.82000000000002</v>
      </c>
      <c r="K42" s="963">
        <f>((H8-H43)/H8)*BQ25/2</f>
        <v>-107.92000000000002</v>
      </c>
      <c r="L42" s="963">
        <f>+BQ25/2</f>
        <v>134.9</v>
      </c>
      <c r="M42" s="961" t="s">
        <v>223</v>
      </c>
      <c r="N42"/>
      <c r="O42" s="995"/>
      <c r="U42" s="114"/>
      <c r="AB42" s="114"/>
      <c r="AC42" s="114"/>
      <c r="AD42" s="114"/>
      <c r="AE42" s="114"/>
      <c r="BE42" s="136"/>
      <c r="BF42" s="136"/>
      <c r="BG42" s="136"/>
      <c r="BH42" s="136"/>
      <c r="BN42" s="86"/>
      <c r="BO42" s="1091"/>
      <c r="BP42" s="177"/>
      <c r="BQ42" s="178"/>
      <c r="BR42" s="178"/>
      <c r="BS42" s="178"/>
      <c r="BT42" s="178"/>
      <c r="BU42" s="178"/>
      <c r="BV42" s="178"/>
      <c r="BW42" s="178"/>
      <c r="BX42" s="178"/>
      <c r="CA42" s="182">
        <v>13</v>
      </c>
      <c r="CB42" s="178"/>
      <c r="CC42" s="177"/>
      <c r="CD42" s="177"/>
      <c r="CE42" s="177"/>
      <c r="CF42" s="177"/>
      <c r="CG42" s="177"/>
      <c r="CH42" s="177"/>
      <c r="CI42" s="177"/>
      <c r="CJ42" s="117" t="b">
        <f>IF(CN57=24,9)</f>
        <v>0</v>
      </c>
      <c r="CK42" s="185"/>
      <c r="CL42" s="186"/>
      <c r="CM42" s="122"/>
      <c r="CN42" s="186"/>
      <c r="CO42" s="122"/>
      <c r="CP42" s="122"/>
      <c r="CQ42" s="121"/>
      <c r="CR42" s="124" t="b">
        <f>IF(CN57=24,17)</f>
        <v>0</v>
      </c>
      <c r="CS42" s="78"/>
      <c r="CT42" s="78"/>
      <c r="CU42" s="78"/>
      <c r="CV42" s="78"/>
      <c r="CW42" s="78"/>
      <c r="CX42" s="78"/>
      <c r="CY42" s="78"/>
      <c r="CZ42" s="78"/>
      <c r="DA42" s="78"/>
      <c r="DB42" s="78"/>
      <c r="DC42" s="78"/>
      <c r="DD42" s="78"/>
      <c r="EK42" s="78"/>
      <c r="EL42" s="78"/>
    </row>
    <row r="43" spans="2:144" ht="21" hidden="1" thickBot="1" x14ac:dyDescent="0.25">
      <c r="B43" s="488"/>
      <c r="C43" s="489"/>
      <c r="D43" s="488"/>
      <c r="E43" s="488"/>
      <c r="G43" s="994" t="s">
        <v>243</v>
      </c>
      <c r="H43" s="1048">
        <f>$H$5-((H42-1)*$E$2)</f>
        <v>387</v>
      </c>
      <c r="I43"/>
      <c r="J43" s="965">
        <f>ABS($H$1/J42)</f>
        <v>74.128984432913256</v>
      </c>
      <c r="K43" s="965">
        <f>ABS($H$1/K42)</f>
        <v>166.79021497405483</v>
      </c>
      <c r="L43" s="965">
        <f>ABS($H$1/L42)</f>
        <v>133.43217197924389</v>
      </c>
      <c r="M43" s="967" t="s">
        <v>222</v>
      </c>
      <c r="N43"/>
      <c r="O43" s="995"/>
      <c r="U43" s="114"/>
      <c r="AB43" s="114"/>
      <c r="AC43" s="114"/>
      <c r="AD43" s="114"/>
      <c r="AE43" s="114"/>
      <c r="BE43" s="136"/>
      <c r="BF43" s="136"/>
      <c r="BG43" s="136"/>
      <c r="BH43" s="136"/>
      <c r="BN43" s="86"/>
      <c r="BO43" s="1091"/>
      <c r="BP43" s="177"/>
      <c r="BQ43" s="177"/>
      <c r="BR43" s="178"/>
      <c r="BS43" s="177"/>
      <c r="BT43" s="177"/>
      <c r="BU43" s="177"/>
      <c r="CA43" s="182">
        <v>12</v>
      </c>
      <c r="CB43" s="178"/>
      <c r="CC43" s="177"/>
      <c r="CD43" s="177"/>
      <c r="CE43" s="177"/>
      <c r="CF43" s="177"/>
      <c r="CG43" s="177"/>
      <c r="CH43" s="117" t="b">
        <f>IF(CM57=23,7)</f>
        <v>0</v>
      </c>
      <c r="CI43" s="185"/>
      <c r="CJ43" s="185"/>
      <c r="CK43" s="118"/>
      <c r="CL43" s="185"/>
      <c r="CM43" s="185"/>
      <c r="CN43" s="185"/>
      <c r="CO43" s="118"/>
      <c r="CP43" s="118"/>
      <c r="CQ43" s="111"/>
      <c r="CR43" s="103" t="b">
        <f>IF(CM57=23,17)</f>
        <v>0</v>
      </c>
      <c r="CS43" s="78"/>
      <c r="CT43" s="78"/>
      <c r="CU43" s="78"/>
      <c r="CV43" s="78"/>
      <c r="CW43" s="78"/>
      <c r="CX43" s="78"/>
      <c r="CY43" s="78"/>
      <c r="CZ43" s="78"/>
      <c r="DA43" s="78"/>
      <c r="DB43" s="78"/>
      <c r="DC43" s="78"/>
      <c r="DD43" s="78"/>
      <c r="EK43" s="78"/>
      <c r="EL43" s="78"/>
    </row>
    <row r="44" spans="2:144" ht="21" hidden="1" thickBot="1" x14ac:dyDescent="0.25">
      <c r="B44" s="399"/>
      <c r="C44" s="399"/>
      <c r="G44" s="1000"/>
      <c r="H44" s="63"/>
      <c r="I44"/>
      <c r="J44" s="1733"/>
      <c r="K44" s="1733"/>
      <c r="L44" s="1733">
        <f>ABS($E$20/BQ25)*2</f>
        <v>59.303187546330612</v>
      </c>
      <c r="M44" s="1734" t="s">
        <v>350</v>
      </c>
      <c r="N44" s="1730" t="s">
        <v>352</v>
      </c>
      <c r="O44" s="995"/>
      <c r="U44" s="114"/>
      <c r="AB44" s="114"/>
      <c r="AC44" s="114"/>
      <c r="AD44" s="114"/>
      <c r="AE44" s="114"/>
      <c r="BE44" s="136"/>
      <c r="BF44" s="136"/>
      <c r="BG44" s="136"/>
      <c r="BH44" s="136"/>
      <c r="BN44" s="86"/>
      <c r="BO44" s="1091"/>
      <c r="BP44" s="177"/>
      <c r="BQ44" s="177"/>
      <c r="BR44" s="178"/>
      <c r="BS44" s="177"/>
      <c r="BT44" s="177"/>
      <c r="BU44" s="177"/>
      <c r="CA44" s="182">
        <v>11</v>
      </c>
      <c r="CB44" s="178"/>
      <c r="CC44" s="177"/>
      <c r="CD44" s="177"/>
      <c r="CE44" s="177"/>
      <c r="CF44" s="117" t="b">
        <f>IF(CL57=22,5)</f>
        <v>0</v>
      </c>
      <c r="CG44" s="185"/>
      <c r="CH44" s="185"/>
      <c r="CI44" s="118"/>
      <c r="CJ44" s="185"/>
      <c r="CK44" s="118"/>
      <c r="CL44" s="185"/>
      <c r="CM44" s="118"/>
      <c r="CN44" s="185"/>
      <c r="CO44" s="118"/>
      <c r="CP44" s="118"/>
      <c r="CQ44" s="111"/>
      <c r="CR44" s="103" t="b">
        <f>IF(CL57=22,17)</f>
        <v>0</v>
      </c>
      <c r="CS44" s="78"/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DG44" s="107"/>
      <c r="DH44" s="107"/>
      <c r="DI44" s="107"/>
      <c r="DJ44" s="107"/>
      <c r="DK44" s="107"/>
      <c r="DL44" s="108"/>
      <c r="DM44" s="107"/>
      <c r="DN44" s="107"/>
      <c r="DO44" s="107"/>
      <c r="DP44" s="107"/>
      <c r="DQ44" s="107"/>
      <c r="DR44" s="107"/>
      <c r="DS44" s="107"/>
      <c r="DT44" s="107"/>
      <c r="DU44" s="107"/>
      <c r="DV44" s="107"/>
      <c r="DW44" s="107"/>
      <c r="DX44" s="107"/>
      <c r="DY44" s="107"/>
      <c r="DZ44" s="107"/>
      <c r="EA44" s="107"/>
      <c r="EB44" s="107"/>
      <c r="EC44" s="107"/>
      <c r="ED44" s="108"/>
      <c r="EE44" s="78"/>
      <c r="EF44" s="78"/>
      <c r="EG44" s="78"/>
      <c r="EH44" s="78"/>
      <c r="EI44" s="78"/>
      <c r="EJ44" s="78"/>
      <c r="EK44" s="78"/>
      <c r="EL44" s="78"/>
    </row>
    <row r="45" spans="2:144" ht="21" hidden="1" thickBot="1" x14ac:dyDescent="0.25">
      <c r="B45" s="490"/>
      <c r="C45" s="399"/>
      <c r="D45" s="491"/>
      <c r="E45" s="492"/>
      <c r="F45" s="397"/>
      <c r="G45" s="998"/>
      <c r="H45" s="1069" t="s">
        <v>263</v>
      </c>
      <c r="I45"/>
      <c r="J45" s="59"/>
      <c r="K45" s="59"/>
      <c r="L45" s="59"/>
      <c r="M45" s="59"/>
      <c r="N45"/>
      <c r="O45" s="995"/>
      <c r="U45" s="114"/>
      <c r="AB45" s="114"/>
      <c r="AC45" s="114"/>
      <c r="AD45" s="114"/>
      <c r="AE45" s="114"/>
      <c r="BE45" s="136"/>
      <c r="BF45" s="136"/>
      <c r="BG45" s="136"/>
      <c r="BH45" s="136"/>
      <c r="BN45" s="86"/>
      <c r="BO45" s="1091"/>
      <c r="BP45" s="177"/>
      <c r="BQ45" s="177"/>
      <c r="BR45" s="178"/>
      <c r="BS45" s="177"/>
      <c r="BT45" s="177"/>
      <c r="BU45" s="177"/>
      <c r="CA45" s="182">
        <v>10</v>
      </c>
      <c r="CB45" s="178"/>
      <c r="CC45" s="177"/>
      <c r="CD45" s="117" t="b">
        <f>IF(CK57=21,3)</f>
        <v>0</v>
      </c>
      <c r="CE45" s="185"/>
      <c r="CF45" s="185"/>
      <c r="CG45" s="118"/>
      <c r="CH45" s="118"/>
      <c r="CI45" s="118"/>
      <c r="CJ45" s="185"/>
      <c r="CK45" s="185"/>
      <c r="CL45" s="185"/>
      <c r="CM45" s="118"/>
      <c r="CN45" s="185"/>
      <c r="CO45" s="118"/>
      <c r="CP45" s="118"/>
      <c r="CQ45" s="111"/>
      <c r="CR45" s="103" t="b">
        <f>IF(CK57=21,17)</f>
        <v>0</v>
      </c>
      <c r="CS45" s="78"/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DG45" s="107"/>
      <c r="DH45" s="107"/>
      <c r="DI45" s="107"/>
      <c r="DJ45" s="107"/>
      <c r="DK45" s="107"/>
      <c r="DL45" s="108"/>
      <c r="DM45" s="107"/>
      <c r="DN45" s="107"/>
      <c r="DO45" s="107"/>
      <c r="DP45" s="107"/>
      <c r="DQ45" s="107"/>
      <c r="DR45" s="107"/>
      <c r="DS45" s="107"/>
      <c r="DT45" s="107"/>
      <c r="DU45" s="107"/>
      <c r="DV45" s="107"/>
      <c r="DW45" s="107"/>
      <c r="DX45" s="107"/>
      <c r="DY45" s="107"/>
      <c r="DZ45" s="107"/>
      <c r="EA45" s="107"/>
      <c r="EB45" s="107"/>
      <c r="EC45" s="107"/>
      <c r="ED45" s="108"/>
      <c r="EE45" s="78"/>
      <c r="EF45" s="78"/>
      <c r="EG45" s="78"/>
      <c r="EH45" s="78"/>
      <c r="EI45" s="78"/>
      <c r="EJ45" s="78"/>
      <c r="EK45" s="78"/>
      <c r="EL45" s="78"/>
    </row>
    <row r="46" spans="2:144" ht="21" hidden="1" thickBot="1" x14ac:dyDescent="0.25">
      <c r="B46" s="488"/>
      <c r="C46" s="399"/>
      <c r="D46" s="488"/>
      <c r="E46" s="20"/>
      <c r="F46" s="397"/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  <c r="U46" s="114"/>
      <c r="AB46" s="114"/>
      <c r="AC46" s="114"/>
      <c r="AD46" s="114"/>
      <c r="AE46" s="114"/>
      <c r="BE46" s="136"/>
      <c r="BF46" s="136"/>
      <c r="BG46" s="136"/>
      <c r="BH46" s="136"/>
      <c r="BN46" s="86"/>
      <c r="BO46" s="1091"/>
      <c r="BP46" s="177"/>
      <c r="BQ46" s="177"/>
      <c r="BR46" s="178"/>
      <c r="BS46" s="177"/>
      <c r="BT46" s="177"/>
      <c r="BU46" s="177"/>
      <c r="CA46" s="182">
        <v>9</v>
      </c>
      <c r="CB46" s="117" t="b">
        <f>IF(CJ57=20,1)</f>
        <v>0</v>
      </c>
      <c r="CC46" s="185"/>
      <c r="CD46" s="185"/>
      <c r="CE46" s="118"/>
      <c r="CF46" s="185"/>
      <c r="CG46" s="185"/>
      <c r="CH46" s="185"/>
      <c r="CI46" s="185"/>
      <c r="CJ46" s="185"/>
      <c r="CK46" s="185"/>
      <c r="CL46" s="185"/>
      <c r="CM46" s="185"/>
      <c r="CN46" s="185"/>
      <c r="CO46" s="118"/>
      <c r="CP46" s="118"/>
      <c r="CQ46" s="111"/>
      <c r="CR46" s="103" t="b">
        <f>IF(CJ57=20,17)</f>
        <v>0</v>
      </c>
      <c r="CS46" s="78"/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EK46" s="78"/>
      <c r="EL46" s="78"/>
    </row>
    <row r="47" spans="2:144" ht="24" hidden="1" thickBot="1" x14ac:dyDescent="0.3">
      <c r="B47" s="399"/>
      <c r="C47" s="399"/>
      <c r="F47" s="397"/>
      <c r="G47" s="1002" t="s">
        <v>245</v>
      </c>
      <c r="H47" s="1050">
        <f>SUM(CQ99:DA99)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  <c r="U47" s="114"/>
      <c r="AB47" s="114"/>
      <c r="AC47" s="114"/>
      <c r="AD47" s="114"/>
      <c r="AE47" s="114"/>
      <c r="BE47" s="136"/>
      <c r="BF47" s="136"/>
      <c r="BG47" s="136"/>
      <c r="BH47" s="136"/>
      <c r="BN47" s="86"/>
      <c r="BO47" s="1091"/>
      <c r="BP47" s="177"/>
      <c r="BQ47" s="177"/>
      <c r="BR47" s="178"/>
      <c r="BS47" s="177"/>
      <c r="BT47" s="177"/>
      <c r="BU47" s="177"/>
      <c r="CA47" s="182">
        <v>8</v>
      </c>
      <c r="CB47" s="120" t="b">
        <f>IF(CI57=19,1)</f>
        <v>0</v>
      </c>
      <c r="CC47" s="122"/>
      <c r="CD47" s="186"/>
      <c r="CE47" s="186"/>
      <c r="CF47" s="186"/>
      <c r="CG47" s="186"/>
      <c r="CH47" s="186"/>
      <c r="CI47" s="186"/>
      <c r="CJ47" s="186"/>
      <c r="CK47" s="186"/>
      <c r="CL47" s="186"/>
      <c r="CM47" s="186"/>
      <c r="CN47" s="186"/>
      <c r="CO47" s="122"/>
      <c r="CP47" s="124" t="b">
        <f>IF(CI57=19,15)</f>
        <v>0</v>
      </c>
      <c r="CQ47" s="78"/>
      <c r="CR47" s="78"/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EK47" s="78"/>
      <c r="EL47" s="78"/>
    </row>
    <row r="48" spans="2:144" ht="21" hidden="1" thickBot="1" x14ac:dyDescent="0.25">
      <c r="B48" s="399"/>
      <c r="C48" s="399"/>
      <c r="G48" s="994" t="s">
        <v>243</v>
      </c>
      <c r="H48" s="1048">
        <f>($E$2*(H47-1))-$H$4</f>
        <v>-903</v>
      </c>
      <c r="I48"/>
      <c r="J48" s="963">
        <f>+BQ25/2</f>
        <v>134.9</v>
      </c>
      <c r="K48" s="963">
        <f>((H8-H48)/H8)*BQ25/2</f>
        <v>701.48</v>
      </c>
      <c r="L48" s="963">
        <f>+H48/H8*BQ25/2</f>
        <v>-566.58000000000004</v>
      </c>
      <c r="M48" s="961" t="s">
        <v>223</v>
      </c>
      <c r="N48"/>
      <c r="O48" s="995"/>
      <c r="U48" s="114"/>
      <c r="AB48" s="114"/>
      <c r="AC48" s="114"/>
      <c r="AD48" s="114"/>
      <c r="AE48" s="114"/>
      <c r="BE48" s="136"/>
      <c r="BF48" s="136"/>
      <c r="BG48" s="136"/>
      <c r="BH48" s="136"/>
      <c r="BN48" s="86"/>
      <c r="BO48" s="1091"/>
      <c r="BP48" s="177"/>
      <c r="BQ48" s="177"/>
      <c r="BR48" s="178"/>
      <c r="BS48" s="177"/>
      <c r="BT48" s="177"/>
      <c r="BU48" s="177"/>
      <c r="CA48" s="182">
        <v>7</v>
      </c>
      <c r="CB48" s="120" t="b">
        <f>IF(CH57=18,1)</f>
        <v>0</v>
      </c>
      <c r="CC48" s="186"/>
      <c r="CD48" s="186"/>
      <c r="CE48" s="186"/>
      <c r="CF48" s="186"/>
      <c r="CG48" s="186"/>
      <c r="CH48" s="186"/>
      <c r="CI48" s="186"/>
      <c r="CJ48" s="186"/>
      <c r="CK48" s="186"/>
      <c r="CL48" s="186"/>
      <c r="CM48" s="186"/>
      <c r="CN48" s="124" t="b">
        <f>IF(CH57=18,13)</f>
        <v>0</v>
      </c>
      <c r="CO48" s="178"/>
      <c r="CQ48" s="78"/>
      <c r="CR48" s="78"/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EK48" s="78"/>
      <c r="EL48" s="78"/>
    </row>
    <row r="49" spans="2:142" ht="21" hidden="1" thickBot="1" x14ac:dyDescent="0.25">
      <c r="G49" s="998"/>
      <c r="H49"/>
      <c r="I49"/>
      <c r="J49" s="965">
        <f>ABS($H$1/J48)</f>
        <v>133.43217197924389</v>
      </c>
      <c r="K49" s="965">
        <f>ABS($H$1/K48)</f>
        <v>25.660033072931515</v>
      </c>
      <c r="L49" s="965">
        <f>ABS($H$1/L48)</f>
        <v>31.769564756962826</v>
      </c>
      <c r="M49" s="967" t="s">
        <v>222</v>
      </c>
      <c r="O49" s="1581"/>
      <c r="U49" s="114"/>
      <c r="AB49" s="114"/>
      <c r="AC49" s="114"/>
      <c r="AD49" s="114"/>
      <c r="AE49" s="114"/>
      <c r="BE49" s="136"/>
      <c r="BF49" s="136"/>
      <c r="BG49" s="136"/>
      <c r="BH49" s="136"/>
      <c r="BN49" s="86"/>
      <c r="BO49" s="1091"/>
      <c r="BP49" s="177"/>
      <c r="BQ49" s="177"/>
      <c r="BR49" s="178"/>
      <c r="BS49" s="177"/>
      <c r="BT49" s="177"/>
      <c r="BU49" s="177"/>
      <c r="CA49" s="182">
        <v>6</v>
      </c>
      <c r="CB49" s="120">
        <f>IF(CG57=17,1)</f>
        <v>1</v>
      </c>
      <c r="CC49" s="186"/>
      <c r="CD49" s="186"/>
      <c r="CE49" s="186"/>
      <c r="CF49" s="186"/>
      <c r="CG49" s="186"/>
      <c r="CH49" s="186"/>
      <c r="CI49" s="186"/>
      <c r="CJ49" s="186"/>
      <c r="CK49" s="186"/>
      <c r="CL49" s="124">
        <f>IF(CG57=17,11)</f>
        <v>11</v>
      </c>
      <c r="CM49" s="177"/>
      <c r="CN49" s="177"/>
      <c r="CO49" s="178"/>
      <c r="CQ49" s="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EK49" s="78"/>
      <c r="EL49" s="78"/>
    </row>
    <row r="50" spans="2:142" ht="21" hidden="1" thickBot="1" x14ac:dyDescent="0.25">
      <c r="G50" s="998"/>
      <c r="H50"/>
      <c r="I50"/>
      <c r="J50" s="1733">
        <f>ABS($E$20/BQ25)*2</f>
        <v>59.303187546330612</v>
      </c>
      <c r="K50" s="1733"/>
      <c r="L50" s="1733"/>
      <c r="M50" s="1734" t="s">
        <v>350</v>
      </c>
      <c r="N50" s="1730" t="s">
        <v>352</v>
      </c>
      <c r="O50" s="995"/>
      <c r="U50" s="114"/>
      <c r="AB50" s="114"/>
      <c r="AC50" s="114"/>
      <c r="AD50" s="114"/>
      <c r="AE50" s="114"/>
      <c r="BE50" s="136"/>
      <c r="BF50" s="136"/>
      <c r="BG50" s="136"/>
      <c r="BH50" s="136"/>
      <c r="BN50" s="86"/>
      <c r="BO50" s="1091"/>
      <c r="BP50" s="177"/>
      <c r="BQ50" s="177"/>
      <c r="BR50" s="178"/>
      <c r="BS50" s="177"/>
      <c r="BT50" s="177"/>
      <c r="BU50" s="177"/>
      <c r="CA50" s="182">
        <v>5</v>
      </c>
      <c r="CB50" s="117" t="b">
        <f>IF(CF57=16,1)</f>
        <v>0</v>
      </c>
      <c r="CC50" s="185"/>
      <c r="CD50" s="185"/>
      <c r="CE50" s="118"/>
      <c r="CF50" s="185"/>
      <c r="CG50" s="118"/>
      <c r="CH50" s="185"/>
      <c r="CI50" s="185"/>
      <c r="CJ50" s="103" t="b">
        <f>IF(CF57=16,9)</f>
        <v>0</v>
      </c>
      <c r="CK50" s="177"/>
      <c r="CL50" s="177"/>
      <c r="CM50" s="177"/>
      <c r="CN50" s="177"/>
      <c r="CO50" s="178"/>
      <c r="CQ50" s="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EK50" s="78"/>
      <c r="EL50" s="78"/>
    </row>
    <row r="51" spans="2:142" ht="21" hidden="1" thickBot="1" x14ac:dyDescent="0.25">
      <c r="B51" s="406"/>
      <c r="C51" s="406"/>
      <c r="D51" s="407"/>
      <c r="E51" s="407"/>
      <c r="F51" s="407"/>
      <c r="G51" s="998"/>
      <c r="H51"/>
      <c r="I51"/>
      <c r="J51" s="59"/>
      <c r="K51" s="59"/>
      <c r="L51" s="59"/>
      <c r="M51" s="59"/>
      <c r="N51"/>
      <c r="O51" s="995"/>
      <c r="BD51" s="126"/>
      <c r="BE51" s="136"/>
      <c r="BF51" s="136"/>
      <c r="BG51" s="136"/>
      <c r="BH51" s="136"/>
      <c r="BN51" s="86"/>
      <c r="BO51" s="1091"/>
      <c r="BP51" s="177"/>
      <c r="BQ51" s="177"/>
      <c r="BR51" s="178"/>
      <c r="BS51" s="177"/>
      <c r="BT51" s="177"/>
      <c r="BU51" s="177"/>
      <c r="CA51" s="182">
        <v>4</v>
      </c>
      <c r="CB51" s="117" t="b">
        <f>IF(CE57=15,1)</f>
        <v>0</v>
      </c>
      <c r="CC51" s="118"/>
      <c r="CD51" s="118"/>
      <c r="CE51" s="185"/>
      <c r="CF51" s="118"/>
      <c r="CG51" s="118"/>
      <c r="CH51" s="103" t="b">
        <f>IF(CE57=15,7)</f>
        <v>0</v>
      </c>
      <c r="CI51" s="177"/>
      <c r="CJ51" s="177"/>
      <c r="CK51" s="177"/>
      <c r="CL51" s="177"/>
      <c r="CM51" s="177"/>
      <c r="CN51" s="177"/>
      <c r="CO51" s="178"/>
      <c r="CQ51" s="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EK51" s="78"/>
      <c r="EL51" s="78"/>
    </row>
    <row r="52" spans="2:142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  <c r="BD52" s="126"/>
      <c r="BE52" s="136"/>
      <c r="BF52" s="136"/>
      <c r="BG52" s="136"/>
      <c r="BH52" s="136"/>
      <c r="BN52" s="86"/>
      <c r="BO52" s="1091"/>
      <c r="BP52" s="177"/>
      <c r="BQ52" s="177"/>
      <c r="BR52" s="178"/>
      <c r="BS52" s="177"/>
      <c r="BT52" s="177"/>
      <c r="BU52" s="177"/>
      <c r="CA52" s="182">
        <v>3</v>
      </c>
      <c r="CB52" s="120" t="b">
        <f>IF(CD57=14,1)</f>
        <v>0</v>
      </c>
      <c r="CC52" s="186"/>
      <c r="CD52" s="186"/>
      <c r="CE52" s="186"/>
      <c r="CF52" s="124" t="b">
        <f>IF(CD57=14,5)</f>
        <v>0</v>
      </c>
      <c r="CG52" s="177"/>
      <c r="CH52" s="177"/>
      <c r="CI52" s="177"/>
      <c r="CJ52" s="177"/>
      <c r="CK52" s="177"/>
      <c r="CL52" s="177"/>
      <c r="CM52" s="177"/>
      <c r="CN52" s="177"/>
      <c r="CO52" s="178"/>
      <c r="CQ52" s="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EK52" s="78"/>
      <c r="EL52" s="78"/>
    </row>
    <row r="53" spans="2:142" ht="24" hidden="1" thickBot="1" x14ac:dyDescent="0.3">
      <c r="B53"/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D53" s="126"/>
      <c r="BE53" s="136"/>
      <c r="BF53" s="136"/>
      <c r="BG53" s="136"/>
      <c r="BH53" s="136"/>
      <c r="BN53" s="86"/>
      <c r="BO53" s="1091"/>
      <c r="BP53" s="177"/>
      <c r="BQ53" s="177"/>
      <c r="BR53" s="178"/>
      <c r="BS53" s="177"/>
      <c r="BT53" s="177"/>
      <c r="BU53" s="177"/>
      <c r="CA53" s="182">
        <v>2</v>
      </c>
      <c r="CB53" s="120" t="b">
        <f>IF(CC57=13,1)</f>
        <v>0</v>
      </c>
      <c r="CC53" s="186"/>
      <c r="CD53" s="124" t="b">
        <f>IF(CC57=13,3)</f>
        <v>0</v>
      </c>
      <c r="CE53" s="177"/>
      <c r="CF53" s="177"/>
      <c r="CG53" s="177"/>
      <c r="CH53" s="177"/>
      <c r="CI53" s="177"/>
      <c r="CJ53" s="177"/>
      <c r="CK53" s="177"/>
      <c r="CL53" s="177"/>
      <c r="CM53" s="177"/>
      <c r="CN53" s="177"/>
      <c r="CO53" s="1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EK53" s="78"/>
      <c r="EL53" s="78"/>
    </row>
    <row r="54" spans="2:142" ht="21" thickBot="1" x14ac:dyDescent="0.25">
      <c r="B54" s="406"/>
      <c r="C54" s="406"/>
      <c r="D54" s="407"/>
      <c r="E54" s="407"/>
      <c r="F54" s="407"/>
      <c r="G54" s="994" t="s">
        <v>243</v>
      </c>
      <c r="H54" s="956"/>
      <c r="I54"/>
      <c r="J54" s="963">
        <f>+((H6-D3)/H6)*BQ25</f>
        <v>172.64641709532643</v>
      </c>
      <c r="K54" s="963"/>
      <c r="L54" s="963">
        <f>+(D3/H6)*BQ25</f>
        <v>97.153582904673584</v>
      </c>
      <c r="M54" s="961" t="s">
        <v>223</v>
      </c>
      <c r="N54"/>
      <c r="O54" s="995"/>
      <c r="BD54" s="126"/>
      <c r="BE54" s="136"/>
      <c r="BF54" s="136"/>
      <c r="BG54" s="136"/>
      <c r="BH54" s="136"/>
      <c r="BN54" s="86"/>
      <c r="BO54" s="1091"/>
      <c r="BP54" s="177"/>
      <c r="BQ54" s="177"/>
      <c r="BR54" s="178"/>
      <c r="BS54" s="177"/>
      <c r="BT54" s="177"/>
      <c r="BU54" s="177"/>
      <c r="BV54" s="76"/>
      <c r="BW54" s="177"/>
      <c r="CA54" s="177"/>
      <c r="CB54" s="177"/>
      <c r="CC54" s="177"/>
      <c r="CD54" s="177"/>
      <c r="CE54" s="177"/>
      <c r="CF54" s="177"/>
      <c r="CG54" s="177"/>
      <c r="CH54" s="177"/>
      <c r="CI54" s="177"/>
      <c r="CJ54" s="177"/>
      <c r="CK54" s="177"/>
      <c r="CL54" s="178"/>
      <c r="CM54" s="107"/>
      <c r="CN54" s="107"/>
      <c r="CO54" s="107"/>
      <c r="CQ54" s="78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EK54" s="78"/>
      <c r="EL54" s="78"/>
    </row>
    <row r="55" spans="2:142" ht="44" thickBot="1" x14ac:dyDescent="0.3">
      <c r="B55" s="406"/>
      <c r="C55" s="406"/>
      <c r="D55" s="407"/>
      <c r="E55" s="407"/>
      <c r="F55" s="407"/>
      <c r="G55" s="1000"/>
      <c r="H55" s="63"/>
      <c r="I55"/>
      <c r="J55" s="965">
        <f>ABS($H$1/J54)</f>
        <v>104.25933131332421</v>
      </c>
      <c r="K55" s="965"/>
      <c r="L55" s="965">
        <f>ABS($H$1/L54)</f>
        <v>185.27366116452416</v>
      </c>
      <c r="M55" s="967" t="s">
        <v>222</v>
      </c>
      <c r="N55"/>
      <c r="O55" s="995"/>
      <c r="BD55" s="126"/>
      <c r="BE55" s="136"/>
      <c r="BF55" s="136"/>
      <c r="BG55" s="136"/>
      <c r="BH55" s="136"/>
      <c r="BI55" s="136"/>
      <c r="BK55" s="136"/>
      <c r="BL55" s="136"/>
      <c r="BM55" s="402"/>
      <c r="BN55" s="188"/>
      <c r="BO55" s="1095" t="s">
        <v>128</v>
      </c>
      <c r="BP55" s="746" t="s">
        <v>125</v>
      </c>
      <c r="BQ55" s="190"/>
      <c r="BR55" s="191"/>
      <c r="BS55" s="191"/>
      <c r="BT55" s="191"/>
      <c r="BU55" s="191"/>
      <c r="BV55" s="191"/>
      <c r="BW55" s="191"/>
      <c r="BX55" s="191"/>
      <c r="BY55" s="191"/>
      <c r="BZ55" s="191"/>
      <c r="CA55" s="191"/>
      <c r="CB55" s="758">
        <f>SUM(CB39:CB54)</f>
        <v>1</v>
      </c>
      <c r="CC55" s="759">
        <f t="shared" ref="CC55:CR55" si="0">SUM(CC39:CC54)</f>
        <v>0</v>
      </c>
      <c r="CD55" s="759">
        <f t="shared" si="0"/>
        <v>0</v>
      </c>
      <c r="CE55" s="759">
        <f t="shared" si="0"/>
        <v>0</v>
      </c>
      <c r="CF55" s="759">
        <f t="shared" si="0"/>
        <v>0</v>
      </c>
      <c r="CG55" s="759">
        <f t="shared" si="0"/>
        <v>0</v>
      </c>
      <c r="CH55" s="759">
        <f t="shared" si="0"/>
        <v>0</v>
      </c>
      <c r="CI55" s="759">
        <f t="shared" si="0"/>
        <v>0</v>
      </c>
      <c r="CJ55" s="759">
        <f t="shared" si="0"/>
        <v>0</v>
      </c>
      <c r="CK55" s="759">
        <f t="shared" si="0"/>
        <v>0</v>
      </c>
      <c r="CL55" s="759">
        <f t="shared" si="0"/>
        <v>11</v>
      </c>
      <c r="CM55" s="759">
        <f t="shared" si="0"/>
        <v>0</v>
      </c>
      <c r="CN55" s="759">
        <f t="shared" si="0"/>
        <v>0</v>
      </c>
      <c r="CO55" s="759">
        <f t="shared" si="0"/>
        <v>0</v>
      </c>
      <c r="CP55" s="759">
        <f t="shared" si="0"/>
        <v>0</v>
      </c>
      <c r="CQ55" s="759">
        <f t="shared" si="0"/>
        <v>0</v>
      </c>
      <c r="CR55" s="760">
        <f t="shared" si="0"/>
        <v>0</v>
      </c>
      <c r="CS55" s="191"/>
      <c r="CT55" s="191"/>
      <c r="CU55" s="192"/>
      <c r="CV55" s="192"/>
      <c r="CW55" s="192"/>
      <c r="CX55" s="192"/>
      <c r="CY55" s="192"/>
      <c r="CZ55" s="192"/>
      <c r="DA55" s="193"/>
      <c r="DB55" s="89"/>
      <c r="DC55" s="78"/>
      <c r="DD55" s="78"/>
      <c r="EK55" s="78"/>
      <c r="EL55" s="78"/>
    </row>
    <row r="56" spans="2:142" ht="31" thickBot="1" x14ac:dyDescent="0.3">
      <c r="G56" s="1000"/>
      <c r="H56" s="63"/>
      <c r="J56" s="1733">
        <f>ABS($E$20/BQ25)*2</f>
        <v>59.303187546330612</v>
      </c>
      <c r="K56" s="1733"/>
      <c r="L56" s="1733"/>
      <c r="M56" s="1734" t="s">
        <v>350</v>
      </c>
      <c r="N56" s="1730" t="s">
        <v>352</v>
      </c>
      <c r="O56" s="995"/>
      <c r="BD56" s="136"/>
      <c r="BE56" s="136"/>
      <c r="BF56" s="136"/>
      <c r="BG56" s="136"/>
      <c r="BH56" s="136"/>
      <c r="BI56" s="136"/>
      <c r="BJ56" s="136"/>
      <c r="BK56" s="136"/>
      <c r="BL56" s="968">
        <v>4</v>
      </c>
      <c r="BM56" s="1762" t="b">
        <f>AND(BO56&gt;=10,$BB$139&gt;=10,$BA$139&gt;=10,$BB$171&gt;=10,$BA$171&gt;=10,$BA$195&gt;=10,$BB$195&gt;=10)</f>
        <v>1</v>
      </c>
      <c r="BN56" s="84" t="str">
        <f>IF(BM56=TRUE,"O K","OVERLOAD")</f>
        <v>O K</v>
      </c>
      <c r="BO56" s="982">
        <f>+$E$20/(BQ25/2)</f>
        <v>59.303187546330612</v>
      </c>
      <c r="BP56" s="194"/>
      <c r="BQ56" s="107"/>
      <c r="BR56" s="108"/>
      <c r="BS56" s="107"/>
      <c r="BT56" s="107"/>
      <c r="BU56" s="107"/>
      <c r="BV56" s="108"/>
      <c r="BW56" s="107"/>
      <c r="BX56" s="107"/>
      <c r="BY56" s="107"/>
      <c r="BZ56" s="107"/>
      <c r="CA56" s="107"/>
      <c r="CB56" s="107"/>
      <c r="CC56" s="107"/>
      <c r="CD56" s="107"/>
      <c r="CE56" s="107"/>
      <c r="CF56" s="107"/>
      <c r="CG56" s="107"/>
      <c r="CH56" s="107"/>
      <c r="CI56" s="107"/>
      <c r="CJ56" s="107"/>
      <c r="CK56" s="107"/>
      <c r="CL56" s="107"/>
      <c r="CM56" s="107"/>
      <c r="CN56" s="107"/>
      <c r="CO56" s="107"/>
      <c r="CP56" s="107"/>
      <c r="CQ56" s="107"/>
      <c r="CR56" s="107"/>
      <c r="CS56" s="78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  <c r="EK56" s="78"/>
      <c r="EL56" s="78"/>
    </row>
    <row r="57" spans="2:142" ht="20" hidden="1" x14ac:dyDescent="0.2">
      <c r="B57" s="408"/>
      <c r="C57" s="408"/>
      <c r="G57" s="998"/>
      <c r="H57"/>
      <c r="I57"/>
      <c r="J57"/>
      <c r="K57"/>
      <c r="L57"/>
      <c r="M57"/>
      <c r="N57"/>
      <c r="O57" s="995"/>
      <c r="U57" s="73"/>
      <c r="V57" s="73"/>
      <c r="W57" s="73"/>
      <c r="X57" s="73"/>
      <c r="Y57" s="73"/>
      <c r="Z57" s="73"/>
      <c r="AA57" s="73"/>
      <c r="AF57" s="73"/>
      <c r="AG57" s="73"/>
      <c r="AH57" s="73"/>
      <c r="AI57" s="73"/>
      <c r="AJ57" s="73"/>
      <c r="AK57" s="73"/>
      <c r="AL57" s="73"/>
      <c r="AM57" s="73"/>
      <c r="AN57" s="73"/>
      <c r="AO57" s="73"/>
      <c r="AP57" s="73"/>
      <c r="AQ57" s="73"/>
      <c r="AR57" s="73"/>
      <c r="AS57" s="73"/>
      <c r="AT57" s="73"/>
      <c r="AU57" s="73"/>
      <c r="AV57" s="73"/>
      <c r="AW57" s="73"/>
      <c r="AX57" s="73"/>
      <c r="AY57" s="73"/>
      <c r="AZ57" s="73"/>
      <c r="BA57" s="73"/>
      <c r="BB57" s="73"/>
      <c r="BC57" s="126"/>
      <c r="BD57" s="136"/>
      <c r="BE57" s="136"/>
      <c r="BF57" s="136"/>
      <c r="BG57" s="136"/>
      <c r="BH57" s="136"/>
      <c r="BI57" s="136"/>
      <c r="BJ57" s="136"/>
      <c r="BK57" s="136"/>
      <c r="BL57" s="136"/>
      <c r="BM57" s="402"/>
      <c r="BN57" s="188"/>
      <c r="BO57" s="1091"/>
      <c r="BP57" s="76"/>
      <c r="BQ57" s="195" t="b">
        <f>+BK164</f>
        <v>0</v>
      </c>
      <c r="BR57" s="195" t="b">
        <f>+BK165</f>
        <v>0</v>
      </c>
      <c r="BS57" s="195" t="b">
        <f>+BK166</f>
        <v>0</v>
      </c>
      <c r="BT57" s="195" t="b">
        <f>+BK167</f>
        <v>0</v>
      </c>
      <c r="BU57" s="195" t="b">
        <f>+BK168</f>
        <v>0</v>
      </c>
      <c r="BV57" s="195" t="b">
        <f>+BK169</f>
        <v>0</v>
      </c>
      <c r="BW57" s="195" t="b">
        <f>+BK170</f>
        <v>0</v>
      </c>
      <c r="BX57" s="195" t="b">
        <f>+BK171</f>
        <v>0</v>
      </c>
      <c r="BY57" s="195" t="b">
        <f>+BK172</f>
        <v>0</v>
      </c>
      <c r="BZ57" s="195" t="b">
        <f>+BK173</f>
        <v>0</v>
      </c>
      <c r="CA57" s="195" t="b">
        <f>+BK174</f>
        <v>0</v>
      </c>
      <c r="CB57" s="195" t="b">
        <f>+BK175</f>
        <v>0</v>
      </c>
      <c r="CC57" s="195" t="b">
        <f>+BK176</f>
        <v>0</v>
      </c>
      <c r="CD57" s="195" t="b">
        <f>+BK177</f>
        <v>0</v>
      </c>
      <c r="CE57" s="195" t="b">
        <f>+BK178</f>
        <v>0</v>
      </c>
      <c r="CF57" s="195" t="b">
        <f>+BK179</f>
        <v>0</v>
      </c>
      <c r="CG57" s="195">
        <f>+BK180</f>
        <v>17</v>
      </c>
      <c r="CH57" s="195" t="b">
        <f>+BK181</f>
        <v>0</v>
      </c>
      <c r="CI57" s="195" t="b">
        <f>+BK182</f>
        <v>0</v>
      </c>
      <c r="CJ57" s="195" t="b">
        <f>+BK183</f>
        <v>0</v>
      </c>
      <c r="CK57" s="195" t="b">
        <f>+BK184</f>
        <v>0</v>
      </c>
      <c r="CL57" s="195" t="b">
        <f>+BK185</f>
        <v>0</v>
      </c>
      <c r="CM57" s="195" t="b">
        <f>+BK189</f>
        <v>0</v>
      </c>
      <c r="CN57" s="195" t="b">
        <f>+BK190</f>
        <v>0</v>
      </c>
      <c r="CO57" s="195" t="b">
        <f>+BK191</f>
        <v>0</v>
      </c>
      <c r="CP57" s="195" t="b">
        <f>+BK192</f>
        <v>0</v>
      </c>
      <c r="CQ57" s="195" t="b">
        <f>+BK193</f>
        <v>0</v>
      </c>
      <c r="CR57" s="195" t="b">
        <f>+BK194</f>
        <v>0</v>
      </c>
      <c r="CS57" s="195" t="b">
        <f>+BK195</f>
        <v>0</v>
      </c>
      <c r="CT57" s="195" t="b">
        <f>+BK196</f>
        <v>0</v>
      </c>
      <c r="CU57" s="195" t="b">
        <f>+BK197</f>
        <v>0</v>
      </c>
      <c r="CV57" s="195" t="b">
        <f>+BK198</f>
        <v>0</v>
      </c>
      <c r="CW57" s="195" t="b">
        <f>+BK199</f>
        <v>0</v>
      </c>
      <c r="CX57" s="195" t="b">
        <f>+BK200</f>
        <v>0</v>
      </c>
      <c r="CY57" s="195" t="b">
        <f>+BK201</f>
        <v>0</v>
      </c>
      <c r="CZ57" s="195" t="b">
        <f>+BK202</f>
        <v>0</v>
      </c>
      <c r="DA57" s="195" t="b">
        <f>+BK203</f>
        <v>0</v>
      </c>
      <c r="DB57" s="196"/>
      <c r="DC57" s="78"/>
      <c r="DD57" s="78"/>
      <c r="EK57" s="78"/>
      <c r="EL57" s="78"/>
    </row>
    <row r="58" spans="2:142" ht="20" hidden="1" x14ac:dyDescent="0.2">
      <c r="E58" s="208"/>
      <c r="F58" s="208"/>
      <c r="G58" s="998"/>
      <c r="H58"/>
      <c r="I58"/>
      <c r="J58"/>
      <c r="K58"/>
      <c r="L58"/>
      <c r="M58"/>
      <c r="N58"/>
      <c r="O58" s="995"/>
      <c r="BD58" s="136"/>
      <c r="BE58" s="136"/>
      <c r="BF58" s="136"/>
      <c r="BG58" s="136"/>
      <c r="BH58" s="136"/>
      <c r="BI58" s="136"/>
      <c r="BJ58" s="136"/>
      <c r="BK58" s="136"/>
      <c r="BL58" s="136"/>
      <c r="BM58" s="402"/>
      <c r="BN58" s="188"/>
      <c r="BO58" s="1091"/>
      <c r="BP58" s="78"/>
      <c r="BQ58" s="196" t="b">
        <f>+BQ57</f>
        <v>0</v>
      </c>
      <c r="BR58" s="196" t="b">
        <f t="shared" ref="BR58:CI58" si="1">+BR57</f>
        <v>0</v>
      </c>
      <c r="BS58" s="196" t="b">
        <f t="shared" si="1"/>
        <v>0</v>
      </c>
      <c r="BT58" s="196" t="b">
        <f t="shared" si="1"/>
        <v>0</v>
      </c>
      <c r="BU58" s="196" t="b">
        <f t="shared" si="1"/>
        <v>0</v>
      </c>
      <c r="BV58" s="196" t="b">
        <f t="shared" si="1"/>
        <v>0</v>
      </c>
      <c r="BW58" s="196" t="b">
        <f>+BW57</f>
        <v>0</v>
      </c>
      <c r="BX58" s="196" t="b">
        <f t="shared" si="1"/>
        <v>0</v>
      </c>
      <c r="BY58" s="196" t="b">
        <f t="shared" si="1"/>
        <v>0</v>
      </c>
      <c r="BZ58" s="196" t="b">
        <f t="shared" si="1"/>
        <v>0</v>
      </c>
      <c r="CA58" s="196" t="b">
        <f t="shared" si="1"/>
        <v>0</v>
      </c>
      <c r="CB58" s="196" t="b">
        <f>+CB57</f>
        <v>0</v>
      </c>
      <c r="CC58" s="196" t="b">
        <f>+CC57</f>
        <v>0</v>
      </c>
      <c r="CD58" s="196" t="b">
        <f>+CD57</f>
        <v>0</v>
      </c>
      <c r="CE58" s="196" t="b">
        <f>+CE57</f>
        <v>0</v>
      </c>
      <c r="CF58" s="196" t="b">
        <f>+CF57</f>
        <v>0</v>
      </c>
      <c r="CG58" s="196">
        <f t="shared" si="1"/>
        <v>17</v>
      </c>
      <c r="CH58" s="196" t="b">
        <f t="shared" si="1"/>
        <v>0</v>
      </c>
      <c r="CI58" s="196" t="b">
        <f t="shared" si="1"/>
        <v>0</v>
      </c>
      <c r="CJ58" s="196" t="b">
        <f>+CJ57</f>
        <v>0</v>
      </c>
      <c r="CK58" s="196" t="b">
        <f>+CK57</f>
        <v>0</v>
      </c>
      <c r="CL58" s="196" t="b">
        <f t="shared" ref="CL58:DA58" si="2">+CL57</f>
        <v>0</v>
      </c>
      <c r="CM58" s="196" t="b">
        <f t="shared" si="2"/>
        <v>0</v>
      </c>
      <c r="CN58" s="196" t="b">
        <f t="shared" si="2"/>
        <v>0</v>
      </c>
      <c r="CO58" s="196" t="b">
        <f t="shared" si="2"/>
        <v>0</v>
      </c>
      <c r="CP58" s="196" t="b">
        <f t="shared" si="2"/>
        <v>0</v>
      </c>
      <c r="CQ58" s="196" t="b">
        <f t="shared" si="2"/>
        <v>0</v>
      </c>
      <c r="CR58" s="196" t="b">
        <f t="shared" si="2"/>
        <v>0</v>
      </c>
      <c r="CS58" s="196" t="b">
        <f t="shared" si="2"/>
        <v>0</v>
      </c>
      <c r="CT58" s="196" t="b">
        <f t="shared" si="2"/>
        <v>0</v>
      </c>
      <c r="CU58" s="196" t="b">
        <f t="shared" si="2"/>
        <v>0</v>
      </c>
      <c r="CV58" s="196" t="b">
        <f t="shared" si="2"/>
        <v>0</v>
      </c>
      <c r="CW58" s="196" t="b">
        <f t="shared" si="2"/>
        <v>0</v>
      </c>
      <c r="CX58" s="196" t="b">
        <f t="shared" si="2"/>
        <v>0</v>
      </c>
      <c r="CY58" s="196" t="b">
        <f t="shared" si="2"/>
        <v>0</v>
      </c>
      <c r="CZ58" s="196" t="b">
        <f t="shared" si="2"/>
        <v>0</v>
      </c>
      <c r="DA58" s="196" t="b">
        <f t="shared" si="2"/>
        <v>0</v>
      </c>
      <c r="DB58" s="196"/>
      <c r="DC58" s="78"/>
      <c r="DD58" s="78"/>
      <c r="EK58" s="78"/>
      <c r="EL58" s="78"/>
    </row>
    <row r="59" spans="2:142" ht="17.25" customHeight="1" thickBot="1" x14ac:dyDescent="0.25">
      <c r="E59" s="208"/>
      <c r="F59" s="208"/>
      <c r="G59" s="998"/>
      <c r="H59"/>
      <c r="I59"/>
      <c r="J59"/>
      <c r="K59"/>
      <c r="L59"/>
      <c r="M59"/>
      <c r="N59"/>
      <c r="O59" s="995"/>
      <c r="V59" s="1098"/>
      <c r="W59" s="1098"/>
      <c r="X59" s="1098"/>
      <c r="Y59" s="1098"/>
      <c r="Z59" s="1098"/>
      <c r="AA59" s="1098"/>
      <c r="AF59" s="401"/>
      <c r="AG59" s="401"/>
      <c r="AH59" s="401"/>
      <c r="AI59" s="401"/>
      <c r="AJ59" s="401"/>
      <c r="AK59" s="401"/>
      <c r="AL59" s="401"/>
      <c r="AM59" s="401"/>
      <c r="AN59" s="401"/>
      <c r="AO59" s="401"/>
      <c r="AP59" s="401"/>
      <c r="AQ59" s="401"/>
      <c r="AR59" s="401"/>
      <c r="AS59" s="401"/>
      <c r="AT59" s="401"/>
      <c r="AU59" s="401"/>
      <c r="AV59" s="401"/>
      <c r="AW59" s="401"/>
      <c r="AX59" s="401"/>
      <c r="AY59" s="401"/>
      <c r="AZ59" s="401"/>
      <c r="BA59" s="401"/>
      <c r="BB59" s="401"/>
      <c r="BC59" s="143"/>
      <c r="BD59" s="136"/>
      <c r="BE59" s="136"/>
      <c r="BF59" s="136"/>
      <c r="BG59" s="136"/>
      <c r="BH59" s="136"/>
      <c r="BI59" s="136"/>
      <c r="BJ59" s="136"/>
      <c r="BK59" s="136"/>
      <c r="BL59" s="136"/>
      <c r="BM59" s="402"/>
      <c r="BN59" s="188"/>
      <c r="BO59" s="1091"/>
      <c r="BP59" s="78"/>
      <c r="BQ59" s="196"/>
      <c r="BR59" s="196"/>
      <c r="BS59" s="196"/>
      <c r="BT59" s="196"/>
      <c r="BU59" s="196"/>
      <c r="BV59" s="196"/>
      <c r="BW59" s="196"/>
      <c r="BX59" s="196"/>
      <c r="BY59" s="196"/>
      <c r="BZ59" s="196"/>
      <c r="CA59" s="196"/>
      <c r="CB59" s="196"/>
      <c r="CC59" s="196"/>
      <c r="CD59" s="196"/>
      <c r="CE59" s="196"/>
      <c r="CF59" s="196"/>
      <c r="CG59" s="196"/>
      <c r="CH59" s="196"/>
      <c r="CI59" s="196"/>
      <c r="CJ59" s="196"/>
      <c r="CK59" s="196"/>
      <c r="CL59" s="196"/>
      <c r="CM59" s="196"/>
      <c r="CN59" s="196"/>
      <c r="CO59" s="196"/>
      <c r="CP59" s="196"/>
      <c r="CQ59" s="196"/>
      <c r="CR59" s="196"/>
      <c r="CS59" s="196"/>
      <c r="CT59" s="196"/>
      <c r="CU59" s="196"/>
      <c r="CV59" s="196"/>
      <c r="CW59" s="196"/>
      <c r="CX59" s="196"/>
      <c r="CY59" s="196"/>
      <c r="CZ59" s="196"/>
      <c r="DA59" s="196"/>
      <c r="DB59" s="196"/>
      <c r="DC59" s="78"/>
      <c r="DD59" s="78"/>
      <c r="EK59" s="78"/>
      <c r="EL59" s="78"/>
    </row>
    <row r="60" spans="2:142" ht="24" thickBot="1" x14ac:dyDescent="0.3">
      <c r="E60" s="208"/>
      <c r="F60" s="208"/>
      <c r="G60" s="998"/>
      <c r="H60"/>
      <c r="I60"/>
      <c r="J60"/>
      <c r="K60"/>
      <c r="L60"/>
      <c r="M60"/>
      <c r="N60"/>
      <c r="O60" s="995"/>
      <c r="BD60" s="136"/>
      <c r="BE60" s="136"/>
      <c r="BF60" s="136"/>
      <c r="BG60" s="136"/>
      <c r="BH60" s="136"/>
      <c r="BI60" s="136"/>
      <c r="BJ60" s="136"/>
      <c r="BK60" s="136"/>
      <c r="BL60" s="136"/>
      <c r="BM60" s="402"/>
      <c r="BN60" s="188"/>
      <c r="BO60" s="1095" t="s">
        <v>128</v>
      </c>
      <c r="BP60" s="197" t="s">
        <v>129</v>
      </c>
      <c r="BQ60" s="748" t="str">
        <f>IF(BQ58=1,17,"")</f>
        <v/>
      </c>
      <c r="BR60" s="749" t="str">
        <f>IF(BR58=2,16,"")</f>
        <v/>
      </c>
      <c r="BS60" s="749" t="str">
        <f>IF(BS58=3,15,"")</f>
        <v/>
      </c>
      <c r="BT60" s="749" t="str">
        <f>IF(BT58=4,14,"")</f>
        <v/>
      </c>
      <c r="BU60" s="749" t="str">
        <f>IF(BU58=5,13,"")</f>
        <v/>
      </c>
      <c r="BV60" s="749" t="str">
        <f>IF(BV58=6,12,"")</f>
        <v/>
      </c>
      <c r="BW60" s="749" t="str">
        <f>IF(BW58=7,11,"")</f>
        <v/>
      </c>
      <c r="BX60" s="749" t="str">
        <f>IF(BX58=8,10,"")</f>
        <v/>
      </c>
      <c r="BY60" s="749" t="str">
        <f>IF(BY58=9,9,"")</f>
        <v/>
      </c>
      <c r="BZ60" s="749" t="str">
        <f>IF(BZ58=10,8,"")</f>
        <v/>
      </c>
      <c r="CA60" s="749" t="str">
        <f>IF(CA58=11,7,"")</f>
        <v/>
      </c>
      <c r="CB60" s="928" t="str">
        <f>IF(CB58=12,1,"")</f>
        <v/>
      </c>
      <c r="CC60" s="747" t="str">
        <f>IF(CC58=13,2,"")</f>
        <v/>
      </c>
      <c r="CD60" s="747" t="str">
        <f>IF(CD58=14,3,"")</f>
        <v/>
      </c>
      <c r="CE60" s="747" t="str">
        <f>IF(CE58=15,4,"")</f>
        <v/>
      </c>
      <c r="CF60" s="747" t="str">
        <f>IF(CF58=16,5,"")</f>
        <v/>
      </c>
      <c r="CG60" s="747">
        <f>IF(CG58=17,6,"")</f>
        <v>6</v>
      </c>
      <c r="CH60" s="747" t="str">
        <f>IF(CH58=18,7,"")</f>
        <v/>
      </c>
      <c r="CI60" s="747" t="str">
        <f>IF(CI58=19,8,"")</f>
        <v/>
      </c>
      <c r="CJ60" s="747" t="str">
        <f>IF(CJ58=20,9,"")</f>
        <v/>
      </c>
      <c r="CK60" s="747" t="str">
        <f>IF(CK58=21,10,"")</f>
        <v/>
      </c>
      <c r="CL60" s="747" t="str">
        <f>IF(CL58=22,11,"")</f>
        <v/>
      </c>
      <c r="CM60" s="747" t="str">
        <f>IF(CM58=23,12,"")</f>
        <v/>
      </c>
      <c r="CN60" s="747" t="str">
        <f>IF(CN58=24,13,"")</f>
        <v/>
      </c>
      <c r="CO60" s="747" t="str">
        <f>IF(CO58=25,14,"")</f>
        <v/>
      </c>
      <c r="CP60" s="747" t="str">
        <f>IF(CP58=26,15,"")</f>
        <v/>
      </c>
      <c r="CQ60" s="747" t="str">
        <f>IF(CQ58=27,16,"")</f>
        <v/>
      </c>
      <c r="CR60" s="929" t="str">
        <f>IF(CR58=28,17,"")</f>
        <v/>
      </c>
      <c r="CS60" s="756" t="str">
        <f>IF(CS58=29,9,"")</f>
        <v/>
      </c>
      <c r="CT60" s="756" t="str">
        <f>IF(CT58=30,10,"")</f>
        <v/>
      </c>
      <c r="CU60" s="756" t="str">
        <f>IF(CU58=31,11,"")</f>
        <v/>
      </c>
      <c r="CV60" s="756" t="str">
        <f>IF(CV58=32,12,"")</f>
        <v/>
      </c>
      <c r="CW60" s="756" t="str">
        <f>IF(CW58=33,13,"")</f>
        <v/>
      </c>
      <c r="CX60" s="756" t="str">
        <f>IF(CX58=34,14,"")</f>
        <v/>
      </c>
      <c r="CY60" s="756" t="str">
        <f>IF(CY58=35,15,"")</f>
        <v/>
      </c>
      <c r="CZ60" s="756" t="str">
        <f>IF(CZ58=36,16,"")</f>
        <v/>
      </c>
      <c r="DA60" s="757" t="str">
        <f>IF(DA58=37,17,"")</f>
        <v/>
      </c>
      <c r="DB60" s="198"/>
      <c r="DC60" s="78"/>
      <c r="DD60" s="78"/>
      <c r="EK60" s="78"/>
      <c r="EL60" s="78"/>
    </row>
    <row r="61" spans="2:142" ht="31" thickBot="1" x14ac:dyDescent="0.3">
      <c r="E61" s="208"/>
      <c r="F61" s="208"/>
      <c r="G61" s="998"/>
      <c r="H61"/>
      <c r="I61"/>
      <c r="J61"/>
      <c r="K61"/>
      <c r="L61"/>
      <c r="M61"/>
      <c r="N61"/>
      <c r="O61" s="995"/>
      <c r="BD61" s="136"/>
      <c r="BE61" s="136"/>
      <c r="BF61" s="136"/>
      <c r="BG61" s="136"/>
      <c r="BH61" s="136"/>
      <c r="BI61" s="136"/>
      <c r="BJ61" s="136"/>
      <c r="BK61" s="136"/>
      <c r="BL61" s="968">
        <v>5</v>
      </c>
      <c r="BM61" s="1762" t="b">
        <f>AND(BO61&gt;=10,$BB$139&gt;=10,$BA$139&gt;=10,$BB$171&gt;=10,$BA$171&gt;=10,$BA$195&gt;=10,$BB$195&gt;=10)</f>
        <v>1</v>
      </c>
      <c r="BN61" s="84" t="str">
        <f>IF(BM61=TRUE,"O K","OVERLOAD")</f>
        <v>O K</v>
      </c>
      <c r="BO61" s="982">
        <f>IF(SUM(BQ60:CA60)&gt;0,K85,0)+IF(SUM(CB60:CR60)&gt;0,L85,0)+IF(SUM(CS60:DA60)&gt;0,M85,0)</f>
        <v>29.651593773165306</v>
      </c>
      <c r="BP61" s="788" t="s">
        <v>185</v>
      </c>
      <c r="BQ61" s="789">
        <v>-10</v>
      </c>
      <c r="BR61" s="789">
        <v>-9</v>
      </c>
      <c r="BS61" s="789">
        <v>-8</v>
      </c>
      <c r="BT61" s="789">
        <v>-7</v>
      </c>
      <c r="BU61" s="789">
        <v>-6</v>
      </c>
      <c r="BV61" s="789">
        <v>-5</v>
      </c>
      <c r="BW61" s="789">
        <v>-4</v>
      </c>
      <c r="BX61" s="789">
        <v>-3</v>
      </c>
      <c r="BY61" s="789">
        <v>-2</v>
      </c>
      <c r="BZ61" s="789">
        <v>-1</v>
      </c>
      <c r="CA61" s="789">
        <v>0</v>
      </c>
      <c r="CB61" s="789">
        <v>1</v>
      </c>
      <c r="CC61" s="789">
        <v>2</v>
      </c>
      <c r="CD61" s="789">
        <v>3</v>
      </c>
      <c r="CE61" s="789">
        <v>4</v>
      </c>
      <c r="CF61" s="789">
        <v>5</v>
      </c>
      <c r="CG61" s="789">
        <v>6</v>
      </c>
      <c r="CH61" s="789">
        <v>7</v>
      </c>
      <c r="CI61" s="789">
        <v>8</v>
      </c>
      <c r="CJ61" s="789">
        <v>9</v>
      </c>
      <c r="CK61" s="789">
        <v>10</v>
      </c>
      <c r="CL61" s="789">
        <v>11</v>
      </c>
      <c r="CM61" s="789">
        <v>12</v>
      </c>
      <c r="CN61" s="789">
        <v>13</v>
      </c>
      <c r="CO61" s="789">
        <v>14</v>
      </c>
      <c r="CP61" s="789">
        <v>15</v>
      </c>
      <c r="CQ61" s="789">
        <v>16</v>
      </c>
      <c r="CR61" s="789">
        <v>17</v>
      </c>
      <c r="CS61" s="789">
        <v>18</v>
      </c>
      <c r="CT61" s="789">
        <v>19</v>
      </c>
      <c r="CU61" s="789">
        <v>20</v>
      </c>
      <c r="CV61" s="789">
        <v>21</v>
      </c>
      <c r="CW61" s="789">
        <v>22</v>
      </c>
      <c r="CX61" s="789">
        <v>23</v>
      </c>
      <c r="CY61" s="789">
        <v>24</v>
      </c>
      <c r="CZ61" s="789">
        <v>25</v>
      </c>
      <c r="DA61" s="791">
        <v>26</v>
      </c>
      <c r="DB61" s="198"/>
      <c r="DC61" s="78"/>
      <c r="DD61" s="78"/>
      <c r="EK61" s="78"/>
      <c r="EL61" s="78"/>
    </row>
    <row r="62" spans="2:142" ht="20" hidden="1" x14ac:dyDescent="0.2">
      <c r="G62" s="998"/>
      <c r="H62"/>
      <c r="I62"/>
      <c r="J62"/>
      <c r="K62"/>
      <c r="L62"/>
      <c r="M62"/>
      <c r="N62"/>
      <c r="O62" s="995"/>
      <c r="BD62" s="136"/>
      <c r="BE62" s="136"/>
      <c r="BF62" s="136"/>
      <c r="BG62" s="136"/>
      <c r="BH62" s="136"/>
      <c r="BI62" s="136"/>
      <c r="BJ62" s="136"/>
      <c r="BK62" s="136"/>
      <c r="BL62" s="136"/>
      <c r="BM62" s="402"/>
      <c r="BN62" s="136"/>
      <c r="BP62" s="78"/>
      <c r="BQ62" s="199"/>
      <c r="BR62" s="199"/>
      <c r="BS62" s="199"/>
      <c r="BT62" s="199"/>
      <c r="BU62" s="199"/>
      <c r="BV62" s="199"/>
      <c r="BW62" s="199"/>
      <c r="BX62" s="199"/>
      <c r="BY62" s="199"/>
      <c r="BZ62" s="199"/>
      <c r="CA62" s="199"/>
      <c r="CB62" s="199"/>
      <c r="CC62" s="199"/>
      <c r="CD62" s="199"/>
      <c r="CE62" s="199"/>
      <c r="CF62" s="199"/>
      <c r="CG62" s="199"/>
      <c r="CH62" s="199"/>
      <c r="CI62" s="199"/>
      <c r="CJ62" s="199"/>
      <c r="CK62" s="199"/>
      <c r="CL62" s="199"/>
      <c r="CM62" s="199"/>
      <c r="CN62" s="199"/>
      <c r="CO62" s="199"/>
      <c r="CP62" s="199"/>
      <c r="CQ62" s="199"/>
      <c r="CR62" s="199"/>
      <c r="CS62" s="199"/>
      <c r="CT62" s="199"/>
      <c r="CU62" s="199"/>
      <c r="CV62" s="199"/>
      <c r="CW62" s="199"/>
      <c r="CX62" s="199"/>
      <c r="CY62" s="199"/>
      <c r="CZ62" s="199"/>
      <c r="DA62" s="199"/>
      <c r="DB62" s="199"/>
      <c r="DC62" s="78"/>
      <c r="DD62" s="78"/>
      <c r="EK62" s="78"/>
      <c r="EL62" s="78"/>
    </row>
    <row r="63" spans="2:142" ht="24" hidden="1" thickBot="1" x14ac:dyDescent="0.3">
      <c r="E63" s="397"/>
      <c r="F63" s="397"/>
      <c r="G63" s="998"/>
      <c r="H63"/>
      <c r="I63"/>
      <c r="J63"/>
      <c r="K63"/>
      <c r="L63"/>
      <c r="M63"/>
      <c r="N63"/>
      <c r="O63" s="995"/>
      <c r="BN63" s="86"/>
      <c r="BO63" s="18"/>
      <c r="BP63" s="1582"/>
      <c r="BQ63" s="97"/>
      <c r="BR63" s="97"/>
      <c r="BS63" s="97"/>
      <c r="BT63" s="97"/>
      <c r="BU63" s="97"/>
      <c r="BV63" s="97"/>
      <c r="BW63" s="97"/>
      <c r="BX63" s="97"/>
      <c r="BY63" s="94"/>
      <c r="BZ63" s="94"/>
      <c r="CA63" s="89"/>
      <c r="CB63" s="89"/>
      <c r="CC63" s="89"/>
      <c r="CD63" s="89"/>
      <c r="CE63" s="89"/>
      <c r="CF63" s="89"/>
      <c r="CG63" s="89"/>
      <c r="CH63" s="89"/>
      <c r="CI63" s="89"/>
      <c r="CJ63" s="89"/>
      <c r="CK63" s="89"/>
      <c r="CL63" s="89"/>
      <c r="CM63" s="89"/>
      <c r="CN63" s="37"/>
      <c r="CO63" s="95"/>
      <c r="CP63" s="95"/>
      <c r="CQ63" s="95"/>
      <c r="CR63" s="95"/>
      <c r="CS63" s="92"/>
      <c r="CT63" s="92"/>
      <c r="CU63" s="92"/>
      <c r="CV63" s="92"/>
      <c r="CW63" s="92"/>
      <c r="CX63" s="92"/>
      <c r="CY63" s="92"/>
      <c r="CZ63" s="92"/>
      <c r="DA63" s="92"/>
      <c r="DB63" s="92"/>
      <c r="DC63" s="17"/>
      <c r="DD63" s="78"/>
    </row>
    <row r="64" spans="2:142" ht="24" hidden="1" thickBot="1" x14ac:dyDescent="0.3">
      <c r="E64" s="397"/>
      <c r="F64" s="397"/>
      <c r="G64" s="998"/>
      <c r="H64"/>
      <c r="I64"/>
      <c r="J64"/>
      <c r="K64"/>
      <c r="L64"/>
      <c r="M64"/>
      <c r="N64"/>
      <c r="O64" s="995"/>
      <c r="BN64" s="86"/>
      <c r="BO64" s="18"/>
      <c r="BP64" s="1582">
        <v>36</v>
      </c>
      <c r="BQ64" s="97"/>
      <c r="BR64" s="97"/>
      <c r="BS64" s="97"/>
      <c r="BT64" s="97"/>
      <c r="BU64" s="97"/>
      <c r="BV64" s="97"/>
      <c r="BW64" s="97"/>
      <c r="BX64" s="97"/>
      <c r="BY64" s="94"/>
      <c r="BZ64" s="94"/>
      <c r="CA64" s="89"/>
      <c r="CB64" s="89"/>
      <c r="CC64" s="89"/>
      <c r="CD64" s="89"/>
      <c r="CE64" s="89"/>
      <c r="CF64" s="89"/>
      <c r="CG64" s="89"/>
      <c r="CH64" s="98"/>
      <c r="CI64" s="99"/>
      <c r="CJ64" s="100"/>
      <c r="CK64" s="89"/>
      <c r="CL64" s="89"/>
      <c r="CM64" s="89"/>
      <c r="CN64" s="37"/>
      <c r="CO64" s="95"/>
      <c r="CP64" s="95"/>
      <c r="CQ64" s="95"/>
      <c r="CR64" s="95"/>
      <c r="CS64" s="92"/>
      <c r="CT64" s="92"/>
      <c r="CU64" s="92"/>
      <c r="CV64" s="92"/>
      <c r="CW64" s="92"/>
      <c r="CX64" s="92"/>
      <c r="CY64" s="101" t="b">
        <f>IF(CZ57=36,35)</f>
        <v>0</v>
      </c>
      <c r="CZ64" s="102"/>
      <c r="DA64" s="103" t="b">
        <f>IF(CZ57=36,37)</f>
        <v>0</v>
      </c>
      <c r="DB64" s="92"/>
      <c r="DC64" s="17"/>
      <c r="DD64" s="78"/>
    </row>
    <row r="65" spans="5:108" ht="24" hidden="1" thickBot="1" x14ac:dyDescent="0.3">
      <c r="E65" s="397"/>
      <c r="F65" s="397"/>
      <c r="G65" s="998"/>
      <c r="H65"/>
      <c r="I65"/>
      <c r="J65"/>
      <c r="K65"/>
      <c r="L65"/>
      <c r="M65"/>
      <c r="N65"/>
      <c r="O65" s="995"/>
      <c r="BN65" s="86"/>
      <c r="BO65" s="18"/>
      <c r="BP65" s="1582">
        <v>35</v>
      </c>
      <c r="BQ65" s="97"/>
      <c r="BR65" s="97"/>
      <c r="BS65" s="97"/>
      <c r="BT65" s="97"/>
      <c r="BU65" s="97"/>
      <c r="BV65" s="97"/>
      <c r="BW65" s="97"/>
      <c r="BX65" s="97"/>
      <c r="BY65" s="94"/>
      <c r="BZ65" s="94"/>
      <c r="CA65" s="89"/>
      <c r="CB65" s="89"/>
      <c r="CC65" s="89"/>
      <c r="CD65" s="89"/>
      <c r="CE65" s="89"/>
      <c r="CF65" s="89"/>
      <c r="CG65" s="89"/>
      <c r="CH65" s="104"/>
      <c r="CI65" s="89"/>
      <c r="CJ65" s="105"/>
      <c r="CK65" s="89"/>
      <c r="CL65" s="89"/>
      <c r="CM65" s="89"/>
      <c r="CN65" s="37"/>
      <c r="CO65" s="95"/>
      <c r="CP65" s="95"/>
      <c r="CQ65" s="95"/>
      <c r="CR65" s="95"/>
      <c r="CS65" s="92"/>
      <c r="CT65" s="92"/>
      <c r="CU65" s="92"/>
      <c r="CV65" s="92"/>
      <c r="CW65" s="101" t="b">
        <f>IF(CY57=35,33)</f>
        <v>0</v>
      </c>
      <c r="CX65" s="102"/>
      <c r="CY65" s="102"/>
      <c r="CZ65" s="102"/>
      <c r="DA65" s="103" t="b">
        <f>IF(CY57=35,37)</f>
        <v>0</v>
      </c>
      <c r="DB65" s="92"/>
      <c r="DC65" s="17"/>
      <c r="DD65" s="78"/>
    </row>
    <row r="66" spans="5:108" ht="24" hidden="1" thickBot="1" x14ac:dyDescent="0.3">
      <c r="E66" s="397"/>
      <c r="F66" s="397"/>
      <c r="G66" s="998"/>
      <c r="H66"/>
      <c r="I66"/>
      <c r="J66"/>
      <c r="K66"/>
      <c r="L66"/>
      <c r="M66"/>
      <c r="N66"/>
      <c r="O66" s="995"/>
      <c r="BN66" s="86"/>
      <c r="BO66" s="18"/>
      <c r="BP66" s="1582">
        <v>34</v>
      </c>
      <c r="BQ66" s="97"/>
      <c r="BR66" s="97"/>
      <c r="BS66" s="97"/>
      <c r="BT66" s="97"/>
      <c r="BU66" s="97"/>
      <c r="BV66" s="97"/>
      <c r="BW66" s="97"/>
      <c r="BX66" s="97"/>
      <c r="BY66" s="94"/>
      <c r="BZ66" s="94"/>
      <c r="CA66" s="89"/>
      <c r="CB66" s="89"/>
      <c r="CC66" s="89"/>
      <c r="CD66" s="89"/>
      <c r="CE66" s="89"/>
      <c r="CF66" s="89"/>
      <c r="CG66" s="89"/>
      <c r="CH66" s="104"/>
      <c r="CI66" s="89"/>
      <c r="CJ66" s="105"/>
      <c r="CK66" s="89"/>
      <c r="CL66" s="89"/>
      <c r="CM66" s="89"/>
      <c r="CN66" s="37"/>
      <c r="CO66" s="95"/>
      <c r="CP66" s="95"/>
      <c r="CQ66" s="95"/>
      <c r="CR66" s="95"/>
      <c r="CS66" s="92"/>
      <c r="CT66" s="92"/>
      <c r="CU66" s="101" t="b">
        <f>IF(CX57=34,31)</f>
        <v>0</v>
      </c>
      <c r="CV66" s="102"/>
      <c r="CW66" s="102"/>
      <c r="CX66" s="102"/>
      <c r="CY66" s="102"/>
      <c r="CZ66" s="102"/>
      <c r="DA66" s="103" t="b">
        <f>IF(CX57=34,37)</f>
        <v>0</v>
      </c>
      <c r="DB66" s="92"/>
      <c r="DC66" s="17"/>
      <c r="DD66" s="78"/>
    </row>
    <row r="67" spans="5:108" ht="24" hidden="1" thickBot="1" x14ac:dyDescent="0.3">
      <c r="E67" s="397"/>
      <c r="F67" s="397"/>
      <c r="G67" s="998"/>
      <c r="H67"/>
      <c r="I67"/>
      <c r="J67"/>
      <c r="K67"/>
      <c r="L67"/>
      <c r="M67"/>
      <c r="N67"/>
      <c r="O67" s="995"/>
      <c r="BN67" s="86"/>
      <c r="BO67" s="18"/>
      <c r="BP67" s="1582">
        <v>33</v>
      </c>
      <c r="BQ67" s="97"/>
      <c r="BR67" s="97"/>
      <c r="BS67" s="97"/>
      <c r="BT67" s="97"/>
      <c r="BU67" s="97"/>
      <c r="BV67" s="97"/>
      <c r="BW67" s="97"/>
      <c r="BX67" s="97"/>
      <c r="BY67" s="94"/>
      <c r="BZ67" s="94"/>
      <c r="CA67" s="89"/>
      <c r="CB67" s="89"/>
      <c r="CC67" s="89"/>
      <c r="CD67" s="89"/>
      <c r="CE67" s="89"/>
      <c r="CF67" s="89"/>
      <c r="CG67" s="89"/>
      <c r="CH67" s="104"/>
      <c r="CI67" s="89"/>
      <c r="CJ67" s="105"/>
      <c r="CK67" s="89"/>
      <c r="CL67" s="89"/>
      <c r="CM67" s="89"/>
      <c r="CN67" s="37"/>
      <c r="CO67" s="95"/>
      <c r="CP67" s="95"/>
      <c r="CQ67" s="95"/>
      <c r="CR67" s="95"/>
      <c r="CS67" s="101" t="b">
        <f>IF(CW57=33,29)</f>
        <v>0</v>
      </c>
      <c r="CT67" s="102"/>
      <c r="CU67" s="102"/>
      <c r="CV67" s="102"/>
      <c r="CW67" s="102"/>
      <c r="CX67" s="102"/>
      <c r="CY67" s="102"/>
      <c r="CZ67" s="102"/>
      <c r="DA67" s="103" t="b">
        <f>IF(CW57=33,37)</f>
        <v>0</v>
      </c>
      <c r="DB67" s="92"/>
      <c r="DC67" s="17"/>
      <c r="DD67" s="78"/>
    </row>
    <row r="68" spans="5:108" ht="21" hidden="1" thickBot="1" x14ac:dyDescent="0.25">
      <c r="E68" s="397"/>
      <c r="F68" s="397"/>
      <c r="G68" s="998"/>
      <c r="H68"/>
      <c r="I68"/>
      <c r="J68"/>
      <c r="K68"/>
      <c r="L68"/>
      <c r="M68"/>
      <c r="N68"/>
      <c r="O68" s="995"/>
      <c r="BN68" s="86"/>
      <c r="BP68" s="1582">
        <v>32</v>
      </c>
      <c r="BQ68" s="107"/>
      <c r="BR68" s="107"/>
      <c r="BS68" s="107"/>
      <c r="BT68" s="107"/>
      <c r="BU68" s="107"/>
      <c r="BV68" s="108"/>
      <c r="BW68" s="107"/>
      <c r="BX68" s="107"/>
      <c r="BY68" s="107"/>
      <c r="BZ68" s="107"/>
      <c r="CA68" s="107"/>
      <c r="CB68" s="107"/>
      <c r="CC68" s="107"/>
      <c r="CD68" s="107"/>
      <c r="CE68" s="107"/>
      <c r="CF68" s="107"/>
      <c r="CG68" s="107"/>
      <c r="CH68" s="109"/>
      <c r="CI68" s="107"/>
      <c r="CJ68" s="110"/>
      <c r="CK68" s="107"/>
      <c r="CL68" s="107"/>
      <c r="CM68" s="107"/>
      <c r="CN68" s="108"/>
      <c r="CO68" s="78"/>
      <c r="CP68" s="78"/>
      <c r="CQ68" s="101" t="b">
        <f>IF(CV57=32,27)</f>
        <v>0</v>
      </c>
      <c r="CR68" s="111"/>
      <c r="CS68" s="111"/>
      <c r="CT68" s="111"/>
      <c r="CU68" s="111"/>
      <c r="CV68" s="111"/>
      <c r="CW68" s="111"/>
      <c r="CX68" s="111"/>
      <c r="CY68" s="111"/>
      <c r="CZ68" s="111"/>
      <c r="DA68" s="103" t="b">
        <f>IF(CV57=32,37)</f>
        <v>0</v>
      </c>
      <c r="DB68" s="78"/>
      <c r="DC68" s="78"/>
      <c r="DD68" s="78"/>
    </row>
    <row r="69" spans="5:108" ht="21" hidden="1" thickBot="1" x14ac:dyDescent="0.25">
      <c r="E69" s="397"/>
      <c r="F69" s="397"/>
      <c r="G69" s="998"/>
      <c r="H69"/>
      <c r="I69"/>
      <c r="J69"/>
      <c r="K69"/>
      <c r="L69"/>
      <c r="M69"/>
      <c r="N69"/>
      <c r="O69" s="995"/>
      <c r="BN69" s="86"/>
      <c r="BP69" s="1582">
        <v>31</v>
      </c>
      <c r="BQ69" s="107"/>
      <c r="BR69" s="107"/>
      <c r="BS69" s="107"/>
      <c r="BT69" s="107"/>
      <c r="BU69" s="107"/>
      <c r="BV69" s="108"/>
      <c r="BW69" s="107"/>
      <c r="BX69" s="107"/>
      <c r="BY69" s="107"/>
      <c r="BZ69" s="107"/>
      <c r="CA69" s="107"/>
      <c r="CB69" s="107"/>
      <c r="CC69" s="107"/>
      <c r="CD69" s="107"/>
      <c r="CE69" s="107"/>
      <c r="CF69" s="107"/>
      <c r="CG69" s="107"/>
      <c r="CH69" s="109"/>
      <c r="CI69" s="107"/>
      <c r="CJ69" s="110"/>
      <c r="CK69" s="107"/>
      <c r="CL69" s="107"/>
      <c r="CM69" s="107"/>
      <c r="CN69" s="108"/>
      <c r="CO69" s="101" t="b">
        <f>IF(CU57=31,25)</f>
        <v>0</v>
      </c>
      <c r="CP69" s="111"/>
      <c r="CQ69" s="111"/>
      <c r="CR69" s="111"/>
      <c r="CS69" s="111"/>
      <c r="CT69" s="111"/>
      <c r="CU69" s="111"/>
      <c r="CV69" s="111"/>
      <c r="CW69" s="111"/>
      <c r="CX69" s="111"/>
      <c r="CY69" s="111"/>
      <c r="CZ69" s="111"/>
      <c r="DA69" s="103" t="b">
        <f>IF(CU57=31,37)</f>
        <v>0</v>
      </c>
      <c r="DB69" s="78"/>
      <c r="DC69" s="78"/>
      <c r="DD69" s="78"/>
    </row>
    <row r="70" spans="5:108" ht="21" hidden="1" thickBot="1" x14ac:dyDescent="0.25">
      <c r="E70" s="397"/>
      <c r="F70" s="397"/>
      <c r="G70" s="998"/>
      <c r="H70"/>
      <c r="I70"/>
      <c r="J70"/>
      <c r="K70"/>
      <c r="L70"/>
      <c r="M70"/>
      <c r="N70"/>
      <c r="O70" s="995"/>
      <c r="BN70" s="86"/>
      <c r="BP70" s="1582">
        <v>30</v>
      </c>
      <c r="BQ70" s="107"/>
      <c r="BR70" s="107"/>
      <c r="BS70" s="107"/>
      <c r="BT70" s="107"/>
      <c r="BU70" s="107"/>
      <c r="BV70" s="108"/>
      <c r="BW70" s="107"/>
      <c r="BX70" s="107"/>
      <c r="BY70" s="107"/>
      <c r="BZ70" s="107"/>
      <c r="CA70" s="107"/>
      <c r="CB70" s="107"/>
      <c r="CC70" s="107"/>
      <c r="CD70" s="107"/>
      <c r="CE70" s="107"/>
      <c r="CF70" s="107"/>
      <c r="CG70" s="107"/>
      <c r="CH70" s="109"/>
      <c r="CI70" s="107"/>
      <c r="CJ70" s="110"/>
      <c r="CK70" s="107"/>
      <c r="CL70" s="107"/>
      <c r="CM70" s="101" t="b">
        <f>IF(CT57=30,23)</f>
        <v>0</v>
      </c>
      <c r="CN70" s="112"/>
      <c r="CO70" s="111"/>
      <c r="CP70" s="111"/>
      <c r="CQ70" s="111"/>
      <c r="CR70" s="111"/>
      <c r="CS70" s="111"/>
      <c r="CT70" s="111"/>
      <c r="CU70" s="111"/>
      <c r="CV70" s="111"/>
      <c r="CW70" s="111"/>
      <c r="CX70" s="111"/>
      <c r="CY70" s="111"/>
      <c r="CZ70" s="111"/>
      <c r="DA70" s="103" t="b">
        <f>IF(CT57=30,37)</f>
        <v>0</v>
      </c>
      <c r="DB70" s="78"/>
      <c r="DC70" s="78"/>
      <c r="DD70" s="78"/>
    </row>
    <row r="71" spans="5:108" ht="21" hidden="1" thickBot="1" x14ac:dyDescent="0.25">
      <c r="E71" s="397"/>
      <c r="F71" s="397"/>
      <c r="G71" s="998"/>
      <c r="H71"/>
      <c r="I71"/>
      <c r="J71"/>
      <c r="K71"/>
      <c r="L71"/>
      <c r="M71"/>
      <c r="N71"/>
      <c r="O71" s="995"/>
      <c r="BE71" s="114"/>
      <c r="BF71" s="114"/>
      <c r="BG71" s="114"/>
      <c r="BH71" s="114"/>
      <c r="BN71" s="86"/>
      <c r="BO71" s="114"/>
      <c r="BP71" s="1582">
        <v>29</v>
      </c>
      <c r="BQ71" s="78"/>
      <c r="BR71" s="78"/>
      <c r="BS71" s="78"/>
      <c r="BT71" s="78"/>
      <c r="BU71" s="78"/>
      <c r="BV71" s="78"/>
      <c r="BW71" s="78"/>
      <c r="BX71" s="78"/>
      <c r="BY71" s="78"/>
      <c r="BZ71" s="78"/>
      <c r="CA71" s="78"/>
      <c r="CB71" s="78"/>
      <c r="CC71" s="78"/>
      <c r="CD71" s="78"/>
      <c r="CE71" s="78"/>
      <c r="CF71" s="78"/>
      <c r="CG71" s="78"/>
      <c r="CH71" s="115"/>
      <c r="CI71" s="78"/>
      <c r="CJ71" s="116"/>
      <c r="CK71" s="117" t="b">
        <f>IF(CS57=29,21)</f>
        <v>0</v>
      </c>
      <c r="CL71" s="111"/>
      <c r="CM71" s="111"/>
      <c r="CN71" s="111"/>
      <c r="CO71" s="111"/>
      <c r="CP71" s="111"/>
      <c r="CQ71" s="111"/>
      <c r="CR71" s="118"/>
      <c r="CS71" s="111"/>
      <c r="CT71" s="118"/>
      <c r="CU71" s="119"/>
      <c r="CV71" s="119"/>
      <c r="CW71" s="119"/>
      <c r="CX71" s="119"/>
      <c r="CY71" s="119"/>
      <c r="CZ71" s="119"/>
      <c r="DA71" s="103" t="b">
        <f>IF(CS57=29,37)</f>
        <v>0</v>
      </c>
      <c r="DB71" s="76"/>
      <c r="DC71" s="78"/>
      <c r="DD71" s="78"/>
    </row>
    <row r="72" spans="5:108" ht="21" hidden="1" thickBot="1" x14ac:dyDescent="0.25">
      <c r="E72" s="397"/>
      <c r="F72" s="397"/>
      <c r="G72" s="998"/>
      <c r="H72"/>
      <c r="I72"/>
      <c r="J72"/>
      <c r="K72"/>
      <c r="L72"/>
      <c r="M72"/>
      <c r="N72"/>
      <c r="O72" s="995"/>
      <c r="BE72" s="114"/>
      <c r="BF72" s="114"/>
      <c r="BG72" s="114"/>
      <c r="BH72" s="114"/>
      <c r="BN72" s="86"/>
      <c r="BO72" s="114"/>
      <c r="BP72" s="1582">
        <v>28</v>
      </c>
      <c r="BQ72" s="78"/>
      <c r="BR72" s="78"/>
      <c r="BS72" s="78"/>
      <c r="BT72" s="78"/>
      <c r="BU72" s="78"/>
      <c r="BV72" s="78"/>
      <c r="BW72" s="78"/>
      <c r="BX72" s="78"/>
      <c r="BY72" s="78"/>
      <c r="BZ72" s="78"/>
      <c r="CA72" s="78"/>
      <c r="CB72" s="78"/>
      <c r="CC72" s="78"/>
      <c r="CD72" s="78"/>
      <c r="CE72" s="78"/>
      <c r="CF72" s="78"/>
      <c r="CG72" s="78"/>
      <c r="CH72" s="115"/>
      <c r="CI72" s="78"/>
      <c r="CJ72" s="116"/>
      <c r="CK72" s="120" t="b">
        <f>IF(CR57=28,21)</f>
        <v>0</v>
      </c>
      <c r="CL72" s="121"/>
      <c r="CM72" s="121"/>
      <c r="CN72" s="121"/>
      <c r="CO72" s="121"/>
      <c r="CP72" s="122"/>
      <c r="CQ72" s="121"/>
      <c r="CR72" s="121"/>
      <c r="CS72" s="121"/>
      <c r="CT72" s="122"/>
      <c r="CU72" s="123"/>
      <c r="CV72" s="123"/>
      <c r="CW72" s="123"/>
      <c r="CX72" s="123"/>
      <c r="CY72" s="124" t="b">
        <f>IF(CR57=28,35)</f>
        <v>0</v>
      </c>
      <c r="CZ72" s="76"/>
      <c r="DA72" s="76"/>
      <c r="DB72" s="76"/>
      <c r="DC72" s="78"/>
      <c r="DD72" s="78"/>
    </row>
    <row r="73" spans="5:108" ht="21" hidden="1" thickBot="1" x14ac:dyDescent="0.25">
      <c r="E73" s="397"/>
      <c r="F73" s="397"/>
      <c r="G73" s="998"/>
      <c r="H73"/>
      <c r="I73"/>
      <c r="J73"/>
      <c r="K73"/>
      <c r="L73"/>
      <c r="M73"/>
      <c r="N73"/>
      <c r="O73" s="995"/>
      <c r="BE73" s="114"/>
      <c r="BF73" s="114"/>
      <c r="BG73" s="114"/>
      <c r="BH73" s="114"/>
      <c r="BN73" s="86"/>
      <c r="BO73" s="114"/>
      <c r="BP73" s="1582">
        <v>27</v>
      </c>
      <c r="BQ73" s="78"/>
      <c r="BR73" s="78"/>
      <c r="BS73" s="78"/>
      <c r="BT73" s="78"/>
      <c r="BU73" s="78"/>
      <c r="BV73" s="78"/>
      <c r="BW73" s="78"/>
      <c r="BX73" s="78"/>
      <c r="BY73" s="78"/>
      <c r="BZ73" s="78"/>
      <c r="CA73" s="78"/>
      <c r="CB73" s="78"/>
      <c r="CC73" s="78"/>
      <c r="CD73" s="78"/>
      <c r="CE73" s="78"/>
      <c r="CF73" s="78"/>
      <c r="CG73" s="78"/>
      <c r="CH73" s="115"/>
      <c r="CI73" s="78"/>
      <c r="CJ73" s="116"/>
      <c r="CK73" s="120" t="b">
        <f>IF(CQ57=27,21)</f>
        <v>0</v>
      </c>
      <c r="CL73" s="121"/>
      <c r="CM73" s="121"/>
      <c r="CN73" s="122"/>
      <c r="CO73" s="121"/>
      <c r="CP73" s="121"/>
      <c r="CQ73" s="121"/>
      <c r="CR73" s="121"/>
      <c r="CS73" s="121"/>
      <c r="CT73" s="122"/>
      <c r="CU73" s="123"/>
      <c r="CV73" s="123"/>
      <c r="CW73" s="124" t="b">
        <f>IF(CQ57=27,33)</f>
        <v>0</v>
      </c>
      <c r="CX73" s="76"/>
      <c r="CY73" s="76"/>
      <c r="CZ73" s="76"/>
      <c r="DA73" s="76"/>
      <c r="DB73" s="76"/>
      <c r="DC73" s="78"/>
      <c r="DD73" s="78"/>
    </row>
    <row r="74" spans="5:108" ht="21" hidden="1" thickBot="1" x14ac:dyDescent="0.25">
      <c r="E74" s="397"/>
      <c r="F74" s="397"/>
      <c r="G74" s="998"/>
      <c r="H74"/>
      <c r="I74"/>
      <c r="J74"/>
      <c r="K74"/>
      <c r="L74"/>
      <c r="M74"/>
      <c r="N74"/>
      <c r="O74" s="995"/>
      <c r="BN74" s="86"/>
      <c r="BP74" s="1582">
        <v>26</v>
      </c>
      <c r="BQ74" s="78"/>
      <c r="BR74" s="78"/>
      <c r="BS74" s="78"/>
      <c r="BT74" s="78"/>
      <c r="BU74" s="78"/>
      <c r="BV74" s="78"/>
      <c r="BW74" s="78"/>
      <c r="BX74" s="78"/>
      <c r="BY74" s="78"/>
      <c r="BZ74" s="78"/>
      <c r="CA74" s="78"/>
      <c r="CB74" s="78"/>
      <c r="CC74" s="78"/>
      <c r="CD74" s="78"/>
      <c r="CE74" s="78"/>
      <c r="CF74" s="78"/>
      <c r="CG74" s="78"/>
      <c r="CH74" s="115"/>
      <c r="CI74" s="78"/>
      <c r="CJ74" s="116"/>
      <c r="CK74" s="120" t="b">
        <f>IF(CP57=26,21)</f>
        <v>0</v>
      </c>
      <c r="CL74" s="122"/>
      <c r="CM74" s="121"/>
      <c r="CN74" s="121"/>
      <c r="CO74" s="121"/>
      <c r="CP74" s="121"/>
      <c r="CQ74" s="121"/>
      <c r="CR74" s="121"/>
      <c r="CS74" s="121"/>
      <c r="CT74" s="122"/>
      <c r="CU74" s="124" t="b">
        <f>IF(CP57=26,31)</f>
        <v>0</v>
      </c>
      <c r="CV74" s="76"/>
      <c r="CW74" s="76"/>
      <c r="CX74" s="76"/>
      <c r="CY74" s="76"/>
      <c r="CZ74" s="76"/>
      <c r="DA74" s="76"/>
      <c r="DB74" s="76"/>
      <c r="DC74" s="78"/>
      <c r="DD74" s="78"/>
    </row>
    <row r="75" spans="5:108" ht="21" hidden="1" thickBot="1" x14ac:dyDescent="0.25">
      <c r="E75" s="397"/>
      <c r="F75" s="397"/>
      <c r="G75" s="998"/>
      <c r="H75"/>
      <c r="I75"/>
      <c r="J75"/>
      <c r="K75"/>
      <c r="L75"/>
      <c r="M75"/>
      <c r="N75"/>
      <c r="O75" s="995"/>
      <c r="BE75" s="126"/>
      <c r="BF75" s="126"/>
      <c r="BG75" s="126"/>
      <c r="BH75" s="126"/>
      <c r="BN75" s="86"/>
      <c r="BO75" s="126"/>
      <c r="BP75" s="1582">
        <v>25</v>
      </c>
      <c r="BQ75" s="78"/>
      <c r="BR75" s="78"/>
      <c r="BS75" s="78"/>
      <c r="BT75" s="78"/>
      <c r="BU75" s="78"/>
      <c r="BV75" s="78"/>
      <c r="BW75" s="78"/>
      <c r="BX75" s="78"/>
      <c r="BY75" s="78"/>
      <c r="BZ75" s="78"/>
      <c r="CA75" s="78"/>
      <c r="CC75" s="78"/>
      <c r="CD75" s="78"/>
      <c r="CE75" s="78"/>
      <c r="CF75" s="78"/>
      <c r="CG75" s="78"/>
      <c r="CH75" s="115"/>
      <c r="CI75" s="78"/>
      <c r="CK75" s="128" t="b">
        <f>IF(CO57=25,21)</f>
        <v>0</v>
      </c>
      <c r="CL75" s="121"/>
      <c r="CM75" s="121"/>
      <c r="CN75" s="121"/>
      <c r="CO75" s="121"/>
      <c r="CP75" s="121"/>
      <c r="CQ75" s="121"/>
      <c r="CR75" s="121"/>
      <c r="CS75" s="124" t="b">
        <f>IF(CO57=25,29)</f>
        <v>0</v>
      </c>
      <c r="CU75" s="76"/>
      <c r="CV75" s="76"/>
      <c r="CW75" s="76"/>
      <c r="CX75" s="76"/>
      <c r="CY75" s="76"/>
      <c r="CZ75" s="76"/>
      <c r="DA75" s="76"/>
      <c r="DB75" s="76"/>
      <c r="DC75" s="78"/>
      <c r="DD75" s="78"/>
    </row>
    <row r="76" spans="5:108" ht="21" hidden="1" thickBot="1" x14ac:dyDescent="0.25">
      <c r="E76" s="397"/>
      <c r="F76" s="397"/>
      <c r="G76" s="998"/>
      <c r="H76"/>
      <c r="I76"/>
      <c r="J76"/>
      <c r="K76"/>
      <c r="L76"/>
      <c r="M76"/>
      <c r="N76"/>
      <c r="O76" s="995"/>
      <c r="BE76" s="126"/>
      <c r="BF76" s="126"/>
      <c r="BG76" s="126"/>
      <c r="BH76" s="126"/>
      <c r="BN76" s="86"/>
      <c r="BO76" s="126"/>
      <c r="BP76" s="1582">
        <v>24</v>
      </c>
      <c r="BQ76" s="78"/>
      <c r="BR76" s="78"/>
      <c r="BS76" s="78"/>
      <c r="BT76" s="78"/>
      <c r="BU76" s="78"/>
      <c r="BV76" s="78"/>
      <c r="BW76" s="78"/>
      <c r="BX76" s="78"/>
      <c r="BY76" s="78"/>
      <c r="BZ76" s="78"/>
      <c r="CA76" s="78"/>
      <c r="CB76" s="117" t="b">
        <f>IF(CN57=24,12)</f>
        <v>0</v>
      </c>
      <c r="CC76" s="111"/>
      <c r="CD76" s="111"/>
      <c r="CE76" s="111"/>
      <c r="CF76" s="111"/>
      <c r="CG76" s="111"/>
      <c r="CH76" s="118"/>
      <c r="CI76" s="111"/>
      <c r="CJ76" s="129"/>
      <c r="CK76" s="111"/>
      <c r="CL76" s="111"/>
      <c r="CM76" s="111"/>
      <c r="CN76" s="111"/>
      <c r="CO76" s="111"/>
      <c r="CP76" s="111"/>
      <c r="CQ76" s="111"/>
      <c r="CR76" s="111"/>
      <c r="CS76" s="111"/>
      <c r="CT76" s="118"/>
      <c r="CU76" s="119"/>
      <c r="CV76" s="119"/>
      <c r="CW76" s="119"/>
      <c r="CX76" s="119"/>
      <c r="CY76" s="119"/>
      <c r="CZ76" s="103" t="b">
        <f>IF(CN57=24,36)</f>
        <v>0</v>
      </c>
      <c r="DA76" s="76"/>
      <c r="DB76" s="76"/>
      <c r="DC76" s="78"/>
      <c r="DD76" s="78"/>
    </row>
    <row r="77" spans="5:108" ht="21" hidden="1" thickBot="1" x14ac:dyDescent="0.25">
      <c r="E77" s="397"/>
      <c r="F77" s="397"/>
      <c r="G77" s="998"/>
      <c r="H77"/>
      <c r="I77"/>
      <c r="J77"/>
      <c r="K77"/>
      <c r="L77"/>
      <c r="M77"/>
      <c r="N77"/>
      <c r="O77" s="995"/>
      <c r="BE77" s="126"/>
      <c r="BF77" s="126"/>
      <c r="BG77" s="126"/>
      <c r="BH77" s="126"/>
      <c r="BN77" s="86"/>
      <c r="BO77" s="126"/>
      <c r="BP77" s="1582">
        <v>23</v>
      </c>
      <c r="BQ77" s="78"/>
      <c r="BR77" s="78"/>
      <c r="BS77" s="78"/>
      <c r="BT77" s="78"/>
      <c r="BU77" s="78"/>
      <c r="BV77" s="78"/>
      <c r="BW77" s="78"/>
      <c r="BX77" s="78"/>
      <c r="BY77" s="78"/>
      <c r="BZ77" s="78"/>
      <c r="CA77" s="78"/>
      <c r="CB77" s="120" t="b">
        <f>IF(CM57=23,12)</f>
        <v>0</v>
      </c>
      <c r="CC77" s="121"/>
      <c r="CD77" s="121"/>
      <c r="CE77" s="121"/>
      <c r="CF77" s="122"/>
      <c r="CG77" s="121"/>
      <c r="CH77" s="132"/>
      <c r="CI77" s="121"/>
      <c r="CJ77" s="133"/>
      <c r="CK77" s="121"/>
      <c r="CL77" s="121"/>
      <c r="CM77" s="121"/>
      <c r="CN77" s="121"/>
      <c r="CO77" s="121"/>
      <c r="CP77" s="121"/>
      <c r="CQ77" s="121"/>
      <c r="CR77" s="121"/>
      <c r="CS77" s="121"/>
      <c r="CT77" s="122"/>
      <c r="CU77" s="123"/>
      <c r="CV77" s="123"/>
      <c r="CW77" s="123"/>
      <c r="CX77" s="124" t="b">
        <f>IF(CM57=23,34)</f>
        <v>0</v>
      </c>
      <c r="CY77" s="76"/>
      <c r="CZ77" s="76"/>
      <c r="DA77" s="76"/>
      <c r="DB77" s="76"/>
      <c r="DC77" s="78"/>
      <c r="DD77" s="78"/>
    </row>
    <row r="78" spans="5:108" ht="21" hidden="1" thickBot="1" x14ac:dyDescent="0.25">
      <c r="E78" s="397"/>
      <c r="F78" s="397"/>
      <c r="G78" s="998"/>
      <c r="H78"/>
      <c r="I78"/>
      <c r="J78"/>
      <c r="K78"/>
      <c r="L78"/>
      <c r="M78"/>
      <c r="N78"/>
      <c r="O78" s="995"/>
      <c r="U78" s="114"/>
      <c r="AB78" s="114"/>
      <c r="AC78" s="114"/>
      <c r="AD78" s="114"/>
      <c r="AE78" s="114"/>
      <c r="BE78" s="126"/>
      <c r="BF78" s="126"/>
      <c r="BG78" s="126"/>
      <c r="BH78" s="126"/>
      <c r="BN78" s="86"/>
      <c r="BO78" s="126"/>
      <c r="BP78" s="1582">
        <v>22</v>
      </c>
      <c r="BQ78" s="76"/>
      <c r="BR78" s="76"/>
      <c r="BS78" s="76"/>
      <c r="BT78" s="76"/>
      <c r="BU78" s="76"/>
      <c r="BV78" s="76"/>
      <c r="BW78" s="76"/>
      <c r="BX78" s="76"/>
      <c r="BY78" s="76"/>
      <c r="BZ78" s="76"/>
      <c r="CA78" s="76"/>
      <c r="CB78" s="120" t="b">
        <f>IF(CL57=22,12)</f>
        <v>0</v>
      </c>
      <c r="CC78" s="123"/>
      <c r="CD78" s="123"/>
      <c r="CE78" s="123"/>
      <c r="CF78" s="122"/>
      <c r="CG78" s="123"/>
      <c r="CH78" s="134"/>
      <c r="CI78" s="123"/>
      <c r="CJ78" s="135"/>
      <c r="CK78" s="123"/>
      <c r="CL78" s="123"/>
      <c r="CM78" s="123"/>
      <c r="CN78" s="123"/>
      <c r="CO78" s="121"/>
      <c r="CP78" s="121"/>
      <c r="CQ78" s="122"/>
      <c r="CR78" s="121"/>
      <c r="CS78" s="121"/>
      <c r="CT78" s="121"/>
      <c r="CU78" s="121"/>
      <c r="CV78" s="124" t="b">
        <f>IF(CL57=22,32)</f>
        <v>0</v>
      </c>
      <c r="CW78" s="78"/>
      <c r="CX78" s="78"/>
      <c r="CY78" s="78"/>
      <c r="CZ78" s="78"/>
      <c r="DA78" s="78"/>
      <c r="DB78" s="78"/>
      <c r="DC78" s="78"/>
      <c r="DD78" s="78"/>
    </row>
    <row r="79" spans="5:108" ht="21" hidden="1" thickBot="1" x14ac:dyDescent="0.25">
      <c r="E79" s="397"/>
      <c r="F79" s="397"/>
      <c r="G79" s="1008"/>
      <c r="H79"/>
      <c r="I79"/>
      <c r="J79"/>
      <c r="K79"/>
      <c r="L79"/>
      <c r="M79"/>
      <c r="N79"/>
      <c r="O79" s="995"/>
      <c r="BE79" s="126"/>
      <c r="BF79" s="126"/>
      <c r="BG79" s="126"/>
      <c r="BH79" s="126"/>
      <c r="BN79" s="86"/>
      <c r="BO79" s="126"/>
      <c r="BP79" s="1582">
        <v>21</v>
      </c>
      <c r="BQ79" s="78"/>
      <c r="BR79" s="78"/>
      <c r="BS79" s="78"/>
      <c r="BT79" s="78"/>
      <c r="BU79" s="78"/>
      <c r="BV79" s="78"/>
      <c r="BW79" s="78"/>
      <c r="BX79" s="78"/>
      <c r="BY79" s="78"/>
      <c r="BZ79" s="78"/>
      <c r="CA79" s="78"/>
      <c r="CB79" s="120" t="b">
        <f>IF(CK57=21,12)</f>
        <v>0</v>
      </c>
      <c r="CC79" s="121"/>
      <c r="CD79" s="121"/>
      <c r="CE79" s="121"/>
      <c r="CF79" s="121"/>
      <c r="CG79" s="121"/>
      <c r="CH79" s="132"/>
      <c r="CI79" s="121"/>
      <c r="CJ79" s="133"/>
      <c r="CK79" s="121"/>
      <c r="CL79" s="121"/>
      <c r="CM79" s="121"/>
      <c r="CN79" s="121"/>
      <c r="CO79" s="121"/>
      <c r="CP79" s="121"/>
      <c r="CQ79" s="121"/>
      <c r="CR79" s="121"/>
      <c r="CS79" s="121"/>
      <c r="CT79" s="124" t="b">
        <f>IF(CK57=21,30)</f>
        <v>0</v>
      </c>
      <c r="CU79" s="76"/>
      <c r="CV79" s="76"/>
      <c r="CW79" s="76"/>
      <c r="CX79" s="76"/>
      <c r="CY79" s="76"/>
      <c r="CZ79" s="76"/>
      <c r="DA79" s="76"/>
      <c r="DB79" s="76"/>
      <c r="DC79" s="78"/>
      <c r="DD79" s="78"/>
    </row>
    <row r="80" spans="5:108" ht="21" hidden="1" thickBot="1" x14ac:dyDescent="0.25">
      <c r="E80" s="397"/>
      <c r="F80" s="397"/>
      <c r="G80" s="998"/>
      <c r="H80"/>
      <c r="I80"/>
      <c r="J80"/>
      <c r="K80"/>
      <c r="L80"/>
      <c r="M80"/>
      <c r="N80"/>
      <c r="O80" s="995"/>
      <c r="T80" s="401"/>
      <c r="BE80" s="136"/>
      <c r="BF80" s="136"/>
      <c r="BG80" s="136"/>
      <c r="BH80" s="136"/>
      <c r="BN80" s="86"/>
      <c r="BO80" s="1091"/>
      <c r="BP80" s="1582">
        <v>20</v>
      </c>
      <c r="BQ80" s="78"/>
      <c r="BR80" s="78"/>
      <c r="BS80" s="78"/>
      <c r="BT80" s="78"/>
      <c r="BU80" s="78"/>
      <c r="BV80" s="78"/>
      <c r="BW80" s="78"/>
      <c r="BX80" s="78"/>
      <c r="CA80" s="137"/>
      <c r="CB80" s="117" t="b">
        <f>IF(CJ57=20,12)</f>
        <v>0</v>
      </c>
      <c r="CC80" s="111"/>
      <c r="CD80" s="111"/>
      <c r="CE80" s="111"/>
      <c r="CF80" s="111"/>
      <c r="CG80" s="111"/>
      <c r="CH80" s="138"/>
      <c r="CI80" s="111"/>
      <c r="CJ80" s="129"/>
      <c r="CK80" s="111"/>
      <c r="CL80" s="111"/>
      <c r="CM80" s="111"/>
      <c r="CN80" s="111"/>
      <c r="CO80" s="111"/>
      <c r="CP80" s="111"/>
      <c r="CQ80" s="111"/>
      <c r="CR80" s="103" t="b">
        <f>IF(CJ57=20,28)</f>
        <v>0</v>
      </c>
      <c r="CS80" s="137"/>
      <c r="CU80" s="76"/>
      <c r="CV80" s="76"/>
      <c r="CW80" s="76"/>
      <c r="CX80" s="76"/>
      <c r="CY80" s="76"/>
      <c r="CZ80" s="76"/>
      <c r="DA80" s="76"/>
      <c r="DB80" s="76"/>
      <c r="DC80" s="78"/>
      <c r="DD80" s="78"/>
    </row>
    <row r="81" spans="2:108" ht="21" hidden="1" thickBot="1" x14ac:dyDescent="0.25">
      <c r="E81" s="397"/>
      <c r="F81" s="397"/>
      <c r="G81" s="998"/>
      <c r="H81"/>
      <c r="I81"/>
      <c r="J81"/>
      <c r="K81"/>
      <c r="L81"/>
      <c r="M81"/>
      <c r="N81"/>
      <c r="O81" s="995"/>
      <c r="U81" s="114"/>
      <c r="AB81" s="114"/>
      <c r="AC81" s="114"/>
      <c r="AD81" s="114"/>
      <c r="AE81" s="114"/>
      <c r="BE81" s="136"/>
      <c r="BF81" s="136"/>
      <c r="BG81" s="136"/>
      <c r="BH81" s="136"/>
      <c r="BN81" s="86"/>
      <c r="BO81" s="1091"/>
      <c r="BP81" s="1582">
        <v>19</v>
      </c>
      <c r="BQ81" s="78"/>
      <c r="BR81" s="78"/>
      <c r="BS81" s="78"/>
      <c r="BT81" s="78"/>
      <c r="BU81" s="78"/>
      <c r="BV81" s="78"/>
      <c r="BW81" s="78"/>
      <c r="BX81" s="78"/>
      <c r="BZ81" s="139"/>
      <c r="CA81" s="139"/>
      <c r="CB81" s="117" t="b">
        <f>IF(CI57=19,12)</f>
        <v>0</v>
      </c>
      <c r="CC81" s="119"/>
      <c r="CD81" s="119"/>
      <c r="CE81" s="118"/>
      <c r="CF81" s="119"/>
      <c r="CG81" s="119"/>
      <c r="CH81" s="140"/>
      <c r="CI81" s="119"/>
      <c r="CJ81" s="141"/>
      <c r="CK81" s="118"/>
      <c r="CL81" s="119"/>
      <c r="CM81" s="119"/>
      <c r="CN81" s="119"/>
      <c r="CO81" s="111"/>
      <c r="CP81" s="103" t="b">
        <f>IF(CI57=19,26)</f>
        <v>0</v>
      </c>
      <c r="CQ81" s="142"/>
      <c r="CR81" s="137"/>
      <c r="CT81" s="78"/>
      <c r="CU81" s="78"/>
      <c r="CV81" s="78"/>
      <c r="CW81" s="78"/>
      <c r="CX81" s="78"/>
      <c r="CY81" s="78"/>
      <c r="CZ81" s="78"/>
      <c r="DA81" s="78"/>
      <c r="DB81" s="78"/>
      <c r="DC81" s="78"/>
      <c r="DD81" s="78"/>
    </row>
    <row r="82" spans="2:108" ht="21" hidden="1" thickBot="1" x14ac:dyDescent="0.25">
      <c r="E82" s="397"/>
      <c r="F82" s="397"/>
      <c r="G82" s="998"/>
      <c r="H82"/>
      <c r="I82"/>
      <c r="J82"/>
      <c r="K82"/>
      <c r="L82"/>
      <c r="M82"/>
      <c r="N82"/>
      <c r="O82" s="995"/>
      <c r="U82" s="114"/>
      <c r="AB82" s="114"/>
      <c r="AC82" s="114"/>
      <c r="AD82" s="114"/>
      <c r="AE82" s="114"/>
      <c r="BE82" s="136"/>
      <c r="BF82" s="136"/>
      <c r="BG82" s="136"/>
      <c r="BH82" s="136"/>
      <c r="BN82" s="86"/>
      <c r="BO82" s="1091"/>
      <c r="BP82" s="1582">
        <v>18</v>
      </c>
      <c r="BQ82" s="76"/>
      <c r="BR82" s="76"/>
      <c r="BS82" s="76"/>
      <c r="BT82" s="76"/>
      <c r="BU82" s="76"/>
      <c r="BV82" s="76"/>
      <c r="BW82" s="76"/>
      <c r="BX82" s="76"/>
      <c r="BZ82" s="117" t="b">
        <f>IF(CH57=18,10)</f>
        <v>0</v>
      </c>
      <c r="CA82" s="119"/>
      <c r="CB82" s="119"/>
      <c r="CC82" s="119"/>
      <c r="CD82" s="119"/>
      <c r="CE82" s="118"/>
      <c r="CF82" s="119"/>
      <c r="CG82" s="119"/>
      <c r="CH82" s="140"/>
      <c r="CI82" s="119"/>
      <c r="CJ82" s="141"/>
      <c r="CK82" s="118"/>
      <c r="CL82" s="119"/>
      <c r="CM82" s="119"/>
      <c r="CN82" s="119"/>
      <c r="CO82" s="111"/>
      <c r="CP82" s="103" t="b">
        <f>IF(CH57=18,26)</f>
        <v>0</v>
      </c>
      <c r="CR82" s="78"/>
      <c r="CS82" s="78"/>
      <c r="CT82" s="78"/>
      <c r="CU82" s="78"/>
      <c r="CV82" s="78"/>
      <c r="CW82" s="78"/>
      <c r="CX82" s="78"/>
      <c r="CY82" s="78"/>
      <c r="CZ82" s="78"/>
      <c r="DA82" s="78"/>
      <c r="DB82" s="78"/>
      <c r="DC82" s="78"/>
      <c r="DD82" s="78"/>
    </row>
    <row r="83" spans="2:108" ht="21" hidden="1" thickBot="1" x14ac:dyDescent="0.25">
      <c r="E83" s="397"/>
      <c r="F83" s="397"/>
      <c r="G83" s="998"/>
      <c r="H83"/>
      <c r="I83"/>
      <c r="J83"/>
      <c r="K83" s="988">
        <v>5</v>
      </c>
      <c r="L83"/>
      <c r="M83" s="988">
        <v>51</v>
      </c>
      <c r="N83"/>
      <c r="O83" s="995"/>
      <c r="U83" s="114"/>
      <c r="AB83" s="114"/>
      <c r="AC83" s="114"/>
      <c r="AD83" s="114"/>
      <c r="AE83" s="114"/>
      <c r="BE83" s="136"/>
      <c r="BF83" s="136"/>
      <c r="BG83" s="136"/>
      <c r="BH83" s="136"/>
      <c r="BN83" s="86"/>
      <c r="BO83" s="1091"/>
      <c r="BP83" s="1582">
        <v>17</v>
      </c>
      <c r="BQ83" s="76"/>
      <c r="BR83" s="76"/>
      <c r="BS83" s="76"/>
      <c r="BT83" s="76"/>
      <c r="BU83" s="76"/>
      <c r="BV83" s="76"/>
      <c r="BW83" s="76"/>
      <c r="BX83" s="117">
        <f>IF(CG57=17,8)</f>
        <v>8</v>
      </c>
      <c r="BY83" s="118"/>
      <c r="BZ83" s="118"/>
      <c r="CA83" s="119"/>
      <c r="CB83" s="119"/>
      <c r="CC83" s="119"/>
      <c r="CD83" s="119"/>
      <c r="CE83" s="119"/>
      <c r="CF83" s="119"/>
      <c r="CG83" s="119"/>
      <c r="CH83" s="140"/>
      <c r="CI83" s="119"/>
      <c r="CJ83" s="141"/>
      <c r="CK83" s="119"/>
      <c r="CL83" s="119"/>
      <c r="CM83" s="119"/>
      <c r="CN83" s="118"/>
      <c r="CO83" s="118"/>
      <c r="CP83" s="103">
        <f>IF(CG57=17,26)</f>
        <v>26</v>
      </c>
      <c r="CQ83" s="78"/>
      <c r="CR83" s="78"/>
      <c r="CS83" s="78"/>
      <c r="CT83" s="78"/>
      <c r="CU83" s="78"/>
      <c r="CV83" s="78"/>
      <c r="CW83" s="78"/>
      <c r="CX83" s="78"/>
      <c r="CY83" s="78"/>
      <c r="CZ83" s="78"/>
      <c r="DA83" s="78"/>
      <c r="DB83" s="78"/>
      <c r="DC83" s="78"/>
      <c r="DD83" s="78"/>
    </row>
    <row r="84" spans="2:108" ht="85" hidden="1" thickBot="1" x14ac:dyDescent="0.25">
      <c r="E84" s="397"/>
      <c r="F84" s="397"/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U84" s="114"/>
      <c r="AB84" s="114"/>
      <c r="AC84" s="114"/>
      <c r="AD84" s="114"/>
      <c r="AE84" s="114"/>
      <c r="BE84" s="136"/>
      <c r="BF84" s="136"/>
      <c r="BG84" s="136"/>
      <c r="BH84" s="136"/>
      <c r="BN84" s="86"/>
      <c r="BO84" s="1091"/>
      <c r="BP84" s="1582">
        <v>16</v>
      </c>
      <c r="BQ84" s="76"/>
      <c r="BR84" s="76"/>
      <c r="BS84" s="76"/>
      <c r="BT84" s="76"/>
      <c r="BU84" s="76"/>
      <c r="BV84" s="145" t="b">
        <f>IF(CF57=16,6)</f>
        <v>0</v>
      </c>
      <c r="BW84" s="146"/>
      <c r="BX84" s="147"/>
      <c r="BY84" s="147"/>
      <c r="BZ84" s="146"/>
      <c r="CA84" s="146"/>
      <c r="CB84" s="146"/>
      <c r="CC84" s="146"/>
      <c r="CD84" s="146"/>
      <c r="CE84" s="146"/>
      <c r="CF84" s="146"/>
      <c r="CG84" s="146"/>
      <c r="CH84" s="148"/>
      <c r="CI84" s="146"/>
      <c r="CJ84" s="149"/>
      <c r="CK84" s="146"/>
      <c r="CL84" s="146"/>
      <c r="CM84" s="147"/>
      <c r="CN84" s="147"/>
      <c r="CO84" s="150"/>
      <c r="CP84" s="151" t="b">
        <f>IF(CF57=16,26)</f>
        <v>0</v>
      </c>
      <c r="CQ84" s="78"/>
      <c r="CR84" s="78"/>
      <c r="CS84" s="78"/>
      <c r="CT84" s="78"/>
      <c r="CU84" s="78"/>
      <c r="CV84" s="78"/>
      <c r="CW84" s="78"/>
      <c r="CX84" s="78"/>
      <c r="CY84" s="78"/>
      <c r="CZ84" s="78"/>
      <c r="DA84" s="78"/>
      <c r="DB84" s="78"/>
      <c r="DC84" s="78"/>
      <c r="DD84" s="78"/>
    </row>
    <row r="85" spans="2:108" ht="145" hidden="1" thickBot="1" x14ac:dyDescent="0.3">
      <c r="E85" s="397"/>
      <c r="F85" s="397"/>
      <c r="G85" s="998"/>
      <c r="H85"/>
      <c r="I85"/>
      <c r="J85" s="1067" t="s">
        <v>260</v>
      </c>
      <c r="K85" s="1052">
        <f>+MIN(J19:K20)</f>
        <v>29.651593773165306</v>
      </c>
      <c r="L85" s="1051">
        <f>+$E$20/(BQ25)</f>
        <v>29.651593773165306</v>
      </c>
      <c r="M85" s="1051">
        <f>+MIN(K25:L26)</f>
        <v>29.651593773165306</v>
      </c>
      <c r="N85"/>
      <c r="O85" s="995"/>
      <c r="U85" s="114"/>
      <c r="AB85" s="114"/>
      <c r="AC85" s="114"/>
      <c r="AD85" s="114"/>
      <c r="AE85" s="114"/>
      <c r="BE85" s="136"/>
      <c r="BF85" s="136"/>
      <c r="BG85" s="136"/>
      <c r="BH85" s="136"/>
      <c r="BN85" s="86"/>
      <c r="BO85" s="1091"/>
      <c r="BP85" s="1582">
        <v>15</v>
      </c>
      <c r="BQ85" s="76"/>
      <c r="BR85" s="76"/>
      <c r="BS85" s="76"/>
      <c r="BT85" s="117" t="b">
        <f>IF(CE57=15,4)</f>
        <v>0</v>
      </c>
      <c r="BU85" s="119"/>
      <c r="BV85" s="119"/>
      <c r="BW85" s="119"/>
      <c r="BX85" s="118"/>
      <c r="BY85" s="119"/>
      <c r="BZ85" s="119"/>
      <c r="CA85" s="118"/>
      <c r="CB85" s="119"/>
      <c r="CC85" s="119"/>
      <c r="CD85" s="119"/>
      <c r="CE85" s="119"/>
      <c r="CF85" s="119"/>
      <c r="CG85" s="119"/>
      <c r="CH85" s="140"/>
      <c r="CI85" s="118"/>
      <c r="CJ85" s="141"/>
      <c r="CK85" s="119"/>
      <c r="CL85" s="118"/>
      <c r="CM85" s="119"/>
      <c r="CN85" s="119"/>
      <c r="CO85" s="111"/>
      <c r="CP85" s="103" t="b">
        <f>IF(CE57=15,26)</f>
        <v>0</v>
      </c>
      <c r="CQ85" s="78"/>
      <c r="CR85" s="78"/>
      <c r="CS85" s="78"/>
      <c r="CT85" s="78"/>
      <c r="CU85" s="78"/>
      <c r="CV85" s="78"/>
      <c r="CW85" s="78"/>
      <c r="CX85" s="78"/>
      <c r="CY85" s="78"/>
      <c r="CZ85" s="78"/>
      <c r="DA85" s="78"/>
      <c r="DB85" s="78"/>
      <c r="DC85" s="78"/>
      <c r="DD85" s="78"/>
    </row>
    <row r="86" spans="2:108" ht="21" hidden="1" thickBot="1" x14ac:dyDescent="0.25">
      <c r="E86" s="397"/>
      <c r="F86" s="397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U86" s="114"/>
      <c r="AB86" s="114"/>
      <c r="AC86" s="114"/>
      <c r="AD86" s="114"/>
      <c r="AE86" s="114"/>
      <c r="BE86" s="136"/>
      <c r="BF86" s="136"/>
      <c r="BG86" s="136"/>
      <c r="BH86" s="136"/>
      <c r="BN86" s="86"/>
      <c r="BO86" s="1091"/>
      <c r="BP86" s="1582">
        <v>14</v>
      </c>
      <c r="BQ86" s="76"/>
      <c r="BR86" s="117" t="b">
        <f>IF(CD57=14,2)</f>
        <v>0</v>
      </c>
      <c r="BS86" s="119"/>
      <c r="BT86" s="119"/>
      <c r="BU86" s="119"/>
      <c r="BV86" s="118"/>
      <c r="BW86" s="119"/>
      <c r="BX86" s="119"/>
      <c r="BY86" s="118"/>
      <c r="BZ86" s="119"/>
      <c r="CA86" s="119"/>
      <c r="CB86" s="119"/>
      <c r="CC86" s="119"/>
      <c r="CD86" s="119"/>
      <c r="CE86" s="119"/>
      <c r="CF86" s="119"/>
      <c r="CG86" s="119"/>
      <c r="CH86" s="140"/>
      <c r="CI86" s="118"/>
      <c r="CJ86" s="141"/>
      <c r="CK86" s="119"/>
      <c r="CL86" s="118"/>
      <c r="CM86" s="119"/>
      <c r="CN86" s="119"/>
      <c r="CO86" s="111"/>
      <c r="CP86" s="103" t="b">
        <f>IF(CD57=14,26)</f>
        <v>0</v>
      </c>
      <c r="CQ86" s="78"/>
      <c r="CR86" s="78"/>
      <c r="CS86" s="78"/>
      <c r="CT86" s="78"/>
      <c r="CU86" s="78"/>
      <c r="CV86" s="78"/>
      <c r="CW86" s="78"/>
      <c r="CX86" s="78"/>
      <c r="CY86" s="78"/>
      <c r="CZ86" s="78"/>
      <c r="DA86" s="78"/>
      <c r="DB86" s="78"/>
      <c r="DC86" s="78"/>
      <c r="DD86" s="78"/>
    </row>
    <row r="87" spans="2:108" ht="21" hidden="1" thickBot="1" x14ac:dyDescent="0.25">
      <c r="E87" s="397"/>
      <c r="F87" s="397"/>
      <c r="G87" s="998"/>
      <c r="H87"/>
      <c r="I87"/>
      <c r="J87"/>
      <c r="K87"/>
      <c r="L87"/>
      <c r="M87"/>
      <c r="N87"/>
      <c r="O87" s="995"/>
      <c r="U87" s="114"/>
      <c r="AB87" s="114"/>
      <c r="AC87" s="114"/>
      <c r="AD87" s="114"/>
      <c r="AE87" s="114"/>
      <c r="BE87" s="136"/>
      <c r="BF87" s="136"/>
      <c r="BG87" s="136"/>
      <c r="BH87" s="136"/>
      <c r="BN87" s="86"/>
      <c r="BO87" s="1091"/>
      <c r="BP87" s="1582">
        <v>13</v>
      </c>
      <c r="BQ87" s="76"/>
      <c r="BR87" s="76"/>
      <c r="BS87" s="76"/>
      <c r="BU87" s="152"/>
      <c r="BV87" s="152"/>
      <c r="BW87" s="91"/>
      <c r="BX87" s="152"/>
      <c r="BY87" s="120" t="b">
        <f>IF(CC57=13,9)</f>
        <v>0</v>
      </c>
      <c r="BZ87" s="123"/>
      <c r="CA87" s="123"/>
      <c r="CB87" s="123"/>
      <c r="CC87" s="123"/>
      <c r="CD87" s="123"/>
      <c r="CE87" s="123"/>
      <c r="CF87" s="123"/>
      <c r="CG87" s="124" t="b">
        <f>IF(CC57=13,17)</f>
        <v>0</v>
      </c>
      <c r="CH87" s="153"/>
      <c r="CI87" s="91"/>
      <c r="CJ87" s="154"/>
      <c r="CK87" s="152"/>
      <c r="CM87" s="76"/>
      <c r="CN87" s="76"/>
      <c r="CO87" s="78"/>
      <c r="CP87" s="78"/>
      <c r="CQ87" s="78"/>
      <c r="CR87" s="78"/>
      <c r="CS87" s="78"/>
      <c r="CT87" s="78"/>
      <c r="CU87" s="78"/>
      <c r="CV87" s="78"/>
      <c r="CW87" s="78"/>
      <c r="CX87" s="78"/>
      <c r="CY87" s="78"/>
      <c r="CZ87" s="78"/>
      <c r="DA87" s="78"/>
      <c r="DB87" s="78"/>
      <c r="DC87" s="78"/>
      <c r="DD87" s="78"/>
    </row>
    <row r="88" spans="2:108" ht="21" hidden="1" thickBot="1" x14ac:dyDescent="0.25">
      <c r="E88" s="397"/>
      <c r="F88" s="397"/>
      <c r="G88" s="998"/>
      <c r="H88"/>
      <c r="I88"/>
      <c r="J88"/>
      <c r="K88"/>
      <c r="L88"/>
      <c r="M88"/>
      <c r="N88"/>
      <c r="O88" s="995"/>
      <c r="U88" s="114"/>
      <c r="AB88" s="114"/>
      <c r="AC88" s="114"/>
      <c r="AD88" s="114"/>
      <c r="AE88" s="114"/>
      <c r="BE88" s="136"/>
      <c r="BF88" s="136"/>
      <c r="BG88" s="136"/>
      <c r="BH88" s="136"/>
      <c r="BN88" s="86"/>
      <c r="BO88" s="1091"/>
      <c r="BP88" s="1582">
        <v>12</v>
      </c>
      <c r="BQ88" s="76"/>
      <c r="BS88" s="139"/>
      <c r="BT88" s="139"/>
      <c r="BU88" s="142"/>
      <c r="BV88" s="139"/>
      <c r="BW88" s="117" t="b">
        <f>IF(CB57=12,7)</f>
        <v>0</v>
      </c>
      <c r="BX88" s="119"/>
      <c r="BY88" s="119"/>
      <c r="BZ88" s="119"/>
      <c r="CA88" s="119"/>
      <c r="CB88" s="119"/>
      <c r="CC88" s="119"/>
      <c r="CD88" s="119"/>
      <c r="CE88" s="119"/>
      <c r="CF88" s="119"/>
      <c r="CG88" s="103" t="b">
        <f>IF(CB57=12,17)</f>
        <v>0</v>
      </c>
      <c r="CH88" s="155"/>
      <c r="CI88" s="142"/>
      <c r="CJ88" s="156"/>
      <c r="CK88" s="139"/>
      <c r="CM88" s="76"/>
      <c r="CN88" s="76"/>
      <c r="CO88" s="78"/>
      <c r="CP88" s="78"/>
      <c r="CQ88" s="78"/>
      <c r="CR88" s="78"/>
      <c r="CS88" s="78"/>
      <c r="CT88" s="78"/>
      <c r="CU88" s="78"/>
      <c r="CV88" s="78"/>
      <c r="CW88" s="78"/>
      <c r="CX88" s="78"/>
      <c r="CY88" s="78"/>
      <c r="CZ88" s="78"/>
      <c r="DA88" s="78"/>
      <c r="DB88" s="78"/>
      <c r="DC88" s="78"/>
      <c r="DD88" s="78"/>
    </row>
    <row r="89" spans="2:108" ht="21" hidden="1" thickBot="1" x14ac:dyDescent="0.25">
      <c r="D89" s="397"/>
      <c r="E89" s="397"/>
      <c r="F89" s="397"/>
      <c r="G89" s="998"/>
      <c r="H89"/>
      <c r="I89"/>
      <c r="J89"/>
      <c r="K89"/>
      <c r="L89"/>
      <c r="M89"/>
      <c r="N89"/>
      <c r="O89" s="995"/>
      <c r="U89" s="114"/>
      <c r="AB89" s="114"/>
      <c r="AC89" s="114"/>
      <c r="AD89" s="114"/>
      <c r="AE89" s="114"/>
      <c r="BE89" s="136"/>
      <c r="BF89" s="136"/>
      <c r="BG89" s="136"/>
      <c r="BH89" s="136"/>
      <c r="BN89" s="86"/>
      <c r="BO89" s="1091"/>
      <c r="BP89" s="1582">
        <v>11</v>
      </c>
      <c r="BR89" s="152"/>
      <c r="BS89" s="91"/>
      <c r="BT89" s="152"/>
      <c r="BU89" s="117" t="b">
        <f>IF(CA57=11,5)</f>
        <v>0</v>
      </c>
      <c r="BV89" s="119"/>
      <c r="BW89" s="119"/>
      <c r="BX89" s="119"/>
      <c r="BY89" s="119"/>
      <c r="BZ89" s="119"/>
      <c r="CA89" s="119"/>
      <c r="CB89" s="119"/>
      <c r="CC89" s="119"/>
      <c r="CD89" s="119"/>
      <c r="CE89" s="119"/>
      <c r="CF89" s="119"/>
      <c r="CG89" s="103" t="b">
        <f>IF(CA57=11,17)</f>
        <v>0</v>
      </c>
      <c r="CH89" s="153"/>
      <c r="CI89" s="91"/>
      <c r="CJ89" s="154"/>
      <c r="CL89" s="76"/>
      <c r="CM89" s="76"/>
      <c r="CN89" s="76"/>
      <c r="CO89" s="78"/>
      <c r="CP89" s="78"/>
      <c r="CQ89" s="78"/>
      <c r="CR89" s="78"/>
      <c r="CS89" s="78"/>
      <c r="CT89" s="78"/>
      <c r="CU89" s="78"/>
      <c r="CV89" s="78"/>
      <c r="CW89" s="78"/>
      <c r="CX89" s="78"/>
      <c r="CY89" s="78"/>
      <c r="CZ89" s="78"/>
      <c r="DA89" s="78"/>
      <c r="DB89" s="78"/>
      <c r="DC89" s="78"/>
      <c r="DD89" s="78"/>
    </row>
    <row r="90" spans="2:108" ht="21" hidden="1" thickBot="1" x14ac:dyDescent="0.25">
      <c r="B90" s="399"/>
      <c r="C90" s="399"/>
      <c r="D90" s="397"/>
      <c r="E90" s="397"/>
      <c r="F90" s="397"/>
      <c r="G90" s="998"/>
      <c r="H90"/>
      <c r="I90"/>
      <c r="J90"/>
      <c r="K90"/>
      <c r="L90"/>
      <c r="M90"/>
      <c r="N90"/>
      <c r="O90" s="995"/>
      <c r="U90" s="114"/>
      <c r="AB90" s="114"/>
      <c r="AC90" s="114"/>
      <c r="AD90" s="114"/>
      <c r="AE90" s="114"/>
      <c r="BE90" s="136"/>
      <c r="BF90" s="136"/>
      <c r="BG90" s="136"/>
      <c r="BH90" s="136"/>
      <c r="BN90" s="86"/>
      <c r="BO90" s="1091"/>
      <c r="BP90" s="1582">
        <v>10</v>
      </c>
      <c r="BR90" s="152"/>
      <c r="BS90" s="117" t="b">
        <f>IF(BZ57=10,3)</f>
        <v>0</v>
      </c>
      <c r="BT90" s="119"/>
      <c r="BU90" s="119"/>
      <c r="BV90" s="119"/>
      <c r="BW90" s="119"/>
      <c r="BX90" s="119"/>
      <c r="BY90" s="119"/>
      <c r="BZ90" s="119"/>
      <c r="CA90" s="119"/>
      <c r="CB90" s="119"/>
      <c r="CC90" s="119"/>
      <c r="CD90" s="119"/>
      <c r="CE90" s="119"/>
      <c r="CF90" s="119"/>
      <c r="CG90" s="103" t="b">
        <f>IF(BZ57=10,17)</f>
        <v>0</v>
      </c>
      <c r="CH90" s="153"/>
      <c r="CJ90" s="157"/>
      <c r="CK90" s="76"/>
      <c r="CL90" s="76"/>
      <c r="CM90" s="76"/>
      <c r="CN90" s="76"/>
      <c r="CO90" s="78"/>
      <c r="CP90" s="78"/>
      <c r="CQ90" s="78"/>
      <c r="CR90" s="78"/>
      <c r="CS90" s="78"/>
      <c r="CT90" s="78"/>
      <c r="CU90" s="78"/>
      <c r="CV90" s="78"/>
      <c r="CW90" s="78"/>
      <c r="CX90" s="78"/>
      <c r="CY90" s="78"/>
      <c r="CZ90" s="78"/>
      <c r="DA90" s="78"/>
      <c r="DB90" s="78"/>
      <c r="DC90" s="78"/>
      <c r="DD90" s="78"/>
    </row>
    <row r="91" spans="2:108" ht="21" hidden="1" thickBot="1" x14ac:dyDescent="0.25">
      <c r="B91" s="399"/>
      <c r="C91" s="399"/>
      <c r="D91" s="397"/>
      <c r="E91" s="397"/>
      <c r="F91" s="397"/>
      <c r="G91" s="998"/>
      <c r="H91"/>
      <c r="I91"/>
      <c r="J91"/>
      <c r="K91"/>
      <c r="L91"/>
      <c r="M91"/>
      <c r="N91"/>
      <c r="O91" s="995"/>
      <c r="U91" s="114"/>
      <c r="AB91" s="114"/>
      <c r="AC91" s="114"/>
      <c r="AD91" s="114"/>
      <c r="AE91" s="114"/>
      <c r="BF91" s="136"/>
      <c r="BG91" s="136"/>
      <c r="BH91" s="136"/>
      <c r="BN91" s="86"/>
      <c r="BO91" s="1091"/>
      <c r="BP91" s="1582">
        <v>9</v>
      </c>
      <c r="BQ91" s="117" t="b">
        <f>IF(BY57=9,1)</f>
        <v>0</v>
      </c>
      <c r="BR91" s="119"/>
      <c r="BS91" s="119"/>
      <c r="BT91" s="119"/>
      <c r="BU91" s="119"/>
      <c r="BV91" s="119"/>
      <c r="BW91" s="119"/>
      <c r="BX91" s="119"/>
      <c r="BY91" s="119"/>
      <c r="BZ91" s="119"/>
      <c r="CA91" s="119"/>
      <c r="CB91" s="119"/>
      <c r="CC91" s="119"/>
      <c r="CD91" s="119"/>
      <c r="CE91" s="119"/>
      <c r="CF91" s="119"/>
      <c r="CG91" s="103" t="b">
        <f>IF(BY57=9,17)</f>
        <v>0</v>
      </c>
      <c r="CH91" s="76"/>
      <c r="CI91" s="76"/>
      <c r="CJ91" s="157"/>
      <c r="CK91" s="76"/>
      <c r="CL91" s="76"/>
      <c r="CM91" s="76"/>
      <c r="CN91" s="76"/>
      <c r="CO91" s="78"/>
      <c r="CP91" s="78"/>
      <c r="CQ91" s="78"/>
      <c r="CR91" s="78"/>
      <c r="CS91" s="78"/>
      <c r="CT91" s="78"/>
      <c r="CU91" s="78"/>
      <c r="CV91" s="78"/>
      <c r="CW91" s="78"/>
      <c r="CX91" s="78"/>
      <c r="CY91" s="78"/>
      <c r="CZ91" s="78"/>
      <c r="DA91" s="78"/>
      <c r="DB91" s="78"/>
      <c r="DC91" s="78"/>
      <c r="DD91" s="78"/>
    </row>
    <row r="92" spans="2:108" ht="21" hidden="1" thickBot="1" x14ac:dyDescent="0.25">
      <c r="B92" s="401"/>
      <c r="E92" s="397"/>
      <c r="F92" s="397"/>
      <c r="G92" s="998"/>
      <c r="H92"/>
      <c r="I92"/>
      <c r="J92"/>
      <c r="K92"/>
      <c r="L92"/>
      <c r="M92"/>
      <c r="N92"/>
      <c r="O92" s="995"/>
      <c r="U92" s="114"/>
      <c r="AB92" s="114"/>
      <c r="AC92" s="114"/>
      <c r="AD92" s="114"/>
      <c r="AE92" s="114"/>
      <c r="BE92" s="136"/>
      <c r="BF92" s="136"/>
      <c r="BG92" s="136"/>
      <c r="BH92" s="136"/>
      <c r="BN92" s="86"/>
      <c r="BO92" s="1091"/>
      <c r="BP92" s="1582">
        <v>8</v>
      </c>
      <c r="BQ92" s="117" t="b">
        <f>IF(BX57=8,1)</f>
        <v>0</v>
      </c>
      <c r="BR92" s="119"/>
      <c r="BS92" s="118"/>
      <c r="BT92" s="119"/>
      <c r="BU92" s="119"/>
      <c r="BV92" s="119"/>
      <c r="BW92" s="119"/>
      <c r="BX92" s="119"/>
      <c r="BY92" s="119"/>
      <c r="BZ92" s="119"/>
      <c r="CA92" s="119"/>
      <c r="CB92" s="119"/>
      <c r="CC92" s="118"/>
      <c r="CD92" s="119"/>
      <c r="CE92" s="103" t="b">
        <f>IF(BX57=8,15)</f>
        <v>0</v>
      </c>
      <c r="CF92" s="76"/>
      <c r="CG92" s="76"/>
      <c r="CH92" s="158"/>
      <c r="CI92" s="76"/>
      <c r="CJ92" s="157"/>
      <c r="CK92" s="76"/>
      <c r="CL92" s="76"/>
      <c r="CM92" s="76"/>
      <c r="CN92" s="76"/>
      <c r="CO92" s="78"/>
      <c r="CP92" s="78"/>
      <c r="CQ92" s="78"/>
      <c r="CR92" s="78"/>
      <c r="CS92" s="78"/>
      <c r="CT92" s="78"/>
      <c r="CU92" s="78"/>
      <c r="CV92" s="78"/>
      <c r="CW92" s="78"/>
      <c r="CX92" s="78"/>
      <c r="CY92" s="78"/>
      <c r="CZ92" s="78"/>
      <c r="DA92" s="78"/>
      <c r="DB92" s="78"/>
      <c r="DC92" s="78"/>
      <c r="DD92" s="78"/>
    </row>
    <row r="93" spans="2:108" ht="21" hidden="1" thickBot="1" x14ac:dyDescent="0.25">
      <c r="B93" s="399"/>
      <c r="C93" s="399"/>
      <c r="D93" s="397"/>
      <c r="E93" s="397"/>
      <c r="F93" s="397"/>
      <c r="G93" s="998"/>
      <c r="H93"/>
      <c r="I93"/>
      <c r="J93"/>
      <c r="K93"/>
      <c r="L93"/>
      <c r="M93"/>
      <c r="N93"/>
      <c r="O93" s="995"/>
      <c r="U93" s="114"/>
      <c r="AB93" s="114"/>
      <c r="AC93" s="114"/>
      <c r="AD93" s="114"/>
      <c r="AE93" s="114"/>
      <c r="BF93" s="136"/>
      <c r="BG93" s="136"/>
      <c r="BH93" s="136"/>
      <c r="BN93" s="86"/>
      <c r="BO93" s="1091"/>
      <c r="BP93" s="1582">
        <v>7</v>
      </c>
      <c r="BQ93" s="117" t="b">
        <f>IF(BW57=7,1)</f>
        <v>0</v>
      </c>
      <c r="BR93" s="118"/>
      <c r="BS93" s="119"/>
      <c r="BT93" s="119"/>
      <c r="BU93" s="119"/>
      <c r="BV93" s="119"/>
      <c r="BW93" s="119"/>
      <c r="BX93" s="119"/>
      <c r="BY93" s="119"/>
      <c r="BZ93" s="119"/>
      <c r="CA93" s="118"/>
      <c r="CB93" s="118"/>
      <c r="CC93" s="103" t="b">
        <f>IF(BW57=7,13)</f>
        <v>0</v>
      </c>
      <c r="CD93" s="76"/>
      <c r="CE93" s="76"/>
      <c r="CF93" s="76"/>
      <c r="CG93" s="76"/>
      <c r="CH93" s="158"/>
      <c r="CI93" s="76"/>
      <c r="CJ93" s="157"/>
      <c r="CK93" s="76"/>
      <c r="CL93" s="76"/>
      <c r="CM93" s="76"/>
      <c r="CN93" s="76"/>
      <c r="CO93" s="78"/>
      <c r="CP93" s="78"/>
      <c r="CQ93" s="78"/>
      <c r="CR93" s="78"/>
      <c r="CS93" s="78"/>
      <c r="CT93" s="78"/>
      <c r="CU93" s="78"/>
      <c r="CV93" s="78"/>
      <c r="CW93" s="78"/>
      <c r="CX93" s="78"/>
      <c r="CY93" s="78"/>
      <c r="CZ93" s="78"/>
      <c r="DA93" s="78"/>
      <c r="DB93" s="78"/>
      <c r="DC93" s="78"/>
      <c r="DD93" s="78"/>
    </row>
    <row r="94" spans="2:108" ht="21" hidden="1" thickBot="1" x14ac:dyDescent="0.25">
      <c r="B94" s="399"/>
      <c r="C94" s="399"/>
      <c r="D94" s="397"/>
      <c r="E94" s="397"/>
      <c r="F94" s="397"/>
      <c r="G94" s="998"/>
      <c r="H94"/>
      <c r="I94"/>
      <c r="J94"/>
      <c r="K94"/>
      <c r="L94"/>
      <c r="M94"/>
      <c r="N94"/>
      <c r="O94" s="995"/>
      <c r="U94" s="114"/>
      <c r="AB94" s="114"/>
      <c r="AC94" s="114"/>
      <c r="AD94" s="114"/>
      <c r="AE94" s="114"/>
      <c r="BF94" s="136"/>
      <c r="BG94" s="136"/>
      <c r="BH94" s="136"/>
      <c r="BN94" s="86"/>
      <c r="BO94" s="1091"/>
      <c r="BP94" s="1582">
        <v>6</v>
      </c>
      <c r="BQ94" s="120" t="b">
        <f>IF(BV57=6,1)</f>
        <v>0</v>
      </c>
      <c r="BR94" s="123"/>
      <c r="BS94" s="123"/>
      <c r="BT94" s="123"/>
      <c r="BU94" s="123"/>
      <c r="BV94" s="123"/>
      <c r="BW94" s="123"/>
      <c r="BX94" s="123"/>
      <c r="BY94" s="123"/>
      <c r="BZ94" s="123"/>
      <c r="CA94" s="124" t="b">
        <f>IF(BV57=6,11)</f>
        <v>0</v>
      </c>
      <c r="CB94" s="76"/>
      <c r="CC94" s="76"/>
      <c r="CD94" s="76"/>
      <c r="CE94" s="76"/>
      <c r="CF94" s="76"/>
      <c r="CG94" s="76"/>
      <c r="CH94" s="158"/>
      <c r="CI94" s="76"/>
      <c r="CJ94" s="157"/>
      <c r="CK94" s="76"/>
      <c r="CL94" s="76"/>
      <c r="CM94" s="76"/>
      <c r="CN94" s="76"/>
      <c r="CO94" s="78"/>
      <c r="CP94" s="78"/>
      <c r="CQ94" s="78"/>
      <c r="CR94" s="78"/>
      <c r="CS94" s="78"/>
      <c r="CT94" s="78"/>
      <c r="CU94" s="78"/>
      <c r="CV94" s="78"/>
      <c r="CW94" s="78"/>
      <c r="CX94" s="78"/>
      <c r="CY94" s="78"/>
      <c r="CZ94" s="78"/>
      <c r="DA94" s="78"/>
      <c r="DB94" s="78"/>
      <c r="DC94" s="78"/>
      <c r="DD94" s="78"/>
    </row>
    <row r="95" spans="2:108" ht="21" hidden="1" thickBot="1" x14ac:dyDescent="0.25">
      <c r="B95" s="19"/>
      <c r="C95" s="399"/>
      <c r="D95" s="397"/>
      <c r="E95" s="19"/>
      <c r="F95" s="397"/>
      <c r="G95" s="998"/>
      <c r="H95"/>
      <c r="I95"/>
      <c r="J95"/>
      <c r="K95"/>
      <c r="L95"/>
      <c r="M95"/>
      <c r="N95"/>
      <c r="O95" s="995"/>
      <c r="U95" s="114"/>
      <c r="AB95" s="114"/>
      <c r="AC95" s="114"/>
      <c r="AD95" s="114"/>
      <c r="AE95" s="114"/>
      <c r="BE95" s="136"/>
      <c r="BF95" s="136"/>
      <c r="BG95" s="136"/>
      <c r="BH95" s="136"/>
      <c r="BN95" s="86"/>
      <c r="BO95" s="1091"/>
      <c r="BP95" s="1582">
        <v>5</v>
      </c>
      <c r="BQ95" s="120" t="b">
        <f>IF(BU57=5,1)</f>
        <v>0</v>
      </c>
      <c r="BR95" s="122"/>
      <c r="BS95" s="123"/>
      <c r="BT95" s="123"/>
      <c r="BU95" s="123"/>
      <c r="BV95" s="123"/>
      <c r="BW95" s="123"/>
      <c r="BX95" s="122"/>
      <c r="BY95" s="124" t="b">
        <f>IF(BU57=5,9)</f>
        <v>0</v>
      </c>
      <c r="BZ95" s="76"/>
      <c r="CA95" s="76"/>
      <c r="CB95" s="76"/>
      <c r="CC95" s="76"/>
      <c r="CD95" s="76"/>
      <c r="CE95" s="76"/>
      <c r="CF95" s="76"/>
      <c r="CG95" s="76"/>
      <c r="CH95" s="158"/>
      <c r="CI95" s="76"/>
      <c r="CJ95" s="157"/>
      <c r="CK95" s="76"/>
      <c r="CL95" s="76"/>
      <c r="CM95" s="76"/>
      <c r="CN95" s="76"/>
      <c r="CO95" s="78"/>
      <c r="CP95" s="78"/>
      <c r="CQ95" s="78"/>
      <c r="CR95" s="78"/>
      <c r="CS95" s="78"/>
      <c r="CT95" s="78"/>
      <c r="CU95" s="78"/>
      <c r="CV95" s="78"/>
      <c r="CW95" s="78"/>
      <c r="CX95" s="78"/>
      <c r="CY95" s="78"/>
      <c r="CZ95" s="78"/>
      <c r="DA95" s="78"/>
      <c r="DB95" s="78"/>
      <c r="DC95" s="78"/>
      <c r="DD95" s="78"/>
    </row>
    <row r="96" spans="2:108" ht="21" hidden="1" thickBot="1" x14ac:dyDescent="0.25">
      <c r="B96" s="399"/>
      <c r="C96" s="399"/>
      <c r="D96" s="397"/>
      <c r="E96" s="397"/>
      <c r="F96" s="397"/>
      <c r="G96" s="998"/>
      <c r="H96"/>
      <c r="I96"/>
      <c r="J96"/>
      <c r="K96"/>
      <c r="L96"/>
      <c r="M96"/>
      <c r="N96"/>
      <c r="O96" s="995"/>
      <c r="U96" s="114"/>
      <c r="AB96" s="114"/>
      <c r="AC96" s="114"/>
      <c r="AD96" s="114"/>
      <c r="AE96" s="114"/>
      <c r="BF96" s="136"/>
      <c r="BG96" s="136"/>
      <c r="BH96" s="136"/>
      <c r="BN96" s="86"/>
      <c r="BO96" s="1091"/>
      <c r="BP96" s="1582">
        <v>4</v>
      </c>
      <c r="BQ96" s="120" t="b">
        <f>IF(BT57=4,1)</f>
        <v>0</v>
      </c>
      <c r="BR96" s="123"/>
      <c r="BS96" s="123"/>
      <c r="BT96" s="123"/>
      <c r="BU96" s="123"/>
      <c r="BV96" s="123"/>
      <c r="BW96" s="124" t="b">
        <f>IF(BT57=4,7)</f>
        <v>0</v>
      </c>
      <c r="BX96" s="76"/>
      <c r="BY96" s="159"/>
      <c r="BZ96" s="159"/>
      <c r="CA96" s="76"/>
      <c r="CB96" s="159"/>
      <c r="CC96" s="76"/>
      <c r="CD96" s="76"/>
      <c r="CE96" s="76"/>
      <c r="CF96" s="76"/>
      <c r="CG96" s="76"/>
      <c r="CH96" s="158"/>
      <c r="CI96" s="76"/>
      <c r="CJ96" s="157"/>
      <c r="CK96" s="76"/>
      <c r="CL96" s="76"/>
      <c r="CM96" s="76"/>
      <c r="CN96" s="76"/>
      <c r="CO96" s="78"/>
      <c r="CP96" s="78"/>
      <c r="CQ96" s="78"/>
      <c r="CR96" s="78"/>
      <c r="CS96" s="78"/>
      <c r="CT96" s="78"/>
      <c r="CU96" s="78"/>
      <c r="CV96" s="78"/>
      <c r="CW96" s="78"/>
      <c r="CX96" s="78"/>
      <c r="CY96" s="78"/>
      <c r="CZ96" s="78"/>
      <c r="DA96" s="78"/>
      <c r="DB96" s="78"/>
      <c r="DC96" s="78"/>
      <c r="DD96" s="78"/>
    </row>
    <row r="97" spans="2:108" ht="21" hidden="1" thickBot="1" x14ac:dyDescent="0.25">
      <c r="B97" s="399"/>
      <c r="C97" s="399"/>
      <c r="D97" s="397"/>
      <c r="E97" s="397"/>
      <c r="F97" s="397"/>
      <c r="G97" s="998"/>
      <c r="H97"/>
      <c r="I97"/>
      <c r="J97"/>
      <c r="K97"/>
      <c r="L97"/>
      <c r="M97"/>
      <c r="N97"/>
      <c r="O97" s="995"/>
      <c r="U97" s="114"/>
      <c r="AB97" s="114"/>
      <c r="AC97" s="114"/>
      <c r="AD97" s="114"/>
      <c r="AE97" s="114"/>
      <c r="BE97" s="136"/>
      <c r="BF97" s="136"/>
      <c r="BG97" s="136"/>
      <c r="BH97" s="136"/>
      <c r="BN97" s="86"/>
      <c r="BO97" s="1091"/>
      <c r="BP97" s="1582">
        <v>3</v>
      </c>
      <c r="BQ97" s="120" t="b">
        <f>IF(BS57=3,1)</f>
        <v>0</v>
      </c>
      <c r="BR97" s="123"/>
      <c r="BS97" s="123"/>
      <c r="BT97" s="123"/>
      <c r="BU97" s="124" t="b">
        <f>IF(BS57=3,5)</f>
        <v>0</v>
      </c>
      <c r="BV97" s="76"/>
      <c r="BW97" s="76"/>
      <c r="BX97" s="76"/>
      <c r="BY97" s="76"/>
      <c r="BZ97" s="76"/>
      <c r="CA97" s="76"/>
      <c r="CB97" s="76"/>
      <c r="CC97" s="76"/>
      <c r="CD97" s="76"/>
      <c r="CE97" s="76"/>
      <c r="CF97" s="76"/>
      <c r="CG97" s="76"/>
      <c r="CH97" s="158"/>
      <c r="CI97" s="76"/>
      <c r="CJ97" s="157"/>
      <c r="CK97" s="76"/>
      <c r="CL97" s="76"/>
      <c r="CM97" s="76"/>
      <c r="CN97" s="76"/>
      <c r="CO97" s="78"/>
      <c r="CP97" s="78"/>
      <c r="CQ97" s="78"/>
      <c r="CR97" s="78"/>
      <c r="CS97" s="78"/>
      <c r="CT97" s="78"/>
      <c r="CU97" s="78"/>
      <c r="CV97" s="78"/>
      <c r="CW97" s="78"/>
      <c r="CX97" s="78"/>
      <c r="CY97" s="78"/>
      <c r="CZ97" s="78"/>
      <c r="DA97" s="78"/>
      <c r="DB97" s="78"/>
      <c r="DC97" s="78"/>
      <c r="DD97" s="78"/>
    </row>
    <row r="98" spans="2:108" ht="20" hidden="1" x14ac:dyDescent="0.2">
      <c r="E98" s="397"/>
      <c r="F98" s="397"/>
      <c r="G98" s="998"/>
      <c r="H98"/>
      <c r="I98"/>
      <c r="J98"/>
      <c r="K98"/>
      <c r="L98"/>
      <c r="M98"/>
      <c r="N98"/>
      <c r="O98" s="995"/>
      <c r="U98" s="114"/>
      <c r="AB98" s="114"/>
      <c r="AC98" s="114"/>
      <c r="AD98" s="114"/>
      <c r="AE98" s="114"/>
      <c r="BE98" s="136"/>
      <c r="BF98" s="136"/>
      <c r="BG98" s="136"/>
      <c r="BH98" s="136"/>
      <c r="BN98" s="86"/>
      <c r="BO98" s="1091"/>
      <c r="BP98" s="1582">
        <v>2</v>
      </c>
      <c r="BQ98" s="160" t="b">
        <f>IF(BR57=2,1)</f>
        <v>0</v>
      </c>
      <c r="BR98" s="161"/>
      <c r="BS98" s="162" t="b">
        <f>IF(BR57=2,3)</f>
        <v>0</v>
      </c>
      <c r="BT98" s="76"/>
      <c r="BU98" s="76"/>
      <c r="BV98" s="76"/>
      <c r="BW98" s="76"/>
      <c r="BX98" s="76"/>
      <c r="BY98" s="76"/>
      <c r="BZ98" s="76"/>
      <c r="CA98" s="76"/>
      <c r="CB98" s="76"/>
      <c r="CC98" s="76"/>
      <c r="CD98" s="76"/>
      <c r="CE98" s="76"/>
      <c r="CF98" s="76"/>
      <c r="CG98" s="76"/>
      <c r="CH98" s="158"/>
      <c r="CI98" s="76"/>
      <c r="CJ98" s="157"/>
      <c r="CK98" s="76"/>
      <c r="CL98" s="76"/>
      <c r="CM98" s="76"/>
      <c r="CN98" s="76"/>
      <c r="CO98" s="78"/>
      <c r="CP98" s="78"/>
      <c r="CQ98" s="78"/>
      <c r="CR98" s="78"/>
      <c r="CS98" s="78"/>
      <c r="CT98" s="78"/>
      <c r="CU98" s="78"/>
      <c r="CV98" s="78"/>
      <c r="CW98" s="78"/>
      <c r="CX98" s="78"/>
      <c r="CY98" s="78"/>
      <c r="CZ98" s="78"/>
      <c r="DA98" s="78"/>
      <c r="DB98" s="78"/>
      <c r="DC98" s="78"/>
      <c r="DD98" s="78"/>
    </row>
    <row r="99" spans="2:108" ht="21" hidden="1" thickBot="1" x14ac:dyDescent="0.25">
      <c r="E99" s="397"/>
      <c r="F99" s="397"/>
      <c r="G99" s="998"/>
      <c r="H99"/>
      <c r="I99"/>
      <c r="J99"/>
      <c r="K99"/>
      <c r="L99"/>
      <c r="M99"/>
      <c r="N99"/>
      <c r="O99" s="995"/>
      <c r="U99" s="114"/>
      <c r="AB99" s="114"/>
      <c r="AC99" s="114"/>
      <c r="AD99" s="114"/>
      <c r="AE99" s="114"/>
      <c r="BE99" s="136"/>
      <c r="BF99" s="136"/>
      <c r="BG99" s="136"/>
      <c r="BH99" s="136"/>
      <c r="BN99" s="86"/>
      <c r="BO99" s="1091"/>
      <c r="BP99" s="163"/>
      <c r="BQ99" s="164">
        <f>SUM(BQ64:BQ98)</f>
        <v>0</v>
      </c>
      <c r="BR99" s="164">
        <f t="shared" ref="BR99:DA99" si="3">SUM(BR64:BR98)</f>
        <v>0</v>
      </c>
      <c r="BS99" s="164">
        <f t="shared" si="3"/>
        <v>0</v>
      </c>
      <c r="BT99" s="164">
        <f t="shared" si="3"/>
        <v>0</v>
      </c>
      <c r="BU99" s="164">
        <f t="shared" si="3"/>
        <v>0</v>
      </c>
      <c r="BV99" s="164">
        <f t="shared" si="3"/>
        <v>0</v>
      </c>
      <c r="BW99" s="164">
        <f t="shared" si="3"/>
        <v>0</v>
      </c>
      <c r="BX99" s="164">
        <f t="shared" si="3"/>
        <v>8</v>
      </c>
      <c r="BY99" s="164">
        <f t="shared" si="3"/>
        <v>0</v>
      </c>
      <c r="BZ99" s="164">
        <f t="shared" si="3"/>
        <v>0</v>
      </c>
      <c r="CA99" s="164">
        <f t="shared" si="3"/>
        <v>0</v>
      </c>
      <c r="CB99" s="164">
        <f t="shared" si="3"/>
        <v>0</v>
      </c>
      <c r="CC99" s="164">
        <f t="shared" si="3"/>
        <v>0</v>
      </c>
      <c r="CD99" s="164">
        <f t="shared" si="3"/>
        <v>0</v>
      </c>
      <c r="CE99" s="164">
        <f t="shared" si="3"/>
        <v>0</v>
      </c>
      <c r="CF99" s="164">
        <f t="shared" si="3"/>
        <v>0</v>
      </c>
      <c r="CG99" s="165">
        <f t="shared" si="3"/>
        <v>0</v>
      </c>
      <c r="CH99" s="166"/>
      <c r="CI99" s="167"/>
      <c r="CJ99" s="168"/>
      <c r="CK99" s="169">
        <f t="shared" si="3"/>
        <v>0</v>
      </c>
      <c r="CL99" s="164">
        <f t="shared" si="3"/>
        <v>0</v>
      </c>
      <c r="CM99" s="164">
        <f t="shared" si="3"/>
        <v>0</v>
      </c>
      <c r="CN99" s="164">
        <f t="shared" si="3"/>
        <v>0</v>
      </c>
      <c r="CO99" s="164">
        <f t="shared" si="3"/>
        <v>0</v>
      </c>
      <c r="CP99" s="164">
        <f t="shared" si="3"/>
        <v>26</v>
      </c>
      <c r="CQ99" s="164">
        <f t="shared" si="3"/>
        <v>0</v>
      </c>
      <c r="CR99" s="164">
        <f t="shared" si="3"/>
        <v>0</v>
      </c>
      <c r="CS99" s="164">
        <f t="shared" si="3"/>
        <v>0</v>
      </c>
      <c r="CT99" s="164">
        <f t="shared" si="3"/>
        <v>0</v>
      </c>
      <c r="CU99" s="164">
        <f t="shared" si="3"/>
        <v>0</v>
      </c>
      <c r="CV99" s="164">
        <f t="shared" si="3"/>
        <v>0</v>
      </c>
      <c r="CW99" s="164">
        <f t="shared" si="3"/>
        <v>0</v>
      </c>
      <c r="CX99" s="164">
        <f t="shared" si="3"/>
        <v>0</v>
      </c>
      <c r="CY99" s="164">
        <f t="shared" si="3"/>
        <v>0</v>
      </c>
      <c r="CZ99" s="164">
        <f t="shared" si="3"/>
        <v>0</v>
      </c>
      <c r="DA99" s="164">
        <f t="shared" si="3"/>
        <v>0</v>
      </c>
      <c r="DB99" s="78"/>
      <c r="DC99" s="78"/>
      <c r="DD99" s="78"/>
    </row>
    <row r="100" spans="2:108" ht="20" hidden="1" x14ac:dyDescent="0.2">
      <c r="E100" s="397"/>
      <c r="F100" s="397"/>
      <c r="G100" s="998"/>
      <c r="H100"/>
      <c r="I100"/>
      <c r="J100"/>
      <c r="K100"/>
      <c r="L100"/>
      <c r="M100"/>
      <c r="N100"/>
      <c r="O100" s="995"/>
      <c r="U100" s="114"/>
      <c r="AB100" s="114"/>
      <c r="AC100" s="114"/>
      <c r="AD100" s="114"/>
      <c r="AE100" s="114"/>
      <c r="BE100" s="136"/>
      <c r="BF100" s="136"/>
      <c r="BG100" s="136"/>
      <c r="BH100" s="136"/>
      <c r="BN100" s="86"/>
      <c r="BO100" s="1091"/>
      <c r="BP100" s="163"/>
      <c r="BQ100" s="170"/>
      <c r="BR100" s="170"/>
      <c r="BS100" s="170"/>
      <c r="BT100" s="170"/>
      <c r="BU100" s="170"/>
      <c r="BV100" s="170"/>
      <c r="BW100" s="170"/>
      <c r="BX100" s="170"/>
      <c r="BY100" s="170"/>
      <c r="BZ100" s="170"/>
      <c r="CA100" s="170"/>
      <c r="CB100" s="170"/>
      <c r="CC100" s="170"/>
      <c r="CD100" s="170"/>
      <c r="CE100" s="170"/>
      <c r="CF100" s="170"/>
      <c r="CG100" s="170"/>
      <c r="CH100" s="170"/>
      <c r="CI100" s="170"/>
      <c r="CJ100" s="170"/>
      <c r="CK100" s="171"/>
      <c r="CL100" s="170"/>
      <c r="CM100" s="170"/>
      <c r="CN100" s="170"/>
      <c r="CO100" s="170"/>
      <c r="CP100" s="170"/>
      <c r="CQ100" s="170"/>
      <c r="CR100" s="170"/>
      <c r="CS100" s="170"/>
      <c r="CT100" s="170"/>
      <c r="CU100" s="170"/>
      <c r="CV100" s="170"/>
      <c r="CW100" s="170"/>
      <c r="CX100" s="170"/>
      <c r="CY100" s="170"/>
      <c r="CZ100" s="170"/>
      <c r="DA100" s="170"/>
      <c r="DB100" s="78"/>
      <c r="DC100" s="78"/>
      <c r="DD100" s="78"/>
    </row>
    <row r="101" spans="2:108" ht="20" hidden="1" x14ac:dyDescent="0.2">
      <c r="E101" s="397"/>
      <c r="F101" s="397"/>
      <c r="G101" s="998"/>
      <c r="H101"/>
      <c r="I101"/>
      <c r="J101"/>
      <c r="K101"/>
      <c r="L101"/>
      <c r="M101"/>
      <c r="N101"/>
      <c r="O101" s="995"/>
      <c r="U101" s="114"/>
      <c r="AB101" s="114"/>
      <c r="AC101" s="114"/>
      <c r="AD101" s="114"/>
      <c r="AE101" s="114"/>
      <c r="BE101" s="136"/>
      <c r="BF101" s="136"/>
      <c r="BG101" s="136"/>
      <c r="BH101" s="136"/>
      <c r="BN101" s="86"/>
      <c r="BO101" s="1091"/>
      <c r="BP101" s="163"/>
      <c r="BQ101" s="170"/>
      <c r="BR101" s="170"/>
      <c r="BS101" s="170"/>
      <c r="BT101" s="170"/>
      <c r="BU101" s="170"/>
      <c r="BV101" s="170"/>
      <c r="BW101" s="170"/>
      <c r="BX101" s="170"/>
      <c r="BY101" s="170"/>
      <c r="BZ101" s="170"/>
      <c r="CA101" s="170"/>
      <c r="CB101" s="170"/>
      <c r="CC101" s="170"/>
      <c r="CD101" s="170"/>
      <c r="CE101" s="170"/>
      <c r="CF101" s="170"/>
      <c r="CG101" s="170"/>
      <c r="CH101" s="170"/>
      <c r="CI101" s="170"/>
      <c r="CJ101" s="170"/>
      <c r="CK101" s="171"/>
      <c r="CL101" s="170"/>
      <c r="CM101" s="170"/>
      <c r="CN101" s="170"/>
      <c r="CO101" s="170"/>
      <c r="CP101" s="170"/>
      <c r="CQ101" s="170"/>
      <c r="CR101" s="170"/>
      <c r="CS101" s="170"/>
      <c r="CT101" s="170"/>
      <c r="CU101" s="170"/>
      <c r="CV101" s="170"/>
      <c r="CW101" s="170"/>
      <c r="CX101" s="170"/>
      <c r="CY101" s="170"/>
      <c r="CZ101" s="170"/>
      <c r="DA101" s="170"/>
      <c r="DB101" s="78"/>
      <c r="DC101" s="78"/>
      <c r="DD101" s="78"/>
    </row>
    <row r="102" spans="2:108" ht="20" hidden="1" x14ac:dyDescent="0.2">
      <c r="E102" s="397"/>
      <c r="F102" s="397"/>
      <c r="G102" s="998"/>
      <c r="H102"/>
      <c r="I102"/>
      <c r="J102"/>
      <c r="K102"/>
      <c r="L102"/>
      <c r="M102"/>
      <c r="N102"/>
      <c r="O102" s="995"/>
      <c r="U102" s="114"/>
      <c r="AB102" s="114"/>
      <c r="AC102" s="114"/>
      <c r="AD102" s="114"/>
      <c r="AE102" s="114"/>
      <c r="BE102" s="136"/>
      <c r="BF102" s="136"/>
      <c r="BG102" s="136"/>
      <c r="BH102" s="136"/>
      <c r="BN102" s="86"/>
      <c r="BO102" s="1091"/>
      <c r="BP102" s="163"/>
      <c r="BQ102" s="170"/>
      <c r="BR102" s="170"/>
      <c r="BS102" s="170"/>
      <c r="BT102" s="170"/>
      <c r="BU102" s="170"/>
      <c r="BV102" s="170"/>
      <c r="BW102" s="170"/>
      <c r="BX102" s="170"/>
      <c r="BY102" s="170"/>
      <c r="BZ102" s="170"/>
      <c r="CA102" s="170"/>
      <c r="CB102" s="170"/>
      <c r="CC102" s="170"/>
      <c r="CD102" s="170"/>
      <c r="CE102" s="170"/>
      <c r="CF102" s="170"/>
      <c r="CG102" s="170"/>
      <c r="CH102" s="170"/>
      <c r="CI102" s="170"/>
      <c r="CJ102" s="170"/>
      <c r="CK102" s="171"/>
      <c r="CL102" s="170"/>
      <c r="CM102" s="170"/>
      <c r="CN102" s="170"/>
      <c r="CO102" s="170"/>
      <c r="CP102" s="170"/>
      <c r="CQ102" s="170"/>
      <c r="CR102" s="170"/>
      <c r="CS102" s="170"/>
      <c r="CT102" s="170"/>
      <c r="CU102" s="170"/>
      <c r="CV102" s="170"/>
      <c r="CW102" s="170"/>
      <c r="CX102" s="170"/>
      <c r="CY102" s="170"/>
      <c r="CZ102" s="170"/>
      <c r="DA102" s="170"/>
      <c r="DB102" s="78"/>
      <c r="DC102" s="78"/>
      <c r="DD102" s="78"/>
    </row>
    <row r="103" spans="2:108" ht="20" hidden="1" x14ac:dyDescent="0.2">
      <c r="E103" s="397"/>
      <c r="F103" s="397"/>
      <c r="G103" s="998"/>
      <c r="H103"/>
      <c r="I103"/>
      <c r="J103"/>
      <c r="K103"/>
      <c r="L103"/>
      <c r="M103"/>
      <c r="N103"/>
      <c r="O103" s="995"/>
      <c r="U103" s="114"/>
      <c r="AB103" s="114"/>
      <c r="AC103" s="114"/>
      <c r="AD103" s="114"/>
      <c r="AE103" s="114"/>
      <c r="BE103" s="136"/>
      <c r="BF103" s="136"/>
      <c r="BG103" s="136"/>
      <c r="BH103" s="136"/>
      <c r="BN103" s="86"/>
      <c r="BO103" s="1091"/>
      <c r="BP103" s="163"/>
      <c r="BQ103" s="170"/>
      <c r="BR103" s="170"/>
      <c r="BS103" s="170"/>
      <c r="BT103" s="170"/>
      <c r="BU103" s="170"/>
      <c r="BV103" s="170"/>
      <c r="BW103" s="170"/>
      <c r="BX103" s="170"/>
      <c r="BY103" s="170"/>
      <c r="BZ103" s="170"/>
      <c r="CA103" s="170"/>
      <c r="CB103" s="170"/>
      <c r="CC103" s="170"/>
      <c r="CD103" s="170"/>
      <c r="CE103" s="170"/>
      <c r="CF103" s="170"/>
      <c r="CG103" s="170"/>
      <c r="CH103" s="170"/>
      <c r="CI103" s="170"/>
      <c r="CJ103" s="170"/>
      <c r="CK103" s="171"/>
      <c r="CL103" s="170"/>
      <c r="CM103" s="170"/>
      <c r="CN103" s="170"/>
      <c r="CO103" s="170"/>
      <c r="CP103" s="170"/>
      <c r="CQ103" s="170"/>
      <c r="CR103" s="170"/>
      <c r="CS103" s="170"/>
      <c r="CT103" s="170"/>
      <c r="CU103" s="170"/>
      <c r="CV103" s="170"/>
      <c r="CW103" s="170"/>
      <c r="CX103" s="170"/>
      <c r="CY103" s="170"/>
      <c r="CZ103" s="170"/>
      <c r="DA103" s="170"/>
      <c r="DB103" s="78"/>
      <c r="DC103" s="78"/>
      <c r="DD103" s="78"/>
    </row>
    <row r="104" spans="2:108" ht="20" hidden="1" x14ac:dyDescent="0.2">
      <c r="E104" s="397"/>
      <c r="F104" s="397"/>
      <c r="G104" s="998"/>
      <c r="H104"/>
      <c r="I104"/>
      <c r="J104"/>
      <c r="K104"/>
      <c r="L104"/>
      <c r="M104"/>
      <c r="N104"/>
      <c r="O104" s="995"/>
      <c r="U104" s="114"/>
      <c r="AB104" s="114"/>
      <c r="AC104" s="114"/>
      <c r="AD104" s="114"/>
      <c r="AE104" s="114"/>
      <c r="BE104" s="136"/>
      <c r="BF104" s="136"/>
      <c r="BG104" s="136"/>
      <c r="BH104" s="136"/>
      <c r="BN104" s="86"/>
      <c r="BO104" s="1091"/>
      <c r="BP104" s="163"/>
      <c r="BQ104" s="170"/>
      <c r="BR104" s="170"/>
      <c r="BS104" s="170"/>
      <c r="BT104" s="170"/>
      <c r="BU104" s="170"/>
      <c r="BV104" s="170"/>
      <c r="BW104" s="170"/>
      <c r="BX104" s="170"/>
      <c r="BY104" s="170"/>
      <c r="BZ104" s="170"/>
      <c r="CA104" s="170"/>
      <c r="CB104" s="170"/>
      <c r="CC104" s="170"/>
      <c r="CD104" s="170"/>
      <c r="CE104" s="170"/>
      <c r="CF104" s="170"/>
      <c r="CG104" s="170"/>
      <c r="CH104" s="170"/>
      <c r="CI104" s="170"/>
      <c r="CJ104" s="170"/>
      <c r="CK104" s="171"/>
      <c r="CL104" s="170"/>
      <c r="CM104" s="170"/>
      <c r="CN104" s="170"/>
      <c r="CO104" s="170"/>
      <c r="CP104" s="170"/>
      <c r="CQ104" s="170"/>
      <c r="CR104" s="170"/>
      <c r="CS104" s="170"/>
      <c r="CT104" s="170"/>
      <c r="CU104" s="170"/>
      <c r="CV104" s="170"/>
      <c r="CW104" s="170"/>
      <c r="CX104" s="170"/>
      <c r="CY104" s="170"/>
      <c r="CZ104" s="170"/>
      <c r="DA104" s="170"/>
      <c r="DB104" s="78"/>
      <c r="DC104" s="78"/>
      <c r="DD104" s="78"/>
    </row>
    <row r="105" spans="2:108" ht="20" hidden="1" x14ac:dyDescent="0.2">
      <c r="E105" s="397"/>
      <c r="F105" s="397"/>
      <c r="G105" s="998"/>
      <c r="H105"/>
      <c r="I105"/>
      <c r="J105"/>
      <c r="K105"/>
      <c r="L105"/>
      <c r="M105"/>
      <c r="N105"/>
      <c r="O105" s="995"/>
      <c r="U105" s="114"/>
      <c r="AB105" s="114"/>
      <c r="AC105" s="114"/>
      <c r="AD105" s="114"/>
      <c r="AE105" s="114"/>
      <c r="BE105" s="136"/>
      <c r="BF105" s="136"/>
      <c r="BG105" s="136"/>
      <c r="BH105" s="136"/>
      <c r="BN105" s="86"/>
      <c r="BO105" s="1091"/>
      <c r="BP105" s="163"/>
      <c r="BQ105" s="170"/>
      <c r="BR105" s="170"/>
      <c r="BS105" s="170"/>
      <c r="BT105" s="170"/>
      <c r="BU105" s="170"/>
      <c r="BV105" s="170"/>
      <c r="BW105" s="170"/>
      <c r="BX105" s="170"/>
      <c r="BY105" s="170"/>
      <c r="BZ105" s="170"/>
      <c r="CA105" s="170"/>
      <c r="CB105" s="170"/>
      <c r="CC105" s="170"/>
      <c r="CD105" s="170"/>
      <c r="CE105" s="170"/>
      <c r="CF105" s="170"/>
      <c r="CG105" s="170"/>
      <c r="CH105" s="170"/>
      <c r="CI105" s="170"/>
      <c r="CJ105" s="170"/>
      <c r="CK105" s="171"/>
      <c r="CL105" s="170"/>
      <c r="CM105" s="170"/>
      <c r="CN105" s="170"/>
      <c r="CO105" s="170"/>
      <c r="CP105" s="170"/>
      <c r="CQ105" s="170"/>
      <c r="CR105" s="170"/>
      <c r="CS105" s="170"/>
      <c r="CT105" s="170"/>
      <c r="CU105" s="170"/>
      <c r="CV105" s="170"/>
      <c r="CW105" s="170"/>
      <c r="CX105" s="170"/>
      <c r="CY105" s="170"/>
      <c r="CZ105" s="170"/>
      <c r="DA105" s="170"/>
      <c r="DB105" s="78"/>
      <c r="DC105" s="78"/>
      <c r="DD105" s="78"/>
    </row>
    <row r="106" spans="2:108" ht="20" hidden="1" x14ac:dyDescent="0.2">
      <c r="E106" s="397"/>
      <c r="F106" s="397"/>
      <c r="G106" s="998"/>
      <c r="H106"/>
      <c r="I106"/>
      <c r="J106"/>
      <c r="K106"/>
      <c r="L106"/>
      <c r="M106"/>
      <c r="N106"/>
      <c r="O106" s="995"/>
      <c r="U106" s="114"/>
      <c r="AB106" s="114"/>
      <c r="AC106" s="114"/>
      <c r="AD106" s="114"/>
      <c r="AE106" s="114"/>
      <c r="BE106" s="136"/>
      <c r="BF106" s="136"/>
      <c r="BG106" s="136"/>
      <c r="BH106" s="136"/>
      <c r="BN106" s="86"/>
      <c r="BO106" s="1091"/>
      <c r="BP106" s="163"/>
      <c r="BQ106" s="170"/>
      <c r="BR106" s="170"/>
      <c r="BS106" s="170"/>
      <c r="BT106" s="170"/>
      <c r="BU106" s="170"/>
      <c r="BV106" s="170"/>
      <c r="BW106" s="170"/>
      <c r="BX106" s="170"/>
      <c r="BY106" s="170"/>
      <c r="BZ106" s="170"/>
      <c r="CA106" s="170"/>
      <c r="CB106" s="170"/>
      <c r="CC106" s="170"/>
      <c r="CD106" s="170"/>
      <c r="CE106" s="170"/>
      <c r="CF106" s="170"/>
      <c r="CG106" s="170"/>
      <c r="CH106" s="170"/>
      <c r="CI106" s="170"/>
      <c r="CJ106" s="170"/>
      <c r="CK106" s="171"/>
      <c r="CL106" s="170"/>
      <c r="CM106" s="170"/>
      <c r="CN106" s="170"/>
      <c r="CO106" s="170"/>
      <c r="CP106" s="170"/>
      <c r="CQ106" s="170"/>
      <c r="CR106" s="170"/>
      <c r="CS106" s="170"/>
      <c r="CT106" s="170"/>
      <c r="CU106" s="170"/>
      <c r="CV106" s="170"/>
      <c r="CW106" s="170"/>
      <c r="CX106" s="170"/>
      <c r="CY106" s="170"/>
      <c r="CZ106" s="170"/>
      <c r="DA106" s="170"/>
      <c r="DB106" s="78"/>
      <c r="DC106" s="78"/>
      <c r="DD106" s="78"/>
    </row>
    <row r="107" spans="2:108" ht="20" hidden="1" x14ac:dyDescent="0.2">
      <c r="E107" s="397"/>
      <c r="F107" s="397"/>
      <c r="G107" s="998"/>
      <c r="H107"/>
      <c r="I107"/>
      <c r="J107"/>
      <c r="K107"/>
      <c r="L107"/>
      <c r="M107"/>
      <c r="N107"/>
      <c r="O107" s="995"/>
      <c r="U107" s="114"/>
      <c r="AB107" s="114"/>
      <c r="AC107" s="114"/>
      <c r="AD107" s="114"/>
      <c r="AE107" s="114"/>
      <c r="BE107" s="136"/>
      <c r="BF107" s="136"/>
      <c r="BG107" s="136"/>
      <c r="BH107" s="136"/>
      <c r="BN107" s="86"/>
      <c r="BO107" s="1091"/>
      <c r="BP107" s="163"/>
      <c r="BQ107" s="170"/>
      <c r="BR107" s="170"/>
      <c r="BS107" s="170"/>
      <c r="BT107" s="170"/>
      <c r="BU107" s="170"/>
      <c r="BV107" s="170"/>
      <c r="BW107" s="170"/>
      <c r="BX107" s="170"/>
      <c r="BY107" s="170"/>
      <c r="BZ107" s="170"/>
      <c r="CA107" s="170"/>
      <c r="CB107" s="170"/>
      <c r="CC107" s="170"/>
      <c r="CD107" s="170"/>
      <c r="CE107" s="170"/>
      <c r="CF107" s="170"/>
      <c r="CG107" s="170"/>
      <c r="CH107" s="170"/>
      <c r="CI107" s="170"/>
      <c r="CJ107" s="170"/>
      <c r="CK107" s="171"/>
      <c r="CL107" s="170"/>
      <c r="CM107" s="170"/>
      <c r="CN107" s="170"/>
      <c r="CO107" s="170"/>
      <c r="CP107" s="170"/>
      <c r="CQ107" s="170"/>
      <c r="CR107" s="170"/>
      <c r="CS107" s="170"/>
      <c r="CT107" s="170"/>
      <c r="CU107" s="170"/>
      <c r="CV107" s="170"/>
      <c r="CW107" s="170"/>
      <c r="CX107" s="170"/>
      <c r="CY107" s="170"/>
      <c r="CZ107" s="170"/>
      <c r="DA107" s="170"/>
      <c r="DB107" s="78"/>
      <c r="DC107" s="78"/>
      <c r="DD107" s="78"/>
    </row>
    <row r="108" spans="2:108" ht="20" hidden="1" x14ac:dyDescent="0.2">
      <c r="E108" s="397"/>
      <c r="F108" s="397"/>
      <c r="G108" s="998"/>
      <c r="H108"/>
      <c r="I108"/>
      <c r="J108"/>
      <c r="K108"/>
      <c r="L108"/>
      <c r="M108"/>
      <c r="N108"/>
      <c r="O108" s="995"/>
      <c r="U108" s="114"/>
      <c r="AB108" s="114"/>
      <c r="AC108" s="114"/>
      <c r="AD108" s="114"/>
      <c r="AE108" s="114"/>
      <c r="BE108" s="136"/>
      <c r="BF108" s="136"/>
      <c r="BG108" s="136"/>
      <c r="BH108" s="136"/>
      <c r="BN108" s="86"/>
      <c r="BO108" s="1091"/>
      <c r="BP108" s="163"/>
      <c r="BQ108" s="170"/>
      <c r="BR108" s="170"/>
      <c r="BS108" s="170"/>
      <c r="BT108" s="170"/>
      <c r="BU108" s="170"/>
      <c r="BV108" s="170"/>
      <c r="BW108" s="170"/>
      <c r="BX108" s="170"/>
      <c r="BY108" s="170"/>
      <c r="BZ108" s="170"/>
      <c r="CA108" s="170"/>
      <c r="CB108" s="170"/>
      <c r="CC108" s="170"/>
      <c r="CD108" s="170"/>
      <c r="CE108" s="170"/>
      <c r="CF108" s="170"/>
      <c r="CG108" s="170"/>
      <c r="CH108" s="170"/>
      <c r="CI108" s="170"/>
      <c r="CJ108" s="170"/>
      <c r="CK108" s="171"/>
      <c r="CL108" s="170"/>
      <c r="CM108" s="170"/>
      <c r="CN108" s="170"/>
      <c r="CO108" s="170"/>
      <c r="CP108" s="170"/>
      <c r="CQ108" s="170"/>
      <c r="CR108" s="170"/>
      <c r="CS108" s="170"/>
      <c r="CT108" s="170"/>
      <c r="CU108" s="170"/>
      <c r="CV108" s="170"/>
      <c r="CW108" s="170"/>
      <c r="CX108" s="170"/>
      <c r="CY108" s="170"/>
      <c r="CZ108" s="170"/>
      <c r="DA108" s="170"/>
      <c r="DB108" s="78"/>
      <c r="DC108" s="78"/>
      <c r="DD108" s="78"/>
    </row>
    <row r="109" spans="2:108" ht="20" hidden="1" x14ac:dyDescent="0.2">
      <c r="E109" s="397"/>
      <c r="F109" s="397"/>
      <c r="G109" s="998"/>
      <c r="H109"/>
      <c r="I109"/>
      <c r="J109"/>
      <c r="K109"/>
      <c r="L109"/>
      <c r="M109"/>
      <c r="N109"/>
      <c r="O109" s="995"/>
      <c r="U109" s="114"/>
      <c r="AB109" s="114"/>
      <c r="AC109" s="114"/>
      <c r="AD109" s="114"/>
      <c r="AE109" s="114"/>
      <c r="BE109" s="136"/>
      <c r="BF109" s="136"/>
      <c r="BG109" s="136"/>
      <c r="BH109" s="136"/>
      <c r="BN109" s="86"/>
      <c r="BO109" s="1091"/>
      <c r="BP109" s="163"/>
      <c r="BQ109" s="170"/>
      <c r="BR109" s="170"/>
      <c r="BS109" s="170"/>
      <c r="BT109" s="170"/>
      <c r="BU109" s="170"/>
      <c r="BV109" s="170"/>
      <c r="BW109" s="170"/>
      <c r="BX109" s="170"/>
      <c r="BY109" s="170"/>
      <c r="BZ109" s="170"/>
      <c r="CA109" s="170"/>
      <c r="CB109" s="170"/>
      <c r="CC109" s="170"/>
      <c r="CD109" s="170"/>
      <c r="CE109" s="170"/>
      <c r="CF109" s="170"/>
      <c r="CG109" s="170"/>
      <c r="CH109" s="170"/>
      <c r="CI109" s="170"/>
      <c r="CJ109" s="170"/>
      <c r="CK109" s="171"/>
      <c r="CL109" s="170"/>
      <c r="CM109" s="170"/>
      <c r="CN109" s="170"/>
      <c r="CO109" s="170"/>
      <c r="CP109" s="170"/>
      <c r="CQ109" s="170"/>
      <c r="CR109" s="170"/>
      <c r="CS109" s="170"/>
      <c r="CT109" s="170"/>
      <c r="CU109" s="170"/>
      <c r="CV109" s="170"/>
      <c r="CW109" s="170"/>
      <c r="CX109" s="170"/>
      <c r="CY109" s="170"/>
      <c r="CZ109" s="170"/>
      <c r="DA109" s="170"/>
      <c r="DB109" s="78"/>
      <c r="DC109" s="78"/>
      <c r="DD109" s="78"/>
    </row>
    <row r="110" spans="2:108" ht="20" hidden="1" x14ac:dyDescent="0.2">
      <c r="E110" s="397"/>
      <c r="F110" s="397"/>
      <c r="G110" s="998"/>
      <c r="H110"/>
      <c r="I110"/>
      <c r="J110"/>
      <c r="K110"/>
      <c r="L110"/>
      <c r="M110"/>
      <c r="N110"/>
      <c r="O110" s="995"/>
      <c r="U110" s="114"/>
      <c r="AB110" s="114"/>
      <c r="AC110" s="114"/>
      <c r="AD110" s="114"/>
      <c r="AE110" s="114"/>
      <c r="BE110" s="136"/>
      <c r="BF110" s="136"/>
      <c r="BG110" s="136"/>
      <c r="BH110" s="136"/>
      <c r="BN110" s="86"/>
      <c r="BO110" s="1091"/>
      <c r="BP110" s="163"/>
      <c r="BQ110" s="170"/>
      <c r="BR110" s="170"/>
      <c r="BS110" s="170"/>
      <c r="BT110" s="170"/>
      <c r="BU110" s="170"/>
      <c r="BV110" s="170"/>
      <c r="BW110" s="170"/>
      <c r="BX110" s="170"/>
      <c r="BY110" s="170"/>
      <c r="BZ110" s="170"/>
      <c r="CA110" s="170"/>
      <c r="CB110" s="170"/>
      <c r="CC110" s="170"/>
      <c r="CD110" s="170"/>
      <c r="CE110" s="170"/>
      <c r="CF110" s="170"/>
      <c r="CG110" s="170"/>
      <c r="CH110" s="170"/>
      <c r="CI110" s="170"/>
      <c r="CJ110" s="170"/>
      <c r="CK110" s="171"/>
      <c r="CL110" s="170"/>
      <c r="CM110" s="170"/>
      <c r="CN110" s="170"/>
      <c r="CO110" s="170"/>
      <c r="CP110" s="170"/>
      <c r="CQ110" s="170"/>
      <c r="CR110" s="170"/>
      <c r="CS110" s="170"/>
      <c r="CT110" s="170"/>
      <c r="CU110" s="170"/>
      <c r="CV110" s="170"/>
      <c r="CW110" s="170"/>
      <c r="CX110" s="170"/>
      <c r="CY110" s="170"/>
      <c r="CZ110" s="170"/>
      <c r="DA110" s="170"/>
      <c r="DB110" s="78"/>
      <c r="DC110" s="78"/>
      <c r="DD110" s="78"/>
    </row>
    <row r="111" spans="2:108" ht="20" hidden="1" x14ac:dyDescent="0.2">
      <c r="E111" s="397"/>
      <c r="F111" s="397"/>
      <c r="G111" s="998"/>
      <c r="H111"/>
      <c r="I111"/>
      <c r="J111"/>
      <c r="K111"/>
      <c r="L111"/>
      <c r="M111"/>
      <c r="N111"/>
      <c r="O111" s="995"/>
      <c r="U111" s="114"/>
      <c r="AB111" s="114"/>
      <c r="AC111" s="114"/>
      <c r="AD111" s="114"/>
      <c r="AE111" s="114"/>
      <c r="BE111" s="136"/>
      <c r="BF111" s="136"/>
      <c r="BG111" s="136"/>
      <c r="BH111" s="136"/>
      <c r="BN111" s="86"/>
      <c r="BO111" s="1091"/>
      <c r="BP111" s="163"/>
      <c r="BQ111" s="170"/>
      <c r="BR111" s="170"/>
      <c r="BS111" s="170"/>
      <c r="BT111" s="170"/>
      <c r="BU111" s="170"/>
      <c r="BV111" s="170"/>
      <c r="BW111" s="170"/>
      <c r="BX111" s="170"/>
      <c r="BY111" s="170"/>
      <c r="BZ111" s="170"/>
      <c r="CA111" s="170"/>
      <c r="CB111" s="170"/>
      <c r="CC111" s="170"/>
      <c r="CD111" s="170"/>
      <c r="CE111" s="170"/>
      <c r="CF111" s="170"/>
      <c r="CG111" s="170"/>
      <c r="CH111" s="170"/>
      <c r="CI111" s="170"/>
      <c r="CJ111" s="170"/>
      <c r="CK111" s="171"/>
      <c r="CL111" s="170"/>
      <c r="CM111" s="170"/>
      <c r="CN111" s="170"/>
      <c r="CO111" s="170"/>
      <c r="CP111" s="170"/>
      <c r="CQ111" s="170"/>
      <c r="CR111" s="170"/>
      <c r="CS111" s="170"/>
      <c r="CT111" s="170"/>
      <c r="CU111" s="170"/>
      <c r="CV111" s="170"/>
      <c r="CW111" s="170"/>
      <c r="CX111" s="170"/>
      <c r="CY111" s="170"/>
      <c r="CZ111" s="170"/>
      <c r="DA111" s="170"/>
      <c r="DB111" s="78"/>
      <c r="DC111" s="78"/>
      <c r="DD111" s="78"/>
    </row>
    <row r="112" spans="2:108" ht="20" hidden="1" x14ac:dyDescent="0.2">
      <c r="E112" s="397"/>
      <c r="F112" s="397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E112" s="136"/>
      <c r="BF112" s="136"/>
      <c r="BG112" s="136"/>
      <c r="BH112" s="136"/>
      <c r="BN112" s="86"/>
      <c r="BO112" s="1091"/>
      <c r="BP112" s="163"/>
      <c r="BQ112" s="170"/>
      <c r="BR112" s="170"/>
      <c r="BS112" s="170"/>
      <c r="BT112" s="170"/>
      <c r="BU112" s="170"/>
      <c r="BV112" s="170"/>
      <c r="BW112" s="170"/>
      <c r="BX112" s="170"/>
      <c r="BY112" s="170"/>
      <c r="BZ112" s="170"/>
      <c r="CA112" s="170"/>
      <c r="CB112" s="170"/>
      <c r="CC112" s="170"/>
      <c r="CD112" s="170"/>
      <c r="CE112" s="170"/>
      <c r="CF112" s="170"/>
      <c r="CG112" s="170"/>
      <c r="CH112" s="170"/>
      <c r="CI112" s="170"/>
      <c r="CJ112" s="170"/>
      <c r="CK112" s="171"/>
      <c r="CL112" s="170"/>
      <c r="CM112" s="170"/>
      <c r="CN112" s="170"/>
      <c r="CO112" s="170"/>
      <c r="CP112" s="170"/>
      <c r="CQ112" s="170"/>
      <c r="CR112" s="170"/>
      <c r="CS112" s="170"/>
      <c r="CT112" s="170"/>
      <c r="CU112" s="170"/>
      <c r="CV112" s="170"/>
      <c r="CW112" s="170"/>
      <c r="CX112" s="170"/>
      <c r="CY112" s="170"/>
      <c r="CZ112" s="170"/>
      <c r="DA112" s="170"/>
      <c r="DB112" s="78"/>
      <c r="DC112" s="78"/>
      <c r="DD112" s="78"/>
    </row>
    <row r="113" spans="5:108" ht="20" hidden="1" x14ac:dyDescent="0.2">
      <c r="E113" s="397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E113" s="136"/>
      <c r="BF113" s="136"/>
      <c r="BG113" s="136"/>
      <c r="BH113" s="136"/>
      <c r="BN113" s="86"/>
      <c r="BO113" s="1091"/>
      <c r="BP113" s="163"/>
      <c r="BQ113" s="170"/>
      <c r="BR113" s="170"/>
      <c r="BS113" s="170"/>
      <c r="BT113" s="170"/>
      <c r="BU113" s="170"/>
      <c r="BV113" s="170"/>
      <c r="BW113" s="170"/>
      <c r="BX113" s="170"/>
      <c r="BY113" s="170"/>
      <c r="BZ113" s="170"/>
      <c r="CA113" s="170"/>
      <c r="CB113" s="170"/>
      <c r="CC113" s="170"/>
      <c r="CD113" s="170"/>
      <c r="CE113" s="170"/>
      <c r="CF113" s="170"/>
      <c r="CG113" s="170"/>
      <c r="CH113" s="170"/>
      <c r="CI113" s="170"/>
      <c r="CJ113" s="170"/>
      <c r="CK113" s="171"/>
      <c r="CL113" s="170"/>
      <c r="CM113" s="170"/>
      <c r="CN113" s="170"/>
      <c r="CO113" s="170"/>
      <c r="CP113" s="170"/>
      <c r="CQ113" s="170"/>
      <c r="CR113" s="170"/>
      <c r="CS113" s="170"/>
      <c r="CT113" s="170"/>
      <c r="CU113" s="170"/>
      <c r="CV113" s="170"/>
      <c r="CW113" s="170"/>
      <c r="CX113" s="170"/>
      <c r="CY113" s="170"/>
      <c r="CZ113" s="170"/>
      <c r="DA113" s="170"/>
      <c r="DB113" s="78"/>
      <c r="DC113" s="78"/>
      <c r="DD113" s="78"/>
    </row>
    <row r="114" spans="5:108" ht="20" hidden="1" x14ac:dyDescent="0.2">
      <c r="E114" s="397"/>
      <c r="F114" s="397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E114" s="136"/>
      <c r="BF114" s="136"/>
      <c r="BG114" s="136"/>
      <c r="BH114" s="136"/>
      <c r="BN114" s="86"/>
      <c r="BO114" s="1091"/>
      <c r="BP114" s="163"/>
      <c r="BQ114" s="170"/>
      <c r="BR114" s="170"/>
      <c r="BS114" s="170"/>
      <c r="BT114" s="170"/>
      <c r="BU114" s="170"/>
      <c r="BV114" s="170"/>
      <c r="BW114" s="170"/>
      <c r="BX114" s="170"/>
      <c r="BY114" s="170"/>
      <c r="BZ114" s="170"/>
      <c r="CA114" s="170"/>
      <c r="CB114" s="170"/>
      <c r="CC114" s="170"/>
      <c r="CD114" s="170"/>
      <c r="CE114" s="170"/>
      <c r="CF114" s="170"/>
      <c r="CG114" s="170"/>
      <c r="CH114" s="170"/>
      <c r="CI114" s="170"/>
      <c r="CJ114" s="170"/>
      <c r="CK114" s="171"/>
      <c r="CL114" s="170"/>
      <c r="CM114" s="170"/>
      <c r="CN114" s="170"/>
      <c r="CO114" s="170"/>
      <c r="CP114" s="170"/>
      <c r="CQ114" s="170"/>
      <c r="CR114" s="170"/>
      <c r="CS114" s="170"/>
      <c r="CT114" s="170"/>
      <c r="CU114" s="170"/>
      <c r="CV114" s="170"/>
      <c r="CW114" s="170"/>
      <c r="CX114" s="170"/>
      <c r="CY114" s="170"/>
      <c r="CZ114" s="170"/>
      <c r="DA114" s="170"/>
      <c r="DB114" s="78"/>
      <c r="DC114" s="78"/>
      <c r="DD114" s="78"/>
    </row>
    <row r="115" spans="5:108" ht="20" hidden="1" x14ac:dyDescent="0.2">
      <c r="E115" s="397"/>
      <c r="F115" s="397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36"/>
      <c r="BF115" s="136"/>
      <c r="BG115" s="136"/>
      <c r="BH115" s="136"/>
      <c r="BN115" s="86"/>
      <c r="BO115" s="1091"/>
      <c r="BP115" s="163"/>
      <c r="BQ115" s="170"/>
      <c r="BR115" s="170"/>
      <c r="BS115" s="170"/>
      <c r="BT115" s="170"/>
      <c r="BU115" s="170"/>
      <c r="BV115" s="170"/>
      <c r="BW115" s="170"/>
      <c r="BX115" s="170"/>
      <c r="BY115" s="170"/>
      <c r="BZ115" s="170"/>
      <c r="CA115" s="170"/>
      <c r="CB115" s="170"/>
      <c r="CC115" s="170"/>
      <c r="CD115" s="170"/>
      <c r="CE115" s="170"/>
      <c r="CF115" s="170"/>
      <c r="CG115" s="170"/>
      <c r="CH115" s="170"/>
      <c r="CI115" s="170"/>
      <c r="CJ115" s="170"/>
      <c r="CK115" s="171"/>
      <c r="CL115" s="170"/>
      <c r="CM115" s="170"/>
      <c r="CN115" s="170"/>
      <c r="CO115" s="170"/>
      <c r="CP115" s="170"/>
      <c r="CQ115" s="170"/>
      <c r="CR115" s="170"/>
      <c r="CS115" s="170"/>
      <c r="CT115" s="170"/>
      <c r="CU115" s="170"/>
      <c r="CV115" s="170"/>
      <c r="CW115" s="170"/>
      <c r="CX115" s="170"/>
      <c r="CY115" s="170"/>
      <c r="CZ115" s="170"/>
      <c r="DA115" s="170"/>
      <c r="DB115" s="78"/>
      <c r="DC115" s="78"/>
      <c r="DD115" s="78"/>
    </row>
    <row r="116" spans="5:108" ht="20" hidden="1" x14ac:dyDescent="0.2">
      <c r="E116" s="397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E116" s="136"/>
      <c r="BF116" s="136"/>
      <c r="BG116" s="136"/>
      <c r="BH116" s="136"/>
      <c r="BN116" s="86"/>
      <c r="BO116" s="1091"/>
      <c r="BP116" s="163"/>
      <c r="BQ116" s="170"/>
      <c r="BR116" s="170"/>
      <c r="BS116" s="170"/>
      <c r="BT116" s="170"/>
      <c r="BU116" s="170"/>
      <c r="BV116" s="170"/>
      <c r="BW116" s="170"/>
      <c r="BX116" s="170"/>
      <c r="BY116" s="170"/>
      <c r="BZ116" s="170"/>
      <c r="CA116" s="170"/>
      <c r="CB116" s="170"/>
      <c r="CC116" s="170"/>
      <c r="CD116" s="170"/>
      <c r="CE116" s="170"/>
      <c r="CF116" s="170"/>
      <c r="CG116" s="170"/>
      <c r="CH116" s="170"/>
      <c r="CI116" s="170"/>
      <c r="CJ116" s="170"/>
      <c r="CK116" s="171"/>
      <c r="CL116" s="170"/>
      <c r="CM116" s="170"/>
      <c r="CN116" s="170"/>
      <c r="CO116" s="170"/>
      <c r="CP116" s="170"/>
      <c r="CQ116" s="170"/>
      <c r="CR116" s="170"/>
      <c r="CS116" s="170"/>
      <c r="CT116" s="170"/>
      <c r="CU116" s="170"/>
      <c r="CV116" s="170"/>
      <c r="CW116" s="170"/>
      <c r="CX116" s="170"/>
      <c r="CY116" s="170"/>
      <c r="CZ116" s="170"/>
      <c r="DA116" s="170"/>
      <c r="DB116" s="78"/>
      <c r="DC116" s="78"/>
      <c r="DD116" s="78"/>
    </row>
    <row r="117" spans="5:108" ht="20" hidden="1" x14ac:dyDescent="0.2">
      <c r="E117" s="397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E117" s="136"/>
      <c r="BF117" s="136"/>
      <c r="BG117" s="136"/>
      <c r="BH117" s="136"/>
      <c r="BN117" s="86"/>
      <c r="BO117" s="1091"/>
      <c r="BP117" s="163"/>
      <c r="BQ117" s="170"/>
      <c r="BR117" s="170"/>
      <c r="BS117" s="170"/>
      <c r="BT117" s="170"/>
      <c r="BU117" s="170"/>
      <c r="BV117" s="170"/>
      <c r="BW117" s="170"/>
      <c r="BX117" s="170"/>
      <c r="BY117" s="170"/>
      <c r="BZ117" s="170"/>
      <c r="CA117" s="170"/>
      <c r="CB117" s="170"/>
      <c r="CC117" s="170"/>
      <c r="CD117" s="170"/>
      <c r="CE117" s="170"/>
      <c r="CF117" s="170"/>
      <c r="CG117" s="170"/>
      <c r="CH117" s="170"/>
      <c r="CI117" s="170"/>
      <c r="CJ117" s="170"/>
      <c r="CK117" s="171"/>
      <c r="CL117" s="170"/>
      <c r="CM117" s="170"/>
      <c r="CN117" s="170"/>
      <c r="CO117" s="170"/>
      <c r="CP117" s="170"/>
      <c r="CQ117" s="170"/>
      <c r="CR117" s="170"/>
      <c r="CS117" s="170"/>
      <c r="CT117" s="170"/>
      <c r="CU117" s="170"/>
      <c r="CV117" s="170"/>
      <c r="CW117" s="170"/>
      <c r="CX117" s="170"/>
      <c r="CY117" s="170"/>
      <c r="CZ117" s="170"/>
      <c r="DA117" s="170"/>
      <c r="DB117" s="78"/>
      <c r="DC117" s="78"/>
      <c r="DD117" s="78"/>
    </row>
    <row r="118" spans="5:108" ht="20" hidden="1" x14ac:dyDescent="0.2">
      <c r="E118" s="397"/>
      <c r="F118" s="397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E118" s="136"/>
      <c r="BF118" s="136"/>
      <c r="BG118" s="136"/>
      <c r="BH118" s="136"/>
      <c r="BN118" s="86"/>
      <c r="BO118" s="1091"/>
      <c r="BP118" s="163"/>
      <c r="BQ118" s="170"/>
      <c r="BR118" s="170"/>
      <c r="BS118" s="170"/>
      <c r="BT118" s="170"/>
      <c r="BU118" s="170"/>
      <c r="BV118" s="170"/>
      <c r="BW118" s="170"/>
      <c r="BX118" s="170"/>
      <c r="BY118" s="170"/>
      <c r="BZ118" s="170"/>
      <c r="CA118" s="170"/>
      <c r="CB118" s="170"/>
      <c r="CC118" s="170"/>
      <c r="CD118" s="170"/>
      <c r="CE118" s="170"/>
      <c r="CF118" s="170"/>
      <c r="CG118" s="170"/>
      <c r="CH118" s="170"/>
      <c r="CI118" s="170"/>
      <c r="CJ118" s="170"/>
      <c r="CK118" s="171"/>
      <c r="CL118" s="170"/>
      <c r="CM118" s="170"/>
      <c r="CN118" s="170"/>
      <c r="CO118" s="170"/>
      <c r="CP118" s="170"/>
      <c r="CQ118" s="170"/>
      <c r="CR118" s="170"/>
      <c r="CS118" s="170"/>
      <c r="CT118" s="170"/>
      <c r="CU118" s="170"/>
      <c r="CV118" s="170"/>
      <c r="CW118" s="170"/>
      <c r="CX118" s="170"/>
      <c r="CY118" s="170"/>
      <c r="CZ118" s="170"/>
      <c r="DA118" s="170"/>
      <c r="DB118" s="78"/>
      <c r="DC118" s="78"/>
      <c r="DD118" s="78"/>
    </row>
    <row r="119" spans="5:108" ht="20" hidden="1" x14ac:dyDescent="0.2">
      <c r="E119" s="397"/>
      <c r="F119" s="397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E119" s="136"/>
      <c r="BF119" s="136"/>
      <c r="BG119" s="136"/>
      <c r="BH119" s="136"/>
      <c r="BN119" s="86"/>
      <c r="BO119" s="1091"/>
      <c r="BP119" s="163"/>
      <c r="BQ119" s="170"/>
      <c r="BR119" s="170"/>
      <c r="BS119" s="170"/>
      <c r="BT119" s="170"/>
      <c r="BU119" s="170"/>
      <c r="BV119" s="170"/>
      <c r="BW119" s="170"/>
      <c r="BX119" s="170"/>
      <c r="BY119" s="170"/>
      <c r="BZ119" s="170"/>
      <c r="CA119" s="170"/>
      <c r="CB119" s="170"/>
      <c r="CC119" s="170"/>
      <c r="CD119" s="170"/>
      <c r="CE119" s="170"/>
      <c r="CF119" s="170"/>
      <c r="CG119" s="170"/>
      <c r="CH119" s="170"/>
      <c r="CI119" s="170"/>
      <c r="CJ119" s="170"/>
      <c r="CK119" s="171"/>
      <c r="CL119" s="170"/>
      <c r="CM119" s="170"/>
      <c r="CN119" s="170"/>
      <c r="CO119" s="170"/>
      <c r="CP119" s="170"/>
      <c r="CQ119" s="170"/>
      <c r="CR119" s="170"/>
      <c r="CS119" s="170"/>
      <c r="CT119" s="170"/>
      <c r="CU119" s="170"/>
      <c r="CV119" s="170"/>
      <c r="CW119" s="170"/>
      <c r="CX119" s="170"/>
      <c r="CY119" s="170"/>
      <c r="CZ119" s="170"/>
      <c r="DA119" s="170"/>
      <c r="DB119" s="78"/>
      <c r="DC119" s="78"/>
      <c r="DD119" s="78"/>
    </row>
    <row r="120" spans="5:108" ht="20" hidden="1" x14ac:dyDescent="0.2">
      <c r="E120" s="397"/>
      <c r="F120" s="397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E120" s="136"/>
      <c r="BF120" s="136"/>
      <c r="BG120" s="136"/>
      <c r="BH120" s="136"/>
      <c r="BN120" s="86"/>
      <c r="BO120" s="1091"/>
      <c r="BP120" s="163"/>
      <c r="BQ120" s="170"/>
      <c r="BR120" s="170"/>
      <c r="BS120" s="170"/>
      <c r="BT120" s="170"/>
      <c r="BU120" s="170"/>
      <c r="BV120" s="170"/>
      <c r="BW120" s="170"/>
      <c r="BX120" s="170"/>
      <c r="BY120" s="170"/>
      <c r="BZ120" s="170"/>
      <c r="CA120" s="170"/>
      <c r="CB120" s="170"/>
      <c r="CC120" s="170"/>
      <c r="CD120" s="170"/>
      <c r="CE120" s="170"/>
      <c r="CF120" s="170"/>
      <c r="CG120" s="170"/>
      <c r="CH120" s="170"/>
      <c r="CI120" s="170"/>
      <c r="CJ120" s="170"/>
      <c r="CK120" s="171"/>
      <c r="CL120" s="170"/>
      <c r="CM120" s="170"/>
      <c r="CN120" s="170"/>
      <c r="CO120" s="170"/>
      <c r="CP120" s="170"/>
      <c r="CQ120" s="170"/>
      <c r="CR120" s="170"/>
      <c r="CS120" s="170"/>
      <c r="CT120" s="170"/>
      <c r="CU120" s="170"/>
      <c r="CV120" s="170"/>
      <c r="CW120" s="170"/>
      <c r="CX120" s="170"/>
      <c r="CY120" s="170"/>
      <c r="CZ120" s="170"/>
      <c r="DA120" s="170"/>
      <c r="DB120" s="78"/>
      <c r="DC120" s="78"/>
      <c r="DD120" s="78"/>
    </row>
    <row r="121" spans="5:108" ht="20" hidden="1" x14ac:dyDescent="0.2">
      <c r="E121" s="397"/>
      <c r="F121" s="397"/>
      <c r="G121" s="998"/>
      <c r="H121"/>
      <c r="I121"/>
      <c r="J121"/>
      <c r="K121"/>
      <c r="L121"/>
      <c r="M121"/>
      <c r="N121"/>
      <c r="O121" s="995"/>
      <c r="U121" s="114"/>
      <c r="AB121" s="114"/>
      <c r="AC121" s="114"/>
      <c r="AD121" s="114"/>
      <c r="AE121" s="114"/>
      <c r="BE121" s="136"/>
      <c r="BF121" s="136"/>
      <c r="BG121" s="136"/>
      <c r="BH121" s="136"/>
      <c r="BN121" s="86"/>
      <c r="BO121" s="1091"/>
      <c r="BP121" s="163"/>
      <c r="BQ121" s="170"/>
      <c r="BR121" s="170"/>
      <c r="BS121" s="170"/>
      <c r="BT121" s="170"/>
      <c r="BU121" s="170"/>
      <c r="BV121" s="170"/>
      <c r="BW121" s="170"/>
      <c r="BX121" s="170"/>
      <c r="BY121" s="170"/>
      <c r="BZ121" s="170"/>
      <c r="CA121" s="170"/>
      <c r="CB121" s="170"/>
      <c r="CC121" s="170"/>
      <c r="CD121" s="170"/>
      <c r="CE121" s="170"/>
      <c r="CF121" s="170"/>
      <c r="CG121" s="170"/>
      <c r="CH121" s="170"/>
      <c r="CI121" s="170"/>
      <c r="CJ121" s="170"/>
      <c r="CK121" s="171"/>
      <c r="CL121" s="170"/>
      <c r="CM121" s="170"/>
      <c r="CN121" s="170"/>
      <c r="CO121" s="170"/>
      <c r="CP121" s="170"/>
      <c r="CQ121" s="170"/>
      <c r="CR121" s="170"/>
      <c r="CS121" s="170"/>
      <c r="CT121" s="170"/>
      <c r="CU121" s="170"/>
      <c r="CV121" s="170"/>
      <c r="CW121" s="170"/>
      <c r="CX121" s="170"/>
      <c r="CY121" s="170"/>
      <c r="CZ121" s="170"/>
      <c r="DA121" s="170"/>
      <c r="DB121" s="78"/>
      <c r="DC121" s="78"/>
      <c r="DD121" s="78"/>
    </row>
    <row r="122" spans="5:108" ht="20" hidden="1" x14ac:dyDescent="0.2">
      <c r="E122" s="397"/>
      <c r="F122" s="397"/>
      <c r="G122" s="998"/>
      <c r="H122"/>
      <c r="I122"/>
      <c r="J122"/>
      <c r="K122"/>
      <c r="L122"/>
      <c r="M122"/>
      <c r="N122"/>
      <c r="O122" s="995"/>
      <c r="U122" s="114"/>
      <c r="AB122" s="114"/>
      <c r="AC122" s="114"/>
      <c r="AD122" s="114"/>
      <c r="AE122" s="114"/>
      <c r="BE122" s="136"/>
      <c r="BF122" s="136"/>
      <c r="BG122" s="136"/>
      <c r="BH122" s="136"/>
      <c r="BN122" s="86"/>
      <c r="BO122" s="1091"/>
      <c r="BP122" s="163"/>
      <c r="BQ122" s="170"/>
      <c r="BR122" s="170"/>
      <c r="BS122" s="170"/>
      <c r="BT122" s="170"/>
      <c r="BU122" s="170"/>
      <c r="BV122" s="170"/>
      <c r="BW122" s="170"/>
      <c r="BX122" s="170"/>
      <c r="BY122" s="170"/>
      <c r="BZ122" s="170"/>
      <c r="CA122" s="170"/>
      <c r="CB122" s="170"/>
      <c r="CC122" s="170"/>
      <c r="CD122" s="170"/>
      <c r="CE122" s="170"/>
      <c r="CF122" s="170"/>
      <c r="CG122" s="170"/>
      <c r="CH122" s="170"/>
      <c r="CI122" s="170"/>
      <c r="CJ122" s="170"/>
      <c r="CK122" s="171"/>
      <c r="CL122" s="170"/>
      <c r="CM122" s="170"/>
      <c r="CN122" s="170"/>
      <c r="CO122" s="170"/>
      <c r="CP122" s="170"/>
      <c r="CQ122" s="170"/>
      <c r="CR122" s="170"/>
      <c r="CS122" s="170"/>
      <c r="CT122" s="170"/>
      <c r="CU122" s="170"/>
      <c r="CV122" s="170"/>
      <c r="CW122" s="170"/>
      <c r="CX122" s="170"/>
      <c r="CY122" s="170"/>
      <c r="CZ122" s="170"/>
      <c r="DA122" s="170"/>
      <c r="DB122" s="78"/>
      <c r="DC122" s="78"/>
      <c r="DD122" s="78"/>
    </row>
    <row r="123" spans="5:108" ht="20" hidden="1" x14ac:dyDescent="0.2">
      <c r="E123" s="397"/>
      <c r="F123" s="397"/>
      <c r="G123" s="998"/>
      <c r="H123"/>
      <c r="I123"/>
      <c r="J123"/>
      <c r="K123"/>
      <c r="L123"/>
      <c r="M123"/>
      <c r="N123"/>
      <c r="O123" s="995"/>
      <c r="U123" s="114"/>
      <c r="AB123" s="114"/>
      <c r="AC123" s="114"/>
      <c r="AD123" s="114"/>
      <c r="AE123" s="114"/>
      <c r="BE123" s="136"/>
      <c r="BF123" s="136"/>
      <c r="BG123" s="136"/>
      <c r="BH123" s="136"/>
      <c r="BN123" s="86"/>
      <c r="BO123" s="1091"/>
      <c r="BP123" s="163"/>
      <c r="BQ123" s="170"/>
      <c r="BR123" s="170"/>
      <c r="BS123" s="170"/>
      <c r="BT123" s="170"/>
      <c r="BU123" s="170"/>
      <c r="BV123" s="170"/>
      <c r="BW123" s="170"/>
      <c r="BX123" s="170"/>
      <c r="BY123" s="170"/>
      <c r="BZ123" s="170"/>
      <c r="CA123" s="170"/>
      <c r="CB123" s="170"/>
      <c r="CC123" s="170"/>
      <c r="CD123" s="170"/>
      <c r="CE123" s="170"/>
      <c r="CF123" s="170"/>
      <c r="CG123" s="170"/>
      <c r="CH123" s="170"/>
      <c r="CI123" s="170"/>
      <c r="CJ123" s="170"/>
      <c r="CK123" s="171"/>
      <c r="CL123" s="170"/>
      <c r="CM123" s="170"/>
      <c r="CN123" s="170"/>
      <c r="CO123" s="170"/>
      <c r="CP123" s="170"/>
      <c r="CQ123" s="170"/>
      <c r="CR123" s="170"/>
      <c r="CS123" s="170"/>
      <c r="CT123" s="170"/>
      <c r="CU123" s="170"/>
      <c r="CV123" s="170"/>
      <c r="CW123" s="170"/>
      <c r="CX123" s="170"/>
      <c r="CY123" s="170"/>
      <c r="CZ123" s="170"/>
      <c r="DA123" s="170"/>
      <c r="DB123" s="78"/>
      <c r="DC123" s="78"/>
      <c r="DD123" s="78"/>
    </row>
    <row r="124" spans="5:108" ht="126" hidden="1" x14ac:dyDescent="0.2">
      <c r="E124" s="397"/>
      <c r="F124" s="39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114"/>
      <c r="AB124" s="114"/>
      <c r="AC124" s="114"/>
      <c r="AD124" s="114"/>
      <c r="AE124" s="114"/>
      <c r="BE124" s="136"/>
      <c r="BF124" s="136"/>
      <c r="BG124" s="136"/>
      <c r="BH124" s="136"/>
      <c r="BN124" s="86"/>
      <c r="BO124" s="1091"/>
      <c r="BP124" s="163"/>
      <c r="BQ124" s="170"/>
      <c r="BR124" s="170"/>
      <c r="BS124" s="170"/>
      <c r="BT124" s="170"/>
      <c r="BU124" s="170"/>
      <c r="BV124" s="170"/>
      <c r="BW124" s="170"/>
      <c r="BX124" s="170"/>
      <c r="BY124" s="170"/>
      <c r="BZ124" s="170"/>
      <c r="CA124" s="170"/>
      <c r="CB124" s="170"/>
      <c r="CC124" s="170"/>
      <c r="CD124" s="170"/>
      <c r="CE124" s="170"/>
      <c r="CF124" s="170"/>
      <c r="CG124" s="170"/>
      <c r="CH124" s="170"/>
      <c r="CI124" s="170"/>
      <c r="CJ124" s="170"/>
      <c r="CK124" s="171"/>
      <c r="CL124" s="170"/>
      <c r="CM124" s="170"/>
      <c r="CN124" s="170"/>
      <c r="CO124" s="170"/>
      <c r="CP124" s="170"/>
      <c r="CQ124" s="170"/>
      <c r="CR124" s="170"/>
      <c r="CS124" s="170"/>
      <c r="CT124" s="170"/>
      <c r="CU124" s="170"/>
      <c r="CV124" s="170"/>
      <c r="CW124" s="170"/>
      <c r="CX124" s="170"/>
      <c r="CY124" s="170"/>
      <c r="CZ124" s="170"/>
      <c r="DA124" s="170"/>
      <c r="DB124" s="78"/>
      <c r="DC124" s="78"/>
      <c r="DD124" s="78"/>
    </row>
    <row r="125" spans="5:108" ht="85" hidden="1" thickBot="1" x14ac:dyDescent="0.25">
      <c r="E125" s="397"/>
      <c r="F125" s="39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114"/>
      <c r="AB125" s="114"/>
      <c r="AC125" s="114"/>
      <c r="AD125" s="114"/>
      <c r="AE125" s="114"/>
      <c r="BE125" s="136"/>
      <c r="BF125" s="136"/>
      <c r="BG125" s="136"/>
      <c r="BH125" s="136"/>
      <c r="BN125" s="86"/>
      <c r="BO125" s="1091"/>
      <c r="BP125" s="163"/>
      <c r="BQ125" s="170"/>
      <c r="BR125" s="170"/>
      <c r="BS125" s="170"/>
      <c r="BT125" s="170"/>
      <c r="BU125" s="170"/>
      <c r="BV125" s="170"/>
      <c r="BW125" s="170"/>
      <c r="BX125" s="170"/>
      <c r="BY125" s="170"/>
      <c r="BZ125" s="170"/>
      <c r="CA125" s="170"/>
      <c r="CB125" s="170"/>
      <c r="CC125" s="170"/>
      <c r="CD125" s="170"/>
      <c r="CE125" s="170"/>
      <c r="CF125" s="170"/>
      <c r="CG125" s="170"/>
      <c r="CH125" s="170"/>
      <c r="CI125" s="170"/>
      <c r="CJ125" s="170"/>
      <c r="CK125" s="171"/>
      <c r="CL125" s="170"/>
      <c r="CM125" s="170"/>
      <c r="CN125" s="170"/>
      <c r="CO125" s="170"/>
      <c r="CP125" s="170"/>
      <c r="CQ125" s="170"/>
      <c r="CR125" s="170"/>
      <c r="CS125" s="170"/>
      <c r="CT125" s="170"/>
      <c r="CU125" s="170"/>
      <c r="CV125" s="170"/>
      <c r="CW125" s="170"/>
      <c r="CX125" s="170"/>
      <c r="CY125" s="170"/>
      <c r="CZ125" s="170"/>
      <c r="DA125" s="170"/>
      <c r="DB125" s="78"/>
      <c r="DC125" s="78"/>
      <c r="DD125" s="78"/>
    </row>
    <row r="126" spans="5:108" ht="84.75" customHeight="1" thickBot="1" x14ac:dyDescent="0.3">
      <c r="E126" s="397"/>
      <c r="F126" s="397"/>
      <c r="G126" s="998"/>
      <c r="H126" s="1067" t="s">
        <v>260</v>
      </c>
      <c r="I126" s="1052">
        <f>+MIN(K31:L32)</f>
        <v>37.235475469044367</v>
      </c>
      <c r="J126" s="1052">
        <f>+MIN(J37:K38)</f>
        <v>59.303187546330612</v>
      </c>
      <c r="K126" s="1053">
        <f>+MIN(J43:L44)</f>
        <v>59.303187546330612</v>
      </c>
      <c r="L126" s="1054">
        <f>+MIN(J49:L50)</f>
        <v>25.660033072931515</v>
      </c>
      <c r="M126" s="1055">
        <f>+MIN(J55:L56)</f>
        <v>59.303187546330612</v>
      </c>
      <c r="N126"/>
      <c r="O126" s="995"/>
      <c r="U126" s="114"/>
      <c r="AB126" s="114"/>
      <c r="AC126" s="114"/>
      <c r="AD126" s="114"/>
      <c r="AE126" s="114"/>
      <c r="BE126" s="136"/>
      <c r="BF126" s="136"/>
      <c r="BG126" s="136"/>
      <c r="BH126" s="136"/>
      <c r="BN126" s="86"/>
      <c r="BO126" s="1091"/>
      <c r="BP126" s="163"/>
      <c r="BQ126" s="170"/>
      <c r="BR126" s="170"/>
      <c r="BS126" s="170"/>
      <c r="BT126" s="170"/>
      <c r="BU126" s="170"/>
      <c r="BV126" s="170"/>
      <c r="BW126" s="170"/>
      <c r="BX126" s="170"/>
      <c r="BY126" s="170"/>
      <c r="BZ126" s="170"/>
      <c r="CA126" s="170"/>
      <c r="CB126" s="170"/>
      <c r="CC126" s="170"/>
      <c r="CD126" s="170"/>
      <c r="CE126" s="170"/>
      <c r="CF126" s="170"/>
      <c r="CG126" s="170"/>
      <c r="CH126" s="170"/>
      <c r="CI126" s="170"/>
      <c r="CJ126" s="170"/>
      <c r="CK126" s="171"/>
      <c r="CL126" s="170"/>
      <c r="CM126" s="170"/>
      <c r="CN126" s="170"/>
      <c r="CO126" s="170"/>
      <c r="CP126" s="170"/>
      <c r="CQ126" s="170"/>
      <c r="CR126" s="170"/>
      <c r="CS126" s="170"/>
      <c r="CT126" s="170"/>
      <c r="CU126" s="170"/>
      <c r="CV126" s="170"/>
      <c r="CW126" s="170"/>
      <c r="CX126" s="170"/>
      <c r="CY126" s="170"/>
      <c r="CZ126" s="170"/>
      <c r="DA126" s="170"/>
      <c r="DB126" s="78"/>
      <c r="DC126" s="78"/>
      <c r="DD126" s="78"/>
    </row>
    <row r="127" spans="5:108" ht="20" hidden="1" x14ac:dyDescent="0.2">
      <c r="E127" s="397"/>
      <c r="F127" s="397"/>
      <c r="G127" s="1583"/>
      <c r="H127" s="126"/>
      <c r="I127" s="126"/>
      <c r="J127" s="126"/>
      <c r="K127" s="126"/>
      <c r="L127" s="126"/>
      <c r="M127" s="126"/>
      <c r="N127" s="126"/>
      <c r="O127" s="1584"/>
      <c r="U127" s="114"/>
      <c r="AB127" s="114"/>
      <c r="AC127" s="114"/>
      <c r="AD127" s="114"/>
      <c r="AE127" s="114"/>
      <c r="BE127" s="136"/>
      <c r="BF127" s="136"/>
      <c r="BG127" s="136"/>
      <c r="BH127" s="136"/>
      <c r="BN127" s="86"/>
      <c r="BO127" s="1091"/>
      <c r="BP127" s="163"/>
      <c r="BQ127" s="170"/>
      <c r="BR127" s="170"/>
      <c r="BS127" s="170"/>
      <c r="BT127" s="170"/>
      <c r="BU127" s="170"/>
      <c r="BV127" s="170"/>
      <c r="BW127" s="170"/>
      <c r="BX127" s="170"/>
      <c r="BY127" s="170"/>
      <c r="BZ127" s="170"/>
      <c r="CA127" s="170"/>
      <c r="CB127" s="170"/>
      <c r="CC127" s="170"/>
      <c r="CD127" s="170"/>
      <c r="CE127" s="170"/>
      <c r="CF127" s="170"/>
      <c r="CG127" s="170"/>
      <c r="CH127" s="170"/>
      <c r="CI127" s="170"/>
      <c r="CJ127" s="170"/>
      <c r="CK127" s="171"/>
      <c r="CL127" s="170"/>
      <c r="CM127" s="170"/>
      <c r="CN127" s="170"/>
      <c r="CO127" s="170"/>
      <c r="CP127" s="170"/>
      <c r="CQ127" s="170"/>
      <c r="CR127" s="170"/>
      <c r="CS127" s="170"/>
      <c r="CT127" s="170"/>
      <c r="CU127" s="170"/>
      <c r="CV127" s="170"/>
      <c r="CW127" s="170"/>
      <c r="CX127" s="170"/>
      <c r="CY127" s="170"/>
      <c r="CZ127" s="170"/>
      <c r="DA127" s="170"/>
      <c r="DB127" s="78"/>
      <c r="DC127" s="78"/>
      <c r="DD127" s="78"/>
    </row>
    <row r="128" spans="5:108" ht="30" hidden="1" x14ac:dyDescent="0.2">
      <c r="E128" s="397"/>
      <c r="F128" s="397"/>
      <c r="G128" s="998"/>
      <c r="H128" s="201"/>
      <c r="I128" s="201"/>
      <c r="J128" s="201"/>
      <c r="K128" s="201"/>
      <c r="L128" s="201"/>
      <c r="M128" s="201"/>
      <c r="N128" s="201"/>
      <c r="O128" s="1013"/>
      <c r="U128" s="114"/>
      <c r="AB128" s="114"/>
      <c r="AC128" s="114"/>
      <c r="AD128" s="114"/>
      <c r="AE128" s="114"/>
      <c r="BE128" s="136"/>
      <c r="BF128" s="136"/>
      <c r="BG128" s="136"/>
      <c r="BH128" s="136"/>
      <c r="BN128" s="86"/>
      <c r="BO128" s="1091"/>
      <c r="BP128" s="163"/>
      <c r="BQ128" s="170"/>
      <c r="BR128" s="170"/>
      <c r="BS128" s="170"/>
      <c r="BT128" s="170"/>
      <c r="BU128" s="170"/>
      <c r="BV128" s="170"/>
      <c r="BW128" s="170"/>
      <c r="BX128" s="170"/>
      <c r="BY128" s="170"/>
      <c r="BZ128" s="170"/>
      <c r="CA128" s="170"/>
      <c r="CB128" s="170"/>
      <c r="CC128" s="170"/>
      <c r="CD128" s="170"/>
      <c r="CE128" s="170"/>
      <c r="CF128" s="170"/>
      <c r="CG128" s="170"/>
      <c r="CH128" s="170"/>
      <c r="CI128" s="170"/>
      <c r="CJ128" s="170"/>
      <c r="CK128" s="171"/>
      <c r="CL128" s="170"/>
      <c r="CM128" s="170"/>
      <c r="CN128" s="170"/>
      <c r="CO128" s="170"/>
      <c r="CP128" s="170"/>
      <c r="CQ128" s="170"/>
      <c r="CR128" s="170"/>
      <c r="CS128" s="170"/>
      <c r="CT128" s="170"/>
      <c r="CU128" s="170"/>
      <c r="CV128" s="170"/>
      <c r="CW128" s="170"/>
      <c r="CX128" s="170"/>
      <c r="CY128" s="170"/>
      <c r="CZ128" s="170"/>
      <c r="DA128" s="170"/>
      <c r="DB128" s="78"/>
      <c r="DC128" s="78"/>
      <c r="DD128" s="78"/>
    </row>
    <row r="129" spans="2:108" ht="21" hidden="1" thickBot="1" x14ac:dyDescent="0.25">
      <c r="E129" s="397"/>
      <c r="F129" s="397"/>
      <c r="G129" s="998"/>
      <c r="H129"/>
      <c r="I129"/>
      <c r="J129"/>
      <c r="K129"/>
      <c r="L129"/>
      <c r="M129"/>
      <c r="N129"/>
      <c r="O129" s="995"/>
      <c r="U129" s="114"/>
      <c r="AB129" s="114"/>
      <c r="AC129" s="114"/>
      <c r="AD129" s="114"/>
      <c r="AE129" s="114"/>
      <c r="BE129" s="136"/>
      <c r="BF129" s="136"/>
      <c r="BG129" s="136"/>
      <c r="BH129" s="136"/>
      <c r="BN129" s="86"/>
      <c r="BO129" s="1091"/>
      <c r="BP129" s="163"/>
      <c r="BQ129" s="170"/>
      <c r="BR129" s="170"/>
      <c r="BS129" s="170"/>
      <c r="BT129" s="170"/>
      <c r="BU129" s="170"/>
      <c r="BV129" s="170"/>
      <c r="BW129" s="170"/>
      <c r="BX129" s="170"/>
      <c r="BY129" s="170"/>
      <c r="BZ129" s="170"/>
      <c r="CA129" s="170"/>
      <c r="CB129" s="170"/>
      <c r="CC129" s="170"/>
      <c r="CD129" s="170"/>
      <c r="CE129" s="170"/>
      <c r="CF129" s="170"/>
      <c r="CG129" s="170"/>
      <c r="CH129" s="170"/>
      <c r="CI129" s="170"/>
      <c r="CJ129" s="170"/>
      <c r="CK129" s="171"/>
      <c r="CL129" s="170"/>
      <c r="CM129" s="170"/>
      <c r="CN129" s="170"/>
      <c r="CO129" s="170"/>
      <c r="CP129" s="170"/>
      <c r="CQ129" s="170"/>
      <c r="CR129" s="170"/>
      <c r="CS129" s="170"/>
      <c r="CT129" s="170"/>
      <c r="CU129" s="170"/>
      <c r="CV129" s="170"/>
      <c r="CW129" s="170"/>
      <c r="CX129" s="170"/>
      <c r="CY129" s="170"/>
      <c r="CZ129" s="170"/>
      <c r="DA129" s="170"/>
      <c r="DB129" s="78"/>
      <c r="DC129" s="78"/>
      <c r="DD129" s="78"/>
    </row>
    <row r="130" spans="2:108" ht="52.5" customHeight="1" thickBot="1" x14ac:dyDescent="0.3">
      <c r="B130" s="408"/>
      <c r="D130" s="409" t="str">
        <f>IF(BL139&gt;0," ","change the angle of frame or of cabinets")</f>
        <v xml:space="preserve"> </v>
      </c>
      <c r="E130" s="397"/>
      <c r="F130" s="397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U130" s="114"/>
      <c r="AB130" s="114"/>
      <c r="AC130" s="114"/>
      <c r="AD130" s="114"/>
      <c r="AE130" s="114"/>
      <c r="BE130" s="136"/>
      <c r="BF130" s="136"/>
      <c r="BG130" s="136"/>
      <c r="BH130" s="136"/>
      <c r="BN130" s="86"/>
      <c r="BO130" s="1091"/>
      <c r="BP130" s="163"/>
      <c r="BQ130" s="170"/>
      <c r="BR130" s="170"/>
      <c r="BS130" s="170"/>
      <c r="BT130" s="170"/>
      <c r="BU130" s="170"/>
      <c r="BV130" s="170"/>
      <c r="BW130" s="170"/>
      <c r="BX130" s="170"/>
      <c r="BY130" s="170"/>
      <c r="BZ130" s="170"/>
      <c r="CA130" s="170"/>
      <c r="CB130" s="170"/>
      <c r="CC130" s="170"/>
      <c r="CD130" s="170"/>
      <c r="CE130" s="170"/>
      <c r="CF130" s="170"/>
      <c r="CG130" s="170"/>
      <c r="CH130" s="170"/>
      <c r="CI130" s="170"/>
      <c r="CJ130" s="170"/>
      <c r="CK130" s="171"/>
      <c r="CL130" s="170"/>
      <c r="CM130" s="170"/>
      <c r="CN130" s="170"/>
      <c r="CO130" s="170"/>
      <c r="CP130" s="170"/>
      <c r="CQ130" s="170"/>
      <c r="CR130" s="170"/>
      <c r="CS130" s="170"/>
      <c r="CT130" s="170"/>
      <c r="CU130" s="170"/>
      <c r="CV130" s="170"/>
      <c r="CW130" s="170"/>
      <c r="CX130" s="170"/>
      <c r="CY130" s="170"/>
      <c r="CZ130" s="170"/>
      <c r="DA130" s="170"/>
      <c r="DB130" s="78"/>
      <c r="DC130" s="78"/>
      <c r="DD130" s="78"/>
    </row>
    <row r="131" spans="2:108" ht="54" customHeight="1" thickBot="1" x14ac:dyDescent="0.3">
      <c r="B131" s="1846" t="s">
        <v>116</v>
      </c>
      <c r="D131" s="409" t="str">
        <f>IF(DD139&lt;0," ","change the angle of frame or of cabinets")</f>
        <v xml:space="preserve"> </v>
      </c>
      <c r="E131" s="397"/>
      <c r="F131" s="397"/>
      <c r="G131" s="1014"/>
      <c r="H131" s="209"/>
      <c r="I131" s="1062">
        <f>COUNTIF(CK99:DA99,"&gt;0")</f>
        <v>1</v>
      </c>
      <c r="J131" s="1062">
        <f>COUNTIF(BQ99:CG99,"&gt;0")</f>
        <v>1</v>
      </c>
      <c r="K131" s="1062" t="b">
        <f>AND(IF(SUM(BQ131:CA131)&gt;0,1,0),IF(CP131="6  ADS ",1,0))</f>
        <v>1</v>
      </c>
      <c r="L131" s="1062" t="b">
        <f>AND(IF(SUM(CQ131:DA131)&gt;0,1,0),IF(CB131="6  ADS ",1,0))</f>
        <v>0</v>
      </c>
      <c r="M131" s="1062" t="b">
        <f>AND(IF(CP131="6  ADS ",1,0),IF(CB131="6  ADS ",1,0))</f>
        <v>0</v>
      </c>
      <c r="N131" s="209"/>
      <c r="O131" s="1015"/>
      <c r="U131" s="114"/>
      <c r="AB131" s="114"/>
      <c r="AC131" s="114"/>
      <c r="AD131" s="114"/>
      <c r="AE131" s="114"/>
      <c r="BE131" s="136"/>
      <c r="BF131" s="136"/>
      <c r="BG131" s="136"/>
      <c r="BH131" s="136"/>
      <c r="BN131" s="86"/>
      <c r="BO131" s="1095" t="s">
        <v>128</v>
      </c>
      <c r="BP131" s="172" t="s">
        <v>124</v>
      </c>
      <c r="BQ131" s="750" t="str">
        <f>IF(BQ99=1,17,"")</f>
        <v/>
      </c>
      <c r="BR131" s="751" t="str">
        <f>IF(BR99=2,16,"")</f>
        <v/>
      </c>
      <c r="BS131" s="751" t="str">
        <f>IF(BS99=3,15,"")</f>
        <v/>
      </c>
      <c r="BT131" s="751" t="str">
        <f>IF(BT99=4,14,"")</f>
        <v/>
      </c>
      <c r="BU131" s="751" t="str">
        <f>IF(BU99=5,13,"")</f>
        <v/>
      </c>
      <c r="BV131" s="751" t="str">
        <f>IF(BV99=6,12,"")</f>
        <v/>
      </c>
      <c r="BW131" s="751" t="str">
        <f>IF(BW99=7,11,"")</f>
        <v/>
      </c>
      <c r="BX131" s="751">
        <f>IF(BX99=8,10,"")</f>
        <v>10</v>
      </c>
      <c r="BY131" s="751" t="str">
        <f>IF(BY99=9,9,"")</f>
        <v/>
      </c>
      <c r="BZ131" s="751" t="str">
        <f>IF(BZ99=10,8,"")</f>
        <v/>
      </c>
      <c r="CA131" s="751" t="str">
        <f>IF(CA99=11,7,"")</f>
        <v/>
      </c>
      <c r="CB131" s="752" t="str">
        <f>IF(CB99=12,"6  ADS ","")</f>
        <v/>
      </c>
      <c r="CC131" s="751" t="str">
        <f>IF(CC99=13,5,"")</f>
        <v/>
      </c>
      <c r="CD131" s="751" t="str">
        <f>IF(CD99=14,4,"")</f>
        <v/>
      </c>
      <c r="CE131" s="751" t="str">
        <f>IF(CE99=15,3,"")</f>
        <v/>
      </c>
      <c r="CF131" s="751" t="str">
        <f>IF(CF99=16,2,"")</f>
        <v/>
      </c>
      <c r="CG131" s="751" t="str">
        <f>IF(CG99=17,1,"")</f>
        <v/>
      </c>
      <c r="CH131" s="173"/>
      <c r="CI131" s="174"/>
      <c r="CJ131" s="175"/>
      <c r="CK131" s="753" t="str">
        <f>IF(CK99=21,1,"")</f>
        <v/>
      </c>
      <c r="CL131" s="753" t="str">
        <f>IF(CL99=22,2,"")</f>
        <v/>
      </c>
      <c r="CM131" s="753" t="str">
        <f>IF(CM99=23,3,"")</f>
        <v/>
      </c>
      <c r="CN131" s="753" t="str">
        <f>IF(CN99=24,4,"")</f>
        <v/>
      </c>
      <c r="CO131" s="753" t="str">
        <f>IF(CO99=25,5,"")</f>
        <v/>
      </c>
      <c r="CP131" s="754" t="str">
        <f>IF(CP99=26,"6  ADS ","")</f>
        <v xml:space="preserve">6  ADS </v>
      </c>
      <c r="CQ131" s="753" t="str">
        <f>IF(CQ99=27,7,"")</f>
        <v/>
      </c>
      <c r="CR131" s="753" t="str">
        <f>IF(CR99=28,8,"")</f>
        <v/>
      </c>
      <c r="CS131" s="753" t="str">
        <f>IF(CS99=29,9,"")</f>
        <v/>
      </c>
      <c r="CT131" s="753" t="str">
        <f>IF(CT99=30,10,"")</f>
        <v/>
      </c>
      <c r="CU131" s="753" t="str">
        <f>IF(CU99=31,11,"")</f>
        <v/>
      </c>
      <c r="CV131" s="753" t="str">
        <f>IF(CV99=32,12,"")</f>
        <v/>
      </c>
      <c r="CW131" s="753" t="str">
        <f>IF(CW99=33,13,"")</f>
        <v/>
      </c>
      <c r="CX131" s="753" t="str">
        <f>IF(CX99=34,14,"")</f>
        <v/>
      </c>
      <c r="CY131" s="753" t="str">
        <f>IF(CY99=35,15,"")</f>
        <v/>
      </c>
      <c r="CZ131" s="753" t="str">
        <f>IF(CZ99=36,16,"")</f>
        <v/>
      </c>
      <c r="DA131" s="755" t="str">
        <f>IF(DA99=37,17,"")</f>
        <v/>
      </c>
      <c r="DB131" s="340"/>
      <c r="DC131" s="78"/>
      <c r="DD131" s="78"/>
    </row>
    <row r="132" spans="2:108" ht="54" customHeight="1" thickBot="1" x14ac:dyDescent="0.3">
      <c r="B132" s="1847"/>
      <c r="C132" s="213"/>
      <c r="D132" s="409" t="str">
        <f>IF(BL139&gt;(+COS(($B$133*-1)*3.14159265358979/180)*451.5)," ","USE EXBAR AR AT THE FRONT")</f>
        <v xml:space="preserve"> </v>
      </c>
      <c r="E132" s="397"/>
      <c r="F132" s="397"/>
      <c r="G132" s="1016"/>
      <c r="H132" s="1017"/>
      <c r="I132" s="1063">
        <f>IF(I131=2,I126,0)</f>
        <v>0</v>
      </c>
      <c r="J132" s="1063">
        <f>IF(J131=2,J126,0)</f>
        <v>0</v>
      </c>
      <c r="K132" s="1063">
        <f t="shared" ref="K132:M132" si="4">IF(K131=TRUE,K126,0)</f>
        <v>59.303187546330612</v>
      </c>
      <c r="L132" s="1063">
        <f t="shared" si="4"/>
        <v>0</v>
      </c>
      <c r="M132" s="1063">
        <f t="shared" si="4"/>
        <v>0</v>
      </c>
      <c r="N132" s="1017"/>
      <c r="O132" s="1018"/>
      <c r="U132" s="114"/>
      <c r="AB132" s="114"/>
      <c r="AC132" s="114"/>
      <c r="AD132" s="114"/>
      <c r="AE132" s="114"/>
      <c r="AL132" s="835" t="s">
        <v>174</v>
      </c>
      <c r="AM132" s="836"/>
      <c r="AN132" s="836"/>
      <c r="AO132" s="836"/>
      <c r="AP132" s="837" t="s">
        <v>178</v>
      </c>
      <c r="BE132" s="136"/>
      <c r="BF132" s="136"/>
      <c r="BG132" s="136"/>
      <c r="BH132" s="136"/>
      <c r="BL132" s="968">
        <v>6</v>
      </c>
      <c r="BM132" s="1762" t="b">
        <f>AND(BO132&gt;=10,$BB$139&gt;=10,$BA$139&gt;=10,$BB$171&gt;=10,$BA$171&gt;=10,$BA$195&gt;=10,$BB$195&gt;=10)</f>
        <v>1</v>
      </c>
      <c r="BN132" s="84" t="str">
        <f>IF(BM132=TRUE,"O K","OVERLOAD")</f>
        <v>O K</v>
      </c>
      <c r="BO132" s="982">
        <f>SUM(I132:M132)</f>
        <v>59.303187546330612</v>
      </c>
      <c r="BP132" s="788" t="s">
        <v>185</v>
      </c>
      <c r="BQ132" s="789">
        <v>-10</v>
      </c>
      <c r="BR132" s="789">
        <v>-9</v>
      </c>
      <c r="BS132" s="789">
        <v>-8</v>
      </c>
      <c r="BT132" s="789">
        <v>-7</v>
      </c>
      <c r="BU132" s="789">
        <v>-6</v>
      </c>
      <c r="BV132" s="789">
        <v>-5</v>
      </c>
      <c r="BW132" s="789">
        <v>-4</v>
      </c>
      <c r="BX132" s="789">
        <v>-3</v>
      </c>
      <c r="BY132" s="789">
        <v>-2</v>
      </c>
      <c r="BZ132" s="789">
        <v>-1</v>
      </c>
      <c r="CA132" s="789">
        <v>0</v>
      </c>
      <c r="CB132" s="789">
        <v>1</v>
      </c>
      <c r="CC132" s="789">
        <v>2</v>
      </c>
      <c r="CD132" s="789">
        <v>3</v>
      </c>
      <c r="CE132" s="789">
        <v>4</v>
      </c>
      <c r="CF132" s="789">
        <v>5</v>
      </c>
      <c r="CG132" s="789">
        <v>6</v>
      </c>
      <c r="CH132" s="789">
        <v>7</v>
      </c>
      <c r="CI132" s="789">
        <v>8</v>
      </c>
      <c r="CJ132" s="789">
        <v>9</v>
      </c>
      <c r="CK132" s="789">
        <v>10</v>
      </c>
      <c r="CL132" s="789">
        <v>11</v>
      </c>
      <c r="CM132" s="789">
        <v>12</v>
      </c>
      <c r="CN132" s="789">
        <v>13</v>
      </c>
      <c r="CO132" s="789">
        <v>14</v>
      </c>
      <c r="CP132" s="789">
        <v>15</v>
      </c>
      <c r="CQ132" s="789">
        <v>16</v>
      </c>
      <c r="CR132" s="789">
        <v>17</v>
      </c>
      <c r="CS132" s="789">
        <v>18</v>
      </c>
      <c r="CT132" s="789">
        <v>19</v>
      </c>
      <c r="CU132" s="789">
        <v>20</v>
      </c>
      <c r="CV132" s="789">
        <v>21</v>
      </c>
      <c r="CW132" s="789">
        <v>22</v>
      </c>
      <c r="CX132" s="789">
        <v>23</v>
      </c>
      <c r="CY132" s="789">
        <v>24</v>
      </c>
      <c r="CZ132" s="789">
        <v>25</v>
      </c>
      <c r="DA132" s="791">
        <v>26</v>
      </c>
      <c r="DB132" s="340"/>
      <c r="DC132" s="78"/>
      <c r="DD132" s="78"/>
    </row>
    <row r="133" spans="2:108" ht="54" customHeight="1" thickBot="1" x14ac:dyDescent="0.3">
      <c r="B133" s="4">
        <v>0</v>
      </c>
      <c r="C133" s="213"/>
      <c r="D133" s="341" t="str">
        <f>IF(DD139&lt;-(+COS(($B$133*-1)*3.14159265358979/180)*365.5)," ","USE EXBAR AR AT THE BACK")</f>
        <v xml:space="preserve"> </v>
      </c>
      <c r="E133" s="397"/>
      <c r="F133" s="397"/>
      <c r="G133" s="397"/>
      <c r="U133" s="114"/>
      <c r="AB133" s="114"/>
      <c r="AC133" s="114"/>
      <c r="AD133" s="114"/>
      <c r="AE133" s="114"/>
      <c r="AL133" s="838" t="s">
        <v>175</v>
      </c>
      <c r="AM133" s="835" t="s">
        <v>176</v>
      </c>
      <c r="AN133" s="835" t="s">
        <v>177</v>
      </c>
      <c r="AO133" s="839" t="s">
        <v>181</v>
      </c>
      <c r="AP133" s="1683" t="s">
        <v>179</v>
      </c>
      <c r="BE133" s="136"/>
      <c r="BF133" s="136"/>
      <c r="BG133" s="136"/>
      <c r="BH133" s="136"/>
      <c r="BN133" s="86"/>
      <c r="BO133" s="1091"/>
      <c r="BP133" s="136"/>
      <c r="BQ133" s="340"/>
      <c r="BR133" s="340"/>
      <c r="BS133" s="340"/>
      <c r="BT133" s="340"/>
      <c r="BU133" s="340"/>
      <c r="BV133" s="340"/>
      <c r="BW133" s="340"/>
      <c r="BX133" s="340"/>
      <c r="BY133" s="340"/>
      <c r="BZ133" s="340"/>
      <c r="CA133" s="340"/>
      <c r="CB133" s="950"/>
      <c r="CC133" s="340"/>
      <c r="CD133" s="340"/>
      <c r="CE133" s="340"/>
      <c r="CF133" s="340"/>
      <c r="CG133" s="340"/>
      <c r="CH133" s="340"/>
      <c r="CI133" s="340"/>
      <c r="CJ133" s="340"/>
      <c r="CK133" s="340"/>
      <c r="CL133" s="340"/>
      <c r="CM133" s="340"/>
      <c r="CN133" s="340"/>
      <c r="CO133" s="340"/>
      <c r="CP133" s="950"/>
      <c r="CQ133" s="340"/>
      <c r="CR133" s="340"/>
      <c r="CS133" s="340"/>
      <c r="CT133" s="340"/>
      <c r="CU133" s="340"/>
      <c r="CV133" s="340"/>
      <c r="CW133" s="340"/>
      <c r="CX133" s="340"/>
      <c r="CY133" s="340"/>
      <c r="CZ133" s="340"/>
      <c r="DA133" s="340"/>
      <c r="DB133" s="340"/>
      <c r="DC133" s="78"/>
      <c r="DD133" s="78"/>
    </row>
    <row r="134" spans="2:108" ht="18" customHeight="1" thickBot="1" x14ac:dyDescent="0.25">
      <c r="B134" s="399"/>
      <c r="C134" s="399"/>
      <c r="D134" s="397"/>
      <c r="E134" s="397"/>
      <c r="F134" s="397"/>
      <c r="G134" s="397"/>
      <c r="U134" s="114"/>
      <c r="AB134" s="114"/>
      <c r="AC134" s="114"/>
      <c r="AD134" s="114"/>
      <c r="AE134" s="114"/>
      <c r="BE134" s="136"/>
      <c r="BF134" s="136"/>
      <c r="BG134" s="136"/>
      <c r="BH134" s="136"/>
      <c r="BM134"/>
      <c r="BO134" s="1091"/>
      <c r="BP134" s="136"/>
      <c r="DB134" s="78"/>
      <c r="DC134" s="78"/>
      <c r="DD134" s="78"/>
    </row>
    <row r="135" spans="2:108" ht="61.5" customHeight="1" thickBot="1" x14ac:dyDescent="0.3">
      <c r="B135" s="345" t="s">
        <v>118</v>
      </c>
      <c r="C135" s="454"/>
      <c r="D135" s="455"/>
      <c r="E135" s="37"/>
      <c r="F135" s="37"/>
      <c r="G135" s="37"/>
      <c r="H135" s="456"/>
      <c r="I135" s="456"/>
      <c r="J135" s="456"/>
      <c r="K135" s="456"/>
      <c r="L135" s="456"/>
      <c r="M135" s="456"/>
      <c r="N135" s="456"/>
      <c r="O135" s="456"/>
      <c r="P135" s="456"/>
      <c r="Q135" s="456"/>
      <c r="R135" s="456"/>
      <c r="S135" s="457" t="s">
        <v>325</v>
      </c>
      <c r="T135" s="457">
        <f>SUM(V139:V158)/B136</f>
        <v>213.83080000000001</v>
      </c>
      <c r="U135" s="212"/>
      <c r="V135" s="73"/>
      <c r="AB135" s="73"/>
      <c r="AC135" s="73"/>
      <c r="AD135" s="73"/>
      <c r="AE135" s="73"/>
      <c r="AF135" s="73"/>
      <c r="AG135" s="73"/>
      <c r="AH135" s="73"/>
      <c r="AI135" s="73"/>
      <c r="AJ135" s="73"/>
      <c r="AK135" s="73"/>
      <c r="AL135" s="838">
        <v>6.8623010000000004</v>
      </c>
      <c r="AM135" s="835">
        <f>+$B$133-AL135</f>
        <v>-6.8623010000000004</v>
      </c>
      <c r="AN135" s="841">
        <f>COS(AM135*3.14159265358979/180)</f>
        <v>0.99283617366519983</v>
      </c>
      <c r="AO135" s="842">
        <f>+AN135*378.71303</f>
        <v>375.99999562235405</v>
      </c>
      <c r="AP135" s="813">
        <f>+((AP139*(AR139-31-31))+(AO135*31)+(AP165*31)+(AP189*31))/(AR139+31)</f>
        <v>264.27709638834608</v>
      </c>
      <c r="AQ135" s="1100" t="s">
        <v>267</v>
      </c>
      <c r="AR135" s="73"/>
      <c r="AS135" s="73"/>
      <c r="AT135" s="73"/>
      <c r="AU135" s="73"/>
      <c r="AV135" s="73"/>
      <c r="AW135" s="73"/>
      <c r="AX135" s="73"/>
      <c r="AY135" s="73"/>
      <c r="AZ135" s="73"/>
      <c r="BA135" s="73"/>
      <c r="BB135" s="73"/>
      <c r="BC135" s="126"/>
      <c r="BE135" s="136"/>
      <c r="BF135" s="136"/>
      <c r="BG135" s="136"/>
      <c r="BH135" s="136"/>
      <c r="BI135" s="136"/>
      <c r="BJ135" s="136"/>
      <c r="BK135" s="136"/>
      <c r="BL135" s="136"/>
      <c r="BM135" s="402"/>
      <c r="BN135" s="136"/>
      <c r="BO135" s="1091"/>
      <c r="BP135" s="78"/>
      <c r="BQ135" s="199"/>
      <c r="BR135" s="199"/>
      <c r="BS135" s="199"/>
      <c r="BT135" s="199"/>
      <c r="BU135" s="199"/>
      <c r="BV135" s="199"/>
      <c r="BW135" s="199"/>
      <c r="BX135" s="199"/>
      <c r="BY135" s="199"/>
      <c r="BZ135" s="199"/>
      <c r="CA135" s="199"/>
      <c r="CB135" s="199"/>
      <c r="CC135" s="199"/>
      <c r="CD135" s="199"/>
      <c r="CE135" s="199"/>
      <c r="CF135" s="199"/>
      <c r="CG135" s="199"/>
      <c r="CH135" s="199"/>
      <c r="CI135" s="199"/>
      <c r="CJ135" s="199"/>
      <c r="CK135" s="199"/>
      <c r="CL135" s="199"/>
      <c r="CM135" s="199"/>
      <c r="CN135" s="199"/>
      <c r="CO135" s="199"/>
      <c r="CP135" s="199"/>
      <c r="CQ135" s="199"/>
      <c r="CR135" s="199"/>
      <c r="CS135" s="199"/>
      <c r="CT135" s="199"/>
      <c r="CU135" s="199"/>
      <c r="CV135" s="199"/>
      <c r="CW135" s="199"/>
      <c r="CX135" s="199"/>
      <c r="CY135" s="199"/>
      <c r="CZ135" s="199"/>
      <c r="DA135" s="199"/>
      <c r="DB135" s="199"/>
    </row>
    <row r="136" spans="2:108" ht="28.5" customHeight="1" thickBot="1" x14ac:dyDescent="0.3">
      <c r="B136" s="27">
        <v>1</v>
      </c>
      <c r="C136" s="216"/>
      <c r="D136" s="556" t="s">
        <v>117</v>
      </c>
      <c r="E136" s="330"/>
      <c r="F136" s="330"/>
      <c r="G136" s="330"/>
      <c r="H136" s="1684"/>
      <c r="I136" s="1623"/>
      <c r="J136" s="1623"/>
      <c r="K136" s="1623"/>
      <c r="L136" s="1623"/>
      <c r="M136" s="1623"/>
      <c r="N136" s="1623"/>
      <c r="O136" s="1623"/>
      <c r="P136" s="1623"/>
      <c r="Q136" s="1623"/>
      <c r="R136" s="1623"/>
      <c r="S136" s="1624"/>
      <c r="T136" s="1625"/>
      <c r="U136" s="401"/>
      <c r="V136" s="1585"/>
      <c r="W136" s="1850" t="s">
        <v>93</v>
      </c>
      <c r="X136" s="1850"/>
      <c r="Y136" s="1850"/>
      <c r="Z136" s="1850"/>
      <c r="AA136" s="1850"/>
      <c r="AB136" s="1585"/>
      <c r="AC136" s="1585"/>
      <c r="AD136" s="1585"/>
      <c r="AE136" s="1585"/>
      <c r="AF136" s="1585"/>
      <c r="AG136" s="1585"/>
      <c r="AH136" s="1585"/>
      <c r="AI136" s="1585"/>
      <c r="AJ136" s="1585"/>
      <c r="AK136" s="1585"/>
      <c r="AL136" s="1585"/>
      <c r="AM136" s="1585"/>
      <c r="AN136" s="1585"/>
      <c r="AO136" s="1585"/>
      <c r="AP136" s="1585"/>
      <c r="AQ136" s="1585"/>
      <c r="AR136" s="1585"/>
      <c r="AS136" s="1585"/>
      <c r="AT136" s="1585"/>
      <c r="AU136" s="1585"/>
      <c r="AV136" s="1585"/>
      <c r="AW136" s="1585"/>
      <c r="AX136" s="1585"/>
      <c r="AY136" s="1585"/>
      <c r="AZ136" s="1585"/>
      <c r="BA136" s="1848" t="s">
        <v>52</v>
      </c>
      <c r="BB136" s="1849"/>
      <c r="BC136" s="218"/>
      <c r="BE136" s="136"/>
      <c r="BF136" s="136"/>
      <c r="BG136" s="136"/>
      <c r="BH136" s="136"/>
      <c r="BI136" s="136"/>
      <c r="BJ136" s="136"/>
      <c r="BK136" s="136"/>
      <c r="BL136" s="136"/>
      <c r="BM136" s="402"/>
      <c r="BN136" s="136"/>
      <c r="BO136" s="1091"/>
      <c r="BP136" s="76"/>
      <c r="BQ136" s="76"/>
      <c r="BR136" s="76"/>
      <c r="BS136" s="76"/>
      <c r="BT136" s="76"/>
      <c r="BU136" s="76"/>
      <c r="BV136" s="202"/>
      <c r="BW136" s="202"/>
      <c r="BX136" s="202"/>
      <c r="BY136" s="202"/>
      <c r="BZ136" s="202"/>
      <c r="CA136" s="202"/>
      <c r="CB136" s="202"/>
      <c r="CC136" s="202"/>
      <c r="CD136" s="202"/>
      <c r="CE136" s="202"/>
      <c r="CF136" s="202"/>
      <c r="CG136" s="202"/>
      <c r="CH136" s="202"/>
      <c r="CI136" s="202"/>
      <c r="CJ136" s="78"/>
      <c r="CK136" s="78"/>
      <c r="CL136" s="78"/>
      <c r="CM136" s="78"/>
      <c r="CN136" s="78"/>
      <c r="CO136" s="78"/>
      <c r="CP136" s="78"/>
      <c r="CQ136" s="78"/>
      <c r="CR136" s="78"/>
      <c r="CS136" s="78"/>
      <c r="CT136" s="78"/>
      <c r="CU136" s="78"/>
      <c r="CV136" s="78"/>
      <c r="CW136" s="78"/>
      <c r="CX136" s="78"/>
      <c r="CY136" s="78"/>
      <c r="CZ136" s="78"/>
      <c r="DA136" s="78"/>
      <c r="DB136" s="78"/>
      <c r="DC136" s="78"/>
      <c r="DD136" s="78"/>
    </row>
    <row r="137" spans="2:108" ht="69" hidden="1" customHeight="1" thickBot="1" x14ac:dyDescent="0.25">
      <c r="C137" s="416"/>
      <c r="D137" s="354" t="s">
        <v>13</v>
      </c>
      <c r="H137" s="500" t="s">
        <v>4</v>
      </c>
      <c r="I137" s="500" t="s">
        <v>1</v>
      </c>
      <c r="J137" s="456" t="s">
        <v>0</v>
      </c>
      <c r="K137" s="456" t="s">
        <v>2</v>
      </c>
      <c r="L137" s="456" t="s">
        <v>3</v>
      </c>
      <c r="M137" s="456" t="s">
        <v>8</v>
      </c>
      <c r="N137" s="456" t="s">
        <v>5</v>
      </c>
      <c r="O137" s="456" t="s">
        <v>6</v>
      </c>
      <c r="P137" s="456" t="s">
        <v>7</v>
      </c>
      <c r="Q137" s="456" t="s">
        <v>9</v>
      </c>
      <c r="R137" s="1628" t="s">
        <v>10</v>
      </c>
      <c r="S137" s="456" t="s">
        <v>11</v>
      </c>
      <c r="T137" s="467" t="s">
        <v>12</v>
      </c>
      <c r="V137" s="420"/>
      <c r="W137" s="356" t="s">
        <v>140</v>
      </c>
      <c r="X137" s="316" t="s">
        <v>94</v>
      </c>
      <c r="Y137" s="356" t="s">
        <v>141</v>
      </c>
      <c r="Z137" s="419" t="s">
        <v>100</v>
      </c>
      <c r="AA137" s="419" t="s">
        <v>96</v>
      </c>
      <c r="AB137" s="420"/>
      <c r="AC137" s="457" t="s">
        <v>99</v>
      </c>
      <c r="AD137" s="457"/>
      <c r="AE137" s="457"/>
      <c r="AF137" s="420"/>
      <c r="AG137" s="420"/>
      <c r="AH137" s="420"/>
      <c r="AI137" s="420"/>
      <c r="AJ137" s="420"/>
      <c r="AK137" s="420"/>
      <c r="AL137" s="420"/>
      <c r="AM137" s="420"/>
      <c r="AN137" s="420"/>
      <c r="AO137" s="420"/>
      <c r="AP137" s="420"/>
      <c r="AQ137" s="1589" t="s">
        <v>315</v>
      </c>
      <c r="AR137" s="420"/>
      <c r="AS137" s="420"/>
      <c r="AT137" s="420"/>
      <c r="AU137" s="420" t="s">
        <v>326</v>
      </c>
      <c r="AV137" s="420"/>
      <c r="AW137" s="420"/>
      <c r="AX137" s="420"/>
      <c r="AY137" s="415"/>
      <c r="AZ137" s="420"/>
      <c r="BA137" s="420"/>
      <c r="BB137" s="420"/>
      <c r="BC137" s="231"/>
      <c r="BE137" s="136"/>
      <c r="BF137" s="136"/>
      <c r="BG137" s="136"/>
      <c r="BH137" s="136"/>
      <c r="BI137" s="136"/>
      <c r="BJ137" s="136"/>
      <c r="BK137" s="136"/>
      <c r="BL137" s="136"/>
      <c r="BM137" s="402"/>
      <c r="BN137" s="136"/>
      <c r="BO137" s="1091"/>
      <c r="BP137" s="126"/>
      <c r="BQ137" s="126"/>
      <c r="BR137" s="126"/>
      <c r="BS137" s="126"/>
      <c r="BT137" s="126"/>
      <c r="BU137" s="126"/>
      <c r="BV137" s="203"/>
      <c r="BW137" s="203"/>
      <c r="BX137" s="203"/>
      <c r="BY137" s="203"/>
      <c r="BZ137" s="203"/>
      <c r="CA137" s="203"/>
      <c r="CB137" s="203"/>
      <c r="CC137" s="203"/>
      <c r="CD137" s="203"/>
      <c r="CE137" s="203"/>
      <c r="CF137" s="203"/>
      <c r="CG137" s="203"/>
      <c r="CH137" s="203"/>
      <c r="CI137" s="203"/>
    </row>
    <row r="138" spans="2:108" ht="29.25" customHeight="1" thickBot="1" x14ac:dyDescent="0.25">
      <c r="B138" s="501"/>
      <c r="C138" s="237"/>
      <c r="D138" s="502" t="s">
        <v>22</v>
      </c>
      <c r="E138" s="330"/>
      <c r="F138" s="503"/>
      <c r="G138" s="240"/>
      <c r="H138" s="469"/>
      <c r="I138" s="470"/>
      <c r="R138" s="1628"/>
      <c r="T138" s="471"/>
      <c r="V138" s="420" t="s">
        <v>327</v>
      </c>
      <c r="W138" s="420"/>
      <c r="X138" s="420"/>
      <c r="Y138" s="420"/>
      <c r="Z138" s="420"/>
      <c r="AA138" s="420"/>
      <c r="AB138" s="420"/>
      <c r="AC138" s="484">
        <f>SUM(AC139:AC158)</f>
        <v>213.83080000000001</v>
      </c>
      <c r="AD138" s="48"/>
      <c r="AE138" s="48"/>
      <c r="AF138" s="420" t="s">
        <v>38</v>
      </c>
      <c r="AG138" s="420"/>
      <c r="AH138" s="425" t="s">
        <v>31</v>
      </c>
      <c r="AI138" s="504"/>
      <c r="AJ138" s="368" t="s">
        <v>120</v>
      </c>
      <c r="AK138" s="426" t="s">
        <v>32</v>
      </c>
      <c r="AL138" s="472" t="s">
        <v>142</v>
      </c>
      <c r="AM138" s="368" t="s">
        <v>121</v>
      </c>
      <c r="AN138" s="427" t="s">
        <v>34</v>
      </c>
      <c r="AO138" s="472" t="s">
        <v>143</v>
      </c>
      <c r="AP138" s="428" t="s">
        <v>48</v>
      </c>
      <c r="AQ138" s="1685" t="s">
        <v>36</v>
      </c>
      <c r="AR138" s="428" t="s">
        <v>328</v>
      </c>
      <c r="AS138" s="420" t="s">
        <v>46</v>
      </c>
      <c r="AT138" s="420" t="s">
        <v>39</v>
      </c>
      <c r="AU138" s="428" t="s">
        <v>329</v>
      </c>
      <c r="AV138" s="420"/>
      <c r="AW138" s="1594" t="s">
        <v>41</v>
      </c>
      <c r="AX138" s="1594" t="s">
        <v>42</v>
      </c>
      <c r="AY138" s="430" t="s">
        <v>23</v>
      </c>
      <c r="AZ138" s="430" t="s">
        <v>24</v>
      </c>
      <c r="BA138" s="557" t="s">
        <v>23</v>
      </c>
      <c r="BB138" s="557" t="s">
        <v>24</v>
      </c>
      <c r="BE138" s="136"/>
      <c r="BF138" s="136"/>
      <c r="BG138" s="136"/>
      <c r="BH138" s="136"/>
      <c r="BI138" s="136"/>
      <c r="BJ138" s="136"/>
      <c r="BL138" s="1579" t="s">
        <v>59</v>
      </c>
      <c r="BM138" s="402"/>
      <c r="BN138" s="73"/>
      <c r="BO138" s="1091"/>
      <c r="BP138" s="64"/>
      <c r="BS138" s="126"/>
      <c r="BT138" s="126"/>
      <c r="BU138" s="126"/>
      <c r="BV138" s="203"/>
      <c r="BW138" s="203"/>
      <c r="BX138" s="203"/>
      <c r="BY138" s="203"/>
      <c r="BZ138" s="203"/>
      <c r="CA138" s="203"/>
      <c r="CB138" s="203"/>
      <c r="CC138" s="203"/>
      <c r="CD138" s="203"/>
      <c r="CE138" s="203"/>
      <c r="CF138" s="203"/>
      <c r="CG138" s="203"/>
      <c r="CH138" s="203"/>
      <c r="CI138" s="203"/>
      <c r="CR138" s="64"/>
      <c r="DD138" s="1579" t="s">
        <v>58</v>
      </c>
    </row>
    <row r="139" spans="2:108" ht="21" customHeight="1" thickBot="1" x14ac:dyDescent="0.25">
      <c r="B139" s="255">
        <v>1</v>
      </c>
      <c r="C139" s="256">
        <f>+(B133*-1)+D139</f>
        <v>0</v>
      </c>
      <c r="D139" s="25">
        <v>0</v>
      </c>
      <c r="E139" s="257" t="s">
        <v>119</v>
      </c>
      <c r="F139" s="258"/>
      <c r="G139" s="258">
        <f>+D139</f>
        <v>0</v>
      </c>
      <c r="H139" s="506">
        <v>279.06049999999999</v>
      </c>
      <c r="I139" s="507">
        <v>79.962900599999998</v>
      </c>
      <c r="J139" s="508">
        <f>+I139-C139</f>
        <v>79.962900599999998</v>
      </c>
      <c r="K139" s="508">
        <f>+J139/2</f>
        <v>39.981450299999999</v>
      </c>
      <c r="L139" s="508">
        <f t="shared" ref="L139:L158" si="5">SIN(K139*3.14159265358979/180)</f>
        <v>0.64253956655634092</v>
      </c>
      <c r="M139" s="508">
        <f t="shared" ref="M139:M158" si="6">+L139*H139</f>
        <v>179.30741271299578</v>
      </c>
      <c r="N139" s="508">
        <f t="shared" ref="N139:N158" si="7">+M139*2</f>
        <v>358.61482542599157</v>
      </c>
      <c r="O139" s="508">
        <f>+C139/2</f>
        <v>0</v>
      </c>
      <c r="P139" s="508">
        <f t="shared" ref="P139:P158" si="8">SIN(O139*3.14159265358979/180)</f>
        <v>0</v>
      </c>
      <c r="Q139" s="508">
        <f t="shared" ref="Q139:Q158" si="9">+P139*N139</f>
        <v>0</v>
      </c>
      <c r="R139" s="509">
        <v>213.83080000000001</v>
      </c>
      <c r="S139" s="508">
        <f>+R139+Q139</f>
        <v>213.83080000000001</v>
      </c>
      <c r="T139" s="510">
        <f t="shared" ref="T139:T158" si="10">+S139</f>
        <v>213.83080000000001</v>
      </c>
      <c r="U139" s="456"/>
      <c r="V139" s="511">
        <f t="shared" ref="V139:V158" si="11">IF(B139&lt;($B$136+1),T139,0)</f>
        <v>213.83080000000001</v>
      </c>
      <c r="W139" s="512">
        <v>39.981450000000002</v>
      </c>
      <c r="X139" s="511">
        <f>+W139+AI160</f>
        <v>39.981450000000002</v>
      </c>
      <c r="Y139" s="512">
        <v>279.06049999999999</v>
      </c>
      <c r="Z139" s="419">
        <f>+COS(X139*3.14159265358979/180)*Y139</f>
        <v>213.83080883710866</v>
      </c>
      <c r="AA139" s="513">
        <f>+AC138-Z139</f>
        <v>-8.8371086519600794E-6</v>
      </c>
      <c r="AB139" s="1595" t="str">
        <f>IF(AZ139&lt;0,"use the locking pin"," ")</f>
        <v xml:space="preserve"> </v>
      </c>
      <c r="AC139" s="514">
        <f>IF(AD139=1,AF139)</f>
        <v>213.83080000000001</v>
      </c>
      <c r="AD139" s="514">
        <f t="shared" ref="AD139:AD158" si="12">MAX(AE$139:AE$158)</f>
        <v>1</v>
      </c>
      <c r="AE139" s="514">
        <f>IF(V139=0,0,1)</f>
        <v>1</v>
      </c>
      <c r="AF139" s="511">
        <f>SUM(V139:V158)/($B$136)</f>
        <v>213.83080000000001</v>
      </c>
      <c r="AG139" s="511"/>
      <c r="AH139" s="515">
        <f>C139</f>
        <v>0</v>
      </c>
      <c r="AI139" s="516">
        <f>IF(B139&lt;($B$136+1),AH139)</f>
        <v>0</v>
      </c>
      <c r="AJ139" s="287">
        <f>66.2555484-AH139</f>
        <v>66.255548399999995</v>
      </c>
      <c r="AK139" s="517">
        <f t="shared" ref="AK139:AK158" si="13">SIN(AJ139*3.14159265358979/180)</f>
        <v>0.91535047595051022</v>
      </c>
      <c r="AL139" s="289">
        <f>+AK139*304.3209</f>
        <v>278.56028065668761</v>
      </c>
      <c r="AM139" s="287">
        <f>50.0185497+AH139</f>
        <v>50.018549700000001</v>
      </c>
      <c r="AN139" s="518">
        <f>SIN(AM139*3.14159265358979/180)</f>
        <v>0.76625250760411079</v>
      </c>
      <c r="AO139" s="291">
        <f>+AN139*279.0605</f>
        <v>213.83080789825695</v>
      </c>
      <c r="AP139" s="519">
        <f t="shared" ref="AP139:AP158" si="14">+((AF139*AQ139)+($AG$171*$AQ$171)+($AQ$195*$AG$195))/AR139</f>
        <v>191.00326261709978</v>
      </c>
      <c r="AQ139" s="1686">
        <f>$C$13*B136</f>
        <v>40.5</v>
      </c>
      <c r="AR139" s="519">
        <f t="shared" ref="AR139:AR158" si="15">+AQ139+$AQ$195+$AQ$171+31+31</f>
        <v>203.8</v>
      </c>
      <c r="AS139" s="520">
        <f>+AO139+AL139</f>
        <v>492.39108855494453</v>
      </c>
      <c r="AT139" s="521">
        <f>+V139-AO139</f>
        <v>-7.8982569391428115E-6</v>
      </c>
      <c r="AU139" s="522">
        <f>+AP139-AT139</f>
        <v>191.00327051535672</v>
      </c>
      <c r="AV139" s="521"/>
      <c r="AW139" s="523">
        <f>+((AS139-AU139)/AS139)*AR139</f>
        <v>124.7440068355624</v>
      </c>
      <c r="AX139" s="523">
        <f>+(AU139/AS139)*AR139</f>
        <v>79.055993164437638</v>
      </c>
      <c r="AY139" s="1597">
        <f t="shared" ref="AY139:AY158" si="16">2*$C$18/AW139</f>
        <v>92.990439334621698</v>
      </c>
      <c r="AZ139" s="1597">
        <f t="shared" ref="AZ139:AZ158" si="17">$D$18/AX139</f>
        <v>126.49262376857187</v>
      </c>
      <c r="BA139" s="542">
        <f>ABS(AY139)</f>
        <v>92.990439334621698</v>
      </c>
      <c r="BB139" s="542">
        <f>ABS(AZ139)</f>
        <v>126.49262376857187</v>
      </c>
      <c r="BC139" s="91"/>
      <c r="BE139" s="136"/>
      <c r="BF139" s="136"/>
      <c r="BG139" s="136"/>
      <c r="BH139" s="136"/>
      <c r="BI139" s="136"/>
      <c r="BJ139" s="136"/>
      <c r="BK139" s="212"/>
      <c r="BL139" s="1579">
        <f>-+BH164</f>
        <v>689.77708268574315</v>
      </c>
      <c r="BM139" s="402"/>
      <c r="BN139" s="73"/>
      <c r="BO139" s="1091"/>
      <c r="BP139" s="64"/>
      <c r="BS139" s="126"/>
      <c r="BT139" s="126"/>
      <c r="BU139" s="126"/>
      <c r="BV139" s="203"/>
      <c r="BW139" s="203"/>
      <c r="BX139" s="203"/>
      <c r="BY139" s="203"/>
      <c r="BZ139" s="203"/>
      <c r="CA139" s="203"/>
      <c r="CB139" s="203"/>
      <c r="CC139" s="203"/>
      <c r="CD139" s="203"/>
      <c r="CE139" s="203"/>
      <c r="CF139" s="203"/>
      <c r="CG139" s="203"/>
      <c r="CH139" s="203"/>
      <c r="CI139" s="203"/>
      <c r="CP139" s="212"/>
      <c r="CR139" s="64"/>
      <c r="DD139" s="1579">
        <f>+-BH203</f>
        <v>-858.22291731425685</v>
      </c>
    </row>
    <row r="140" spans="2:108" ht="21" customHeight="1" thickBot="1" x14ac:dyDescent="0.25">
      <c r="B140" s="277">
        <v>2</v>
      </c>
      <c r="C140" s="278"/>
      <c r="D140" s="25">
        <v>0</v>
      </c>
      <c r="E140" s="279" t="s">
        <v>130</v>
      </c>
      <c r="F140" s="258"/>
      <c r="G140" s="258" t="e">
        <f>+D140+BC140</f>
        <v>#DIV/0!</v>
      </c>
      <c r="H140" s="506">
        <v>279.06049999999999</v>
      </c>
      <c r="I140" s="507">
        <v>79.962900599999998</v>
      </c>
      <c r="J140" s="474">
        <f t="shared" ref="J140:J158" si="18">+I140-D140</f>
        <v>79.962900599999998</v>
      </c>
      <c r="K140" s="474">
        <f t="shared" ref="K140:K158" si="19">+J140/2</f>
        <v>39.981450299999999</v>
      </c>
      <c r="L140" s="474">
        <f t="shared" si="5"/>
        <v>0.64253956655634092</v>
      </c>
      <c r="M140" s="474">
        <f t="shared" si="6"/>
        <v>179.30741271299578</v>
      </c>
      <c r="N140" s="474">
        <f t="shared" si="7"/>
        <v>358.61482542599157</v>
      </c>
      <c r="O140" s="474">
        <f>+C139+(D140/2)</f>
        <v>0</v>
      </c>
      <c r="P140" s="474">
        <f t="shared" si="8"/>
        <v>0</v>
      </c>
      <c r="Q140" s="474">
        <f t="shared" si="9"/>
        <v>0</v>
      </c>
      <c r="R140" s="474">
        <f t="shared" ref="R140:R158" si="20">+T139</f>
        <v>213.83080000000001</v>
      </c>
      <c r="S140" s="474">
        <f>+R140+Q140</f>
        <v>213.83080000000001</v>
      </c>
      <c r="T140" s="476">
        <f t="shared" si="10"/>
        <v>213.83080000000001</v>
      </c>
      <c r="V140" s="437">
        <f t="shared" si="11"/>
        <v>0</v>
      </c>
      <c r="W140" s="437"/>
      <c r="X140" s="437"/>
      <c r="Y140" s="437"/>
      <c r="Z140" s="437"/>
      <c r="AA140" s="437"/>
      <c r="AB140" s="1595" t="e">
        <f>IF(AZ140&lt;0,"use the locking pin"," ")</f>
        <v>#DIV/0!</v>
      </c>
      <c r="AC140" s="514" t="b">
        <f>IF(AD140=2,AF140)</f>
        <v>0</v>
      </c>
      <c r="AD140" s="514">
        <f t="shared" si="12"/>
        <v>1</v>
      </c>
      <c r="AE140" s="514">
        <f>IF(V140=0,0,2)</f>
        <v>0</v>
      </c>
      <c r="AF140" s="437" t="e">
        <f>SUM(V140:V158)/($B$136-B139)</f>
        <v>#DIV/0!</v>
      </c>
      <c r="AG140" s="437"/>
      <c r="AH140" s="450">
        <f>SUM(D140)+$C$139</f>
        <v>0</v>
      </c>
      <c r="AI140" s="516" t="b">
        <f t="shared" ref="AI140:AI158" si="21">IF(B140&lt;($B$136+1),AH140)</f>
        <v>0</v>
      </c>
      <c r="AJ140" s="287">
        <f t="shared" ref="AJ140:AJ158" si="22">66.2555484-AH140</f>
        <v>66.255548399999995</v>
      </c>
      <c r="AK140" s="441">
        <f t="shared" si="13"/>
        <v>0.91535047595051022</v>
      </c>
      <c r="AL140" s="289">
        <f t="shared" ref="AL140:AL158" si="23">+AK140*304.3209</f>
        <v>278.56028065668761</v>
      </c>
      <c r="AM140" s="287">
        <f t="shared" ref="AM140:AM158" si="24">50.0185497+AH140</f>
        <v>50.018549700000001</v>
      </c>
      <c r="AN140" s="442">
        <f t="shared" ref="AN140:AN158" si="25">SIN(AM140*3.14159265358979/180)</f>
        <v>0.76625250760411079</v>
      </c>
      <c r="AO140" s="291">
        <f t="shared" ref="AO140:AO158" si="26">+AN140*279.0605</f>
        <v>213.83080789825695</v>
      </c>
      <c r="AP140" s="519" t="e">
        <f t="shared" si="14"/>
        <v>#DIV/0!</v>
      </c>
      <c r="AQ140" s="1687">
        <f>$C$13*($B$136-B139)</f>
        <v>0</v>
      </c>
      <c r="AR140" s="443">
        <f t="shared" si="15"/>
        <v>163.30000000000001</v>
      </c>
      <c r="AS140" s="444">
        <f t="shared" ref="AS140:AS158" si="27">+AO140+AL140</f>
        <v>492.39108855494453</v>
      </c>
      <c r="AT140" s="445">
        <f>+V140-AO140</f>
        <v>-213.83080789825695</v>
      </c>
      <c r="AU140" s="446" t="e">
        <f t="shared" ref="AU140:AU158" si="28">+AP140-AT140</f>
        <v>#DIV/0!</v>
      </c>
      <c r="AV140" s="445"/>
      <c r="AW140" s="447" t="e">
        <f t="shared" ref="AW140:AW158" si="29">+((AS140-AU140)/AS140)*AR140</f>
        <v>#DIV/0!</v>
      </c>
      <c r="AX140" s="447" t="e">
        <f t="shared" ref="AX140:AX158" si="30">+(AU140/AS140)*AR140</f>
        <v>#DIV/0!</v>
      </c>
      <c r="AY140" s="1597" t="e">
        <f t="shared" si="16"/>
        <v>#DIV/0!</v>
      </c>
      <c r="AZ140" s="1597" t="e">
        <f t="shared" si="17"/>
        <v>#DIV/0!</v>
      </c>
      <c r="BA140" s="542" t="e">
        <f t="shared" ref="BA140:BB158" si="31">ABS(AY140)</f>
        <v>#DIV/0!</v>
      </c>
      <c r="BB140" s="542" t="e">
        <f t="shared" si="31"/>
        <v>#DIV/0!</v>
      </c>
      <c r="BC140" t="e">
        <f t="shared" ref="BC140:BC158" si="32">IF(AZ140&lt;0,0.3,0)</f>
        <v>#DIV/0!</v>
      </c>
      <c r="BM140" s="402"/>
      <c r="BN140" s="136"/>
      <c r="BO140" s="1091"/>
      <c r="BP140" s="126"/>
      <c r="BQ140" s="126"/>
      <c r="BR140" s="126"/>
      <c r="BS140" s="126"/>
      <c r="BT140" s="126"/>
      <c r="BU140" s="126"/>
      <c r="BV140" s="203"/>
      <c r="BW140" s="203"/>
      <c r="BX140" s="203"/>
      <c r="BY140" s="203"/>
      <c r="BZ140" s="203"/>
      <c r="CA140" s="203"/>
      <c r="CB140" s="203"/>
      <c r="CC140" s="203"/>
      <c r="CD140" s="203"/>
      <c r="CE140" s="203"/>
      <c r="CF140" s="203"/>
      <c r="CG140" s="203"/>
      <c r="CH140" s="203"/>
      <c r="CI140" s="203"/>
    </row>
    <row r="141" spans="2:108" ht="21" customHeight="1" thickBot="1" x14ac:dyDescent="0.35">
      <c r="B141" s="277">
        <v>3</v>
      </c>
      <c r="C141" s="278"/>
      <c r="D141" s="25">
        <v>0</v>
      </c>
      <c r="E141" s="279" t="s">
        <v>130</v>
      </c>
      <c r="F141" s="258"/>
      <c r="G141" s="258">
        <f>+D141+BC141</f>
        <v>0</v>
      </c>
      <c r="H141" s="506">
        <v>279.06049999999999</v>
      </c>
      <c r="I141" s="507">
        <v>79.962900599999998</v>
      </c>
      <c r="J141" s="474">
        <f t="shared" si="18"/>
        <v>79.962900599999998</v>
      </c>
      <c r="K141" s="474">
        <f t="shared" si="19"/>
        <v>39.981450299999999</v>
      </c>
      <c r="L141" s="474">
        <f t="shared" si="5"/>
        <v>0.64253956655634092</v>
      </c>
      <c r="M141" s="474">
        <f t="shared" si="6"/>
        <v>179.30741271299578</v>
      </c>
      <c r="N141" s="474">
        <f t="shared" si="7"/>
        <v>358.61482542599157</v>
      </c>
      <c r="O141" s="474">
        <f>+C139+D140+(D141/2)</f>
        <v>0</v>
      </c>
      <c r="P141" s="474">
        <f t="shared" si="8"/>
        <v>0</v>
      </c>
      <c r="Q141" s="474">
        <f t="shared" si="9"/>
        <v>0</v>
      </c>
      <c r="R141" s="474">
        <f t="shared" si="20"/>
        <v>213.83080000000001</v>
      </c>
      <c r="S141" s="474">
        <f t="shared" ref="S141:S158" si="33">+S140+Q141</f>
        <v>213.83080000000001</v>
      </c>
      <c r="T141" s="476">
        <f t="shared" si="10"/>
        <v>213.83080000000001</v>
      </c>
      <c r="V141" s="437">
        <f t="shared" si="11"/>
        <v>0</v>
      </c>
      <c r="W141" s="437"/>
      <c r="X141" s="437"/>
      <c r="Y141" s="437"/>
      <c r="Z141" s="437"/>
      <c r="AA141" s="437"/>
      <c r="AB141" s="1595" t="str">
        <f t="shared" ref="AB141:AB158" si="34">IF(AZ141&lt;0,"use the locking pin"," ")</f>
        <v xml:space="preserve"> </v>
      </c>
      <c r="AC141" s="514" t="b">
        <f>IF(AD141=3,AF141)</f>
        <v>0</v>
      </c>
      <c r="AD141" s="514">
        <f t="shared" si="12"/>
        <v>1</v>
      </c>
      <c r="AE141" s="514">
        <f>IF(V141=0,0,3)</f>
        <v>0</v>
      </c>
      <c r="AF141" s="437">
        <f>SUM(V141:V158)/($B$136-B140)</f>
        <v>0</v>
      </c>
      <c r="AG141" s="437"/>
      <c r="AH141" s="450">
        <f>SUM(D140:D141)+$C$139</f>
        <v>0</v>
      </c>
      <c r="AI141" s="516" t="b">
        <f t="shared" si="21"/>
        <v>0</v>
      </c>
      <c r="AJ141" s="287">
        <f t="shared" si="22"/>
        <v>66.255548399999995</v>
      </c>
      <c r="AK141" s="441">
        <f t="shared" si="13"/>
        <v>0.91535047595051022</v>
      </c>
      <c r="AL141" s="289">
        <f t="shared" si="23"/>
        <v>278.56028065668761</v>
      </c>
      <c r="AM141" s="287">
        <f t="shared" si="24"/>
        <v>50.018549700000001</v>
      </c>
      <c r="AN141" s="442">
        <f t="shared" si="25"/>
        <v>0.76625250760411079</v>
      </c>
      <c r="AO141" s="291">
        <f t="shared" si="26"/>
        <v>213.83080789825695</v>
      </c>
      <c r="AP141" s="519">
        <f t="shared" si="14"/>
        <v>246.46838372447016</v>
      </c>
      <c r="AQ141" s="1687">
        <f t="shared" ref="AQ141:AQ158" si="35">$C$13*($B$136-B140)</f>
        <v>-40.5</v>
      </c>
      <c r="AR141" s="443">
        <f t="shared" si="15"/>
        <v>122.8</v>
      </c>
      <c r="AS141" s="444">
        <f t="shared" si="27"/>
        <v>492.39108855494453</v>
      </c>
      <c r="AT141" s="445">
        <f>+V141-AO141</f>
        <v>-213.83080789825695</v>
      </c>
      <c r="AU141" s="446">
        <f t="shared" si="28"/>
        <v>460.29919162272711</v>
      </c>
      <c r="AV141" s="445"/>
      <c r="AW141" s="447">
        <f t="shared" si="29"/>
        <v>8.0035667478099519</v>
      </c>
      <c r="AX141" s="447">
        <f t="shared" si="30"/>
        <v>114.79643325219004</v>
      </c>
      <c r="AY141" s="1597">
        <f t="shared" si="16"/>
        <v>1449.3538150567877</v>
      </c>
      <c r="AZ141" s="1597">
        <f t="shared" si="17"/>
        <v>87.110720400446098</v>
      </c>
      <c r="BA141" s="542">
        <f t="shared" si="31"/>
        <v>1449.3538150567877</v>
      </c>
      <c r="BB141" s="542">
        <f t="shared" si="31"/>
        <v>87.110720400446098</v>
      </c>
      <c r="BC141">
        <f t="shared" si="32"/>
        <v>0</v>
      </c>
      <c r="BM141" s="214"/>
      <c r="BN141" s="214"/>
      <c r="BO141" s="214"/>
      <c r="BP141" s="126"/>
      <c r="BQ141" s="126"/>
      <c r="BR141" s="126"/>
      <c r="BS141" s="126"/>
      <c r="BT141" s="126"/>
      <c r="BU141" s="126"/>
      <c r="BV141" s="203"/>
      <c r="BW141" s="203"/>
      <c r="BX141" s="203"/>
      <c r="BY141" s="203"/>
      <c r="BZ141" s="203"/>
      <c r="CA141" s="203"/>
      <c r="CB141" s="203"/>
      <c r="CC141" s="203"/>
      <c r="CD141" s="203"/>
      <c r="CE141" s="203"/>
      <c r="CF141" s="203"/>
      <c r="CG141" s="203"/>
      <c r="CH141" s="203"/>
      <c r="CI141" s="203"/>
    </row>
    <row r="142" spans="2:108" ht="21" customHeight="1" thickBot="1" x14ac:dyDescent="0.35">
      <c r="B142" s="277">
        <v>4</v>
      </c>
      <c r="C142" s="278"/>
      <c r="D142" s="25">
        <v>0</v>
      </c>
      <c r="E142" s="279" t="s">
        <v>130</v>
      </c>
      <c r="F142" s="258"/>
      <c r="G142" s="258">
        <f>+D142+BC142</f>
        <v>0</v>
      </c>
      <c r="H142" s="506">
        <v>279.06049999999999</v>
      </c>
      <c r="I142" s="507">
        <v>79.962900599999998</v>
      </c>
      <c r="J142" s="474">
        <f t="shared" si="18"/>
        <v>79.962900599999998</v>
      </c>
      <c r="K142" s="474">
        <f t="shared" si="19"/>
        <v>39.981450299999999</v>
      </c>
      <c r="L142" s="474">
        <f t="shared" si="5"/>
        <v>0.64253956655634092</v>
      </c>
      <c r="M142" s="474">
        <f t="shared" si="6"/>
        <v>179.30741271299578</v>
      </c>
      <c r="N142" s="474">
        <f t="shared" si="7"/>
        <v>358.61482542599157</v>
      </c>
      <c r="O142" s="474">
        <f>+C139+D140+D141+(D142/2)</f>
        <v>0</v>
      </c>
      <c r="P142" s="474">
        <f t="shared" si="8"/>
        <v>0</v>
      </c>
      <c r="Q142" s="474">
        <f t="shared" si="9"/>
        <v>0</v>
      </c>
      <c r="R142" s="474">
        <f t="shared" si="20"/>
        <v>213.83080000000001</v>
      </c>
      <c r="S142" s="474">
        <f t="shared" si="33"/>
        <v>213.83080000000001</v>
      </c>
      <c r="T142" s="476">
        <f t="shared" si="10"/>
        <v>213.83080000000001</v>
      </c>
      <c r="V142" s="437">
        <f t="shared" si="11"/>
        <v>0</v>
      </c>
      <c r="W142" s="437"/>
      <c r="X142" s="437"/>
      <c r="Y142" s="437"/>
      <c r="Z142" s="437"/>
      <c r="AA142" s="437"/>
      <c r="AB142" s="1595" t="str">
        <f t="shared" si="34"/>
        <v xml:space="preserve"> </v>
      </c>
      <c r="AC142" s="514" t="b">
        <f>IF(AD142=4,AF142)</f>
        <v>0</v>
      </c>
      <c r="AD142" s="514">
        <f t="shared" si="12"/>
        <v>1</v>
      </c>
      <c r="AE142" s="514">
        <f>IF(V142=0,0,4)</f>
        <v>0</v>
      </c>
      <c r="AF142" s="437">
        <f>SUM(V142:V158)/($B$136-B141)</f>
        <v>0</v>
      </c>
      <c r="AG142" s="437"/>
      <c r="AH142" s="450">
        <f>SUM(D140:D142)+$C$139</f>
        <v>0</v>
      </c>
      <c r="AI142" s="516" t="b">
        <f t="shared" si="21"/>
        <v>0</v>
      </c>
      <c r="AJ142" s="287">
        <f t="shared" si="22"/>
        <v>66.255548399999995</v>
      </c>
      <c r="AK142" s="441">
        <f t="shared" si="13"/>
        <v>0.91535047595051022</v>
      </c>
      <c r="AL142" s="289">
        <f t="shared" si="23"/>
        <v>278.56028065668761</v>
      </c>
      <c r="AM142" s="287">
        <f t="shared" si="24"/>
        <v>50.018549700000001</v>
      </c>
      <c r="AN142" s="442">
        <f t="shared" si="25"/>
        <v>0.76625250760411079</v>
      </c>
      <c r="AO142" s="291">
        <f t="shared" si="26"/>
        <v>213.83080789825695</v>
      </c>
      <c r="AP142" s="519">
        <f t="shared" si="14"/>
        <v>367.75598446372948</v>
      </c>
      <c r="AQ142" s="1687">
        <f t="shared" si="35"/>
        <v>-81</v>
      </c>
      <c r="AR142" s="443">
        <f t="shared" si="15"/>
        <v>82.3</v>
      </c>
      <c r="AS142" s="444">
        <f t="shared" si="27"/>
        <v>492.39108855494453</v>
      </c>
      <c r="AT142" s="445">
        <f>+V142-AO142</f>
        <v>-213.83080789825695</v>
      </c>
      <c r="AU142" s="446">
        <f t="shared" si="28"/>
        <v>581.58679236198645</v>
      </c>
      <c r="AV142" s="445"/>
      <c r="AW142" s="447">
        <f t="shared" si="29"/>
        <v>-14.908487570039378</v>
      </c>
      <c r="AX142" s="447">
        <f t="shared" si="30"/>
        <v>97.208487570039367</v>
      </c>
      <c r="AY142" s="1597">
        <f t="shared" si="16"/>
        <v>-778.08026773364782</v>
      </c>
      <c r="AZ142" s="1597">
        <f t="shared" si="17"/>
        <v>102.87167561160679</v>
      </c>
      <c r="BA142" s="542">
        <f t="shared" si="31"/>
        <v>778.08026773364782</v>
      </c>
      <c r="BB142" s="542">
        <f t="shared" si="31"/>
        <v>102.87167561160679</v>
      </c>
      <c r="BC142">
        <f t="shared" si="32"/>
        <v>0</v>
      </c>
      <c r="BM142" s="214"/>
      <c r="BN142" s="214"/>
      <c r="BO142" s="214"/>
      <c r="BP142" s="126"/>
      <c r="BQ142" s="126"/>
      <c r="BR142" s="126"/>
      <c r="BS142" s="126"/>
      <c r="BT142" s="126"/>
      <c r="BU142" s="126"/>
      <c r="BV142" s="203"/>
      <c r="BW142" s="203"/>
      <c r="BX142" s="203"/>
      <c r="BY142" s="203"/>
      <c r="BZ142" s="203"/>
      <c r="CA142" s="203"/>
      <c r="CB142" s="203"/>
      <c r="CC142" s="203"/>
      <c r="CD142" s="203"/>
      <c r="CE142" s="203"/>
      <c r="CF142" s="203"/>
      <c r="CG142" s="203"/>
      <c r="CH142" s="203"/>
      <c r="CI142" s="203"/>
    </row>
    <row r="143" spans="2:108" ht="21" customHeight="1" thickBot="1" x14ac:dyDescent="0.35">
      <c r="B143" s="277">
        <v>5</v>
      </c>
      <c r="C143" s="278"/>
      <c r="D143" s="25">
        <v>0</v>
      </c>
      <c r="E143" s="279" t="s">
        <v>130</v>
      </c>
      <c r="F143" s="258"/>
      <c r="G143" s="258">
        <f>+D143+BC143</f>
        <v>0</v>
      </c>
      <c r="H143" s="506">
        <v>279.06049999999999</v>
      </c>
      <c r="I143" s="507">
        <v>79.962900599999998</v>
      </c>
      <c r="J143" s="474">
        <f t="shared" si="18"/>
        <v>79.962900599999998</v>
      </c>
      <c r="K143" s="474">
        <f t="shared" si="19"/>
        <v>39.981450299999999</v>
      </c>
      <c r="L143" s="474">
        <f t="shared" si="5"/>
        <v>0.64253956655634092</v>
      </c>
      <c r="M143" s="474">
        <f t="shared" si="6"/>
        <v>179.30741271299578</v>
      </c>
      <c r="N143" s="474">
        <f t="shared" si="7"/>
        <v>358.61482542599157</v>
      </c>
      <c r="O143" s="474">
        <f>+C139+D140+D141+D142+(D143/2)</f>
        <v>0</v>
      </c>
      <c r="P143" s="474">
        <f t="shared" si="8"/>
        <v>0</v>
      </c>
      <c r="Q143" s="474">
        <f t="shared" si="9"/>
        <v>0</v>
      </c>
      <c r="R143" s="474">
        <f t="shared" si="20"/>
        <v>213.83080000000001</v>
      </c>
      <c r="S143" s="474">
        <f t="shared" si="33"/>
        <v>213.83080000000001</v>
      </c>
      <c r="T143" s="476">
        <f t="shared" si="10"/>
        <v>213.83080000000001</v>
      </c>
      <c r="V143" s="437">
        <f t="shared" si="11"/>
        <v>0</v>
      </c>
      <c r="W143" s="437"/>
      <c r="X143" s="437"/>
      <c r="Y143" s="437"/>
      <c r="Z143" s="437"/>
      <c r="AA143" s="437"/>
      <c r="AB143" s="1595" t="str">
        <f t="shared" si="34"/>
        <v xml:space="preserve"> </v>
      </c>
      <c r="AC143" s="514" t="b">
        <f>IF(AD143=5,AF143)</f>
        <v>0</v>
      </c>
      <c r="AD143" s="514">
        <f t="shared" si="12"/>
        <v>1</v>
      </c>
      <c r="AE143" s="514">
        <f>IF(V143=0,0,5)</f>
        <v>0</v>
      </c>
      <c r="AF143" s="437">
        <f>SUM(V143:V158)/($B$136-B142)</f>
        <v>0</v>
      </c>
      <c r="AG143" s="437"/>
      <c r="AH143" s="450">
        <f>SUM(D140:D143)+$C$139</f>
        <v>0</v>
      </c>
      <c r="AI143" s="516" t="b">
        <f t="shared" si="21"/>
        <v>0</v>
      </c>
      <c r="AJ143" s="287">
        <f t="shared" si="22"/>
        <v>66.255548399999995</v>
      </c>
      <c r="AK143" s="441">
        <f t="shared" si="13"/>
        <v>0.91535047595051022</v>
      </c>
      <c r="AL143" s="289">
        <f t="shared" si="23"/>
        <v>278.56028065668761</v>
      </c>
      <c r="AM143" s="287">
        <f t="shared" si="24"/>
        <v>50.018549700000001</v>
      </c>
      <c r="AN143" s="442">
        <f t="shared" si="25"/>
        <v>0.76625250760411079</v>
      </c>
      <c r="AO143" s="291">
        <f t="shared" si="26"/>
        <v>213.83080789825695</v>
      </c>
      <c r="AP143" s="519">
        <f t="shared" si="14"/>
        <v>724.07458185083578</v>
      </c>
      <c r="AQ143" s="1687">
        <f t="shared" si="35"/>
        <v>-121.5</v>
      </c>
      <c r="AR143" s="443">
        <f t="shared" si="15"/>
        <v>41.8</v>
      </c>
      <c r="AS143" s="444">
        <f t="shared" si="27"/>
        <v>492.39108855494453</v>
      </c>
      <c r="AT143" s="445">
        <f t="shared" ref="AT143:AT158" si="36">+V143-AO143</f>
        <v>-213.83080789825695</v>
      </c>
      <c r="AU143" s="446">
        <f t="shared" si="28"/>
        <v>937.90538974909271</v>
      </c>
      <c r="AV143" s="445"/>
      <c r="AW143" s="447">
        <f t="shared" si="29"/>
        <v>-37.820541887888695</v>
      </c>
      <c r="AX143" s="447">
        <f t="shared" si="30"/>
        <v>79.620541887888692</v>
      </c>
      <c r="AY143" s="1597">
        <f t="shared" si="16"/>
        <v>-306.71162868014534</v>
      </c>
      <c r="AZ143" s="1597">
        <f t="shared" si="17"/>
        <v>125.59572897758849</v>
      </c>
      <c r="BA143" s="542">
        <f t="shared" si="31"/>
        <v>306.71162868014534</v>
      </c>
      <c r="BB143" s="542">
        <f t="shared" si="31"/>
        <v>125.59572897758849</v>
      </c>
      <c r="BC143">
        <f t="shared" si="32"/>
        <v>0</v>
      </c>
      <c r="BM143" s="214"/>
      <c r="BN143" s="214"/>
      <c r="BO143" s="214"/>
      <c r="BP143" s="126"/>
      <c r="BQ143" s="126"/>
      <c r="BR143" s="126"/>
      <c r="BS143" s="126"/>
      <c r="BT143" s="126"/>
      <c r="BU143" s="126"/>
      <c r="BV143" s="203"/>
      <c r="BW143" s="203"/>
      <c r="BX143" s="203"/>
      <c r="BY143" s="203"/>
      <c r="BZ143" s="203"/>
      <c r="CA143" s="203"/>
      <c r="CB143" s="203"/>
      <c r="CC143" s="203"/>
      <c r="CD143" s="203"/>
      <c r="CE143" s="203"/>
      <c r="CF143" s="203"/>
      <c r="CG143" s="203"/>
      <c r="CH143" s="203"/>
      <c r="CI143" s="203"/>
    </row>
    <row r="144" spans="2:108" ht="21" customHeight="1" thickBot="1" x14ac:dyDescent="0.35">
      <c r="B144" s="277">
        <v>6</v>
      </c>
      <c r="C144" s="278"/>
      <c r="D144" s="25">
        <v>0</v>
      </c>
      <c r="E144" s="279" t="s">
        <v>130</v>
      </c>
      <c r="F144" s="258"/>
      <c r="G144" s="258">
        <f t="shared" ref="G144:G158" si="37">+D144+BC144</f>
        <v>0</v>
      </c>
      <c r="H144" s="506">
        <v>279.06049999999999</v>
      </c>
      <c r="I144" s="507">
        <v>79.962900599999998</v>
      </c>
      <c r="J144" s="474">
        <f t="shared" si="18"/>
        <v>79.962900599999998</v>
      </c>
      <c r="K144" s="474">
        <f t="shared" si="19"/>
        <v>39.981450299999999</v>
      </c>
      <c r="L144" s="474">
        <f t="shared" si="5"/>
        <v>0.64253956655634092</v>
      </c>
      <c r="M144" s="474">
        <f t="shared" si="6"/>
        <v>179.30741271299578</v>
      </c>
      <c r="N144" s="474">
        <f t="shared" si="7"/>
        <v>358.61482542599157</v>
      </c>
      <c r="O144" s="474">
        <f>+C139+D140+D141+D142+D143+(D144/2)</f>
        <v>0</v>
      </c>
      <c r="P144" s="474">
        <f t="shared" si="8"/>
        <v>0</v>
      </c>
      <c r="Q144" s="474">
        <f t="shared" si="9"/>
        <v>0</v>
      </c>
      <c r="R144" s="474">
        <f t="shared" si="20"/>
        <v>213.83080000000001</v>
      </c>
      <c r="S144" s="474">
        <f t="shared" si="33"/>
        <v>213.83080000000001</v>
      </c>
      <c r="T144" s="476">
        <f t="shared" si="10"/>
        <v>213.83080000000001</v>
      </c>
      <c r="V144" s="437">
        <f t="shared" si="11"/>
        <v>0</v>
      </c>
      <c r="W144" s="437"/>
      <c r="X144" s="437"/>
      <c r="Y144" s="437"/>
      <c r="Z144" s="437"/>
      <c r="AA144" s="437"/>
      <c r="AB144" s="1595" t="str">
        <f t="shared" si="34"/>
        <v xml:space="preserve"> </v>
      </c>
      <c r="AC144" s="514" t="b">
        <f>IF(AD144=6,AF144)</f>
        <v>0</v>
      </c>
      <c r="AD144" s="514">
        <f t="shared" si="12"/>
        <v>1</v>
      </c>
      <c r="AE144" s="514">
        <f>IF(V144=0,0,6)</f>
        <v>0</v>
      </c>
      <c r="AF144" s="437">
        <f>SUM(V144:V158)/($B$136-B143)</f>
        <v>0</v>
      </c>
      <c r="AG144" s="437"/>
      <c r="AH144" s="450">
        <f>SUM(D140:D144)+$C$139</f>
        <v>0</v>
      </c>
      <c r="AI144" s="516" t="b">
        <f t="shared" si="21"/>
        <v>0</v>
      </c>
      <c r="AJ144" s="287">
        <f t="shared" si="22"/>
        <v>66.255548399999995</v>
      </c>
      <c r="AK144" s="441">
        <f t="shared" si="13"/>
        <v>0.91535047595051022</v>
      </c>
      <c r="AL144" s="289">
        <f t="shared" si="23"/>
        <v>278.56028065668761</v>
      </c>
      <c r="AM144" s="287">
        <f t="shared" si="24"/>
        <v>50.018549700000001</v>
      </c>
      <c r="AN144" s="442">
        <f t="shared" si="25"/>
        <v>0.76625250760411079</v>
      </c>
      <c r="AO144" s="291">
        <f t="shared" si="26"/>
        <v>213.83080789825695</v>
      </c>
      <c r="AP144" s="519">
        <f t="shared" si="14"/>
        <v>23281.782708742052</v>
      </c>
      <c r="AQ144" s="1687">
        <f t="shared" si="35"/>
        <v>-162</v>
      </c>
      <c r="AR144" s="443">
        <f t="shared" si="15"/>
        <v>1.3000000000000114</v>
      </c>
      <c r="AS144" s="444">
        <f t="shared" si="27"/>
        <v>492.39108855494453</v>
      </c>
      <c r="AT144" s="445">
        <f t="shared" si="36"/>
        <v>-213.83080789825695</v>
      </c>
      <c r="AU144" s="446">
        <f t="shared" si="28"/>
        <v>23495.613516640307</v>
      </c>
      <c r="AV144" s="445"/>
      <c r="AW144" s="447">
        <f t="shared" si="29"/>
        <v>-60.732596205738012</v>
      </c>
      <c r="AX144" s="447">
        <f t="shared" si="30"/>
        <v>62.032596205738024</v>
      </c>
      <c r="AY144" s="1597">
        <f t="shared" si="16"/>
        <v>-191.00122050939152</v>
      </c>
      <c r="AZ144" s="1597">
        <f t="shared" si="17"/>
        <v>161.20556951757888</v>
      </c>
      <c r="BA144" s="542">
        <f t="shared" si="31"/>
        <v>191.00122050939152</v>
      </c>
      <c r="BB144" s="542">
        <f t="shared" si="31"/>
        <v>161.20556951757888</v>
      </c>
      <c r="BC144">
        <f t="shared" si="32"/>
        <v>0</v>
      </c>
      <c r="BM144" s="214"/>
      <c r="BN144" s="214"/>
      <c r="BO144" s="214"/>
      <c r="CI144" s="236"/>
      <c r="CJ144" s="236"/>
      <c r="CK144" s="236"/>
      <c r="CL144" s="236"/>
      <c r="CM144" s="236"/>
      <c r="CN144" s="236"/>
    </row>
    <row r="145" spans="1:129" ht="21" customHeight="1" thickBot="1" x14ac:dyDescent="0.35">
      <c r="B145" s="277">
        <v>7</v>
      </c>
      <c r="C145" s="278"/>
      <c r="D145" s="25">
        <v>0</v>
      </c>
      <c r="E145" s="279" t="s">
        <v>130</v>
      </c>
      <c r="F145" s="258"/>
      <c r="G145" s="258">
        <f t="shared" si="37"/>
        <v>0</v>
      </c>
      <c r="H145" s="506">
        <v>279.06049999999999</v>
      </c>
      <c r="I145" s="507">
        <v>79.962900599999998</v>
      </c>
      <c r="J145" s="474">
        <f t="shared" si="18"/>
        <v>79.962900599999998</v>
      </c>
      <c r="K145" s="474">
        <f t="shared" si="19"/>
        <v>39.981450299999999</v>
      </c>
      <c r="L145" s="474">
        <f t="shared" si="5"/>
        <v>0.64253956655634092</v>
      </c>
      <c r="M145" s="474">
        <f t="shared" si="6"/>
        <v>179.30741271299578</v>
      </c>
      <c r="N145" s="474">
        <f t="shared" si="7"/>
        <v>358.61482542599157</v>
      </c>
      <c r="O145" s="474">
        <f>+C139+D140+D141+D142+D143+D144+(D145/2)</f>
        <v>0</v>
      </c>
      <c r="P145" s="474">
        <f t="shared" si="8"/>
        <v>0</v>
      </c>
      <c r="Q145" s="474">
        <f t="shared" si="9"/>
        <v>0</v>
      </c>
      <c r="R145" s="474">
        <f t="shared" si="20"/>
        <v>213.83080000000001</v>
      </c>
      <c r="S145" s="474">
        <f t="shared" si="33"/>
        <v>213.83080000000001</v>
      </c>
      <c r="T145" s="476">
        <f t="shared" si="10"/>
        <v>213.83080000000001</v>
      </c>
      <c r="V145" s="437">
        <f t="shared" si="11"/>
        <v>0</v>
      </c>
      <c r="W145" s="437"/>
      <c r="X145" s="437"/>
      <c r="Y145" s="437"/>
      <c r="Z145" s="437"/>
      <c r="AA145" s="437"/>
      <c r="AB145" s="1595" t="str">
        <f t="shared" si="34"/>
        <v xml:space="preserve"> </v>
      </c>
      <c r="AC145" s="514" t="b">
        <f>IF(AD145=7,AF145)</f>
        <v>0</v>
      </c>
      <c r="AD145" s="514">
        <f t="shared" si="12"/>
        <v>1</v>
      </c>
      <c r="AE145" s="514">
        <f>IF(V145=0,0,7)</f>
        <v>0</v>
      </c>
      <c r="AF145" s="437">
        <f>SUM(V145:V158)/($B$136-B144)</f>
        <v>0</v>
      </c>
      <c r="AG145" s="437"/>
      <c r="AH145" s="450">
        <f>SUM(D140:D145)+$C$139</f>
        <v>0</v>
      </c>
      <c r="AI145" s="516" t="b">
        <f t="shared" si="21"/>
        <v>0</v>
      </c>
      <c r="AJ145" s="287">
        <f t="shared" si="22"/>
        <v>66.255548399999995</v>
      </c>
      <c r="AK145" s="441">
        <f t="shared" si="13"/>
        <v>0.91535047595051022</v>
      </c>
      <c r="AL145" s="289">
        <f t="shared" si="23"/>
        <v>278.56028065668761</v>
      </c>
      <c r="AM145" s="287">
        <f t="shared" si="24"/>
        <v>50.018549700000001</v>
      </c>
      <c r="AN145" s="442">
        <f t="shared" si="25"/>
        <v>0.76625250760411079</v>
      </c>
      <c r="AO145" s="291">
        <f t="shared" si="26"/>
        <v>213.83080789825695</v>
      </c>
      <c r="AP145" s="519">
        <f t="shared" si="14"/>
        <v>-772.09993676951387</v>
      </c>
      <c r="AQ145" s="1687">
        <f t="shared" si="35"/>
        <v>-202.5</v>
      </c>
      <c r="AR145" s="443">
        <f t="shared" si="15"/>
        <v>-39.199999999999989</v>
      </c>
      <c r="AS145" s="444">
        <f t="shared" si="27"/>
        <v>492.39108855494453</v>
      </c>
      <c r="AT145" s="445">
        <f t="shared" si="36"/>
        <v>-213.83080789825695</v>
      </c>
      <c r="AU145" s="446">
        <f t="shared" si="28"/>
        <v>-558.26912887125695</v>
      </c>
      <c r="AV145" s="445"/>
      <c r="AW145" s="447">
        <f t="shared" si="29"/>
        <v>-83.644650523587359</v>
      </c>
      <c r="AX145" s="447">
        <f t="shared" si="30"/>
        <v>44.444650523587363</v>
      </c>
      <c r="AY145" s="1597">
        <f t="shared" si="16"/>
        <v>-138.68191124462717</v>
      </c>
      <c r="AZ145" s="1597">
        <f t="shared" si="17"/>
        <v>224.9989567291764</v>
      </c>
      <c r="BA145" s="542">
        <f t="shared" si="31"/>
        <v>138.68191124462717</v>
      </c>
      <c r="BB145" s="542">
        <f t="shared" si="31"/>
        <v>224.9989567291764</v>
      </c>
      <c r="BC145">
        <f t="shared" si="32"/>
        <v>0</v>
      </c>
      <c r="BM145" s="214"/>
      <c r="BN145" s="214"/>
      <c r="BO145" s="214"/>
    </row>
    <row r="146" spans="1:129" ht="21" customHeight="1" thickBot="1" x14ac:dyDescent="0.35">
      <c r="B146" s="277">
        <v>8</v>
      </c>
      <c r="C146" s="278"/>
      <c r="D146" s="25">
        <v>0</v>
      </c>
      <c r="E146" s="279" t="s">
        <v>130</v>
      </c>
      <c r="F146" s="258"/>
      <c r="G146" s="258">
        <f t="shared" si="37"/>
        <v>0</v>
      </c>
      <c r="H146" s="506">
        <v>279.06049999999999</v>
      </c>
      <c r="I146" s="507">
        <v>79.962900599999998</v>
      </c>
      <c r="J146" s="474">
        <f t="shared" si="18"/>
        <v>79.962900599999998</v>
      </c>
      <c r="K146" s="474">
        <f t="shared" si="19"/>
        <v>39.981450299999999</v>
      </c>
      <c r="L146" s="474">
        <f t="shared" si="5"/>
        <v>0.64253956655634092</v>
      </c>
      <c r="M146" s="474">
        <f t="shared" si="6"/>
        <v>179.30741271299578</v>
      </c>
      <c r="N146" s="474">
        <f t="shared" si="7"/>
        <v>358.61482542599157</v>
      </c>
      <c r="O146" s="474">
        <f>+C139+D140+D141+D142+D143+D144+D145+(D146/2)</f>
        <v>0</v>
      </c>
      <c r="P146" s="474">
        <f t="shared" si="8"/>
        <v>0</v>
      </c>
      <c r="Q146" s="474">
        <f t="shared" si="9"/>
        <v>0</v>
      </c>
      <c r="R146" s="474">
        <f t="shared" si="20"/>
        <v>213.83080000000001</v>
      </c>
      <c r="S146" s="474">
        <f t="shared" si="33"/>
        <v>213.83080000000001</v>
      </c>
      <c r="T146" s="476">
        <f t="shared" si="10"/>
        <v>213.83080000000001</v>
      </c>
      <c r="V146" s="437">
        <f t="shared" si="11"/>
        <v>0</v>
      </c>
      <c r="W146" s="437"/>
      <c r="X146" s="437"/>
      <c r="Y146" s="437"/>
      <c r="Z146" s="437"/>
      <c r="AA146" s="437"/>
      <c r="AB146" s="1595" t="str">
        <f t="shared" si="34"/>
        <v xml:space="preserve"> </v>
      </c>
      <c r="AC146" s="514" t="b">
        <f>IF(AD146=8,AF146)</f>
        <v>0</v>
      </c>
      <c r="AD146" s="514">
        <f t="shared" si="12"/>
        <v>1</v>
      </c>
      <c r="AE146" s="514">
        <f>IF(V146=0,0,8)</f>
        <v>0</v>
      </c>
      <c r="AF146" s="437">
        <f>SUM(V146:V158)/($B$136-B145)</f>
        <v>0</v>
      </c>
      <c r="AG146" s="437"/>
      <c r="AH146" s="450">
        <f>SUM(D140:D146)+$C$139</f>
        <v>0</v>
      </c>
      <c r="AI146" s="516" t="b">
        <f t="shared" si="21"/>
        <v>0</v>
      </c>
      <c r="AJ146" s="287">
        <f t="shared" si="22"/>
        <v>66.255548399999995</v>
      </c>
      <c r="AK146" s="441">
        <f t="shared" si="13"/>
        <v>0.91535047595051022</v>
      </c>
      <c r="AL146" s="289">
        <f t="shared" si="23"/>
        <v>278.56028065668761</v>
      </c>
      <c r="AM146" s="287">
        <f t="shared" si="24"/>
        <v>50.018549700000001</v>
      </c>
      <c r="AN146" s="442">
        <f t="shared" si="25"/>
        <v>0.76625250760411079</v>
      </c>
      <c r="AO146" s="291">
        <f t="shared" si="26"/>
        <v>213.83080789825695</v>
      </c>
      <c r="AP146" s="519">
        <f t="shared" si="14"/>
        <v>-379.75304292804191</v>
      </c>
      <c r="AQ146" s="1687">
        <f t="shared" si="35"/>
        <v>-243</v>
      </c>
      <c r="AR146" s="443">
        <f t="shared" si="15"/>
        <v>-79.699999999999989</v>
      </c>
      <c r="AS146" s="444">
        <f t="shared" si="27"/>
        <v>492.39108855494453</v>
      </c>
      <c r="AT146" s="445">
        <f t="shared" si="36"/>
        <v>-213.83080789825695</v>
      </c>
      <c r="AU146" s="446">
        <f t="shared" si="28"/>
        <v>-165.92223502978496</v>
      </c>
      <c r="AV146" s="445"/>
      <c r="AW146" s="447">
        <f t="shared" si="29"/>
        <v>-106.55670484143667</v>
      </c>
      <c r="AX146" s="447">
        <f t="shared" si="30"/>
        <v>26.856704841436684</v>
      </c>
      <c r="AY146" s="1597">
        <f t="shared" si="16"/>
        <v>-108.86222520921191</v>
      </c>
      <c r="AZ146" s="1597">
        <f t="shared" si="17"/>
        <v>372.34649816649119</v>
      </c>
      <c r="BA146" s="542">
        <f t="shared" si="31"/>
        <v>108.86222520921191</v>
      </c>
      <c r="BB146" s="542">
        <f t="shared" si="31"/>
        <v>372.34649816649119</v>
      </c>
      <c r="BC146">
        <f t="shared" si="32"/>
        <v>0</v>
      </c>
      <c r="BM146" s="214"/>
      <c r="BN146" s="214"/>
      <c r="BO146" s="214"/>
    </row>
    <row r="147" spans="1:129" ht="21" customHeight="1" thickBot="1" x14ac:dyDescent="0.35">
      <c r="B147" s="277">
        <v>9</v>
      </c>
      <c r="C147" s="278"/>
      <c r="D147" s="25">
        <v>0</v>
      </c>
      <c r="E147" s="279" t="s">
        <v>130</v>
      </c>
      <c r="F147" s="258"/>
      <c r="G147" s="258">
        <f t="shared" si="37"/>
        <v>0</v>
      </c>
      <c r="H147" s="506">
        <v>279.06049999999999</v>
      </c>
      <c r="I147" s="507">
        <v>79.962900599999998</v>
      </c>
      <c r="J147" s="474">
        <f t="shared" si="18"/>
        <v>79.962900599999998</v>
      </c>
      <c r="K147" s="474">
        <f t="shared" si="19"/>
        <v>39.981450299999999</v>
      </c>
      <c r="L147" s="474">
        <f t="shared" si="5"/>
        <v>0.64253956655634092</v>
      </c>
      <c r="M147" s="474">
        <f t="shared" si="6"/>
        <v>179.30741271299578</v>
      </c>
      <c r="N147" s="474">
        <f t="shared" si="7"/>
        <v>358.61482542599157</v>
      </c>
      <c r="O147" s="474">
        <f>+C139+D140+D141+D142+D143+D144+D145+D146+(D147/2)</f>
        <v>0</v>
      </c>
      <c r="P147" s="474">
        <f t="shared" si="8"/>
        <v>0</v>
      </c>
      <c r="Q147" s="474">
        <f t="shared" si="9"/>
        <v>0</v>
      </c>
      <c r="R147" s="474">
        <f t="shared" si="20"/>
        <v>213.83080000000001</v>
      </c>
      <c r="S147" s="474">
        <f t="shared" si="33"/>
        <v>213.83080000000001</v>
      </c>
      <c r="T147" s="476">
        <f t="shared" si="10"/>
        <v>213.83080000000001</v>
      </c>
      <c r="V147" s="437">
        <f t="shared" si="11"/>
        <v>0</v>
      </c>
      <c r="W147" s="437"/>
      <c r="X147" s="437"/>
      <c r="Y147" s="437"/>
      <c r="Z147" s="437"/>
      <c r="AA147" s="437"/>
      <c r="AB147" s="1595" t="str">
        <f t="shared" si="34"/>
        <v xml:space="preserve"> </v>
      </c>
      <c r="AC147" s="514" t="b">
        <f>IF(AD147=9,AF147)</f>
        <v>0</v>
      </c>
      <c r="AD147" s="514">
        <f t="shared" si="12"/>
        <v>1</v>
      </c>
      <c r="AE147" s="514">
        <f>IF(V147=0,0,9)</f>
        <v>0</v>
      </c>
      <c r="AF147" s="437">
        <f>SUM(V147:V158)/($B$136-B146)</f>
        <v>0</v>
      </c>
      <c r="AG147" s="437"/>
      <c r="AH147" s="450">
        <f>SUM(D140:D147)+$C$139</f>
        <v>0</v>
      </c>
      <c r="AI147" s="516" t="b">
        <f t="shared" si="21"/>
        <v>0</v>
      </c>
      <c r="AJ147" s="287">
        <f t="shared" si="22"/>
        <v>66.255548399999995</v>
      </c>
      <c r="AK147" s="441">
        <f t="shared" si="13"/>
        <v>0.91535047595051022</v>
      </c>
      <c r="AL147" s="289">
        <f t="shared" si="23"/>
        <v>278.56028065668761</v>
      </c>
      <c r="AM147" s="287">
        <f t="shared" si="24"/>
        <v>50.018549700000001</v>
      </c>
      <c r="AN147" s="442">
        <f t="shared" si="25"/>
        <v>0.76625250760411079</v>
      </c>
      <c r="AO147" s="291">
        <f t="shared" si="26"/>
        <v>213.83080789825695</v>
      </c>
      <c r="AP147" s="519">
        <f t="shared" si="14"/>
        <v>-251.79964660037385</v>
      </c>
      <c r="AQ147" s="1687">
        <f t="shared" si="35"/>
        <v>-283.5</v>
      </c>
      <c r="AR147" s="443">
        <f t="shared" si="15"/>
        <v>-120.19999999999999</v>
      </c>
      <c r="AS147" s="444">
        <f t="shared" si="27"/>
        <v>492.39108855494453</v>
      </c>
      <c r="AT147" s="445">
        <f t="shared" si="36"/>
        <v>-213.83080789825695</v>
      </c>
      <c r="AU147" s="446">
        <f t="shared" si="28"/>
        <v>-37.968838702116898</v>
      </c>
      <c r="AV147" s="445"/>
      <c r="AW147" s="447">
        <f t="shared" si="29"/>
        <v>-129.46875915928598</v>
      </c>
      <c r="AX147" s="447">
        <f t="shared" si="30"/>
        <v>9.2687591592860095</v>
      </c>
      <c r="AY147" s="1597">
        <f t="shared" si="16"/>
        <v>-89.596904112817441</v>
      </c>
      <c r="AZ147" s="1597">
        <f t="shared" si="17"/>
        <v>1078.8930673618149</v>
      </c>
      <c r="BA147" s="542">
        <f t="shared" si="31"/>
        <v>89.596904112817441</v>
      </c>
      <c r="BB147" s="542">
        <f t="shared" si="31"/>
        <v>1078.8930673618149</v>
      </c>
      <c r="BC147">
        <f t="shared" si="32"/>
        <v>0</v>
      </c>
      <c r="BM147" s="214"/>
      <c r="BN147" s="214"/>
      <c r="BO147" s="214"/>
    </row>
    <row r="148" spans="1:129" ht="21" customHeight="1" thickBot="1" x14ac:dyDescent="0.35">
      <c r="B148" s="277">
        <v>10</v>
      </c>
      <c r="C148" s="278"/>
      <c r="D148" s="25">
        <v>0</v>
      </c>
      <c r="E148" s="279" t="s">
        <v>130</v>
      </c>
      <c r="F148" s="258"/>
      <c r="G148" s="258">
        <f t="shared" si="37"/>
        <v>0.3</v>
      </c>
      <c r="H148" s="506">
        <v>279.06049999999999</v>
      </c>
      <c r="I148" s="507">
        <v>79.962900599999998</v>
      </c>
      <c r="J148" s="474">
        <f t="shared" si="18"/>
        <v>79.962900599999998</v>
      </c>
      <c r="K148" s="474">
        <f t="shared" si="19"/>
        <v>39.981450299999999</v>
      </c>
      <c r="L148" s="474">
        <f t="shared" si="5"/>
        <v>0.64253956655634092</v>
      </c>
      <c r="M148" s="474">
        <f t="shared" si="6"/>
        <v>179.30741271299578</v>
      </c>
      <c r="N148" s="474">
        <f t="shared" si="7"/>
        <v>358.61482542599157</v>
      </c>
      <c r="O148" s="474">
        <f>+C139+D140+D141+D142+D143+D144+D145+D146+D147+(D148/2)</f>
        <v>0</v>
      </c>
      <c r="P148" s="474">
        <f t="shared" si="8"/>
        <v>0</v>
      </c>
      <c r="Q148" s="474">
        <f t="shared" si="9"/>
        <v>0</v>
      </c>
      <c r="R148" s="474">
        <f t="shared" si="20"/>
        <v>213.83080000000001</v>
      </c>
      <c r="S148" s="474">
        <f t="shared" si="33"/>
        <v>213.83080000000001</v>
      </c>
      <c r="T148" s="476">
        <f t="shared" si="10"/>
        <v>213.83080000000001</v>
      </c>
      <c r="V148" s="437">
        <f t="shared" si="11"/>
        <v>0</v>
      </c>
      <c r="W148" s="437"/>
      <c r="X148" s="437"/>
      <c r="Y148" s="437"/>
      <c r="Z148" s="437"/>
      <c r="AA148" s="437"/>
      <c r="AB148" s="1595" t="str">
        <f t="shared" si="34"/>
        <v>use the locking pin</v>
      </c>
      <c r="AC148" s="514" t="b">
        <f>IF(AD148=10,AF148)</f>
        <v>0</v>
      </c>
      <c r="AD148" s="514">
        <f t="shared" si="12"/>
        <v>1</v>
      </c>
      <c r="AE148" s="514">
        <f>IF(V148=0,0,10)</f>
        <v>0</v>
      </c>
      <c r="AF148" s="437">
        <f>SUM(V148:V158)/($B$136-B147)</f>
        <v>0</v>
      </c>
      <c r="AG148" s="437"/>
      <c r="AH148" s="450">
        <f>SUM(D140:D148)+$C$139</f>
        <v>0</v>
      </c>
      <c r="AI148" s="516" t="b">
        <f t="shared" si="21"/>
        <v>0</v>
      </c>
      <c r="AJ148" s="287">
        <f t="shared" si="22"/>
        <v>66.255548399999995</v>
      </c>
      <c r="AK148" s="441">
        <f t="shared" si="13"/>
        <v>0.91535047595051022</v>
      </c>
      <c r="AL148" s="289">
        <f t="shared" si="23"/>
        <v>278.56028065668761</v>
      </c>
      <c r="AM148" s="287">
        <f t="shared" si="24"/>
        <v>50.018549700000001</v>
      </c>
      <c r="AN148" s="442">
        <f t="shared" si="25"/>
        <v>0.76625250760411079</v>
      </c>
      <c r="AO148" s="291">
        <f t="shared" si="26"/>
        <v>213.83080789825695</v>
      </c>
      <c r="AP148" s="519">
        <f t="shared" si="14"/>
        <v>-188.34049484359014</v>
      </c>
      <c r="AQ148" s="1687">
        <f t="shared" si="35"/>
        <v>-324</v>
      </c>
      <c r="AR148" s="443">
        <f t="shared" si="15"/>
        <v>-160.69999999999999</v>
      </c>
      <c r="AS148" s="444">
        <f t="shared" si="27"/>
        <v>492.39108855494453</v>
      </c>
      <c r="AT148" s="445">
        <f t="shared" si="36"/>
        <v>-213.83080789825695</v>
      </c>
      <c r="AU148" s="446">
        <f t="shared" si="28"/>
        <v>25.490313054666814</v>
      </c>
      <c r="AV148" s="445"/>
      <c r="AW148" s="447">
        <f t="shared" si="29"/>
        <v>-152.38081347713532</v>
      </c>
      <c r="AX148" s="447">
        <f t="shared" si="30"/>
        <v>-8.3191865228646655</v>
      </c>
      <c r="AY148" s="1597">
        <f t="shared" si="16"/>
        <v>-76.125069392286548</v>
      </c>
      <c r="AZ148" s="1597">
        <f t="shared" si="17"/>
        <v>-1202.0406048735347</v>
      </c>
      <c r="BA148" s="542">
        <f t="shared" si="31"/>
        <v>76.125069392286548</v>
      </c>
      <c r="BB148" s="542">
        <f t="shared" si="31"/>
        <v>1202.0406048735347</v>
      </c>
      <c r="BC148">
        <f t="shared" si="32"/>
        <v>0.3</v>
      </c>
      <c r="BM148" s="214"/>
      <c r="BN148" s="214"/>
      <c r="BO148" s="214"/>
    </row>
    <row r="149" spans="1:129" ht="21" customHeight="1" thickBot="1" x14ac:dyDescent="0.35">
      <c r="A149" s="296"/>
      <c r="B149" s="277">
        <v>11</v>
      </c>
      <c r="C149" s="278"/>
      <c r="D149" s="25">
        <v>0</v>
      </c>
      <c r="E149" s="279" t="s">
        <v>130</v>
      </c>
      <c r="F149" s="258"/>
      <c r="G149" s="258">
        <f t="shared" si="37"/>
        <v>0.3</v>
      </c>
      <c r="H149" s="506">
        <v>279.06049999999999</v>
      </c>
      <c r="I149" s="507">
        <v>79.962900599999998</v>
      </c>
      <c r="J149" s="474">
        <f t="shared" si="18"/>
        <v>79.962900599999998</v>
      </c>
      <c r="K149" s="474">
        <f t="shared" si="19"/>
        <v>39.981450299999999</v>
      </c>
      <c r="L149" s="474">
        <f t="shared" si="5"/>
        <v>0.64253956655634092</v>
      </c>
      <c r="M149" s="474">
        <f t="shared" si="6"/>
        <v>179.30741271299578</v>
      </c>
      <c r="N149" s="474">
        <f t="shared" si="7"/>
        <v>358.61482542599157</v>
      </c>
      <c r="O149" s="474">
        <f>+C139+D140+D141+D142+D143+D144+D145+D146+D147+D148+(D149/2)</f>
        <v>0</v>
      </c>
      <c r="P149" s="474">
        <f t="shared" si="8"/>
        <v>0</v>
      </c>
      <c r="Q149" s="474">
        <f t="shared" si="9"/>
        <v>0</v>
      </c>
      <c r="R149" s="474">
        <f t="shared" si="20"/>
        <v>213.83080000000001</v>
      </c>
      <c r="S149" s="474">
        <f t="shared" si="33"/>
        <v>213.83080000000001</v>
      </c>
      <c r="T149" s="476">
        <f t="shared" si="10"/>
        <v>213.83080000000001</v>
      </c>
      <c r="V149" s="437">
        <f t="shared" si="11"/>
        <v>0</v>
      </c>
      <c r="W149" s="437"/>
      <c r="X149" s="437"/>
      <c r="Y149" s="437"/>
      <c r="Z149" s="437"/>
      <c r="AA149" s="437"/>
      <c r="AB149" s="1595" t="str">
        <f t="shared" si="34"/>
        <v>use the locking pin</v>
      </c>
      <c r="AC149" s="514" t="b">
        <f>IF(AD149=11,AF149)</f>
        <v>0</v>
      </c>
      <c r="AD149" s="514">
        <f t="shared" si="12"/>
        <v>1</v>
      </c>
      <c r="AE149" s="514">
        <f>IF(V149=0,0,11)</f>
        <v>0</v>
      </c>
      <c r="AF149" s="437">
        <f>SUM(V149:V158)/($B$136-B148)</f>
        <v>0</v>
      </c>
      <c r="AG149" s="437"/>
      <c r="AH149" s="450">
        <f>SUM(D140:D149)+$C$139</f>
        <v>0</v>
      </c>
      <c r="AI149" s="516" t="b">
        <f t="shared" si="21"/>
        <v>0</v>
      </c>
      <c r="AJ149" s="287">
        <f t="shared" si="22"/>
        <v>66.255548399999995</v>
      </c>
      <c r="AK149" s="441">
        <f t="shared" si="13"/>
        <v>0.91535047595051022</v>
      </c>
      <c r="AL149" s="289">
        <f t="shared" si="23"/>
        <v>278.56028065668761</v>
      </c>
      <c r="AM149" s="287">
        <f t="shared" si="24"/>
        <v>50.018549700000001</v>
      </c>
      <c r="AN149" s="442">
        <f t="shared" si="25"/>
        <v>0.76625250760411079</v>
      </c>
      <c r="AO149" s="291">
        <f t="shared" si="26"/>
        <v>213.83080789825695</v>
      </c>
      <c r="AP149" s="519">
        <f t="shared" si="14"/>
        <v>-150.42901352567065</v>
      </c>
      <c r="AQ149" s="1687">
        <f t="shared" si="35"/>
        <v>-364.5</v>
      </c>
      <c r="AR149" s="443">
        <f t="shared" si="15"/>
        <v>-201.2</v>
      </c>
      <c r="AS149" s="444">
        <f t="shared" si="27"/>
        <v>492.39108855494453</v>
      </c>
      <c r="AT149" s="445">
        <f t="shared" si="36"/>
        <v>-213.83080789825695</v>
      </c>
      <c r="AU149" s="446">
        <f t="shared" si="28"/>
        <v>63.401794372586295</v>
      </c>
      <c r="AV149" s="445"/>
      <c r="AW149" s="447">
        <f t="shared" si="29"/>
        <v>-175.29286779498466</v>
      </c>
      <c r="AX149" s="447">
        <f t="shared" si="30"/>
        <v>-25.907132205015333</v>
      </c>
      <c r="AY149" s="1597">
        <f t="shared" si="16"/>
        <v>-66.174968473713847</v>
      </c>
      <c r="AZ149" s="1597">
        <f t="shared" si="17"/>
        <v>-385.99409308854769</v>
      </c>
      <c r="BA149" s="542">
        <f t="shared" si="31"/>
        <v>66.174968473713847</v>
      </c>
      <c r="BB149" s="542">
        <f t="shared" si="31"/>
        <v>385.99409308854769</v>
      </c>
      <c r="BC149">
        <f t="shared" si="32"/>
        <v>0.3</v>
      </c>
      <c r="BM149" s="214"/>
      <c r="BN149" s="214"/>
      <c r="BO149" s="214"/>
    </row>
    <row r="150" spans="1:129" ht="21" customHeight="1" thickBot="1" x14ac:dyDescent="0.35">
      <c r="A150" s="296"/>
      <c r="B150" s="277">
        <v>12</v>
      </c>
      <c r="C150" s="278"/>
      <c r="D150" s="25">
        <v>0</v>
      </c>
      <c r="E150" s="279" t="s">
        <v>130</v>
      </c>
      <c r="F150" s="258"/>
      <c r="G150" s="258">
        <f t="shared" si="37"/>
        <v>0.3</v>
      </c>
      <c r="H150" s="506">
        <v>279.06049999999999</v>
      </c>
      <c r="I150" s="507">
        <v>79.962900599999998</v>
      </c>
      <c r="J150" s="474">
        <f t="shared" si="18"/>
        <v>79.962900599999998</v>
      </c>
      <c r="K150" s="474">
        <f t="shared" si="19"/>
        <v>39.981450299999999</v>
      </c>
      <c r="L150" s="474">
        <f t="shared" si="5"/>
        <v>0.64253956655634092</v>
      </c>
      <c r="M150" s="474">
        <f t="shared" si="6"/>
        <v>179.30741271299578</v>
      </c>
      <c r="N150" s="474">
        <f t="shared" si="7"/>
        <v>358.61482542599157</v>
      </c>
      <c r="O150" s="474">
        <f>+C139+D140+D141+D142+D143+D144+D145+D146+D147+D148+D149+(D150/2)</f>
        <v>0</v>
      </c>
      <c r="P150" s="474">
        <f t="shared" si="8"/>
        <v>0</v>
      </c>
      <c r="Q150" s="474">
        <f t="shared" si="9"/>
        <v>0</v>
      </c>
      <c r="R150" s="474">
        <f t="shared" si="20"/>
        <v>213.83080000000001</v>
      </c>
      <c r="S150" s="474">
        <f t="shared" si="33"/>
        <v>213.83080000000001</v>
      </c>
      <c r="T150" s="476">
        <f t="shared" si="10"/>
        <v>213.83080000000001</v>
      </c>
      <c r="V150" s="437">
        <f t="shared" si="11"/>
        <v>0</v>
      </c>
      <c r="W150" s="437"/>
      <c r="X150" s="437"/>
      <c r="Y150" s="437"/>
      <c r="Z150" s="437"/>
      <c r="AA150" s="437"/>
      <c r="AB150" s="1595" t="str">
        <f t="shared" si="34"/>
        <v>use the locking pin</v>
      </c>
      <c r="AC150" s="514" t="b">
        <f>IF(AD150=12,AF150)</f>
        <v>0</v>
      </c>
      <c r="AD150" s="514">
        <f t="shared" si="12"/>
        <v>1</v>
      </c>
      <c r="AE150" s="514">
        <f>IF(V150=0,0,12)</f>
        <v>0</v>
      </c>
      <c r="AF150" s="437">
        <f>SUM(V150:V158)/($B$136-B149)</f>
        <v>0</v>
      </c>
      <c r="AG150" s="437"/>
      <c r="AH150" s="450">
        <f>SUM(D140:D150)+$C$139</f>
        <v>0</v>
      </c>
      <c r="AI150" s="516" t="b">
        <f t="shared" si="21"/>
        <v>0</v>
      </c>
      <c r="AJ150" s="287">
        <f t="shared" si="22"/>
        <v>66.255548399999995</v>
      </c>
      <c r="AK150" s="441">
        <f t="shared" si="13"/>
        <v>0.91535047595051022</v>
      </c>
      <c r="AL150" s="289">
        <f t="shared" si="23"/>
        <v>278.56028065668761</v>
      </c>
      <c r="AM150" s="287">
        <f t="shared" si="24"/>
        <v>50.018549700000001</v>
      </c>
      <c r="AN150" s="442">
        <f t="shared" si="25"/>
        <v>0.76625250760411079</v>
      </c>
      <c r="AO150" s="291">
        <f t="shared" si="26"/>
        <v>213.83080789825695</v>
      </c>
      <c r="AP150" s="519">
        <f t="shared" si="14"/>
        <v>-125.22266247978872</v>
      </c>
      <c r="AQ150" s="1687">
        <f t="shared" si="35"/>
        <v>-405</v>
      </c>
      <c r="AR150" s="443">
        <f t="shared" si="15"/>
        <v>-241.7</v>
      </c>
      <c r="AS150" s="444">
        <f t="shared" si="27"/>
        <v>492.39108855494453</v>
      </c>
      <c r="AT150" s="445">
        <f t="shared" si="36"/>
        <v>-213.83080789825695</v>
      </c>
      <c r="AU150" s="446">
        <f t="shared" si="28"/>
        <v>88.608145418468226</v>
      </c>
      <c r="AV150" s="445"/>
      <c r="AW150" s="447">
        <f t="shared" si="29"/>
        <v>-198.204922112834</v>
      </c>
      <c r="AX150" s="447">
        <f t="shared" si="30"/>
        <v>-43.495077887166012</v>
      </c>
      <c r="AY150" s="1597">
        <f t="shared" si="16"/>
        <v>-58.52528724486649</v>
      </c>
      <c r="AZ150" s="1597">
        <f t="shared" si="17"/>
        <v>-229.91107237333344</v>
      </c>
      <c r="BA150" s="542">
        <f t="shared" si="31"/>
        <v>58.52528724486649</v>
      </c>
      <c r="BB150" s="542">
        <f t="shared" si="31"/>
        <v>229.91107237333344</v>
      </c>
      <c r="BC150">
        <f t="shared" si="32"/>
        <v>0.3</v>
      </c>
      <c r="BM150" s="214"/>
      <c r="BN150" s="214"/>
      <c r="BO150" s="214"/>
    </row>
    <row r="151" spans="1:129" ht="21" customHeight="1" thickBot="1" x14ac:dyDescent="0.35">
      <c r="B151" s="277">
        <v>13</v>
      </c>
      <c r="C151" s="278"/>
      <c r="D151" s="25">
        <v>0</v>
      </c>
      <c r="E151" s="279" t="s">
        <v>130</v>
      </c>
      <c r="F151" s="258"/>
      <c r="G151" s="258">
        <f t="shared" si="37"/>
        <v>0.3</v>
      </c>
      <c r="H151" s="506">
        <v>279.06049999999999</v>
      </c>
      <c r="I151" s="507">
        <v>79.962900599999998</v>
      </c>
      <c r="J151" s="474">
        <f t="shared" si="18"/>
        <v>79.962900599999998</v>
      </c>
      <c r="K151" s="474">
        <f t="shared" si="19"/>
        <v>39.981450299999999</v>
      </c>
      <c r="L151" s="474">
        <f t="shared" si="5"/>
        <v>0.64253956655634092</v>
      </c>
      <c r="M151" s="474">
        <f t="shared" si="6"/>
        <v>179.30741271299578</v>
      </c>
      <c r="N151" s="474">
        <f t="shared" si="7"/>
        <v>358.61482542599157</v>
      </c>
      <c r="O151" s="474">
        <f>+C139+D140+D141+D142+D143+D144+D145+D146+D147+D148+D149+D150+(D151/2)</f>
        <v>0</v>
      </c>
      <c r="P151" s="474">
        <f t="shared" si="8"/>
        <v>0</v>
      </c>
      <c r="Q151" s="474">
        <f t="shared" si="9"/>
        <v>0</v>
      </c>
      <c r="R151" s="474">
        <f t="shared" si="20"/>
        <v>213.83080000000001</v>
      </c>
      <c r="S151" s="474">
        <f t="shared" si="33"/>
        <v>213.83080000000001</v>
      </c>
      <c r="T151" s="476">
        <f t="shared" si="10"/>
        <v>213.83080000000001</v>
      </c>
      <c r="V151" s="437">
        <f t="shared" si="11"/>
        <v>0</v>
      </c>
      <c r="W151" s="437"/>
      <c r="X151" s="437"/>
      <c r="Y151" s="437"/>
      <c r="Z151" s="437"/>
      <c r="AA151" s="437"/>
      <c r="AB151" s="1595" t="str">
        <f t="shared" si="34"/>
        <v>use the locking pin</v>
      </c>
      <c r="AC151" s="514" t="b">
        <f>IF(AD151=13,AF151)</f>
        <v>0</v>
      </c>
      <c r="AD151" s="514">
        <f t="shared" si="12"/>
        <v>1</v>
      </c>
      <c r="AE151" s="514">
        <f>IF(V151=0,0,13)</f>
        <v>0</v>
      </c>
      <c r="AF151" s="437">
        <f>SUM(V151:V158)/($B$136-B150)</f>
        <v>0</v>
      </c>
      <c r="AG151" s="437"/>
      <c r="AH151" s="450">
        <f>SUM(D140:D151)+$C$139</f>
        <v>0</v>
      </c>
      <c r="AI151" s="516" t="b">
        <f t="shared" si="21"/>
        <v>0</v>
      </c>
      <c r="AJ151" s="287">
        <f t="shared" si="22"/>
        <v>66.255548399999995</v>
      </c>
      <c r="AK151" s="441">
        <f t="shared" si="13"/>
        <v>0.91535047595051022</v>
      </c>
      <c r="AL151" s="289">
        <f t="shared" si="23"/>
        <v>278.56028065668761</v>
      </c>
      <c r="AM151" s="287">
        <f t="shared" si="24"/>
        <v>50.018549700000001</v>
      </c>
      <c r="AN151" s="442">
        <f t="shared" si="25"/>
        <v>0.76625250760411079</v>
      </c>
      <c r="AO151" s="291">
        <f t="shared" si="26"/>
        <v>213.83080789825695</v>
      </c>
      <c r="AP151" s="519">
        <f t="shared" si="14"/>
        <v>-107.2513023436036</v>
      </c>
      <c r="AQ151" s="1687">
        <f t="shared" si="35"/>
        <v>-445.5</v>
      </c>
      <c r="AR151" s="443">
        <f t="shared" si="15"/>
        <v>-282.2</v>
      </c>
      <c r="AS151" s="444">
        <f t="shared" si="27"/>
        <v>492.39108855494453</v>
      </c>
      <c r="AT151" s="445">
        <f t="shared" si="36"/>
        <v>-213.83080789825695</v>
      </c>
      <c r="AU151" s="446">
        <f t="shared" si="28"/>
        <v>106.57950555465335</v>
      </c>
      <c r="AV151" s="445"/>
      <c r="AW151" s="447">
        <f t="shared" si="29"/>
        <v>-221.11697643068331</v>
      </c>
      <c r="AX151" s="447">
        <f t="shared" si="30"/>
        <v>-61.08302356931668</v>
      </c>
      <c r="AY151" s="1597">
        <f t="shared" si="16"/>
        <v>-52.460919949474878</v>
      </c>
      <c r="AZ151" s="1597">
        <f t="shared" si="17"/>
        <v>-163.71160783571978</v>
      </c>
      <c r="BA151" s="542">
        <f t="shared" si="31"/>
        <v>52.460919949474878</v>
      </c>
      <c r="BB151" s="542">
        <f t="shared" si="31"/>
        <v>163.71160783571978</v>
      </c>
      <c r="BC151">
        <f t="shared" si="32"/>
        <v>0.3</v>
      </c>
      <c r="BM151" s="214"/>
      <c r="BN151" s="214"/>
      <c r="BO151" s="214"/>
      <c r="DE151" s="126"/>
    </row>
    <row r="152" spans="1:129" ht="21" customHeight="1" thickBot="1" x14ac:dyDescent="0.35">
      <c r="B152" s="277">
        <v>14</v>
      </c>
      <c r="C152" s="278"/>
      <c r="D152" s="25">
        <v>0</v>
      </c>
      <c r="E152" s="279" t="s">
        <v>130</v>
      </c>
      <c r="F152" s="258"/>
      <c r="G152" s="258">
        <f t="shared" si="37"/>
        <v>0.3</v>
      </c>
      <c r="H152" s="506">
        <v>279.06049999999999</v>
      </c>
      <c r="I152" s="507">
        <v>79.962900599999998</v>
      </c>
      <c r="J152" s="474">
        <f t="shared" si="18"/>
        <v>79.962900599999998</v>
      </c>
      <c r="K152" s="474">
        <f t="shared" si="19"/>
        <v>39.981450299999999</v>
      </c>
      <c r="L152" s="474">
        <f t="shared" si="5"/>
        <v>0.64253956655634092</v>
      </c>
      <c r="M152" s="474">
        <f t="shared" si="6"/>
        <v>179.30741271299578</v>
      </c>
      <c r="N152" s="474">
        <f t="shared" si="7"/>
        <v>358.61482542599157</v>
      </c>
      <c r="O152" s="474">
        <f>+C139+D140+D141+D142+D143+D144+D145+D146+D147+D148+D149+D150+D151+(D152/2)</f>
        <v>0</v>
      </c>
      <c r="P152" s="474">
        <f t="shared" si="8"/>
        <v>0</v>
      </c>
      <c r="Q152" s="474">
        <f t="shared" si="9"/>
        <v>0</v>
      </c>
      <c r="R152" s="474">
        <f t="shared" si="20"/>
        <v>213.83080000000001</v>
      </c>
      <c r="S152" s="474">
        <f t="shared" si="33"/>
        <v>213.83080000000001</v>
      </c>
      <c r="T152" s="476">
        <f t="shared" si="10"/>
        <v>213.83080000000001</v>
      </c>
      <c r="V152" s="437">
        <f t="shared" si="11"/>
        <v>0</v>
      </c>
      <c r="W152" s="437"/>
      <c r="X152" s="437"/>
      <c r="Y152" s="437"/>
      <c r="Z152" s="437"/>
      <c r="AA152" s="437"/>
      <c r="AB152" s="1595" t="str">
        <f t="shared" si="34"/>
        <v>use the locking pin</v>
      </c>
      <c r="AC152" s="514" t="b">
        <f>IF(AD152=14,AF152)</f>
        <v>0</v>
      </c>
      <c r="AD152" s="514">
        <f t="shared" si="12"/>
        <v>1</v>
      </c>
      <c r="AE152" s="514">
        <f>IF(V152=0,0,14)</f>
        <v>0</v>
      </c>
      <c r="AF152" s="437">
        <f>SUM(V152:V158)/($B$136-B151)</f>
        <v>0</v>
      </c>
      <c r="AG152" s="437"/>
      <c r="AH152" s="450">
        <f>SUM(D140:D152)+$C$139</f>
        <v>0</v>
      </c>
      <c r="AI152" s="516" t="b">
        <f t="shared" si="21"/>
        <v>0</v>
      </c>
      <c r="AJ152" s="287">
        <f t="shared" si="22"/>
        <v>66.255548399999995</v>
      </c>
      <c r="AK152" s="441">
        <f t="shared" si="13"/>
        <v>0.91535047595051022</v>
      </c>
      <c r="AL152" s="289">
        <f t="shared" si="23"/>
        <v>278.56028065668761</v>
      </c>
      <c r="AM152" s="287">
        <f t="shared" si="24"/>
        <v>50.018549700000001</v>
      </c>
      <c r="AN152" s="442">
        <f t="shared" si="25"/>
        <v>0.76625250760411079</v>
      </c>
      <c r="AO152" s="291">
        <f t="shared" si="26"/>
        <v>213.83080789825695</v>
      </c>
      <c r="AP152" s="519">
        <f t="shared" si="14"/>
        <v>-93.790881690005989</v>
      </c>
      <c r="AQ152" s="1687">
        <f t="shared" si="35"/>
        <v>-486</v>
      </c>
      <c r="AR152" s="443">
        <f t="shared" si="15"/>
        <v>-322.7</v>
      </c>
      <c r="AS152" s="444">
        <f t="shared" si="27"/>
        <v>492.39108855494453</v>
      </c>
      <c r="AT152" s="445">
        <f t="shared" si="36"/>
        <v>-213.83080789825695</v>
      </c>
      <c r="AU152" s="446">
        <f t="shared" si="28"/>
        <v>120.03992620825096</v>
      </c>
      <c r="AV152" s="445"/>
      <c r="AW152" s="447">
        <f t="shared" si="29"/>
        <v>-244.02903074853262</v>
      </c>
      <c r="AX152" s="447">
        <f t="shared" si="30"/>
        <v>-78.670969251467355</v>
      </c>
      <c r="AY152" s="1597">
        <f t="shared" si="16"/>
        <v>-47.535327925608918</v>
      </c>
      <c r="AZ152" s="1597">
        <f t="shared" si="17"/>
        <v>-127.11169183686499</v>
      </c>
      <c r="BA152" s="542">
        <f t="shared" si="31"/>
        <v>47.535327925608918</v>
      </c>
      <c r="BB152" s="542">
        <f t="shared" si="31"/>
        <v>127.11169183686499</v>
      </c>
      <c r="BC152">
        <f t="shared" si="32"/>
        <v>0.3</v>
      </c>
      <c r="BM152" s="214"/>
      <c r="BN152" s="214"/>
      <c r="BO152" s="214"/>
      <c r="DE152" s="126"/>
    </row>
    <row r="153" spans="1:129" ht="21" customHeight="1" thickBot="1" x14ac:dyDescent="0.35">
      <c r="B153" s="277">
        <v>15</v>
      </c>
      <c r="C153" s="278"/>
      <c r="D153" s="25">
        <v>0</v>
      </c>
      <c r="E153" s="279" t="s">
        <v>130</v>
      </c>
      <c r="F153" s="258"/>
      <c r="G153" s="258">
        <f t="shared" si="37"/>
        <v>0.3</v>
      </c>
      <c r="H153" s="506">
        <v>279.06049999999999</v>
      </c>
      <c r="I153" s="507">
        <v>79.962900599999998</v>
      </c>
      <c r="J153" s="474">
        <f t="shared" si="18"/>
        <v>79.962900599999998</v>
      </c>
      <c r="K153" s="474">
        <f t="shared" si="19"/>
        <v>39.981450299999999</v>
      </c>
      <c r="L153" s="474">
        <f t="shared" si="5"/>
        <v>0.64253956655634092</v>
      </c>
      <c r="M153" s="474">
        <f t="shared" si="6"/>
        <v>179.30741271299578</v>
      </c>
      <c r="N153" s="474">
        <f t="shared" si="7"/>
        <v>358.61482542599157</v>
      </c>
      <c r="O153" s="474">
        <f>+C139+D140+D141+D142+D143+D144+D145+D146+D147+D148+D149+D150+D151+D152+(D153/2)</f>
        <v>0</v>
      </c>
      <c r="P153" s="474">
        <f t="shared" si="8"/>
        <v>0</v>
      </c>
      <c r="Q153" s="474">
        <f t="shared" si="9"/>
        <v>0</v>
      </c>
      <c r="R153" s="474">
        <f t="shared" si="20"/>
        <v>213.83080000000001</v>
      </c>
      <c r="S153" s="474">
        <f t="shared" si="33"/>
        <v>213.83080000000001</v>
      </c>
      <c r="T153" s="476">
        <f t="shared" si="10"/>
        <v>213.83080000000001</v>
      </c>
      <c r="V153" s="437">
        <f t="shared" si="11"/>
        <v>0</v>
      </c>
      <c r="W153" s="437"/>
      <c r="X153" s="437"/>
      <c r="Y153" s="437"/>
      <c r="Z153" s="437"/>
      <c r="AA153" s="437"/>
      <c r="AB153" s="1595" t="str">
        <f t="shared" si="34"/>
        <v>use the locking pin</v>
      </c>
      <c r="AC153" s="514" t="b">
        <f>IF(AD153=15,AF153)</f>
        <v>0</v>
      </c>
      <c r="AD153" s="514">
        <f t="shared" si="12"/>
        <v>1</v>
      </c>
      <c r="AE153" s="514">
        <f>IF(V153=0,0,15)</f>
        <v>0</v>
      </c>
      <c r="AF153" s="437">
        <f>SUM(V153:V158)/($B$136-B152)</f>
        <v>0</v>
      </c>
      <c r="AG153" s="437"/>
      <c r="AH153" s="450">
        <f>SUM(D140:D153)+$C$139</f>
        <v>0</v>
      </c>
      <c r="AI153" s="516" t="b">
        <f t="shared" si="21"/>
        <v>0</v>
      </c>
      <c r="AJ153" s="287">
        <f t="shared" si="22"/>
        <v>66.255548399999995</v>
      </c>
      <c r="AK153" s="441">
        <f t="shared" si="13"/>
        <v>0.91535047595051022</v>
      </c>
      <c r="AL153" s="289">
        <f t="shared" si="23"/>
        <v>278.56028065668761</v>
      </c>
      <c r="AM153" s="287">
        <f t="shared" si="24"/>
        <v>50.018549700000001</v>
      </c>
      <c r="AN153" s="442">
        <f t="shared" si="25"/>
        <v>0.76625250760411079</v>
      </c>
      <c r="AO153" s="291">
        <f t="shared" si="26"/>
        <v>213.83080789825695</v>
      </c>
      <c r="AP153" s="519">
        <f t="shared" si="14"/>
        <v>-83.332372030189802</v>
      </c>
      <c r="AQ153" s="1687">
        <f t="shared" si="35"/>
        <v>-526.5</v>
      </c>
      <c r="AR153" s="443">
        <f t="shared" si="15"/>
        <v>-363.2</v>
      </c>
      <c r="AS153" s="444">
        <f t="shared" si="27"/>
        <v>492.39108855494453</v>
      </c>
      <c r="AT153" s="445">
        <f t="shared" si="36"/>
        <v>-213.83080789825695</v>
      </c>
      <c r="AU153" s="446">
        <f t="shared" si="28"/>
        <v>130.49843586806713</v>
      </c>
      <c r="AV153" s="445"/>
      <c r="AW153" s="447">
        <f t="shared" si="29"/>
        <v>-266.94108506638196</v>
      </c>
      <c r="AX153" s="447">
        <f t="shared" si="30"/>
        <v>-96.25891493361803</v>
      </c>
      <c r="AY153" s="1597">
        <f t="shared" si="16"/>
        <v>-43.455281516951025</v>
      </c>
      <c r="AZ153" s="1597">
        <f t="shared" si="17"/>
        <v>-103.88648165103658</v>
      </c>
      <c r="BA153" s="542">
        <f t="shared" si="31"/>
        <v>43.455281516951025</v>
      </c>
      <c r="BB153" s="542">
        <f t="shared" si="31"/>
        <v>103.88648165103658</v>
      </c>
      <c r="BC153">
        <f t="shared" si="32"/>
        <v>0.3</v>
      </c>
      <c r="BM153" s="214"/>
      <c r="BN153" s="214"/>
      <c r="BO153" s="214"/>
      <c r="DE153" s="126"/>
    </row>
    <row r="154" spans="1:129" ht="21" customHeight="1" thickBot="1" x14ac:dyDescent="0.35">
      <c r="B154" s="277">
        <v>16</v>
      </c>
      <c r="C154" s="278"/>
      <c r="D154" s="25">
        <v>0</v>
      </c>
      <c r="E154" s="279" t="s">
        <v>130</v>
      </c>
      <c r="F154" s="258"/>
      <c r="G154" s="258">
        <f t="shared" si="37"/>
        <v>0.3</v>
      </c>
      <c r="H154" s="506">
        <v>279.06049999999999</v>
      </c>
      <c r="I154" s="507">
        <v>79.962900599999998</v>
      </c>
      <c r="J154" s="474">
        <f t="shared" si="18"/>
        <v>79.962900599999998</v>
      </c>
      <c r="K154" s="474">
        <f t="shared" si="19"/>
        <v>39.981450299999999</v>
      </c>
      <c r="L154" s="474">
        <f t="shared" si="5"/>
        <v>0.64253956655634092</v>
      </c>
      <c r="M154" s="474">
        <f t="shared" si="6"/>
        <v>179.30741271299578</v>
      </c>
      <c r="N154" s="474">
        <f t="shared" si="7"/>
        <v>358.61482542599157</v>
      </c>
      <c r="O154" s="474">
        <f>+C139+D140+D141+D142+D143+D144+D145+D146+D147+D148+D149+D150+D151+D152+D153+(D154/2)</f>
        <v>0</v>
      </c>
      <c r="P154" s="474">
        <f t="shared" si="8"/>
        <v>0</v>
      </c>
      <c r="Q154" s="474">
        <f t="shared" si="9"/>
        <v>0</v>
      </c>
      <c r="R154" s="474">
        <f t="shared" si="20"/>
        <v>213.83080000000001</v>
      </c>
      <c r="S154" s="474">
        <f t="shared" si="33"/>
        <v>213.83080000000001</v>
      </c>
      <c r="T154" s="476">
        <f t="shared" si="10"/>
        <v>213.83080000000001</v>
      </c>
      <c r="V154" s="437">
        <f t="shared" si="11"/>
        <v>0</v>
      </c>
      <c r="W154" s="437"/>
      <c r="X154" s="437"/>
      <c r="Y154" s="437"/>
      <c r="Z154" s="437"/>
      <c r="AA154" s="437"/>
      <c r="AB154" s="1595" t="str">
        <f t="shared" si="34"/>
        <v>use the locking pin</v>
      </c>
      <c r="AC154" s="514" t="b">
        <f>IF(AD154=16,AF154)</f>
        <v>0</v>
      </c>
      <c r="AD154" s="514">
        <f t="shared" si="12"/>
        <v>1</v>
      </c>
      <c r="AE154" s="514">
        <f>IF(V154=0,0,16)</f>
        <v>0</v>
      </c>
      <c r="AF154" s="437">
        <f>SUM(V154:V158)/($B$136-B153)</f>
        <v>0</v>
      </c>
      <c r="AG154" s="437"/>
      <c r="AH154" s="450">
        <f>SUM(D140:D154)+$C$139</f>
        <v>0</v>
      </c>
      <c r="AI154" s="516" t="b">
        <f t="shared" si="21"/>
        <v>0</v>
      </c>
      <c r="AJ154" s="287">
        <f t="shared" si="22"/>
        <v>66.255548399999995</v>
      </c>
      <c r="AK154" s="441">
        <f t="shared" si="13"/>
        <v>0.91535047595051022</v>
      </c>
      <c r="AL154" s="289">
        <f t="shared" si="23"/>
        <v>278.56028065668761</v>
      </c>
      <c r="AM154" s="287">
        <f t="shared" si="24"/>
        <v>50.018549700000001</v>
      </c>
      <c r="AN154" s="442">
        <f t="shared" si="25"/>
        <v>0.76625250760411079</v>
      </c>
      <c r="AO154" s="291">
        <f t="shared" si="26"/>
        <v>213.83080789825695</v>
      </c>
      <c r="AP154" s="519">
        <f t="shared" si="14"/>
        <v>-74.972300028151921</v>
      </c>
      <c r="AQ154" s="1687">
        <f t="shared" si="35"/>
        <v>-567</v>
      </c>
      <c r="AR154" s="443">
        <f t="shared" si="15"/>
        <v>-403.70000000000005</v>
      </c>
      <c r="AS154" s="444">
        <f t="shared" si="27"/>
        <v>492.39108855494453</v>
      </c>
      <c r="AT154" s="445">
        <f t="shared" si="36"/>
        <v>-213.83080789825695</v>
      </c>
      <c r="AU154" s="446">
        <f t="shared" si="28"/>
        <v>138.85850787010503</v>
      </c>
      <c r="AV154" s="445"/>
      <c r="AW154" s="447">
        <f t="shared" si="29"/>
        <v>-289.85313938423133</v>
      </c>
      <c r="AX154" s="447">
        <f t="shared" si="30"/>
        <v>-113.84686061576873</v>
      </c>
      <c r="AY154" s="1597">
        <f t="shared" si="16"/>
        <v>-40.020266900138559</v>
      </c>
      <c r="AZ154" s="1597">
        <f t="shared" si="17"/>
        <v>-87.837292534133496</v>
      </c>
      <c r="BA154" s="542">
        <f t="shared" si="31"/>
        <v>40.020266900138559</v>
      </c>
      <c r="BB154" s="542">
        <f t="shared" si="31"/>
        <v>87.837292534133496</v>
      </c>
      <c r="BC154">
        <f t="shared" si="32"/>
        <v>0.3</v>
      </c>
      <c r="BM154" s="214"/>
      <c r="BN154" s="214"/>
      <c r="BO154" s="214"/>
      <c r="DE154" s="126"/>
    </row>
    <row r="155" spans="1:129" ht="21" customHeight="1" thickBot="1" x14ac:dyDescent="0.35">
      <c r="B155" s="277">
        <v>17</v>
      </c>
      <c r="C155" s="278"/>
      <c r="D155" s="25">
        <v>0</v>
      </c>
      <c r="E155" s="279" t="s">
        <v>130</v>
      </c>
      <c r="F155" s="258"/>
      <c r="G155" s="258">
        <f t="shared" si="37"/>
        <v>0.3</v>
      </c>
      <c r="H155" s="506">
        <v>279.06049999999999</v>
      </c>
      <c r="I155" s="507">
        <v>79.962900599999998</v>
      </c>
      <c r="J155" s="474">
        <f t="shared" si="18"/>
        <v>79.962900599999998</v>
      </c>
      <c r="K155" s="474">
        <f t="shared" si="19"/>
        <v>39.981450299999999</v>
      </c>
      <c r="L155" s="474">
        <f t="shared" si="5"/>
        <v>0.64253956655634092</v>
      </c>
      <c r="M155" s="474">
        <f t="shared" si="6"/>
        <v>179.30741271299578</v>
      </c>
      <c r="N155" s="474">
        <f t="shared" si="7"/>
        <v>358.61482542599157</v>
      </c>
      <c r="O155" s="474">
        <f>+C139+D140+D141+D142+D143+D144+D145+D146+D147+D148+D149+D150+D151+D152+D153+D154+(D155/2)</f>
        <v>0</v>
      </c>
      <c r="P155" s="474">
        <f t="shared" si="8"/>
        <v>0</v>
      </c>
      <c r="Q155" s="474">
        <f t="shared" si="9"/>
        <v>0</v>
      </c>
      <c r="R155" s="474">
        <f t="shared" si="20"/>
        <v>213.83080000000001</v>
      </c>
      <c r="S155" s="474">
        <f t="shared" si="33"/>
        <v>213.83080000000001</v>
      </c>
      <c r="T155" s="476">
        <f t="shared" si="10"/>
        <v>213.83080000000001</v>
      </c>
      <c r="V155" s="437">
        <f t="shared" si="11"/>
        <v>0</v>
      </c>
      <c r="W155" s="437"/>
      <c r="X155" s="437"/>
      <c r="Y155" s="437"/>
      <c r="Z155" s="437"/>
      <c r="AA155" s="437"/>
      <c r="AB155" s="1595" t="str">
        <f t="shared" si="34"/>
        <v>use the locking pin</v>
      </c>
      <c r="AC155" s="514" t="b">
        <f>IF(AD155=17,AF155)</f>
        <v>0</v>
      </c>
      <c r="AD155" s="514">
        <f t="shared" si="12"/>
        <v>1</v>
      </c>
      <c r="AE155" s="514">
        <f>IF(V155=0,0,17)</f>
        <v>0</v>
      </c>
      <c r="AF155" s="437">
        <f>SUM(V155:V158)/($B$136-B154)</f>
        <v>0</v>
      </c>
      <c r="AG155" s="437"/>
      <c r="AH155" s="450">
        <f>SUM(D140:D155)+$C$139</f>
        <v>0</v>
      </c>
      <c r="AI155" s="516" t="b">
        <f t="shared" si="21"/>
        <v>0</v>
      </c>
      <c r="AJ155" s="287">
        <f t="shared" si="22"/>
        <v>66.255548399999995</v>
      </c>
      <c r="AK155" s="441">
        <f t="shared" si="13"/>
        <v>0.91535047595051022</v>
      </c>
      <c r="AL155" s="289">
        <f t="shared" si="23"/>
        <v>278.56028065668761</v>
      </c>
      <c r="AM155" s="287">
        <f t="shared" si="24"/>
        <v>50.018549700000001</v>
      </c>
      <c r="AN155" s="442">
        <f t="shared" si="25"/>
        <v>0.76625250760411079</v>
      </c>
      <c r="AO155" s="291">
        <f t="shared" si="26"/>
        <v>213.83080789825695</v>
      </c>
      <c r="AP155" s="519">
        <f t="shared" si="14"/>
        <v>-68.136689602352391</v>
      </c>
      <c r="AQ155" s="1687">
        <f t="shared" si="35"/>
        <v>-607.5</v>
      </c>
      <c r="AR155" s="443">
        <f t="shared" si="15"/>
        <v>-444.20000000000005</v>
      </c>
      <c r="AS155" s="444">
        <f t="shared" si="27"/>
        <v>492.39108855494453</v>
      </c>
      <c r="AT155" s="445">
        <f t="shared" si="36"/>
        <v>-213.83080789825695</v>
      </c>
      <c r="AU155" s="446">
        <f t="shared" si="28"/>
        <v>145.69411829590456</v>
      </c>
      <c r="AV155" s="445"/>
      <c r="AW155" s="447">
        <f t="shared" si="29"/>
        <v>-312.76519370208069</v>
      </c>
      <c r="AX155" s="447">
        <f t="shared" si="30"/>
        <v>-131.43480629791941</v>
      </c>
      <c r="AY155" s="1597">
        <f t="shared" si="16"/>
        <v>-37.088525940803336</v>
      </c>
      <c r="AZ155" s="1597">
        <f t="shared" si="17"/>
        <v>-76.083347186842531</v>
      </c>
      <c r="BA155" s="542">
        <f t="shared" si="31"/>
        <v>37.088525940803336</v>
      </c>
      <c r="BB155" s="542">
        <f t="shared" si="31"/>
        <v>76.083347186842531</v>
      </c>
      <c r="BC155">
        <f t="shared" si="32"/>
        <v>0.3</v>
      </c>
      <c r="BD155" s="136"/>
      <c r="BM155" s="214"/>
      <c r="BN155" s="214"/>
      <c r="BO155" s="214"/>
      <c r="DF155" s="126"/>
      <c r="DG155" s="126"/>
      <c r="DH155" s="126"/>
      <c r="DI155" s="126"/>
      <c r="DJ155" s="126"/>
      <c r="DK155" s="126"/>
      <c r="DL155" s="203"/>
      <c r="DM155" s="203"/>
      <c r="DN155" s="203"/>
      <c r="DO155" s="203"/>
      <c r="DP155" s="203"/>
      <c r="DQ155" s="203"/>
      <c r="DR155" s="203"/>
      <c r="DS155" s="203"/>
      <c r="DT155" s="203"/>
      <c r="DU155" s="203"/>
      <c r="DV155" s="203"/>
      <c r="DW155" s="203"/>
      <c r="DX155" s="203"/>
      <c r="DY155" s="203"/>
    </row>
    <row r="156" spans="1:129" ht="21" customHeight="1" thickBot="1" x14ac:dyDescent="0.35">
      <c r="B156" s="277">
        <v>18</v>
      </c>
      <c r="C156" s="278"/>
      <c r="D156" s="25">
        <v>0</v>
      </c>
      <c r="E156" s="279" t="s">
        <v>130</v>
      </c>
      <c r="F156" s="258"/>
      <c r="G156" s="258">
        <f t="shared" si="37"/>
        <v>0.3</v>
      </c>
      <c r="H156" s="506">
        <v>279.06049999999999</v>
      </c>
      <c r="I156" s="507">
        <v>79.962900599999998</v>
      </c>
      <c r="J156" s="474">
        <f t="shared" si="18"/>
        <v>79.962900599999998</v>
      </c>
      <c r="K156" s="474">
        <f t="shared" si="19"/>
        <v>39.981450299999999</v>
      </c>
      <c r="L156" s="474">
        <f t="shared" si="5"/>
        <v>0.64253956655634092</v>
      </c>
      <c r="M156" s="474">
        <f t="shared" si="6"/>
        <v>179.30741271299578</v>
      </c>
      <c r="N156" s="474">
        <f t="shared" si="7"/>
        <v>358.61482542599157</v>
      </c>
      <c r="O156" s="474">
        <f>+C139+D140+D141+D142+D143+D144+D145+D146+D147+D148+D149+D150+D151+D152+D153+D154+D155+(D156/2)</f>
        <v>0</v>
      </c>
      <c r="P156" s="474">
        <f t="shared" si="8"/>
        <v>0</v>
      </c>
      <c r="Q156" s="474">
        <f t="shared" si="9"/>
        <v>0</v>
      </c>
      <c r="R156" s="474">
        <f t="shared" si="20"/>
        <v>213.83080000000001</v>
      </c>
      <c r="S156" s="474">
        <f t="shared" si="33"/>
        <v>213.83080000000001</v>
      </c>
      <c r="T156" s="476">
        <f t="shared" si="10"/>
        <v>213.83080000000001</v>
      </c>
      <c r="V156" s="437">
        <f t="shared" si="11"/>
        <v>0</v>
      </c>
      <c r="W156" s="437"/>
      <c r="X156" s="437"/>
      <c r="Y156" s="437"/>
      <c r="Z156" s="437"/>
      <c r="AA156" s="437"/>
      <c r="AB156" s="1595" t="str">
        <f t="shared" si="34"/>
        <v>use the locking pin</v>
      </c>
      <c r="AC156" s="514" t="b">
        <f>IF(AD156=18,AF156)</f>
        <v>0</v>
      </c>
      <c r="AD156" s="514">
        <f t="shared" si="12"/>
        <v>1</v>
      </c>
      <c r="AE156" s="514">
        <f>IF(V156=0,0,18)</f>
        <v>0</v>
      </c>
      <c r="AF156" s="437">
        <f>SUM(V156:V158)/($B$136-B155)</f>
        <v>0</v>
      </c>
      <c r="AG156" s="437"/>
      <c r="AH156" s="450">
        <f>SUM(D140:D156)+$C$139</f>
        <v>0</v>
      </c>
      <c r="AI156" s="516" t="b">
        <f t="shared" si="21"/>
        <v>0</v>
      </c>
      <c r="AJ156" s="287">
        <f t="shared" si="22"/>
        <v>66.255548399999995</v>
      </c>
      <c r="AK156" s="441">
        <f t="shared" si="13"/>
        <v>0.91535047595051022</v>
      </c>
      <c r="AL156" s="289">
        <f t="shared" si="23"/>
        <v>278.56028065668761</v>
      </c>
      <c r="AM156" s="287">
        <f t="shared" si="24"/>
        <v>50.018549700000001</v>
      </c>
      <c r="AN156" s="442">
        <f t="shared" si="25"/>
        <v>0.76625250760411079</v>
      </c>
      <c r="AO156" s="291">
        <f t="shared" si="26"/>
        <v>213.83080789825695</v>
      </c>
      <c r="AP156" s="519">
        <f t="shared" si="14"/>
        <v>-62.443403180039056</v>
      </c>
      <c r="AQ156" s="1687">
        <f t="shared" si="35"/>
        <v>-648</v>
      </c>
      <c r="AR156" s="443">
        <f t="shared" si="15"/>
        <v>-484.70000000000005</v>
      </c>
      <c r="AS156" s="444">
        <f t="shared" si="27"/>
        <v>492.39108855494453</v>
      </c>
      <c r="AT156" s="445">
        <f t="shared" si="36"/>
        <v>-213.83080789825695</v>
      </c>
      <c r="AU156" s="446">
        <f t="shared" si="28"/>
        <v>151.38740471821791</v>
      </c>
      <c r="AV156" s="445"/>
      <c r="AW156" s="447">
        <f t="shared" si="29"/>
        <v>-335.67724801992995</v>
      </c>
      <c r="AX156" s="447">
        <f t="shared" si="30"/>
        <v>-149.0227519800701</v>
      </c>
      <c r="AY156" s="1597">
        <f t="shared" si="16"/>
        <v>-34.557003992451939</v>
      </c>
      <c r="AZ156" s="1597">
        <f t="shared" si="17"/>
        <v>-67.103847346325836</v>
      </c>
      <c r="BA156" s="542">
        <f t="shared" si="31"/>
        <v>34.557003992451939</v>
      </c>
      <c r="BB156" s="542">
        <f t="shared" si="31"/>
        <v>67.103847346325836</v>
      </c>
      <c r="BC156">
        <f t="shared" si="32"/>
        <v>0.3</v>
      </c>
      <c r="BD156" s="458"/>
      <c r="BM156" s="214"/>
      <c r="BN156" s="214"/>
      <c r="BO156" s="214"/>
      <c r="DF156" s="126"/>
      <c r="DG156" s="126"/>
      <c r="DH156" s="126"/>
      <c r="DI156" s="126"/>
      <c r="DJ156" s="126"/>
      <c r="DK156" s="126"/>
      <c r="DL156" s="203"/>
      <c r="DM156" s="203"/>
      <c r="DN156" s="203"/>
      <c r="DO156" s="203"/>
      <c r="DP156" s="203"/>
      <c r="DQ156" s="203"/>
      <c r="DR156" s="203"/>
      <c r="DS156" s="203"/>
      <c r="DT156" s="203"/>
      <c r="DU156" s="203"/>
      <c r="DV156" s="203"/>
      <c r="DW156" s="203"/>
      <c r="DX156" s="203"/>
      <c r="DY156" s="203"/>
    </row>
    <row r="157" spans="1:129" ht="21" customHeight="1" thickBot="1" x14ac:dyDescent="0.35">
      <c r="B157" s="277">
        <v>19</v>
      </c>
      <c r="C157" s="524"/>
      <c r="D157" s="29">
        <v>0</v>
      </c>
      <c r="E157" s="279" t="s">
        <v>130</v>
      </c>
      <c r="F157" s="525"/>
      <c r="G157" s="525">
        <f t="shared" si="37"/>
        <v>0.3</v>
      </c>
      <c r="H157" s="506">
        <v>279.06049999999999</v>
      </c>
      <c r="I157" s="507">
        <v>79.962900599999998</v>
      </c>
      <c r="J157" s="526">
        <f t="shared" si="18"/>
        <v>79.962900599999998</v>
      </c>
      <c r="K157" s="526">
        <f t="shared" si="19"/>
        <v>39.981450299999999</v>
      </c>
      <c r="L157" s="526">
        <f t="shared" si="5"/>
        <v>0.64253956655634092</v>
      </c>
      <c r="M157" s="526">
        <f t="shared" si="6"/>
        <v>179.30741271299578</v>
      </c>
      <c r="N157" s="526">
        <f t="shared" si="7"/>
        <v>358.61482542599157</v>
      </c>
      <c r="O157" s="526">
        <f>+C139+D140+D141+D142+D143+D144+D145+D146+D147+D148+D149+D150+D151+D152+D153+D154+D155+D156+(D157/2)</f>
        <v>0</v>
      </c>
      <c r="P157" s="526">
        <f t="shared" si="8"/>
        <v>0</v>
      </c>
      <c r="Q157" s="526">
        <f t="shared" si="9"/>
        <v>0</v>
      </c>
      <c r="R157" s="526">
        <f t="shared" si="20"/>
        <v>213.83080000000001</v>
      </c>
      <c r="S157" s="526">
        <f t="shared" si="33"/>
        <v>213.83080000000001</v>
      </c>
      <c r="T157" s="527">
        <f t="shared" si="10"/>
        <v>213.83080000000001</v>
      </c>
      <c r="U157" s="528"/>
      <c r="V157" s="529">
        <f t="shared" si="11"/>
        <v>0</v>
      </c>
      <c r="W157" s="529"/>
      <c r="X157" s="529"/>
      <c r="Y157" s="529"/>
      <c r="Z157" s="529"/>
      <c r="AA157" s="529"/>
      <c r="AB157" s="530" t="str">
        <f t="shared" si="34"/>
        <v>use the locking pin</v>
      </c>
      <c r="AC157" s="531" t="b">
        <f>IF(AD157=19,AF157)</f>
        <v>0</v>
      </c>
      <c r="AD157" s="531">
        <f t="shared" si="12"/>
        <v>1</v>
      </c>
      <c r="AE157" s="531">
        <f>IF(V157=0,0,19)</f>
        <v>0</v>
      </c>
      <c r="AF157" s="529">
        <f>SUM(V157:V158)/($B$136-B156)</f>
        <v>0</v>
      </c>
      <c r="AG157" s="529"/>
      <c r="AH157" s="532">
        <f>SUM(D140:D157)+$C$139</f>
        <v>0</v>
      </c>
      <c r="AI157" s="533" t="b">
        <f t="shared" si="21"/>
        <v>0</v>
      </c>
      <c r="AJ157" s="287">
        <f t="shared" si="22"/>
        <v>66.255548399999995</v>
      </c>
      <c r="AK157" s="534">
        <f t="shared" si="13"/>
        <v>0.91535047595051022</v>
      </c>
      <c r="AL157" s="289">
        <f t="shared" si="23"/>
        <v>278.56028065668761</v>
      </c>
      <c r="AM157" s="287">
        <f t="shared" si="24"/>
        <v>50.018549700000001</v>
      </c>
      <c r="AN157" s="535">
        <f t="shared" si="25"/>
        <v>0.76625250760411079</v>
      </c>
      <c r="AO157" s="291">
        <f t="shared" si="26"/>
        <v>213.83080789825695</v>
      </c>
      <c r="AP157" s="536">
        <f t="shared" si="14"/>
        <v>-57.628175021639244</v>
      </c>
      <c r="AQ157" s="1687">
        <f t="shared" si="35"/>
        <v>-688.5</v>
      </c>
      <c r="AR157" s="537">
        <f t="shared" si="15"/>
        <v>-525.20000000000005</v>
      </c>
      <c r="AS157" s="538">
        <f t="shared" si="27"/>
        <v>492.39108855494453</v>
      </c>
      <c r="AT157" s="529">
        <f t="shared" si="36"/>
        <v>-213.83080789825695</v>
      </c>
      <c r="AU157" s="539">
        <f t="shared" si="28"/>
        <v>156.20263287661771</v>
      </c>
      <c r="AV157" s="529"/>
      <c r="AW157" s="540">
        <f t="shared" si="29"/>
        <v>-358.58930233777932</v>
      </c>
      <c r="AX157" s="540">
        <f t="shared" si="30"/>
        <v>-166.61069766222076</v>
      </c>
      <c r="AY157" s="541">
        <f t="shared" si="16"/>
        <v>-32.348985104617491</v>
      </c>
      <c r="AZ157" s="541">
        <f t="shared" si="17"/>
        <v>-60.020155610137124</v>
      </c>
      <c r="BA157" s="542">
        <f t="shared" si="31"/>
        <v>32.348985104617491</v>
      </c>
      <c r="BB157" s="542">
        <f t="shared" si="31"/>
        <v>60.020155610137124</v>
      </c>
      <c r="BC157">
        <f t="shared" si="32"/>
        <v>0.3</v>
      </c>
      <c r="BD157" s="144"/>
      <c r="BM157" s="214"/>
      <c r="BN157" s="214"/>
      <c r="BO157" s="214"/>
      <c r="DF157" s="126"/>
      <c r="DG157" s="126"/>
      <c r="DH157" s="126"/>
      <c r="DI157" s="126"/>
      <c r="DJ157" s="126"/>
      <c r="DK157" s="126"/>
      <c r="DL157" s="203"/>
      <c r="DM157" s="203"/>
      <c r="DN157" s="203"/>
      <c r="DO157" s="203"/>
      <c r="DP157" s="203"/>
      <c r="DQ157" s="203"/>
      <c r="DR157" s="203"/>
      <c r="DS157" s="203"/>
      <c r="DT157" s="203"/>
      <c r="DU157" s="203"/>
      <c r="DV157" s="203"/>
      <c r="DW157" s="203"/>
      <c r="DX157" s="203"/>
      <c r="DY157" s="203"/>
    </row>
    <row r="158" spans="1:129" ht="21" customHeight="1" thickBot="1" x14ac:dyDescent="0.35">
      <c r="B158" s="277">
        <v>20</v>
      </c>
      <c r="C158" s="278"/>
      <c r="D158" s="25">
        <v>0</v>
      </c>
      <c r="E158" s="279" t="s">
        <v>130</v>
      </c>
      <c r="F158" s="258"/>
      <c r="G158" s="258">
        <f t="shared" si="37"/>
        <v>0.3</v>
      </c>
      <c r="H158" s="506">
        <v>279.06049999999999</v>
      </c>
      <c r="I158" s="507">
        <v>79.962900599999998</v>
      </c>
      <c r="J158" s="474">
        <f t="shared" si="18"/>
        <v>79.962900599999998</v>
      </c>
      <c r="K158" s="474">
        <f t="shared" si="19"/>
        <v>39.981450299999999</v>
      </c>
      <c r="L158" s="474">
        <f t="shared" si="5"/>
        <v>0.64253956655634092</v>
      </c>
      <c r="M158" s="474">
        <f t="shared" si="6"/>
        <v>179.30741271299578</v>
      </c>
      <c r="N158" s="474">
        <f t="shared" si="7"/>
        <v>358.61482542599157</v>
      </c>
      <c r="O158" s="474">
        <f>+C139+D140+D141+D142+D143+D144+D145+D146+D147+D148+D149+D150+D151+D152+D153+D154+D155+D156+D157+(D158/2)</f>
        <v>0</v>
      </c>
      <c r="P158" s="474">
        <f t="shared" si="8"/>
        <v>0</v>
      </c>
      <c r="Q158" s="474">
        <f t="shared" si="9"/>
        <v>0</v>
      </c>
      <c r="R158" s="474">
        <f t="shared" si="20"/>
        <v>213.83080000000001</v>
      </c>
      <c r="S158" s="474">
        <f t="shared" si="33"/>
        <v>213.83080000000001</v>
      </c>
      <c r="T158" s="476">
        <f t="shared" si="10"/>
        <v>213.83080000000001</v>
      </c>
      <c r="V158" s="437">
        <f t="shared" si="11"/>
        <v>0</v>
      </c>
      <c r="W158" s="437"/>
      <c r="X158" s="437"/>
      <c r="Y158" s="437"/>
      <c r="Z158" s="437"/>
      <c r="AA158" s="437"/>
      <c r="AB158" s="1595" t="str">
        <f t="shared" si="34"/>
        <v>use the locking pin</v>
      </c>
      <c r="AC158" s="514" t="b">
        <f>IF(AD158=20,AF158)</f>
        <v>0</v>
      </c>
      <c r="AD158" s="514">
        <f t="shared" si="12"/>
        <v>1</v>
      </c>
      <c r="AE158" s="514">
        <f>IF(V158=0,0,20)</f>
        <v>0</v>
      </c>
      <c r="AF158" s="437">
        <f>SUM(V158:V158)/($B$136-B157)</f>
        <v>0</v>
      </c>
      <c r="AG158" s="437"/>
      <c r="AH158" s="450">
        <f>SUM(D140:D158)+$C$139</f>
        <v>0</v>
      </c>
      <c r="AI158" s="516" t="b">
        <f t="shared" si="21"/>
        <v>0</v>
      </c>
      <c r="AJ158" s="287">
        <f t="shared" si="22"/>
        <v>66.255548399999995</v>
      </c>
      <c r="AK158" s="441">
        <f t="shared" si="13"/>
        <v>0.91535047595051022</v>
      </c>
      <c r="AL158" s="289">
        <f t="shared" si="23"/>
        <v>278.56028065668761</v>
      </c>
      <c r="AM158" s="287">
        <f t="shared" si="24"/>
        <v>50.018549700000001</v>
      </c>
      <c r="AN158" s="442">
        <f t="shared" si="25"/>
        <v>0.76625250760411079</v>
      </c>
      <c r="AO158" s="291">
        <f t="shared" si="26"/>
        <v>213.83080789825695</v>
      </c>
      <c r="AP158" s="519">
        <f t="shared" si="14"/>
        <v>-53.502417396791465</v>
      </c>
      <c r="AQ158" s="1687">
        <f t="shared" si="35"/>
        <v>-729</v>
      </c>
      <c r="AR158" s="443">
        <f t="shared" si="15"/>
        <v>-565.70000000000005</v>
      </c>
      <c r="AS158" s="444">
        <f t="shared" si="27"/>
        <v>492.39108855494453</v>
      </c>
      <c r="AT158" s="445">
        <f t="shared" si="36"/>
        <v>-213.83080789825695</v>
      </c>
      <c r="AU158" s="446">
        <f t="shared" si="28"/>
        <v>160.32839050146549</v>
      </c>
      <c r="AV158" s="445"/>
      <c r="AW158" s="447">
        <f t="shared" si="29"/>
        <v>-381.50135665562863</v>
      </c>
      <c r="AX158" s="447">
        <f t="shared" si="30"/>
        <v>-184.19864334437142</v>
      </c>
      <c r="AY158" s="1597">
        <f t="shared" si="16"/>
        <v>-30.406182829045662</v>
      </c>
      <c r="AZ158" s="1597">
        <f t="shared" si="17"/>
        <v>-54.289216350547953</v>
      </c>
      <c r="BA158" s="542">
        <f t="shared" si="31"/>
        <v>30.406182829045662</v>
      </c>
      <c r="BB158" s="542">
        <f t="shared" si="31"/>
        <v>54.289216350547953</v>
      </c>
      <c r="BC158">
        <f t="shared" si="32"/>
        <v>0.3</v>
      </c>
      <c r="BD158" s="144"/>
      <c r="BM158" s="214"/>
      <c r="BN158" s="214"/>
      <c r="BO158" s="214"/>
      <c r="DF158" s="126"/>
      <c r="DG158" s="126"/>
      <c r="DH158" s="126"/>
      <c r="DI158" s="126"/>
      <c r="DJ158" s="126"/>
      <c r="DK158" s="126"/>
      <c r="DL158" s="203"/>
      <c r="DM158" s="203"/>
      <c r="DN158" s="203"/>
      <c r="DO158" s="203"/>
      <c r="DP158" s="203"/>
      <c r="DQ158" s="203"/>
      <c r="DR158" s="203"/>
      <c r="DS158" s="203"/>
      <c r="DT158" s="203"/>
      <c r="DU158" s="203"/>
      <c r="DV158" s="203"/>
      <c r="DW158" s="203"/>
      <c r="DX158" s="203"/>
      <c r="DY158" s="203"/>
    </row>
    <row r="159" spans="1:129" ht="21" customHeight="1" thickBot="1" x14ac:dyDescent="0.35">
      <c r="D159" s="543"/>
      <c r="E159" s="543"/>
      <c r="F159" s="543"/>
      <c r="G159" s="543"/>
      <c r="V159" s="437"/>
      <c r="W159" s="437"/>
      <c r="X159" s="437"/>
      <c r="Y159" s="437"/>
      <c r="Z159" s="437"/>
      <c r="AA159" s="437"/>
      <c r="AB159" s="1585"/>
      <c r="AC159" s="1585"/>
      <c r="AD159" s="1585"/>
      <c r="AE159" s="1585"/>
      <c r="AF159" s="437"/>
      <c r="AG159" s="437"/>
      <c r="AH159" s="437"/>
      <c r="AI159" s="437"/>
      <c r="AJ159" s="543"/>
      <c r="AK159" s="415"/>
      <c r="AL159" s="292"/>
      <c r="AM159" s="543"/>
      <c r="AN159" s="415"/>
      <c r="AO159" s="292"/>
      <c r="AP159" s="445"/>
      <c r="AQ159" s="292"/>
      <c r="AR159" s="445"/>
      <c r="AS159" s="445"/>
      <c r="AT159" s="445"/>
      <c r="AU159" s="445"/>
      <c r="AV159" s="445"/>
      <c r="AW159" s="445"/>
      <c r="AX159" s="445"/>
      <c r="AY159" s="1586"/>
      <c r="AZ159" s="1586"/>
      <c r="BA159" s="1586"/>
      <c r="BB159" s="1586"/>
      <c r="BD159" s="545"/>
      <c r="BM159" s="214"/>
      <c r="BN159" s="214"/>
      <c r="BO159" s="214"/>
    </row>
    <row r="160" spans="1:129" ht="19.5" customHeight="1" thickBot="1" x14ac:dyDescent="0.35">
      <c r="B160" s="1854" t="s">
        <v>268</v>
      </c>
      <c r="D160" s="543"/>
      <c r="E160" s="543"/>
      <c r="F160" s="543"/>
      <c r="G160" s="543"/>
      <c r="V160" s="437"/>
      <c r="W160" s="437"/>
      <c r="X160" s="437"/>
      <c r="Y160" s="437"/>
      <c r="Z160" s="437"/>
      <c r="AA160" s="437"/>
      <c r="AB160" s="1585"/>
      <c r="AC160" s="1585"/>
      <c r="AD160" s="1585"/>
      <c r="AE160" s="1585"/>
      <c r="AF160" s="437"/>
      <c r="AG160" s="437"/>
      <c r="AH160" s="546" t="s">
        <v>79</v>
      </c>
      <c r="AI160" s="547">
        <f>MAX(AI139:AI158)</f>
        <v>0</v>
      </c>
      <c r="AJ160" s="543"/>
      <c r="AK160" s="415"/>
      <c r="AL160" s="845" t="s">
        <v>200</v>
      </c>
      <c r="AM160" s="846"/>
      <c r="AN160" s="846"/>
      <c r="AO160" s="846"/>
      <c r="AP160" s="847"/>
      <c r="AQ160" s="292"/>
      <c r="AR160" s="445"/>
      <c r="AS160" s="445"/>
      <c r="AT160" s="445"/>
      <c r="AU160" s="445"/>
      <c r="AV160" s="445"/>
      <c r="AW160" s="445"/>
      <c r="AX160" s="445"/>
      <c r="AY160" s="1586"/>
      <c r="AZ160" s="1586"/>
      <c r="BA160" s="1586"/>
      <c r="BB160" s="1586"/>
      <c r="BD160" s="545"/>
      <c r="BE160" s="136"/>
      <c r="BF160" s="136"/>
      <c r="BG160" s="297" t="s">
        <v>122</v>
      </c>
      <c r="BH160" s="136"/>
      <c r="BI160" s="136"/>
      <c r="BJ160" s="136"/>
      <c r="BK160" s="136"/>
      <c r="BL160" s="136"/>
      <c r="BM160" s="214"/>
      <c r="BN160" s="214"/>
      <c r="BO160" s="214"/>
    </row>
    <row r="161" spans="2:142" ht="19.5" customHeight="1" thickBot="1" x14ac:dyDescent="0.35">
      <c r="B161" s="1855"/>
      <c r="D161" s="543"/>
      <c r="E161" s="543"/>
      <c r="F161" s="543"/>
      <c r="G161" s="543"/>
      <c r="V161" s="437"/>
      <c r="W161" s="437"/>
      <c r="X161" s="437"/>
      <c r="Y161" s="437"/>
      <c r="Z161" s="437"/>
      <c r="AA161" s="437"/>
      <c r="AB161" s="1585"/>
      <c r="AC161" s="1585"/>
      <c r="AD161" s="1585"/>
      <c r="AE161" s="1585"/>
      <c r="AF161" s="437"/>
      <c r="AG161" s="437"/>
      <c r="AH161" s="853"/>
      <c r="AI161" s="854"/>
      <c r="AJ161" s="543"/>
      <c r="AK161" s="415"/>
      <c r="AL161" s="814" t="s">
        <v>175</v>
      </c>
      <c r="AM161" s="815" t="s">
        <v>176</v>
      </c>
      <c r="AN161" s="815" t="s">
        <v>177</v>
      </c>
      <c r="AO161" s="816" t="s">
        <v>181</v>
      </c>
      <c r="AP161" s="817"/>
      <c r="AQ161" s="292"/>
      <c r="AR161" s="445"/>
      <c r="AS161" s="445"/>
      <c r="AT161" s="445"/>
      <c r="AU161" s="445"/>
      <c r="AV161" s="445"/>
      <c r="AW161" s="445"/>
      <c r="AX161" s="445"/>
      <c r="AY161" s="1586"/>
      <c r="AZ161" s="1586"/>
      <c r="BA161" s="1586"/>
      <c r="BB161" s="1586"/>
      <c r="BD161" s="545"/>
      <c r="BE161" s="136"/>
      <c r="BF161" s="136"/>
      <c r="BG161" s="297"/>
      <c r="BH161" s="136"/>
      <c r="BI161" s="136"/>
      <c r="BJ161" s="136"/>
      <c r="BK161" s="136"/>
      <c r="BL161" s="136"/>
      <c r="BM161" s="214"/>
      <c r="BN161" s="214"/>
      <c r="BO161" s="214"/>
    </row>
    <row r="162" spans="2:142" ht="19.5" customHeight="1" thickBot="1" x14ac:dyDescent="0.35">
      <c r="B162" s="1855"/>
      <c r="D162" s="543"/>
      <c r="E162" s="543"/>
      <c r="F162" s="543"/>
      <c r="G162" s="543"/>
      <c r="V162" s="437"/>
      <c r="W162" s="437"/>
      <c r="X162" s="437"/>
      <c r="Y162" s="437"/>
      <c r="Z162" s="437"/>
      <c r="AA162" s="437"/>
      <c r="AB162" s="1585"/>
      <c r="AC162" s="1585"/>
      <c r="AD162" s="1585"/>
      <c r="AE162" s="1585"/>
      <c r="AF162" s="437"/>
      <c r="AG162" s="437"/>
      <c r="AH162" s="853"/>
      <c r="AI162" s="854"/>
      <c r="AJ162" s="543"/>
      <c r="AK162" s="415"/>
      <c r="AL162" s="818">
        <v>6.8623010000000004</v>
      </c>
      <c r="AM162" s="819">
        <f>+(AI160*-1)-AL162</f>
        <v>-6.8623010000000004</v>
      </c>
      <c r="AN162" s="820">
        <f>COS(AM162*3.14159265358979/180)</f>
        <v>0.99283617366519983</v>
      </c>
      <c r="AO162" s="848">
        <f>+AN162*378.71303</f>
        <v>375.99999562235405</v>
      </c>
      <c r="AP162" s="821"/>
      <c r="AQ162" s="292"/>
      <c r="AR162" s="445"/>
      <c r="AS162" s="445"/>
      <c r="AT162" s="445"/>
      <c r="AU162" s="445"/>
      <c r="AV162" s="445"/>
      <c r="AW162" s="445"/>
      <c r="AX162" s="445"/>
      <c r="AY162" s="1586"/>
      <c r="AZ162" s="1586"/>
      <c r="BA162" s="1586"/>
      <c r="BB162" s="1586"/>
      <c r="BD162" s="545"/>
      <c r="BE162" s="136"/>
      <c r="BF162" s="136"/>
      <c r="BG162" s="297"/>
      <c r="BH162" s="136"/>
      <c r="BI162" s="136"/>
      <c r="BJ162" s="136"/>
      <c r="BK162" s="136"/>
      <c r="BL162" s="136"/>
      <c r="BM162" s="214"/>
      <c r="BN162" s="214"/>
      <c r="BO162" s="214"/>
    </row>
    <row r="163" spans="2:142" ht="19.5" customHeight="1" thickBot="1" x14ac:dyDescent="0.35">
      <c r="B163" s="1855"/>
      <c r="D163" s="543"/>
      <c r="E163" s="543"/>
      <c r="F163" s="543"/>
      <c r="G163" s="543"/>
      <c r="V163" s="437"/>
      <c r="W163" s="437"/>
      <c r="X163" s="437"/>
      <c r="Y163" s="437"/>
      <c r="Z163" s="437"/>
      <c r="AA163" s="437"/>
      <c r="AB163" s="1585"/>
      <c r="AC163" s="1585"/>
      <c r="AD163" s="1585"/>
      <c r="AE163" s="1585"/>
      <c r="AF163" s="437"/>
      <c r="AG163" s="437"/>
      <c r="AH163" s="853"/>
      <c r="AI163" s="854"/>
      <c r="AJ163" s="543"/>
      <c r="AK163" s="415"/>
      <c r="AL163" s="844" t="s">
        <v>199</v>
      </c>
      <c r="AM163" s="849"/>
      <c r="AN163" s="849"/>
      <c r="AO163" s="849"/>
      <c r="AP163" s="850"/>
      <c r="AQ163" s="292"/>
      <c r="AR163" s="445"/>
      <c r="AS163" s="445"/>
      <c r="AT163" s="445"/>
      <c r="AU163" s="445"/>
      <c r="AV163" s="445"/>
      <c r="AW163" s="445"/>
      <c r="AX163" s="445"/>
      <c r="AY163" s="1586"/>
      <c r="AZ163" s="1586"/>
      <c r="BA163" s="1586"/>
      <c r="BB163" s="1586"/>
      <c r="BD163" s="545"/>
      <c r="BE163" s="136"/>
      <c r="BF163" s="136"/>
      <c r="BG163" s="297"/>
      <c r="BH163" s="136"/>
      <c r="BI163" s="136"/>
      <c r="BJ163" s="136"/>
      <c r="BK163" s="136"/>
      <c r="BL163" s="136"/>
      <c r="BM163" s="214"/>
      <c r="BN163" s="214"/>
      <c r="BO163" s="214"/>
    </row>
    <row r="164" spans="2:142" ht="19.5" customHeight="1" thickBot="1" x14ac:dyDescent="0.35">
      <c r="B164" s="1856"/>
      <c r="C164"/>
      <c r="D164" s="543"/>
      <c r="E164" s="1585"/>
      <c r="F164" s="543"/>
      <c r="G164" s="543"/>
      <c r="V164" s="437"/>
      <c r="W164" s="437"/>
      <c r="X164" s="437"/>
      <c r="Y164" s="437"/>
      <c r="Z164" s="437"/>
      <c r="AA164" s="437"/>
      <c r="AB164" s="1585"/>
      <c r="AC164" s="1585"/>
      <c r="AD164" s="1585"/>
      <c r="AE164" s="1585"/>
      <c r="AF164" s="437"/>
      <c r="AG164" s="437"/>
      <c r="AH164" s="437"/>
      <c r="AI164" s="437"/>
      <c r="AJ164" s="543"/>
      <c r="AK164" s="415"/>
      <c r="AL164" s="851"/>
      <c r="AM164" s="815" t="s">
        <v>194</v>
      </c>
      <c r="AN164" s="815" t="s">
        <v>193</v>
      </c>
      <c r="AO164" s="816" t="s">
        <v>197</v>
      </c>
      <c r="AP164" s="1671" t="s">
        <v>191</v>
      </c>
      <c r="AQ164" s="292"/>
      <c r="AR164" s="445"/>
      <c r="AS164" s="445"/>
      <c r="AT164" s="445"/>
      <c r="AU164" s="445"/>
      <c r="AV164" s="445"/>
      <c r="AW164" s="445"/>
      <c r="AX164" s="445"/>
      <c r="AY164" s="1586"/>
      <c r="AZ164" s="1586"/>
      <c r="BA164" s="1586"/>
      <c r="BB164" s="1586"/>
      <c r="BD164" s="545"/>
      <c r="BE164" s="298">
        <v>1</v>
      </c>
      <c r="BF164" s="1657">
        <v>-473</v>
      </c>
      <c r="BG164" s="300">
        <f>+COS(($B$133*-1)*3.14159265358979/180)*BF164</f>
        <v>-473</v>
      </c>
      <c r="BH164" s="301">
        <f t="shared" ref="BH164:BH203" si="38">+BG164-D$3</f>
        <v>-689.77708268574315</v>
      </c>
      <c r="BI164" s="302">
        <f t="shared" ref="BI164:BI203" si="39">ABS(BH164)</f>
        <v>689.77708268574315</v>
      </c>
      <c r="BJ164" s="303">
        <f>MIN(BI164:BI203)</f>
        <v>1.7770826857431246</v>
      </c>
      <c r="BK164" s="302" t="b">
        <f>IF(BJ164=BI164,BE164)</f>
        <v>0</v>
      </c>
      <c r="BL164" s="304">
        <v>1</v>
      </c>
      <c r="BM164" s="214"/>
      <c r="BN164" s="214"/>
      <c r="BO164" s="214"/>
    </row>
    <row r="165" spans="2:142" ht="37.5" customHeight="1" thickBot="1" x14ac:dyDescent="0.35">
      <c r="B165" s="34">
        <v>0</v>
      </c>
      <c r="D165" s="548" t="s">
        <v>269</v>
      </c>
      <c r="E165" s="1673"/>
      <c r="F165" s="1103" t="s">
        <v>270</v>
      </c>
      <c r="G165" s="543"/>
      <c r="V165" s="437"/>
      <c r="W165" s="437"/>
      <c r="X165" s="437"/>
      <c r="Y165" s="437"/>
      <c r="Z165" s="437"/>
      <c r="AA165" s="437"/>
      <c r="AB165" s="1585"/>
      <c r="AC165" s="1585"/>
      <c r="AD165" s="1585"/>
      <c r="AE165" s="1585"/>
      <c r="AF165" s="437"/>
      <c r="AG165" s="437"/>
      <c r="AH165" s="437"/>
      <c r="AI165" s="437"/>
      <c r="AJ165" s="543"/>
      <c r="AK165" s="415"/>
      <c r="AL165" s="852"/>
      <c r="AM165" s="822">
        <f>+AI160</f>
        <v>0</v>
      </c>
      <c r="AN165" s="823">
        <f>SIN(AM165*3.14159265358979/180)</f>
        <v>0</v>
      </c>
      <c r="AO165" s="824">
        <f>+AN165*((+B136*358.6)+119+119)</f>
        <v>0</v>
      </c>
      <c r="AP165" s="1672">
        <f>+AO162+AO165</f>
        <v>375.99999562235405</v>
      </c>
      <c r="AQ165" s="292"/>
      <c r="AR165" s="445"/>
      <c r="AS165" s="445"/>
      <c r="AT165" s="445"/>
      <c r="AU165" s="445"/>
      <c r="AV165" s="445"/>
      <c r="AW165" s="445"/>
      <c r="AX165" s="445"/>
      <c r="AY165" s="1586"/>
      <c r="AZ165" s="1586"/>
      <c r="BA165" s="1586"/>
      <c r="BB165" s="1586"/>
      <c r="BD165" s="545"/>
      <c r="BE165" s="298">
        <v>2</v>
      </c>
      <c r="BF165" s="1657">
        <f>+BF164+43</f>
        <v>-430</v>
      </c>
      <c r="BG165" s="42">
        <f>+BG164+$E$2</f>
        <v>-430</v>
      </c>
      <c r="BH165" s="301">
        <f t="shared" si="38"/>
        <v>-646.77708268574315</v>
      </c>
      <c r="BI165" s="302">
        <f t="shared" si="39"/>
        <v>646.77708268574315</v>
      </c>
      <c r="BJ165" s="302">
        <f>+BJ164</f>
        <v>1.7770826857431246</v>
      </c>
      <c r="BK165" s="302" t="b">
        <f t="shared" ref="BK165:BK203" si="40">IF(BJ165=BI165,BE165)</f>
        <v>0</v>
      </c>
      <c r="BL165" s="304">
        <v>2</v>
      </c>
      <c r="BM165" s="214"/>
      <c r="BN165" s="214"/>
      <c r="BO165" s="214"/>
    </row>
    <row r="166" spans="2:142" ht="21" thickBot="1" x14ac:dyDescent="0.35">
      <c r="D166" s="543"/>
      <c r="E166" s="543"/>
      <c r="F166" s="543"/>
      <c r="G166" s="543"/>
      <c r="V166" s="437"/>
      <c r="W166" s="437"/>
      <c r="X166" s="437"/>
      <c r="Y166" s="437"/>
      <c r="Z166" s="437"/>
      <c r="AA166" s="437"/>
      <c r="AB166" s="1585"/>
      <c r="AC166" s="1585"/>
      <c r="AD166" s="1585"/>
      <c r="AE166" s="1585"/>
      <c r="AF166" s="437"/>
      <c r="AG166" s="437"/>
      <c r="AH166" s="437"/>
      <c r="AI166" s="437"/>
      <c r="AJ166" s="543"/>
      <c r="AK166" s="415"/>
      <c r="AL166" s="292"/>
      <c r="AM166" s="543"/>
      <c r="AN166" s="415"/>
      <c r="AO166" s="292"/>
      <c r="AP166" s="445"/>
      <c r="AQ166" s="292"/>
      <c r="AR166" s="445"/>
      <c r="AS166" s="445"/>
      <c r="AT166" s="445"/>
      <c r="AU166" s="445"/>
      <c r="AV166" s="445"/>
      <c r="AW166" s="445"/>
      <c r="AX166" s="445"/>
      <c r="AY166" s="1586"/>
      <c r="AZ166" s="1586"/>
      <c r="BA166" s="1586"/>
      <c r="BB166" s="1586"/>
      <c r="BD166" s="545"/>
      <c r="BE166" s="298">
        <v>3</v>
      </c>
      <c r="BF166" s="1657">
        <f t="shared" ref="BF166:BF203" si="41">+BF165+43</f>
        <v>-387</v>
      </c>
      <c r="BG166" s="42">
        <f t="shared" ref="BG166:BG203" si="42">+BG165+$E$2</f>
        <v>-387</v>
      </c>
      <c r="BH166" s="301">
        <f t="shared" si="38"/>
        <v>-603.77708268574315</v>
      </c>
      <c r="BI166" s="302">
        <f t="shared" si="39"/>
        <v>603.77708268574315</v>
      </c>
      <c r="BJ166" s="302">
        <f t="shared" ref="BJ166:BJ203" si="43">+BJ165</f>
        <v>1.7770826857431246</v>
      </c>
      <c r="BK166" s="302" t="b">
        <f t="shared" si="40"/>
        <v>0</v>
      </c>
      <c r="BL166" s="304">
        <v>3</v>
      </c>
      <c r="BM166" s="214"/>
      <c r="BN166" s="214"/>
      <c r="BO166" s="214"/>
    </row>
    <row r="167" spans="2:142" ht="66" customHeight="1" thickBot="1" x14ac:dyDescent="0.35">
      <c r="B167" s="345" t="s">
        <v>211</v>
      </c>
      <c r="C167" s="412"/>
      <c r="D167" s="37"/>
      <c r="E167" s="37"/>
      <c r="F167" s="37"/>
      <c r="G167" s="37"/>
      <c r="T167" s="73"/>
      <c r="BD167" s="136"/>
      <c r="BE167" s="298">
        <v>4</v>
      </c>
      <c r="BF167" s="1657">
        <f t="shared" si="41"/>
        <v>-344</v>
      </c>
      <c r="BG167" s="42">
        <f t="shared" si="42"/>
        <v>-344</v>
      </c>
      <c r="BH167" s="301">
        <f t="shared" si="38"/>
        <v>-560.77708268574315</v>
      </c>
      <c r="BI167" s="302">
        <f t="shared" si="39"/>
        <v>560.77708268574315</v>
      </c>
      <c r="BJ167" s="302">
        <f t="shared" si="43"/>
        <v>1.7770826857431246</v>
      </c>
      <c r="BK167" s="302" t="b">
        <f t="shared" si="40"/>
        <v>0</v>
      </c>
      <c r="BL167" s="304">
        <v>4</v>
      </c>
      <c r="BM167" s="214"/>
      <c r="BN167" s="214"/>
      <c r="BO167" s="214"/>
      <c r="EK167" s="78"/>
      <c r="EL167" s="78"/>
    </row>
    <row r="168" spans="2:142" ht="35.25" customHeight="1" thickBot="1" x14ac:dyDescent="0.35">
      <c r="B168" s="27">
        <v>1</v>
      </c>
      <c r="C168" s="216"/>
      <c r="D168" s="556" t="s">
        <v>109</v>
      </c>
      <c r="E168" s="330"/>
      <c r="F168" s="330"/>
      <c r="G168" s="330"/>
      <c r="H168" s="342" t="s">
        <v>87</v>
      </c>
      <c r="I168" s="342" t="s">
        <v>88</v>
      </c>
      <c r="J168" s="342" t="s">
        <v>89</v>
      </c>
      <c r="K168"/>
      <c r="L168"/>
      <c r="M168"/>
      <c r="N168"/>
      <c r="O168"/>
      <c r="P168" s="342" t="s">
        <v>90</v>
      </c>
      <c r="Q168" s="342" t="s">
        <v>91</v>
      </c>
      <c r="R168" s="330"/>
      <c r="S168" s="342" t="s">
        <v>92</v>
      </c>
      <c r="T168" s="1588"/>
      <c r="W168" s="1850" t="s">
        <v>93</v>
      </c>
      <c r="X168" s="1850"/>
      <c r="Y168" s="1850"/>
      <c r="Z168" s="1850"/>
      <c r="AA168" s="1850"/>
      <c r="AZ168" s="415"/>
      <c r="BA168" s="1848" t="s">
        <v>52</v>
      </c>
      <c r="BB168" s="1849"/>
      <c r="BD168" s="136"/>
      <c r="BE168" s="298">
        <v>5</v>
      </c>
      <c r="BF168" s="1657">
        <f t="shared" si="41"/>
        <v>-301</v>
      </c>
      <c r="BG168" s="42">
        <f t="shared" si="42"/>
        <v>-301</v>
      </c>
      <c r="BH168" s="301">
        <f t="shared" si="38"/>
        <v>-517.77708268574315</v>
      </c>
      <c r="BI168" s="302">
        <f t="shared" si="39"/>
        <v>517.77708268574315</v>
      </c>
      <c r="BJ168" s="302">
        <f t="shared" si="43"/>
        <v>1.7770826857431246</v>
      </c>
      <c r="BK168" s="302" t="b">
        <f t="shared" si="40"/>
        <v>0</v>
      </c>
      <c r="BL168" s="304">
        <v>5</v>
      </c>
      <c r="BM168" s="214"/>
      <c r="BN168" s="214"/>
      <c r="BO168" s="214"/>
      <c r="EK168" s="78"/>
      <c r="EL168" s="78"/>
    </row>
    <row r="169" spans="2:142" ht="103" hidden="1" thickBot="1" x14ac:dyDescent="0.35">
      <c r="C169" s="416"/>
      <c r="D169" s="550" t="s">
        <v>13</v>
      </c>
      <c r="H169" s="356" t="s">
        <v>4</v>
      </c>
      <c r="I169" s="356" t="s">
        <v>1</v>
      </c>
      <c r="J169" s="377" t="s">
        <v>73</v>
      </c>
      <c r="K169" s="316" t="s">
        <v>2</v>
      </c>
      <c r="L169" s="316" t="s">
        <v>3</v>
      </c>
      <c r="M169" s="316" t="s">
        <v>8</v>
      </c>
      <c r="N169" s="316" t="s">
        <v>5</v>
      </c>
      <c r="O169" s="316" t="s">
        <v>6</v>
      </c>
      <c r="P169" s="316" t="s">
        <v>7</v>
      </c>
      <c r="Q169" s="316" t="s">
        <v>9</v>
      </c>
      <c r="R169" s="356" t="s">
        <v>10</v>
      </c>
      <c r="S169" s="316" t="s">
        <v>11</v>
      </c>
      <c r="T169" s="418" t="s">
        <v>12</v>
      </c>
      <c r="W169" s="356" t="s">
        <v>111</v>
      </c>
      <c r="X169" s="316" t="s">
        <v>94</v>
      </c>
      <c r="Y169" s="356" t="s">
        <v>110</v>
      </c>
      <c r="Z169" s="419" t="s">
        <v>95</v>
      </c>
      <c r="AA169" s="419" t="s">
        <v>96</v>
      </c>
      <c r="AC169" s="316" t="s">
        <v>99</v>
      </c>
      <c r="AD169" s="316"/>
      <c r="AE169" s="316"/>
      <c r="AF169" s="420"/>
      <c r="AG169" s="420"/>
      <c r="AH169" s="420"/>
      <c r="AI169" s="420"/>
      <c r="AJ169" s="420"/>
      <c r="AK169" s="420"/>
      <c r="AL169" s="420"/>
      <c r="AM169" s="420"/>
      <c r="AN169" s="420"/>
      <c r="AO169" s="420"/>
      <c r="AP169" s="420" t="s">
        <v>326</v>
      </c>
      <c r="AQ169" s="1674" t="s">
        <v>330</v>
      </c>
      <c r="AR169" s="420" t="s">
        <v>326</v>
      </c>
      <c r="AS169" s="420"/>
      <c r="AT169" s="420"/>
      <c r="AU169" s="420" t="s">
        <v>326</v>
      </c>
      <c r="AV169" s="420"/>
      <c r="AW169" s="420"/>
      <c r="AX169" s="420"/>
      <c r="AY169" s="415"/>
      <c r="AZ169" s="415"/>
      <c r="BA169" s="420"/>
      <c r="BB169" s="420"/>
      <c r="BC169" s="231"/>
      <c r="BD169" s="136"/>
      <c r="BE169" s="298">
        <v>6</v>
      </c>
      <c r="BF169" s="1657">
        <f t="shared" si="41"/>
        <v>-258</v>
      </c>
      <c r="BG169" s="42">
        <f t="shared" si="42"/>
        <v>-258</v>
      </c>
      <c r="BH169" s="301">
        <f t="shared" si="38"/>
        <v>-474.77708268574315</v>
      </c>
      <c r="BI169" s="302">
        <f t="shared" si="39"/>
        <v>474.77708268574315</v>
      </c>
      <c r="BJ169" s="302">
        <f t="shared" si="43"/>
        <v>1.7770826857431246</v>
      </c>
      <c r="BK169" s="302" t="b">
        <f t="shared" si="40"/>
        <v>0</v>
      </c>
      <c r="BL169" s="304">
        <v>6</v>
      </c>
      <c r="BM169" s="214"/>
      <c r="BN169" s="214"/>
      <c r="BO169" s="214"/>
      <c r="EK169" s="78"/>
      <c r="EL169" s="78"/>
    </row>
    <row r="170" spans="2:142" ht="27.75" customHeight="1" thickBot="1" x14ac:dyDescent="0.35">
      <c r="B170" s="421"/>
      <c r="C170" s="422"/>
      <c r="D170" s="551" t="s">
        <v>22</v>
      </c>
      <c r="E170" s="37"/>
      <c r="F170" s="330"/>
      <c r="G170" s="240"/>
      <c r="H170" s="356"/>
      <c r="I170" s="356"/>
      <c r="J170" s="377"/>
      <c r="K170" s="316"/>
      <c r="L170" s="316"/>
      <c r="M170" s="316"/>
      <c r="N170" s="316"/>
      <c r="O170" s="316"/>
      <c r="P170" s="316"/>
      <c r="Q170" s="316"/>
      <c r="R170" s="356"/>
      <c r="S170" s="316"/>
      <c r="T170" s="418"/>
      <c r="V170" s="420"/>
      <c r="W170" s="420"/>
      <c r="X170" s="420"/>
      <c r="Y170" s="420"/>
      <c r="Z170" s="420"/>
      <c r="AA170" s="420"/>
      <c r="AB170" s="420"/>
      <c r="AC170" s="423">
        <f>SUM(AC171:AC182)</f>
        <v>334.49993130661176</v>
      </c>
      <c r="AD170" s="424"/>
      <c r="AE170" s="424"/>
      <c r="AF170" s="420" t="s">
        <v>38</v>
      </c>
      <c r="AG170" s="552" t="s">
        <v>101</v>
      </c>
      <c r="AH170" s="425" t="s">
        <v>31</v>
      </c>
      <c r="AI170" s="425"/>
      <c r="AJ170" s="10" t="s">
        <v>108</v>
      </c>
      <c r="AK170" s="426" t="s">
        <v>32</v>
      </c>
      <c r="AL170" s="9" t="s">
        <v>33</v>
      </c>
      <c r="AM170" s="8" t="s">
        <v>107</v>
      </c>
      <c r="AN170" s="427" t="s">
        <v>34</v>
      </c>
      <c r="AO170" s="9" t="s">
        <v>35</v>
      </c>
      <c r="AP170" s="428" t="s">
        <v>48</v>
      </c>
      <c r="AQ170" s="1593" t="s">
        <v>154</v>
      </c>
      <c r="AR170" s="428" t="s">
        <v>155</v>
      </c>
      <c r="AS170" s="420" t="s">
        <v>46</v>
      </c>
      <c r="AT170" s="420" t="s">
        <v>72</v>
      </c>
      <c r="AU170" s="428" t="s">
        <v>331</v>
      </c>
      <c r="AV170" s="553"/>
      <c r="AW170" s="1594" t="s">
        <v>41</v>
      </c>
      <c r="AX170" s="1594" t="s">
        <v>42</v>
      </c>
      <c r="AY170" s="430" t="s">
        <v>23</v>
      </c>
      <c r="AZ170" s="430" t="s">
        <v>24</v>
      </c>
      <c r="BA170" s="431" t="s">
        <v>23</v>
      </c>
      <c r="BB170" s="431" t="s">
        <v>24</v>
      </c>
      <c r="BD170" s="136"/>
      <c r="BE170" s="298">
        <v>7</v>
      </c>
      <c r="BF170" s="1657">
        <f t="shared" si="41"/>
        <v>-215</v>
      </c>
      <c r="BG170" s="42">
        <f t="shared" si="42"/>
        <v>-215</v>
      </c>
      <c r="BH170" s="301">
        <f t="shared" si="38"/>
        <v>-431.77708268574315</v>
      </c>
      <c r="BI170" s="302">
        <f t="shared" si="39"/>
        <v>431.77708268574315</v>
      </c>
      <c r="BJ170" s="302">
        <f t="shared" si="43"/>
        <v>1.7770826857431246</v>
      </c>
      <c r="BK170" s="302" t="b">
        <f t="shared" si="40"/>
        <v>0</v>
      </c>
      <c r="BL170" s="304">
        <v>7</v>
      </c>
      <c r="BM170" s="214"/>
      <c r="BN170" s="214"/>
      <c r="BO170" s="214"/>
      <c r="EK170" s="78"/>
      <c r="EL170" s="78"/>
    </row>
    <row r="171" spans="2:142" ht="23" thickBot="1" x14ac:dyDescent="0.35">
      <c r="B171" s="255">
        <v>1</v>
      </c>
      <c r="C171" s="256">
        <f>+B165+AI160+D171</f>
        <v>0</v>
      </c>
      <c r="D171" s="25">
        <v>0</v>
      </c>
      <c r="E171" s="257" t="s">
        <v>80</v>
      </c>
      <c r="F171" s="258"/>
      <c r="G171" s="258"/>
      <c r="H171" s="506">
        <v>414.62658399999998</v>
      </c>
      <c r="I171" s="507">
        <v>36.220413100000002</v>
      </c>
      <c r="J171" s="508">
        <f>+I171-C171</f>
        <v>36.220413100000002</v>
      </c>
      <c r="K171" s="508"/>
      <c r="L171" s="508"/>
      <c r="M171" s="508"/>
      <c r="N171" s="508"/>
      <c r="O171" s="508"/>
      <c r="P171" s="508">
        <f>COS(J171*3.14159265358979/180)</f>
        <v>0.80674984242354264</v>
      </c>
      <c r="Q171" s="508">
        <f>+P171*H171</f>
        <v>334.49993130661176</v>
      </c>
      <c r="R171" s="509">
        <v>334.5</v>
      </c>
      <c r="S171" s="508">
        <f>+Q171</f>
        <v>334.49993130661176</v>
      </c>
      <c r="T171" s="510">
        <f t="shared" ref="T171:T182" si="44">+S171</f>
        <v>334.49993130661176</v>
      </c>
      <c r="U171" s="456"/>
      <c r="V171" s="511">
        <f>IF(B171&lt;($B$168+1),T171,0)</f>
        <v>334.49993130661176</v>
      </c>
      <c r="W171" s="512">
        <v>36.220415500000001</v>
      </c>
      <c r="X171" s="511">
        <f>+W171+AI183</f>
        <v>36.220415500000001</v>
      </c>
      <c r="Y171" s="512">
        <v>414.6266</v>
      </c>
      <c r="Z171" s="419">
        <f>+COS(X171*3.14159265358979/180)*Y171</f>
        <v>334.49993395207258</v>
      </c>
      <c r="AA171" s="513">
        <f>+AC170-Z171</f>
        <v>-2.6454608246240241E-6</v>
      </c>
      <c r="AB171" s="1595"/>
      <c r="AC171" s="514">
        <f>IF(AD171=1,AF171)</f>
        <v>334.49993130661176</v>
      </c>
      <c r="AD171" s="514">
        <f>MAX(AE$171:AE$182)</f>
        <v>1</v>
      </c>
      <c r="AE171" s="514">
        <f>IF(V171=0,0,1)</f>
        <v>1</v>
      </c>
      <c r="AF171" s="511">
        <f>SUM(V171:V182)/($B$168)</f>
        <v>334.49993130661176</v>
      </c>
      <c r="AG171" s="511">
        <f>+AA139+$AF$171</f>
        <v>334.49992246950308</v>
      </c>
      <c r="AH171" s="515">
        <f>+D171+C171</f>
        <v>0</v>
      </c>
      <c r="AI171" s="516">
        <f>IF(B171&lt;($B$168+1),AH171)</f>
        <v>0</v>
      </c>
      <c r="AJ171" s="287">
        <f>53.779595+AI171</f>
        <v>53.779595</v>
      </c>
      <c r="AK171" s="517">
        <f>SIN(AJ171*3.14159265358979/180)</f>
        <v>0.8067499259590819</v>
      </c>
      <c r="AL171" s="289">
        <f>+AK171*414.6266</f>
        <v>334.49997885066585</v>
      </c>
      <c r="AM171" s="287">
        <f>59.2910885-AI171</f>
        <v>59.291088500000001</v>
      </c>
      <c r="AN171" s="518">
        <f>SIN(AM171*3.14159265358979/180)</f>
        <v>0.85977285389573432</v>
      </c>
      <c r="AO171" s="291">
        <f>+AN171*479.7721</f>
        <v>412.49502763654965</v>
      </c>
      <c r="AP171" s="519">
        <f t="shared" ref="AP171:AP182" si="45">+((AF171*AQ171)+($AQ$195*($AF$195+$AA$171)))/AR171</f>
        <v>228.77035840184462</v>
      </c>
      <c r="AQ171" s="1670">
        <f>$C$10*B168</f>
        <v>72</v>
      </c>
      <c r="AR171" s="519">
        <f t="shared" ref="AR171:AR182" si="46">+AQ171+$AQ$195+31</f>
        <v>132.30000000000001</v>
      </c>
      <c r="AS171" s="520">
        <f>+AO171+AL171</f>
        <v>746.99500648721551</v>
      </c>
      <c r="AT171" s="521">
        <f>+V171-AL171</f>
        <v>-4.7544054098125343E-5</v>
      </c>
      <c r="AU171" s="522">
        <f>+AP171-AT171</f>
        <v>228.77040594589872</v>
      </c>
      <c r="AV171" s="521"/>
      <c r="AW171" s="523">
        <f>+((AS171-AU171)/AS171)*AR171</f>
        <v>91.782560868818365</v>
      </c>
      <c r="AX171" s="523">
        <f>+(AU171/AS171)*AR171</f>
        <v>40.517439131181661</v>
      </c>
      <c r="AY171" s="1597">
        <f t="shared" ref="AY171:AY182" si="47">2*$C$18/AW171</f>
        <v>126.38566510014336</v>
      </c>
      <c r="AZ171" s="1597">
        <f>2*$D$19/AX171</f>
        <v>286.2964750176622</v>
      </c>
      <c r="BA171" s="542">
        <f>ABS(AY171)</f>
        <v>126.38566510014336</v>
      </c>
      <c r="BB171" s="542">
        <f>ABS(AZ171)</f>
        <v>286.2964750176622</v>
      </c>
      <c r="BC171" s="91"/>
      <c r="BD171" s="136"/>
      <c r="BE171" s="298">
        <v>8</v>
      </c>
      <c r="BF171" s="1657">
        <f t="shared" si="41"/>
        <v>-172</v>
      </c>
      <c r="BG171" s="42">
        <f t="shared" si="42"/>
        <v>-172</v>
      </c>
      <c r="BH171" s="301">
        <f t="shared" si="38"/>
        <v>-388.77708268574315</v>
      </c>
      <c r="BI171" s="302">
        <f t="shared" si="39"/>
        <v>388.77708268574315</v>
      </c>
      <c r="BJ171" s="302">
        <f t="shared" si="43"/>
        <v>1.7770826857431246</v>
      </c>
      <c r="BK171" s="302" t="b">
        <f t="shared" si="40"/>
        <v>0</v>
      </c>
      <c r="BL171" s="304">
        <v>8</v>
      </c>
      <c r="BM171" s="214"/>
      <c r="BN171" s="214"/>
      <c r="BO171" s="214"/>
      <c r="EK171" s="78"/>
      <c r="EL171" s="78"/>
    </row>
    <row r="172" spans="2:142" ht="23" thickBot="1" x14ac:dyDescent="0.35">
      <c r="B172" s="277">
        <v>2</v>
      </c>
      <c r="C172" s="278"/>
      <c r="D172" s="25">
        <v>0</v>
      </c>
      <c r="E172" s="279" t="s">
        <v>80</v>
      </c>
      <c r="F172" s="258"/>
      <c r="G172" s="258"/>
      <c r="H172" s="506">
        <v>479.77208100000001</v>
      </c>
      <c r="I172" s="507">
        <v>61.416098300000002</v>
      </c>
      <c r="J172" s="474">
        <f>+I172+D172</f>
        <v>61.416098300000002</v>
      </c>
      <c r="K172" s="474">
        <f t="shared" ref="K172:K182" si="48">+J172/2</f>
        <v>30.708049150000001</v>
      </c>
      <c r="L172" s="474">
        <f t="shared" ref="L172:L182" si="49">SIN(K172*3.14159265358979/180)</f>
        <v>0.51066370850547771</v>
      </c>
      <c r="M172" s="474">
        <f t="shared" ref="M172:M182" si="50">+L172*H172</f>
        <v>245.00219012085046</v>
      </c>
      <c r="N172" s="474">
        <f t="shared" ref="N172:N182" si="51">+M172*2</f>
        <v>490.00438024170091</v>
      </c>
      <c r="O172" s="474">
        <f>+C171+(D172/2)</f>
        <v>0</v>
      </c>
      <c r="P172" s="474">
        <f t="shared" ref="P172:P182" si="52">SIN(O172*3.14159265358979/180)</f>
        <v>0</v>
      </c>
      <c r="Q172" s="474">
        <f t="shared" ref="Q172:Q182" si="53">+P172*N172</f>
        <v>0</v>
      </c>
      <c r="R172" s="474">
        <f t="shared" ref="R172:R182" si="54">+T171</f>
        <v>334.49993130661176</v>
      </c>
      <c r="S172" s="474">
        <f>+R172+Q172</f>
        <v>334.49993130661176</v>
      </c>
      <c r="T172" s="476">
        <f t="shared" si="44"/>
        <v>334.49993130661176</v>
      </c>
      <c r="V172" s="437">
        <f t="shared" ref="V172:V182" si="55">IF(B172&lt;($B$168+1),T172,0)</f>
        <v>0</v>
      </c>
      <c r="W172" s="437"/>
      <c r="X172" s="437"/>
      <c r="Y172" s="437"/>
      <c r="Z172" s="437"/>
      <c r="AA172" s="437"/>
      <c r="AB172" s="1595"/>
      <c r="AC172" s="514" t="b">
        <f>IF(AD172=2,AF172)</f>
        <v>0</v>
      </c>
      <c r="AD172" s="514">
        <f t="shared" ref="AD172:AD182" si="56">MAX(AE$171:AE$182)</f>
        <v>1</v>
      </c>
      <c r="AE172" s="514">
        <f>IF(V172=0,0,2)</f>
        <v>0</v>
      </c>
      <c r="AF172" s="437" t="e">
        <f>SUM(V172:V182)/($B$168-B171)</f>
        <v>#DIV/0!</v>
      </c>
      <c r="AG172" s="437"/>
      <c r="AH172" s="450">
        <f>SUM(D172)+$C$171</f>
        <v>0</v>
      </c>
      <c r="AI172" s="516" t="b">
        <f t="shared" ref="AI172:AI182" si="57">IF(B172&lt;($B$168+1),AH172)</f>
        <v>0</v>
      </c>
      <c r="AJ172" s="287">
        <f t="shared" ref="AJ172:AJ182" si="58">53.779595+AI172</f>
        <v>53.779595</v>
      </c>
      <c r="AK172" s="441">
        <f>SIN(AJ172*3.14159265358979/180)</f>
        <v>0.8067499259590819</v>
      </c>
      <c r="AL172" s="289">
        <f t="shared" ref="AL172:AL182" si="59">+AK172*414.6266</f>
        <v>334.49997885066585</v>
      </c>
      <c r="AM172" s="287">
        <f t="shared" ref="AM172:AM182" si="60">59.2910885-AI172</f>
        <v>59.291088500000001</v>
      </c>
      <c r="AN172" s="442">
        <f t="shared" ref="AN172:AN182" si="61">SIN(AM172*3.14159265358979/180)</f>
        <v>0.85977285389573432</v>
      </c>
      <c r="AO172" s="291">
        <f t="shared" ref="AO172:AO182" si="62">+AN172*479.7721</f>
        <v>412.49502763654965</v>
      </c>
      <c r="AP172" s="519" t="e">
        <f t="shared" si="45"/>
        <v>#DIV/0!</v>
      </c>
      <c r="AQ172" s="1639">
        <f>$C$10*($B$168-B171)</f>
        <v>0</v>
      </c>
      <c r="AR172" s="443">
        <f>+AQ172+$AQ$195+31</f>
        <v>60.3</v>
      </c>
      <c r="AS172" s="444">
        <f t="shared" ref="AS172:AS182" si="63">+AO172+AL172</f>
        <v>746.99500648721551</v>
      </c>
      <c r="AT172" s="445">
        <f t="shared" ref="AT172:AT182" si="64">+V172-AL172</f>
        <v>-334.49997885066585</v>
      </c>
      <c r="AU172" s="446" t="e">
        <f t="shared" ref="AU172:AU182" si="65">+AP172-AT172</f>
        <v>#DIV/0!</v>
      </c>
      <c r="AV172" s="445"/>
      <c r="AW172" s="447" t="e">
        <f t="shared" ref="AW172:AW182" si="66">+((AS172-AU172)/AS172)*AR172</f>
        <v>#DIV/0!</v>
      </c>
      <c r="AX172" s="447" t="e">
        <f t="shared" ref="AX172:AX182" si="67">+(AU172/AS172)*AR172</f>
        <v>#DIV/0!</v>
      </c>
      <c r="AY172" s="1597" t="e">
        <f t="shared" si="47"/>
        <v>#DIV/0!</v>
      </c>
      <c r="AZ172" s="1597" t="e">
        <f t="shared" ref="AZ172:AZ182" si="68">2*$D$19/AX172</f>
        <v>#DIV/0!</v>
      </c>
      <c r="BA172" s="542" t="e">
        <f t="shared" ref="BA172:BB182" si="69">ABS(AY172)</f>
        <v>#DIV/0!</v>
      </c>
      <c r="BB172" s="542" t="e">
        <f t="shared" si="69"/>
        <v>#DIV/0!</v>
      </c>
      <c r="BD172" s="136"/>
      <c r="BE172" s="298">
        <v>9</v>
      </c>
      <c r="BF172" s="1657">
        <f t="shared" si="41"/>
        <v>-129</v>
      </c>
      <c r="BG172" s="42">
        <f t="shared" si="42"/>
        <v>-129</v>
      </c>
      <c r="BH172" s="301">
        <f t="shared" si="38"/>
        <v>-345.77708268574315</v>
      </c>
      <c r="BI172" s="302">
        <f t="shared" si="39"/>
        <v>345.77708268574315</v>
      </c>
      <c r="BJ172" s="302">
        <f t="shared" si="43"/>
        <v>1.7770826857431246</v>
      </c>
      <c r="BK172" s="302" t="b">
        <f t="shared" si="40"/>
        <v>0</v>
      </c>
      <c r="BL172" s="304">
        <v>9</v>
      </c>
      <c r="BM172" s="214"/>
      <c r="BN172" s="214"/>
      <c r="BO172" s="214"/>
      <c r="EK172" s="78"/>
      <c r="EL172" s="78"/>
    </row>
    <row r="173" spans="2:142" ht="23" thickBot="1" x14ac:dyDescent="0.35">
      <c r="B173" s="277">
        <v>3</v>
      </c>
      <c r="C173" s="278"/>
      <c r="D173" s="25">
        <v>0</v>
      </c>
      <c r="E173" s="279" t="s">
        <v>80</v>
      </c>
      <c r="F173" s="258"/>
      <c r="G173" s="258"/>
      <c r="H173" s="506">
        <v>479.77208100000001</v>
      </c>
      <c r="I173" s="507">
        <v>61.416098300000002</v>
      </c>
      <c r="J173" s="474">
        <f t="shared" ref="J173:J182" si="70">+I173+D173</f>
        <v>61.416098300000002</v>
      </c>
      <c r="K173" s="474">
        <f t="shared" si="48"/>
        <v>30.708049150000001</v>
      </c>
      <c r="L173" s="474">
        <f t="shared" si="49"/>
        <v>0.51066370850547771</v>
      </c>
      <c r="M173" s="474">
        <f t="shared" si="50"/>
        <v>245.00219012085046</v>
      </c>
      <c r="N173" s="474">
        <f t="shared" si="51"/>
        <v>490.00438024170091</v>
      </c>
      <c r="O173" s="474">
        <f>+C171+D172+(D173/2)</f>
        <v>0</v>
      </c>
      <c r="P173" s="474">
        <f t="shared" si="52"/>
        <v>0</v>
      </c>
      <c r="Q173" s="474">
        <f t="shared" si="53"/>
        <v>0</v>
      </c>
      <c r="R173" s="474">
        <f t="shared" si="54"/>
        <v>334.49993130661176</v>
      </c>
      <c r="S173" s="474">
        <f t="shared" ref="S173:S182" si="71">+S172+Q173</f>
        <v>334.49993130661176</v>
      </c>
      <c r="T173" s="476">
        <f t="shared" si="44"/>
        <v>334.49993130661176</v>
      </c>
      <c r="V173" s="437">
        <f t="shared" si="55"/>
        <v>0</v>
      </c>
      <c r="W173" s="437"/>
      <c r="X173" s="437"/>
      <c r="Y173" s="437"/>
      <c r="Z173" s="437"/>
      <c r="AA173" s="437"/>
      <c r="AB173" s="1595"/>
      <c r="AC173" s="514" t="b">
        <f>IF(AD173=3,AF173)</f>
        <v>0</v>
      </c>
      <c r="AD173" s="514">
        <f t="shared" si="56"/>
        <v>1</v>
      </c>
      <c r="AE173" s="514">
        <f>IF(V173=0,0,3)</f>
        <v>0</v>
      </c>
      <c r="AF173" s="437">
        <f>SUM(V173:V182)/($B$168-B172)</f>
        <v>0</v>
      </c>
      <c r="AG173" s="437"/>
      <c r="AH173" s="450">
        <f>SUM(D172:D173)+$C$171</f>
        <v>0</v>
      </c>
      <c r="AI173" s="516" t="b">
        <f t="shared" si="57"/>
        <v>0</v>
      </c>
      <c r="AJ173" s="287">
        <f t="shared" si="58"/>
        <v>53.779595</v>
      </c>
      <c r="AK173" s="441">
        <f t="shared" ref="AK173:AK182" si="72">SIN(AJ173*3.14159265358979/180)</f>
        <v>0.8067499259590819</v>
      </c>
      <c r="AL173" s="289">
        <f t="shared" si="59"/>
        <v>334.49997885066585</v>
      </c>
      <c r="AM173" s="287">
        <f t="shared" si="60"/>
        <v>59.291088500000001</v>
      </c>
      <c r="AN173" s="442">
        <f t="shared" si="61"/>
        <v>0.85977285389573432</v>
      </c>
      <c r="AO173" s="291">
        <f t="shared" si="62"/>
        <v>412.49502763654965</v>
      </c>
      <c r="AP173" s="519">
        <f t="shared" si="45"/>
        <v>-528.40370619555517</v>
      </c>
      <c r="AQ173" s="1639">
        <f t="shared" ref="AQ173:AQ182" si="73">$C$10*($B$168-B172)</f>
        <v>-72</v>
      </c>
      <c r="AR173" s="443">
        <f t="shared" si="46"/>
        <v>-11.700000000000003</v>
      </c>
      <c r="AS173" s="444">
        <f t="shared" si="63"/>
        <v>746.99500648721551</v>
      </c>
      <c r="AT173" s="445">
        <f t="shared" si="64"/>
        <v>-334.49997885066585</v>
      </c>
      <c r="AU173" s="446">
        <f t="shared" si="65"/>
        <v>-193.90372734488932</v>
      </c>
      <c r="AV173" s="445"/>
      <c r="AW173" s="447">
        <f t="shared" si="66"/>
        <v>-14.737066633957527</v>
      </c>
      <c r="AX173" s="447">
        <f t="shared" si="67"/>
        <v>3.0370666339575227</v>
      </c>
      <c r="AY173" s="1597">
        <f t="shared" si="47"/>
        <v>-787.13086451485412</v>
      </c>
      <c r="AZ173" s="1597">
        <f t="shared" si="68"/>
        <v>3819.4749730875483</v>
      </c>
      <c r="BA173" s="542">
        <f t="shared" si="69"/>
        <v>787.13086451485412</v>
      </c>
      <c r="BB173" s="542">
        <f t="shared" si="69"/>
        <v>3819.4749730875483</v>
      </c>
      <c r="BD173" s="136"/>
      <c r="BE173" s="298">
        <v>10</v>
      </c>
      <c r="BF173" s="1657">
        <f t="shared" si="41"/>
        <v>-86</v>
      </c>
      <c r="BG173" s="42">
        <f t="shared" si="42"/>
        <v>-86</v>
      </c>
      <c r="BH173" s="301">
        <f t="shared" si="38"/>
        <v>-302.77708268574315</v>
      </c>
      <c r="BI173" s="302">
        <f t="shared" si="39"/>
        <v>302.77708268574315</v>
      </c>
      <c r="BJ173" s="302">
        <f t="shared" si="43"/>
        <v>1.7770826857431246</v>
      </c>
      <c r="BK173" s="302" t="b">
        <f t="shared" si="40"/>
        <v>0</v>
      </c>
      <c r="BL173" s="304">
        <v>10</v>
      </c>
      <c r="BM173" s="214"/>
      <c r="BN173" s="214"/>
      <c r="BO173" s="214"/>
      <c r="EK173" s="78"/>
      <c r="EL173" s="78"/>
    </row>
    <row r="174" spans="2:142" ht="23" thickBot="1" x14ac:dyDescent="0.35">
      <c r="B174" s="277">
        <v>4</v>
      </c>
      <c r="C174" s="278"/>
      <c r="D174" s="25">
        <v>0</v>
      </c>
      <c r="E174" s="279" t="s">
        <v>80</v>
      </c>
      <c r="F174" s="258"/>
      <c r="G174" s="258"/>
      <c r="H174" s="506">
        <v>479.77208100000001</v>
      </c>
      <c r="I174" s="507">
        <v>61.416098300000002</v>
      </c>
      <c r="J174" s="474">
        <f t="shared" si="70"/>
        <v>61.416098300000002</v>
      </c>
      <c r="K174" s="474">
        <f t="shared" si="48"/>
        <v>30.708049150000001</v>
      </c>
      <c r="L174" s="474">
        <f t="shared" si="49"/>
        <v>0.51066370850547771</v>
      </c>
      <c r="M174" s="474">
        <f t="shared" si="50"/>
        <v>245.00219012085046</v>
      </c>
      <c r="N174" s="474">
        <f t="shared" si="51"/>
        <v>490.00438024170091</v>
      </c>
      <c r="O174" s="474">
        <f>+C171+D172+D173+(D174/2)</f>
        <v>0</v>
      </c>
      <c r="P174" s="474">
        <f t="shared" si="52"/>
        <v>0</v>
      </c>
      <c r="Q174" s="474">
        <f t="shared" si="53"/>
        <v>0</v>
      </c>
      <c r="R174" s="474">
        <f t="shared" si="54"/>
        <v>334.49993130661176</v>
      </c>
      <c r="S174" s="474">
        <f t="shared" si="71"/>
        <v>334.49993130661176</v>
      </c>
      <c r="T174" s="476">
        <f t="shared" si="44"/>
        <v>334.49993130661176</v>
      </c>
      <c r="V174" s="437">
        <f t="shared" si="55"/>
        <v>0</v>
      </c>
      <c r="W174" s="437"/>
      <c r="X174" s="437"/>
      <c r="Y174" s="437"/>
      <c r="Z174" s="437"/>
      <c r="AA174" s="437"/>
      <c r="AB174" s="1595"/>
      <c r="AC174" s="514" t="b">
        <f>IF(AD174=4,AF174)</f>
        <v>0</v>
      </c>
      <c r="AD174" s="514">
        <f t="shared" si="56"/>
        <v>1</v>
      </c>
      <c r="AE174" s="514">
        <f>IF(V174=0,0,4)</f>
        <v>0</v>
      </c>
      <c r="AF174" s="437">
        <f>SUM(V174:V182)/($B$168-B173)</f>
        <v>0</v>
      </c>
      <c r="AG174" s="437"/>
      <c r="AH174" s="450">
        <f>SUM(D172:D174)+$C$171</f>
        <v>0</v>
      </c>
      <c r="AI174" s="516" t="b">
        <f t="shared" si="57"/>
        <v>0</v>
      </c>
      <c r="AJ174" s="287">
        <f t="shared" si="58"/>
        <v>53.779595</v>
      </c>
      <c r="AK174" s="441">
        <f t="shared" si="72"/>
        <v>0.8067499259590819</v>
      </c>
      <c r="AL174" s="289">
        <f t="shared" si="59"/>
        <v>334.49997885066585</v>
      </c>
      <c r="AM174" s="287">
        <f t="shared" si="60"/>
        <v>59.291088500000001</v>
      </c>
      <c r="AN174" s="442">
        <f t="shared" si="61"/>
        <v>0.85977285389573432</v>
      </c>
      <c r="AO174" s="291">
        <f t="shared" si="62"/>
        <v>412.49502763654965</v>
      </c>
      <c r="AP174" s="519">
        <f t="shared" si="45"/>
        <v>-73.862883661744291</v>
      </c>
      <c r="AQ174" s="1639">
        <f t="shared" si="73"/>
        <v>-144</v>
      </c>
      <c r="AR174" s="443">
        <f t="shared" si="46"/>
        <v>-83.7</v>
      </c>
      <c r="AS174" s="444">
        <f t="shared" si="63"/>
        <v>746.99500648721551</v>
      </c>
      <c r="AT174" s="445">
        <f t="shared" si="64"/>
        <v>-334.49997885066585</v>
      </c>
      <c r="AU174" s="446">
        <f t="shared" si="65"/>
        <v>260.63709518892153</v>
      </c>
      <c r="AV174" s="445"/>
      <c r="AW174" s="447">
        <f t="shared" si="66"/>
        <v>-54.495889292619935</v>
      </c>
      <c r="AX174" s="447">
        <f t="shared" si="67"/>
        <v>-29.204110707380064</v>
      </c>
      <c r="AY174" s="1597">
        <f t="shared" si="47"/>
        <v>-212.86009184496271</v>
      </c>
      <c r="AZ174" s="1597">
        <f t="shared" si="68"/>
        <v>-397.2043564767273</v>
      </c>
      <c r="BA174" s="542">
        <f t="shared" si="69"/>
        <v>212.86009184496271</v>
      </c>
      <c r="BB174" s="542">
        <f t="shared" si="69"/>
        <v>397.2043564767273</v>
      </c>
      <c r="BD174" s="136"/>
      <c r="BE174" s="298">
        <v>11</v>
      </c>
      <c r="BF174" s="1657">
        <f t="shared" si="41"/>
        <v>-43</v>
      </c>
      <c r="BG174" s="42">
        <f t="shared" si="42"/>
        <v>-43</v>
      </c>
      <c r="BH174" s="301">
        <f t="shared" si="38"/>
        <v>-259.77708268574315</v>
      </c>
      <c r="BI174" s="302">
        <f t="shared" si="39"/>
        <v>259.77708268574315</v>
      </c>
      <c r="BJ174" s="302">
        <f t="shared" si="43"/>
        <v>1.7770826857431246</v>
      </c>
      <c r="BK174" s="302" t="b">
        <f t="shared" si="40"/>
        <v>0</v>
      </c>
      <c r="BL174" s="304">
        <v>11</v>
      </c>
      <c r="BM174" s="214"/>
      <c r="BN174" s="214"/>
      <c r="BO174" s="214"/>
      <c r="EK174" s="78"/>
      <c r="EL174" s="78"/>
    </row>
    <row r="175" spans="2:142" ht="23" thickBot="1" x14ac:dyDescent="0.35">
      <c r="B175" s="277">
        <v>5</v>
      </c>
      <c r="C175" s="278"/>
      <c r="D175" s="25">
        <v>0</v>
      </c>
      <c r="E175" s="279" t="s">
        <v>80</v>
      </c>
      <c r="F175" s="258"/>
      <c r="G175" s="258"/>
      <c r="H175" s="506">
        <v>479.77208100000001</v>
      </c>
      <c r="I175" s="507">
        <v>61.416098300000002</v>
      </c>
      <c r="J175" s="474">
        <f t="shared" si="70"/>
        <v>61.416098300000002</v>
      </c>
      <c r="K175" s="474">
        <f t="shared" si="48"/>
        <v>30.708049150000001</v>
      </c>
      <c r="L175" s="474">
        <f t="shared" si="49"/>
        <v>0.51066370850547771</v>
      </c>
      <c r="M175" s="474">
        <f t="shared" si="50"/>
        <v>245.00219012085046</v>
      </c>
      <c r="N175" s="474">
        <f t="shared" si="51"/>
        <v>490.00438024170091</v>
      </c>
      <c r="O175" s="474">
        <f>+C171+D172+D173+D174+(D175/2)</f>
        <v>0</v>
      </c>
      <c r="P175" s="474">
        <f t="shared" si="52"/>
        <v>0</v>
      </c>
      <c r="Q175" s="474">
        <f t="shared" si="53"/>
        <v>0</v>
      </c>
      <c r="R175" s="474">
        <f t="shared" si="54"/>
        <v>334.49993130661176</v>
      </c>
      <c r="S175" s="474">
        <f t="shared" si="71"/>
        <v>334.49993130661176</v>
      </c>
      <c r="T175" s="476">
        <f t="shared" si="44"/>
        <v>334.49993130661176</v>
      </c>
      <c r="V175" s="437">
        <f t="shared" si="55"/>
        <v>0</v>
      </c>
      <c r="W175" s="437"/>
      <c r="X175" s="437"/>
      <c r="Y175" s="437"/>
      <c r="Z175" s="437"/>
      <c r="AA175" s="437"/>
      <c r="AB175" s="1595"/>
      <c r="AC175" s="514" t="b">
        <f>IF(AD175=5,AF175)</f>
        <v>0</v>
      </c>
      <c r="AD175" s="514">
        <f t="shared" si="56"/>
        <v>1</v>
      </c>
      <c r="AE175" s="514">
        <f>IF(V175=0,0,5)</f>
        <v>0</v>
      </c>
      <c r="AF175" s="437">
        <f>SUM(V175:V182)/($B$168-B174)</f>
        <v>0</v>
      </c>
      <c r="AG175" s="437"/>
      <c r="AH175" s="450">
        <f>SUM(D172:D175)+$C$171</f>
        <v>0</v>
      </c>
      <c r="AI175" s="516" t="b">
        <f t="shared" si="57"/>
        <v>0</v>
      </c>
      <c r="AJ175" s="287">
        <f t="shared" si="58"/>
        <v>53.779595</v>
      </c>
      <c r="AK175" s="441">
        <f t="shared" si="72"/>
        <v>0.8067499259590819</v>
      </c>
      <c r="AL175" s="289">
        <f t="shared" si="59"/>
        <v>334.49997885066585</v>
      </c>
      <c r="AM175" s="287">
        <f t="shared" si="60"/>
        <v>59.291088500000001</v>
      </c>
      <c r="AN175" s="442">
        <f t="shared" si="61"/>
        <v>0.85977285389573432</v>
      </c>
      <c r="AO175" s="291">
        <f t="shared" si="62"/>
        <v>412.49502763654965</v>
      </c>
      <c r="AP175" s="519">
        <f t="shared" si="45"/>
        <v>-39.706636881746938</v>
      </c>
      <c r="AQ175" s="1639">
        <f t="shared" si="73"/>
        <v>-216</v>
      </c>
      <c r="AR175" s="443">
        <f t="shared" si="46"/>
        <v>-155.69999999999999</v>
      </c>
      <c r="AS175" s="444">
        <f t="shared" si="63"/>
        <v>746.99500648721551</v>
      </c>
      <c r="AT175" s="445">
        <f t="shared" si="64"/>
        <v>-334.49997885066585</v>
      </c>
      <c r="AU175" s="446">
        <f t="shared" si="65"/>
        <v>294.79334196891892</v>
      </c>
      <c r="AV175" s="445"/>
      <c r="AW175" s="447">
        <f t="shared" si="66"/>
        <v>-94.254711951282331</v>
      </c>
      <c r="AX175" s="447">
        <f t="shared" si="67"/>
        <v>-61.445288048717657</v>
      </c>
      <c r="AY175" s="1597">
        <f t="shared" si="47"/>
        <v>-123.07077025492075</v>
      </c>
      <c r="AZ175" s="1597">
        <f t="shared" si="68"/>
        <v>-188.78583481947055</v>
      </c>
      <c r="BA175" s="542">
        <f t="shared" si="69"/>
        <v>123.07077025492075</v>
      </c>
      <c r="BB175" s="542">
        <f t="shared" si="69"/>
        <v>188.78583481947055</v>
      </c>
      <c r="BD175" s="136"/>
      <c r="BE175" s="298">
        <v>12</v>
      </c>
      <c r="BF175" s="1657">
        <f t="shared" si="41"/>
        <v>0</v>
      </c>
      <c r="BG175" s="42">
        <f t="shared" si="42"/>
        <v>0</v>
      </c>
      <c r="BH175" s="301">
        <f t="shared" si="38"/>
        <v>-216.77708268574312</v>
      </c>
      <c r="BI175" s="302">
        <f t="shared" si="39"/>
        <v>216.77708268574312</v>
      </c>
      <c r="BJ175" s="302">
        <f t="shared" si="43"/>
        <v>1.7770826857431246</v>
      </c>
      <c r="BK175" s="302" t="b">
        <f t="shared" si="40"/>
        <v>0</v>
      </c>
      <c r="BL175" s="304">
        <v>12</v>
      </c>
      <c r="BM175" s="214"/>
      <c r="BN175" s="214"/>
      <c r="BO175" s="214"/>
      <c r="EK175" s="78"/>
      <c r="EL175" s="78"/>
    </row>
    <row r="176" spans="2:142" ht="23" thickBot="1" x14ac:dyDescent="0.35">
      <c r="B176" s="277">
        <v>6</v>
      </c>
      <c r="C176" s="278"/>
      <c r="D176" s="25">
        <v>0</v>
      </c>
      <c r="E176" s="279" t="s">
        <v>80</v>
      </c>
      <c r="F176" s="258"/>
      <c r="G176" s="258"/>
      <c r="H176" s="506">
        <v>479.77208100000001</v>
      </c>
      <c r="I176" s="507">
        <v>61.416098300000002</v>
      </c>
      <c r="J176" s="474">
        <f t="shared" si="70"/>
        <v>61.416098300000002</v>
      </c>
      <c r="K176" s="474">
        <f t="shared" si="48"/>
        <v>30.708049150000001</v>
      </c>
      <c r="L176" s="474">
        <f t="shared" si="49"/>
        <v>0.51066370850547771</v>
      </c>
      <c r="M176" s="474">
        <f t="shared" si="50"/>
        <v>245.00219012085046</v>
      </c>
      <c r="N176" s="474">
        <f t="shared" si="51"/>
        <v>490.00438024170091</v>
      </c>
      <c r="O176" s="474">
        <f>+C171+D172+D173+D174+D175+(D176/2)</f>
        <v>0</v>
      </c>
      <c r="P176" s="474">
        <f t="shared" si="52"/>
        <v>0</v>
      </c>
      <c r="Q176" s="474">
        <f t="shared" si="53"/>
        <v>0</v>
      </c>
      <c r="R176" s="474">
        <f t="shared" si="54"/>
        <v>334.49993130661176</v>
      </c>
      <c r="S176" s="474">
        <f t="shared" si="71"/>
        <v>334.49993130661176</v>
      </c>
      <c r="T176" s="476">
        <f t="shared" si="44"/>
        <v>334.49993130661176</v>
      </c>
      <c r="V176" s="437">
        <f t="shared" si="55"/>
        <v>0</v>
      </c>
      <c r="W176" s="437"/>
      <c r="X176" s="437"/>
      <c r="Y176" s="437"/>
      <c r="Z176" s="437"/>
      <c r="AA176" s="437"/>
      <c r="AB176" s="1595"/>
      <c r="AC176" s="514" t="b">
        <f>IF(AD176=6,AF176)</f>
        <v>0</v>
      </c>
      <c r="AD176" s="514">
        <f t="shared" si="56"/>
        <v>1</v>
      </c>
      <c r="AE176" s="514">
        <f>IF(V176=0,0,6)</f>
        <v>0</v>
      </c>
      <c r="AF176" s="437">
        <f>SUM(V176:V182)/($B$168-B175)</f>
        <v>0</v>
      </c>
      <c r="AG176" s="437"/>
      <c r="AH176" s="450">
        <f>SUM(D172:D176)+$C$171</f>
        <v>0</v>
      </c>
      <c r="AI176" s="516" t="b">
        <f t="shared" si="57"/>
        <v>0</v>
      </c>
      <c r="AJ176" s="287">
        <f t="shared" si="58"/>
        <v>53.779595</v>
      </c>
      <c r="AK176" s="441">
        <f t="shared" si="72"/>
        <v>0.8067499259590819</v>
      </c>
      <c r="AL176" s="289">
        <f t="shared" si="59"/>
        <v>334.49997885066585</v>
      </c>
      <c r="AM176" s="287">
        <f t="shared" si="60"/>
        <v>59.291088500000001</v>
      </c>
      <c r="AN176" s="442">
        <f t="shared" si="61"/>
        <v>0.85977285389573432</v>
      </c>
      <c r="AO176" s="291">
        <f t="shared" si="62"/>
        <v>412.49502763654965</v>
      </c>
      <c r="AP176" s="519">
        <f t="shared" si="45"/>
        <v>-27.151178579218261</v>
      </c>
      <c r="AQ176" s="1639">
        <f t="shared" si="73"/>
        <v>-288</v>
      </c>
      <c r="AR176" s="443">
        <f t="shared" si="46"/>
        <v>-227.7</v>
      </c>
      <c r="AS176" s="444">
        <f t="shared" si="63"/>
        <v>746.99500648721551</v>
      </c>
      <c r="AT176" s="445">
        <f t="shared" si="64"/>
        <v>-334.49997885066585</v>
      </c>
      <c r="AU176" s="446">
        <f t="shared" si="65"/>
        <v>307.3488002714476</v>
      </c>
      <c r="AV176" s="445"/>
      <c r="AW176" s="447">
        <f t="shared" si="66"/>
        <v>-134.01353460994471</v>
      </c>
      <c r="AX176" s="447">
        <f t="shared" si="67"/>
        <v>-93.686465390055247</v>
      </c>
      <c r="AY176" s="1597">
        <f t="shared" si="47"/>
        <v>-86.558421384545753</v>
      </c>
      <c r="AZ176" s="1597">
        <f t="shared" si="68"/>
        <v>-123.81724459028777</v>
      </c>
      <c r="BA176" s="542">
        <f t="shared" si="69"/>
        <v>86.558421384545753</v>
      </c>
      <c r="BB176" s="542">
        <f t="shared" si="69"/>
        <v>123.81724459028777</v>
      </c>
      <c r="BD176" s="136"/>
      <c r="BE176" s="298">
        <v>13</v>
      </c>
      <c r="BF176" s="1657">
        <f t="shared" si="41"/>
        <v>43</v>
      </c>
      <c r="BG176" s="42">
        <f t="shared" si="42"/>
        <v>43</v>
      </c>
      <c r="BH176" s="301">
        <f t="shared" si="38"/>
        <v>-173.77708268574312</v>
      </c>
      <c r="BI176" s="302">
        <f t="shared" si="39"/>
        <v>173.77708268574312</v>
      </c>
      <c r="BJ176" s="302">
        <f t="shared" si="43"/>
        <v>1.7770826857431246</v>
      </c>
      <c r="BK176" s="302" t="b">
        <f t="shared" si="40"/>
        <v>0</v>
      </c>
      <c r="BL176" s="304">
        <v>13</v>
      </c>
      <c r="BM176" s="214"/>
      <c r="BN176" s="214"/>
      <c r="BO176" s="214"/>
      <c r="EK176" s="78"/>
      <c r="EL176" s="78"/>
    </row>
    <row r="177" spans="2:142" ht="23" thickBot="1" x14ac:dyDescent="0.35">
      <c r="B177" s="277">
        <v>7</v>
      </c>
      <c r="C177" s="278"/>
      <c r="D177" s="25">
        <v>0</v>
      </c>
      <c r="E177" s="279" t="s">
        <v>80</v>
      </c>
      <c r="F177" s="258"/>
      <c r="G177" s="258"/>
      <c r="H177" s="506">
        <v>479.77208100000001</v>
      </c>
      <c r="I177" s="507">
        <v>61.416098300000002</v>
      </c>
      <c r="J177" s="474">
        <f t="shared" si="70"/>
        <v>61.416098300000002</v>
      </c>
      <c r="K177" s="474">
        <f t="shared" si="48"/>
        <v>30.708049150000001</v>
      </c>
      <c r="L177" s="474">
        <f t="shared" si="49"/>
        <v>0.51066370850547771</v>
      </c>
      <c r="M177" s="474">
        <f t="shared" si="50"/>
        <v>245.00219012085046</v>
      </c>
      <c r="N177" s="474">
        <f t="shared" si="51"/>
        <v>490.00438024170091</v>
      </c>
      <c r="O177" s="474">
        <f>+C171+D172+D173+D174+D175+D176+(D177/2)</f>
        <v>0</v>
      </c>
      <c r="P177" s="474">
        <f t="shared" si="52"/>
        <v>0</v>
      </c>
      <c r="Q177" s="474">
        <f t="shared" si="53"/>
        <v>0</v>
      </c>
      <c r="R177" s="474">
        <f t="shared" si="54"/>
        <v>334.49993130661176</v>
      </c>
      <c r="S177" s="474">
        <f t="shared" si="71"/>
        <v>334.49993130661176</v>
      </c>
      <c r="T177" s="476">
        <f t="shared" si="44"/>
        <v>334.49993130661176</v>
      </c>
      <c r="V177" s="437">
        <f t="shared" si="55"/>
        <v>0</v>
      </c>
      <c r="W177" s="437"/>
      <c r="X177" s="437"/>
      <c r="Y177" s="437"/>
      <c r="Z177" s="437"/>
      <c r="AA177" s="437"/>
      <c r="AB177" s="1595"/>
      <c r="AC177" s="514" t="b">
        <f>IF(AD177=7,AF177)</f>
        <v>0</v>
      </c>
      <c r="AD177" s="514">
        <f t="shared" si="56"/>
        <v>1</v>
      </c>
      <c r="AE177" s="514">
        <f>IF(V177=0,0,7)</f>
        <v>0</v>
      </c>
      <c r="AF177" s="437">
        <f>SUM(V177:V182)/($B$168-B176)</f>
        <v>0</v>
      </c>
      <c r="AG177" s="437"/>
      <c r="AH177" s="450">
        <f>SUM(D172:D177)+$C$171</f>
        <v>0</v>
      </c>
      <c r="AI177" s="516" t="b">
        <f t="shared" si="57"/>
        <v>0</v>
      </c>
      <c r="AJ177" s="287">
        <f t="shared" si="58"/>
        <v>53.779595</v>
      </c>
      <c r="AK177" s="441">
        <f t="shared" si="72"/>
        <v>0.8067499259590819</v>
      </c>
      <c r="AL177" s="289">
        <f t="shared" si="59"/>
        <v>334.49997885066585</v>
      </c>
      <c r="AM177" s="287">
        <f t="shared" si="60"/>
        <v>59.291088500000001</v>
      </c>
      <c r="AN177" s="442">
        <f t="shared" si="61"/>
        <v>0.85977285389573432</v>
      </c>
      <c r="AO177" s="291">
        <f t="shared" si="62"/>
        <v>412.49502763654965</v>
      </c>
      <c r="AP177" s="519">
        <f t="shared" si="45"/>
        <v>-20.628372914541202</v>
      </c>
      <c r="AQ177" s="1639">
        <f t="shared" si="73"/>
        <v>-360</v>
      </c>
      <c r="AR177" s="443">
        <f t="shared" si="46"/>
        <v>-299.7</v>
      </c>
      <c r="AS177" s="444">
        <f t="shared" si="63"/>
        <v>746.99500648721551</v>
      </c>
      <c r="AT177" s="445">
        <f t="shared" si="64"/>
        <v>-334.49997885066585</v>
      </c>
      <c r="AU177" s="446">
        <f t="shared" si="65"/>
        <v>313.87160593612464</v>
      </c>
      <c r="AV177" s="445"/>
      <c r="AW177" s="447">
        <f t="shared" si="66"/>
        <v>-173.77235726860715</v>
      </c>
      <c r="AX177" s="447">
        <f t="shared" si="67"/>
        <v>-125.92764273139285</v>
      </c>
      <c r="AY177" s="1597">
        <f t="shared" si="47"/>
        <v>-66.754000361918315</v>
      </c>
      <c r="AZ177" s="1597">
        <f t="shared" si="68"/>
        <v>-92.116391194132973</v>
      </c>
      <c r="BA177" s="542">
        <f t="shared" si="69"/>
        <v>66.754000361918315</v>
      </c>
      <c r="BB177" s="542">
        <f t="shared" si="69"/>
        <v>92.116391194132973</v>
      </c>
      <c r="BD177" s="136"/>
      <c r="BE177" s="298">
        <v>14</v>
      </c>
      <c r="BF177" s="1657">
        <f t="shared" si="41"/>
        <v>86</v>
      </c>
      <c r="BG177" s="42">
        <f t="shared" si="42"/>
        <v>86</v>
      </c>
      <c r="BH177" s="301">
        <f t="shared" si="38"/>
        <v>-130.77708268574312</v>
      </c>
      <c r="BI177" s="302">
        <f t="shared" si="39"/>
        <v>130.77708268574312</v>
      </c>
      <c r="BJ177" s="302">
        <f t="shared" si="43"/>
        <v>1.7770826857431246</v>
      </c>
      <c r="BK177" s="302" t="b">
        <f t="shared" si="40"/>
        <v>0</v>
      </c>
      <c r="BL177" s="304">
        <v>14</v>
      </c>
      <c r="EK177" s="78"/>
      <c r="EL177" s="78"/>
    </row>
    <row r="178" spans="2:142" ht="23" thickBot="1" x14ac:dyDescent="0.35">
      <c r="B178" s="277">
        <v>8</v>
      </c>
      <c r="C178" s="278"/>
      <c r="D178" s="25">
        <v>0</v>
      </c>
      <c r="E178" s="279" t="s">
        <v>80</v>
      </c>
      <c r="F178" s="258"/>
      <c r="G178" s="258"/>
      <c r="H178" s="506">
        <v>479.77208100000001</v>
      </c>
      <c r="I178" s="507">
        <v>61.416098300000002</v>
      </c>
      <c r="J178" s="474">
        <f t="shared" si="70"/>
        <v>61.416098300000002</v>
      </c>
      <c r="K178" s="474">
        <f t="shared" si="48"/>
        <v>30.708049150000001</v>
      </c>
      <c r="L178" s="474">
        <f t="shared" si="49"/>
        <v>0.51066370850547771</v>
      </c>
      <c r="M178" s="474">
        <f t="shared" si="50"/>
        <v>245.00219012085046</v>
      </c>
      <c r="N178" s="474">
        <f t="shared" si="51"/>
        <v>490.00438024170091</v>
      </c>
      <c r="O178" s="474">
        <f>+C171+D172+D173+D174+D175+D176+D177+(D178/2)</f>
        <v>0</v>
      </c>
      <c r="P178" s="474">
        <f t="shared" si="52"/>
        <v>0</v>
      </c>
      <c r="Q178" s="474">
        <f t="shared" si="53"/>
        <v>0</v>
      </c>
      <c r="R178" s="474">
        <f t="shared" si="54"/>
        <v>334.49993130661176</v>
      </c>
      <c r="S178" s="474">
        <f t="shared" si="71"/>
        <v>334.49993130661176</v>
      </c>
      <c r="T178" s="476">
        <f t="shared" si="44"/>
        <v>334.49993130661176</v>
      </c>
      <c r="V178" s="437">
        <f t="shared" si="55"/>
        <v>0</v>
      </c>
      <c r="W178" s="437"/>
      <c r="X178" s="437"/>
      <c r="Y178" s="437"/>
      <c r="Z178" s="437"/>
      <c r="AA178" s="437"/>
      <c r="AB178" s="1595"/>
      <c r="AC178" s="514" t="b">
        <f>IF(AD178=8,AF178)</f>
        <v>0</v>
      </c>
      <c r="AD178" s="514">
        <f t="shared" si="56"/>
        <v>1</v>
      </c>
      <c r="AE178" s="514">
        <f>IF(V178=0,0,8)</f>
        <v>0</v>
      </c>
      <c r="AF178" s="437">
        <f>SUM(V178:V182)/($B$168-B177)</f>
        <v>0</v>
      </c>
      <c r="AG178" s="437"/>
      <c r="AH178" s="450">
        <f>SUM(D172:D178)+$C$171</f>
        <v>0</v>
      </c>
      <c r="AI178" s="516" t="b">
        <f t="shared" si="57"/>
        <v>0</v>
      </c>
      <c r="AJ178" s="287">
        <f t="shared" si="58"/>
        <v>53.779595</v>
      </c>
      <c r="AK178" s="441">
        <f t="shared" si="72"/>
        <v>0.8067499259590819</v>
      </c>
      <c r="AL178" s="289">
        <f t="shared" si="59"/>
        <v>334.49997885066585</v>
      </c>
      <c r="AM178" s="287">
        <f t="shared" si="60"/>
        <v>59.291088500000001</v>
      </c>
      <c r="AN178" s="442">
        <f t="shared" si="61"/>
        <v>0.85977285389573432</v>
      </c>
      <c r="AO178" s="291">
        <f t="shared" si="62"/>
        <v>412.49502763654965</v>
      </c>
      <c r="AP178" s="519">
        <f t="shared" si="45"/>
        <v>-16.632562180489636</v>
      </c>
      <c r="AQ178" s="1639">
        <f t="shared" si="73"/>
        <v>-432</v>
      </c>
      <c r="AR178" s="443">
        <f t="shared" si="46"/>
        <v>-371.7</v>
      </c>
      <c r="AS178" s="444">
        <f t="shared" si="63"/>
        <v>746.99500648721551</v>
      </c>
      <c r="AT178" s="445">
        <f t="shared" si="64"/>
        <v>-334.49997885066585</v>
      </c>
      <c r="AU178" s="446">
        <f t="shared" si="65"/>
        <v>317.86741667017623</v>
      </c>
      <c r="AV178" s="445"/>
      <c r="AW178" s="447">
        <f t="shared" si="66"/>
        <v>-213.53117992726953</v>
      </c>
      <c r="AX178" s="447">
        <f t="shared" si="67"/>
        <v>-158.16882007273043</v>
      </c>
      <c r="AY178" s="1597">
        <f t="shared" si="47"/>
        <v>-54.324619027305779</v>
      </c>
      <c r="AZ178" s="1597">
        <f t="shared" si="68"/>
        <v>-73.339359771831113</v>
      </c>
      <c r="BA178" s="542">
        <f t="shared" si="69"/>
        <v>54.324619027305779</v>
      </c>
      <c r="BB178" s="542">
        <f t="shared" si="69"/>
        <v>73.339359771831113</v>
      </c>
      <c r="BD178" s="136"/>
      <c r="BE178" s="298">
        <v>15</v>
      </c>
      <c r="BF178" s="1657">
        <f t="shared" si="41"/>
        <v>129</v>
      </c>
      <c r="BG178" s="42">
        <f t="shared" si="42"/>
        <v>129</v>
      </c>
      <c r="BH178" s="301">
        <f t="shared" si="38"/>
        <v>-87.777082685743125</v>
      </c>
      <c r="BI178" s="302">
        <f t="shared" si="39"/>
        <v>87.777082685743125</v>
      </c>
      <c r="BJ178" s="302">
        <f t="shared" si="43"/>
        <v>1.7770826857431246</v>
      </c>
      <c r="BK178" s="302" t="b">
        <f t="shared" si="40"/>
        <v>0</v>
      </c>
      <c r="BL178" s="304">
        <v>15</v>
      </c>
      <c r="EK178" s="78"/>
      <c r="EL178" s="78"/>
    </row>
    <row r="179" spans="2:142" ht="23" thickBot="1" x14ac:dyDescent="0.35">
      <c r="B179" s="277">
        <v>9</v>
      </c>
      <c r="C179" s="278"/>
      <c r="D179" s="25">
        <v>0</v>
      </c>
      <c r="E179" s="279" t="s">
        <v>80</v>
      </c>
      <c r="F179" s="258"/>
      <c r="G179" s="258"/>
      <c r="H179" s="506">
        <v>479.77208100000001</v>
      </c>
      <c r="I179" s="507">
        <v>61.416098300000002</v>
      </c>
      <c r="J179" s="474">
        <f t="shared" si="70"/>
        <v>61.416098300000002</v>
      </c>
      <c r="K179" s="474">
        <f t="shared" si="48"/>
        <v>30.708049150000001</v>
      </c>
      <c r="L179" s="474">
        <f t="shared" si="49"/>
        <v>0.51066370850547771</v>
      </c>
      <c r="M179" s="474">
        <f t="shared" si="50"/>
        <v>245.00219012085046</v>
      </c>
      <c r="N179" s="474">
        <f t="shared" si="51"/>
        <v>490.00438024170091</v>
      </c>
      <c r="O179" s="474">
        <f>+C171+D172+D173+D174+D175+D176+D177+D178+(D179/2)</f>
        <v>0</v>
      </c>
      <c r="P179" s="474">
        <f t="shared" si="52"/>
        <v>0</v>
      </c>
      <c r="Q179" s="474">
        <f t="shared" si="53"/>
        <v>0</v>
      </c>
      <c r="R179" s="474">
        <f t="shared" si="54"/>
        <v>334.49993130661176</v>
      </c>
      <c r="S179" s="474">
        <f t="shared" si="71"/>
        <v>334.49993130661176</v>
      </c>
      <c r="T179" s="476">
        <f t="shared" si="44"/>
        <v>334.49993130661176</v>
      </c>
      <c r="V179" s="437">
        <f t="shared" si="55"/>
        <v>0</v>
      </c>
      <c r="W179" s="437"/>
      <c r="X179" s="437"/>
      <c r="Y179" s="437"/>
      <c r="Z179" s="437"/>
      <c r="AA179" s="437"/>
      <c r="AB179" s="1595"/>
      <c r="AC179" s="514" t="b">
        <f>IF(AD179=9,AF179)</f>
        <v>0</v>
      </c>
      <c r="AD179" s="514">
        <f t="shared" si="56"/>
        <v>1</v>
      </c>
      <c r="AE179" s="514">
        <f>IF(V179=0,0,9)</f>
        <v>0</v>
      </c>
      <c r="AF179" s="437">
        <f>SUM(V179:V182)/($B$168-B178)</f>
        <v>0</v>
      </c>
      <c r="AG179" s="437"/>
      <c r="AH179" s="450">
        <f>SUM(D172:D179)+$C$171</f>
        <v>0</v>
      </c>
      <c r="AI179" s="516" t="b">
        <f t="shared" si="57"/>
        <v>0</v>
      </c>
      <c r="AJ179" s="287">
        <f t="shared" si="58"/>
        <v>53.779595</v>
      </c>
      <c r="AK179" s="441">
        <f t="shared" si="72"/>
        <v>0.8067499259590819</v>
      </c>
      <c r="AL179" s="289">
        <f t="shared" si="59"/>
        <v>334.49997885066585</v>
      </c>
      <c r="AM179" s="287">
        <f t="shared" si="60"/>
        <v>59.291088500000001</v>
      </c>
      <c r="AN179" s="442">
        <f t="shared" si="61"/>
        <v>0.85977285389573432</v>
      </c>
      <c r="AO179" s="291">
        <f t="shared" si="62"/>
        <v>412.49502763654965</v>
      </c>
      <c r="AP179" s="519">
        <f t="shared" si="45"/>
        <v>-13.933566289132292</v>
      </c>
      <c r="AQ179" s="1639">
        <f t="shared" si="73"/>
        <v>-504</v>
      </c>
      <c r="AR179" s="443">
        <f t="shared" si="46"/>
        <v>-443.7</v>
      </c>
      <c r="AS179" s="444">
        <f t="shared" si="63"/>
        <v>746.99500648721551</v>
      </c>
      <c r="AT179" s="445">
        <f t="shared" si="64"/>
        <v>-334.49997885066585</v>
      </c>
      <c r="AU179" s="446">
        <f t="shared" si="65"/>
        <v>320.56641256153358</v>
      </c>
      <c r="AV179" s="445"/>
      <c r="AW179" s="447">
        <f t="shared" si="66"/>
        <v>-253.29000258593192</v>
      </c>
      <c r="AX179" s="447">
        <f t="shared" si="67"/>
        <v>-190.40999741406804</v>
      </c>
      <c r="AY179" s="1597">
        <f t="shared" si="47"/>
        <v>-45.797306966604616</v>
      </c>
      <c r="AZ179" s="1597">
        <f t="shared" si="68"/>
        <v>-60.921170933974068</v>
      </c>
      <c r="BA179" s="542">
        <f t="shared" si="69"/>
        <v>45.797306966604616</v>
      </c>
      <c r="BB179" s="542">
        <f t="shared" si="69"/>
        <v>60.921170933974068</v>
      </c>
      <c r="BD179" s="136"/>
      <c r="BE179" s="298">
        <v>16</v>
      </c>
      <c r="BF179" s="1657">
        <f t="shared" si="41"/>
        <v>172</v>
      </c>
      <c r="BG179" s="42">
        <f t="shared" si="42"/>
        <v>172</v>
      </c>
      <c r="BH179" s="301">
        <f t="shared" si="38"/>
        <v>-44.777082685743125</v>
      </c>
      <c r="BI179" s="302">
        <f t="shared" si="39"/>
        <v>44.777082685743125</v>
      </c>
      <c r="BJ179" s="302">
        <f t="shared" si="43"/>
        <v>1.7770826857431246</v>
      </c>
      <c r="BK179" s="302" t="b">
        <f t="shared" si="40"/>
        <v>0</v>
      </c>
      <c r="BL179" s="304">
        <v>16</v>
      </c>
      <c r="EK179" s="78"/>
      <c r="EL179" s="78"/>
    </row>
    <row r="180" spans="2:142" ht="23" thickBot="1" x14ac:dyDescent="0.35">
      <c r="B180" s="277">
        <v>10</v>
      </c>
      <c r="C180" s="278"/>
      <c r="D180" s="25">
        <v>0</v>
      </c>
      <c r="E180" s="279" t="s">
        <v>80</v>
      </c>
      <c r="F180" s="258"/>
      <c r="G180" s="258"/>
      <c r="H180" s="506">
        <v>479.77208100000001</v>
      </c>
      <c r="I180" s="507">
        <v>61.416098300000002</v>
      </c>
      <c r="J180" s="474">
        <f t="shared" si="70"/>
        <v>61.416098300000002</v>
      </c>
      <c r="K180" s="474">
        <f t="shared" si="48"/>
        <v>30.708049150000001</v>
      </c>
      <c r="L180" s="474">
        <f t="shared" si="49"/>
        <v>0.51066370850547771</v>
      </c>
      <c r="M180" s="474">
        <f>+L180*H180</f>
        <v>245.00219012085046</v>
      </c>
      <c r="N180" s="474">
        <f t="shared" si="51"/>
        <v>490.00438024170091</v>
      </c>
      <c r="O180" s="474">
        <f>+C171+D172+D173+D174+D175+D176+D177+D178+D179+(D180/2)</f>
        <v>0</v>
      </c>
      <c r="P180" s="474">
        <f t="shared" si="52"/>
        <v>0</v>
      </c>
      <c r="Q180" s="474">
        <f t="shared" si="53"/>
        <v>0</v>
      </c>
      <c r="R180" s="474">
        <f t="shared" si="54"/>
        <v>334.49993130661176</v>
      </c>
      <c r="S180" s="474">
        <f t="shared" si="71"/>
        <v>334.49993130661176</v>
      </c>
      <c r="T180" s="476">
        <f t="shared" si="44"/>
        <v>334.49993130661176</v>
      </c>
      <c r="V180" s="437">
        <f t="shared" si="55"/>
        <v>0</v>
      </c>
      <c r="W180" s="437"/>
      <c r="X180" s="437"/>
      <c r="Y180" s="437"/>
      <c r="Z180" s="437"/>
      <c r="AA180" s="437"/>
      <c r="AB180" s="1595"/>
      <c r="AC180" s="514" t="b">
        <f>IF(AD180=10,AF180)</f>
        <v>0</v>
      </c>
      <c r="AD180" s="514">
        <f t="shared" si="56"/>
        <v>1</v>
      </c>
      <c r="AE180" s="514">
        <f>IF(V180=0,0,10)</f>
        <v>0</v>
      </c>
      <c r="AF180" s="437">
        <f>SUM(V180:V182)/($B$168-B179)</f>
        <v>0</v>
      </c>
      <c r="AG180" s="437"/>
      <c r="AH180" s="450">
        <f>SUM(D172:D180)+$C$171</f>
        <v>0</v>
      </c>
      <c r="AI180" s="516" t="b">
        <f t="shared" si="57"/>
        <v>0</v>
      </c>
      <c r="AJ180" s="287">
        <f t="shared" si="58"/>
        <v>53.779595</v>
      </c>
      <c r="AK180" s="441">
        <f t="shared" si="72"/>
        <v>0.8067499259590819</v>
      </c>
      <c r="AL180" s="289">
        <f t="shared" si="59"/>
        <v>334.49997885066585</v>
      </c>
      <c r="AM180" s="287">
        <f t="shared" si="60"/>
        <v>59.291088500000001</v>
      </c>
      <c r="AN180" s="442">
        <f t="shared" si="61"/>
        <v>0.85977285389573432</v>
      </c>
      <c r="AO180" s="291">
        <f t="shared" si="62"/>
        <v>412.49502763654965</v>
      </c>
      <c r="AP180" s="519">
        <f t="shared" si="45"/>
        <v>-11.988216719968969</v>
      </c>
      <c r="AQ180" s="1639">
        <f t="shared" si="73"/>
        <v>-576</v>
      </c>
      <c r="AR180" s="443">
        <f t="shared" si="46"/>
        <v>-515.70000000000005</v>
      </c>
      <c r="AS180" s="444">
        <f t="shared" si="63"/>
        <v>746.99500648721551</v>
      </c>
      <c r="AT180" s="445">
        <f t="shared" si="64"/>
        <v>-334.49997885066585</v>
      </c>
      <c r="AU180" s="446">
        <f t="shared" si="65"/>
        <v>322.51176213069687</v>
      </c>
      <c r="AV180" s="445"/>
      <c r="AW180" s="447">
        <f t="shared" si="66"/>
        <v>-293.04882524459441</v>
      </c>
      <c r="AX180" s="447">
        <f t="shared" si="67"/>
        <v>-222.65117475540563</v>
      </c>
      <c r="AY180" s="1597">
        <f t="shared" si="47"/>
        <v>-39.583847470871149</v>
      </c>
      <c r="AZ180" s="1597">
        <f t="shared" si="68"/>
        <v>-52.099433172734109</v>
      </c>
      <c r="BA180" s="542">
        <f t="shared" si="69"/>
        <v>39.583847470871149</v>
      </c>
      <c r="BB180" s="542">
        <f t="shared" si="69"/>
        <v>52.099433172734109</v>
      </c>
      <c r="BD180" s="136"/>
      <c r="BE180" s="298">
        <v>17</v>
      </c>
      <c r="BF180" s="1657">
        <f t="shared" si="41"/>
        <v>215</v>
      </c>
      <c r="BG180" s="42">
        <f t="shared" si="42"/>
        <v>215</v>
      </c>
      <c r="BH180" s="301">
        <f t="shared" si="38"/>
        <v>-1.7770826857431246</v>
      </c>
      <c r="BI180" s="302">
        <f t="shared" si="39"/>
        <v>1.7770826857431246</v>
      </c>
      <c r="BJ180" s="302">
        <f t="shared" si="43"/>
        <v>1.7770826857431246</v>
      </c>
      <c r="BK180" s="302">
        <f t="shared" si="40"/>
        <v>17</v>
      </c>
      <c r="BL180" s="304">
        <v>17</v>
      </c>
      <c r="EK180" s="78"/>
      <c r="EL180" s="78"/>
    </row>
    <row r="181" spans="2:142" ht="23" hidden="1" thickBot="1" x14ac:dyDescent="0.35">
      <c r="B181" s="277">
        <v>11</v>
      </c>
      <c r="C181" s="278"/>
      <c r="D181" s="25">
        <v>0</v>
      </c>
      <c r="E181" s="279" t="s">
        <v>80</v>
      </c>
      <c r="F181" s="258"/>
      <c r="G181" s="258"/>
      <c r="H181" s="506">
        <v>479.77208100000001</v>
      </c>
      <c r="I181" s="507">
        <v>61.416098300000002</v>
      </c>
      <c r="J181" s="474">
        <f t="shared" si="70"/>
        <v>61.416098300000002</v>
      </c>
      <c r="K181" s="474">
        <f t="shared" si="48"/>
        <v>30.708049150000001</v>
      </c>
      <c r="L181" s="474">
        <f t="shared" si="49"/>
        <v>0.51066370850547771</v>
      </c>
      <c r="M181" s="474">
        <f t="shared" si="50"/>
        <v>245.00219012085046</v>
      </c>
      <c r="N181" s="474">
        <f t="shared" si="51"/>
        <v>490.00438024170091</v>
      </c>
      <c r="O181" s="474">
        <f>+C171+D172+D173+D174+D175+D176+D177+D178+D179+D180+(D181/2)</f>
        <v>0</v>
      </c>
      <c r="P181" s="474">
        <f t="shared" si="52"/>
        <v>0</v>
      </c>
      <c r="Q181" s="474">
        <f t="shared" si="53"/>
        <v>0</v>
      </c>
      <c r="R181" s="474">
        <f t="shared" si="54"/>
        <v>334.49993130661176</v>
      </c>
      <c r="S181" s="474">
        <f t="shared" si="71"/>
        <v>334.49993130661176</v>
      </c>
      <c r="T181" s="476">
        <f t="shared" si="44"/>
        <v>334.49993130661176</v>
      </c>
      <c r="V181" s="437">
        <f t="shared" si="55"/>
        <v>0</v>
      </c>
      <c r="W181" s="437"/>
      <c r="X181" s="437"/>
      <c r="Y181" s="437"/>
      <c r="Z181" s="437"/>
      <c r="AA181" s="437"/>
      <c r="AB181" s="1595"/>
      <c r="AC181" s="514" t="b">
        <f>IF(AD181=11,AF181)</f>
        <v>0</v>
      </c>
      <c r="AD181" s="514">
        <f t="shared" si="56"/>
        <v>1</v>
      </c>
      <c r="AE181" s="514">
        <f>IF(V181=0,0,11)</f>
        <v>0</v>
      </c>
      <c r="AF181" s="437">
        <f>SUM(V181:V182)/($B$168-B180)</f>
        <v>0</v>
      </c>
      <c r="AG181" s="437"/>
      <c r="AH181" s="450">
        <f>SUM(D172:D181)+$C$171</f>
        <v>0</v>
      </c>
      <c r="AI181" s="516" t="b">
        <f t="shared" si="57"/>
        <v>0</v>
      </c>
      <c r="AJ181" s="287">
        <f t="shared" si="58"/>
        <v>53.779595</v>
      </c>
      <c r="AK181" s="441">
        <f t="shared" si="72"/>
        <v>0.8067499259590819</v>
      </c>
      <c r="AL181" s="289">
        <f t="shared" si="59"/>
        <v>334.49997885066585</v>
      </c>
      <c r="AM181" s="287">
        <f t="shared" si="60"/>
        <v>59.291088500000001</v>
      </c>
      <c r="AN181" s="442">
        <f t="shared" si="61"/>
        <v>0.85977285389573432</v>
      </c>
      <c r="AO181" s="291">
        <f t="shared" si="62"/>
        <v>412.49502763654965</v>
      </c>
      <c r="AP181" s="519">
        <f t="shared" si="45"/>
        <v>-10.519522481687931</v>
      </c>
      <c r="AQ181" s="1639">
        <f t="shared" si="73"/>
        <v>-648</v>
      </c>
      <c r="AR181" s="443">
        <f t="shared" si="46"/>
        <v>-587.70000000000005</v>
      </c>
      <c r="AS181" s="444">
        <f t="shared" si="63"/>
        <v>746.99500648721551</v>
      </c>
      <c r="AT181" s="445">
        <f t="shared" si="64"/>
        <v>-334.49997885066585</v>
      </c>
      <c r="AU181" s="446">
        <f t="shared" si="65"/>
        <v>323.98045636897791</v>
      </c>
      <c r="AV181" s="445"/>
      <c r="AW181" s="447">
        <f t="shared" si="66"/>
        <v>-332.80764790325679</v>
      </c>
      <c r="AX181" s="447">
        <f t="shared" si="67"/>
        <v>-254.89235209674322</v>
      </c>
      <c r="AY181" s="1597">
        <f t="shared" si="47"/>
        <v>-34.854968246919562</v>
      </c>
      <c r="AZ181" s="1597">
        <f t="shared" si="68"/>
        <v>-45.509407813056995</v>
      </c>
      <c r="BA181" s="542">
        <f t="shared" si="69"/>
        <v>34.854968246919562</v>
      </c>
      <c r="BB181" s="542">
        <f t="shared" si="69"/>
        <v>45.509407813056995</v>
      </c>
      <c r="BD181" s="136"/>
      <c r="BE181" s="298">
        <v>18</v>
      </c>
      <c r="BF181" s="1657">
        <f t="shared" si="41"/>
        <v>258</v>
      </c>
      <c r="BG181" s="42">
        <f t="shared" si="42"/>
        <v>258</v>
      </c>
      <c r="BH181" s="301">
        <f t="shared" si="38"/>
        <v>41.222917314256875</v>
      </c>
      <c r="BI181" s="302">
        <f t="shared" si="39"/>
        <v>41.222917314256875</v>
      </c>
      <c r="BJ181" s="302">
        <f t="shared" si="43"/>
        <v>1.7770826857431246</v>
      </c>
      <c r="BK181" s="302" t="b">
        <f t="shared" si="40"/>
        <v>0</v>
      </c>
      <c r="BL181" s="304">
        <v>18</v>
      </c>
      <c r="EK181" s="78"/>
      <c r="EL181" s="78"/>
    </row>
    <row r="182" spans="2:142" ht="23" hidden="1" thickBot="1" x14ac:dyDescent="0.35">
      <c r="B182" s="277">
        <v>12</v>
      </c>
      <c r="C182" s="278"/>
      <c r="D182" s="25">
        <v>0</v>
      </c>
      <c r="E182" s="279" t="s">
        <v>80</v>
      </c>
      <c r="F182" s="258"/>
      <c r="G182" s="258"/>
      <c r="H182" s="506">
        <v>479.77208100000001</v>
      </c>
      <c r="I182" s="507">
        <v>61.416098300000002</v>
      </c>
      <c r="J182" s="474">
        <f t="shared" si="70"/>
        <v>61.416098300000002</v>
      </c>
      <c r="K182" s="474">
        <f t="shared" si="48"/>
        <v>30.708049150000001</v>
      </c>
      <c r="L182" s="474">
        <f t="shared" si="49"/>
        <v>0.51066370850547771</v>
      </c>
      <c r="M182" s="474">
        <f t="shared" si="50"/>
        <v>245.00219012085046</v>
      </c>
      <c r="N182" s="474">
        <f t="shared" si="51"/>
        <v>490.00438024170091</v>
      </c>
      <c r="O182" s="474">
        <f>+C171+D172+D173+D174+D175+D176+D177+D178+D179+D180+D181+(D182/2)</f>
        <v>0</v>
      </c>
      <c r="P182" s="474">
        <f t="shared" si="52"/>
        <v>0</v>
      </c>
      <c r="Q182" s="474">
        <f t="shared" si="53"/>
        <v>0</v>
      </c>
      <c r="R182" s="474">
        <f t="shared" si="54"/>
        <v>334.49993130661176</v>
      </c>
      <c r="S182" s="474">
        <f t="shared" si="71"/>
        <v>334.49993130661176</v>
      </c>
      <c r="T182" s="476">
        <f t="shared" si="44"/>
        <v>334.49993130661176</v>
      </c>
      <c r="V182" s="437">
        <f t="shared" si="55"/>
        <v>0</v>
      </c>
      <c r="W182" s="437"/>
      <c r="X182" s="437"/>
      <c r="Y182" s="437"/>
      <c r="Z182" s="437"/>
      <c r="AA182" s="437"/>
      <c r="AB182" s="1595"/>
      <c r="AC182" s="514" t="b">
        <f>IF(AD182=12,AF182)</f>
        <v>0</v>
      </c>
      <c r="AD182" s="514">
        <f t="shared" si="56"/>
        <v>1</v>
      </c>
      <c r="AE182" s="514">
        <f>IF(V182=0,0,12)</f>
        <v>0</v>
      </c>
      <c r="AF182" s="437">
        <f>SUM(V182)/($B$168-B181)</f>
        <v>0</v>
      </c>
      <c r="AG182" s="437"/>
      <c r="AH182" s="450">
        <f>SUM(D172:D182)+$C$171</f>
        <v>0</v>
      </c>
      <c r="AI182" s="516" t="b">
        <f t="shared" si="57"/>
        <v>0</v>
      </c>
      <c r="AJ182" s="287">
        <f t="shared" si="58"/>
        <v>53.779595</v>
      </c>
      <c r="AK182" s="441">
        <f t="shared" si="72"/>
        <v>0.8067499259590819</v>
      </c>
      <c r="AL182" s="289">
        <f t="shared" si="59"/>
        <v>334.49997885066585</v>
      </c>
      <c r="AM182" s="287">
        <f t="shared" si="60"/>
        <v>59.291088500000001</v>
      </c>
      <c r="AN182" s="442">
        <f t="shared" si="61"/>
        <v>0.85977285389573432</v>
      </c>
      <c r="AO182" s="291">
        <f t="shared" si="62"/>
        <v>412.49502763654965</v>
      </c>
      <c r="AP182" s="519">
        <f t="shared" si="45"/>
        <v>-9.3714163445323582</v>
      </c>
      <c r="AQ182" s="1639">
        <f t="shared" si="73"/>
        <v>-720</v>
      </c>
      <c r="AR182" s="443">
        <f t="shared" si="46"/>
        <v>-659.7</v>
      </c>
      <c r="AS182" s="444">
        <f t="shared" si="63"/>
        <v>746.99500648721551</v>
      </c>
      <c r="AT182" s="445">
        <f t="shared" si="64"/>
        <v>-334.49997885066585</v>
      </c>
      <c r="AU182" s="446">
        <f t="shared" si="65"/>
        <v>325.12856250613351</v>
      </c>
      <c r="AV182" s="445"/>
      <c r="AW182" s="447">
        <f t="shared" si="66"/>
        <v>-372.56647056191917</v>
      </c>
      <c r="AX182" s="447">
        <f t="shared" si="67"/>
        <v>-287.13352943808081</v>
      </c>
      <c r="AY182" s="1597">
        <f t="shared" si="47"/>
        <v>-31.135383660543663</v>
      </c>
      <c r="AZ182" s="1597">
        <f t="shared" si="68"/>
        <v>-40.399322303811587</v>
      </c>
      <c r="BA182" s="542">
        <f t="shared" si="69"/>
        <v>31.135383660543663</v>
      </c>
      <c r="BB182" s="542">
        <f t="shared" si="69"/>
        <v>40.399322303811587</v>
      </c>
      <c r="BD182" s="136"/>
      <c r="BE182" s="298">
        <v>19</v>
      </c>
      <c r="BF182" s="1657">
        <f t="shared" si="41"/>
        <v>301</v>
      </c>
      <c r="BG182" s="42">
        <f t="shared" si="42"/>
        <v>301</v>
      </c>
      <c r="BH182" s="301">
        <f t="shared" si="38"/>
        <v>84.222917314256875</v>
      </c>
      <c r="BI182" s="302">
        <f t="shared" si="39"/>
        <v>84.222917314256875</v>
      </c>
      <c r="BJ182" s="302">
        <f t="shared" si="43"/>
        <v>1.7770826857431246</v>
      </c>
      <c r="BK182" s="302" t="b">
        <f t="shared" si="40"/>
        <v>0</v>
      </c>
      <c r="BL182" s="304">
        <v>19</v>
      </c>
      <c r="EK182" s="78"/>
      <c r="EL182" s="78"/>
    </row>
    <row r="183" spans="2:142" ht="21.75" hidden="1" customHeight="1" thickBot="1" x14ac:dyDescent="0.35">
      <c r="U183" s="276"/>
      <c r="AH183" s="554" t="s">
        <v>79</v>
      </c>
      <c r="AI183" s="555">
        <f>MAX(AI171:AI182)</f>
        <v>0</v>
      </c>
      <c r="BD183" s="136"/>
      <c r="BE183" s="298">
        <v>20</v>
      </c>
      <c r="BF183" s="1657">
        <f t="shared" si="41"/>
        <v>344</v>
      </c>
      <c r="BG183" s="42">
        <f t="shared" si="42"/>
        <v>344</v>
      </c>
      <c r="BH183" s="301">
        <f t="shared" si="38"/>
        <v>127.22291731425688</v>
      </c>
      <c r="BI183" s="302">
        <f t="shared" si="39"/>
        <v>127.22291731425688</v>
      </c>
      <c r="BJ183" s="302">
        <f t="shared" si="43"/>
        <v>1.7770826857431246</v>
      </c>
      <c r="BK183" s="302" t="b">
        <f t="shared" si="40"/>
        <v>0</v>
      </c>
      <c r="BL183" s="304">
        <v>20</v>
      </c>
      <c r="EK183" s="78"/>
      <c r="EL183" s="78"/>
    </row>
    <row r="184" spans="2:142" ht="27" hidden="1" thickBot="1" x14ac:dyDescent="0.35">
      <c r="B184" s="350"/>
      <c r="U184" s="276"/>
      <c r="AL184" s="845" t="s">
        <v>201</v>
      </c>
      <c r="AM184" s="846"/>
      <c r="AN184" s="846"/>
      <c r="AO184" s="846"/>
      <c r="AP184" s="847"/>
      <c r="BE184" s="298">
        <v>21</v>
      </c>
      <c r="BF184" s="1657">
        <f t="shared" si="41"/>
        <v>387</v>
      </c>
      <c r="BG184" s="42">
        <f t="shared" si="42"/>
        <v>387</v>
      </c>
      <c r="BH184" s="301">
        <f t="shared" si="38"/>
        <v>170.22291731425688</v>
      </c>
      <c r="BI184" s="302">
        <f t="shared" si="39"/>
        <v>170.22291731425688</v>
      </c>
      <c r="BJ184" s="302">
        <f t="shared" si="43"/>
        <v>1.7770826857431246</v>
      </c>
      <c r="BK184" s="302" t="b">
        <f t="shared" si="40"/>
        <v>0</v>
      </c>
      <c r="BL184" s="304">
        <v>21</v>
      </c>
    </row>
    <row r="185" spans="2:142" ht="74" hidden="1" thickBot="1" x14ac:dyDescent="0.35">
      <c r="B185" s="350"/>
      <c r="AB185" s="415"/>
      <c r="AC185" s="415"/>
      <c r="AD185" s="415"/>
      <c r="AE185" s="415"/>
      <c r="AH185" s="546" t="s">
        <v>79</v>
      </c>
      <c r="AI185" s="547">
        <f>MAX(AI171:AI183)</f>
        <v>0</v>
      </c>
      <c r="AL185" s="814" t="s">
        <v>175</v>
      </c>
      <c r="AM185" s="815" t="s">
        <v>176</v>
      </c>
      <c r="AN185" s="815" t="s">
        <v>177</v>
      </c>
      <c r="AO185" s="816" t="s">
        <v>181</v>
      </c>
      <c r="AP185" s="817"/>
      <c r="BE185" s="298">
        <v>22</v>
      </c>
      <c r="BF185" s="1657">
        <f t="shared" si="41"/>
        <v>430</v>
      </c>
      <c r="BG185" s="42">
        <f t="shared" si="42"/>
        <v>430</v>
      </c>
      <c r="BH185" s="301">
        <f t="shared" si="38"/>
        <v>213.22291731425688</v>
      </c>
      <c r="BI185" s="302">
        <f t="shared" si="39"/>
        <v>213.22291731425688</v>
      </c>
      <c r="BJ185" s="302">
        <f t="shared" si="43"/>
        <v>1.7770826857431246</v>
      </c>
      <c r="BK185" s="302" t="b">
        <f t="shared" si="40"/>
        <v>0</v>
      </c>
      <c r="BL185" s="304">
        <v>22</v>
      </c>
    </row>
    <row r="186" spans="2:142" ht="25" hidden="1" thickBot="1" x14ac:dyDescent="0.35">
      <c r="B186" s="350"/>
      <c r="AB186" s="415"/>
      <c r="AC186" s="415"/>
      <c r="AD186" s="415"/>
      <c r="AE186" s="415"/>
      <c r="AH186" s="853"/>
      <c r="AI186" s="854"/>
      <c r="AL186" s="818">
        <v>6.8623010000000004</v>
      </c>
      <c r="AM186" s="819">
        <f>+(AI185*-1)-AL186</f>
        <v>-6.8623010000000004</v>
      </c>
      <c r="AN186" s="820">
        <f>COS(AM186*3.14159265358979/180)</f>
        <v>0.99283617366519983</v>
      </c>
      <c r="AO186" s="848">
        <f>+AN186*378.71303</f>
        <v>375.99999562235405</v>
      </c>
      <c r="AP186" s="821"/>
      <c r="BE186" s="298"/>
      <c r="BF186" s="1657"/>
      <c r="BG186" s="42"/>
      <c r="BH186" s="301"/>
      <c r="BI186" s="302"/>
      <c r="BJ186" s="302"/>
      <c r="BK186" s="302"/>
      <c r="BL186" s="304"/>
    </row>
    <row r="187" spans="2:142" ht="27" hidden="1" thickBot="1" x14ac:dyDescent="0.35">
      <c r="B187" s="350"/>
      <c r="AB187" s="415"/>
      <c r="AC187" s="415"/>
      <c r="AD187" s="415"/>
      <c r="AE187" s="415"/>
      <c r="AH187" s="853"/>
      <c r="AI187" s="854"/>
      <c r="AL187" s="844" t="s">
        <v>202</v>
      </c>
      <c r="AM187" s="849"/>
      <c r="AN187" s="849"/>
      <c r="AO187" s="849"/>
      <c r="AP187" s="850"/>
      <c r="BE187" s="298"/>
      <c r="BF187" s="1657"/>
      <c r="BG187" s="42"/>
      <c r="BH187" s="301"/>
      <c r="BI187" s="302"/>
      <c r="BJ187" s="302"/>
      <c r="BK187" s="302"/>
      <c r="BL187" s="304"/>
    </row>
    <row r="188" spans="2:142" ht="78" hidden="1" customHeight="1" x14ac:dyDescent="0.3">
      <c r="B188" s="350"/>
      <c r="AB188" s="415"/>
      <c r="AC188" s="415"/>
      <c r="AD188" s="415"/>
      <c r="AE188" s="415"/>
      <c r="AH188" s="853"/>
      <c r="AI188" s="854"/>
      <c r="AL188" s="851"/>
      <c r="AM188" s="815" t="s">
        <v>194</v>
      </c>
      <c r="AN188" s="815" t="s">
        <v>193</v>
      </c>
      <c r="AO188" s="816" t="s">
        <v>203</v>
      </c>
      <c r="AP188" s="843" t="s">
        <v>191</v>
      </c>
      <c r="BE188" s="298"/>
      <c r="BF188" s="1657"/>
      <c r="BG188" s="42"/>
      <c r="BH188" s="301"/>
      <c r="BI188" s="302"/>
      <c r="BJ188" s="302"/>
      <c r="BK188" s="302"/>
      <c r="BL188" s="304"/>
    </row>
    <row r="189" spans="2:142" ht="25" hidden="1" thickBot="1" x14ac:dyDescent="0.35">
      <c r="V189" s="73"/>
      <c r="W189" s="73"/>
      <c r="X189" s="73"/>
      <c r="Y189" s="73"/>
      <c r="Z189" s="73"/>
      <c r="AA189" s="73"/>
      <c r="AB189" s="73"/>
      <c r="AC189" s="73"/>
      <c r="AD189" s="73"/>
      <c r="AE189" s="73"/>
      <c r="AF189" s="73"/>
      <c r="AG189" s="73"/>
      <c r="AH189" s="73"/>
      <c r="AI189" s="73"/>
      <c r="AJ189" s="73"/>
      <c r="AK189" s="73"/>
      <c r="AL189" s="852"/>
      <c r="AM189" s="822">
        <f>+AI185</f>
        <v>0</v>
      </c>
      <c r="AN189" s="823">
        <f>SIN(AM189*3.14159265358979/180)</f>
        <v>0</v>
      </c>
      <c r="AO189" s="824">
        <f>+AN189*((+B136*358.6)+(B168*491.5)+119+119+119)</f>
        <v>0</v>
      </c>
      <c r="AP189" s="825">
        <f>+AO186+AO189</f>
        <v>375.99999562235405</v>
      </c>
      <c r="AQ189" s="73"/>
      <c r="AR189" s="73"/>
      <c r="AS189" s="73"/>
      <c r="AT189" s="73">
        <f>+AS171-AP171</f>
        <v>518.22464808537086</v>
      </c>
      <c r="AU189" s="73"/>
      <c r="AV189" s="73"/>
      <c r="AW189" s="73"/>
      <c r="AX189" s="73"/>
      <c r="AY189" s="73"/>
      <c r="AZ189" s="73"/>
      <c r="BA189" s="73"/>
      <c r="BB189" s="73"/>
      <c r="BC189" s="126"/>
      <c r="BE189" s="298">
        <v>23</v>
      </c>
      <c r="BF189" s="1657">
        <f>+BF185+43</f>
        <v>473</v>
      </c>
      <c r="BG189" s="42">
        <f>+BG185+$E$2</f>
        <v>473</v>
      </c>
      <c r="BH189" s="301">
        <f t="shared" si="38"/>
        <v>256.22291731425685</v>
      </c>
      <c r="BI189" s="302">
        <f t="shared" si="39"/>
        <v>256.22291731425685</v>
      </c>
      <c r="BJ189" s="302">
        <f>+BJ185</f>
        <v>1.7770826857431246</v>
      </c>
      <c r="BK189" s="302" t="b">
        <f t="shared" si="40"/>
        <v>0</v>
      </c>
      <c r="BL189" s="304">
        <v>23</v>
      </c>
    </row>
    <row r="190" spans="2:142" ht="21" thickBot="1" x14ac:dyDescent="0.35">
      <c r="V190" s="73"/>
      <c r="W190" s="73"/>
      <c r="X190" s="73"/>
      <c r="Y190" s="73"/>
      <c r="Z190" s="73"/>
      <c r="AA190" s="73"/>
      <c r="AB190" s="73"/>
      <c r="AC190" s="73"/>
      <c r="AD190" s="73"/>
      <c r="AE190" s="73"/>
      <c r="AF190" s="73"/>
      <c r="AG190" s="73"/>
      <c r="AH190" s="73"/>
      <c r="AI190" s="73"/>
      <c r="AJ190" s="73"/>
      <c r="AK190" s="73"/>
      <c r="AL190" s="73"/>
      <c r="AM190" s="73"/>
      <c r="AN190" s="73"/>
      <c r="AO190" s="73"/>
      <c r="AP190" s="73"/>
      <c r="AQ190" s="73"/>
      <c r="AR190" s="73"/>
      <c r="AS190" s="73"/>
      <c r="AT190" s="73"/>
      <c r="AU190" s="73"/>
      <c r="AV190" s="73"/>
      <c r="AW190" s="73"/>
      <c r="AX190" s="73"/>
      <c r="AY190" s="73"/>
      <c r="AZ190" s="73"/>
      <c r="BA190" s="73"/>
      <c r="BB190" s="73"/>
      <c r="BC190" s="126"/>
      <c r="BE190" s="298">
        <v>24</v>
      </c>
      <c r="BF190" s="1657">
        <f t="shared" si="41"/>
        <v>516</v>
      </c>
      <c r="BG190" s="42">
        <f t="shared" si="42"/>
        <v>516</v>
      </c>
      <c r="BH190" s="301">
        <f t="shared" si="38"/>
        <v>299.22291731425685</v>
      </c>
      <c r="BI190" s="302">
        <f t="shared" si="39"/>
        <v>299.22291731425685</v>
      </c>
      <c r="BJ190" s="302">
        <f t="shared" si="43"/>
        <v>1.7770826857431246</v>
      </c>
      <c r="BK190" s="302" t="b">
        <f t="shared" si="40"/>
        <v>0</v>
      </c>
      <c r="BL190" s="304">
        <v>24</v>
      </c>
    </row>
    <row r="191" spans="2:142" ht="74.25" customHeight="1" thickBot="1" x14ac:dyDescent="0.35">
      <c r="B191" s="345" t="s">
        <v>288</v>
      </c>
      <c r="C191" s="454"/>
      <c r="D191" s="455"/>
      <c r="E191" s="37"/>
      <c r="F191" s="37"/>
      <c r="G191" s="37"/>
      <c r="H191" s="456"/>
      <c r="I191" s="456"/>
      <c r="J191" s="456"/>
      <c r="K191" s="456"/>
      <c r="L191" s="456"/>
      <c r="M191" s="456"/>
      <c r="N191" s="456"/>
      <c r="O191" s="456"/>
      <c r="P191" s="456"/>
      <c r="Q191" s="456"/>
      <c r="R191" s="456"/>
      <c r="S191" s="457" t="s">
        <v>66</v>
      </c>
      <c r="T191" s="457">
        <f>SUM(V195:V214)/B192</f>
        <v>211.0008</v>
      </c>
      <c r="U191" s="212"/>
      <c r="V191" s="73"/>
      <c r="W191" s="73"/>
      <c r="X191" s="73"/>
      <c r="Y191" s="73"/>
      <c r="Z191" s="73"/>
      <c r="AA191" s="73"/>
      <c r="AB191" s="73"/>
      <c r="AC191" s="73"/>
      <c r="AD191" s="73"/>
      <c r="AE191" s="73"/>
      <c r="AF191" s="73"/>
      <c r="AG191" s="73"/>
      <c r="AH191" s="73"/>
      <c r="AI191" s="73"/>
      <c r="AJ191" s="73"/>
      <c r="AK191" s="73"/>
      <c r="AL191" s="73"/>
      <c r="AM191" s="73"/>
      <c r="AN191" s="73"/>
      <c r="AO191" s="73"/>
      <c r="AP191" s="73"/>
      <c r="AQ191" s="73"/>
      <c r="AR191" s="73"/>
      <c r="AS191" s="73"/>
      <c r="AT191" s="73"/>
      <c r="AU191" s="73"/>
      <c r="AV191" s="73"/>
      <c r="AW191" s="73"/>
      <c r="AX191" s="73"/>
      <c r="AY191" s="73"/>
      <c r="AZ191" s="73"/>
      <c r="BA191" s="73"/>
      <c r="BB191" s="73"/>
      <c r="BC191" s="126"/>
      <c r="BE191" s="298">
        <v>25</v>
      </c>
      <c r="BF191" s="1657">
        <f t="shared" si="41"/>
        <v>559</v>
      </c>
      <c r="BG191" s="42">
        <f t="shared" si="42"/>
        <v>559</v>
      </c>
      <c r="BH191" s="301">
        <f t="shared" si="38"/>
        <v>342.22291731425685</v>
      </c>
      <c r="BI191" s="302">
        <f t="shared" si="39"/>
        <v>342.22291731425685</v>
      </c>
      <c r="BJ191" s="302">
        <f t="shared" si="43"/>
        <v>1.7770826857431246</v>
      </c>
      <c r="BK191" s="302" t="b">
        <f t="shared" si="40"/>
        <v>0</v>
      </c>
      <c r="BL191" s="304">
        <v>25</v>
      </c>
    </row>
    <row r="192" spans="2:142" ht="40.5" customHeight="1" thickBot="1" x14ac:dyDescent="0.35">
      <c r="B192" s="27">
        <v>1</v>
      </c>
      <c r="C192" s="216"/>
      <c r="D192" s="556" t="s">
        <v>290</v>
      </c>
      <c r="E192" s="330"/>
      <c r="F192" s="330"/>
      <c r="G192" s="330"/>
      <c r="H192" s="1676" t="s">
        <v>291</v>
      </c>
      <c r="I192" s="1676" t="s">
        <v>292</v>
      </c>
      <c r="J192" s="1623"/>
      <c r="K192" s="1623"/>
      <c r="L192" s="1623"/>
      <c r="M192" s="1623"/>
      <c r="N192" s="1623"/>
      <c r="O192" s="1623"/>
      <c r="P192" s="1623"/>
      <c r="Q192" s="1623"/>
      <c r="R192" s="1623"/>
      <c r="S192" s="1624"/>
      <c r="T192" s="1625"/>
      <c r="U192" s="401"/>
      <c r="V192" s="1585"/>
      <c r="W192" s="1585"/>
      <c r="X192" s="1585"/>
      <c r="Y192" s="1585"/>
      <c r="Z192" s="1585"/>
      <c r="AA192" s="1585"/>
      <c r="AB192" s="1585"/>
      <c r="AC192" s="1585"/>
      <c r="AD192" s="1585"/>
      <c r="AE192" s="1585"/>
      <c r="AF192" s="1585"/>
      <c r="AG192" s="1585"/>
      <c r="AH192" s="1585"/>
      <c r="AI192" s="1585"/>
      <c r="AJ192" s="1585"/>
      <c r="AK192" s="1585"/>
      <c r="AL192" s="1585"/>
      <c r="AM192" s="1585"/>
      <c r="AN192" s="1585"/>
      <c r="AO192" s="1585"/>
      <c r="AP192" s="1585"/>
      <c r="AQ192" s="1585"/>
      <c r="AR192" s="1585"/>
      <c r="AS192" s="1585"/>
      <c r="AT192" s="1585"/>
      <c r="AU192" s="1585"/>
      <c r="AV192" s="1585"/>
      <c r="AW192" s="1585"/>
      <c r="AX192" s="1585"/>
      <c r="AY192" s="1585"/>
      <c r="AZ192" s="1585"/>
      <c r="BA192" s="1848" t="s">
        <v>52</v>
      </c>
      <c r="BB192" s="1849"/>
      <c r="BC192" s="218"/>
      <c r="BE192" s="298">
        <v>26</v>
      </c>
      <c r="BF192" s="1657">
        <f t="shared" si="41"/>
        <v>602</v>
      </c>
      <c r="BG192" s="42">
        <f t="shared" si="42"/>
        <v>602</v>
      </c>
      <c r="BH192" s="301">
        <f t="shared" si="38"/>
        <v>385.22291731425685</v>
      </c>
      <c r="BI192" s="302">
        <f t="shared" si="39"/>
        <v>385.22291731425685</v>
      </c>
      <c r="BJ192" s="302">
        <f t="shared" si="43"/>
        <v>1.7770826857431246</v>
      </c>
      <c r="BK192" s="302" t="b">
        <f t="shared" si="40"/>
        <v>0</v>
      </c>
      <c r="BL192" s="304">
        <v>26</v>
      </c>
      <c r="BP192" s="305"/>
      <c r="BQ192" s="305"/>
      <c r="BR192" s="305"/>
      <c r="BS192" s="305"/>
      <c r="BT192" s="305"/>
      <c r="BU192" s="305"/>
      <c r="BV192" s="1818"/>
      <c r="BW192" s="1818"/>
      <c r="BX192" s="1818"/>
      <c r="BY192" s="126"/>
    </row>
    <row r="193" spans="1:109" ht="88" hidden="1" thickBot="1" x14ac:dyDescent="0.35">
      <c r="C193" s="416"/>
      <c r="D193" s="354" t="s">
        <v>13</v>
      </c>
      <c r="H193" s="1626" t="s">
        <v>4</v>
      </c>
      <c r="I193" s="1627" t="s">
        <v>1</v>
      </c>
      <c r="J193" s="456" t="s">
        <v>0</v>
      </c>
      <c r="K193" s="456" t="s">
        <v>2</v>
      </c>
      <c r="L193" s="456" t="s">
        <v>3</v>
      </c>
      <c r="M193" s="456" t="s">
        <v>8</v>
      </c>
      <c r="N193" s="456" t="s">
        <v>5</v>
      </c>
      <c r="O193" s="456" t="s">
        <v>6</v>
      </c>
      <c r="P193" s="456" t="s">
        <v>7</v>
      </c>
      <c r="Q193" s="456" t="s">
        <v>9</v>
      </c>
      <c r="R193" s="1628" t="s">
        <v>10</v>
      </c>
      <c r="S193" s="456" t="s">
        <v>11</v>
      </c>
      <c r="T193" s="467" t="s">
        <v>12</v>
      </c>
      <c r="V193" s="420"/>
      <c r="W193" s="420"/>
      <c r="X193" s="420"/>
      <c r="Y193" s="420"/>
      <c r="Z193" s="420"/>
      <c r="AA193" s="420"/>
      <c r="AB193" s="1677" t="s">
        <v>320</v>
      </c>
      <c r="AC193" s="420"/>
      <c r="AD193" s="420"/>
      <c r="AE193" s="420"/>
      <c r="AF193" s="420"/>
      <c r="AG193" s="420"/>
      <c r="AH193" s="420"/>
      <c r="AI193" s="420"/>
      <c r="AJ193" s="1589" t="s">
        <v>295</v>
      </c>
      <c r="AK193" s="420"/>
      <c r="AL193" s="1589" t="s">
        <v>296</v>
      </c>
      <c r="AM193" s="1589" t="s">
        <v>297</v>
      </c>
      <c r="AN193" s="420"/>
      <c r="AO193" s="1589" t="s">
        <v>298</v>
      </c>
      <c r="AP193" s="420"/>
      <c r="AQ193" s="1589" t="s">
        <v>321</v>
      </c>
      <c r="AR193" s="420"/>
      <c r="AS193" s="420"/>
      <c r="AT193" s="420"/>
      <c r="AU193" s="420"/>
      <c r="AV193" s="420"/>
      <c r="AW193" s="420"/>
      <c r="AX193" s="420"/>
      <c r="AY193" s="415"/>
      <c r="AZ193" s="420"/>
      <c r="BA193" s="420"/>
      <c r="BB193" s="420"/>
      <c r="BC193" s="231"/>
      <c r="BE193" s="298">
        <v>27</v>
      </c>
      <c r="BF193" s="1657">
        <f t="shared" si="41"/>
        <v>645</v>
      </c>
      <c r="BG193" s="42">
        <f t="shared" si="42"/>
        <v>645</v>
      </c>
      <c r="BH193" s="301">
        <f t="shared" si="38"/>
        <v>428.22291731425685</v>
      </c>
      <c r="BI193" s="302">
        <f t="shared" si="39"/>
        <v>428.22291731425685</v>
      </c>
      <c r="BJ193" s="302">
        <f t="shared" si="43"/>
        <v>1.7770826857431246</v>
      </c>
      <c r="BK193" s="302" t="b">
        <f t="shared" si="40"/>
        <v>0</v>
      </c>
      <c r="BL193" s="304">
        <v>27</v>
      </c>
      <c r="BV193" s="306"/>
      <c r="CI193" s="306"/>
    </row>
    <row r="194" spans="1:109" ht="30" customHeight="1" thickBot="1" x14ac:dyDescent="0.35">
      <c r="B194" s="421"/>
      <c r="C194" s="422"/>
      <c r="D194" s="551" t="s">
        <v>22</v>
      </c>
      <c r="E194" s="330"/>
      <c r="F194" s="468" t="s">
        <v>45</v>
      </c>
      <c r="G194" s="240"/>
      <c r="H194" s="469"/>
      <c r="I194" s="470"/>
      <c r="R194" s="1628"/>
      <c r="T194" s="471"/>
      <c r="V194" s="420"/>
      <c r="W194" s="420"/>
      <c r="X194" s="420"/>
      <c r="Y194" s="420"/>
      <c r="Z194" s="420"/>
      <c r="AA194" s="420"/>
      <c r="AB194" s="420"/>
      <c r="AC194" s="420"/>
      <c r="AD194" s="420"/>
      <c r="AE194" s="420"/>
      <c r="AF194" s="1688" t="s">
        <v>38</v>
      </c>
      <c r="AG194" s="552" t="s">
        <v>102</v>
      </c>
      <c r="AH194" s="425" t="s">
        <v>31</v>
      </c>
      <c r="AI194" s="425"/>
      <c r="AJ194" s="1630" t="s">
        <v>301</v>
      </c>
      <c r="AK194" s="426" t="s">
        <v>32</v>
      </c>
      <c r="AL194" s="1630" t="s">
        <v>33</v>
      </c>
      <c r="AM194" s="1630" t="s">
        <v>302</v>
      </c>
      <c r="AN194" s="427" t="s">
        <v>34</v>
      </c>
      <c r="AO194" s="1630" t="s">
        <v>35</v>
      </c>
      <c r="AP194" s="427"/>
      <c r="AQ194" s="473" t="s">
        <v>36</v>
      </c>
      <c r="AR194" s="420"/>
      <c r="AS194" s="420" t="s">
        <v>37</v>
      </c>
      <c r="AT194" s="420" t="s">
        <v>39</v>
      </c>
      <c r="AU194" s="420"/>
      <c r="AV194" s="420" t="s">
        <v>40</v>
      </c>
      <c r="AW194" s="1594" t="s">
        <v>41</v>
      </c>
      <c r="AX194" s="1594" t="s">
        <v>42</v>
      </c>
      <c r="AY194" s="430" t="s">
        <v>23</v>
      </c>
      <c r="AZ194" s="430" t="s">
        <v>24</v>
      </c>
      <c r="BA194" s="431" t="s">
        <v>23</v>
      </c>
      <c r="BB194" s="431" t="s">
        <v>24</v>
      </c>
      <c r="BE194" s="298">
        <v>28</v>
      </c>
      <c r="BF194" s="1657">
        <f t="shared" si="41"/>
        <v>688</v>
      </c>
      <c r="BG194" s="42">
        <f t="shared" si="42"/>
        <v>688</v>
      </c>
      <c r="BH194" s="301">
        <f t="shared" si="38"/>
        <v>471.22291731425685</v>
      </c>
      <c r="BI194" s="302">
        <f t="shared" si="39"/>
        <v>471.22291731425685</v>
      </c>
      <c r="BJ194" s="302">
        <f t="shared" si="43"/>
        <v>1.7770826857431246</v>
      </c>
      <c r="BK194" s="302" t="b">
        <f t="shared" si="40"/>
        <v>0</v>
      </c>
      <c r="BL194" s="304">
        <v>28</v>
      </c>
      <c r="BP194" s="307"/>
      <c r="BQ194" s="307"/>
      <c r="BR194" s="307"/>
      <c r="BS194" s="307"/>
      <c r="BT194" s="307"/>
      <c r="BU194" s="307"/>
      <c r="BV194" s="1819"/>
      <c r="BW194" s="1819"/>
      <c r="CH194" s="1813"/>
      <c r="CI194" s="1813"/>
    </row>
    <row r="195" spans="1:109" ht="21" customHeight="1" thickBot="1" x14ac:dyDescent="0.35">
      <c r="B195" s="255">
        <v>1</v>
      </c>
      <c r="C195" s="256">
        <f>+AI185+D195</f>
        <v>0</v>
      </c>
      <c r="D195" s="25">
        <v>0</v>
      </c>
      <c r="E195" s="257" t="s">
        <v>119</v>
      </c>
      <c r="F195" s="258">
        <f>+G195</f>
        <v>0</v>
      </c>
      <c r="G195" s="258">
        <f>+D195</f>
        <v>0</v>
      </c>
      <c r="H195" s="1632">
        <v>251.073172</v>
      </c>
      <c r="I195" s="1633">
        <v>65.636175100000003</v>
      </c>
      <c r="J195" s="474">
        <f>+I195-C195</f>
        <v>65.636175100000003</v>
      </c>
      <c r="K195" s="474">
        <f>+J195/2</f>
        <v>32.818087550000001</v>
      </c>
      <c r="L195" s="474">
        <f t="shared" ref="L195:L220" si="74">SIN(K195*3.14159265358979/180)</f>
        <v>0.54197353948789428</v>
      </c>
      <c r="M195" s="474">
        <f t="shared" ref="M195:M220" si="75">+L195*H195</f>
        <v>136.07501569929286</v>
      </c>
      <c r="N195" s="474">
        <f t="shared" ref="N195:N220" si="76">+M195*2</f>
        <v>272.15003139858572</v>
      </c>
      <c r="O195" s="474">
        <f>+C195/2</f>
        <v>0</v>
      </c>
      <c r="P195" s="474">
        <f t="shared" ref="P195:P220" si="77">SIN(O195*3.14159265358979/180)</f>
        <v>0</v>
      </c>
      <c r="Q195" s="474">
        <f t="shared" ref="Q195:Q220" si="78">+P195*N195</f>
        <v>0</v>
      </c>
      <c r="R195" s="1634">
        <v>211.0008</v>
      </c>
      <c r="S195" s="474">
        <f>+R195+Q195</f>
        <v>211.0008</v>
      </c>
      <c r="T195" s="476">
        <f t="shared" ref="T195:T220" si="79">+S195</f>
        <v>211.0008</v>
      </c>
      <c r="V195" s="1635">
        <f t="shared" ref="V195:V220" si="80">IF(B195&lt;($B$192+1),T195,0)</f>
        <v>211.0008</v>
      </c>
      <c r="W195" s="437"/>
      <c r="X195" s="437"/>
      <c r="Y195" s="437"/>
      <c r="Z195" s="437"/>
      <c r="AA195" s="437"/>
      <c r="AB195" s="258" t="str">
        <f>IF(AZ195&lt;0,"use the locking pin"," ")</f>
        <v xml:space="preserve"> </v>
      </c>
      <c r="AC195" s="1636"/>
      <c r="AD195" s="1636"/>
      <c r="AE195" s="1636"/>
      <c r="AF195" s="1637">
        <f>SUM(V195:V220)/($B$192)</f>
        <v>211.0008</v>
      </c>
      <c r="AG195" s="1638">
        <f>+AF195+AA171+AA139</f>
        <v>211.00078851743052</v>
      </c>
      <c r="AH195" s="450">
        <f>C195</f>
        <v>0</v>
      </c>
      <c r="AI195" s="1639"/>
      <c r="AJ195" s="718">
        <f>75.4990086-AH195</f>
        <v>75.499008599999996</v>
      </c>
      <c r="AK195" s="1639">
        <f t="shared" ref="AK195:AK220" si="81">SIN(AJ195*3.14159265358979/180)</f>
        <v>0.96814330785934066</v>
      </c>
      <c r="AL195" s="1639">
        <f>+AK195*290.642868</f>
        <v>281.38394763124575</v>
      </c>
      <c r="AM195" s="1640">
        <f>57.1819124+AH195</f>
        <v>57.181912400000002</v>
      </c>
      <c r="AN195" s="1639">
        <f>SIN(AM195*3.14159265358979/180)</f>
        <v>0.84039555073787342</v>
      </c>
      <c r="AO195" s="1641">
        <f>+AN195*251.073172</f>
        <v>211.00077665844481</v>
      </c>
      <c r="AP195" s="439"/>
      <c r="AQ195" s="444">
        <f>$C$14*B192</f>
        <v>29.3</v>
      </c>
      <c r="AR195" s="444"/>
      <c r="AS195" s="445">
        <f>+AO195+AL195</f>
        <v>492.38472428969055</v>
      </c>
      <c r="AT195" s="445">
        <f>+V195-AO195</f>
        <v>2.3341555191791485E-5</v>
      </c>
      <c r="AU195" s="445"/>
      <c r="AV195" s="447">
        <f>+AF195-AT195</f>
        <v>211.00077665844481</v>
      </c>
      <c r="AW195" s="447">
        <f>+((AS195-AV195)/AS195)*AQ195</f>
        <v>16.744121535226355</v>
      </c>
      <c r="AX195" s="1597">
        <f>+(AV195/AS195)*AQ195</f>
        <v>12.555878464773642</v>
      </c>
      <c r="AY195" s="1597">
        <f t="shared" ref="AY195:AY220" si="82">2*$C$18/AW195</f>
        <v>692.78044689271212</v>
      </c>
      <c r="AZ195" s="1642">
        <f t="shared" ref="AZ195:AZ220" si="83">$D$18/AX195</f>
        <v>796.43969381000863</v>
      </c>
      <c r="BA195" s="274">
        <f>ABS(AY195)</f>
        <v>692.78044689271212</v>
      </c>
      <c r="BB195" s="275">
        <f>ABS(AZ195)</f>
        <v>796.43969381000863</v>
      </c>
      <c r="BC195" s="91" t="s">
        <v>43</v>
      </c>
      <c r="BE195" s="298">
        <v>29</v>
      </c>
      <c r="BF195" s="1657">
        <f t="shared" si="41"/>
        <v>731</v>
      </c>
      <c r="BG195" s="42">
        <f t="shared" si="42"/>
        <v>731</v>
      </c>
      <c r="BH195" s="301">
        <f t="shared" si="38"/>
        <v>514.22291731425685</v>
      </c>
      <c r="BI195" s="302">
        <f t="shared" si="39"/>
        <v>514.22291731425685</v>
      </c>
      <c r="BJ195" s="302">
        <f t="shared" si="43"/>
        <v>1.7770826857431246</v>
      </c>
      <c r="BK195" s="302" t="b">
        <f t="shared" si="40"/>
        <v>0</v>
      </c>
      <c r="BL195" s="304">
        <v>29</v>
      </c>
    </row>
    <row r="196" spans="1:109" ht="21" customHeight="1" thickBot="1" x14ac:dyDescent="0.35">
      <c r="B196" s="277">
        <v>2</v>
      </c>
      <c r="C196" s="278"/>
      <c r="D196" s="25">
        <v>1</v>
      </c>
      <c r="E196" s="257" t="s">
        <v>305</v>
      </c>
      <c r="F196" s="258" t="e">
        <f t="shared" ref="F196:F220" si="84">+G196</f>
        <v>#DIV/0!</v>
      </c>
      <c r="G196" s="258" t="e">
        <f>+D196+BC196</f>
        <v>#DIV/0!</v>
      </c>
      <c r="H196" s="1632">
        <v>251.073172</v>
      </c>
      <c r="I196" s="1633">
        <v>65.636175100000003</v>
      </c>
      <c r="J196" s="474">
        <f t="shared" ref="J196:J220" si="85">+I196-D196</f>
        <v>64.636175100000003</v>
      </c>
      <c r="K196" s="474">
        <f t="shared" ref="K196:K220" si="86">+J196/2</f>
        <v>32.318087550000001</v>
      </c>
      <c r="L196" s="474">
        <f t="shared" si="74"/>
        <v>0.53461916118589337</v>
      </c>
      <c r="M196" s="474">
        <f t="shared" si="75"/>
        <v>134.22852861092153</v>
      </c>
      <c r="N196" s="474">
        <f t="shared" si="76"/>
        <v>268.45705722184306</v>
      </c>
      <c r="O196" s="474">
        <f>+C195+(D196/2)</f>
        <v>0.5</v>
      </c>
      <c r="P196" s="474">
        <f t="shared" si="77"/>
        <v>8.726535498373926E-3</v>
      </c>
      <c r="Q196" s="474">
        <f t="shared" si="78"/>
        <v>2.3427000396354138</v>
      </c>
      <c r="R196" s="474">
        <f t="shared" ref="R196:R220" si="87">+T195</f>
        <v>211.0008</v>
      </c>
      <c r="S196" s="474">
        <f>+R196+Q196</f>
        <v>213.34350003963542</v>
      </c>
      <c r="T196" s="476">
        <f t="shared" si="79"/>
        <v>213.34350003963542</v>
      </c>
      <c r="V196" s="1635">
        <f t="shared" si="80"/>
        <v>0</v>
      </c>
      <c r="W196" s="437"/>
      <c r="X196" s="437"/>
      <c r="Y196" s="437"/>
      <c r="Z196" s="437"/>
      <c r="AA196" s="437"/>
      <c r="AB196" s="280" t="e">
        <f t="shared" ref="AB196:AB220" si="88">IF(AZ196&lt;0,"use the locking pin"," ")</f>
        <v>#DIV/0!</v>
      </c>
      <c r="AC196" s="1636"/>
      <c r="AD196" s="1636"/>
      <c r="AE196" s="1636"/>
      <c r="AF196" s="1637" t="e">
        <f>SUM(V196:V220)/($B$192-B195)</f>
        <v>#DIV/0!</v>
      </c>
      <c r="AG196" s="1638"/>
      <c r="AH196" s="450">
        <f>SUM(D196)+$C$195</f>
        <v>1</v>
      </c>
      <c r="AI196" s="1639"/>
      <c r="AJ196" s="718">
        <f t="shared" ref="AJ196:AJ220" si="89">75.4990086-AH196</f>
        <v>74.499008599999996</v>
      </c>
      <c r="AK196" s="1639">
        <f t="shared" si="81"/>
        <v>0.96362582898684701</v>
      </c>
      <c r="AL196" s="1639">
        <f t="shared" ref="AL196:AL220" si="90">+AK196*290.642868</f>
        <v>280.07097461561477</v>
      </c>
      <c r="AM196" s="1640">
        <f t="shared" ref="AM196:AM220" si="91">57.1819124+AH196</f>
        <v>58.181912400000002</v>
      </c>
      <c r="AN196" s="1639">
        <f t="shared" ref="AN196:AN220" si="92">SIN(AM196*3.14159265358979/180)</f>
        <v>0.84972629692714396</v>
      </c>
      <c r="AO196" s="1641">
        <f t="shared" ref="AO196:AO220" si="93">+AN196*251.073172</f>
        <v>213.34347670131189</v>
      </c>
      <c r="AP196" s="287"/>
      <c r="AQ196" s="444">
        <f>$C$14*($B$192-B195)</f>
        <v>0</v>
      </c>
      <c r="AR196" s="444"/>
      <c r="AS196" s="445">
        <f t="shared" ref="AS196:AS220" si="94">+AO196+AL196</f>
        <v>493.41445131692666</v>
      </c>
      <c r="AT196" s="445">
        <f>+V196-AO196</f>
        <v>-213.34347670131189</v>
      </c>
      <c r="AU196" s="445"/>
      <c r="AV196" s="447" t="e">
        <f>+AF196-AT196</f>
        <v>#DIV/0!</v>
      </c>
      <c r="AW196" s="447" t="e">
        <f t="shared" ref="AW196:AW220" si="95">+((AS196-AV196)/AS196)*AQ196</f>
        <v>#DIV/0!</v>
      </c>
      <c r="AX196" s="1597" t="e">
        <f t="shared" ref="AX196:AX220" si="96">+(AV196/AS196)*AQ196</f>
        <v>#DIV/0!</v>
      </c>
      <c r="AY196" s="1597" t="e">
        <f t="shared" si="82"/>
        <v>#DIV/0!</v>
      </c>
      <c r="AZ196" s="1642" t="e">
        <f t="shared" si="83"/>
        <v>#DIV/0!</v>
      </c>
      <c r="BA196" s="274" t="e">
        <f t="shared" ref="BA196:BB215" si="97">ABS(AY196)</f>
        <v>#DIV/0!</v>
      </c>
      <c r="BB196" s="294" t="e">
        <f t="shared" si="97"/>
        <v>#DIV/0!</v>
      </c>
      <c r="BC196" t="e">
        <f t="shared" ref="BC196:BC220" si="98">IF(AZ196&lt;0,0.3,0)</f>
        <v>#DIV/0!</v>
      </c>
      <c r="BE196" s="298">
        <v>30</v>
      </c>
      <c r="BF196" s="1657">
        <f t="shared" si="41"/>
        <v>774</v>
      </c>
      <c r="BG196" s="42">
        <f t="shared" si="42"/>
        <v>774</v>
      </c>
      <c r="BH196" s="301">
        <f t="shared" si="38"/>
        <v>557.22291731425685</v>
      </c>
      <c r="BI196" s="302">
        <f t="shared" si="39"/>
        <v>557.22291731425685</v>
      </c>
      <c r="BJ196" s="302">
        <f t="shared" si="43"/>
        <v>1.7770826857431246</v>
      </c>
      <c r="BK196" s="302" t="b">
        <f t="shared" si="40"/>
        <v>0</v>
      </c>
      <c r="BL196" s="304">
        <v>30</v>
      </c>
    </row>
    <row r="197" spans="1:109" ht="21" customHeight="1" thickBot="1" x14ac:dyDescent="0.35">
      <c r="B197" s="277">
        <v>3</v>
      </c>
      <c r="C197" s="278"/>
      <c r="D197" s="25">
        <v>1</v>
      </c>
      <c r="E197" s="257" t="s">
        <v>305</v>
      </c>
      <c r="F197" s="258">
        <f t="shared" si="84"/>
        <v>1.3</v>
      </c>
      <c r="G197" s="258">
        <f t="shared" ref="G197:G220" si="99">+D197+BC197</f>
        <v>1.3</v>
      </c>
      <c r="H197" s="1632">
        <v>251.073172</v>
      </c>
      <c r="I197" s="1633">
        <v>65.636175100000003</v>
      </c>
      <c r="J197" s="474">
        <f t="shared" si="85"/>
        <v>64.636175100000003</v>
      </c>
      <c r="K197" s="474">
        <f t="shared" si="86"/>
        <v>32.318087550000001</v>
      </c>
      <c r="L197" s="474">
        <f t="shared" si="74"/>
        <v>0.53461916118589337</v>
      </c>
      <c r="M197" s="474">
        <f t="shared" si="75"/>
        <v>134.22852861092153</v>
      </c>
      <c r="N197" s="474">
        <f t="shared" si="76"/>
        <v>268.45705722184306</v>
      </c>
      <c r="O197" s="474">
        <f>+C195+D196+(D197/2)</f>
        <v>1.5</v>
      </c>
      <c r="P197" s="474">
        <f t="shared" si="77"/>
        <v>2.6176948307873125E-2</v>
      </c>
      <c r="Q197" s="474">
        <f t="shared" si="78"/>
        <v>7.0273865097799231</v>
      </c>
      <c r="R197" s="474">
        <f t="shared" si="87"/>
        <v>213.34350003963542</v>
      </c>
      <c r="S197" s="474">
        <f t="shared" ref="S197:S220" si="100">+S196+Q197</f>
        <v>220.37088654941533</v>
      </c>
      <c r="T197" s="476">
        <f t="shared" si="79"/>
        <v>220.37088654941533</v>
      </c>
      <c r="V197" s="1635">
        <f t="shared" si="80"/>
        <v>0</v>
      </c>
      <c r="W197" s="437"/>
      <c r="X197" s="437"/>
      <c r="Y197" s="437"/>
      <c r="Z197" s="437"/>
      <c r="AA197" s="437"/>
      <c r="AB197" s="295" t="str">
        <f t="shared" si="88"/>
        <v>use the locking pin</v>
      </c>
      <c r="AC197" s="1636"/>
      <c r="AD197" s="1636"/>
      <c r="AE197" s="1636"/>
      <c r="AF197" s="1637">
        <f>SUM(V197:V220)/($B$192-B196)</f>
        <v>0</v>
      </c>
      <c r="AG197" s="1638"/>
      <c r="AH197" s="450">
        <f>SUM(D196:D197)+$C$195</f>
        <v>2</v>
      </c>
      <c r="AI197" s="1639"/>
      <c r="AJ197" s="718">
        <f t="shared" si="89"/>
        <v>73.499008599999996</v>
      </c>
      <c r="AK197" s="1639">
        <f t="shared" si="81"/>
        <v>0.95881482035199095</v>
      </c>
      <c r="AL197" s="1639">
        <f t="shared" si="90"/>
        <v>278.67268926800745</v>
      </c>
      <c r="AM197" s="1640">
        <f t="shared" si="91"/>
        <v>59.181912400000002</v>
      </c>
      <c r="AN197" s="1639">
        <f t="shared" si="92"/>
        <v>0.85879820825488717</v>
      </c>
      <c r="AO197" s="1641">
        <f t="shared" si="93"/>
        <v>215.62119025447112</v>
      </c>
      <c r="AP197" s="287"/>
      <c r="AQ197" s="444">
        <f t="shared" ref="AQ197:AQ220" si="101">$C$14*($B$192-B196)</f>
        <v>-29.3</v>
      </c>
      <c r="AR197" s="444"/>
      <c r="AS197" s="445">
        <f t="shared" si="94"/>
        <v>494.29387952247856</v>
      </c>
      <c r="AT197" s="445">
        <f>+V197-AO197</f>
        <v>-215.62119025447112</v>
      </c>
      <c r="AU197" s="445"/>
      <c r="AV197" s="447">
        <f>+AF197-AT197</f>
        <v>215.62119025447112</v>
      </c>
      <c r="AW197" s="447">
        <f t="shared" si="95"/>
        <v>-16.518735379529016</v>
      </c>
      <c r="AX197" s="1597">
        <f t="shared" si="96"/>
        <v>-12.781264620470987</v>
      </c>
      <c r="AY197" s="1597">
        <f t="shared" si="82"/>
        <v>-702.23293330162551</v>
      </c>
      <c r="AZ197" s="1642">
        <f t="shared" si="83"/>
        <v>-782.39519303775296</v>
      </c>
      <c r="BA197" s="274">
        <f t="shared" si="97"/>
        <v>702.23293330162551</v>
      </c>
      <c r="BB197" s="275">
        <f t="shared" si="97"/>
        <v>782.39519303775296</v>
      </c>
      <c r="BC197">
        <f t="shared" si="98"/>
        <v>0.3</v>
      </c>
      <c r="BE197" s="298">
        <v>31</v>
      </c>
      <c r="BF197" s="1657">
        <f t="shared" si="41"/>
        <v>817</v>
      </c>
      <c r="BG197" s="42">
        <f t="shared" si="42"/>
        <v>817</v>
      </c>
      <c r="BH197" s="301">
        <f t="shared" si="38"/>
        <v>600.22291731425685</v>
      </c>
      <c r="BI197" s="302">
        <f t="shared" si="39"/>
        <v>600.22291731425685</v>
      </c>
      <c r="BJ197" s="302">
        <f t="shared" si="43"/>
        <v>1.7770826857431246</v>
      </c>
      <c r="BK197" s="302" t="b">
        <f t="shared" si="40"/>
        <v>0</v>
      </c>
      <c r="BL197" s="304">
        <v>31</v>
      </c>
    </row>
    <row r="198" spans="1:109" ht="21" customHeight="1" thickBot="1" x14ac:dyDescent="0.35">
      <c r="B198" s="277">
        <v>4</v>
      </c>
      <c r="C198" s="278"/>
      <c r="D198" s="25">
        <v>1</v>
      </c>
      <c r="E198" s="257" t="s">
        <v>305</v>
      </c>
      <c r="F198" s="258">
        <f t="shared" si="84"/>
        <v>1.3</v>
      </c>
      <c r="G198" s="258">
        <f t="shared" si="99"/>
        <v>1.3</v>
      </c>
      <c r="H198" s="1632">
        <v>251.073172</v>
      </c>
      <c r="I198" s="1633">
        <v>65.636175100000003</v>
      </c>
      <c r="J198" s="474">
        <f t="shared" si="85"/>
        <v>64.636175100000003</v>
      </c>
      <c r="K198" s="474">
        <f t="shared" si="86"/>
        <v>32.318087550000001</v>
      </c>
      <c r="L198" s="474">
        <f t="shared" si="74"/>
        <v>0.53461916118589337</v>
      </c>
      <c r="M198" s="474">
        <f t="shared" si="75"/>
        <v>134.22852861092153</v>
      </c>
      <c r="N198" s="474">
        <f t="shared" si="76"/>
        <v>268.45705722184306</v>
      </c>
      <c r="O198" s="474">
        <f>+C195+D196+D197+(D198/2)</f>
        <v>2.5</v>
      </c>
      <c r="P198" s="474">
        <f t="shared" si="77"/>
        <v>4.3619387365335958E-2</v>
      </c>
      <c r="Q198" s="474">
        <f t="shared" si="78"/>
        <v>11.709932369917734</v>
      </c>
      <c r="R198" s="474">
        <f t="shared" si="87"/>
        <v>220.37088654941533</v>
      </c>
      <c r="S198" s="474">
        <f t="shared" si="100"/>
        <v>232.08081891933307</v>
      </c>
      <c r="T198" s="476">
        <f t="shared" si="79"/>
        <v>232.08081891933307</v>
      </c>
      <c r="V198" s="1635">
        <f t="shared" si="80"/>
        <v>0</v>
      </c>
      <c r="W198" s="437"/>
      <c r="X198" s="437"/>
      <c r="Y198" s="437"/>
      <c r="Z198" s="437"/>
      <c r="AA198" s="437"/>
      <c r="AB198" s="295" t="str">
        <f t="shared" si="88"/>
        <v>use the locking pin</v>
      </c>
      <c r="AC198" s="1636"/>
      <c r="AD198" s="1636"/>
      <c r="AE198" s="1636"/>
      <c r="AF198" s="1637">
        <f>SUM(V198:V220)/($B$192-B197)</f>
        <v>0</v>
      </c>
      <c r="AG198" s="1638"/>
      <c r="AH198" s="450">
        <f>SUM(D196:D198)+$C$195</f>
        <v>3</v>
      </c>
      <c r="AI198" s="1639"/>
      <c r="AJ198" s="718">
        <f t="shared" si="89"/>
        <v>72.499008599999996</v>
      </c>
      <c r="AK198" s="1639">
        <f t="shared" si="81"/>
        <v>0.95371174743460796</v>
      </c>
      <c r="AL198" s="1639">
        <f t="shared" si="90"/>
        <v>277.18951751968609</v>
      </c>
      <c r="AM198" s="1640">
        <f t="shared" si="91"/>
        <v>60.181912400000002</v>
      </c>
      <c r="AN198" s="1639">
        <f t="shared" si="92"/>
        <v>0.86760852132903066</v>
      </c>
      <c r="AO198" s="1641">
        <f t="shared" si="93"/>
        <v>217.83322350430939</v>
      </c>
      <c r="AP198" s="287"/>
      <c r="AQ198" s="444">
        <f t="shared" si="101"/>
        <v>-58.6</v>
      </c>
      <c r="AR198" s="444"/>
      <c r="AS198" s="445">
        <f t="shared" si="94"/>
        <v>495.02274102399548</v>
      </c>
      <c r="AT198" s="445">
        <f>+V198-AO198</f>
        <v>-217.83322350430939</v>
      </c>
      <c r="AU198" s="445"/>
      <c r="AV198" s="447">
        <f t="shared" ref="AV198:AV220" si="102">+AF198-AT198</f>
        <v>217.83322350430939</v>
      </c>
      <c r="AW198" s="447">
        <f t="shared" si="95"/>
        <v>-32.813251554975004</v>
      </c>
      <c r="AX198" s="1597">
        <f t="shared" si="96"/>
        <v>-25.786748445025005</v>
      </c>
      <c r="AY198" s="1597">
        <f t="shared" si="82"/>
        <v>-353.51571241166005</v>
      </c>
      <c r="AZ198" s="1642">
        <f t="shared" si="83"/>
        <v>-387.79608143768445</v>
      </c>
      <c r="BA198" s="274">
        <f t="shared" si="97"/>
        <v>353.51571241166005</v>
      </c>
      <c r="BB198" s="275">
        <f t="shared" si="97"/>
        <v>387.79608143768445</v>
      </c>
      <c r="BC198">
        <f t="shared" si="98"/>
        <v>0.3</v>
      </c>
      <c r="BE198" s="298">
        <v>32</v>
      </c>
      <c r="BF198" s="1657">
        <f t="shared" si="41"/>
        <v>860</v>
      </c>
      <c r="BG198" s="42">
        <f t="shared" si="42"/>
        <v>860</v>
      </c>
      <c r="BH198" s="301">
        <f t="shared" si="38"/>
        <v>643.22291731425685</v>
      </c>
      <c r="BI198" s="302">
        <f t="shared" si="39"/>
        <v>643.22291731425685</v>
      </c>
      <c r="BJ198" s="302">
        <f t="shared" si="43"/>
        <v>1.7770826857431246</v>
      </c>
      <c r="BK198" s="302" t="b">
        <f t="shared" si="40"/>
        <v>0</v>
      </c>
      <c r="BL198" s="304">
        <v>32</v>
      </c>
    </row>
    <row r="199" spans="1:109" ht="21" customHeight="1" thickBot="1" x14ac:dyDescent="0.35">
      <c r="B199" s="277">
        <v>5</v>
      </c>
      <c r="C199" s="278"/>
      <c r="D199" s="25">
        <v>1</v>
      </c>
      <c r="E199" s="257" t="s">
        <v>305</v>
      </c>
      <c r="F199" s="258">
        <f t="shared" si="84"/>
        <v>1.3</v>
      </c>
      <c r="G199" s="258">
        <f>+D199+BC199</f>
        <v>1.3</v>
      </c>
      <c r="H199" s="1632">
        <v>251.073172</v>
      </c>
      <c r="I199" s="1633">
        <v>65.636175100000003</v>
      </c>
      <c r="J199" s="474">
        <f t="shared" si="85"/>
        <v>64.636175100000003</v>
      </c>
      <c r="K199" s="474">
        <f t="shared" si="86"/>
        <v>32.318087550000001</v>
      </c>
      <c r="L199" s="474">
        <f t="shared" si="74"/>
        <v>0.53461916118589337</v>
      </c>
      <c r="M199" s="474">
        <f t="shared" si="75"/>
        <v>134.22852861092153</v>
      </c>
      <c r="N199" s="474">
        <f t="shared" si="76"/>
        <v>268.45705722184306</v>
      </c>
      <c r="O199" s="474">
        <f>+C195+D196+D197+D198+(D199/2)</f>
        <v>3.5</v>
      </c>
      <c r="P199" s="474">
        <f t="shared" si="77"/>
        <v>6.1048539534856811E-2</v>
      </c>
      <c r="Q199" s="474">
        <f t="shared" si="78"/>
        <v>16.388911271219001</v>
      </c>
      <c r="R199" s="474">
        <f t="shared" si="87"/>
        <v>232.08081891933307</v>
      </c>
      <c r="S199" s="474">
        <f t="shared" si="100"/>
        <v>248.46973019055207</v>
      </c>
      <c r="T199" s="476">
        <f t="shared" si="79"/>
        <v>248.46973019055207</v>
      </c>
      <c r="V199" s="1635">
        <f t="shared" si="80"/>
        <v>0</v>
      </c>
      <c r="W199" s="437"/>
      <c r="X199" s="437"/>
      <c r="Y199" s="437"/>
      <c r="Z199" s="437"/>
      <c r="AA199" s="437"/>
      <c r="AB199" s="295" t="str">
        <f t="shared" si="88"/>
        <v>use the locking pin</v>
      </c>
      <c r="AC199" s="1636"/>
      <c r="AD199" s="1636"/>
      <c r="AE199" s="1636"/>
      <c r="AF199" s="1637">
        <f>SUM(V199:V220)/($B$192-B198)</f>
        <v>0</v>
      </c>
      <c r="AG199" s="1638"/>
      <c r="AH199" s="450">
        <f>SUM(D196:D199)+$C$195</f>
        <v>4</v>
      </c>
      <c r="AI199" s="1639"/>
      <c r="AJ199" s="718">
        <f t="shared" si="89"/>
        <v>71.499008599999996</v>
      </c>
      <c r="AK199" s="1639">
        <f t="shared" si="81"/>
        <v>0.94831816468014318</v>
      </c>
      <c r="AL199" s="1639">
        <f t="shared" si="90"/>
        <v>275.62191115913316</v>
      </c>
      <c r="AM199" s="1640">
        <f t="shared" si="91"/>
        <v>61.181912400000002</v>
      </c>
      <c r="AN199" s="1639">
        <f t="shared" si="92"/>
        <v>0.87615455244286489</v>
      </c>
      <c r="AO199" s="1641">
        <f t="shared" si="93"/>
        <v>219.97890264407044</v>
      </c>
      <c r="AP199" s="287"/>
      <c r="AQ199" s="444">
        <f t="shared" si="101"/>
        <v>-87.9</v>
      </c>
      <c r="AR199" s="444"/>
      <c r="AS199" s="445">
        <f t="shared" si="94"/>
        <v>495.60081380320361</v>
      </c>
      <c r="AT199" s="445">
        <f t="shared" ref="AT199:AT220" si="103">+V199-AO199</f>
        <v>-219.97890264407044</v>
      </c>
      <c r="AU199" s="445"/>
      <c r="AV199" s="447">
        <f t="shared" si="102"/>
        <v>219.97890264407044</v>
      </c>
      <c r="AW199" s="447">
        <f t="shared" si="95"/>
        <v>-48.884435449107407</v>
      </c>
      <c r="AX199" s="1597">
        <f t="shared" si="96"/>
        <v>-39.015564550892599</v>
      </c>
      <c r="AY199" s="1597">
        <f t="shared" si="82"/>
        <v>-237.29434314683914</v>
      </c>
      <c r="AZ199" s="1642">
        <f t="shared" si="83"/>
        <v>-256.30796619528144</v>
      </c>
      <c r="BA199" s="274">
        <f t="shared" si="97"/>
        <v>237.29434314683914</v>
      </c>
      <c r="BB199" s="275">
        <f t="shared" si="97"/>
        <v>256.30796619528144</v>
      </c>
      <c r="BC199">
        <f t="shared" si="98"/>
        <v>0.3</v>
      </c>
      <c r="BE199" s="298">
        <v>33</v>
      </c>
      <c r="BF199" s="1657">
        <f t="shared" si="41"/>
        <v>903</v>
      </c>
      <c r="BG199" s="42">
        <f t="shared" si="42"/>
        <v>903</v>
      </c>
      <c r="BH199" s="301">
        <f t="shared" si="38"/>
        <v>686.22291731425685</v>
      </c>
      <c r="BI199" s="302">
        <f t="shared" si="39"/>
        <v>686.22291731425685</v>
      </c>
      <c r="BJ199" s="302">
        <f t="shared" si="43"/>
        <v>1.7770826857431246</v>
      </c>
      <c r="BK199" s="302" t="b">
        <f t="shared" si="40"/>
        <v>0</v>
      </c>
      <c r="BL199" s="304">
        <v>33</v>
      </c>
      <c r="DE199" s="305"/>
    </row>
    <row r="200" spans="1:109" ht="21" customHeight="1" thickBot="1" x14ac:dyDescent="0.35">
      <c r="B200" s="277">
        <v>6</v>
      </c>
      <c r="C200" s="278"/>
      <c r="D200" s="25">
        <v>1</v>
      </c>
      <c r="E200" s="257" t="s">
        <v>305</v>
      </c>
      <c r="F200" s="258">
        <f t="shared" si="84"/>
        <v>1.3</v>
      </c>
      <c r="G200" s="258">
        <f t="shared" si="99"/>
        <v>1.3</v>
      </c>
      <c r="H200" s="1632">
        <v>251.073172</v>
      </c>
      <c r="I200" s="1633">
        <v>65.636175100000003</v>
      </c>
      <c r="J200" s="474">
        <f t="shared" si="85"/>
        <v>64.636175100000003</v>
      </c>
      <c r="K200" s="474">
        <f t="shared" si="86"/>
        <v>32.318087550000001</v>
      </c>
      <c r="L200" s="474">
        <f t="shared" si="74"/>
        <v>0.53461916118589337</v>
      </c>
      <c r="M200" s="474">
        <f t="shared" si="75"/>
        <v>134.22852861092153</v>
      </c>
      <c r="N200" s="474">
        <f t="shared" si="76"/>
        <v>268.45705722184306</v>
      </c>
      <c r="O200" s="474">
        <f>+C195+D196+D197+D198+D199+(D200/2)</f>
        <v>4.5</v>
      </c>
      <c r="P200" s="474">
        <f t="shared" si="77"/>
        <v>7.845909572784486E-2</v>
      </c>
      <c r="Q200" s="474">
        <f t="shared" si="78"/>
        <v>21.062897951384109</v>
      </c>
      <c r="R200" s="474">
        <f t="shared" si="87"/>
        <v>248.46973019055207</v>
      </c>
      <c r="S200" s="474">
        <f t="shared" si="100"/>
        <v>269.53262814193619</v>
      </c>
      <c r="T200" s="476">
        <f t="shared" si="79"/>
        <v>269.53262814193619</v>
      </c>
      <c r="V200" s="1635">
        <f t="shared" si="80"/>
        <v>0</v>
      </c>
      <c r="W200" s="437"/>
      <c r="X200" s="437"/>
      <c r="Y200" s="437"/>
      <c r="Z200" s="437"/>
      <c r="AA200" s="437"/>
      <c r="AB200" s="295" t="str">
        <f t="shared" si="88"/>
        <v>use the locking pin</v>
      </c>
      <c r="AC200" s="1636"/>
      <c r="AD200" s="1636"/>
      <c r="AE200" s="1636"/>
      <c r="AF200" s="1637">
        <f>SUM(V200:V220)/($B$192-B199)</f>
        <v>0</v>
      </c>
      <c r="AG200" s="1638"/>
      <c r="AH200" s="450">
        <f>SUM(D196:D200)+$C$195</f>
        <v>5</v>
      </c>
      <c r="AI200" s="1639"/>
      <c r="AJ200" s="718">
        <f t="shared" si="89"/>
        <v>70.499008599999996</v>
      </c>
      <c r="AK200" s="1639">
        <f t="shared" si="81"/>
        <v>0.94263571502615251</v>
      </c>
      <c r="AL200" s="1639">
        <f t="shared" si="90"/>
        <v>273.97034769443167</v>
      </c>
      <c r="AM200" s="1640">
        <f t="shared" si="91"/>
        <v>62.181912400000002</v>
      </c>
      <c r="AN200" s="1639">
        <f t="shared" si="92"/>
        <v>0.88443369839252528</v>
      </c>
      <c r="AO200" s="1641">
        <f t="shared" si="93"/>
        <v>222.05757407910264</v>
      </c>
      <c r="AP200" s="287"/>
      <c r="AQ200" s="444">
        <f t="shared" si="101"/>
        <v>-117.2</v>
      </c>
      <c r="AR200" s="444"/>
      <c r="AS200" s="445">
        <f t="shared" si="94"/>
        <v>496.02792177353433</v>
      </c>
      <c r="AT200" s="445">
        <f t="shared" si="103"/>
        <v>-222.05757407910264</v>
      </c>
      <c r="AU200" s="445"/>
      <c r="AV200" s="447">
        <f t="shared" si="102"/>
        <v>222.05757407910264</v>
      </c>
      <c r="AW200" s="447">
        <f t="shared" si="95"/>
        <v>-64.732897767088147</v>
      </c>
      <c r="AX200" s="1597">
        <f t="shared" si="96"/>
        <v>-52.467102232911849</v>
      </c>
      <c r="AY200" s="1597">
        <f t="shared" si="82"/>
        <v>-179.19791018374178</v>
      </c>
      <c r="AZ200" s="1642">
        <f t="shared" si="83"/>
        <v>-190.59562229314707</v>
      </c>
      <c r="BA200" s="274">
        <f t="shared" si="97"/>
        <v>179.19791018374178</v>
      </c>
      <c r="BB200" s="275">
        <f t="shared" si="97"/>
        <v>190.59562229314707</v>
      </c>
      <c r="BC200">
        <f t="shared" si="98"/>
        <v>0.3</v>
      </c>
      <c r="BE200" s="298">
        <v>34</v>
      </c>
      <c r="BF200" s="1657">
        <f t="shared" si="41"/>
        <v>946</v>
      </c>
      <c r="BG200" s="42">
        <f t="shared" si="42"/>
        <v>946</v>
      </c>
      <c r="BH200" s="301">
        <f t="shared" si="38"/>
        <v>729.22291731425685</v>
      </c>
      <c r="BI200" s="302">
        <f t="shared" si="39"/>
        <v>729.22291731425685</v>
      </c>
      <c r="BJ200" s="302">
        <f t="shared" si="43"/>
        <v>1.7770826857431246</v>
      </c>
      <c r="BK200" s="302" t="b">
        <f t="shared" si="40"/>
        <v>0</v>
      </c>
      <c r="BL200" s="304">
        <v>34</v>
      </c>
    </row>
    <row r="201" spans="1:109" ht="21" customHeight="1" thickBot="1" x14ac:dyDescent="0.35">
      <c r="B201" s="277">
        <v>7</v>
      </c>
      <c r="C201" s="278"/>
      <c r="D201" s="25">
        <v>1</v>
      </c>
      <c r="E201" s="257" t="s">
        <v>305</v>
      </c>
      <c r="F201" s="258">
        <f t="shared" si="84"/>
        <v>1.3</v>
      </c>
      <c r="G201" s="258">
        <f t="shared" si="99"/>
        <v>1.3</v>
      </c>
      <c r="H201" s="1632">
        <v>251.073172</v>
      </c>
      <c r="I201" s="1633">
        <v>65.636175100000003</v>
      </c>
      <c r="J201" s="474">
        <f t="shared" si="85"/>
        <v>64.636175100000003</v>
      </c>
      <c r="K201" s="474">
        <f t="shared" si="86"/>
        <v>32.318087550000001</v>
      </c>
      <c r="L201" s="474">
        <f t="shared" si="74"/>
        <v>0.53461916118589337</v>
      </c>
      <c r="M201" s="474">
        <f t="shared" si="75"/>
        <v>134.22852861092153</v>
      </c>
      <c r="N201" s="474">
        <f t="shared" si="76"/>
        <v>268.45705722184306</v>
      </c>
      <c r="O201" s="474">
        <f>+C195+D196+D197+D198+D199+D200+(D201/2)</f>
        <v>5.5</v>
      </c>
      <c r="P201" s="474">
        <f t="shared" si="77"/>
        <v>9.5845752520223898E-2</v>
      </c>
      <c r="Q201" s="474">
        <f t="shared" si="78"/>
        <v>25.730468668792355</v>
      </c>
      <c r="R201" s="474">
        <f t="shared" si="87"/>
        <v>269.53262814193619</v>
      </c>
      <c r="S201" s="474">
        <f t="shared" si="100"/>
        <v>295.26309681072854</v>
      </c>
      <c r="T201" s="476">
        <f t="shared" si="79"/>
        <v>295.26309681072854</v>
      </c>
      <c r="V201" s="1635">
        <f t="shared" si="80"/>
        <v>0</v>
      </c>
      <c r="W201" s="437"/>
      <c r="X201" s="437"/>
      <c r="Y201" s="437"/>
      <c r="Z201" s="437"/>
      <c r="AA201" s="437"/>
      <c r="AB201" s="295" t="str">
        <f t="shared" si="88"/>
        <v>use the locking pin</v>
      </c>
      <c r="AC201" s="1636"/>
      <c r="AD201" s="1636"/>
      <c r="AE201" s="1636"/>
      <c r="AF201" s="1637">
        <f>SUM(V201:V220)/($B$192-B200)</f>
        <v>0</v>
      </c>
      <c r="AG201" s="1638"/>
      <c r="AH201" s="450">
        <f>SUM(D196:D201)+$C$195</f>
        <v>6</v>
      </c>
      <c r="AI201" s="1639"/>
      <c r="AJ201" s="718">
        <f t="shared" si="89"/>
        <v>69.499008599999996</v>
      </c>
      <c r="AK201" s="1639">
        <f t="shared" si="81"/>
        <v>0.93666612940184768</v>
      </c>
      <c r="AL201" s="1639">
        <f t="shared" si="90"/>
        <v>272.23533020781213</v>
      </c>
      <c r="AM201" s="1640">
        <f t="shared" si="91"/>
        <v>63.181912400000002</v>
      </c>
      <c r="AN201" s="1639">
        <f t="shared" si="92"/>
        <v>0.8924434372699539</v>
      </c>
      <c r="AO201" s="1641">
        <f t="shared" si="93"/>
        <v>224.06860462595034</v>
      </c>
      <c r="AP201" s="287"/>
      <c r="AQ201" s="444">
        <f t="shared" si="101"/>
        <v>-146.5</v>
      </c>
      <c r="AR201" s="444"/>
      <c r="AS201" s="445">
        <f t="shared" si="94"/>
        <v>496.30393483376247</v>
      </c>
      <c r="AT201" s="445">
        <f t="shared" si="103"/>
        <v>-224.06860462595034</v>
      </c>
      <c r="AU201" s="445"/>
      <c r="AV201" s="447">
        <f t="shared" si="102"/>
        <v>224.06860462595034</v>
      </c>
      <c r="AW201" s="447">
        <f t="shared" si="95"/>
        <v>-80.358975773188575</v>
      </c>
      <c r="AX201" s="1597">
        <f t="shared" si="96"/>
        <v>-66.141024226811439</v>
      </c>
      <c r="AY201" s="1597">
        <f t="shared" si="82"/>
        <v>-144.35226293501728</v>
      </c>
      <c r="AZ201" s="1642">
        <f t="shared" si="83"/>
        <v>-151.19209472335814</v>
      </c>
      <c r="BA201" s="274">
        <f t="shared" si="97"/>
        <v>144.35226293501728</v>
      </c>
      <c r="BB201" s="275">
        <f t="shared" si="97"/>
        <v>151.19209472335814</v>
      </c>
      <c r="BC201">
        <f t="shared" si="98"/>
        <v>0.3</v>
      </c>
      <c r="BE201" s="298">
        <v>35</v>
      </c>
      <c r="BF201" s="1657">
        <f t="shared" si="41"/>
        <v>989</v>
      </c>
      <c r="BG201" s="42">
        <f t="shared" si="42"/>
        <v>989</v>
      </c>
      <c r="BH201" s="301">
        <f t="shared" si="38"/>
        <v>772.22291731425685</v>
      </c>
      <c r="BI201" s="302">
        <f t="shared" si="39"/>
        <v>772.22291731425685</v>
      </c>
      <c r="BJ201" s="302">
        <f t="shared" si="43"/>
        <v>1.7770826857431246</v>
      </c>
      <c r="BK201" s="302" t="b">
        <f t="shared" si="40"/>
        <v>0</v>
      </c>
      <c r="BL201" s="304">
        <v>35</v>
      </c>
      <c r="DE201" s="307"/>
    </row>
    <row r="202" spans="1:109" ht="21" customHeight="1" thickBot="1" x14ac:dyDescent="0.35">
      <c r="B202" s="277">
        <v>8</v>
      </c>
      <c r="C202" s="278"/>
      <c r="D202" s="25">
        <v>1</v>
      </c>
      <c r="E202" s="257" t="s">
        <v>305</v>
      </c>
      <c r="F202" s="258">
        <f t="shared" si="84"/>
        <v>1.3</v>
      </c>
      <c r="G202" s="258">
        <f t="shared" si="99"/>
        <v>1.3</v>
      </c>
      <c r="H202" s="1632">
        <v>251.073172</v>
      </c>
      <c r="I202" s="1633">
        <v>65.636175100000003</v>
      </c>
      <c r="J202" s="474">
        <f t="shared" si="85"/>
        <v>64.636175100000003</v>
      </c>
      <c r="K202" s="474">
        <f t="shared" si="86"/>
        <v>32.318087550000001</v>
      </c>
      <c r="L202" s="474">
        <f t="shared" si="74"/>
        <v>0.53461916118589337</v>
      </c>
      <c r="M202" s="474">
        <f t="shared" si="75"/>
        <v>134.22852861092153</v>
      </c>
      <c r="N202" s="474">
        <f t="shared" si="76"/>
        <v>268.45705722184306</v>
      </c>
      <c r="O202" s="474">
        <f>+C195+D196+D197+D198+D199+D200+D201+(D202/2)</f>
        <v>6.5</v>
      </c>
      <c r="P202" s="474">
        <f t="shared" si="77"/>
        <v>0.11320321376790661</v>
      </c>
      <c r="Q202" s="474">
        <f t="shared" si="78"/>
        <v>30.390201636187438</v>
      </c>
      <c r="R202" s="474">
        <f t="shared" si="87"/>
        <v>295.26309681072854</v>
      </c>
      <c r="S202" s="474">
        <f t="shared" si="100"/>
        <v>325.65329844691598</v>
      </c>
      <c r="T202" s="476">
        <f t="shared" si="79"/>
        <v>325.65329844691598</v>
      </c>
      <c r="V202" s="1635">
        <f t="shared" si="80"/>
        <v>0</v>
      </c>
      <c r="W202" s="437"/>
      <c r="X202" s="437"/>
      <c r="Y202" s="437"/>
      <c r="Z202" s="437"/>
      <c r="AA202" s="437"/>
      <c r="AB202" s="295" t="str">
        <f t="shared" si="88"/>
        <v>use the locking pin</v>
      </c>
      <c r="AC202" s="1636"/>
      <c r="AD202" s="1636"/>
      <c r="AE202" s="1636"/>
      <c r="AF202" s="1637">
        <f>SUM(V202:V220)/($B$192-B201)</f>
        <v>0</v>
      </c>
      <c r="AG202" s="1638"/>
      <c r="AH202" s="450">
        <f>SUM(D196:D202)+$C$195</f>
        <v>7</v>
      </c>
      <c r="AI202" s="1639"/>
      <c r="AJ202" s="718">
        <f t="shared" si="89"/>
        <v>68.499008599999996</v>
      </c>
      <c r="AK202" s="1639">
        <f t="shared" si="81"/>
        <v>0.93041122620083849</v>
      </c>
      <c r="AL202" s="1639">
        <f t="shared" si="90"/>
        <v>270.41738720240846</v>
      </c>
      <c r="AM202" s="1640">
        <f t="shared" si="91"/>
        <v>64.181912400000002</v>
      </c>
      <c r="AN202" s="1639">
        <f t="shared" si="92"/>
        <v>0.90018132923109617</v>
      </c>
      <c r="AO202" s="1641">
        <f t="shared" si="93"/>
        <v>226.01138170522765</v>
      </c>
      <c r="AP202" s="287"/>
      <c r="AQ202" s="444">
        <f t="shared" si="101"/>
        <v>-175.8</v>
      </c>
      <c r="AR202" s="444"/>
      <c r="AS202" s="445">
        <f t="shared" si="94"/>
        <v>496.42876890763614</v>
      </c>
      <c r="AT202" s="445">
        <f t="shared" si="103"/>
        <v>-226.01138170522765</v>
      </c>
      <c r="AU202" s="445"/>
      <c r="AV202" s="447">
        <f t="shared" si="102"/>
        <v>226.01138170522765</v>
      </c>
      <c r="AW202" s="447">
        <f t="shared" si="95"/>
        <v>-95.762735054197535</v>
      </c>
      <c r="AX202" s="1597">
        <f t="shared" si="96"/>
        <v>-80.037264945802463</v>
      </c>
      <c r="AY202" s="1597">
        <f t="shared" si="82"/>
        <v>-121.13271402946987</v>
      </c>
      <c r="AZ202" s="1642">
        <f t="shared" si="83"/>
        <v>-124.94180063213727</v>
      </c>
      <c r="BA202" s="274">
        <f t="shared" si="97"/>
        <v>121.13271402946987</v>
      </c>
      <c r="BB202" s="275">
        <f t="shared" si="97"/>
        <v>124.94180063213727</v>
      </c>
      <c r="BC202">
        <f t="shared" si="98"/>
        <v>0.3</v>
      </c>
      <c r="BE202" s="298">
        <v>36</v>
      </c>
      <c r="BF202" s="1657">
        <f t="shared" si="41"/>
        <v>1032</v>
      </c>
      <c r="BG202" s="42">
        <f t="shared" si="42"/>
        <v>1032</v>
      </c>
      <c r="BH202" s="301">
        <f t="shared" si="38"/>
        <v>815.22291731425685</v>
      </c>
      <c r="BI202" s="302">
        <f t="shared" si="39"/>
        <v>815.22291731425685</v>
      </c>
      <c r="BJ202" s="302">
        <f t="shared" si="43"/>
        <v>1.7770826857431246</v>
      </c>
      <c r="BK202" s="302" t="b">
        <f t="shared" si="40"/>
        <v>0</v>
      </c>
      <c r="BL202" s="304">
        <v>36</v>
      </c>
    </row>
    <row r="203" spans="1:109" ht="21" customHeight="1" thickBot="1" x14ac:dyDescent="0.35">
      <c r="B203" s="277">
        <v>9</v>
      </c>
      <c r="C203" s="278"/>
      <c r="D203" s="25">
        <v>1</v>
      </c>
      <c r="E203" s="257" t="s">
        <v>305</v>
      </c>
      <c r="F203" s="258">
        <f t="shared" si="84"/>
        <v>1.3</v>
      </c>
      <c r="G203" s="258">
        <f t="shared" si="99"/>
        <v>1.3</v>
      </c>
      <c r="H203" s="1632">
        <v>251.073172</v>
      </c>
      <c r="I203" s="1633">
        <v>65.636175100000003</v>
      </c>
      <c r="J203" s="474">
        <f t="shared" si="85"/>
        <v>64.636175100000003</v>
      </c>
      <c r="K203" s="474">
        <f t="shared" si="86"/>
        <v>32.318087550000001</v>
      </c>
      <c r="L203" s="474">
        <f t="shared" si="74"/>
        <v>0.53461916118589337</v>
      </c>
      <c r="M203" s="474">
        <f t="shared" si="75"/>
        <v>134.22852861092153</v>
      </c>
      <c r="N203" s="474">
        <f t="shared" si="76"/>
        <v>268.45705722184306</v>
      </c>
      <c r="O203" s="474">
        <f>+C195+D196+D197+D198+D199+D200+D201+D202+(D203/2)</f>
        <v>7.5</v>
      </c>
      <c r="P203" s="474">
        <f t="shared" si="77"/>
        <v>0.13052619222005146</v>
      </c>
      <c r="Q203" s="474">
        <f t="shared" si="78"/>
        <v>35.040677453767643</v>
      </c>
      <c r="R203" s="474">
        <f t="shared" si="87"/>
        <v>325.65329844691598</v>
      </c>
      <c r="S203" s="474">
        <f t="shared" si="100"/>
        <v>360.69397590068365</v>
      </c>
      <c r="T203" s="476">
        <f t="shared" si="79"/>
        <v>360.69397590068365</v>
      </c>
      <c r="V203" s="1635">
        <f t="shared" si="80"/>
        <v>0</v>
      </c>
      <c r="W203" s="437"/>
      <c r="X203" s="437"/>
      <c r="Y203" s="437"/>
      <c r="Z203" s="437"/>
      <c r="AA203" s="437"/>
      <c r="AB203" s="295" t="str">
        <f t="shared" si="88"/>
        <v>use the locking pin</v>
      </c>
      <c r="AC203" s="1636"/>
      <c r="AD203" s="1636"/>
      <c r="AE203" s="1636"/>
      <c r="AF203" s="1637">
        <f>SUM(V203:V220)/($B$192-B202)</f>
        <v>0</v>
      </c>
      <c r="AG203" s="1638"/>
      <c r="AH203" s="450">
        <f>SUM(D196:D203)+$C$195</f>
        <v>8</v>
      </c>
      <c r="AI203" s="1639"/>
      <c r="AJ203" s="718">
        <f t="shared" si="89"/>
        <v>67.499008599999996</v>
      </c>
      <c r="AK203" s="1639">
        <f t="shared" si="81"/>
        <v>0.92387291072723265</v>
      </c>
      <c r="AL203" s="1639">
        <f t="shared" si="90"/>
        <v>268.5170724412709</v>
      </c>
      <c r="AM203" s="1640">
        <f t="shared" si="91"/>
        <v>65.181912400000002</v>
      </c>
      <c r="AN203" s="1639">
        <f t="shared" si="92"/>
        <v>0.9076450172391024</v>
      </c>
      <c r="AO203" s="1641">
        <f t="shared" si="93"/>
        <v>227.88531352821613</v>
      </c>
      <c r="AP203" s="287"/>
      <c r="AQ203" s="444">
        <f t="shared" si="101"/>
        <v>-205.1</v>
      </c>
      <c r="AR203" s="444"/>
      <c r="AS203" s="445">
        <f t="shared" si="94"/>
        <v>496.402385969487</v>
      </c>
      <c r="AT203" s="445">
        <f t="shared" si="103"/>
        <v>-227.88531352821613</v>
      </c>
      <c r="AU203" s="445"/>
      <c r="AV203" s="447">
        <f t="shared" si="102"/>
        <v>227.88531352821613</v>
      </c>
      <c r="AW203" s="447">
        <f t="shared" si="95"/>
        <v>-110.94397028359549</v>
      </c>
      <c r="AX203" s="1597">
        <f t="shared" si="96"/>
        <v>-94.156029716404532</v>
      </c>
      <c r="AY203" s="1597">
        <f t="shared" si="82"/>
        <v>-104.55728211590072</v>
      </c>
      <c r="AZ203" s="1642">
        <f t="shared" si="83"/>
        <v>-106.20668724158968</v>
      </c>
      <c r="BA203" s="274">
        <f t="shared" si="97"/>
        <v>104.55728211590072</v>
      </c>
      <c r="BB203" s="275">
        <f t="shared" si="97"/>
        <v>106.20668724158968</v>
      </c>
      <c r="BC203">
        <f t="shared" si="98"/>
        <v>0.3</v>
      </c>
      <c r="BE203" s="308">
        <v>37</v>
      </c>
      <c r="BF203" s="1679">
        <f t="shared" si="41"/>
        <v>1075</v>
      </c>
      <c r="BG203" s="42">
        <f t="shared" si="42"/>
        <v>1075</v>
      </c>
      <c r="BH203" s="301">
        <f t="shared" si="38"/>
        <v>858.22291731425685</v>
      </c>
      <c r="BI203" s="302">
        <f t="shared" si="39"/>
        <v>858.22291731425685</v>
      </c>
      <c r="BJ203" s="302">
        <f t="shared" si="43"/>
        <v>1.7770826857431246</v>
      </c>
      <c r="BK203" s="302" t="b">
        <f t="shared" si="40"/>
        <v>0</v>
      </c>
      <c r="BL203" s="310">
        <v>37</v>
      </c>
    </row>
    <row r="204" spans="1:109" ht="21" customHeight="1" thickBot="1" x14ac:dyDescent="0.25">
      <c r="B204" s="277">
        <v>10</v>
      </c>
      <c r="C204" s="278"/>
      <c r="D204" s="25">
        <v>1</v>
      </c>
      <c r="E204" s="257" t="s">
        <v>305</v>
      </c>
      <c r="F204" s="258">
        <f t="shared" si="84"/>
        <v>1.3</v>
      </c>
      <c r="G204" s="258">
        <f t="shared" si="99"/>
        <v>1.3</v>
      </c>
      <c r="H204" s="1632">
        <v>251.073172</v>
      </c>
      <c r="I204" s="1633">
        <v>65.636175100000003</v>
      </c>
      <c r="J204" s="474">
        <f t="shared" si="85"/>
        <v>64.636175100000003</v>
      </c>
      <c r="K204" s="474">
        <f t="shared" si="86"/>
        <v>32.318087550000001</v>
      </c>
      <c r="L204" s="474">
        <f t="shared" si="74"/>
        <v>0.53461916118589337</v>
      </c>
      <c r="M204" s="474">
        <f t="shared" si="75"/>
        <v>134.22852861092153</v>
      </c>
      <c r="N204" s="474">
        <f t="shared" si="76"/>
        <v>268.45705722184306</v>
      </c>
      <c r="O204" s="474">
        <f>+C195+D196+D197+D198+D199+D200+D201+D202+D203+(D204/2)</f>
        <v>8.5</v>
      </c>
      <c r="P204" s="474">
        <f t="shared" si="77"/>
        <v>0.14780941112961046</v>
      </c>
      <c r="Q204" s="474">
        <f t="shared" si="78"/>
        <v>39.680479541548763</v>
      </c>
      <c r="R204" s="474">
        <f t="shared" si="87"/>
        <v>360.69397590068365</v>
      </c>
      <c r="S204" s="474">
        <f t="shared" si="100"/>
        <v>400.37445544223243</v>
      </c>
      <c r="T204" s="476">
        <f t="shared" si="79"/>
        <v>400.37445544223243</v>
      </c>
      <c r="V204" s="1635">
        <f t="shared" si="80"/>
        <v>0</v>
      </c>
      <c r="W204" s="437"/>
      <c r="X204" s="437"/>
      <c r="Y204" s="437"/>
      <c r="Z204" s="437"/>
      <c r="AA204" s="437"/>
      <c r="AB204" s="295" t="str">
        <f t="shared" si="88"/>
        <v>use the locking pin</v>
      </c>
      <c r="AC204" s="1636"/>
      <c r="AD204" s="1636"/>
      <c r="AE204" s="1636"/>
      <c r="AF204" s="1637">
        <f>SUM(V204:V220)/($B$192-B203)</f>
        <v>0</v>
      </c>
      <c r="AG204" s="1638"/>
      <c r="AH204" s="450">
        <f>SUM(D196:D204)+$C$195</f>
        <v>9</v>
      </c>
      <c r="AI204" s="1639"/>
      <c r="AJ204" s="718">
        <f t="shared" si="89"/>
        <v>66.499008599999996</v>
      </c>
      <c r="AK204" s="1639">
        <f t="shared" si="81"/>
        <v>0.91705317461526137</v>
      </c>
      <c r="AL204" s="1639">
        <f t="shared" si="90"/>
        <v>266.53496477868435</v>
      </c>
      <c r="AM204" s="1640">
        <f t="shared" si="91"/>
        <v>66.181912400000002</v>
      </c>
      <c r="AN204" s="1639">
        <f t="shared" si="92"/>
        <v>0.91483222778230289</v>
      </c>
      <c r="AO204" s="1641">
        <f t="shared" si="93"/>
        <v>229.68982927712932</v>
      </c>
      <c r="AP204" s="287"/>
      <c r="AQ204" s="444">
        <f t="shared" si="101"/>
        <v>-234.4</v>
      </c>
      <c r="AR204" s="444"/>
      <c r="AS204" s="445">
        <f t="shared" si="94"/>
        <v>496.22479405581367</v>
      </c>
      <c r="AT204" s="445">
        <f t="shared" si="103"/>
        <v>-229.68982927712932</v>
      </c>
      <c r="AU204" s="445"/>
      <c r="AV204" s="447">
        <f t="shared" si="102"/>
        <v>229.68982927712932</v>
      </c>
      <c r="AW204" s="447">
        <f t="shared" si="95"/>
        <v>-125.90220499360326</v>
      </c>
      <c r="AX204" s="1597">
        <f t="shared" si="96"/>
        <v>-108.49779500639674</v>
      </c>
      <c r="AY204" s="1597">
        <f t="shared" si="82"/>
        <v>-92.135002723656541</v>
      </c>
      <c r="AZ204" s="1642">
        <f t="shared" si="83"/>
        <v>-92.167771699050903</v>
      </c>
      <c r="BA204" s="274">
        <f t="shared" si="97"/>
        <v>92.135002723656541</v>
      </c>
      <c r="BB204" s="275">
        <f t="shared" si="97"/>
        <v>92.167771699050903</v>
      </c>
      <c r="BC204">
        <f t="shared" si="98"/>
        <v>0.3</v>
      </c>
    </row>
    <row r="205" spans="1:109" ht="21" customHeight="1" thickBot="1" x14ac:dyDescent="0.25">
      <c r="A205" s="296"/>
      <c r="B205" s="277">
        <v>11</v>
      </c>
      <c r="C205" s="278"/>
      <c r="D205" s="25">
        <v>1</v>
      </c>
      <c r="E205" s="257" t="s">
        <v>305</v>
      </c>
      <c r="F205" s="258">
        <f t="shared" si="84"/>
        <v>1.3</v>
      </c>
      <c r="G205" s="258">
        <f t="shared" si="99"/>
        <v>1.3</v>
      </c>
      <c r="H205" s="1632">
        <v>251.073172</v>
      </c>
      <c r="I205" s="1633">
        <v>65.636175100000003</v>
      </c>
      <c r="J205" s="474">
        <f t="shared" si="85"/>
        <v>64.636175100000003</v>
      </c>
      <c r="K205" s="474">
        <f t="shared" si="86"/>
        <v>32.318087550000001</v>
      </c>
      <c r="L205" s="474">
        <f t="shared" si="74"/>
        <v>0.53461916118589337</v>
      </c>
      <c r="M205" s="474">
        <f t="shared" si="75"/>
        <v>134.22852861092153</v>
      </c>
      <c r="N205" s="474">
        <f t="shared" si="76"/>
        <v>268.45705722184306</v>
      </c>
      <c r="O205" s="474">
        <f>+C195+D196+D197+D198+D199+D200+D201+D202+D203+D204+(D205/2)</f>
        <v>9.5</v>
      </c>
      <c r="P205" s="474">
        <f t="shared" si="77"/>
        <v>0.16504760586067749</v>
      </c>
      <c r="Q205" s="474">
        <f t="shared" si="78"/>
        <v>44.308194570868096</v>
      </c>
      <c r="R205" s="474">
        <f t="shared" si="87"/>
        <v>400.37445544223243</v>
      </c>
      <c r="S205" s="474">
        <f t="shared" si="100"/>
        <v>444.68265001310056</v>
      </c>
      <c r="T205" s="476">
        <f t="shared" si="79"/>
        <v>444.68265001310056</v>
      </c>
      <c r="V205" s="1635">
        <f t="shared" si="80"/>
        <v>0</v>
      </c>
      <c r="W205" s="437"/>
      <c r="X205" s="437"/>
      <c r="Y205" s="437"/>
      <c r="Z205" s="437"/>
      <c r="AA205" s="437"/>
      <c r="AB205" s="295" t="str">
        <f t="shared" si="88"/>
        <v>use the locking pin</v>
      </c>
      <c r="AC205" s="1636"/>
      <c r="AD205" s="1636"/>
      <c r="AE205" s="1636"/>
      <c r="AF205" s="1637">
        <f>SUM(V205:V220)/($B$192-B204)</f>
        <v>0</v>
      </c>
      <c r="AG205" s="1638"/>
      <c r="AH205" s="450">
        <f>SUM(D196:D205)+$C$195</f>
        <v>10</v>
      </c>
      <c r="AI205" s="1639"/>
      <c r="AJ205" s="718">
        <f t="shared" si="89"/>
        <v>65.499008599999996</v>
      </c>
      <c r="AK205" s="1639">
        <f t="shared" si="81"/>
        <v>0.90995409522260873</v>
      </c>
      <c r="AL205" s="1639">
        <f t="shared" si="90"/>
        <v>264.4716679838441</v>
      </c>
      <c r="AM205" s="1640">
        <f t="shared" si="91"/>
        <v>67.181912400000002</v>
      </c>
      <c r="AN205" s="1639">
        <f t="shared" si="92"/>
        <v>0.92174077156674206</v>
      </c>
      <c r="AO205" s="1641">
        <f t="shared" si="93"/>
        <v>231.42437927898933</v>
      </c>
      <c r="AP205" s="287"/>
      <c r="AQ205" s="444">
        <f t="shared" si="101"/>
        <v>-263.7</v>
      </c>
      <c r="AR205" s="444"/>
      <c r="AS205" s="445">
        <f t="shared" si="94"/>
        <v>495.89604726283346</v>
      </c>
      <c r="AT205" s="445">
        <f t="shared" si="103"/>
        <v>-231.42437927898933</v>
      </c>
      <c r="AU205" s="445"/>
      <c r="AV205" s="447">
        <f t="shared" si="102"/>
        <v>231.42437927898933</v>
      </c>
      <c r="AW205" s="447">
        <f t="shared" si="95"/>
        <v>-140.63669035533903</v>
      </c>
      <c r="AX205" s="1597">
        <f t="shared" si="96"/>
        <v>-123.06330964466092</v>
      </c>
      <c r="AY205" s="1597">
        <f t="shared" si="82"/>
        <v>-82.482032040791879</v>
      </c>
      <c r="AZ205" s="1642">
        <f t="shared" si="83"/>
        <v>-81.25898798654525</v>
      </c>
      <c r="BA205" s="274">
        <f t="shared" si="97"/>
        <v>82.482032040791879</v>
      </c>
      <c r="BB205" s="275">
        <f t="shared" si="97"/>
        <v>81.25898798654525</v>
      </c>
      <c r="BC205">
        <f t="shared" si="98"/>
        <v>0.3</v>
      </c>
    </row>
    <row r="206" spans="1:109" ht="21" customHeight="1" thickBot="1" x14ac:dyDescent="0.25">
      <c r="A206" s="296"/>
      <c r="B206" s="277">
        <v>12</v>
      </c>
      <c r="C206" s="278"/>
      <c r="D206" s="25">
        <v>1</v>
      </c>
      <c r="E206" s="257" t="s">
        <v>305</v>
      </c>
      <c r="F206" s="258">
        <f t="shared" si="84"/>
        <v>1.3</v>
      </c>
      <c r="G206" s="258">
        <f t="shared" si="99"/>
        <v>1.3</v>
      </c>
      <c r="H206" s="1632">
        <v>251.073172</v>
      </c>
      <c r="I206" s="1633">
        <v>65.636175100000003</v>
      </c>
      <c r="J206" s="474">
        <f t="shared" si="85"/>
        <v>64.636175100000003</v>
      </c>
      <c r="K206" s="474">
        <f t="shared" si="86"/>
        <v>32.318087550000001</v>
      </c>
      <c r="L206" s="474">
        <f t="shared" si="74"/>
        <v>0.53461916118589337</v>
      </c>
      <c r="M206" s="474">
        <f t="shared" si="75"/>
        <v>134.22852861092153</v>
      </c>
      <c r="N206" s="474">
        <f t="shared" si="76"/>
        <v>268.45705722184306</v>
      </c>
      <c r="O206" s="474">
        <f>+C195+D196+D197+D198+D199+D200+D201+D202+D203+D204+D205+(D206/2)</f>
        <v>10.5</v>
      </c>
      <c r="P206" s="474">
        <f t="shared" si="77"/>
        <v>0.18223552549214728</v>
      </c>
      <c r="Q206" s="474">
        <f t="shared" si="78"/>
        <v>48.922412894898024</v>
      </c>
      <c r="R206" s="474">
        <f t="shared" si="87"/>
        <v>444.68265001310056</v>
      </c>
      <c r="S206" s="474">
        <f t="shared" si="100"/>
        <v>493.60506290799856</v>
      </c>
      <c r="T206" s="476">
        <f t="shared" si="79"/>
        <v>493.60506290799856</v>
      </c>
      <c r="V206" s="1635">
        <f t="shared" si="80"/>
        <v>0</v>
      </c>
      <c r="W206" s="437"/>
      <c r="X206" s="437"/>
      <c r="Y206" s="437"/>
      <c r="Z206" s="437"/>
      <c r="AA206" s="437"/>
      <c r="AB206" s="295" t="str">
        <f t="shared" si="88"/>
        <v>use the locking pin</v>
      </c>
      <c r="AC206" s="1636"/>
      <c r="AD206" s="1636"/>
      <c r="AE206" s="1636"/>
      <c r="AF206" s="1637">
        <f>SUM(V206:V220)/($B$192-B205)</f>
        <v>0</v>
      </c>
      <c r="AG206" s="1638"/>
      <c r="AH206" s="450">
        <f>SUM(D196:D206)+$C$195</f>
        <v>11</v>
      </c>
      <c r="AI206" s="1639"/>
      <c r="AJ206" s="718">
        <f t="shared" si="89"/>
        <v>64.499008599999996</v>
      </c>
      <c r="AK206" s="1639">
        <f t="shared" si="81"/>
        <v>0.902577834997628</v>
      </c>
      <c r="AL206" s="1639">
        <f t="shared" si="90"/>
        <v>262.32781055694142</v>
      </c>
      <c r="AM206" s="1640">
        <f t="shared" si="91"/>
        <v>68.181912400000002</v>
      </c>
      <c r="AN206" s="1639">
        <f t="shared" si="92"/>
        <v>0.9283685441830587</v>
      </c>
      <c r="AO206" s="1641">
        <f t="shared" si="93"/>
        <v>233.08843517306269</v>
      </c>
      <c r="AP206" s="287"/>
      <c r="AQ206" s="444">
        <f t="shared" si="101"/>
        <v>-293</v>
      </c>
      <c r="AR206" s="444"/>
      <c r="AS206" s="445">
        <f t="shared" si="94"/>
        <v>495.41624573000411</v>
      </c>
      <c r="AT206" s="445">
        <f t="shared" si="103"/>
        <v>-233.08843517306269</v>
      </c>
      <c r="AU206" s="445"/>
      <c r="AV206" s="447">
        <f t="shared" si="102"/>
        <v>233.08843517306269</v>
      </c>
      <c r="AW206" s="447">
        <f t="shared" si="95"/>
        <v>-155.14640296045667</v>
      </c>
      <c r="AX206" s="1597">
        <f t="shared" si="96"/>
        <v>-137.85359703954333</v>
      </c>
      <c r="AY206" s="1597">
        <f t="shared" si="82"/>
        <v>-74.76808858376549</v>
      </c>
      <c r="AZ206" s="1642">
        <f t="shared" si="83"/>
        <v>-72.540725920495916</v>
      </c>
      <c r="BA206" s="274">
        <f t="shared" si="97"/>
        <v>74.76808858376549</v>
      </c>
      <c r="BB206" s="275">
        <f t="shared" si="97"/>
        <v>72.540725920495916</v>
      </c>
      <c r="BC206">
        <f t="shared" si="98"/>
        <v>0.3</v>
      </c>
    </row>
    <row r="207" spans="1:109" ht="21" customHeight="1" thickBot="1" x14ac:dyDescent="0.25">
      <c r="B207" s="277">
        <v>13</v>
      </c>
      <c r="C207" s="278"/>
      <c r="D207" s="25">
        <v>1</v>
      </c>
      <c r="E207" s="257" t="s">
        <v>305</v>
      </c>
      <c r="F207" s="258">
        <f t="shared" si="84"/>
        <v>1.3</v>
      </c>
      <c r="G207" s="258">
        <f t="shared" si="99"/>
        <v>1.3</v>
      </c>
      <c r="H207" s="1632">
        <v>251.073172</v>
      </c>
      <c r="I207" s="1633">
        <v>65.636175100000003</v>
      </c>
      <c r="J207" s="474">
        <f t="shared" si="85"/>
        <v>64.636175100000003</v>
      </c>
      <c r="K207" s="474">
        <f t="shared" si="86"/>
        <v>32.318087550000001</v>
      </c>
      <c r="L207" s="474">
        <f t="shared" si="74"/>
        <v>0.53461916118589337</v>
      </c>
      <c r="M207" s="474">
        <f t="shared" si="75"/>
        <v>134.22852861092153</v>
      </c>
      <c r="N207" s="474">
        <f t="shared" si="76"/>
        <v>268.45705722184306</v>
      </c>
      <c r="O207" s="474">
        <f>+C195+D196+D197+D198+D199+D200+D201+D202+D203+D204+D205+D206+(D207/2)</f>
        <v>11.5</v>
      </c>
      <c r="P207" s="474">
        <f t="shared" si="77"/>
        <v>0.19936793441719697</v>
      </c>
      <c r="Q207" s="474">
        <f t="shared" si="78"/>
        <v>53.521728978038098</v>
      </c>
      <c r="R207" s="474">
        <f t="shared" si="87"/>
        <v>493.60506290799856</v>
      </c>
      <c r="S207" s="474">
        <f t="shared" si="100"/>
        <v>547.1267918860367</v>
      </c>
      <c r="T207" s="476">
        <f t="shared" si="79"/>
        <v>547.1267918860367</v>
      </c>
      <c r="V207" s="1635">
        <f t="shared" si="80"/>
        <v>0</v>
      </c>
      <c r="W207" s="437"/>
      <c r="X207" s="437"/>
      <c r="Y207" s="437"/>
      <c r="Z207" s="437"/>
      <c r="AA207" s="437"/>
      <c r="AB207" s="295" t="str">
        <f t="shared" si="88"/>
        <v>use the locking pin</v>
      </c>
      <c r="AC207" s="1636"/>
      <c r="AD207" s="1636"/>
      <c r="AE207" s="1636"/>
      <c r="AF207" s="1637">
        <f>SUM(V207:V220)/($B$192-B206)</f>
        <v>0</v>
      </c>
      <c r="AG207" s="1638"/>
      <c r="AH207" s="450">
        <f>SUM(D196:D207)+$C$195</f>
        <v>12</v>
      </c>
      <c r="AI207" s="1639"/>
      <c r="AJ207" s="718">
        <f t="shared" si="89"/>
        <v>63.499008599999996</v>
      </c>
      <c r="AK207" s="1639">
        <f t="shared" si="81"/>
        <v>0.89492664082063922</v>
      </c>
      <c r="AL207" s="1639">
        <f t="shared" si="90"/>
        <v>260.1040455377165</v>
      </c>
      <c r="AM207" s="1640">
        <f t="shared" si="91"/>
        <v>69.181912400000002</v>
      </c>
      <c r="AN207" s="1639">
        <f t="shared" si="92"/>
        <v>0.93471352674750907</v>
      </c>
      <c r="AO207" s="1641">
        <f t="shared" si="93"/>
        <v>234.68149007180395</v>
      </c>
      <c r="AP207" s="287"/>
      <c r="AQ207" s="444">
        <f t="shared" si="101"/>
        <v>-322.3</v>
      </c>
      <c r="AR207" s="444"/>
      <c r="AS207" s="445">
        <f t="shared" si="94"/>
        <v>494.78553560952048</v>
      </c>
      <c r="AT207" s="445">
        <f t="shared" si="103"/>
        <v>-234.68149007180395</v>
      </c>
      <c r="AU207" s="445"/>
      <c r="AV207" s="447">
        <f t="shared" si="102"/>
        <v>234.68149007180395</v>
      </c>
      <c r="AW207" s="447">
        <f t="shared" si="95"/>
        <v>-169.43004159071657</v>
      </c>
      <c r="AX207" s="1597">
        <f t="shared" si="96"/>
        <v>-152.86995840928341</v>
      </c>
      <c r="AY207" s="1597">
        <f t="shared" si="82"/>
        <v>-68.464835935185107</v>
      </c>
      <c r="AZ207" s="1642">
        <f t="shared" si="83"/>
        <v>-65.415076343690075</v>
      </c>
      <c r="BA207" s="274">
        <f t="shared" si="97"/>
        <v>68.464835935185107</v>
      </c>
      <c r="BB207" s="275">
        <f t="shared" si="97"/>
        <v>65.415076343690075</v>
      </c>
      <c r="BC207">
        <f t="shared" si="98"/>
        <v>0.3</v>
      </c>
    </row>
    <row r="208" spans="1:109" ht="21" customHeight="1" thickBot="1" x14ac:dyDescent="0.25">
      <c r="B208" s="277">
        <v>14</v>
      </c>
      <c r="C208" s="278"/>
      <c r="D208" s="25">
        <v>1</v>
      </c>
      <c r="E208" s="257" t="s">
        <v>305</v>
      </c>
      <c r="F208" s="258">
        <f t="shared" si="84"/>
        <v>1.3</v>
      </c>
      <c r="G208" s="258">
        <f t="shared" si="99"/>
        <v>1.3</v>
      </c>
      <c r="H208" s="1632">
        <v>251.073172</v>
      </c>
      <c r="I208" s="1633">
        <v>65.636175100000003</v>
      </c>
      <c r="J208" s="474">
        <f t="shared" si="85"/>
        <v>64.636175100000003</v>
      </c>
      <c r="K208" s="474">
        <f t="shared" si="86"/>
        <v>32.318087550000001</v>
      </c>
      <c r="L208" s="474">
        <f t="shared" si="74"/>
        <v>0.53461916118589337</v>
      </c>
      <c r="M208" s="474">
        <f t="shared" si="75"/>
        <v>134.22852861092153</v>
      </c>
      <c r="N208" s="474">
        <f t="shared" si="76"/>
        <v>268.45705722184306</v>
      </c>
      <c r="O208" s="474">
        <f>+C195+D196+D197+D198+D199+D200+D201+D202+D203+D204+D205+D206+D207+(D208/2)</f>
        <v>12.5</v>
      </c>
      <c r="P208" s="474">
        <f t="shared" si="77"/>
        <v>0.21643961393810265</v>
      </c>
      <c r="Q208" s="474">
        <f t="shared" si="78"/>
        <v>58.104741824054848</v>
      </c>
      <c r="R208" s="474">
        <f t="shared" si="87"/>
        <v>547.1267918860367</v>
      </c>
      <c r="S208" s="474">
        <f t="shared" si="100"/>
        <v>605.23153371009153</v>
      </c>
      <c r="T208" s="476">
        <f t="shared" si="79"/>
        <v>605.23153371009153</v>
      </c>
      <c r="V208" s="1635">
        <f t="shared" si="80"/>
        <v>0</v>
      </c>
      <c r="W208" s="437"/>
      <c r="X208" s="437"/>
      <c r="Y208" s="437"/>
      <c r="Z208" s="437"/>
      <c r="AA208" s="437"/>
      <c r="AB208" s="295" t="str">
        <f t="shared" si="88"/>
        <v>use the locking pin</v>
      </c>
      <c r="AC208" s="1636"/>
      <c r="AD208" s="1636"/>
      <c r="AE208" s="1636"/>
      <c r="AF208" s="1637">
        <f>SUM(V208:V220)/($B$192-B207)</f>
        <v>0</v>
      </c>
      <c r="AG208" s="1638"/>
      <c r="AH208" s="450">
        <f>SUM(D196:D208)+$C$195</f>
        <v>13</v>
      </c>
      <c r="AI208" s="1639"/>
      <c r="AJ208" s="718">
        <f t="shared" si="89"/>
        <v>62.499008599999996</v>
      </c>
      <c r="AK208" s="1639">
        <f t="shared" si="81"/>
        <v>0.88700284331950752</v>
      </c>
      <c r="AL208" s="1639">
        <f t="shared" si="90"/>
        <v>257.8010503065363</v>
      </c>
      <c r="AM208" s="1640">
        <f t="shared" si="91"/>
        <v>70.181912400000002</v>
      </c>
      <c r="AN208" s="1639">
        <f t="shared" si="92"/>
        <v>0.94077378651693899</v>
      </c>
      <c r="AO208" s="1641">
        <f t="shared" si="93"/>
        <v>236.20305871525869</v>
      </c>
      <c r="AP208" s="287"/>
      <c r="AQ208" s="444">
        <f t="shared" si="101"/>
        <v>-351.6</v>
      </c>
      <c r="AR208" s="444"/>
      <c r="AS208" s="445">
        <f t="shared" si="94"/>
        <v>494.00410902179499</v>
      </c>
      <c r="AT208" s="445">
        <f t="shared" si="103"/>
        <v>-236.20305871525869</v>
      </c>
      <c r="AU208" s="445"/>
      <c r="AV208" s="447">
        <f t="shared" si="102"/>
        <v>236.20305871525869</v>
      </c>
      <c r="AW208" s="447">
        <f t="shared" si="95"/>
        <v>-183.4860229548801</v>
      </c>
      <c r="AX208" s="1597">
        <f t="shared" si="96"/>
        <v>-168.11397704511992</v>
      </c>
      <c r="AY208" s="1597">
        <f t="shared" si="82"/>
        <v>-63.220074277006283</v>
      </c>
      <c r="AZ208" s="1642">
        <f t="shared" si="83"/>
        <v>-59.483453879126962</v>
      </c>
      <c r="BA208" s="274">
        <f t="shared" si="97"/>
        <v>63.220074277006283</v>
      </c>
      <c r="BB208" s="275">
        <f t="shared" si="97"/>
        <v>59.483453879126962</v>
      </c>
      <c r="BC208">
        <f t="shared" si="98"/>
        <v>0.3</v>
      </c>
    </row>
    <row r="209" spans="2:129" ht="21" customHeight="1" thickBot="1" x14ac:dyDescent="0.25">
      <c r="B209" s="277">
        <v>15</v>
      </c>
      <c r="C209" s="278"/>
      <c r="D209" s="25">
        <v>1</v>
      </c>
      <c r="E209" s="257" t="s">
        <v>305</v>
      </c>
      <c r="F209" s="258">
        <f t="shared" si="84"/>
        <v>1.3</v>
      </c>
      <c r="G209" s="258">
        <f t="shared" si="99"/>
        <v>1.3</v>
      </c>
      <c r="H209" s="1632">
        <v>251.073172</v>
      </c>
      <c r="I209" s="1633">
        <v>65.636175100000003</v>
      </c>
      <c r="J209" s="474">
        <f t="shared" si="85"/>
        <v>64.636175100000003</v>
      </c>
      <c r="K209" s="474">
        <f t="shared" si="86"/>
        <v>32.318087550000001</v>
      </c>
      <c r="L209" s="474">
        <f t="shared" si="74"/>
        <v>0.53461916118589337</v>
      </c>
      <c r="M209" s="474">
        <f t="shared" si="75"/>
        <v>134.22852861092153</v>
      </c>
      <c r="N209" s="474">
        <f t="shared" si="76"/>
        <v>268.45705722184306</v>
      </c>
      <c r="O209" s="474">
        <f>+C195+D196+D197+D198+D199+D200+D201+D202+D203+D204+D205+D206+D207+D208+(D209/2)</f>
        <v>13.5</v>
      </c>
      <c r="P209" s="474">
        <f t="shared" si="77"/>
        <v>0.23344536385590517</v>
      </c>
      <c r="Q209" s="474">
        <f t="shared" si="78"/>
        <v>62.670055402838706</v>
      </c>
      <c r="R209" s="474">
        <f t="shared" si="87"/>
        <v>605.23153371009153</v>
      </c>
      <c r="S209" s="474">
        <f t="shared" si="100"/>
        <v>667.9015891129302</v>
      </c>
      <c r="T209" s="476">
        <f t="shared" si="79"/>
        <v>667.9015891129302</v>
      </c>
      <c r="V209" s="1635">
        <f t="shared" si="80"/>
        <v>0</v>
      </c>
      <c r="W209" s="437"/>
      <c r="X209" s="437"/>
      <c r="Y209" s="437"/>
      <c r="Z209" s="437"/>
      <c r="AA209" s="437"/>
      <c r="AB209" s="295" t="str">
        <f t="shared" si="88"/>
        <v>use the locking pin</v>
      </c>
      <c r="AC209" s="1636"/>
      <c r="AD209" s="1636"/>
      <c r="AE209" s="1636"/>
      <c r="AF209" s="1637">
        <f>SUM(V209:V220)/($B$192-B208)</f>
        <v>0</v>
      </c>
      <c r="AG209" s="1638"/>
      <c r="AH209" s="450">
        <f>SUM(D196:D209)+$C$195</f>
        <v>14</v>
      </c>
      <c r="AI209" s="1639"/>
      <c r="AJ209" s="718">
        <f t="shared" si="89"/>
        <v>61.499008599999996</v>
      </c>
      <c r="AK209" s="1639">
        <f t="shared" si="81"/>
        <v>0.87880885615971105</v>
      </c>
      <c r="AL209" s="1639">
        <f t="shared" si="90"/>
        <v>255.4195263780579</v>
      </c>
      <c r="AM209" s="1640">
        <f t="shared" si="91"/>
        <v>71.181912400000002</v>
      </c>
      <c r="AN209" s="1639">
        <f t="shared" si="92"/>
        <v>0.94654747747751544</v>
      </c>
      <c r="AO209" s="1641">
        <f t="shared" si="93"/>
        <v>237.65267761887836</v>
      </c>
      <c r="AP209" s="287"/>
      <c r="AQ209" s="444">
        <f t="shared" si="101"/>
        <v>-380.90000000000003</v>
      </c>
      <c r="AR209" s="444"/>
      <c r="AS209" s="445">
        <f t="shared" si="94"/>
        <v>493.07220399693625</v>
      </c>
      <c r="AT209" s="445">
        <f t="shared" si="103"/>
        <v>-237.65267761887836</v>
      </c>
      <c r="AU209" s="445"/>
      <c r="AV209" s="447">
        <f t="shared" si="102"/>
        <v>237.65267761887836</v>
      </c>
      <c r="AW209" s="447">
        <f t="shared" si="95"/>
        <v>-197.31247636503713</v>
      </c>
      <c r="AX209" s="1597">
        <f t="shared" si="96"/>
        <v>-183.58752363496288</v>
      </c>
      <c r="AY209" s="1597">
        <f t="shared" si="82"/>
        <v>-58.78999753943318</v>
      </c>
      <c r="AZ209" s="1642">
        <f t="shared" si="83"/>
        <v>-54.469932389760579</v>
      </c>
      <c r="BA209" s="274">
        <f t="shared" si="97"/>
        <v>58.78999753943318</v>
      </c>
      <c r="BB209" s="275">
        <f t="shared" si="97"/>
        <v>54.469932389760579</v>
      </c>
      <c r="BC209">
        <f t="shared" si="98"/>
        <v>0.3</v>
      </c>
    </row>
    <row r="210" spans="2:129" ht="21" customHeight="1" thickBot="1" x14ac:dyDescent="0.25">
      <c r="B210" s="277">
        <v>16</v>
      </c>
      <c r="C210" s="278"/>
      <c r="D210" s="25">
        <v>1</v>
      </c>
      <c r="E210" s="257" t="s">
        <v>305</v>
      </c>
      <c r="F210" s="258">
        <f t="shared" si="84"/>
        <v>1.3</v>
      </c>
      <c r="G210" s="258">
        <f t="shared" si="99"/>
        <v>1.3</v>
      </c>
      <c r="H210" s="1632">
        <v>251.073172</v>
      </c>
      <c r="I210" s="1633">
        <v>65.636175100000003</v>
      </c>
      <c r="J210" s="474">
        <f t="shared" si="85"/>
        <v>64.636175100000003</v>
      </c>
      <c r="K210" s="474">
        <f t="shared" si="86"/>
        <v>32.318087550000001</v>
      </c>
      <c r="L210" s="474">
        <f t="shared" si="74"/>
        <v>0.53461916118589337</v>
      </c>
      <c r="M210" s="474">
        <f t="shared" si="75"/>
        <v>134.22852861092153</v>
      </c>
      <c r="N210" s="474">
        <f t="shared" si="76"/>
        <v>268.45705722184306</v>
      </c>
      <c r="O210" s="474">
        <f>+C195+D196+D197+D198+D199+D200+D201+D202+D203+D204+D205+D206+D207+D208+D209+(D210/2)</f>
        <v>14.5</v>
      </c>
      <c r="P210" s="474">
        <f t="shared" si="77"/>
        <v>0.25038000405444116</v>
      </c>
      <c r="Q210" s="474">
        <f t="shared" si="78"/>
        <v>67.216279075648401</v>
      </c>
      <c r="R210" s="474">
        <f t="shared" si="87"/>
        <v>667.9015891129302</v>
      </c>
      <c r="S210" s="474">
        <f t="shared" si="100"/>
        <v>735.11786818857854</v>
      </c>
      <c r="T210" s="476">
        <f t="shared" si="79"/>
        <v>735.11786818857854</v>
      </c>
      <c r="V210" s="1635">
        <f t="shared" si="80"/>
        <v>0</v>
      </c>
      <c r="W210" s="437"/>
      <c r="X210" s="437"/>
      <c r="Y210" s="437"/>
      <c r="Z210" s="437"/>
      <c r="AA210" s="437"/>
      <c r="AB210" s="295" t="str">
        <f t="shared" si="88"/>
        <v>use the locking pin</v>
      </c>
      <c r="AC210" s="1636"/>
      <c r="AD210" s="1636"/>
      <c r="AE210" s="1636"/>
      <c r="AF210" s="1637">
        <f>SUM(V210:V220)/($B$192-B209)</f>
        <v>0</v>
      </c>
      <c r="AG210" s="1638"/>
      <c r="AH210" s="450">
        <f>SUM(D196:D210)+$C$195</f>
        <v>15</v>
      </c>
      <c r="AI210" s="1639"/>
      <c r="AJ210" s="718">
        <f t="shared" si="89"/>
        <v>60.499008599999996</v>
      </c>
      <c r="AK210" s="1639">
        <f t="shared" si="81"/>
        <v>0.87034717530911587</v>
      </c>
      <c r="AL210" s="1639">
        <f t="shared" si="90"/>
        <v>252.96019918754024</v>
      </c>
      <c r="AM210" s="1640">
        <f t="shared" si="91"/>
        <v>72.181912400000002</v>
      </c>
      <c r="AN210" s="1639">
        <f t="shared" si="92"/>
        <v>0.95203284090704099</v>
      </c>
      <c r="AO210" s="1641">
        <f t="shared" si="93"/>
        <v>239.02990521470213</v>
      </c>
      <c r="AP210" s="287"/>
      <c r="AQ210" s="444">
        <f t="shared" si="101"/>
        <v>-410.2</v>
      </c>
      <c r="AR210" s="444"/>
      <c r="AS210" s="445">
        <f t="shared" si="94"/>
        <v>491.99010440224237</v>
      </c>
      <c r="AT210" s="445">
        <f t="shared" si="103"/>
        <v>-239.02990521470213</v>
      </c>
      <c r="AU210" s="445"/>
      <c r="AV210" s="447">
        <f t="shared" si="102"/>
        <v>239.02990521470213</v>
      </c>
      <c r="AW210" s="447">
        <f t="shared" si="95"/>
        <v>-210.90723731689766</v>
      </c>
      <c r="AX210" s="1597">
        <f t="shared" si="96"/>
        <v>-199.2927626831023</v>
      </c>
      <c r="AY210" s="1597">
        <f t="shared" si="82"/>
        <v>-55.00048337635031</v>
      </c>
      <c r="AZ210" s="1642">
        <f t="shared" si="83"/>
        <v>-50.17743677878115</v>
      </c>
      <c r="BA210" s="274">
        <f t="shared" si="97"/>
        <v>55.00048337635031</v>
      </c>
      <c r="BB210" s="275">
        <f t="shared" si="97"/>
        <v>50.17743677878115</v>
      </c>
      <c r="BC210">
        <f t="shared" si="98"/>
        <v>0.3</v>
      </c>
    </row>
    <row r="211" spans="2:129" ht="21" customHeight="1" thickBot="1" x14ac:dyDescent="0.25">
      <c r="B211" s="277">
        <v>17</v>
      </c>
      <c r="C211" s="278"/>
      <c r="D211" s="25">
        <v>1</v>
      </c>
      <c r="E211" s="257" t="s">
        <v>305</v>
      </c>
      <c r="F211" s="258">
        <f t="shared" si="84"/>
        <v>1.3</v>
      </c>
      <c r="G211" s="258">
        <f t="shared" si="99"/>
        <v>1.3</v>
      </c>
      <c r="H211" s="1632">
        <v>251.073172</v>
      </c>
      <c r="I211" s="1633">
        <v>65.636175100000003</v>
      </c>
      <c r="J211" s="474">
        <f t="shared" si="85"/>
        <v>64.636175100000003</v>
      </c>
      <c r="K211" s="474">
        <f t="shared" si="86"/>
        <v>32.318087550000001</v>
      </c>
      <c r="L211" s="474">
        <f t="shared" si="74"/>
        <v>0.53461916118589337</v>
      </c>
      <c r="M211" s="474">
        <f t="shared" si="75"/>
        <v>134.22852861092153</v>
      </c>
      <c r="N211" s="474">
        <f t="shared" si="76"/>
        <v>268.45705722184306</v>
      </c>
      <c r="O211" s="474">
        <f>+C195+D196+D197+D198+D199+D200+D201+D202+D203+D204+D205+D206+D207+D208+D209+D210+(D211/2)</f>
        <v>15.5</v>
      </c>
      <c r="P211" s="474">
        <f t="shared" si="77"/>
        <v>0.26723837607825657</v>
      </c>
      <c r="Q211" s="474">
        <f t="shared" si="78"/>
        <v>71.742028018712944</v>
      </c>
      <c r="R211" s="474">
        <f t="shared" si="87"/>
        <v>735.11786818857854</v>
      </c>
      <c r="S211" s="474">
        <f t="shared" si="100"/>
        <v>806.85989620729151</v>
      </c>
      <c r="T211" s="476">
        <f t="shared" si="79"/>
        <v>806.85989620729151</v>
      </c>
      <c r="V211" s="1635">
        <f t="shared" si="80"/>
        <v>0</v>
      </c>
      <c r="W211" s="437"/>
      <c r="X211" s="437"/>
      <c r="Y211" s="437"/>
      <c r="Z211" s="437"/>
      <c r="AA211" s="437"/>
      <c r="AB211" s="295" t="str">
        <f t="shared" si="88"/>
        <v>use the locking pin</v>
      </c>
      <c r="AC211" s="1636"/>
      <c r="AD211" s="1636"/>
      <c r="AE211" s="1636"/>
      <c r="AF211" s="1637">
        <f>SUM(V211:V220)/($B$192-B210)</f>
        <v>0</v>
      </c>
      <c r="AG211" s="1638"/>
      <c r="AH211" s="450">
        <f>SUM(D196:D211)+$C$195</f>
        <v>16</v>
      </c>
      <c r="AI211" s="1639"/>
      <c r="AJ211" s="718">
        <f t="shared" si="89"/>
        <v>59.499008599999996</v>
      </c>
      <c r="AK211" s="1639">
        <f t="shared" si="81"/>
        <v>0.86162037827767901</v>
      </c>
      <c r="AL211" s="1639">
        <f t="shared" si="90"/>
        <v>250.42381786986954</v>
      </c>
      <c r="AM211" s="1640">
        <f t="shared" si="91"/>
        <v>73.181912400000002</v>
      </c>
      <c r="AN211" s="1639">
        <f t="shared" si="92"/>
        <v>0.95722820591067703</v>
      </c>
      <c r="AO211" s="1641">
        <f t="shared" si="93"/>
        <v>240.33432198586283</v>
      </c>
      <c r="AP211" s="287"/>
      <c r="AQ211" s="444">
        <f t="shared" si="101"/>
        <v>-439.5</v>
      </c>
      <c r="AR211" s="444"/>
      <c r="AS211" s="445">
        <f t="shared" si="94"/>
        <v>490.75813985573234</v>
      </c>
      <c r="AT211" s="445">
        <f t="shared" si="103"/>
        <v>-240.33432198586283</v>
      </c>
      <c r="AU211" s="445"/>
      <c r="AV211" s="447">
        <f t="shared" si="102"/>
        <v>240.33432198586283</v>
      </c>
      <c r="AW211" s="447">
        <f t="shared" si="95"/>
        <v>-224.26783993060664</v>
      </c>
      <c r="AX211" s="1597">
        <f t="shared" si="96"/>
        <v>-215.23216006939336</v>
      </c>
      <c r="AY211" s="1597">
        <f t="shared" si="82"/>
        <v>-51.723867334653477</v>
      </c>
      <c r="AZ211" s="1642">
        <f t="shared" si="83"/>
        <v>-46.461458161159015</v>
      </c>
      <c r="BA211" s="274">
        <f t="shared" si="97"/>
        <v>51.723867334653477</v>
      </c>
      <c r="BB211" s="275">
        <f t="shared" si="97"/>
        <v>46.461458161159015</v>
      </c>
      <c r="BC211">
        <f t="shared" si="98"/>
        <v>0.3</v>
      </c>
      <c r="BD211" s="136"/>
      <c r="BP211" s="126"/>
      <c r="BR211" s="126"/>
      <c r="BT211" s="126"/>
      <c r="DF211" s="126"/>
      <c r="DG211" s="126"/>
      <c r="DH211" s="126"/>
      <c r="DI211" s="126"/>
      <c r="DJ211" s="126"/>
      <c r="DK211" s="126"/>
      <c r="DL211" s="203"/>
      <c r="DM211" s="203"/>
      <c r="DN211" s="203"/>
      <c r="DO211" s="203"/>
      <c r="DP211" s="203"/>
      <c r="DQ211" s="203"/>
      <c r="DR211" s="203"/>
      <c r="DS211" s="203"/>
      <c r="DT211" s="203"/>
      <c r="DU211" s="203"/>
      <c r="DV211" s="203"/>
      <c r="DW211" s="203"/>
      <c r="DX211" s="203"/>
      <c r="DY211" s="203"/>
    </row>
    <row r="212" spans="2:129" ht="21" customHeight="1" thickBot="1" x14ac:dyDescent="0.25">
      <c r="B212" s="277">
        <v>18</v>
      </c>
      <c r="C212" s="278"/>
      <c r="D212" s="25">
        <v>1</v>
      </c>
      <c r="E212" s="257" t="s">
        <v>305</v>
      </c>
      <c r="F212" s="258">
        <f t="shared" si="84"/>
        <v>1.3</v>
      </c>
      <c r="G212" s="258">
        <f t="shared" si="99"/>
        <v>1.3</v>
      </c>
      <c r="H212" s="1632">
        <v>251.073172</v>
      </c>
      <c r="I212" s="1633">
        <v>65.636175100000003</v>
      </c>
      <c r="J212" s="474">
        <f t="shared" si="85"/>
        <v>64.636175100000003</v>
      </c>
      <c r="K212" s="474">
        <f t="shared" si="86"/>
        <v>32.318087550000001</v>
      </c>
      <c r="L212" s="474">
        <f t="shared" si="74"/>
        <v>0.53461916118589337</v>
      </c>
      <c r="M212" s="474">
        <f t="shared" si="75"/>
        <v>134.22852861092153</v>
      </c>
      <c r="N212" s="474">
        <f t="shared" si="76"/>
        <v>268.45705722184306</v>
      </c>
      <c r="O212" s="474">
        <f>+C195+D196+D197+D198+D199+D200+D201+D202+D203+D204+D205+D206+D207+D208+D209+D210+D211+(D212/2)</f>
        <v>16.5</v>
      </c>
      <c r="P212" s="474">
        <f t="shared" si="77"/>
        <v>0.28401534470392237</v>
      </c>
      <c r="Q212" s="474">
        <f t="shared" si="78"/>
        <v>76.245923645062362</v>
      </c>
      <c r="R212" s="474">
        <f t="shared" si="87"/>
        <v>806.85989620729151</v>
      </c>
      <c r="S212" s="474">
        <f t="shared" si="100"/>
        <v>883.10581985235387</v>
      </c>
      <c r="T212" s="476">
        <f t="shared" si="79"/>
        <v>883.10581985235387</v>
      </c>
      <c r="V212" s="1635">
        <f t="shared" si="80"/>
        <v>0</v>
      </c>
      <c r="W212" s="437"/>
      <c r="X212" s="437"/>
      <c r="Y212" s="437"/>
      <c r="Z212" s="437"/>
      <c r="AA212" s="437"/>
      <c r="AB212" s="295" t="str">
        <f t="shared" si="88"/>
        <v>use the locking pin</v>
      </c>
      <c r="AC212" s="1636"/>
      <c r="AD212" s="1636"/>
      <c r="AE212" s="1636"/>
      <c r="AF212" s="1637">
        <f>SUM(V212:V220)/($B$192-B211)</f>
        <v>0</v>
      </c>
      <c r="AG212" s="1638"/>
      <c r="AH212" s="450">
        <f>SUM(D196:D212)+$C$195</f>
        <v>17</v>
      </c>
      <c r="AI212" s="1639"/>
      <c r="AJ212" s="718">
        <f t="shared" si="89"/>
        <v>58.499008599999996</v>
      </c>
      <c r="AK212" s="1639">
        <f t="shared" si="81"/>
        <v>0.85263112333231494</v>
      </c>
      <c r="AL212" s="1639">
        <f t="shared" si="90"/>
        <v>247.81115503136576</v>
      </c>
      <c r="AM212" s="1640">
        <f t="shared" si="91"/>
        <v>74.181912400000002</v>
      </c>
      <c r="AN212" s="1639">
        <f t="shared" si="92"/>
        <v>0.96213198992991489</v>
      </c>
      <c r="AO212" s="1641">
        <f t="shared" si="93"/>
        <v>241.56553059437579</v>
      </c>
      <c r="AP212" s="287"/>
      <c r="AQ212" s="444">
        <f t="shared" si="101"/>
        <v>-468.8</v>
      </c>
      <c r="AR212" s="444"/>
      <c r="AS212" s="445">
        <f t="shared" si="94"/>
        <v>489.37668562574152</v>
      </c>
      <c r="AT212" s="445">
        <f t="shared" si="103"/>
        <v>-241.56553059437579</v>
      </c>
      <c r="AU212" s="445"/>
      <c r="AV212" s="447">
        <f t="shared" si="102"/>
        <v>241.56553059437579</v>
      </c>
      <c r="AW212" s="447">
        <f t="shared" si="95"/>
        <v>-237.39150820018841</v>
      </c>
      <c r="AX212" s="1597">
        <f t="shared" si="96"/>
        <v>-231.40849179981157</v>
      </c>
      <c r="AY212" s="1597">
        <f t="shared" si="82"/>
        <v>-48.864426903669646</v>
      </c>
      <c r="AZ212" s="1642">
        <f t="shared" si="83"/>
        <v>-43.213625922815609</v>
      </c>
      <c r="BA212" s="274">
        <f t="shared" si="97"/>
        <v>48.864426903669646</v>
      </c>
      <c r="BB212" s="275">
        <f t="shared" si="97"/>
        <v>43.213625922815609</v>
      </c>
      <c r="BC212">
        <f t="shared" si="98"/>
        <v>0.3</v>
      </c>
      <c r="BD212" s="458"/>
      <c r="BP212" s="126"/>
      <c r="BT212" s="126"/>
      <c r="DF212" s="126"/>
      <c r="DG212" s="126"/>
      <c r="DH212" s="126"/>
      <c r="DI212" s="126"/>
      <c r="DJ212" s="126"/>
      <c r="DK212" s="126"/>
      <c r="DL212" s="203"/>
      <c r="DM212" s="203"/>
      <c r="DN212" s="203"/>
      <c r="DO212" s="203"/>
      <c r="DP212" s="203"/>
      <c r="DQ212" s="203"/>
      <c r="DR212" s="203"/>
      <c r="DS212" s="203"/>
      <c r="DT212" s="203"/>
      <c r="DU212" s="203"/>
      <c r="DV212" s="203"/>
      <c r="DW212" s="203"/>
      <c r="DX212" s="203"/>
      <c r="DY212" s="203"/>
    </row>
    <row r="213" spans="2:129" ht="21" customHeight="1" thickBot="1" x14ac:dyDescent="0.25">
      <c r="B213" s="277">
        <v>19</v>
      </c>
      <c r="C213" s="278"/>
      <c r="D213" s="25">
        <v>1</v>
      </c>
      <c r="E213" s="257" t="s">
        <v>305</v>
      </c>
      <c r="F213" s="258">
        <f t="shared" si="84"/>
        <v>1.3</v>
      </c>
      <c r="G213" s="258">
        <f t="shared" si="99"/>
        <v>1.3</v>
      </c>
      <c r="H213" s="1632">
        <v>251.073172</v>
      </c>
      <c r="I213" s="1633">
        <v>65.636175100000003</v>
      </c>
      <c r="J213" s="474">
        <f t="shared" si="85"/>
        <v>64.636175100000003</v>
      </c>
      <c r="K213" s="474">
        <f t="shared" si="86"/>
        <v>32.318087550000001</v>
      </c>
      <c r="L213" s="474">
        <f t="shared" si="74"/>
        <v>0.53461916118589337</v>
      </c>
      <c r="M213" s="474">
        <f t="shared" si="75"/>
        <v>134.22852861092153</v>
      </c>
      <c r="N213" s="474">
        <f t="shared" si="76"/>
        <v>268.45705722184306</v>
      </c>
      <c r="O213" s="474">
        <f>+C195+D196+D197+D198+D199+D200+D201+D202+D203+D204+D205+D206+D207+D208+D209+D210+D211+D212+(D213/2)</f>
        <v>17.5</v>
      </c>
      <c r="P213" s="474">
        <f t="shared" si="77"/>
        <v>0.30070579950427284</v>
      </c>
      <c r="Q213" s="474">
        <f t="shared" si="78"/>
        <v>80.726594024458635</v>
      </c>
      <c r="R213" s="474">
        <f t="shared" si="87"/>
        <v>883.10581985235387</v>
      </c>
      <c r="S213" s="474">
        <f t="shared" si="100"/>
        <v>963.83241387681255</v>
      </c>
      <c r="T213" s="476">
        <f t="shared" si="79"/>
        <v>963.83241387681255</v>
      </c>
      <c r="V213" s="1635">
        <f t="shared" si="80"/>
        <v>0</v>
      </c>
      <c r="W213" s="437"/>
      <c r="X213" s="437"/>
      <c r="Y213" s="437"/>
      <c r="Z213" s="437"/>
      <c r="AA213" s="437"/>
      <c r="AB213" s="258" t="str">
        <f t="shared" si="88"/>
        <v>use the locking pin</v>
      </c>
      <c r="AC213" s="1636"/>
      <c r="AD213" s="1636"/>
      <c r="AE213" s="1636"/>
      <c r="AF213" s="1637">
        <f>SUM(V213:V220)/($B$192-B212)</f>
        <v>0</v>
      </c>
      <c r="AG213" s="1638"/>
      <c r="AH213" s="450">
        <f>SUM(D196:D213)+$C$195</f>
        <v>18</v>
      </c>
      <c r="AI213" s="1639"/>
      <c r="AJ213" s="718">
        <f t="shared" si="89"/>
        <v>57.499008599999996</v>
      </c>
      <c r="AK213" s="1639">
        <f t="shared" si="81"/>
        <v>0.84338214868716044</v>
      </c>
      <c r="AL213" s="1639">
        <f t="shared" si="90"/>
        <v>245.12300651443877</v>
      </c>
      <c r="AM213" s="1640">
        <f t="shared" si="91"/>
        <v>75.181912400000002</v>
      </c>
      <c r="AN213" s="1639">
        <f t="shared" si="92"/>
        <v>0.96674269922463818</v>
      </c>
      <c r="AO213" s="1641">
        <f t="shared" si="93"/>
        <v>242.72315600217186</v>
      </c>
      <c r="AP213" s="287"/>
      <c r="AQ213" s="444">
        <f t="shared" si="101"/>
        <v>-498.1</v>
      </c>
      <c r="AR213" s="444"/>
      <c r="AS213" s="445">
        <f t="shared" si="94"/>
        <v>487.84616251661066</v>
      </c>
      <c r="AT213" s="445">
        <f t="shared" si="103"/>
        <v>-242.72315600217186</v>
      </c>
      <c r="AU213" s="445"/>
      <c r="AV213" s="447">
        <f t="shared" si="102"/>
        <v>242.72315600217186</v>
      </c>
      <c r="AW213" s="447">
        <f t="shared" si="95"/>
        <v>-250.27514599068869</v>
      </c>
      <c r="AX213" s="1597">
        <f t="shared" si="96"/>
        <v>-247.82485400931134</v>
      </c>
      <c r="AY213" s="1597">
        <f t="shared" si="82"/>
        <v>-46.348989045966114</v>
      </c>
      <c r="AZ213" s="1642">
        <f t="shared" si="83"/>
        <v>-40.351077941618712</v>
      </c>
      <c r="BA213" s="274">
        <f t="shared" si="97"/>
        <v>46.348989045966114</v>
      </c>
      <c r="BB213" s="275">
        <f t="shared" si="97"/>
        <v>40.351077941618712</v>
      </c>
      <c r="BC213">
        <f t="shared" si="98"/>
        <v>0.3</v>
      </c>
      <c r="BD213" s="144"/>
      <c r="BP213" s="126"/>
      <c r="BQ213" s="311"/>
      <c r="BR213" s="311"/>
      <c r="BS213" s="311"/>
      <c r="BT213" s="311"/>
      <c r="BU213" s="311"/>
      <c r="BV213" s="311"/>
      <c r="BW213" s="311"/>
      <c r="BX213" s="311"/>
      <c r="BY213" s="311"/>
      <c r="BZ213" s="311"/>
      <c r="CA213" s="311"/>
      <c r="CB213" s="311"/>
      <c r="CC213" s="311"/>
      <c r="CD213" s="311"/>
      <c r="CE213" s="311"/>
      <c r="CF213" s="311"/>
      <c r="CG213" s="311"/>
      <c r="CH213" s="311"/>
      <c r="CI213" s="311"/>
      <c r="CJ213" s="311"/>
      <c r="CK213" s="311"/>
      <c r="CL213" s="311"/>
      <c r="CM213" s="311"/>
      <c r="CN213" s="311"/>
      <c r="DF213" s="126"/>
      <c r="DG213" s="126"/>
      <c r="DH213" s="126"/>
      <c r="DI213" s="126"/>
      <c r="DJ213" s="126"/>
      <c r="DK213" s="126"/>
      <c r="DL213" s="203"/>
      <c r="DM213" s="203"/>
      <c r="DN213" s="203"/>
      <c r="DO213" s="203"/>
      <c r="DP213" s="203"/>
      <c r="DQ213" s="203"/>
      <c r="DR213" s="203"/>
      <c r="DS213" s="203"/>
      <c r="DT213" s="203"/>
      <c r="DU213" s="203"/>
      <c r="DV213" s="203"/>
      <c r="DW213" s="203"/>
      <c r="DX213" s="203"/>
      <c r="DY213" s="203"/>
    </row>
    <row r="214" spans="2:129" ht="21" customHeight="1" thickBot="1" x14ac:dyDescent="0.25">
      <c r="B214" s="277">
        <v>20</v>
      </c>
      <c r="C214" s="278"/>
      <c r="D214" s="25">
        <v>1</v>
      </c>
      <c r="E214" s="257" t="s">
        <v>305</v>
      </c>
      <c r="F214" s="258">
        <f t="shared" si="84"/>
        <v>1.3</v>
      </c>
      <c r="G214" s="258">
        <f t="shared" si="99"/>
        <v>1.3</v>
      </c>
      <c r="H214" s="1632">
        <v>251.073172</v>
      </c>
      <c r="I214" s="1633">
        <v>65.636175100000003</v>
      </c>
      <c r="J214" s="474">
        <f t="shared" si="85"/>
        <v>64.636175100000003</v>
      </c>
      <c r="K214" s="474">
        <f t="shared" si="86"/>
        <v>32.318087550000001</v>
      </c>
      <c r="L214" s="474">
        <f t="shared" si="74"/>
        <v>0.53461916118589337</v>
      </c>
      <c r="M214" s="474">
        <f t="shared" si="75"/>
        <v>134.22852861092153</v>
      </c>
      <c r="N214" s="474">
        <f t="shared" si="76"/>
        <v>268.45705722184306</v>
      </c>
      <c r="O214" s="64">
        <f>+C195+D196+D197+D198+D199+D200+D201+D202+D203+D204+D205+D206+D207+D208+D209+D210+D211+D212+D213+(D214/2)</f>
        <v>18.5</v>
      </c>
      <c r="P214" s="474">
        <f t="shared" si="77"/>
        <v>0.31730465640509181</v>
      </c>
      <c r="Q214" s="474">
        <f t="shared" si="78"/>
        <v>85.182674301298988</v>
      </c>
      <c r="R214" s="474">
        <f t="shared" si="87"/>
        <v>963.83241387681255</v>
      </c>
      <c r="S214" s="474">
        <f t="shared" si="100"/>
        <v>1049.0150881781115</v>
      </c>
      <c r="T214" s="476">
        <f t="shared" si="79"/>
        <v>1049.0150881781115</v>
      </c>
      <c r="V214" s="1635">
        <f t="shared" si="80"/>
        <v>0</v>
      </c>
      <c r="W214" s="437"/>
      <c r="X214" s="437"/>
      <c r="Y214" s="437"/>
      <c r="Z214" s="437"/>
      <c r="AA214" s="437"/>
      <c r="AB214" s="281" t="str">
        <f t="shared" si="88"/>
        <v>use the locking pin</v>
      </c>
      <c r="AC214" s="1636"/>
      <c r="AD214" s="1636"/>
      <c r="AE214" s="1636"/>
      <c r="AF214" s="1637">
        <f>SUM(V214:V220)/($B$192-B213)</f>
        <v>0</v>
      </c>
      <c r="AG214" s="1638"/>
      <c r="AH214" s="450">
        <f>SUM(D196:D214)+$C$195</f>
        <v>19</v>
      </c>
      <c r="AI214" s="1639"/>
      <c r="AJ214" s="718">
        <f t="shared" si="89"/>
        <v>56.499008599999996</v>
      </c>
      <c r="AK214" s="1639">
        <f t="shared" si="81"/>
        <v>0.83387627166948974</v>
      </c>
      <c r="AL214" s="1639">
        <f t="shared" si="90"/>
        <v>242.36019115516766</v>
      </c>
      <c r="AM214" s="1640">
        <f t="shared" si="91"/>
        <v>76.181912400000002</v>
      </c>
      <c r="AN214" s="1639">
        <f t="shared" si="92"/>
        <v>0.97105892932813076</v>
      </c>
      <c r="AO214" s="1641">
        <f t="shared" si="93"/>
        <v>243.80684558533761</v>
      </c>
      <c r="AP214" s="287"/>
      <c r="AQ214" s="444">
        <f t="shared" si="101"/>
        <v>-527.4</v>
      </c>
      <c r="AR214" s="444"/>
      <c r="AS214" s="445">
        <f t="shared" si="94"/>
        <v>486.1670367405053</v>
      </c>
      <c r="AT214" s="445">
        <f t="shared" si="103"/>
        <v>-243.80684558533761</v>
      </c>
      <c r="AU214" s="445"/>
      <c r="AV214" s="447">
        <f t="shared" si="102"/>
        <v>243.80684558533761</v>
      </c>
      <c r="AW214" s="447">
        <f t="shared" si="95"/>
        <v>-262.91532571234472</v>
      </c>
      <c r="AX214" s="1597">
        <f t="shared" si="96"/>
        <v>-264.48467428765525</v>
      </c>
      <c r="AY214" s="1597">
        <f t="shared" si="82"/>
        <v>-44.120668768817012</v>
      </c>
      <c r="AZ214" s="1642">
        <f t="shared" si="83"/>
        <v>-37.809374123220216</v>
      </c>
      <c r="BA214" s="274">
        <f t="shared" si="97"/>
        <v>44.120668768817012</v>
      </c>
      <c r="BB214" s="275">
        <f t="shared" si="97"/>
        <v>37.809374123220216</v>
      </c>
      <c r="BC214">
        <f t="shared" si="98"/>
        <v>0.3</v>
      </c>
      <c r="BD214" s="144"/>
      <c r="BP214" s="126"/>
      <c r="DF214" s="126"/>
      <c r="DG214" s="126"/>
      <c r="DH214" s="126"/>
      <c r="DI214" s="126"/>
      <c r="DJ214" s="126"/>
      <c r="DK214" s="126"/>
      <c r="DL214" s="203"/>
      <c r="DM214" s="203"/>
      <c r="DN214" s="203"/>
      <c r="DO214" s="203"/>
      <c r="DP214" s="203"/>
      <c r="DQ214" s="203"/>
      <c r="DR214" s="203"/>
      <c r="DS214" s="203"/>
      <c r="DT214" s="203"/>
      <c r="DU214" s="203"/>
      <c r="DV214" s="203"/>
      <c r="DW214" s="203"/>
      <c r="DX214" s="203"/>
      <c r="DY214" s="203"/>
    </row>
    <row r="215" spans="2:129" ht="19" thickBot="1" x14ac:dyDescent="0.25">
      <c r="B215" s="277">
        <v>21</v>
      </c>
      <c r="C215" s="1644"/>
      <c r="D215" s="25">
        <v>1</v>
      </c>
      <c r="E215" s="257" t="s">
        <v>305</v>
      </c>
      <c r="F215" s="258">
        <f t="shared" si="84"/>
        <v>1.3</v>
      </c>
      <c r="G215" s="258">
        <f t="shared" si="99"/>
        <v>1.3</v>
      </c>
      <c r="H215" s="1632">
        <v>251.073172</v>
      </c>
      <c r="I215" s="1633">
        <v>65.636175100000003</v>
      </c>
      <c r="J215" s="474">
        <f t="shared" si="85"/>
        <v>64.636175100000003</v>
      </c>
      <c r="K215" s="474">
        <f t="shared" si="86"/>
        <v>32.318087550000001</v>
      </c>
      <c r="L215" s="474">
        <f t="shared" si="74"/>
        <v>0.53461916118589337</v>
      </c>
      <c r="M215" s="474">
        <f t="shared" si="75"/>
        <v>134.22852861092153</v>
      </c>
      <c r="N215" s="474">
        <f t="shared" si="76"/>
        <v>268.45705722184306</v>
      </c>
      <c r="O215" s="1645">
        <f>+C195+D196+D197+D198+D199+D200+D201+D202+D203+D204+D205+D206+D207+D208+D209+D210+D211+D212+D213+D214+(D215/2)</f>
        <v>19.5</v>
      </c>
      <c r="P215" s="474">
        <f t="shared" si="77"/>
        <v>0.33380685923377057</v>
      </c>
      <c r="Q215" s="474">
        <f t="shared" si="78"/>
        <v>89.612807110364059</v>
      </c>
      <c r="R215" s="474">
        <f t="shared" si="87"/>
        <v>1049.0150881781115</v>
      </c>
      <c r="S215" s="474">
        <f t="shared" si="100"/>
        <v>1138.6278952884754</v>
      </c>
      <c r="T215" s="476">
        <f t="shared" si="79"/>
        <v>1138.6278952884754</v>
      </c>
      <c r="V215" s="1635">
        <f t="shared" si="80"/>
        <v>0</v>
      </c>
      <c r="AB215" s="281" t="str">
        <f t="shared" si="88"/>
        <v>use the locking pin</v>
      </c>
      <c r="AF215" s="1637">
        <f>SUM(V215:V220)/($B$192-B214)</f>
        <v>0</v>
      </c>
      <c r="AG215" s="1646"/>
      <c r="AH215" s="450">
        <f>SUM(D196:D215)+$C$195</f>
        <v>20</v>
      </c>
      <c r="AI215" s="1639"/>
      <c r="AJ215" s="718">
        <f t="shared" si="89"/>
        <v>55.499008599999996</v>
      </c>
      <c r="AK215" s="1639">
        <f t="shared" si="81"/>
        <v>0.82411638786152763</v>
      </c>
      <c r="AL215" s="1639">
        <f t="shared" si="90"/>
        <v>239.52355053387478</v>
      </c>
      <c r="AM215" s="1640">
        <f t="shared" si="91"/>
        <v>77.181912400000002</v>
      </c>
      <c r="AN215" s="1639">
        <f t="shared" si="92"/>
        <v>0.97507936547489105</v>
      </c>
      <c r="AO215" s="1641">
        <f t="shared" si="93"/>
        <v>244.81626924152818</v>
      </c>
      <c r="AP215" s="287"/>
      <c r="AQ215" s="444">
        <f t="shared" si="101"/>
        <v>-556.70000000000005</v>
      </c>
      <c r="AR215" s="444"/>
      <c r="AS215" s="445">
        <f t="shared" si="94"/>
        <v>484.33981977540293</v>
      </c>
      <c r="AT215" s="64">
        <f t="shared" si="103"/>
        <v>-244.81626924152818</v>
      </c>
      <c r="AU215" s="445"/>
      <c r="AV215" s="447">
        <f t="shared" si="102"/>
        <v>244.81626924152818</v>
      </c>
      <c r="AW215" s="447">
        <f t="shared" si="95"/>
        <v>-275.30827559055854</v>
      </c>
      <c r="AX215" s="1597">
        <f t="shared" si="96"/>
        <v>-281.39172440944151</v>
      </c>
      <c r="AY215" s="1597">
        <f t="shared" si="82"/>
        <v>-42.134585221301691</v>
      </c>
      <c r="AZ215" s="1642">
        <f t="shared" si="83"/>
        <v>-35.537647814579692</v>
      </c>
      <c r="BA215" s="274">
        <f t="shared" si="97"/>
        <v>42.134585221301691</v>
      </c>
      <c r="BB215" s="275">
        <f t="shared" si="97"/>
        <v>35.537647814579692</v>
      </c>
      <c r="BC215">
        <f t="shared" si="98"/>
        <v>0.3</v>
      </c>
      <c r="BD215" s="545"/>
      <c r="BQ215" s="236"/>
      <c r="BR215" s="236"/>
      <c r="BS215" s="236"/>
      <c r="BT215" s="236"/>
      <c r="BU215" s="236"/>
      <c r="BV215" s="236"/>
      <c r="CA215" s="236"/>
      <c r="CB215" s="236"/>
      <c r="CC215" s="236"/>
      <c r="CD215" s="236"/>
      <c r="CI215" s="236"/>
      <c r="CJ215" s="236"/>
      <c r="CK215" s="236"/>
      <c r="CL215" s="236"/>
      <c r="CM215" s="236"/>
      <c r="CN215" s="236"/>
      <c r="DE215" s="126"/>
    </row>
    <row r="216" spans="2:129" ht="19" thickBot="1" x14ac:dyDescent="0.25">
      <c r="B216" s="277">
        <v>22</v>
      </c>
      <c r="C216" s="1644"/>
      <c r="D216" s="25">
        <v>1</v>
      </c>
      <c r="E216" s="257" t="s">
        <v>305</v>
      </c>
      <c r="F216" s="258">
        <f t="shared" si="84"/>
        <v>1.3</v>
      </c>
      <c r="G216" s="258">
        <f t="shared" si="99"/>
        <v>1.3</v>
      </c>
      <c r="H216" s="1632">
        <v>251.073172</v>
      </c>
      <c r="I216" s="1633">
        <v>65.636175100000003</v>
      </c>
      <c r="J216" s="474">
        <f t="shared" si="85"/>
        <v>64.636175100000003</v>
      </c>
      <c r="K216" s="474">
        <f t="shared" si="86"/>
        <v>32.318087550000001</v>
      </c>
      <c r="L216" s="474">
        <f t="shared" si="74"/>
        <v>0.53461916118589337</v>
      </c>
      <c r="M216" s="474">
        <f t="shared" si="75"/>
        <v>134.22852861092153</v>
      </c>
      <c r="N216" s="474">
        <f t="shared" si="76"/>
        <v>268.45705722184306</v>
      </c>
      <c r="O216" s="1645">
        <f>+C195+D196+D197+D198+D199+D200+D201+D202+D203+D204+D205+D206+D207+D208+D209+D210+D211+D212+D213+D214+D215+(D216/2)</f>
        <v>20.5</v>
      </c>
      <c r="P216" s="474">
        <f t="shared" si="77"/>
        <v>0.35020738125946715</v>
      </c>
      <c r="Q216" s="474">
        <f t="shared" si="78"/>
        <v>94.015642990284576</v>
      </c>
      <c r="R216" s="474">
        <f t="shared" si="87"/>
        <v>1138.6278952884754</v>
      </c>
      <c r="S216" s="474">
        <f t="shared" si="100"/>
        <v>1232.6435382787599</v>
      </c>
      <c r="T216" s="476">
        <f t="shared" si="79"/>
        <v>1232.6435382787599</v>
      </c>
      <c r="V216" s="1635">
        <f t="shared" si="80"/>
        <v>0</v>
      </c>
      <c r="AB216" s="281" t="str">
        <f t="shared" si="88"/>
        <v>use the locking pin</v>
      </c>
      <c r="AF216" s="1637">
        <f>SUM(V216:V220)/($B$192-B215)</f>
        <v>0</v>
      </c>
      <c r="AG216" s="1646"/>
      <c r="AH216" s="450">
        <f>SUM(D196:D216)+$C$195</f>
        <v>21</v>
      </c>
      <c r="AI216" s="1639"/>
      <c r="AJ216" s="718">
        <f t="shared" si="89"/>
        <v>54.499008599999996</v>
      </c>
      <c r="AK216" s="1639">
        <f t="shared" si="81"/>
        <v>0.81410547021842816</v>
      </c>
      <c r="AL216" s="1639">
        <f t="shared" si="90"/>
        <v>236.61394871877258</v>
      </c>
      <c r="AM216" s="1640">
        <f t="shared" si="91"/>
        <v>78.181912400000002</v>
      </c>
      <c r="AN216" s="1639">
        <f t="shared" si="92"/>
        <v>0.97880278300112167</v>
      </c>
      <c r="AO216" s="1641">
        <f t="shared" si="93"/>
        <v>245.7511194905193</v>
      </c>
      <c r="AP216" s="287"/>
      <c r="AQ216" s="444">
        <f t="shared" si="101"/>
        <v>-586</v>
      </c>
      <c r="AR216" s="444"/>
      <c r="AS216" s="445">
        <f t="shared" si="94"/>
        <v>482.36506820929185</v>
      </c>
      <c r="AT216" s="64">
        <f t="shared" si="103"/>
        <v>-245.7511194905193</v>
      </c>
      <c r="AU216" s="445"/>
      <c r="AV216" s="447">
        <f t="shared" si="102"/>
        <v>245.7511194905193</v>
      </c>
      <c r="AW216" s="447">
        <f t="shared" si="95"/>
        <v>-287.44986543892895</v>
      </c>
      <c r="AX216" s="1597">
        <f t="shared" si="96"/>
        <v>-298.55013456107105</v>
      </c>
      <c r="AY216" s="1597">
        <f t="shared" si="82"/>
        <v>-40.354863211666782</v>
      </c>
      <c r="AZ216" s="1642">
        <f t="shared" si="83"/>
        <v>-33.49521183335596</v>
      </c>
      <c r="BA216" s="274">
        <f t="shared" ref="BA216:BB220" si="104">ABS(AY216)</f>
        <v>40.354863211666782</v>
      </c>
      <c r="BB216" s="275">
        <f t="shared" si="104"/>
        <v>33.49521183335596</v>
      </c>
      <c r="BC216">
        <f t="shared" si="98"/>
        <v>0.3</v>
      </c>
      <c r="BD216" s="545"/>
      <c r="DE216" s="126"/>
    </row>
    <row r="217" spans="2:129" ht="19" thickBot="1" x14ac:dyDescent="0.25">
      <c r="B217" s="277">
        <v>23</v>
      </c>
      <c r="C217" s="1644"/>
      <c r="D217" s="25">
        <v>1</v>
      </c>
      <c r="E217" s="257" t="s">
        <v>305</v>
      </c>
      <c r="F217" s="258">
        <f t="shared" si="84"/>
        <v>1.3</v>
      </c>
      <c r="G217" s="258">
        <f t="shared" si="99"/>
        <v>1.3</v>
      </c>
      <c r="H217" s="1632">
        <v>251.073172</v>
      </c>
      <c r="I217" s="1633">
        <v>65.636175100000003</v>
      </c>
      <c r="J217" s="474">
        <f t="shared" si="85"/>
        <v>64.636175100000003</v>
      </c>
      <c r="K217" s="474">
        <f t="shared" si="86"/>
        <v>32.318087550000001</v>
      </c>
      <c r="L217" s="474">
        <f t="shared" si="74"/>
        <v>0.53461916118589337</v>
      </c>
      <c r="M217" s="474">
        <f t="shared" si="75"/>
        <v>134.22852861092153</v>
      </c>
      <c r="N217" s="474">
        <f t="shared" si="76"/>
        <v>268.45705722184306</v>
      </c>
      <c r="O217" s="1645">
        <f>+C195+D196+D197+D198+D199+D200+D201+D202+D203+D204+D205+D206+D207+D208+D209+D210+D211+D212+D213+D214+D215+D216+(D217/2)</f>
        <v>21.5</v>
      </c>
      <c r="P217" s="474">
        <f t="shared" si="77"/>
        <v>0.36650122672429686</v>
      </c>
      <c r="Q217" s="474">
        <f t="shared" si="78"/>
        <v>98.389840794600232</v>
      </c>
      <c r="R217" s="474">
        <f t="shared" si="87"/>
        <v>1232.6435382787599</v>
      </c>
      <c r="S217" s="474">
        <f t="shared" si="100"/>
        <v>1331.0333790733603</v>
      </c>
      <c r="T217" s="476">
        <f t="shared" si="79"/>
        <v>1331.0333790733603</v>
      </c>
      <c r="V217" s="1635">
        <f t="shared" si="80"/>
        <v>0</v>
      </c>
      <c r="AB217" s="281" t="str">
        <f t="shared" si="88"/>
        <v>use the locking pin</v>
      </c>
      <c r="AF217" s="1637">
        <f>SUM(V217:V220)/($B$192-B216)</f>
        <v>0</v>
      </c>
      <c r="AG217" s="1646"/>
      <c r="AH217" s="450">
        <f>SUM(D196:D217)+$C$195</f>
        <v>22</v>
      </c>
      <c r="AI217" s="1639"/>
      <c r="AJ217" s="718">
        <f t="shared" si="89"/>
        <v>53.499008599999996</v>
      </c>
      <c r="AK217" s="1639">
        <f t="shared" si="81"/>
        <v>0.80384656816268329</v>
      </c>
      <c r="AL217" s="1639">
        <f t="shared" si="90"/>
        <v>233.63227200275978</v>
      </c>
      <c r="AM217" s="1640">
        <f t="shared" si="91"/>
        <v>79.181912400000002</v>
      </c>
      <c r="AN217" s="1639">
        <f t="shared" si="92"/>
        <v>0.98222804771777472</v>
      </c>
      <c r="AO217" s="1641">
        <f t="shared" si="93"/>
        <v>246.61111156786907</v>
      </c>
      <c r="AP217" s="287"/>
      <c r="AQ217" s="444">
        <f t="shared" si="101"/>
        <v>-615.30000000000007</v>
      </c>
      <c r="AR217" s="444"/>
      <c r="AS217" s="445">
        <f t="shared" si="94"/>
        <v>480.24338357062885</v>
      </c>
      <c r="AT217" s="64">
        <f t="shared" si="103"/>
        <v>-246.61111156786907</v>
      </c>
      <c r="AU217" s="445"/>
      <c r="AV217" s="447">
        <f t="shared" si="102"/>
        <v>246.61111156786907</v>
      </c>
      <c r="AW217" s="447">
        <f t="shared" si="95"/>
        <v>-299.33559082996999</v>
      </c>
      <c r="AX217" s="1597">
        <f t="shared" si="96"/>
        <v>-315.96440917003008</v>
      </c>
      <c r="AY217" s="1597">
        <f t="shared" si="82"/>
        <v>-38.752491702829573</v>
      </c>
      <c r="AZ217" s="1642">
        <f t="shared" si="83"/>
        <v>-31.649134237200414</v>
      </c>
      <c r="BA217" s="274">
        <f t="shared" si="104"/>
        <v>38.752491702829573</v>
      </c>
      <c r="BB217" s="275">
        <f t="shared" si="104"/>
        <v>31.649134237200414</v>
      </c>
      <c r="BC217">
        <f t="shared" si="98"/>
        <v>0.3</v>
      </c>
      <c r="BD217" s="545"/>
      <c r="DE217" s="126"/>
    </row>
    <row r="218" spans="2:129" ht="19" thickBot="1" x14ac:dyDescent="0.25">
      <c r="B218" s="277">
        <v>24</v>
      </c>
      <c r="C218" s="1647"/>
      <c r="D218" s="25">
        <v>1</v>
      </c>
      <c r="E218" s="257" t="s">
        <v>305</v>
      </c>
      <c r="F218" s="258">
        <f t="shared" si="84"/>
        <v>1.3</v>
      </c>
      <c r="G218" s="258">
        <f t="shared" si="99"/>
        <v>1.3</v>
      </c>
      <c r="H218" s="1632">
        <v>251.073172</v>
      </c>
      <c r="I218" s="1633">
        <v>65.636175100000003</v>
      </c>
      <c r="J218" s="474">
        <f t="shared" si="85"/>
        <v>64.636175100000003</v>
      </c>
      <c r="K218" s="474">
        <f t="shared" si="86"/>
        <v>32.318087550000001</v>
      </c>
      <c r="L218" s="474">
        <f t="shared" si="74"/>
        <v>0.53461916118589337</v>
      </c>
      <c r="M218" s="474">
        <f t="shared" si="75"/>
        <v>134.22852861092153</v>
      </c>
      <c r="N218" s="474">
        <f t="shared" si="76"/>
        <v>268.45705722184306</v>
      </c>
      <c r="O218" s="1645">
        <f>+C195+D196+D197+D198+D199+D200+D201+D202+D203+D204+D205+D206+D207+D208+D209+D210+D211+D212+D213+D214+D215+D216+D217+(D218/2)</f>
        <v>22.5</v>
      </c>
      <c r="P218" s="474">
        <f t="shared" si="77"/>
        <v>0.38268343236508939</v>
      </c>
      <c r="Q218" s="474">
        <f t="shared" si="78"/>
        <v>102.73406810028611</v>
      </c>
      <c r="R218" s="474">
        <f t="shared" si="87"/>
        <v>1331.0333790733603</v>
      </c>
      <c r="S218" s="474">
        <f t="shared" si="100"/>
        <v>1433.7674471736464</v>
      </c>
      <c r="T218" s="476">
        <f t="shared" si="79"/>
        <v>1433.7674471736464</v>
      </c>
      <c r="V218" s="1635">
        <f t="shared" si="80"/>
        <v>0</v>
      </c>
      <c r="AB218" s="281" t="str">
        <f t="shared" si="88"/>
        <v>use the locking pin</v>
      </c>
      <c r="AF218" s="1637">
        <f>SUM(V218:V220)/($B$192-B217)</f>
        <v>0</v>
      </c>
      <c r="AG218" s="1646"/>
      <c r="AH218" s="450">
        <f>SUM(D196:D218)+$C$195</f>
        <v>23</v>
      </c>
      <c r="AI218" s="1639"/>
      <c r="AJ218" s="718">
        <f t="shared" si="89"/>
        <v>52.499008599999996</v>
      </c>
      <c r="AK218" s="1639">
        <f t="shared" si="81"/>
        <v>0.79334280665523971</v>
      </c>
      <c r="AL218" s="1639">
        <f t="shared" si="90"/>
        <v>230.57942863344837</v>
      </c>
      <c r="AM218" s="1640">
        <f t="shared" si="91"/>
        <v>80.181912400000002</v>
      </c>
      <c r="AN218" s="1639">
        <f t="shared" si="92"/>
        <v>0.98535411625603619</v>
      </c>
      <c r="AO218" s="1641">
        <f t="shared" si="93"/>
        <v>247.39598351165978</v>
      </c>
      <c r="AP218" s="287"/>
      <c r="AQ218" s="444">
        <f t="shared" si="101"/>
        <v>-644.6</v>
      </c>
      <c r="AR218" s="444"/>
      <c r="AS218" s="445">
        <f t="shared" si="94"/>
        <v>477.97541214510818</v>
      </c>
      <c r="AT218" s="64">
        <f t="shared" si="103"/>
        <v>-247.39598351165978</v>
      </c>
      <c r="AU218" s="445"/>
      <c r="AV218" s="447">
        <f t="shared" si="102"/>
        <v>247.39598351165978</v>
      </c>
      <c r="AW218" s="447">
        <f t="shared" si="95"/>
        <v>-310.96055554422105</v>
      </c>
      <c r="AX218" s="1597">
        <f t="shared" si="96"/>
        <v>-333.63944445577897</v>
      </c>
      <c r="AY218" s="1597">
        <f t="shared" si="82"/>
        <v>-37.303766645575045</v>
      </c>
      <c r="AZ218" s="1642">
        <f t="shared" si="83"/>
        <v>-29.972475275852503</v>
      </c>
      <c r="BA218" s="274">
        <f t="shared" si="104"/>
        <v>37.303766645575045</v>
      </c>
      <c r="BB218" s="275">
        <f t="shared" si="104"/>
        <v>29.972475275852503</v>
      </c>
      <c r="BC218">
        <f t="shared" si="98"/>
        <v>0.3</v>
      </c>
      <c r="BD218" s="545"/>
      <c r="DE218" s="211"/>
    </row>
    <row r="219" spans="2:129" ht="19" thickBot="1" x14ac:dyDescent="0.25">
      <c r="B219" s="277">
        <v>25</v>
      </c>
      <c r="C219" s="1648"/>
      <c r="D219" s="25">
        <v>1</v>
      </c>
      <c r="E219" s="257" t="s">
        <v>305</v>
      </c>
      <c r="F219" s="258">
        <f t="shared" si="84"/>
        <v>1.3</v>
      </c>
      <c r="G219" s="258">
        <f t="shared" si="99"/>
        <v>1.3</v>
      </c>
      <c r="H219" s="1632">
        <v>251.073172</v>
      </c>
      <c r="I219" s="1633">
        <v>65.636175100000003</v>
      </c>
      <c r="J219" s="474">
        <f t="shared" si="85"/>
        <v>64.636175100000003</v>
      </c>
      <c r="K219" s="474">
        <f t="shared" si="86"/>
        <v>32.318087550000001</v>
      </c>
      <c r="L219" s="474">
        <f t="shared" si="74"/>
        <v>0.53461916118589337</v>
      </c>
      <c r="M219" s="474">
        <f t="shared" si="75"/>
        <v>134.22852861092153</v>
      </c>
      <c r="N219" s="474">
        <f t="shared" si="76"/>
        <v>268.45705722184306</v>
      </c>
      <c r="O219" s="1645">
        <f>+C195+D196+D197+D198+D199+D200+D201+D202+D203+D204+D205+D206+D207+D208+D209+D210+D211+D212+D213+D214+D215+D216+D217+D218+(D219/2)</f>
        <v>23.5</v>
      </c>
      <c r="P219" s="474">
        <f t="shared" si="77"/>
        <v>0.39874906892524581</v>
      </c>
      <c r="Q219" s="474">
        <f t="shared" si="78"/>
        <v>107.04700161362136</v>
      </c>
      <c r="R219" s="474">
        <f t="shared" si="87"/>
        <v>1433.7674471736464</v>
      </c>
      <c r="S219" s="474">
        <f t="shared" si="100"/>
        <v>1540.8144487872678</v>
      </c>
      <c r="T219" s="476">
        <f t="shared" si="79"/>
        <v>1540.8144487872678</v>
      </c>
      <c r="V219" s="1635">
        <f t="shared" si="80"/>
        <v>0</v>
      </c>
      <c r="AB219" s="281" t="str">
        <f t="shared" si="88"/>
        <v>use the locking pin</v>
      </c>
      <c r="AF219" s="1637">
        <f>SUM(V219:V220)/($B$192-B218)</f>
        <v>0</v>
      </c>
      <c r="AG219" s="1646"/>
      <c r="AH219" s="450">
        <f>SUM(D196:D219)+$C$195</f>
        <v>24</v>
      </c>
      <c r="AI219" s="1639"/>
      <c r="AJ219" s="718">
        <f t="shared" si="89"/>
        <v>51.499008599999996</v>
      </c>
      <c r="AK219" s="1639">
        <f t="shared" si="81"/>
        <v>0.78259738524360445</v>
      </c>
      <c r="AL219" s="1639">
        <f t="shared" si="90"/>
        <v>227.45634853650211</v>
      </c>
      <c r="AM219" s="1640">
        <f t="shared" si="91"/>
        <v>81.181912400000002</v>
      </c>
      <c r="AN219" s="1639">
        <f t="shared" si="92"/>
        <v>0.9881800363851464</v>
      </c>
      <c r="AO219" s="1641">
        <f t="shared" si="93"/>
        <v>248.10549624229412</v>
      </c>
      <c r="AP219" s="287"/>
      <c r="AQ219" s="444">
        <f t="shared" si="101"/>
        <v>-673.9</v>
      </c>
      <c r="AR219" s="444"/>
      <c r="AS219" s="445">
        <f t="shared" si="94"/>
        <v>475.56184477879623</v>
      </c>
      <c r="AT219" s="64">
        <f t="shared" si="103"/>
        <v>-248.10549624229412</v>
      </c>
      <c r="AU219" s="445"/>
      <c r="AV219" s="447">
        <f t="shared" si="102"/>
        <v>248.10549624229412</v>
      </c>
      <c r="AW219" s="447">
        <f t="shared" si="95"/>
        <v>-322.3194521630453</v>
      </c>
      <c r="AX219" s="1597">
        <f t="shared" si="96"/>
        <v>-351.58054783695474</v>
      </c>
      <c r="AY219" s="1597">
        <f t="shared" si="82"/>
        <v>-35.989140345560465</v>
      </c>
      <c r="AZ219" s="1642">
        <f t="shared" si="83"/>
        <v>-28.44298429342426</v>
      </c>
      <c r="BA219" s="274">
        <f t="shared" si="104"/>
        <v>35.989140345560465</v>
      </c>
      <c r="BB219" s="275">
        <f t="shared" si="104"/>
        <v>28.44298429342426</v>
      </c>
      <c r="BC219">
        <f t="shared" si="98"/>
        <v>0.3</v>
      </c>
      <c r="BD219" s="545"/>
      <c r="DE219" s="126"/>
    </row>
    <row r="220" spans="2:129" ht="19" thickBot="1" x14ac:dyDescent="0.25">
      <c r="B220" s="277">
        <v>26</v>
      </c>
      <c r="C220" s="1648"/>
      <c r="D220" s="25">
        <v>1</v>
      </c>
      <c r="E220" s="257" t="s">
        <v>305</v>
      </c>
      <c r="F220" s="258">
        <f t="shared" si="84"/>
        <v>1.3</v>
      </c>
      <c r="G220" s="258">
        <f t="shared" si="99"/>
        <v>1.3</v>
      </c>
      <c r="H220" s="1632">
        <v>251.073172</v>
      </c>
      <c r="I220" s="1633">
        <v>65.636175100000003</v>
      </c>
      <c r="J220" s="474">
        <f t="shared" si="85"/>
        <v>64.636175100000003</v>
      </c>
      <c r="K220" s="474">
        <f t="shared" si="86"/>
        <v>32.318087550000001</v>
      </c>
      <c r="L220" s="474">
        <f t="shared" si="74"/>
        <v>0.53461916118589337</v>
      </c>
      <c r="M220" s="474">
        <f t="shared" si="75"/>
        <v>134.22852861092153</v>
      </c>
      <c r="N220" s="474">
        <f t="shared" si="76"/>
        <v>268.45705722184306</v>
      </c>
      <c r="O220" s="1645">
        <f>+C195+D196+D197+D198+D199+D200+D201+D202+D203+D204+D205+D206+D207+D208+D209+D210+D211+D212+D213+D214+D215+D216+D217+D218+D219+(D220/2)</f>
        <v>24.5</v>
      </c>
      <c r="P220" s="474">
        <f t="shared" si="77"/>
        <v>0.41469324265623864</v>
      </c>
      <c r="Q220" s="474">
        <f t="shared" si="78"/>
        <v>111.3273275732775</v>
      </c>
      <c r="R220" s="474">
        <f t="shared" si="87"/>
        <v>1540.8144487872678</v>
      </c>
      <c r="S220" s="474">
        <f t="shared" si="100"/>
        <v>1652.1417763605452</v>
      </c>
      <c r="T220" s="476">
        <f t="shared" si="79"/>
        <v>1652.1417763605452</v>
      </c>
      <c r="V220" s="1635">
        <f t="shared" si="80"/>
        <v>0</v>
      </c>
      <c r="AB220" s="281" t="str">
        <f t="shared" si="88"/>
        <v>use the locking pin</v>
      </c>
      <c r="AF220" s="1637">
        <f>SUM(V220)/($B$192-B219)</f>
        <v>0</v>
      </c>
      <c r="AG220" s="1646"/>
      <c r="AH220" s="450">
        <f>SUM(D196:D220)+$C$195</f>
        <v>25</v>
      </c>
      <c r="AI220" s="1639"/>
      <c r="AJ220" s="718">
        <f t="shared" si="89"/>
        <v>50.499008599999996</v>
      </c>
      <c r="AK220" s="1639">
        <f t="shared" si="81"/>
        <v>0.77161357708723288</v>
      </c>
      <c r="AL220" s="1639">
        <f t="shared" si="90"/>
        <v>224.26398303237247</v>
      </c>
      <c r="AM220" s="1640">
        <f t="shared" si="91"/>
        <v>82.181912400000002</v>
      </c>
      <c r="AN220" s="1639">
        <f t="shared" si="92"/>
        <v>0.99070494730245873</v>
      </c>
      <c r="AO220" s="1641">
        <f t="shared" si="93"/>
        <v>248.73943363532115</v>
      </c>
      <c r="AP220" s="287"/>
      <c r="AQ220" s="444">
        <f t="shared" si="101"/>
        <v>-703.2</v>
      </c>
      <c r="AR220" s="444"/>
      <c r="AS220" s="445">
        <f t="shared" si="94"/>
        <v>473.00341666769361</v>
      </c>
      <c r="AT220" s="64">
        <f t="shared" si="103"/>
        <v>-248.73943363532115</v>
      </c>
      <c r="AU220" s="445"/>
      <c r="AV220" s="447">
        <f t="shared" si="102"/>
        <v>248.73943363532115</v>
      </c>
      <c r="AW220" s="447">
        <f t="shared" si="95"/>
        <v>-333.40654065329392</v>
      </c>
      <c r="AX220" s="1597">
        <f t="shared" si="96"/>
        <v>-369.79345934670607</v>
      </c>
      <c r="AY220" s="1597">
        <f t="shared" si="82"/>
        <v>-34.792358833963974</v>
      </c>
      <c r="AZ220" s="1642">
        <f t="shared" si="83"/>
        <v>-27.042122426033316</v>
      </c>
      <c r="BA220" s="274">
        <f t="shared" si="104"/>
        <v>34.792358833963974</v>
      </c>
      <c r="BB220" s="275">
        <f t="shared" si="104"/>
        <v>27.042122426033316</v>
      </c>
      <c r="BC220">
        <f t="shared" si="98"/>
        <v>0.3</v>
      </c>
      <c r="BD220" s="545"/>
    </row>
    <row r="221" spans="2:129" x14ac:dyDescent="0.2">
      <c r="AH221" s="1689"/>
      <c r="BD221" s="545"/>
    </row>
    <row r="222" spans="2:129" x14ac:dyDescent="0.2">
      <c r="BD222" s="545"/>
    </row>
    <row r="223" spans="2:129" x14ac:dyDescent="0.2">
      <c r="BD223" s="545"/>
    </row>
    <row r="257" spans="110:129" x14ac:dyDescent="0.2">
      <c r="DF257" s="305"/>
      <c r="DG257" s="305"/>
      <c r="DH257" s="305"/>
      <c r="DI257" s="305"/>
      <c r="DJ257" s="305"/>
      <c r="DK257" s="305"/>
      <c r="DL257" s="1818"/>
      <c r="DM257" s="1818"/>
      <c r="DN257" s="1818"/>
      <c r="DO257" s="126"/>
    </row>
    <row r="258" spans="110:129" x14ac:dyDescent="0.2">
      <c r="DL258" s="306"/>
      <c r="DY258" s="306"/>
    </row>
    <row r="259" spans="110:129" x14ac:dyDescent="0.2">
      <c r="DF259" s="307"/>
      <c r="DG259" s="307"/>
      <c r="DH259" s="307"/>
      <c r="DI259" s="307"/>
      <c r="DJ259" s="307"/>
      <c r="DK259" s="307"/>
      <c r="DL259" s="1819"/>
      <c r="DM259" s="1819"/>
      <c r="DX259" s="1813"/>
      <c r="DY259" s="1813"/>
    </row>
    <row r="276" spans="110:134" x14ac:dyDescent="0.2">
      <c r="DF276" s="126"/>
      <c r="DH276" s="126"/>
      <c r="DJ276" s="126"/>
    </row>
    <row r="277" spans="110:134" x14ac:dyDescent="0.2">
      <c r="DF277" s="126"/>
      <c r="DJ277" s="126"/>
    </row>
    <row r="278" spans="110:134" x14ac:dyDescent="0.2">
      <c r="DF278" s="126"/>
      <c r="DG278" s="311"/>
      <c r="DH278" s="311"/>
      <c r="DI278" s="311"/>
      <c r="DJ278" s="311"/>
      <c r="DK278" s="311"/>
      <c r="DL278" s="311"/>
      <c r="DM278" s="311"/>
      <c r="DN278" s="311"/>
      <c r="DO278" s="311"/>
      <c r="DP278" s="311"/>
      <c r="DQ278" s="311"/>
      <c r="DR278" s="311"/>
      <c r="DS278" s="311"/>
      <c r="DT278" s="311"/>
      <c r="DU278" s="311"/>
      <c r="DV278" s="311"/>
      <c r="DW278" s="311"/>
      <c r="DX278" s="311"/>
      <c r="DY278" s="311"/>
      <c r="DZ278" s="311"/>
      <c r="EA278" s="311"/>
      <c r="EB278" s="311"/>
      <c r="EC278" s="311"/>
      <c r="ED278" s="311"/>
    </row>
    <row r="279" spans="110:134" x14ac:dyDescent="0.2">
      <c r="DF279" s="126"/>
    </row>
    <row r="280" spans="110:134" x14ac:dyDescent="0.2">
      <c r="DF280" s="211"/>
      <c r="DG280" s="312"/>
      <c r="DH280" s="312"/>
      <c r="DI280" s="312"/>
      <c r="DJ280" s="312"/>
      <c r="DK280" s="312"/>
      <c r="DL280" s="312"/>
      <c r="DM280" s="312"/>
      <c r="DN280" s="312"/>
      <c r="DO280" s="312"/>
      <c r="DP280" s="312"/>
      <c r="DQ280" s="312"/>
      <c r="DR280" s="312"/>
      <c r="DS280" s="312"/>
      <c r="DT280" s="312"/>
      <c r="DU280" s="312"/>
      <c r="DV280" s="312"/>
      <c r="DW280" s="312"/>
      <c r="DX280" s="312"/>
      <c r="DY280" s="312"/>
      <c r="DZ280" s="312"/>
      <c r="EA280" s="312"/>
      <c r="EB280" s="312"/>
      <c r="EC280" s="312"/>
      <c r="ED280" s="312"/>
    </row>
    <row r="281" spans="110:134" x14ac:dyDescent="0.2">
      <c r="DF281" s="126"/>
      <c r="DG281" s="203"/>
      <c r="DH281" s="203"/>
      <c r="DI281" s="203"/>
      <c r="DJ281" s="203"/>
      <c r="DK281" s="203"/>
      <c r="DL281" s="203"/>
      <c r="DM281" s="203"/>
      <c r="DN281" s="203"/>
      <c r="DO281" s="203"/>
      <c r="DP281" s="203"/>
      <c r="DQ281" s="203"/>
      <c r="DR281" s="203"/>
      <c r="DS281" s="203"/>
      <c r="DT281" s="203"/>
      <c r="DU281" s="203"/>
      <c r="DV281" s="203"/>
      <c r="DW281" s="203"/>
      <c r="DX281" s="203"/>
      <c r="DY281" s="203"/>
      <c r="DZ281" s="203"/>
      <c r="EA281" s="203"/>
      <c r="EB281" s="203"/>
      <c r="EC281" s="203"/>
      <c r="ED281" s="203"/>
    </row>
    <row r="283" spans="110:134" x14ac:dyDescent="0.2">
      <c r="DG283" s="236"/>
      <c r="DH283" s="236"/>
      <c r="DI283" s="236"/>
      <c r="DJ283" s="236"/>
      <c r="DK283" s="236"/>
      <c r="DL283" s="236"/>
      <c r="DM283" s="126"/>
      <c r="DN283" s="126"/>
      <c r="DO283" s="126"/>
      <c r="DP283" s="126"/>
      <c r="DQ283" s="126"/>
      <c r="DR283" s="236"/>
      <c r="DS283" s="236"/>
      <c r="DT283" s="236"/>
      <c r="DU283" s="126"/>
      <c r="DV283" s="126"/>
      <c r="DW283" s="126"/>
      <c r="DX283" s="126"/>
      <c r="DY283" s="126"/>
      <c r="DZ283" s="126"/>
      <c r="EA283" s="126"/>
      <c r="EB283" s="126"/>
      <c r="EC283" s="126"/>
      <c r="ED283" s="126"/>
    </row>
    <row r="284" spans="110:134" x14ac:dyDescent="0.2">
      <c r="DG284" s="236"/>
      <c r="DH284" s="236"/>
      <c r="DI284" s="236"/>
      <c r="DJ284" s="236"/>
      <c r="DK284" s="236"/>
      <c r="DL284" s="236"/>
      <c r="DQ284" s="236"/>
      <c r="DR284" s="236"/>
      <c r="DS284" s="236"/>
      <c r="DT284" s="236"/>
      <c r="DY284" s="236"/>
      <c r="DZ284" s="236"/>
      <c r="EA284" s="236"/>
      <c r="EB284" s="236"/>
      <c r="EC284" s="236"/>
      <c r="ED284" s="236"/>
    </row>
  </sheetData>
  <sheetProtection algorithmName="SHA-512" hashValue="wLXNBjjaHPnYzyBSvmcZaWV4o70AnVAsVRGSKT2Z3jlwINcS6Svbt0shWJl5bLj4Vao6908XQp36IuJTtioPEA==" saltValue="o+LShc6GcvvFwrIxUBvA1A==" spinCount="100000" sheet="1" objects="1" scenarios="1" selectLockedCells="1"/>
  <protectedRanges>
    <protectedRange sqref="B133 B136 D139:D158 B168 D171:D182 B192 D195:D220" name="Range1"/>
    <protectedRange sqref="B165" name="Range1_3"/>
  </protectedRanges>
  <mergeCells count="25">
    <mergeCell ref="DG39:DH39"/>
    <mergeCell ref="DX259:DY259"/>
    <mergeCell ref="W136:AA136"/>
    <mergeCell ref="BA136:BB136"/>
    <mergeCell ref="B160:B164"/>
    <mergeCell ref="W168:AA168"/>
    <mergeCell ref="BA168:BB168"/>
    <mergeCell ref="BA192:BB192"/>
    <mergeCell ref="BV192:BX192"/>
    <mergeCell ref="BV194:BW194"/>
    <mergeCell ref="CH194:CI194"/>
    <mergeCell ref="DL257:DN257"/>
    <mergeCell ref="DL259:DM259"/>
    <mergeCell ref="B131:B132"/>
    <mergeCell ref="BQ32:CA33"/>
    <mergeCell ref="CS32:DA33"/>
    <mergeCell ref="CB33:CC33"/>
    <mergeCell ref="CQ33:CR33"/>
    <mergeCell ref="BQ25:BR25"/>
    <mergeCell ref="CQ26:DA27"/>
    <mergeCell ref="BQ27:BR27"/>
    <mergeCell ref="CO27:CP27"/>
    <mergeCell ref="BQ29:CA30"/>
    <mergeCell ref="CB30:CC30"/>
    <mergeCell ref="CZ30:DA30"/>
  </mergeCells>
  <conditionalFormatting sqref="B141:AP141 AR141:BB141">
    <cfRule type="expression" dxfId="339" priority="65" stopIfTrue="1">
      <formula>$B$136&lt;3</formula>
    </cfRule>
  </conditionalFormatting>
  <conditionalFormatting sqref="B142:AP142 AR142:BB142">
    <cfRule type="expression" dxfId="338" priority="64">
      <formula>$B$136&lt;4</formula>
    </cfRule>
  </conditionalFormatting>
  <conditionalFormatting sqref="B143:AP143 AR143:BB143">
    <cfRule type="expression" dxfId="337" priority="63">
      <formula>$B$136&lt;5</formula>
    </cfRule>
  </conditionalFormatting>
  <conditionalFormatting sqref="B144:AP144 AR144:BB144">
    <cfRule type="expression" dxfId="336" priority="62">
      <formula>$B$136&lt;6</formula>
    </cfRule>
  </conditionalFormatting>
  <conditionalFormatting sqref="B145:AP145 AR145:BB145">
    <cfRule type="expression" dxfId="335" priority="61">
      <formula>$B$136&lt;7</formula>
    </cfRule>
  </conditionalFormatting>
  <conditionalFormatting sqref="B146:AP146 AR146:BB146">
    <cfRule type="expression" dxfId="334" priority="60">
      <formula>$B$136&lt;8</formula>
    </cfRule>
  </conditionalFormatting>
  <conditionalFormatting sqref="B147:AP147 AR147:BB147">
    <cfRule type="expression" dxfId="333" priority="59">
      <formula>$B$136&lt;9</formula>
    </cfRule>
  </conditionalFormatting>
  <conditionalFormatting sqref="B148:AP148 AR148:BB148">
    <cfRule type="expression" dxfId="332" priority="58">
      <formula>$B$136&lt;10</formula>
    </cfRule>
  </conditionalFormatting>
  <conditionalFormatting sqref="B149:AP149 AR149:BB149">
    <cfRule type="expression" dxfId="331" priority="57">
      <formula>$B$136&lt;11</formula>
    </cfRule>
  </conditionalFormatting>
  <conditionalFormatting sqref="B150:AP150 AR150:BB150">
    <cfRule type="expression" dxfId="330" priority="56">
      <formula>$B$136&lt;12</formula>
    </cfRule>
  </conditionalFormatting>
  <conditionalFormatting sqref="B151:AP151 AR151:BB151">
    <cfRule type="expression" dxfId="329" priority="55">
      <formula>$B$136&lt;13</formula>
    </cfRule>
  </conditionalFormatting>
  <conditionalFormatting sqref="B152:AP152 AR152:BB152">
    <cfRule type="expression" dxfId="328" priority="54">
      <formula>$B$136&lt;14</formula>
    </cfRule>
  </conditionalFormatting>
  <conditionalFormatting sqref="B153:AP153 AR153:BB153">
    <cfRule type="expression" dxfId="327" priority="53">
      <formula>$B$136&lt;15</formula>
    </cfRule>
  </conditionalFormatting>
  <conditionalFormatting sqref="B154:AP154 AR154:BB154">
    <cfRule type="expression" dxfId="326" priority="52">
      <formula>$B$136&lt;16</formula>
    </cfRule>
  </conditionalFormatting>
  <conditionalFormatting sqref="B155:AP155 AR155:BB155">
    <cfRule type="expression" dxfId="325" priority="51">
      <formula>$B$136&lt;17</formula>
    </cfRule>
  </conditionalFormatting>
  <conditionalFormatting sqref="B156:AP156 AR156:BB156">
    <cfRule type="expression" dxfId="324" priority="50">
      <formula>$B$136&lt;18</formula>
    </cfRule>
  </conditionalFormatting>
  <conditionalFormatting sqref="B157:AP157 AR157:BB157">
    <cfRule type="expression" dxfId="323" priority="49">
      <formula>$B$136&lt;19</formula>
    </cfRule>
  </conditionalFormatting>
  <conditionalFormatting sqref="B158:AP158 AR158:BB158">
    <cfRule type="expression" dxfId="322" priority="46">
      <formula>$B$136&lt;20</formula>
    </cfRule>
  </conditionalFormatting>
  <conditionalFormatting sqref="B173:AP173 AR173:BB173">
    <cfRule type="expression" dxfId="321" priority="44" stopIfTrue="1">
      <formula>$B$168&lt;3</formula>
    </cfRule>
  </conditionalFormatting>
  <conditionalFormatting sqref="B174:AP174 AR174:BB174">
    <cfRule type="expression" dxfId="320" priority="43">
      <formula>$B$168&lt;4</formula>
    </cfRule>
  </conditionalFormatting>
  <conditionalFormatting sqref="B175:AP175 AR175:BB175">
    <cfRule type="expression" dxfId="319" priority="42">
      <formula>$B$168&lt;5</formula>
    </cfRule>
  </conditionalFormatting>
  <conditionalFormatting sqref="B176:AP176 AR176:BB176">
    <cfRule type="expression" dxfId="318" priority="41">
      <formula>$B$168&lt;6</formula>
    </cfRule>
  </conditionalFormatting>
  <conditionalFormatting sqref="B177:AP177 AR177:BB177">
    <cfRule type="expression" dxfId="317" priority="40">
      <formula>$B$168&lt;7</formula>
    </cfRule>
  </conditionalFormatting>
  <conditionalFormatting sqref="B178:AP178 AR178:BB178">
    <cfRule type="expression" dxfId="316" priority="39">
      <formula>$B$168&lt;8</formula>
    </cfRule>
  </conditionalFormatting>
  <conditionalFormatting sqref="B179:AP179 AR179:BB179">
    <cfRule type="expression" dxfId="315" priority="38">
      <formula>$B$168&lt;9</formula>
    </cfRule>
  </conditionalFormatting>
  <conditionalFormatting sqref="B180:AP180 AR180:BB180">
    <cfRule type="expression" dxfId="314" priority="37">
      <formula>$B$168&lt;10</formula>
    </cfRule>
  </conditionalFormatting>
  <conditionalFormatting sqref="B181:AP181 AR181:BB181">
    <cfRule type="expression" dxfId="313" priority="36">
      <formula>$B$168&lt;11</formula>
    </cfRule>
  </conditionalFormatting>
  <conditionalFormatting sqref="B182:AP182 AR182:BB182">
    <cfRule type="expression" dxfId="312" priority="35">
      <formula>$B$168&lt;12</formula>
    </cfRule>
  </conditionalFormatting>
  <conditionalFormatting sqref="B140:BB140 AQ141:AQ158">
    <cfRule type="expression" dxfId="311" priority="66" stopIfTrue="1">
      <formula>$B$136&lt;2</formula>
    </cfRule>
  </conditionalFormatting>
  <conditionalFormatting sqref="B172:BB172 AQ173:AQ182">
    <cfRule type="expression" dxfId="310" priority="45" stopIfTrue="1">
      <formula>$B$168&lt;2</formula>
    </cfRule>
  </conditionalFormatting>
  <conditionalFormatting sqref="B196:BB196">
    <cfRule type="expression" dxfId="309" priority="25">
      <formula>$B192&lt;2</formula>
    </cfRule>
  </conditionalFormatting>
  <conditionalFormatting sqref="B197:BB197">
    <cfRule type="expression" dxfId="308" priority="24">
      <formula>$B192&lt;3</formula>
    </cfRule>
  </conditionalFormatting>
  <conditionalFormatting sqref="B198:BB198">
    <cfRule type="expression" dxfId="307" priority="23">
      <formula>$B192&lt;4</formula>
    </cfRule>
  </conditionalFormatting>
  <conditionalFormatting sqref="B199:BB199">
    <cfRule type="expression" dxfId="306" priority="22">
      <formula>$B192&lt;5</formula>
    </cfRule>
  </conditionalFormatting>
  <conditionalFormatting sqref="B200:BB200">
    <cfRule type="expression" dxfId="305" priority="21">
      <formula>$B192&lt;6</formula>
    </cfRule>
  </conditionalFormatting>
  <conditionalFormatting sqref="B201:BB201">
    <cfRule type="expression" dxfId="304" priority="20">
      <formula>$B192&lt;7</formula>
    </cfRule>
  </conditionalFormatting>
  <conditionalFormatting sqref="B202:BB202">
    <cfRule type="expression" dxfId="303" priority="19">
      <formula>$B192&lt;8</formula>
    </cfRule>
  </conditionalFormatting>
  <conditionalFormatting sqref="B203:BB203">
    <cfRule type="expression" dxfId="302" priority="18">
      <formula>$B192&lt;9</formula>
    </cfRule>
  </conditionalFormatting>
  <conditionalFormatting sqref="B204:BB204">
    <cfRule type="expression" dxfId="301" priority="17">
      <formula>$B192&lt;10</formula>
    </cfRule>
  </conditionalFormatting>
  <conditionalFormatting sqref="B205:BB205">
    <cfRule type="expression" dxfId="300" priority="16">
      <formula>$B192&lt;11</formula>
    </cfRule>
  </conditionalFormatting>
  <conditionalFormatting sqref="B206:BB206">
    <cfRule type="expression" dxfId="299" priority="15">
      <formula>$B192&lt;12</formula>
    </cfRule>
  </conditionalFormatting>
  <conditionalFormatting sqref="B207:BB207">
    <cfRule type="expression" dxfId="298" priority="14">
      <formula>$B192&lt;13</formula>
    </cfRule>
  </conditionalFormatting>
  <conditionalFormatting sqref="B208:BB208">
    <cfRule type="expression" dxfId="297" priority="13">
      <formula>$B192&lt;14</formula>
    </cfRule>
  </conditionalFormatting>
  <conditionalFormatting sqref="B209:BB209">
    <cfRule type="expression" dxfId="296" priority="12">
      <formula>$B192&lt;15</formula>
    </cfRule>
  </conditionalFormatting>
  <conditionalFormatting sqref="B210:BB210">
    <cfRule type="expression" dxfId="295" priority="11">
      <formula>$B192&lt;16</formula>
    </cfRule>
  </conditionalFormatting>
  <conditionalFormatting sqref="B211:BB211">
    <cfRule type="expression" dxfId="294" priority="10">
      <formula>$B192&lt;17</formula>
    </cfRule>
  </conditionalFormatting>
  <conditionalFormatting sqref="B212:BB212">
    <cfRule type="expression" dxfId="293" priority="9">
      <formula>$B192&lt;18</formula>
    </cfRule>
  </conditionalFormatting>
  <conditionalFormatting sqref="B213:BB213">
    <cfRule type="expression" dxfId="292" priority="8">
      <formula>$B192&lt;19</formula>
    </cfRule>
  </conditionalFormatting>
  <conditionalFormatting sqref="B214:BB214">
    <cfRule type="expression" dxfId="291" priority="7">
      <formula>$B192&lt;20</formula>
    </cfRule>
  </conditionalFormatting>
  <conditionalFormatting sqref="B215:BB215">
    <cfRule type="expression" dxfId="290" priority="6">
      <formula>$B192&lt;21</formula>
    </cfRule>
  </conditionalFormatting>
  <conditionalFormatting sqref="B216:BB216">
    <cfRule type="expression" dxfId="289" priority="5">
      <formula>$B192&lt;22</formula>
    </cfRule>
  </conditionalFormatting>
  <conditionalFormatting sqref="B217:BB217">
    <cfRule type="expression" dxfId="288" priority="4">
      <formula>$B192&lt;23</formula>
    </cfRule>
  </conditionalFormatting>
  <conditionalFormatting sqref="B218:BB218">
    <cfRule type="expression" dxfId="287" priority="3">
      <formula>$B192&lt;24</formula>
    </cfRule>
  </conditionalFormatting>
  <conditionalFormatting sqref="B219:BB219">
    <cfRule type="expression" dxfId="286" priority="2">
      <formula>$B192&lt;25</formula>
    </cfRule>
  </conditionalFormatting>
  <conditionalFormatting sqref="B220:BB220">
    <cfRule type="expression" dxfId="285" priority="1">
      <formula>$B192&lt;26</formula>
    </cfRule>
  </conditionalFormatting>
  <conditionalFormatting sqref="D130:D131">
    <cfRule type="cellIs" dxfId="284" priority="72" stopIfTrue="1" operator="equal">
      <formula>"change the angle of frame or of cabinets"</formula>
    </cfRule>
  </conditionalFormatting>
  <conditionalFormatting sqref="D132">
    <cfRule type="cellIs" dxfId="283" priority="71" stopIfTrue="1" operator="equal">
      <formula>"USE EXBAR AR AT THE FRONT"</formula>
    </cfRule>
  </conditionalFormatting>
  <conditionalFormatting sqref="D133">
    <cfRule type="cellIs" dxfId="282" priority="70" stopIfTrue="1" operator="equal">
      <formula>"USE EXBAR AR AT THE BACK"</formula>
    </cfRule>
  </conditionalFormatting>
  <conditionalFormatting sqref="D139:D158">
    <cfRule type="cellIs" dxfId="281" priority="69" operator="notEqual">
      <formula>0</formula>
    </cfRule>
  </conditionalFormatting>
  <conditionalFormatting sqref="D171:D182">
    <cfRule type="cellIs" dxfId="280" priority="48" operator="notEqual">
      <formula>0</formula>
    </cfRule>
  </conditionalFormatting>
  <conditionalFormatting sqref="D195:D220">
    <cfRule type="cellIs" dxfId="279" priority="27" operator="notEqual">
      <formula>0</formula>
    </cfRule>
  </conditionalFormatting>
  <conditionalFormatting sqref="E139">
    <cfRule type="expression" dxfId="278" priority="68" stopIfTrue="1">
      <formula>$B$143&lt;1</formula>
    </cfRule>
  </conditionalFormatting>
  <conditionalFormatting sqref="E171">
    <cfRule type="expression" dxfId="277" priority="47" stopIfTrue="1">
      <formula>$B$168&lt;1</formula>
    </cfRule>
  </conditionalFormatting>
  <conditionalFormatting sqref="BA139:BB158 BA171:BB182">
    <cfRule type="cellIs" dxfId="276" priority="67" operator="lessThan">
      <formula>10</formula>
    </cfRule>
  </conditionalFormatting>
  <conditionalFormatting sqref="BA195:BB220">
    <cfRule type="cellIs" dxfId="275" priority="26" operator="lessThan">
      <formula>10</formula>
    </cfRule>
  </conditionalFormatting>
  <conditionalFormatting sqref="BK164:BK203">
    <cfRule type="cellIs" dxfId="274" priority="76" stopIfTrue="1" operator="equal">
      <formula>FALSE</formula>
    </cfRule>
  </conditionalFormatting>
  <conditionalFormatting sqref="BN26">
    <cfRule type="cellIs" dxfId="273" priority="34" stopIfTrue="1" operator="equal">
      <formula>"negative force at the motor"</formula>
    </cfRule>
  </conditionalFormatting>
  <conditionalFormatting sqref="BN26:BN27">
    <cfRule type="cellIs" dxfId="272" priority="33" operator="equal">
      <formula>"""OK"""</formula>
    </cfRule>
  </conditionalFormatting>
  <conditionalFormatting sqref="BN27">
    <cfRule type="cellIs" dxfId="271" priority="75" stopIfTrue="1" operator="equal">
      <formula>"overload"</formula>
    </cfRule>
  </conditionalFormatting>
  <conditionalFormatting sqref="BN29">
    <cfRule type="cellIs" dxfId="270" priority="32" stopIfTrue="1" operator="equal">
      <formula>"negative force at the motor"</formula>
    </cfRule>
  </conditionalFormatting>
  <conditionalFormatting sqref="BN29:BN30">
    <cfRule type="cellIs" dxfId="269" priority="31" operator="equal">
      <formula>"""OK"""</formula>
    </cfRule>
  </conditionalFormatting>
  <conditionalFormatting sqref="BN32">
    <cfRule type="cellIs" dxfId="268" priority="30" stopIfTrue="1" operator="equal">
      <formula>"negative force at the motor"</formula>
    </cfRule>
  </conditionalFormatting>
  <conditionalFormatting sqref="BN32:BN33">
    <cfRule type="cellIs" dxfId="267" priority="29" operator="equal">
      <formula>"""OK"""</formula>
    </cfRule>
  </conditionalFormatting>
  <conditionalFormatting sqref="BN56 BN61 BN132">
    <cfRule type="cellIs" dxfId="266" priority="73" operator="equal">
      <formula>"""OK"""</formula>
    </cfRule>
  </conditionalFormatting>
  <conditionalFormatting sqref="BN56 BN132 BN61 BN30 BN33">
    <cfRule type="cellIs" dxfId="265" priority="80" stopIfTrue="1" operator="equal">
      <formula>"overload"</formula>
    </cfRule>
  </conditionalFormatting>
  <conditionalFormatting sqref="BN56 BN132 BO55:BO56 BO131:BO132">
    <cfRule type="expression" dxfId="264" priority="74">
      <formula>$B$133&lt;&gt;0</formula>
    </cfRule>
  </conditionalFormatting>
  <conditionalFormatting sqref="BQ131:CG131 BQ133:CG133">
    <cfRule type="expression" dxfId="263" priority="81">
      <formula>$B$133=0</formula>
    </cfRule>
  </conditionalFormatting>
  <conditionalFormatting sqref="BQ57:DB59 BV136:CI143">
    <cfRule type="cellIs" dxfId="262" priority="77" stopIfTrue="1" operator="equal">
      <formula>FALSE</formula>
    </cfRule>
  </conditionalFormatting>
  <conditionalFormatting sqref="CB55:CR55">
    <cfRule type="cellIs" dxfId="261" priority="78" operator="equal">
      <formula>0</formula>
    </cfRule>
    <cfRule type="expression" dxfId="260" priority="79">
      <formula>$B$133=0</formula>
    </cfRule>
  </conditionalFormatting>
  <conditionalFormatting sqref="CH133:DA133">
    <cfRule type="expression" dxfId="259" priority="28">
      <formula>$B$133=0</formula>
    </cfRule>
  </conditionalFormatting>
  <conditionalFormatting sqref="CK131:DA131">
    <cfRule type="expression" dxfId="258" priority="82">
      <formula>$B$133=0</formula>
    </cfRule>
  </conditionalFormatting>
  <dataValidations count="11">
    <dataValidation type="custom" allowBlank="1" showInputMessage="1" showErrorMessage="1" sqref="B165" xr:uid="{00000000-0002-0000-1300-000000000000}">
      <formula1>OR(B165=-6,B165=-5,B165=-4,B165=-3,B165=-2,B165=-1,B165=0,B165=0.5,B165=1,B165=2,B165=2.5,B165=3,B165=4)</formula1>
    </dataValidation>
    <dataValidation type="custom" allowBlank="1" showInputMessage="1" showErrorMessage="1" sqref="D196:D220" xr:uid="{00000000-0002-0000-1300-000001000000}">
      <formula1>OR(D196=0.5,D196=1,D196=2,D196=2.5,D196=3,D196=4,D196=5,D196=6,D196=7,D196=8,D196=9,D196=10)</formula1>
    </dataValidation>
    <dataValidation type="whole" allowBlank="1" showInputMessage="1" showErrorMessage="1" errorTitle="Coda Audio" error="YOU HAVE ENTERED A WRONG NUMBER OF CABINETS" promptTitle="Coda Audio" prompt="ENTER THE NUMBER OF CABINETS FROM 1 UP TO 26" sqref="B192" xr:uid="{00000000-0002-0000-1300-000002000000}">
      <formula1>1</formula1>
      <formula2>26</formula2>
    </dataValidation>
    <dataValidation type="decimal" allowBlank="1" showInputMessage="1" showErrorMessage="1" sqref="B133" xr:uid="{00000000-0002-0000-1300-000003000000}">
      <formula1>-89.9</formula1>
      <formula2>89.9</formula2>
    </dataValidation>
    <dataValidation type="custom" allowBlank="1" showInputMessage="1" showErrorMessage="1" sqref="D140:D158" xr:uid="{00000000-0002-0000-1300-000004000000}">
      <formula1>OR(D140=0,D140=0.5,D140=1,D140=2,D140=2.5,D140=3,D140=4,D140=5,D140=6,D140=7,D140=8)</formula1>
    </dataValidation>
    <dataValidation type="whole" allowBlank="1" showInputMessage="1" showErrorMessage="1" errorTitle="Coda Audio" error="YOU HAVE ENTERED A WRONG NUMBER OF CABINETS" promptTitle="Coda Audio" prompt="ENTER THE NUMBER OF CABINETS FROM 1 UP TO 20" sqref="B136" xr:uid="{00000000-0002-0000-1300-000005000000}">
      <formula1>1</formula1>
      <formula2>20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68" xr:uid="{00000000-0002-0000-1300-000006000000}">
      <formula1>1</formula1>
      <formula2>10</formula2>
    </dataValidation>
    <dataValidation type="decimal" allowBlank="1" showInputMessage="1" showErrorMessage="1" sqref="G172:G182 D166 D159:D163 G196:G220 F197:F220 F173:F182 G140:G166 F141:F164 F166" xr:uid="{00000000-0002-0000-1300-000007000000}">
      <formula1>0</formula1>
      <formula2>8</formula2>
    </dataValidation>
    <dataValidation type="decimal" allowBlank="1" showInputMessage="1" showErrorMessage="1" sqref="F171:G171 F139:G139 F195:G195" xr:uid="{00000000-0002-0000-1300-000008000000}">
      <formula1>0</formula1>
      <formula2>4</formula2>
    </dataValidation>
    <dataValidation type="whole" allowBlank="1" showInputMessage="1" showErrorMessage="1" sqref="D139 D195" xr:uid="{00000000-0002-0000-1300-000009000000}">
      <formula1>-2</formula1>
      <formula2>4</formula2>
    </dataValidation>
    <dataValidation type="custom" allowBlank="1" showInputMessage="1" showErrorMessage="1" sqref="D171:D182" xr:uid="{00000000-0002-0000-1300-00000A000000}">
      <formula1>OR(D171=0,D171=2.5,D171=5)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tabColor theme="8" tint="0.39997558519241921"/>
  </sheetPr>
  <dimension ref="A1:EN272"/>
  <sheetViews>
    <sheetView topLeftCell="A27" zoomScale="50" zoomScaleNormal="50" workbookViewId="0">
      <selection activeCell="B161" sqref="B161"/>
    </sheetView>
  </sheetViews>
  <sheetFormatPr baseColWidth="10" defaultColWidth="9.1640625" defaultRowHeight="18" x14ac:dyDescent="0.2"/>
  <cols>
    <col min="1" max="1" width="1.5" customWidth="1"/>
    <col min="2" max="2" width="32.1640625" style="35" customWidth="1"/>
    <col min="3" max="3" width="34.5" style="35" hidden="1" customWidth="1"/>
    <col min="4" max="4" width="30.83203125" customWidth="1"/>
    <col min="5" max="5" width="44.1640625" customWidth="1"/>
    <col min="6" max="6" width="32.83203125" hidden="1" customWidth="1"/>
    <col min="7" max="7" width="42" hidden="1" customWidth="1"/>
    <col min="8" max="9" width="19.5" style="64" hidden="1" customWidth="1"/>
    <col min="10" max="11" width="17.5" style="64" hidden="1" customWidth="1"/>
    <col min="12" max="14" width="19.5" style="64" hidden="1" customWidth="1"/>
    <col min="15" max="15" width="16" style="64" hidden="1" customWidth="1"/>
    <col min="16" max="16" width="19.5" style="64" hidden="1" customWidth="1"/>
    <col min="17" max="17" width="19.6640625" style="64" hidden="1" customWidth="1"/>
    <col min="18" max="18" width="28" style="64" hidden="1" customWidth="1"/>
    <col min="19" max="19" width="19.5" style="64" hidden="1" customWidth="1"/>
    <col min="20" max="20" width="22.33203125" style="64" hidden="1" customWidth="1"/>
    <col min="21" max="21" width="9.33203125" style="64" hidden="1" customWidth="1"/>
    <col min="22" max="22" width="19.5" style="64" hidden="1" customWidth="1"/>
    <col min="23" max="24" width="17.5" style="64" hidden="1" customWidth="1"/>
    <col min="25" max="25" width="14.5" style="64" hidden="1" customWidth="1"/>
    <col min="26" max="27" width="19.5" style="64" hidden="1" customWidth="1"/>
    <col min="28" max="28" width="32.83203125" style="64" customWidth="1"/>
    <col min="29" max="29" width="28.6640625" style="64" hidden="1" customWidth="1"/>
    <col min="30" max="31" width="13.6640625" style="64" hidden="1" customWidth="1"/>
    <col min="32" max="32" width="47.6640625" style="64" hidden="1" customWidth="1"/>
    <col min="33" max="33" width="39.5" style="64" hidden="1" customWidth="1"/>
    <col min="34" max="34" width="19.5" style="64" hidden="1" customWidth="1"/>
    <col min="35" max="35" width="9.33203125" style="64" hidden="1" customWidth="1"/>
    <col min="36" max="36" width="17.5" style="64" hidden="1" customWidth="1"/>
    <col min="37" max="37" width="19.5" style="64" hidden="1" customWidth="1"/>
    <col min="38" max="38" width="23.33203125" style="64" hidden="1" customWidth="1"/>
    <col min="39" max="39" width="17.5" style="64" hidden="1" customWidth="1"/>
    <col min="40" max="40" width="19.5" style="64" hidden="1" customWidth="1"/>
    <col min="41" max="41" width="22.33203125" style="64" hidden="1" customWidth="1"/>
    <col min="42" max="42" width="35.1640625" style="64" hidden="1" customWidth="1"/>
    <col min="43" max="43" width="38.33203125" style="64" hidden="1" customWidth="1"/>
    <col min="44" max="44" width="69.5" style="64" hidden="1" customWidth="1"/>
    <col min="45" max="45" width="19.5" style="64" hidden="1" customWidth="1"/>
    <col min="46" max="46" width="20.1640625" style="64" hidden="1" customWidth="1"/>
    <col min="47" max="47" width="38.5" style="64" hidden="1" customWidth="1"/>
    <col min="48" max="48" width="19.5" style="64" hidden="1" customWidth="1"/>
    <col min="49" max="50" width="20.1640625" style="64" hidden="1" customWidth="1"/>
    <col min="51" max="51" width="38.5" style="64" hidden="1" customWidth="1"/>
    <col min="52" max="52" width="11.1640625" style="64" hidden="1" customWidth="1"/>
    <col min="53" max="53" width="13.5" style="64" customWidth="1"/>
    <col min="54" max="54" width="12.1640625" style="64" customWidth="1"/>
    <col min="55" max="55" width="15.1640625" hidden="1" customWidth="1"/>
    <col min="56" max="56" width="9.1640625" hidden="1" customWidth="1"/>
    <col min="57" max="57" width="4.83203125" hidden="1" customWidth="1"/>
    <col min="58" max="58" width="6.83203125" hidden="1" customWidth="1"/>
    <col min="59" max="59" width="34.1640625" hidden="1" customWidth="1"/>
    <col min="60" max="60" width="17" hidden="1" customWidth="1"/>
    <col min="61" max="62" width="16.33203125" hidden="1" customWidth="1"/>
    <col min="63" max="63" width="9.33203125" hidden="1" customWidth="1"/>
    <col min="64" max="64" width="15.5" hidden="1" customWidth="1"/>
    <col min="65" max="65" width="17.83203125" style="81" hidden="1" customWidth="1"/>
    <col min="66" max="66" width="28.33203125" customWidth="1"/>
    <col min="67" max="67" width="37.5" style="59" customWidth="1"/>
    <col min="68" max="68" width="44.5" customWidth="1"/>
    <col min="69" max="79" width="6.5" customWidth="1"/>
    <col min="80" max="80" width="8.5" customWidth="1"/>
    <col min="81" max="93" width="6.5" customWidth="1"/>
    <col min="94" max="94" width="8.5" customWidth="1"/>
    <col min="95" max="105" width="6.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18" width="6.5" hidden="1" customWidth="1"/>
    <col min="119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482" t="s">
        <v>104</v>
      </c>
      <c r="E1" s="482" t="s">
        <v>105</v>
      </c>
      <c r="F1" s="482" t="s">
        <v>106</v>
      </c>
      <c r="G1" s="990" t="s">
        <v>220</v>
      </c>
      <c r="H1" s="1073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+COS(($B$132*-1)*3.14159265358979/180)*C2</f>
        <v>688</v>
      </c>
      <c r="E2" s="41">
        <f>+COS(($B$132*-1)*3.14159265358979/180)*43</f>
        <v>43</v>
      </c>
      <c r="F2" s="42">
        <f>+COS((($B$132*-1)+72.969997)*3.14159265358979/180)*162.1867</f>
        <v>47.500013702602963</v>
      </c>
      <c r="G2" s="994" t="s">
        <v>212</v>
      </c>
      <c r="H2" s="1074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222.47737163870869</v>
      </c>
      <c r="D3" s="40">
        <f>+C9-F2</f>
        <v>222.47735793610573</v>
      </c>
      <c r="G3" s="994" t="s">
        <v>213</v>
      </c>
      <c r="H3" s="1075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+COS(($B$132*-1)*3.14159265358979/180)*C4</f>
        <v>1075</v>
      </c>
      <c r="G4" s="996" t="s">
        <v>233</v>
      </c>
      <c r="H4" s="1076">
        <v>860</v>
      </c>
      <c r="I4" s="984">
        <v>1</v>
      </c>
      <c r="J4" s="959" t="s">
        <v>228</v>
      </c>
      <c r="K4" s="1724"/>
      <c r="L4" s="1724"/>
      <c r="M4" s="1724"/>
      <c r="N4"/>
      <c r="O4" s="995"/>
    </row>
    <row r="5" spans="2:15" ht="38" hidden="1" x14ac:dyDescent="0.2">
      <c r="B5" s="44" t="s">
        <v>115</v>
      </c>
      <c r="C5" s="45">
        <f>+C9+425.5</f>
        <v>695.47737163870875</v>
      </c>
      <c r="D5" s="40">
        <f>+(COS(($B$132*-1)*3.14159265358979/180)*473)+$D$3</f>
        <v>695.4773579361057</v>
      </c>
      <c r="G5" s="996" t="s">
        <v>214</v>
      </c>
      <c r="H5" s="1076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1" hidden="1" thickBot="1" x14ac:dyDescent="0.25">
      <c r="B6" s="73"/>
      <c r="C6" s="73"/>
      <c r="G6" s="996" t="s">
        <v>259</v>
      </c>
      <c r="H6" s="1076">
        <v>602</v>
      </c>
      <c r="I6"/>
      <c r="J6" s="963">
        <f>+H9/H8*BQ29</f>
        <v>252.8362189213754</v>
      </c>
      <c r="K6" s="963">
        <f>((H8-H9)/H8)*BQ29</f>
        <v>-173.82490050844561</v>
      </c>
      <c r="L6" s="963">
        <f>+CO29</f>
        <v>144.78868158707022</v>
      </c>
      <c r="M6" s="961" t="s">
        <v>223</v>
      </c>
      <c r="N6"/>
      <c r="O6" s="995"/>
    </row>
    <row r="7" spans="2:15" ht="26.25" hidden="1" customHeight="1" thickBot="1" x14ac:dyDescent="0.25">
      <c r="B7" s="483" t="s">
        <v>18</v>
      </c>
      <c r="C7" s="1575">
        <f>+C11+C14+C17+30+4.5+0.5</f>
        <v>223.8</v>
      </c>
      <c r="D7" s="1573" t="s">
        <v>272</v>
      </c>
      <c r="G7" s="997" t="s">
        <v>230</v>
      </c>
      <c r="H7" s="1077">
        <f>(+SIN(($B$132*-1)*3.14159265358979/180)*H2)</f>
        <v>0</v>
      </c>
      <c r="I7"/>
      <c r="J7" s="965">
        <f>ABS($H$1/J6)</f>
        <v>71.192331845452358</v>
      </c>
      <c r="K7" s="965">
        <f>ABS($H$1/K6)</f>
        <v>103.55248268429433</v>
      </c>
      <c r="L7" s="965">
        <f>ABS($H$1/L6)</f>
        <v>124.31910977223387</v>
      </c>
      <c r="M7" s="967" t="s">
        <v>222</v>
      </c>
      <c r="N7"/>
      <c r="O7" s="995"/>
    </row>
    <row r="8" spans="2:15" ht="20" hidden="1" x14ac:dyDescent="0.2">
      <c r="B8" s="483" t="s">
        <v>19</v>
      </c>
      <c r="C8" s="483">
        <f>+AS142</f>
        <v>747.0023123282715</v>
      </c>
      <c r="G8" s="997" t="s">
        <v>229</v>
      </c>
      <c r="H8" s="1077">
        <f>(+COS(($B$132*-1)*3.14159265358979/180)*H3)</f>
        <v>215</v>
      </c>
      <c r="I8"/>
      <c r="J8" s="1733">
        <f>ABS($E$22/BQ29)</f>
        <v>101.25131640242114</v>
      </c>
      <c r="K8" s="1733"/>
      <c r="L8" s="1733">
        <f>ABS($E$22/CO29)</f>
        <v>55.252937676548392</v>
      </c>
      <c r="M8" s="1734" t="s">
        <v>350</v>
      </c>
      <c r="N8" s="1732"/>
      <c r="O8" s="995"/>
    </row>
    <row r="9" spans="2:15" ht="21" hidden="1" thickBot="1" x14ac:dyDescent="0.25">
      <c r="B9" s="483" t="s">
        <v>14</v>
      </c>
      <c r="C9" s="483">
        <f>+AP138</f>
        <v>269.97737163870869</v>
      </c>
      <c r="G9" s="994" t="s">
        <v>227</v>
      </c>
      <c r="H9" s="1077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B10" s="1574" t="s">
        <v>62</v>
      </c>
      <c r="C10" s="1575">
        <v>57</v>
      </c>
      <c r="D10" s="1576" t="s">
        <v>310</v>
      </c>
      <c r="G10" s="998"/>
      <c r="H10"/>
      <c r="I10" s="984">
        <v>2</v>
      </c>
      <c r="J10" s="959" t="s">
        <v>235</v>
      </c>
      <c r="K10" s="959"/>
      <c r="L10" s="960"/>
      <c r="M10" s="960"/>
      <c r="N10"/>
      <c r="O10" s="995"/>
    </row>
    <row r="11" spans="2:15" ht="20" hidden="1" x14ac:dyDescent="0.2">
      <c r="B11" s="483" t="s">
        <v>332</v>
      </c>
      <c r="C11" s="1575">
        <f>+(B139*C10)+31</f>
        <v>88</v>
      </c>
      <c r="G11" s="994" t="s">
        <v>226</v>
      </c>
      <c r="H11" s="1077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1" hidden="1" thickBot="1" x14ac:dyDescent="0.25">
      <c r="B12" s="483" t="s">
        <v>169</v>
      </c>
      <c r="C12" s="394">
        <v>747</v>
      </c>
      <c r="D12" s="397"/>
      <c r="G12" s="998"/>
      <c r="H12" s="37"/>
      <c r="I12"/>
      <c r="J12" s="963">
        <f>(CB32)</f>
        <v>177.48331841292983</v>
      </c>
      <c r="K12" s="963">
        <f>((+H8-H11)/H8*CZ32)</f>
        <v>-101.89669949155444</v>
      </c>
      <c r="L12" s="963">
        <f>(H11/H8*CZ32)</f>
        <v>148.21338107862465</v>
      </c>
      <c r="M12" s="961" t="s">
        <v>223</v>
      </c>
      <c r="N12"/>
      <c r="O12" s="995"/>
    </row>
    <row r="13" spans="2:15" ht="21" hidden="1" thickBot="1" x14ac:dyDescent="0.25">
      <c r="B13" s="1574" t="s">
        <v>132</v>
      </c>
      <c r="C13" s="1575">
        <v>40.5</v>
      </c>
      <c r="D13" s="1576" t="s">
        <v>273</v>
      </c>
      <c r="G13" s="998"/>
      <c r="H13"/>
      <c r="I13"/>
      <c r="J13" s="965">
        <f>ABS($H$1/J12)</f>
        <v>101.41798204449553</v>
      </c>
      <c r="K13" s="965">
        <f>ABS($H$1/K12)</f>
        <v>176.64949002093934</v>
      </c>
      <c r="L13" s="965">
        <f>ABS($H$1/L12)</f>
        <v>121.44652438939578</v>
      </c>
      <c r="M13" s="967" t="s">
        <v>222</v>
      </c>
      <c r="N13"/>
      <c r="O13" s="995"/>
    </row>
    <row r="14" spans="2:15" ht="20" hidden="1" x14ac:dyDescent="0.2">
      <c r="B14" s="483" t="s">
        <v>274</v>
      </c>
      <c r="C14" s="1575">
        <f>+(B161*C13)+31</f>
        <v>71.5</v>
      </c>
      <c r="D14" s="397"/>
      <c r="G14" s="998"/>
      <c r="H14"/>
      <c r="I14"/>
      <c r="J14" s="1733">
        <f>ABS($E$22/CB32)</f>
        <v>45.074658686442454</v>
      </c>
      <c r="K14" s="1733"/>
      <c r="L14" s="1733">
        <f>ABS($E$22/CZ32)</f>
        <v>172.7239457982518</v>
      </c>
      <c r="M14" s="1734" t="s">
        <v>350</v>
      </c>
      <c r="N14"/>
      <c r="O14" s="995"/>
    </row>
    <row r="15" spans="2:15" ht="19" hidden="1" thickBot="1" x14ac:dyDescent="0.25">
      <c r="B15" s="483" t="s">
        <v>133</v>
      </c>
      <c r="C15" s="394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1" hidden="1" thickBot="1" x14ac:dyDescent="0.25">
      <c r="B16" s="1574" t="s">
        <v>275</v>
      </c>
      <c r="C16" s="1575">
        <v>29.3</v>
      </c>
      <c r="D16" s="1576" t="s">
        <v>276</v>
      </c>
      <c r="G16" s="994" t="s">
        <v>231</v>
      </c>
      <c r="H16" s="1077">
        <f>+D2+H7-BL106</f>
        <v>-7.4773579361057045</v>
      </c>
      <c r="I16" s="984" t="s">
        <v>251</v>
      </c>
      <c r="J16" s="971" t="s">
        <v>232</v>
      </c>
      <c r="K16" s="1725"/>
      <c r="L16" s="1725"/>
      <c r="M16" s="1725"/>
      <c r="N16"/>
      <c r="O16" s="995"/>
    </row>
    <row r="17" spans="2:144" ht="20" hidden="1" x14ac:dyDescent="0.2">
      <c r="B17" s="483" t="s">
        <v>275</v>
      </c>
      <c r="C17" s="1575">
        <f>+(B192*C16)</f>
        <v>29.3</v>
      </c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44" ht="20" hidden="1" x14ac:dyDescent="0.2">
      <c r="B18" s="483" t="s">
        <v>277</v>
      </c>
      <c r="C18" s="394"/>
      <c r="D18" s="397"/>
      <c r="G18" s="998"/>
      <c r="H18"/>
      <c r="I18"/>
      <c r="J18" s="963">
        <f>+H16/H8*BQ27</f>
        <v>-7.7834079353509615</v>
      </c>
      <c r="K18" s="963">
        <f>((H8-H16)/H8)*BQ27</f>
        <v>231.58340793535098</v>
      </c>
      <c r="L18" s="963"/>
      <c r="M18" s="961" t="s">
        <v>223</v>
      </c>
      <c r="N18"/>
      <c r="O18" s="995"/>
    </row>
    <row r="19" spans="2:144" ht="20" hidden="1" x14ac:dyDescent="0.2">
      <c r="B19" s="399"/>
      <c r="C19" s="399"/>
      <c r="D19" s="397"/>
      <c r="G19" s="998"/>
      <c r="H19"/>
      <c r="I19"/>
      <c r="J19" s="965">
        <f>ABS($H$1/J18)</f>
        <v>2312.6116669597841</v>
      </c>
      <c r="K19" s="965">
        <f>ABS($H$1/K18)</f>
        <v>77.725775609213315</v>
      </c>
      <c r="L19" s="965"/>
      <c r="M19" s="967" t="s">
        <v>222</v>
      </c>
      <c r="N19"/>
      <c r="O19" s="995"/>
    </row>
    <row r="20" spans="2:144" ht="38" hidden="1" x14ac:dyDescent="0.2">
      <c r="B20" s="484" t="s">
        <v>76</v>
      </c>
      <c r="C20" s="1579">
        <v>5800</v>
      </c>
      <c r="D20" s="1579">
        <v>10000</v>
      </c>
      <c r="G20" s="998"/>
      <c r="H20"/>
      <c r="I20"/>
      <c r="J20" s="1733">
        <f>ABS($E$22/BQ27)</f>
        <v>35.746201966041106</v>
      </c>
      <c r="K20" s="1733"/>
      <c r="L20" s="1733"/>
      <c r="M20" s="1734" t="s">
        <v>350</v>
      </c>
      <c r="N20"/>
      <c r="O20" s="995"/>
    </row>
    <row r="21" spans="2:144" ht="39" hidden="1" thickBot="1" x14ac:dyDescent="0.25">
      <c r="B21" s="484" t="s">
        <v>77</v>
      </c>
      <c r="C21" s="1579">
        <v>5800</v>
      </c>
      <c r="D21" s="1579">
        <v>5800</v>
      </c>
      <c r="G21" s="998"/>
      <c r="H21"/>
      <c r="I21"/>
      <c r="J21" s="59"/>
      <c r="K21" s="59"/>
      <c r="L21" s="59"/>
      <c r="M21" s="59"/>
      <c r="N21"/>
      <c r="O21" s="995"/>
    </row>
    <row r="22" spans="2:144" ht="39" hidden="1" thickBot="1" x14ac:dyDescent="0.25">
      <c r="B22" s="484" t="s">
        <v>78</v>
      </c>
      <c r="C22" s="1579">
        <v>8000</v>
      </c>
      <c r="D22" s="1579">
        <v>8000</v>
      </c>
      <c r="E22" s="49">
        <v>8000</v>
      </c>
      <c r="G22" s="994" t="s">
        <v>219</v>
      </c>
      <c r="H22" s="1077">
        <f>(+COS(($B$132*-1)*3.14159265358979/180)*(H4))</f>
        <v>860</v>
      </c>
      <c r="I22" s="984" t="s">
        <v>251</v>
      </c>
      <c r="J22" s="971" t="s">
        <v>254</v>
      </c>
      <c r="K22" s="1725"/>
      <c r="L22" s="1725"/>
      <c r="M22" s="1725"/>
      <c r="N22"/>
      <c r="O22" s="995"/>
    </row>
    <row r="23" spans="2:144" ht="20" hidden="1" x14ac:dyDescent="0.2">
      <c r="B23" s="1579"/>
      <c r="C23" s="1579" t="s">
        <v>20</v>
      </c>
      <c r="D23" s="1579" t="s">
        <v>21</v>
      </c>
      <c r="G23" s="994" t="s">
        <v>234</v>
      </c>
      <c r="H23" s="1092">
        <f>+BL106-H22+H7</f>
        <v>-164.5226420638943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44" ht="20" hidden="1" x14ac:dyDescent="0.2">
      <c r="B24" s="1580" t="s">
        <v>64</v>
      </c>
      <c r="C24" s="1579">
        <f>+((C8-C9)/C8)*C7</f>
        <v>142.91546353260696</v>
      </c>
      <c r="D24" s="1579">
        <f>+(C9/C8)*C7</f>
        <v>80.884536467393048</v>
      </c>
      <c r="G24" s="998"/>
      <c r="H24"/>
      <c r="I24"/>
      <c r="J24" s="963"/>
      <c r="K24" s="963">
        <f>((+H8-H23)/H8*BQ27)</f>
        <v>395.05659206464907</v>
      </c>
      <c r="L24" s="963">
        <f>(H23/H8*BQ27)</f>
        <v>-171.25659206464906</v>
      </c>
      <c r="M24" s="961" t="s">
        <v>223</v>
      </c>
      <c r="N24"/>
      <c r="O24" s="995"/>
    </row>
    <row r="25" spans="2:144" ht="20" hidden="1" x14ac:dyDescent="0.2">
      <c r="G25" s="998"/>
      <c r="H25"/>
      <c r="I25"/>
      <c r="J25" s="965"/>
      <c r="K25" s="965">
        <f>ABS($H$1/K24)</f>
        <v>45.563092381089511</v>
      </c>
      <c r="L25" s="965">
        <f>ABS($H$1/L24)</f>
        <v>105.10544314232898</v>
      </c>
      <c r="M25" s="967" t="s">
        <v>222</v>
      </c>
      <c r="N25"/>
      <c r="O25" s="995"/>
    </row>
    <row r="26" spans="2:144" ht="20" hidden="1" x14ac:dyDescent="0.2">
      <c r="G26" s="998"/>
      <c r="H26"/>
      <c r="I26"/>
      <c r="J26" s="1733"/>
      <c r="K26" s="1733"/>
      <c r="L26" s="1733">
        <f>ABS($E$22/BQ27)</f>
        <v>35.746201966041106</v>
      </c>
      <c r="M26" s="1734" t="s">
        <v>350</v>
      </c>
      <c r="N26"/>
      <c r="O26" s="995"/>
    </row>
    <row r="27" spans="2:144" ht="32.25" customHeight="1" thickBot="1" x14ac:dyDescent="0.25">
      <c r="G27" s="998"/>
      <c r="H27"/>
      <c r="I27"/>
      <c r="J27" s="59"/>
      <c r="K27" s="59"/>
      <c r="L27" s="59"/>
      <c r="M27" s="59"/>
      <c r="N27"/>
      <c r="O27" s="995"/>
      <c r="BE27" s="64"/>
      <c r="BF27" s="64"/>
      <c r="BG27" s="64"/>
      <c r="BH27" s="64"/>
      <c r="BO27" s="64"/>
      <c r="BP27" s="75" t="s">
        <v>25</v>
      </c>
      <c r="BQ27" s="1814">
        <f>+C7</f>
        <v>223.8</v>
      </c>
      <c r="BR27" s="1814"/>
      <c r="BS27" s="76" t="s">
        <v>17</v>
      </c>
      <c r="BT27" s="76"/>
      <c r="BU27" s="77" t="s">
        <v>333</v>
      </c>
      <c r="BV27" s="78"/>
      <c r="BW27" s="78"/>
      <c r="BX27" s="78"/>
      <c r="BY27" s="78"/>
      <c r="BZ27" s="78"/>
      <c r="CA27" s="78"/>
      <c r="CB27" s="78"/>
      <c r="CC27" s="78"/>
      <c r="CD27" s="78"/>
      <c r="CE27" s="78"/>
      <c r="CF27" s="78"/>
      <c r="CG27" s="78"/>
      <c r="CH27" s="78"/>
      <c r="CI27" s="78"/>
      <c r="CJ27" s="78"/>
      <c r="CK27" s="78"/>
      <c r="CL27" s="78"/>
      <c r="CM27" s="78"/>
      <c r="CN27" s="78"/>
      <c r="CO27" s="78"/>
      <c r="CP27" s="78"/>
      <c r="CQ27" s="78"/>
      <c r="CR27" s="78"/>
      <c r="CS27" s="78"/>
      <c r="CT27" s="78"/>
      <c r="CU27" s="78"/>
      <c r="CV27" s="78"/>
      <c r="CW27" s="78"/>
      <c r="CX27" s="78"/>
      <c r="CY27" s="78"/>
      <c r="CZ27" s="78"/>
      <c r="DA27" s="78"/>
      <c r="DB27" s="78"/>
      <c r="DC27" s="78"/>
      <c r="DD27" s="78"/>
    </row>
    <row r="28" spans="2:144" s="64" customFormat="1" ht="47.25" customHeight="1" thickBot="1" x14ac:dyDescent="0.3">
      <c r="B28" s="73"/>
      <c r="C28" s="73"/>
      <c r="G28" s="998"/>
      <c r="H28"/>
      <c r="I28" s="984">
        <v>60</v>
      </c>
      <c r="J28" s="970" t="s">
        <v>241</v>
      </c>
      <c r="K28" s="1726"/>
      <c r="L28" s="1726"/>
      <c r="M28" s="1726"/>
      <c r="N28"/>
      <c r="O28" s="995"/>
      <c r="BD28"/>
      <c r="BE28" s="85"/>
      <c r="BF28" s="85"/>
      <c r="BG28" s="85"/>
      <c r="BH28" s="85"/>
      <c r="BI28"/>
      <c r="BJ28"/>
      <c r="BK28"/>
      <c r="BL28"/>
      <c r="BM28" s="81" t="b">
        <f>AND(BQ29&gt;0,CO29&gt;0)</f>
        <v>1</v>
      </c>
      <c r="BN28" s="952" t="str">
        <f>IF(BM28=TRUE,"","negative force at the motor")</f>
        <v/>
      </c>
      <c r="BO28" s="1095" t="s">
        <v>128</v>
      </c>
      <c r="BP28" s="740" t="s">
        <v>27</v>
      </c>
      <c r="BQ28" s="776" t="s">
        <v>28</v>
      </c>
      <c r="BR28" s="777"/>
      <c r="BS28" s="777"/>
      <c r="BT28" s="777"/>
      <c r="BU28" s="777"/>
      <c r="BV28" s="777"/>
      <c r="BW28" s="777"/>
      <c r="BX28" s="777"/>
      <c r="BY28" s="777"/>
      <c r="BZ28" s="777"/>
      <c r="CA28" s="777"/>
      <c r="CB28" s="777"/>
      <c r="CC28" s="777"/>
      <c r="CD28" s="777"/>
      <c r="CE28" s="777"/>
      <c r="CF28" s="777"/>
      <c r="CG28" s="777"/>
      <c r="CH28" s="777"/>
      <c r="CI28" s="884"/>
      <c r="CJ28" s="777"/>
      <c r="CK28" s="885"/>
      <c r="CL28" s="885"/>
      <c r="CM28" s="885"/>
      <c r="CN28" s="885"/>
      <c r="CO28" s="777"/>
      <c r="CP28" s="782" t="s">
        <v>29</v>
      </c>
      <c r="CQ28" s="1801"/>
      <c r="CR28" s="1801"/>
      <c r="CS28" s="1801"/>
      <c r="CT28" s="1801"/>
      <c r="CU28" s="1801"/>
      <c r="CV28" s="1801"/>
      <c r="CW28" s="1801"/>
      <c r="CX28" s="1801"/>
      <c r="CY28" s="1801"/>
      <c r="CZ28" s="1801"/>
      <c r="DA28" s="1802"/>
      <c r="DB28" s="78"/>
      <c r="DC28" s="78"/>
      <c r="DD28" s="78"/>
      <c r="DE28"/>
      <c r="DF28"/>
      <c r="DG28"/>
      <c r="DH28"/>
      <c r="DI28"/>
      <c r="DJ28"/>
      <c r="DK28"/>
      <c r="DL28"/>
      <c r="DM28"/>
      <c r="DN28"/>
      <c r="DO28"/>
      <c r="DP28"/>
      <c r="DQ28"/>
      <c r="DR28"/>
      <c r="DS28"/>
      <c r="DT28"/>
      <c r="DU28"/>
      <c r="DV28"/>
      <c r="DW28"/>
      <c r="DX28"/>
      <c r="DY28"/>
      <c r="DZ28"/>
      <c r="EA28"/>
      <c r="EB28"/>
      <c r="EC28"/>
      <c r="ED28"/>
      <c r="EE28"/>
      <c r="EF28"/>
      <c r="EG28"/>
      <c r="EH28"/>
      <c r="EI28"/>
      <c r="EJ28"/>
      <c r="EK28"/>
      <c r="EL28"/>
      <c r="EM28"/>
      <c r="EN28"/>
    </row>
    <row r="29" spans="2:144" ht="45" customHeight="1" thickBot="1" x14ac:dyDescent="0.3"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  <c r="U29" s="114"/>
      <c r="BE29" s="85"/>
      <c r="BF29" s="85"/>
      <c r="BG29" s="85"/>
      <c r="BH29" s="85"/>
      <c r="BL29" s="968">
        <v>1</v>
      </c>
      <c r="BM29" s="1762" t="b">
        <f>AND(BO29&gt;=10,$BB$142&gt;=10,$BA$142&gt;=10,$BB$164&gt;=10,$BA$164&gt;=10,$BA$195&gt;=10,$BB$195&gt;=10)</f>
        <v>1</v>
      </c>
      <c r="BN29" s="84" t="str">
        <f>IF(BM29=TRUE,"O K","OVERLOAD")</f>
        <v>O K</v>
      </c>
      <c r="BO29" s="982">
        <f>+MIN(J7:L8)</f>
        <v>55.252937676548392</v>
      </c>
      <c r="BP29" s="741" t="s">
        <v>180</v>
      </c>
      <c r="BQ29" s="1809">
        <f>+((D4-D5)/D4)*C7</f>
        <v>79.011318412929811</v>
      </c>
      <c r="BR29" s="1810"/>
      <c r="BS29" s="783"/>
      <c r="BT29" s="783"/>
      <c r="BU29" s="783"/>
      <c r="BV29" s="784"/>
      <c r="BW29" s="784"/>
      <c r="BX29" s="784"/>
      <c r="BY29" s="886"/>
      <c r="BZ29" s="886"/>
      <c r="CA29" s="886"/>
      <c r="CB29" s="886"/>
      <c r="CC29" s="886"/>
      <c r="CD29" s="886"/>
      <c r="CE29" s="886"/>
      <c r="CF29" s="886"/>
      <c r="CG29" s="886"/>
      <c r="CH29" s="886"/>
      <c r="CI29" s="887"/>
      <c r="CJ29" s="783"/>
      <c r="CK29" s="783"/>
      <c r="CL29" s="783"/>
      <c r="CM29" s="784"/>
      <c r="CN29" s="784"/>
      <c r="CO29" s="1799">
        <f>+(D5/D4)*C7</f>
        <v>144.78868158707022</v>
      </c>
      <c r="CP29" s="1800"/>
      <c r="CQ29" s="1803"/>
      <c r="CR29" s="1803"/>
      <c r="CS29" s="1803"/>
      <c r="CT29" s="1803"/>
      <c r="CU29" s="1803"/>
      <c r="CV29" s="1803"/>
      <c r="CW29" s="1803"/>
      <c r="CX29" s="1803"/>
      <c r="CY29" s="1803"/>
      <c r="CZ29" s="1803"/>
      <c r="DA29" s="1804"/>
      <c r="DB29" s="78"/>
      <c r="DC29" s="78"/>
      <c r="DD29" s="78"/>
    </row>
    <row r="30" spans="2:144" ht="12" customHeight="1" thickBot="1" x14ac:dyDescent="0.3">
      <c r="G30" s="1000"/>
      <c r="H30" s="63"/>
      <c r="I30"/>
      <c r="J30" s="963"/>
      <c r="K30" s="963">
        <f>((+H8-H23)/H8*BQ27)</f>
        <v>395.05659206464907</v>
      </c>
      <c r="L30" s="963">
        <f>(H23/H8*BQ27)</f>
        <v>-171.25659206464906</v>
      </c>
      <c r="M30" s="961" t="s">
        <v>223</v>
      </c>
      <c r="N30"/>
      <c r="O30" s="995"/>
      <c r="BE30" s="85"/>
      <c r="BF30" s="85"/>
      <c r="BG30" s="85"/>
      <c r="BH30" s="85"/>
      <c r="BN30" s="86"/>
      <c r="BO30" s="85"/>
      <c r="BP30" s="87"/>
      <c r="BQ30" s="88"/>
      <c r="BR30" s="88"/>
      <c r="BS30" s="87"/>
      <c r="BT30" s="87"/>
      <c r="BU30" s="87"/>
      <c r="BV30" s="87"/>
      <c r="BW30" s="87"/>
      <c r="BX30" s="87"/>
      <c r="BY30" s="87"/>
      <c r="BZ30" s="87"/>
      <c r="CA30" s="87"/>
      <c r="CB30" s="87"/>
      <c r="CC30" s="87"/>
      <c r="CD30" s="87"/>
      <c r="CE30" s="87"/>
      <c r="CF30" s="87"/>
      <c r="CG30" s="87"/>
      <c r="CH30" s="87"/>
      <c r="CJ30" s="76"/>
      <c r="CK30" s="76"/>
      <c r="CL30" s="88"/>
      <c r="CM30" s="89"/>
      <c r="CN30" s="89"/>
      <c r="CO30" s="89"/>
      <c r="CP30" s="89"/>
      <c r="CQ30" s="89"/>
      <c r="CR30" s="89"/>
      <c r="CS30" s="89"/>
      <c r="CT30" s="89"/>
      <c r="CU30" s="89"/>
      <c r="CV30" s="89"/>
      <c r="CW30" s="89"/>
      <c r="CX30" s="89"/>
      <c r="CY30" s="89"/>
      <c r="CZ30" s="89"/>
      <c r="DA30" s="89"/>
      <c r="DB30" s="89"/>
      <c r="DC30" s="78"/>
      <c r="DD30" s="78"/>
    </row>
    <row r="31" spans="2:144" ht="47.25" customHeight="1" thickBot="1" x14ac:dyDescent="0.3">
      <c r="F31" s="486"/>
      <c r="G31" s="1000"/>
      <c r="H31" s="63"/>
      <c r="I31"/>
      <c r="J31" s="965"/>
      <c r="K31" s="965">
        <f>ABS($H$1/K30)</f>
        <v>45.563092381089511</v>
      </c>
      <c r="L31" s="965">
        <f>ABS($H$1/L30)</f>
        <v>105.10544314232898</v>
      </c>
      <c r="M31" s="967" t="s">
        <v>222</v>
      </c>
      <c r="N31"/>
      <c r="O31" s="995"/>
      <c r="BE31" s="85"/>
      <c r="BF31" s="85"/>
      <c r="BG31" s="85"/>
      <c r="BH31" s="85"/>
      <c r="BM31" s="81" t="b">
        <f>AND(CB32&gt;0,CZ32&gt;0)</f>
        <v>1</v>
      </c>
      <c r="BN31" s="952" t="str">
        <f>IF(BM31=TRUE,"","negative force at the motor")</f>
        <v/>
      </c>
      <c r="BO31" s="1095" t="s">
        <v>128</v>
      </c>
      <c r="BP31" s="742" t="s">
        <v>27</v>
      </c>
      <c r="BQ31" s="1833"/>
      <c r="BR31" s="1834"/>
      <c r="BS31" s="1834"/>
      <c r="BT31" s="1834"/>
      <c r="BU31" s="1834"/>
      <c r="BV31" s="1834"/>
      <c r="BW31" s="1834"/>
      <c r="BX31" s="1834"/>
      <c r="BY31" s="1834"/>
      <c r="BZ31" s="1834"/>
      <c r="CA31" s="1834"/>
      <c r="CB31" s="772" t="s">
        <v>28</v>
      </c>
      <c r="CC31" s="774"/>
      <c r="CD31" s="774"/>
      <c r="CE31" s="774"/>
      <c r="CF31" s="774"/>
      <c r="CG31" s="774"/>
      <c r="CH31" s="774"/>
      <c r="CI31" s="774"/>
      <c r="CJ31" s="774"/>
      <c r="CK31" s="774"/>
      <c r="CL31" s="774"/>
      <c r="CM31" s="774"/>
      <c r="CN31" s="888"/>
      <c r="CO31" s="765"/>
      <c r="CP31" s="765"/>
      <c r="CQ31" s="765"/>
      <c r="CR31" s="765"/>
      <c r="CS31" s="889"/>
      <c r="CT31" s="889"/>
      <c r="CU31" s="888"/>
      <c r="CV31" s="888"/>
      <c r="CW31" s="888"/>
      <c r="CX31" s="888"/>
      <c r="CY31" s="888"/>
      <c r="CZ31" s="765"/>
      <c r="DA31" s="766" t="s">
        <v>29</v>
      </c>
      <c r="DB31" s="90"/>
      <c r="DC31" s="78"/>
      <c r="DD31" s="78"/>
    </row>
    <row r="32" spans="2:144" ht="45" customHeight="1" thickBot="1" x14ac:dyDescent="0.3">
      <c r="G32" s="1000"/>
      <c r="H32" s="63"/>
      <c r="I32"/>
      <c r="J32" s="1733"/>
      <c r="K32" s="1733"/>
      <c r="L32" s="1733">
        <f>ABS($E$22/BQ27)*2</f>
        <v>71.492403932082212</v>
      </c>
      <c r="M32" s="1734" t="s">
        <v>350</v>
      </c>
      <c r="N32" s="1730" t="s">
        <v>352</v>
      </c>
      <c r="O32" s="995"/>
      <c r="BL32" s="968">
        <v>2</v>
      </c>
      <c r="BM32" s="1762" t="b">
        <f>AND(BO32&gt;=10,$BB$142&gt;=10,$BA$142&gt;=10,$BB$164&gt;=10,$BA$164&gt;=10,$BA$195&gt;=10,$BB$195&gt;=10)</f>
        <v>1</v>
      </c>
      <c r="BN32" s="84" t="str">
        <f>IF(BM32=TRUE,"O K","OVERLOAD")</f>
        <v>O K</v>
      </c>
      <c r="BO32" s="982">
        <f>+MIN(J13:L14)</f>
        <v>45.074658686442454</v>
      </c>
      <c r="BP32" s="743" t="s">
        <v>126</v>
      </c>
      <c r="BQ32" s="1835"/>
      <c r="BR32" s="1836"/>
      <c r="BS32" s="1836"/>
      <c r="BT32" s="1836"/>
      <c r="BU32" s="1836"/>
      <c r="BV32" s="1836"/>
      <c r="BW32" s="1836"/>
      <c r="BX32" s="1836"/>
      <c r="BY32" s="1836"/>
      <c r="BZ32" s="1836"/>
      <c r="CA32" s="1836"/>
      <c r="CB32" s="1840">
        <f>+((D4-D3)/D4)*C7</f>
        <v>177.48331841292983</v>
      </c>
      <c r="CC32" s="1841"/>
      <c r="CD32" s="890"/>
      <c r="CE32" s="890"/>
      <c r="CF32" s="890"/>
      <c r="CG32" s="890"/>
      <c r="CH32" s="890"/>
      <c r="CI32" s="890"/>
      <c r="CJ32" s="890"/>
      <c r="CK32" s="890"/>
      <c r="CL32" s="890"/>
      <c r="CM32" s="890"/>
      <c r="CN32" s="891"/>
      <c r="CO32" s="892"/>
      <c r="CP32" s="892"/>
      <c r="CQ32" s="892"/>
      <c r="CR32" s="892"/>
      <c r="CS32" s="893"/>
      <c r="CT32" s="893"/>
      <c r="CU32" s="883"/>
      <c r="CV32" s="883"/>
      <c r="CW32" s="883"/>
      <c r="CX32" s="883"/>
      <c r="CY32" s="883"/>
      <c r="CZ32" s="1797">
        <f>+(D3/D4)*C7</f>
        <v>46.3166815870702</v>
      </c>
      <c r="DA32" s="1798"/>
      <c r="DB32" s="92"/>
      <c r="DC32" s="78"/>
      <c r="DD32" s="78"/>
    </row>
    <row r="33" spans="2:144" ht="16" customHeight="1" thickBot="1" x14ac:dyDescent="0.3">
      <c r="G33" s="1000"/>
      <c r="H33" s="63"/>
      <c r="I33"/>
      <c r="J33" s="59"/>
      <c r="K33" s="59"/>
      <c r="L33" s="59"/>
      <c r="M33" s="59"/>
      <c r="N33"/>
      <c r="O33" s="995"/>
      <c r="BN33" s="86"/>
      <c r="BO33" s="18"/>
      <c r="BP33" s="93"/>
      <c r="BQ33" s="93"/>
      <c r="BR33" s="93"/>
      <c r="BS33" s="93"/>
      <c r="BT33" s="93"/>
      <c r="BU33" s="93"/>
      <c r="BV33" s="93"/>
      <c r="BW33" s="93"/>
      <c r="BX33" s="93"/>
      <c r="BY33" s="94"/>
      <c r="BZ33" s="94"/>
      <c r="CA33" s="89"/>
      <c r="CB33" s="89"/>
      <c r="CC33" s="89"/>
      <c r="CD33" s="89"/>
      <c r="CE33" s="89"/>
      <c r="CF33" s="89"/>
      <c r="CG33" s="89"/>
      <c r="CH33" s="89"/>
      <c r="CI33" s="89"/>
      <c r="CJ33" s="89"/>
      <c r="CK33" s="89"/>
      <c r="CL33" s="89"/>
      <c r="CM33" s="89"/>
      <c r="CN33" s="37"/>
      <c r="CO33" s="95"/>
      <c r="CP33" s="95"/>
      <c r="CQ33" s="95"/>
      <c r="CR33" s="95"/>
      <c r="CS33" s="92"/>
      <c r="CT33" s="92"/>
      <c r="CU33" s="92"/>
      <c r="CV33" s="92"/>
      <c r="CW33" s="92"/>
      <c r="CX33" s="92"/>
      <c r="CY33" s="92"/>
      <c r="CZ33" s="92"/>
      <c r="DA33" s="92"/>
      <c r="DB33" s="92"/>
      <c r="DC33" s="78"/>
      <c r="DD33" s="78"/>
    </row>
    <row r="34" spans="2:144" ht="47.25" customHeight="1" thickBot="1" x14ac:dyDescent="0.25">
      <c r="E34" s="397"/>
      <c r="F34" s="397"/>
      <c r="G34" s="1000"/>
      <c r="H34" s="63"/>
      <c r="I34" s="984">
        <v>61</v>
      </c>
      <c r="J34" s="970" t="s">
        <v>255</v>
      </c>
      <c r="K34" s="1726"/>
      <c r="L34" s="1726"/>
      <c r="M34" s="1726"/>
      <c r="N34"/>
      <c r="O34" s="995"/>
      <c r="BM34" s="81" t="b">
        <f>AND(CB35&gt;0,CQ35&gt;0)</f>
        <v>1</v>
      </c>
      <c r="BN34" s="952" t="str">
        <f>IF(BM34=TRUE,"","negative force at the motor")</f>
        <v/>
      </c>
      <c r="BO34" s="1095" t="s">
        <v>128</v>
      </c>
      <c r="BP34" s="744" t="s">
        <v>27</v>
      </c>
      <c r="BQ34" s="1822"/>
      <c r="BR34" s="1823"/>
      <c r="BS34" s="1823"/>
      <c r="BT34" s="1823"/>
      <c r="BU34" s="1823"/>
      <c r="BV34" s="1823"/>
      <c r="BW34" s="1823"/>
      <c r="BX34" s="1823"/>
      <c r="BY34" s="1823"/>
      <c r="BZ34" s="1823"/>
      <c r="CA34" s="1823"/>
      <c r="CB34" s="894" t="s">
        <v>28</v>
      </c>
      <c r="CC34" s="895"/>
      <c r="CD34" s="895"/>
      <c r="CE34" s="895"/>
      <c r="CF34" s="895"/>
      <c r="CG34" s="895"/>
      <c r="CH34" s="895"/>
      <c r="CI34" s="896"/>
      <c r="CJ34" s="895"/>
      <c r="CK34" s="897"/>
      <c r="CL34" s="897"/>
      <c r="CM34" s="895"/>
      <c r="CN34" s="895"/>
      <c r="CO34" s="895"/>
      <c r="CP34" s="895"/>
      <c r="CQ34" s="895"/>
      <c r="CR34" s="898" t="s">
        <v>29</v>
      </c>
      <c r="CS34" s="1801"/>
      <c r="CT34" s="1801"/>
      <c r="CU34" s="1801"/>
      <c r="CV34" s="1801"/>
      <c r="CW34" s="1801"/>
      <c r="CX34" s="1801"/>
      <c r="CY34" s="1801"/>
      <c r="CZ34" s="1801"/>
      <c r="DA34" s="1802"/>
      <c r="DB34" s="89"/>
      <c r="DC34" s="78"/>
      <c r="DD34" s="78"/>
    </row>
    <row r="35" spans="2:144" ht="45" customHeight="1" thickBot="1" x14ac:dyDescent="0.3">
      <c r="E35" s="397"/>
      <c r="F35" s="397"/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  <c r="BL35" s="968">
        <v>3</v>
      </c>
      <c r="BM35" s="1762" t="b">
        <f>AND(BO35&gt;=10,$BB$142&gt;=10,$BA$142&gt;=10,$BB$164&gt;=10,$BA$164&gt;=10,$BA$195&gt;=10,$BB$195&gt;=10)</f>
        <v>1</v>
      </c>
      <c r="BN35" s="84" t="str">
        <f>IF(BM35=TRUE,"O K","OVERLOAD")</f>
        <v>O K</v>
      </c>
      <c r="BO35" s="983">
        <f>+$E$22/(MAX(CB35,CQ35))</f>
        <v>52.829625737647291</v>
      </c>
      <c r="BP35" s="745" t="s">
        <v>123</v>
      </c>
      <c r="BQ35" s="1824"/>
      <c r="BR35" s="1825"/>
      <c r="BS35" s="1825"/>
      <c r="BT35" s="1825"/>
      <c r="BU35" s="1825"/>
      <c r="BV35" s="1825"/>
      <c r="BW35" s="1825"/>
      <c r="BX35" s="1825"/>
      <c r="BY35" s="1825"/>
      <c r="BZ35" s="1825"/>
      <c r="CA35" s="1825"/>
      <c r="CB35" s="1807">
        <f>+((D2-D3)/D2)*C7</f>
        <v>151.43018502020286</v>
      </c>
      <c r="CC35" s="1808"/>
      <c r="CD35" s="899"/>
      <c r="CE35" s="899"/>
      <c r="CF35" s="899"/>
      <c r="CG35" s="899"/>
      <c r="CH35" s="899"/>
      <c r="CI35" s="900"/>
      <c r="CJ35" s="899"/>
      <c r="CK35" s="901"/>
      <c r="CL35" s="901"/>
      <c r="CM35" s="902"/>
      <c r="CN35" s="902"/>
      <c r="CO35" s="902"/>
      <c r="CP35" s="902"/>
      <c r="CQ35" s="1795">
        <f>+(D3/D2)*C7</f>
        <v>72.369814979797198</v>
      </c>
      <c r="CR35" s="1796"/>
      <c r="CS35" s="1803"/>
      <c r="CT35" s="1803"/>
      <c r="CU35" s="1803"/>
      <c r="CV35" s="1803"/>
      <c r="CW35" s="1803"/>
      <c r="CX35" s="1803"/>
      <c r="CY35" s="1803"/>
      <c r="CZ35" s="1803"/>
      <c r="DA35" s="1804"/>
      <c r="DB35" s="89"/>
      <c r="DC35" s="78"/>
      <c r="DD35" s="78"/>
    </row>
    <row r="36" spans="2:144" ht="24.75" hidden="1" customHeight="1" x14ac:dyDescent="0.25">
      <c r="E36" s="397"/>
      <c r="F36" s="397"/>
      <c r="G36" s="1000"/>
      <c r="H36" s="63"/>
      <c r="I36"/>
      <c r="J36" s="963">
        <f>+H16/H8*BQ27</f>
        <v>-7.7834079353509615</v>
      </c>
      <c r="K36" s="963">
        <f>((H8-H16)/H8)*BQ27</f>
        <v>231.58340793535098</v>
      </c>
      <c r="L36" s="963"/>
      <c r="M36" s="961" t="s">
        <v>223</v>
      </c>
      <c r="N36"/>
      <c r="O36" s="995"/>
      <c r="BN36" s="86"/>
      <c r="BO36" s="18"/>
      <c r="BP36" s="93"/>
      <c r="BQ36" s="93"/>
      <c r="BR36" s="93"/>
      <c r="BS36" s="93"/>
      <c r="BT36" s="93"/>
      <c r="BU36" s="93"/>
      <c r="BV36" s="93"/>
      <c r="BW36" s="93"/>
      <c r="BX36" s="93"/>
      <c r="BY36" s="94"/>
      <c r="BZ36" s="94"/>
      <c r="CA36" s="89"/>
      <c r="CB36" s="89"/>
      <c r="CC36" s="89"/>
      <c r="CD36" s="89"/>
      <c r="CE36" s="89"/>
      <c r="CF36" s="89"/>
      <c r="CG36" s="89"/>
      <c r="CH36" s="89"/>
      <c r="CI36" s="89"/>
      <c r="CJ36" s="89"/>
      <c r="CK36" s="93"/>
      <c r="CL36" s="89"/>
      <c r="CM36" s="89"/>
      <c r="CN36" s="37"/>
      <c r="CO36" s="95"/>
      <c r="CP36" s="95"/>
      <c r="CQ36" s="95"/>
      <c r="CR36" s="95"/>
      <c r="CS36" s="92"/>
      <c r="CT36" s="92"/>
      <c r="CU36" s="92"/>
      <c r="CV36" s="92"/>
      <c r="CW36" s="92"/>
      <c r="CX36" s="92"/>
      <c r="CY36" s="92"/>
      <c r="CZ36" s="92"/>
      <c r="DA36" s="92"/>
      <c r="DB36" s="92"/>
      <c r="DC36" s="78"/>
      <c r="DD36" s="78"/>
    </row>
    <row r="37" spans="2:144" ht="21" hidden="1" customHeight="1" x14ac:dyDescent="0.2">
      <c r="B37" s="399"/>
      <c r="C37" s="399"/>
      <c r="D37" s="397"/>
      <c r="E37" s="397"/>
      <c r="F37" s="397"/>
      <c r="G37" s="1000"/>
      <c r="H37" s="63"/>
      <c r="I37"/>
      <c r="J37" s="965">
        <f>ABS($H$1/J36)</f>
        <v>2312.6116669597841</v>
      </c>
      <c r="K37" s="965">
        <f>ABS($H$1/K36)</f>
        <v>77.725775609213315</v>
      </c>
      <c r="L37" s="965"/>
      <c r="M37" s="967" t="s">
        <v>222</v>
      </c>
      <c r="N37"/>
      <c r="O37" s="995"/>
      <c r="U37" s="114"/>
      <c r="AB37" s="114"/>
      <c r="AC37" s="114"/>
      <c r="AD37" s="114"/>
      <c r="AE37" s="114"/>
      <c r="BE37" s="136"/>
      <c r="BF37" s="136"/>
      <c r="BG37" s="136"/>
      <c r="BH37" s="136"/>
      <c r="BN37" s="86"/>
    </row>
    <row r="38" spans="2:144" ht="30.75" hidden="1" customHeight="1" x14ac:dyDescent="0.2">
      <c r="B38" s="399"/>
      <c r="C38" s="399"/>
      <c r="D38" s="397"/>
      <c r="E38" s="397"/>
      <c r="F38" s="397"/>
      <c r="G38" s="1000"/>
      <c r="H38" s="63"/>
      <c r="I38"/>
      <c r="J38" s="1733">
        <f>ABS($E$22/BQ27)*2</f>
        <v>71.492403932082212</v>
      </c>
      <c r="K38" s="1733"/>
      <c r="L38" s="1733"/>
      <c r="M38" s="1734" t="s">
        <v>350</v>
      </c>
      <c r="N38" s="1730" t="s">
        <v>352</v>
      </c>
      <c r="O38" s="995"/>
      <c r="U38" s="114"/>
      <c r="AB38" s="114"/>
      <c r="AC38" s="114"/>
      <c r="AD38" s="114"/>
      <c r="AE38" s="114"/>
      <c r="BE38" s="136"/>
      <c r="BF38" s="136"/>
      <c r="BG38" s="136"/>
      <c r="BH38" s="136"/>
      <c r="BN38" s="86"/>
    </row>
    <row r="39" spans="2:144" ht="24" hidden="1" thickBot="1" x14ac:dyDescent="0.3">
      <c r="B39" s="399"/>
      <c r="C39" s="399"/>
      <c r="D39" s="397"/>
      <c r="E39" s="397"/>
      <c r="F39" s="397"/>
      <c r="G39" s="998"/>
      <c r="H39"/>
      <c r="I39"/>
      <c r="J39" s="59"/>
      <c r="K39" s="59"/>
      <c r="L39" s="59"/>
      <c r="M39" s="59"/>
      <c r="N39"/>
      <c r="O39" s="995"/>
      <c r="U39" s="114"/>
      <c r="AB39" s="114"/>
      <c r="AC39" s="114"/>
      <c r="AD39" s="114"/>
      <c r="AE39" s="114"/>
      <c r="BE39" s="136"/>
      <c r="BF39" s="136"/>
      <c r="BG39" s="136"/>
      <c r="BH39" s="136"/>
      <c r="BN39" s="86"/>
      <c r="BO39" s="17"/>
      <c r="BP39" s="177"/>
      <c r="BQ39" s="178"/>
      <c r="BR39" s="178"/>
      <c r="BS39" s="178"/>
      <c r="BT39" s="178"/>
      <c r="BU39" s="178"/>
      <c r="BV39" s="178"/>
      <c r="BW39" s="178"/>
      <c r="BX39" s="178"/>
      <c r="BY39" s="179"/>
      <c r="BZ39" s="179"/>
      <c r="CA39" s="180"/>
      <c r="CB39" s="180"/>
      <c r="CC39" s="180"/>
      <c r="CD39" s="180"/>
      <c r="CE39" s="180"/>
      <c r="CF39" s="180"/>
      <c r="CG39" s="180"/>
      <c r="CH39" s="180"/>
      <c r="CI39" s="37"/>
      <c r="CJ39" s="89"/>
      <c r="CK39" s="181"/>
      <c r="CL39" s="181"/>
      <c r="CM39" s="89"/>
      <c r="CN39" s="89"/>
      <c r="CO39" s="89"/>
      <c r="CP39" s="89"/>
      <c r="CQ39" s="89"/>
      <c r="CR39" s="89"/>
      <c r="CS39" s="89"/>
      <c r="CT39" s="89"/>
      <c r="CU39" s="89"/>
      <c r="CV39" s="89"/>
      <c r="CW39" s="178"/>
      <c r="CX39" s="178"/>
      <c r="CY39" s="178"/>
      <c r="CZ39" s="178"/>
      <c r="DA39" s="178"/>
      <c r="DB39" s="178"/>
      <c r="DC39" s="178"/>
      <c r="DD39" s="178"/>
    </row>
    <row r="40" spans="2:144" ht="24" hidden="1" thickBot="1" x14ac:dyDescent="0.3">
      <c r="B40" s="399"/>
      <c r="C40" s="399"/>
      <c r="D40" s="397"/>
      <c r="E40" s="397"/>
      <c r="F40" s="397"/>
      <c r="G40" s="998"/>
      <c r="H40" s="1068" t="s">
        <v>262</v>
      </c>
      <c r="I40" s="984">
        <v>62</v>
      </c>
      <c r="J40" s="970" t="s">
        <v>256</v>
      </c>
      <c r="K40" s="1726"/>
      <c r="L40" s="1726"/>
      <c r="M40" s="1726"/>
      <c r="N40"/>
      <c r="O40" s="995"/>
      <c r="U40" s="114"/>
      <c r="AB40" s="114"/>
      <c r="AC40" s="114"/>
      <c r="AD40" s="114"/>
      <c r="AE40" s="114"/>
      <c r="BE40" s="136"/>
      <c r="BF40" s="136"/>
      <c r="BG40" s="136"/>
      <c r="BH40" s="136"/>
      <c r="BN40" s="86"/>
      <c r="BO40" s="17"/>
      <c r="BP40" s="177"/>
      <c r="BQ40" s="178"/>
      <c r="BR40" s="178"/>
      <c r="BS40" s="178"/>
      <c r="BT40" s="178"/>
      <c r="BU40" s="178"/>
      <c r="BV40" s="178"/>
      <c r="BW40" s="178"/>
      <c r="BX40" s="178"/>
      <c r="BY40" s="179"/>
      <c r="BZ40" s="179"/>
      <c r="CA40" s="180"/>
      <c r="CB40" s="180"/>
      <c r="CC40" s="180"/>
      <c r="CD40" s="180"/>
      <c r="CE40" s="180"/>
      <c r="CF40" s="180"/>
      <c r="CG40" s="180"/>
      <c r="CH40" s="180"/>
      <c r="CI40" s="37"/>
      <c r="CJ40" s="89"/>
      <c r="CK40" s="181"/>
      <c r="CL40" s="181"/>
      <c r="CM40" s="89"/>
      <c r="CN40" s="89"/>
      <c r="CO40" s="89"/>
      <c r="CP40" s="89"/>
      <c r="CQ40" s="89"/>
      <c r="CR40" s="89"/>
      <c r="CS40" s="89"/>
      <c r="CT40" s="89"/>
      <c r="CU40" s="89"/>
      <c r="CV40" s="89"/>
      <c r="CW40" s="178"/>
      <c r="CX40" s="178"/>
      <c r="CY40" s="178"/>
      <c r="CZ40" s="178"/>
      <c r="DA40" s="178"/>
      <c r="DB40" s="178"/>
      <c r="DC40" s="178"/>
      <c r="DD40" s="178"/>
    </row>
    <row r="41" spans="2:144" ht="24" hidden="1" thickBot="1" x14ac:dyDescent="0.3">
      <c r="B41" s="399"/>
      <c r="C41" s="399"/>
      <c r="D41" s="397"/>
      <c r="E41" s="397"/>
      <c r="F41" s="397"/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  <c r="U41" s="114"/>
      <c r="AB41" s="114"/>
      <c r="AC41" s="114"/>
      <c r="AD41" s="114"/>
      <c r="AE41" s="114"/>
      <c r="BE41" s="136"/>
      <c r="BF41" s="136"/>
      <c r="BG41" s="136"/>
      <c r="BH41" s="136"/>
      <c r="BN41" s="86"/>
      <c r="BO41" s="17"/>
      <c r="BP41" s="177"/>
      <c r="BQ41" s="178"/>
      <c r="BR41" s="178"/>
      <c r="BS41" s="178"/>
      <c r="BT41" s="178"/>
      <c r="BU41" s="178"/>
      <c r="BV41" s="178"/>
      <c r="BW41" s="178"/>
      <c r="BX41" s="178"/>
      <c r="BY41" s="179"/>
      <c r="BZ41" s="179"/>
      <c r="CA41" s="182">
        <v>16</v>
      </c>
      <c r="CB41" s="180"/>
      <c r="CC41" s="180"/>
      <c r="CD41" s="180"/>
      <c r="CE41" s="180"/>
      <c r="CF41" s="180"/>
      <c r="CG41" s="180"/>
      <c r="CH41" s="180"/>
      <c r="CI41" s="37"/>
      <c r="CJ41" s="89"/>
      <c r="CK41" s="181"/>
      <c r="CL41" s="181"/>
      <c r="CM41" s="89"/>
      <c r="CN41" s="89"/>
      <c r="CO41" s="89"/>
      <c r="CP41" s="117" t="b">
        <f>IF(CQ59=27,15)</f>
        <v>0</v>
      </c>
      <c r="CQ41" s="183"/>
      <c r="CR41" s="103" t="b">
        <f>IF(CQ59=27,17)</f>
        <v>0</v>
      </c>
      <c r="CS41" s="89"/>
      <c r="CT41" s="89"/>
      <c r="CU41" s="89"/>
      <c r="CV41" s="89"/>
      <c r="CW41" s="178"/>
      <c r="CX41" s="178"/>
      <c r="CY41" s="178"/>
      <c r="CZ41" s="178"/>
      <c r="DA41" s="178"/>
      <c r="DB41" s="178"/>
      <c r="DC41" s="178"/>
      <c r="DD41" s="178"/>
      <c r="DG41" s="1814"/>
      <c r="DH41" s="1814"/>
      <c r="DI41" s="76"/>
      <c r="DJ41" s="76"/>
      <c r="DK41" s="77"/>
      <c r="DL41" s="78"/>
      <c r="DM41" s="78"/>
      <c r="DN41" s="78"/>
      <c r="DO41" s="78"/>
      <c r="DP41" s="78"/>
      <c r="DQ41" s="78"/>
      <c r="DR41" s="78"/>
      <c r="DS41" s="78"/>
      <c r="DT41" s="78"/>
      <c r="DU41" s="78"/>
      <c r="DV41" s="78"/>
      <c r="DW41" s="78"/>
      <c r="DX41" s="78"/>
      <c r="DY41" s="78"/>
      <c r="DZ41" s="78"/>
      <c r="EA41" s="78"/>
      <c r="EB41" s="78"/>
      <c r="EC41" s="78"/>
      <c r="ED41" s="78"/>
      <c r="EE41" s="78"/>
      <c r="EF41" s="78"/>
      <c r="EG41" s="78"/>
      <c r="EH41" s="78"/>
      <c r="EI41" s="78"/>
      <c r="EJ41" s="78"/>
      <c r="EK41" s="78"/>
      <c r="EL41" s="78"/>
      <c r="EM41" s="64"/>
      <c r="EN41" s="64"/>
    </row>
    <row r="42" spans="2:144" ht="24" hidden="1" thickBot="1" x14ac:dyDescent="0.3">
      <c r="B42" s="64"/>
      <c r="C42" s="399"/>
      <c r="E42" s="64"/>
      <c r="G42" s="1002" t="s">
        <v>245</v>
      </c>
      <c r="H42" s="1078">
        <f>SUM(BQ100:CA100)</f>
        <v>8</v>
      </c>
      <c r="I42"/>
      <c r="J42" s="963">
        <f>+H43/H8*BQ27/2</f>
        <v>201.42000000000002</v>
      </c>
      <c r="K42" s="963">
        <f>((H8-H43)/H8)*BQ27/2</f>
        <v>-89.52000000000001</v>
      </c>
      <c r="L42" s="963">
        <f>+BQ27/2</f>
        <v>111.9</v>
      </c>
      <c r="M42" s="961" t="s">
        <v>223</v>
      </c>
      <c r="N42"/>
      <c r="O42" s="995"/>
      <c r="U42" s="114"/>
      <c r="AB42" s="114"/>
      <c r="AC42" s="114"/>
      <c r="AD42" s="114"/>
      <c r="AE42" s="114"/>
      <c r="BE42" s="136"/>
      <c r="BF42" s="136"/>
      <c r="BG42" s="136"/>
      <c r="BH42" s="136"/>
      <c r="BN42" s="86"/>
      <c r="BO42" s="17"/>
      <c r="BP42" s="177"/>
      <c r="BQ42" s="178"/>
      <c r="BR42" s="178"/>
      <c r="BS42" s="178"/>
      <c r="BT42" s="178"/>
      <c r="BU42" s="178"/>
      <c r="BV42" s="178"/>
      <c r="BW42" s="178"/>
      <c r="BX42" s="178"/>
      <c r="BY42" s="179"/>
      <c r="BZ42" s="179"/>
      <c r="CA42" s="182">
        <v>15</v>
      </c>
      <c r="CB42" s="180"/>
      <c r="CC42" s="180"/>
      <c r="CD42" s="180"/>
      <c r="CE42" s="180"/>
      <c r="CF42" s="180"/>
      <c r="CG42" s="180"/>
      <c r="CH42" s="180"/>
      <c r="CI42" s="37"/>
      <c r="CJ42" s="89"/>
      <c r="CK42" s="181"/>
      <c r="CL42" s="181"/>
      <c r="CM42" s="89"/>
      <c r="CN42" s="117" t="b">
        <f>IF(CP59=26,13)</f>
        <v>0</v>
      </c>
      <c r="CO42" s="183"/>
      <c r="CP42" s="183"/>
      <c r="CQ42" s="183"/>
      <c r="CR42" s="103" t="b">
        <f>IF(CP59=26,17)</f>
        <v>0</v>
      </c>
      <c r="CS42" s="89"/>
      <c r="CT42" s="89"/>
      <c r="CU42" s="89"/>
      <c r="CV42" s="89"/>
      <c r="CW42" s="178"/>
      <c r="CX42" s="178"/>
      <c r="CY42" s="178"/>
      <c r="CZ42" s="178"/>
      <c r="DA42" s="178"/>
      <c r="DB42" s="178"/>
      <c r="DC42" s="178"/>
      <c r="DD42" s="178"/>
      <c r="EK42" s="78"/>
      <c r="EL42" s="78"/>
    </row>
    <row r="43" spans="2:144" ht="31" hidden="1" thickBot="1" x14ac:dyDescent="0.35">
      <c r="B43" s="67"/>
      <c r="C43" s="399"/>
      <c r="E43" s="68"/>
      <c r="G43" s="994" t="s">
        <v>243</v>
      </c>
      <c r="H43" s="1077">
        <f>$H$5-((H42-1)*$E$2)</f>
        <v>387</v>
      </c>
      <c r="I43"/>
      <c r="J43" s="965">
        <f>ABS($H$1/J42)</f>
        <v>89.365504915102761</v>
      </c>
      <c r="K43" s="965">
        <f>ABS($H$1/K42)</f>
        <v>201.07238605898121</v>
      </c>
      <c r="L43" s="965">
        <f>ABS($H$1/L42)</f>
        <v>160.85790884718497</v>
      </c>
      <c r="M43" s="967" t="s">
        <v>222</v>
      </c>
      <c r="N43"/>
      <c r="O43" s="995"/>
      <c r="U43" s="114"/>
      <c r="AB43" s="114"/>
      <c r="AC43" s="114"/>
      <c r="AD43" s="114"/>
      <c r="AE43" s="114"/>
      <c r="BE43" s="136"/>
      <c r="BF43" s="136"/>
      <c r="BG43" s="136"/>
      <c r="BH43" s="136"/>
      <c r="BN43" s="86"/>
      <c r="BO43" s="17"/>
      <c r="BP43" s="177"/>
      <c r="BQ43" s="178"/>
      <c r="BR43" s="178"/>
      <c r="BS43" s="178"/>
      <c r="BT43" s="178"/>
      <c r="BU43" s="178"/>
      <c r="BV43" s="178"/>
      <c r="BW43" s="178"/>
      <c r="BX43" s="178"/>
      <c r="BY43" s="179"/>
      <c r="BZ43" s="179"/>
      <c r="CA43" s="182">
        <v>14</v>
      </c>
      <c r="CB43" s="180"/>
      <c r="CC43" s="180"/>
      <c r="CD43" s="180"/>
      <c r="CE43" s="180"/>
      <c r="CF43" s="180"/>
      <c r="CG43" s="180"/>
      <c r="CH43" s="180"/>
      <c r="CI43" s="37"/>
      <c r="CJ43" s="89"/>
      <c r="CK43" s="181"/>
      <c r="CL43" s="117" t="b">
        <f>IF(CO59=25,11)</f>
        <v>0</v>
      </c>
      <c r="CM43" s="183"/>
      <c r="CN43" s="184"/>
      <c r="CO43" s="184"/>
      <c r="CP43" s="184"/>
      <c r="CQ43" s="184"/>
      <c r="CR43" s="124" t="b">
        <f>IF(CO59=25,17)</f>
        <v>0</v>
      </c>
      <c r="CS43" s="89"/>
      <c r="CT43" s="89"/>
      <c r="CU43" s="89"/>
      <c r="CV43" s="89"/>
      <c r="CW43" s="178"/>
      <c r="CX43" s="178"/>
      <c r="CY43" s="178"/>
      <c r="CZ43" s="178"/>
      <c r="DA43" s="178"/>
      <c r="DB43" s="178"/>
      <c r="DC43" s="178"/>
      <c r="DD43" s="178"/>
      <c r="EK43" s="78"/>
      <c r="EL43" s="78"/>
    </row>
    <row r="44" spans="2:144" ht="26.25" hidden="1" customHeight="1" thickBot="1" x14ac:dyDescent="0.25">
      <c r="B44" s="487"/>
      <c r="C44" s="487"/>
      <c r="D44" s="487"/>
      <c r="E44" s="487"/>
      <c r="G44" s="1000"/>
      <c r="H44" s="63"/>
      <c r="I44"/>
      <c r="J44" s="1733"/>
      <c r="K44" s="1733"/>
      <c r="L44" s="1733">
        <f>ABS($E$22/BQ27)*2</f>
        <v>71.492403932082212</v>
      </c>
      <c r="M44" s="1734" t="s">
        <v>350</v>
      </c>
      <c r="N44" s="1730" t="s">
        <v>352</v>
      </c>
      <c r="O44" s="995"/>
      <c r="U44" s="114"/>
      <c r="AB44" s="114"/>
      <c r="AC44" s="114"/>
      <c r="AD44" s="114"/>
      <c r="AE44" s="114"/>
      <c r="BE44" s="136"/>
      <c r="BF44" s="136"/>
      <c r="BG44" s="136"/>
      <c r="BH44" s="136"/>
      <c r="BN44" s="86"/>
      <c r="BO44" s="1091"/>
      <c r="BP44" s="177"/>
      <c r="BQ44" s="178"/>
      <c r="BR44" s="178"/>
      <c r="BS44" s="178"/>
      <c r="BT44" s="178"/>
      <c r="BU44" s="178"/>
      <c r="BV44" s="178"/>
      <c r="BW44" s="178"/>
      <c r="BX44" s="178"/>
      <c r="CA44" s="182">
        <v>13</v>
      </c>
      <c r="CB44" s="178"/>
      <c r="CC44" s="177"/>
      <c r="CD44" s="177"/>
      <c r="CE44" s="177"/>
      <c r="CF44" s="177"/>
      <c r="CG44" s="177"/>
      <c r="CH44" s="177"/>
      <c r="CI44" s="177"/>
      <c r="CJ44" s="117" t="b">
        <f>IF(CN59=24,9)</f>
        <v>0</v>
      </c>
      <c r="CK44" s="185"/>
      <c r="CL44" s="186"/>
      <c r="CM44" s="122"/>
      <c r="CN44" s="186"/>
      <c r="CO44" s="122"/>
      <c r="CP44" s="122"/>
      <c r="CQ44" s="121"/>
      <c r="CR44" s="124" t="b">
        <f>IF(CN59=24,17)</f>
        <v>0</v>
      </c>
      <c r="CS44" s="78"/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EK44" s="78"/>
      <c r="EL44" s="78"/>
    </row>
    <row r="45" spans="2:144" ht="21" hidden="1" thickBot="1" x14ac:dyDescent="0.25">
      <c r="B45" s="488"/>
      <c r="C45" s="489"/>
      <c r="D45" s="488"/>
      <c r="E45" s="488"/>
      <c r="G45" s="998"/>
      <c r="H45" s="1069" t="s">
        <v>263</v>
      </c>
      <c r="I45"/>
      <c r="J45" s="59"/>
      <c r="K45" s="59"/>
      <c r="L45" s="59"/>
      <c r="M45" s="59"/>
      <c r="N45"/>
      <c r="O45" s="995"/>
      <c r="U45" s="114"/>
      <c r="AB45" s="114"/>
      <c r="AC45" s="114"/>
      <c r="AD45" s="114"/>
      <c r="AE45" s="114"/>
      <c r="BE45" s="136"/>
      <c r="BF45" s="136"/>
      <c r="BG45" s="136"/>
      <c r="BH45" s="136"/>
      <c r="BN45" s="86"/>
      <c r="BO45" s="1091"/>
      <c r="BP45" s="177"/>
      <c r="BQ45" s="177"/>
      <c r="BR45" s="178"/>
      <c r="BS45" s="177"/>
      <c r="BT45" s="177"/>
      <c r="BU45" s="177"/>
      <c r="CA45" s="182">
        <v>12</v>
      </c>
      <c r="CB45" s="178"/>
      <c r="CC45" s="177"/>
      <c r="CD45" s="177"/>
      <c r="CE45" s="177"/>
      <c r="CF45" s="177"/>
      <c r="CG45" s="177"/>
      <c r="CH45" s="117" t="b">
        <f>IF(CM59=23,7)</f>
        <v>0</v>
      </c>
      <c r="CI45" s="185"/>
      <c r="CJ45" s="185"/>
      <c r="CK45" s="118"/>
      <c r="CL45" s="185"/>
      <c r="CM45" s="185"/>
      <c r="CN45" s="185"/>
      <c r="CO45" s="118"/>
      <c r="CP45" s="118"/>
      <c r="CQ45" s="111"/>
      <c r="CR45" s="103" t="b">
        <f>IF(CM59=23,17)</f>
        <v>0</v>
      </c>
      <c r="CS45" s="78"/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EK45" s="78"/>
      <c r="EL45" s="78"/>
    </row>
    <row r="46" spans="2:144" ht="21" hidden="1" thickBot="1" x14ac:dyDescent="0.25">
      <c r="B46" s="399"/>
      <c r="C46" s="399"/>
      <c r="G46" s="1004"/>
      <c r="H46" s="1005" t="s">
        <v>250</v>
      </c>
      <c r="I46" s="984">
        <v>63</v>
      </c>
      <c r="J46" s="970" t="s">
        <v>257</v>
      </c>
      <c r="K46" s="1726"/>
      <c r="L46" s="1726"/>
      <c r="M46" s="1726"/>
      <c r="N46"/>
      <c r="O46" s="995"/>
      <c r="U46" s="114"/>
      <c r="AB46" s="114"/>
      <c r="AC46" s="114"/>
      <c r="AD46" s="114"/>
      <c r="AE46" s="114"/>
      <c r="BE46" s="136"/>
      <c r="BF46" s="136"/>
      <c r="BG46" s="136"/>
      <c r="BH46" s="136"/>
      <c r="BN46" s="86"/>
      <c r="BO46" s="1091"/>
      <c r="BP46" s="177"/>
      <c r="BQ46" s="177"/>
      <c r="BR46" s="178"/>
      <c r="BS46" s="177"/>
      <c r="BT46" s="177"/>
      <c r="BU46" s="177"/>
      <c r="CA46" s="182">
        <v>11</v>
      </c>
      <c r="CB46" s="178"/>
      <c r="CC46" s="177"/>
      <c r="CD46" s="177"/>
      <c r="CE46" s="177"/>
      <c r="CF46" s="117" t="b">
        <f>IF(CL59=22,5)</f>
        <v>0</v>
      </c>
      <c r="CG46" s="185"/>
      <c r="CH46" s="185"/>
      <c r="CI46" s="118"/>
      <c r="CJ46" s="185"/>
      <c r="CK46" s="118"/>
      <c r="CL46" s="185"/>
      <c r="CM46" s="118"/>
      <c r="CN46" s="185"/>
      <c r="CO46" s="118"/>
      <c r="CP46" s="118"/>
      <c r="CQ46" s="111"/>
      <c r="CR46" s="103" t="b">
        <f>IF(CL59=22,17)</f>
        <v>0</v>
      </c>
      <c r="CS46" s="78"/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DG46" s="107"/>
      <c r="DH46" s="107"/>
      <c r="DI46" s="107"/>
      <c r="DJ46" s="107"/>
      <c r="DK46" s="107"/>
      <c r="DL46" s="108"/>
      <c r="DM46" s="107"/>
      <c r="DN46" s="107"/>
      <c r="DO46" s="107"/>
      <c r="DP46" s="107"/>
      <c r="DQ46" s="107"/>
      <c r="DR46" s="107"/>
      <c r="DS46" s="107"/>
      <c r="DT46" s="107"/>
      <c r="DU46" s="107"/>
      <c r="DV46" s="107"/>
      <c r="DW46" s="107"/>
      <c r="DX46" s="107"/>
      <c r="DY46" s="107"/>
      <c r="DZ46" s="107"/>
      <c r="EA46" s="107"/>
      <c r="EB46" s="107"/>
      <c r="EC46" s="107"/>
      <c r="ED46" s="108"/>
      <c r="EE46" s="78"/>
      <c r="EF46" s="78"/>
      <c r="EG46" s="78"/>
      <c r="EH46" s="78"/>
      <c r="EI46" s="78"/>
      <c r="EJ46" s="78"/>
      <c r="EK46" s="78"/>
      <c r="EL46" s="78"/>
    </row>
    <row r="47" spans="2:144" ht="24" hidden="1" thickBot="1" x14ac:dyDescent="0.3">
      <c r="B47" s="490"/>
      <c r="C47" s="399"/>
      <c r="D47" s="491"/>
      <c r="E47" s="492"/>
      <c r="F47" s="397"/>
      <c r="G47" s="1002" t="s">
        <v>245</v>
      </c>
      <c r="H47" s="1079">
        <f>SUM(CQ100:DA100)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  <c r="U47" s="114"/>
      <c r="AB47" s="114"/>
      <c r="AC47" s="114"/>
      <c r="AD47" s="114"/>
      <c r="AE47" s="114"/>
      <c r="BE47" s="136"/>
      <c r="BF47" s="136"/>
      <c r="BG47" s="136"/>
      <c r="BH47" s="136"/>
      <c r="BN47" s="86"/>
      <c r="BO47" s="1091"/>
      <c r="BP47" s="177"/>
      <c r="BQ47" s="177"/>
      <c r="BR47" s="178"/>
      <c r="BS47" s="177"/>
      <c r="BT47" s="177"/>
      <c r="BU47" s="177"/>
      <c r="CA47" s="182">
        <v>10</v>
      </c>
      <c r="CB47" s="178"/>
      <c r="CC47" s="177"/>
      <c r="CD47" s="117" t="b">
        <f>IF(CK59=21,3)</f>
        <v>0</v>
      </c>
      <c r="CE47" s="185"/>
      <c r="CF47" s="185"/>
      <c r="CG47" s="118"/>
      <c r="CH47" s="118"/>
      <c r="CI47" s="118"/>
      <c r="CJ47" s="185"/>
      <c r="CK47" s="185"/>
      <c r="CL47" s="185"/>
      <c r="CM47" s="118"/>
      <c r="CN47" s="185"/>
      <c r="CO47" s="118"/>
      <c r="CP47" s="118"/>
      <c r="CQ47" s="111"/>
      <c r="CR47" s="103" t="b">
        <f>IF(CK59=21,17)</f>
        <v>0</v>
      </c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DG47" s="107"/>
      <c r="DH47" s="107"/>
      <c r="DI47" s="107"/>
      <c r="DJ47" s="107"/>
      <c r="DK47" s="107"/>
      <c r="DL47" s="108"/>
      <c r="DM47" s="107"/>
      <c r="DN47" s="107"/>
      <c r="DO47" s="107"/>
      <c r="DP47" s="107"/>
      <c r="DQ47" s="107"/>
      <c r="DR47" s="107"/>
      <c r="DS47" s="107"/>
      <c r="DT47" s="107"/>
      <c r="DU47" s="107"/>
      <c r="DV47" s="107"/>
      <c r="DW47" s="107"/>
      <c r="DX47" s="107"/>
      <c r="DY47" s="107"/>
      <c r="DZ47" s="107"/>
      <c r="EA47" s="107"/>
      <c r="EB47" s="107"/>
      <c r="EC47" s="107"/>
      <c r="ED47" s="108"/>
      <c r="EE47" s="78"/>
      <c r="EF47" s="78"/>
      <c r="EG47" s="78"/>
      <c r="EH47" s="78"/>
      <c r="EI47" s="78"/>
      <c r="EJ47" s="78"/>
      <c r="EK47" s="78"/>
      <c r="EL47" s="78"/>
    </row>
    <row r="48" spans="2:144" ht="21" hidden="1" thickBot="1" x14ac:dyDescent="0.25">
      <c r="B48" s="488"/>
      <c r="C48" s="399"/>
      <c r="D48" s="488"/>
      <c r="E48" s="20"/>
      <c r="F48" s="397"/>
      <c r="G48" s="994" t="s">
        <v>243</v>
      </c>
      <c r="H48" s="1077">
        <f>($E$2*(H47-1))-$H$4</f>
        <v>-903</v>
      </c>
      <c r="I48"/>
      <c r="J48" s="963">
        <f>+BQ27/2</f>
        <v>111.9</v>
      </c>
      <c r="K48" s="963">
        <f>((H8-H48)/H8)*BQ27/2</f>
        <v>581.88</v>
      </c>
      <c r="L48" s="963">
        <f>+H48/H8*BQ27/2</f>
        <v>-469.98</v>
      </c>
      <c r="M48" s="961" t="s">
        <v>223</v>
      </c>
      <c r="N48"/>
      <c r="O48" s="995"/>
      <c r="U48" s="114"/>
      <c r="AB48" s="114"/>
      <c r="AC48" s="114"/>
      <c r="AD48" s="114"/>
      <c r="AE48" s="114"/>
      <c r="BE48" s="136"/>
      <c r="BF48" s="136"/>
      <c r="BG48" s="136"/>
      <c r="BH48" s="136"/>
      <c r="BN48" s="86"/>
      <c r="BO48" s="1091"/>
      <c r="BP48" s="177"/>
      <c r="BQ48" s="177"/>
      <c r="BR48" s="178"/>
      <c r="BS48" s="177"/>
      <c r="BT48" s="177"/>
      <c r="BU48" s="177"/>
      <c r="CA48" s="182">
        <v>9</v>
      </c>
      <c r="CB48" s="117" t="b">
        <f>IF(CJ59=20,1)</f>
        <v>0</v>
      </c>
      <c r="CC48" s="185"/>
      <c r="CD48" s="185"/>
      <c r="CE48" s="118"/>
      <c r="CF48" s="185"/>
      <c r="CG48" s="185"/>
      <c r="CH48" s="185"/>
      <c r="CI48" s="185"/>
      <c r="CJ48" s="185"/>
      <c r="CK48" s="185"/>
      <c r="CL48" s="185"/>
      <c r="CM48" s="185"/>
      <c r="CN48" s="185"/>
      <c r="CO48" s="118"/>
      <c r="CP48" s="118"/>
      <c r="CQ48" s="111"/>
      <c r="CR48" s="103" t="b">
        <f>IF(CJ59=20,17)</f>
        <v>0</v>
      </c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EK48" s="78"/>
      <c r="EL48" s="78"/>
    </row>
    <row r="49" spans="2:142" ht="21" hidden="1" thickBot="1" x14ac:dyDescent="0.25">
      <c r="B49" s="399"/>
      <c r="C49" s="399"/>
      <c r="F49" s="397"/>
      <c r="G49" s="998"/>
      <c r="H49"/>
      <c r="I49"/>
      <c r="J49" s="965">
        <f>ABS($H$1/J48)</f>
        <v>160.85790884718497</v>
      </c>
      <c r="K49" s="965">
        <f>ABS($H$1/K48)</f>
        <v>30.934213239843267</v>
      </c>
      <c r="L49" s="965">
        <f>ABS($H$1/L48)</f>
        <v>38.299502106472616</v>
      </c>
      <c r="M49" s="967" t="s">
        <v>222</v>
      </c>
      <c r="O49" s="1581"/>
      <c r="U49" s="114"/>
      <c r="AB49" s="114"/>
      <c r="AC49" s="114"/>
      <c r="AD49" s="114"/>
      <c r="AE49" s="114"/>
      <c r="BE49" s="136"/>
      <c r="BF49" s="136"/>
      <c r="BG49" s="136"/>
      <c r="BH49" s="136"/>
      <c r="BN49" s="86"/>
      <c r="BO49" s="1091"/>
      <c r="BP49" s="177"/>
      <c r="BQ49" s="177"/>
      <c r="BR49" s="178"/>
      <c r="BS49" s="177"/>
      <c r="BT49" s="177"/>
      <c r="BU49" s="177"/>
      <c r="CA49" s="182">
        <v>8</v>
      </c>
      <c r="CB49" s="120" t="b">
        <f>IF(CI59=19,1)</f>
        <v>0</v>
      </c>
      <c r="CC49" s="122"/>
      <c r="CD49" s="186"/>
      <c r="CE49" s="186"/>
      <c r="CF49" s="186"/>
      <c r="CG49" s="186"/>
      <c r="CH49" s="186"/>
      <c r="CI49" s="186"/>
      <c r="CJ49" s="186"/>
      <c r="CK49" s="186"/>
      <c r="CL49" s="186"/>
      <c r="CM49" s="186"/>
      <c r="CN49" s="186"/>
      <c r="CO49" s="122"/>
      <c r="CP49" s="124" t="b">
        <f>IF(CI59=19,15)</f>
        <v>0</v>
      </c>
      <c r="CQ49" s="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EK49" s="78"/>
      <c r="EL49" s="78"/>
    </row>
    <row r="50" spans="2:142" ht="21" hidden="1" thickBot="1" x14ac:dyDescent="0.25">
      <c r="B50" s="399"/>
      <c r="C50" s="399"/>
      <c r="G50" s="998"/>
      <c r="H50"/>
      <c r="I50"/>
      <c r="J50" s="1733">
        <f>ABS($E$22/BQ27)*2</f>
        <v>71.492403932082212</v>
      </c>
      <c r="K50" s="1733"/>
      <c r="L50" s="1733"/>
      <c r="M50" s="1734" t="s">
        <v>350</v>
      </c>
      <c r="N50" s="1730" t="s">
        <v>352</v>
      </c>
      <c r="O50" s="995"/>
      <c r="U50" s="114"/>
      <c r="AB50" s="114"/>
      <c r="AC50" s="114"/>
      <c r="AD50" s="114"/>
      <c r="AE50" s="114"/>
      <c r="BE50" s="136"/>
      <c r="BF50" s="136"/>
      <c r="BG50" s="136"/>
      <c r="BH50" s="136"/>
      <c r="BN50" s="86"/>
      <c r="BO50" s="1091"/>
      <c r="BP50" s="177"/>
      <c r="BQ50" s="177"/>
      <c r="BR50" s="178"/>
      <c r="BS50" s="177"/>
      <c r="BT50" s="177"/>
      <c r="BU50" s="177"/>
      <c r="CA50" s="182">
        <v>7</v>
      </c>
      <c r="CB50" s="120" t="b">
        <f>IF(CH59=18,1)</f>
        <v>0</v>
      </c>
      <c r="CC50" s="186"/>
      <c r="CD50" s="186"/>
      <c r="CE50" s="186"/>
      <c r="CF50" s="186"/>
      <c r="CG50" s="186"/>
      <c r="CH50" s="186"/>
      <c r="CI50" s="186"/>
      <c r="CJ50" s="186"/>
      <c r="CK50" s="186"/>
      <c r="CL50" s="186"/>
      <c r="CM50" s="186"/>
      <c r="CN50" s="124" t="b">
        <f>IF(CH59=18,13)</f>
        <v>0</v>
      </c>
      <c r="CO50" s="178"/>
      <c r="CQ50" s="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EK50" s="78"/>
      <c r="EL50" s="78"/>
    </row>
    <row r="51" spans="2:142" ht="21" hidden="1" thickBot="1" x14ac:dyDescent="0.25">
      <c r="G51" s="998"/>
      <c r="H51"/>
      <c r="I51"/>
      <c r="J51" s="59"/>
      <c r="K51" s="59"/>
      <c r="L51" s="59"/>
      <c r="M51" s="59"/>
      <c r="N51"/>
      <c r="O51" s="995"/>
      <c r="U51" s="114"/>
      <c r="AB51" s="114"/>
      <c r="AC51" s="114"/>
      <c r="AD51" s="114"/>
      <c r="AE51" s="114"/>
      <c r="BE51" s="136"/>
      <c r="BF51" s="136"/>
      <c r="BG51" s="136"/>
      <c r="BH51" s="136"/>
      <c r="BN51" s="86"/>
      <c r="BO51" s="1091"/>
      <c r="BP51" s="177"/>
      <c r="BQ51" s="177"/>
      <c r="BR51" s="178"/>
      <c r="BS51" s="177"/>
      <c r="BT51" s="177"/>
      <c r="BU51" s="177"/>
      <c r="CA51" s="182">
        <v>6</v>
      </c>
      <c r="CB51" s="120">
        <f>IF(CG59=17,1)</f>
        <v>1</v>
      </c>
      <c r="CC51" s="186"/>
      <c r="CD51" s="186"/>
      <c r="CE51" s="186"/>
      <c r="CF51" s="186"/>
      <c r="CG51" s="186"/>
      <c r="CH51" s="186"/>
      <c r="CI51" s="186"/>
      <c r="CJ51" s="186"/>
      <c r="CK51" s="186"/>
      <c r="CL51" s="124">
        <f>IF(CG59=17,11)</f>
        <v>11</v>
      </c>
      <c r="CM51" s="177"/>
      <c r="CN51" s="177"/>
      <c r="CO51" s="178"/>
      <c r="CQ51" s="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EK51" s="78"/>
      <c r="EL51" s="78"/>
    </row>
    <row r="52" spans="2:142" ht="21" hidden="1" thickBot="1" x14ac:dyDescent="0.25">
      <c r="G52" s="998"/>
      <c r="H52"/>
      <c r="I52" s="984">
        <v>64</v>
      </c>
      <c r="J52" s="970" t="s">
        <v>258</v>
      </c>
      <c r="K52" s="1726"/>
      <c r="L52" s="1726"/>
      <c r="M52" s="1726"/>
      <c r="N52"/>
      <c r="O52" s="995"/>
      <c r="U52" s="114"/>
      <c r="AB52" s="114"/>
      <c r="AC52" s="114"/>
      <c r="AD52" s="114"/>
      <c r="AE52" s="114"/>
      <c r="BE52" s="136"/>
      <c r="BF52" s="136"/>
      <c r="BG52" s="136"/>
      <c r="BH52" s="136"/>
      <c r="BN52" s="86"/>
      <c r="BO52" s="1091"/>
      <c r="BP52" s="177"/>
      <c r="BQ52" s="177"/>
      <c r="BR52" s="178"/>
      <c r="BS52" s="177"/>
      <c r="BT52" s="177"/>
      <c r="BU52" s="177"/>
      <c r="CA52" s="182">
        <v>5</v>
      </c>
      <c r="CB52" s="117" t="b">
        <f>IF(CF59=16,1)</f>
        <v>0</v>
      </c>
      <c r="CC52" s="185"/>
      <c r="CD52" s="185"/>
      <c r="CE52" s="118"/>
      <c r="CF52" s="185"/>
      <c r="CG52" s="118"/>
      <c r="CH52" s="185"/>
      <c r="CI52" s="185"/>
      <c r="CJ52" s="103" t="b">
        <f>IF(CF59=16,9)</f>
        <v>0</v>
      </c>
      <c r="CK52" s="177"/>
      <c r="CL52" s="177"/>
      <c r="CM52" s="177"/>
      <c r="CN52" s="177"/>
      <c r="CO52" s="178"/>
      <c r="CQ52" s="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EK52" s="78"/>
      <c r="EL52" s="78"/>
    </row>
    <row r="53" spans="2:142" ht="24" hidden="1" thickBot="1" x14ac:dyDescent="0.3">
      <c r="B53" s="406"/>
      <c r="C53" s="406"/>
      <c r="D53" s="407"/>
      <c r="E53" s="407"/>
      <c r="F53" s="407"/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D53" s="126"/>
      <c r="BE53" s="136"/>
      <c r="BF53" s="136"/>
      <c r="BG53" s="136"/>
      <c r="BH53" s="136"/>
      <c r="BN53" s="86"/>
      <c r="BO53" s="1091"/>
      <c r="BP53" s="177"/>
      <c r="BQ53" s="177"/>
      <c r="BR53" s="178"/>
      <c r="BS53" s="177"/>
      <c r="BT53" s="177"/>
      <c r="BU53" s="177"/>
      <c r="CA53" s="182">
        <v>4</v>
      </c>
      <c r="CB53" s="117" t="b">
        <f>IF(CE59=15,1)</f>
        <v>0</v>
      </c>
      <c r="CC53" s="118"/>
      <c r="CD53" s="118"/>
      <c r="CE53" s="185"/>
      <c r="CF53" s="118"/>
      <c r="CG53" s="118"/>
      <c r="CH53" s="103" t="b">
        <f>IF(CE59=15,7)</f>
        <v>0</v>
      </c>
      <c r="CI53" s="177"/>
      <c r="CJ53" s="177"/>
      <c r="CK53" s="177"/>
      <c r="CL53" s="177"/>
      <c r="CM53" s="177"/>
      <c r="CN53" s="177"/>
      <c r="CO53" s="1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EK53" s="78"/>
      <c r="EL53" s="78"/>
    </row>
    <row r="54" spans="2:142" ht="21" hidden="1" thickBot="1" x14ac:dyDescent="0.25">
      <c r="G54" s="994" t="s">
        <v>243</v>
      </c>
      <c r="H54" s="956"/>
      <c r="I54"/>
      <c r="J54" s="963">
        <f>+((H6-D3)/H6)*BQ27</f>
        <v>141.09164002308896</v>
      </c>
      <c r="K54" s="963"/>
      <c r="L54" s="963">
        <f>+(D3/H6)*BQ27</f>
        <v>82.708359976911069</v>
      </c>
      <c r="M54" s="961" t="s">
        <v>223</v>
      </c>
      <c r="N54"/>
      <c r="O54" s="995"/>
      <c r="BD54" s="126"/>
      <c r="BE54" s="136"/>
      <c r="BF54" s="136"/>
      <c r="BG54" s="136"/>
      <c r="BH54" s="136"/>
      <c r="BN54" s="86"/>
      <c r="BO54" s="1091"/>
      <c r="BP54" s="177"/>
      <c r="BQ54" s="177"/>
      <c r="BR54" s="178"/>
      <c r="BS54" s="177"/>
      <c r="BT54" s="177"/>
      <c r="BU54" s="177"/>
      <c r="CA54" s="182">
        <v>3</v>
      </c>
      <c r="CB54" s="120" t="b">
        <f>IF(CD59=14,1)</f>
        <v>0</v>
      </c>
      <c r="CC54" s="186"/>
      <c r="CD54" s="186"/>
      <c r="CE54" s="186"/>
      <c r="CF54" s="124" t="b">
        <f>IF(CD59=14,5)</f>
        <v>0</v>
      </c>
      <c r="CG54" s="177"/>
      <c r="CH54" s="177"/>
      <c r="CI54" s="177"/>
      <c r="CJ54" s="177"/>
      <c r="CK54" s="177"/>
      <c r="CL54" s="177"/>
      <c r="CM54" s="177"/>
      <c r="CN54" s="177"/>
      <c r="CO54" s="178"/>
      <c r="CQ54" s="78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EK54" s="78"/>
      <c r="EL54" s="78"/>
    </row>
    <row r="55" spans="2:142" ht="21" hidden="1" thickBot="1" x14ac:dyDescent="0.25">
      <c r="B55"/>
      <c r="G55" s="1000"/>
      <c r="H55" s="63"/>
      <c r="I55"/>
      <c r="J55" s="965">
        <f>ABS($H$1/J54)</f>
        <v>127.57665866705064</v>
      </c>
      <c r="K55" s="965"/>
      <c r="L55" s="965">
        <f>ABS($H$1/L54)</f>
        <v>217.63217170579728</v>
      </c>
      <c r="M55" s="967" t="s">
        <v>222</v>
      </c>
      <c r="N55"/>
      <c r="O55" s="995"/>
      <c r="BD55" s="126"/>
      <c r="BE55" s="136"/>
      <c r="BF55" s="136"/>
      <c r="BG55" s="136"/>
      <c r="BH55" s="136"/>
      <c r="BN55" s="86"/>
      <c r="BO55" s="1091"/>
      <c r="BP55" s="177"/>
      <c r="BQ55" s="177"/>
      <c r="BR55" s="178"/>
      <c r="BS55" s="177"/>
      <c r="BT55" s="177"/>
      <c r="BU55" s="177"/>
      <c r="CA55" s="182">
        <v>2</v>
      </c>
      <c r="CB55" s="120" t="b">
        <f>IF(CC59=13,1)</f>
        <v>0</v>
      </c>
      <c r="CC55" s="186"/>
      <c r="CD55" s="124" t="b">
        <f>IF(CC59=13,3)</f>
        <v>0</v>
      </c>
      <c r="CE55" s="177"/>
      <c r="CF55" s="177"/>
      <c r="CG55" s="177"/>
      <c r="CH55" s="177"/>
      <c r="CI55" s="177"/>
      <c r="CJ55" s="177"/>
      <c r="CK55" s="177"/>
      <c r="CL55" s="177"/>
      <c r="CM55" s="177"/>
      <c r="CN55" s="177"/>
      <c r="CO55" s="178"/>
      <c r="CQ55" s="78"/>
      <c r="CR55" s="78"/>
      <c r="CS55" s="78"/>
      <c r="CT55" s="78"/>
      <c r="CU55" s="78"/>
      <c r="CV55" s="78"/>
      <c r="CW55" s="78"/>
      <c r="CX55" s="78"/>
      <c r="CY55" s="78"/>
      <c r="CZ55" s="78"/>
      <c r="DA55" s="78"/>
      <c r="DB55" s="78"/>
      <c r="DC55" s="78"/>
      <c r="DD55" s="78"/>
      <c r="EK55" s="78"/>
      <c r="EL55" s="78"/>
    </row>
    <row r="56" spans="2:142" ht="12" customHeight="1" thickBot="1" x14ac:dyDescent="0.25">
      <c r="B56" s="406"/>
      <c r="C56" s="406"/>
      <c r="D56" s="407"/>
      <c r="E56" s="407"/>
      <c r="F56" s="407"/>
      <c r="G56" s="1000"/>
      <c r="H56" s="63"/>
      <c r="J56" s="1733">
        <f>ABS($E$22/BQ27)*2</f>
        <v>71.492403932082212</v>
      </c>
      <c r="K56" s="1733"/>
      <c r="L56" s="1733"/>
      <c r="M56" s="1734" t="s">
        <v>350</v>
      </c>
      <c r="N56" s="1730" t="s">
        <v>352</v>
      </c>
      <c r="O56" s="995"/>
      <c r="BD56" s="126"/>
      <c r="BE56" s="136"/>
      <c r="BF56" s="136"/>
      <c r="BG56" s="136"/>
      <c r="BH56" s="136"/>
      <c r="BN56" s="86"/>
      <c r="BO56" s="1091"/>
      <c r="BP56" s="177"/>
      <c r="BQ56" s="177"/>
      <c r="BR56" s="178"/>
      <c r="BS56" s="177"/>
      <c r="BT56" s="177"/>
      <c r="BU56" s="177"/>
      <c r="BV56" s="76"/>
      <c r="BW56" s="177"/>
      <c r="CA56" s="177"/>
      <c r="CB56" s="177"/>
      <c r="CC56" s="177"/>
      <c r="CD56" s="177"/>
      <c r="CE56" s="177"/>
      <c r="CF56" s="177"/>
      <c r="CG56" s="177"/>
      <c r="CH56" s="177"/>
      <c r="CI56" s="177"/>
      <c r="CJ56" s="177"/>
      <c r="CK56" s="177"/>
      <c r="CL56" s="178"/>
      <c r="CM56" s="107"/>
      <c r="CN56" s="107"/>
      <c r="CO56" s="107"/>
      <c r="CQ56" s="78"/>
      <c r="CR56" s="78"/>
      <c r="CS56" s="78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  <c r="EK56" s="78"/>
      <c r="EL56" s="78"/>
    </row>
    <row r="57" spans="2:142" ht="56" customHeight="1" thickBot="1" x14ac:dyDescent="0.3">
      <c r="B57" s="406"/>
      <c r="C57" s="406"/>
      <c r="D57" s="407"/>
      <c r="E57" s="407"/>
      <c r="F57" s="407"/>
      <c r="G57" s="998"/>
      <c r="H57"/>
      <c r="I57"/>
      <c r="J57"/>
      <c r="K57"/>
      <c r="L57"/>
      <c r="M57"/>
      <c r="N57"/>
      <c r="O57" s="995"/>
      <c r="BD57" s="126"/>
      <c r="BE57" s="136"/>
      <c r="BF57" s="136"/>
      <c r="BG57" s="136"/>
      <c r="BH57" s="136"/>
      <c r="BI57" s="136"/>
      <c r="BK57" s="136"/>
      <c r="BL57" s="136"/>
      <c r="BM57" s="402"/>
      <c r="BN57" s="188"/>
      <c r="BO57" s="1095" t="s">
        <v>128</v>
      </c>
      <c r="BP57" s="746" t="s">
        <v>125</v>
      </c>
      <c r="BQ57" s="190"/>
      <c r="BR57" s="191"/>
      <c r="BS57" s="191"/>
      <c r="BT57" s="191"/>
      <c r="BU57" s="191"/>
      <c r="BV57" s="191"/>
      <c r="BW57" s="191"/>
      <c r="BX57" s="191"/>
      <c r="BY57" s="191"/>
      <c r="BZ57" s="191"/>
      <c r="CA57" s="191"/>
      <c r="CB57" s="758">
        <f>SUM(CB41:CB56)</f>
        <v>1</v>
      </c>
      <c r="CC57" s="759">
        <f t="shared" ref="CC57:CR57" si="0">SUM(CC41:CC56)</f>
        <v>0</v>
      </c>
      <c r="CD57" s="759">
        <f t="shared" si="0"/>
        <v>0</v>
      </c>
      <c r="CE57" s="759">
        <f t="shared" si="0"/>
        <v>0</v>
      </c>
      <c r="CF57" s="759">
        <f t="shared" si="0"/>
        <v>0</v>
      </c>
      <c r="CG57" s="759">
        <f t="shared" si="0"/>
        <v>0</v>
      </c>
      <c r="CH57" s="759">
        <f t="shared" si="0"/>
        <v>0</v>
      </c>
      <c r="CI57" s="759">
        <f t="shared" si="0"/>
        <v>0</v>
      </c>
      <c r="CJ57" s="759">
        <f t="shared" si="0"/>
        <v>0</v>
      </c>
      <c r="CK57" s="759">
        <f t="shared" si="0"/>
        <v>0</v>
      </c>
      <c r="CL57" s="759">
        <f t="shared" si="0"/>
        <v>11</v>
      </c>
      <c r="CM57" s="759">
        <f t="shared" si="0"/>
        <v>0</v>
      </c>
      <c r="CN57" s="759">
        <f t="shared" si="0"/>
        <v>0</v>
      </c>
      <c r="CO57" s="759">
        <f t="shared" si="0"/>
        <v>0</v>
      </c>
      <c r="CP57" s="759">
        <f t="shared" si="0"/>
        <v>0</v>
      </c>
      <c r="CQ57" s="759">
        <f t="shared" si="0"/>
        <v>0</v>
      </c>
      <c r="CR57" s="760">
        <f t="shared" si="0"/>
        <v>0</v>
      </c>
      <c r="CS57" s="191"/>
      <c r="CT57" s="191"/>
      <c r="CU57" s="192"/>
      <c r="CV57" s="192"/>
      <c r="CW57" s="192"/>
      <c r="CX57" s="192"/>
      <c r="CY57" s="192"/>
      <c r="CZ57" s="192"/>
      <c r="DA57" s="193"/>
      <c r="DB57" s="89"/>
      <c r="DC57" s="78"/>
      <c r="DD57" s="78"/>
      <c r="EK57" s="78"/>
      <c r="EL57" s="78"/>
    </row>
    <row r="58" spans="2:142" ht="45" customHeight="1" thickBot="1" x14ac:dyDescent="0.3">
      <c r="G58" s="998"/>
      <c r="H58"/>
      <c r="I58"/>
      <c r="J58"/>
      <c r="K58"/>
      <c r="L58"/>
      <c r="M58"/>
      <c r="N58"/>
      <c r="O58" s="995"/>
      <c r="BD58" s="136"/>
      <c r="BE58" s="136"/>
      <c r="BF58" s="136"/>
      <c r="BG58" s="136"/>
      <c r="BH58" s="136"/>
      <c r="BI58" s="136"/>
      <c r="BJ58" s="136"/>
      <c r="BK58" s="136"/>
      <c r="BL58" s="968">
        <v>4</v>
      </c>
      <c r="BM58" s="1762" t="b">
        <f>AND(BO58&gt;=10,$BB$142&gt;=10,$BA$142&gt;=10,$BB$164&gt;=10,$BA$164&gt;=10,$BA$195&gt;=10,$BB$195&gt;=10)</f>
        <v>1</v>
      </c>
      <c r="BN58" s="84" t="str">
        <f>IF(BM58=TRUE,"O K","OVERLOAD")</f>
        <v>O K</v>
      </c>
      <c r="BO58" s="982">
        <f>+$E$22/(BQ27/2)</f>
        <v>71.492403932082212</v>
      </c>
      <c r="BP58" s="194"/>
      <c r="BQ58" s="107"/>
      <c r="BR58" s="108"/>
      <c r="BS58" s="107"/>
      <c r="BT58" s="107"/>
      <c r="BU58" s="107"/>
      <c r="BV58" s="108"/>
      <c r="BW58" s="107"/>
      <c r="BX58" s="107"/>
      <c r="BY58" s="107"/>
      <c r="BZ58" s="107"/>
      <c r="CA58" s="107"/>
      <c r="CB58" s="107"/>
      <c r="CC58" s="107"/>
      <c r="CD58" s="107"/>
      <c r="CE58" s="107"/>
      <c r="CF58" s="107"/>
      <c r="CG58" s="107"/>
      <c r="CH58" s="107"/>
      <c r="CI58" s="107"/>
      <c r="CJ58" s="107"/>
      <c r="CK58" s="107"/>
      <c r="CL58" s="107"/>
      <c r="CM58" s="107"/>
      <c r="CN58" s="107"/>
      <c r="CO58" s="107"/>
      <c r="CP58" s="107"/>
      <c r="CQ58" s="107"/>
      <c r="CR58" s="107"/>
      <c r="CS58" s="78"/>
      <c r="CT58" s="78"/>
      <c r="CU58" s="78"/>
      <c r="CV58" s="78"/>
      <c r="CW58" s="78"/>
      <c r="CX58" s="78"/>
      <c r="CY58" s="78"/>
      <c r="CZ58" s="78"/>
      <c r="DA58" s="78"/>
      <c r="DB58" s="78"/>
      <c r="DC58" s="78"/>
      <c r="DD58" s="78"/>
      <c r="EK58" s="78"/>
      <c r="EL58" s="78"/>
    </row>
    <row r="59" spans="2:142" ht="20" hidden="1" x14ac:dyDescent="0.2">
      <c r="B59" s="408"/>
      <c r="C59" s="408"/>
      <c r="G59" s="998"/>
      <c r="H59"/>
      <c r="I59"/>
      <c r="J59"/>
      <c r="K59"/>
      <c r="L59"/>
      <c r="M59"/>
      <c r="N59"/>
      <c r="O59" s="995"/>
      <c r="U59" s="73"/>
      <c r="V59" s="73"/>
      <c r="W59" s="73"/>
      <c r="X59" s="73"/>
      <c r="Y59" s="73"/>
      <c r="Z59" s="73"/>
      <c r="AA59" s="73"/>
      <c r="AF59" s="73"/>
      <c r="AG59" s="73"/>
      <c r="AH59" s="73"/>
      <c r="AI59" s="73"/>
      <c r="AJ59" s="73"/>
      <c r="AK59" s="73"/>
      <c r="AL59" s="73"/>
      <c r="AM59" s="73"/>
      <c r="AN59" s="73"/>
      <c r="AO59" s="73"/>
      <c r="AP59" s="73"/>
      <c r="AQ59" s="73"/>
      <c r="AR59" s="73"/>
      <c r="AS59" s="73"/>
      <c r="AT59" s="73"/>
      <c r="AU59" s="73"/>
      <c r="AV59" s="73"/>
      <c r="AW59" s="73"/>
      <c r="AX59" s="73"/>
      <c r="AY59" s="73"/>
      <c r="AZ59" s="73"/>
      <c r="BA59" s="73"/>
      <c r="BB59" s="73"/>
      <c r="BC59" s="126"/>
      <c r="BD59" s="136"/>
      <c r="BE59" s="136"/>
      <c r="BF59" s="136"/>
      <c r="BG59" s="136"/>
      <c r="BH59" s="136"/>
      <c r="BI59" s="136"/>
      <c r="BJ59" s="136"/>
      <c r="BK59" s="136"/>
      <c r="BL59" s="136"/>
      <c r="BM59" s="402"/>
      <c r="BN59" s="188"/>
      <c r="BO59" s="1091"/>
      <c r="BP59" s="76"/>
      <c r="BQ59" s="195" t="b">
        <f>+BL211</f>
        <v>0</v>
      </c>
      <c r="BR59" s="195" t="b">
        <f>+BL212</f>
        <v>0</v>
      </c>
      <c r="BS59" s="195" t="b">
        <f>+BL213</f>
        <v>0</v>
      </c>
      <c r="BT59" s="195" t="b">
        <f>+BL214</f>
        <v>0</v>
      </c>
      <c r="BU59" s="195" t="b">
        <f>+BL215</f>
        <v>0</v>
      </c>
      <c r="BV59" s="195" t="b">
        <f>+BL216</f>
        <v>0</v>
      </c>
      <c r="BW59" s="195" t="b">
        <f>+BL217</f>
        <v>0</v>
      </c>
      <c r="BX59" s="195" t="b">
        <f>+BL218</f>
        <v>0</v>
      </c>
      <c r="BY59" s="195" t="b">
        <f>+BL219</f>
        <v>0</v>
      </c>
      <c r="BZ59" s="195" t="b">
        <f>+BL220</f>
        <v>0</v>
      </c>
      <c r="CA59" s="195" t="b">
        <f>+BL221</f>
        <v>0</v>
      </c>
      <c r="CB59" s="195" t="b">
        <f>+BL222</f>
        <v>0</v>
      </c>
      <c r="CC59" s="195" t="b">
        <f>+BL223</f>
        <v>0</v>
      </c>
      <c r="CD59" s="195" t="b">
        <f>+BL224</f>
        <v>0</v>
      </c>
      <c r="CE59" s="195" t="b">
        <f>+BL225</f>
        <v>0</v>
      </c>
      <c r="CF59" s="195" t="b">
        <f>+BL226</f>
        <v>0</v>
      </c>
      <c r="CG59" s="195">
        <f>+BL227</f>
        <v>17</v>
      </c>
      <c r="CH59" s="195" t="b">
        <f>+BL228</f>
        <v>0</v>
      </c>
      <c r="CI59" s="195" t="b">
        <f>+BL229</f>
        <v>0</v>
      </c>
      <c r="CJ59" s="195" t="b">
        <f>+BL230</f>
        <v>0</v>
      </c>
      <c r="CK59" s="195" t="b">
        <f>+BL231</f>
        <v>0</v>
      </c>
      <c r="CL59" s="195" t="b">
        <f>+BL232</f>
        <v>0</v>
      </c>
      <c r="CM59" s="195" t="b">
        <f>+BL233</f>
        <v>0</v>
      </c>
      <c r="CN59" s="195" t="b">
        <f>+BL234</f>
        <v>0</v>
      </c>
      <c r="CO59" s="195" t="b">
        <f>+BL235</f>
        <v>0</v>
      </c>
      <c r="CP59" s="195" t="b">
        <f>+BL236</f>
        <v>0</v>
      </c>
      <c r="CQ59" s="195" t="b">
        <f>+BL237</f>
        <v>0</v>
      </c>
      <c r="CR59" s="195" t="b">
        <f>+BL238</f>
        <v>0</v>
      </c>
      <c r="CS59" s="195" t="b">
        <f>+BL239</f>
        <v>0</v>
      </c>
      <c r="CT59" s="195" t="b">
        <f>+BL240</f>
        <v>0</v>
      </c>
      <c r="CU59" s="195" t="b">
        <f>+BL241</f>
        <v>0</v>
      </c>
      <c r="CV59" s="195" t="b">
        <f>+BL242</f>
        <v>0</v>
      </c>
      <c r="CW59" s="195" t="b">
        <f>+BL243</f>
        <v>0</v>
      </c>
      <c r="CX59" s="195" t="b">
        <f>+BL244</f>
        <v>0</v>
      </c>
      <c r="CY59" s="195" t="b">
        <f>+BL245</f>
        <v>0</v>
      </c>
      <c r="CZ59" s="195" t="b">
        <f>+BL246</f>
        <v>0</v>
      </c>
      <c r="DA59" s="195" t="b">
        <f>+BL247</f>
        <v>0</v>
      </c>
      <c r="DB59" s="196"/>
      <c r="DC59" s="78"/>
      <c r="DD59" s="78"/>
      <c r="EK59" s="78"/>
      <c r="EL59" s="78"/>
    </row>
    <row r="60" spans="2:142" ht="45.75" hidden="1" customHeight="1" x14ac:dyDescent="0.2">
      <c r="E60" s="208"/>
      <c r="F60" s="208"/>
      <c r="G60" s="998"/>
      <c r="H60"/>
      <c r="I60"/>
      <c r="J60"/>
      <c r="K60"/>
      <c r="L60"/>
      <c r="M60"/>
      <c r="N60"/>
      <c r="O60" s="995"/>
      <c r="BD60" s="136"/>
      <c r="BE60" s="136"/>
      <c r="BF60" s="136"/>
      <c r="BG60" s="136"/>
      <c r="BH60" s="136"/>
      <c r="BI60" s="136"/>
      <c r="BJ60" s="136"/>
      <c r="BK60" s="136"/>
      <c r="BL60" s="136"/>
      <c r="BM60" s="402"/>
      <c r="BN60" s="188"/>
      <c r="BO60" s="1091"/>
      <c r="BP60" s="78"/>
      <c r="BQ60" s="196" t="b">
        <f t="shared" ref="BQ60:DA60" si="1">+BQ59</f>
        <v>0</v>
      </c>
      <c r="BR60" s="196" t="b">
        <f t="shared" si="1"/>
        <v>0</v>
      </c>
      <c r="BS60" s="196" t="b">
        <f t="shared" si="1"/>
        <v>0</v>
      </c>
      <c r="BT60" s="196" t="b">
        <f t="shared" si="1"/>
        <v>0</v>
      </c>
      <c r="BU60" s="196" t="b">
        <f t="shared" si="1"/>
        <v>0</v>
      </c>
      <c r="BV60" s="196" t="b">
        <f t="shared" si="1"/>
        <v>0</v>
      </c>
      <c r="BW60" s="196" t="b">
        <f t="shared" si="1"/>
        <v>0</v>
      </c>
      <c r="BX60" s="196" t="b">
        <f t="shared" si="1"/>
        <v>0</v>
      </c>
      <c r="BY60" s="196" t="b">
        <f t="shared" si="1"/>
        <v>0</v>
      </c>
      <c r="BZ60" s="196" t="b">
        <f t="shared" si="1"/>
        <v>0</v>
      </c>
      <c r="CA60" s="196" t="b">
        <f t="shared" si="1"/>
        <v>0</v>
      </c>
      <c r="CB60" s="196" t="b">
        <f t="shared" si="1"/>
        <v>0</v>
      </c>
      <c r="CC60" s="196" t="b">
        <f t="shared" si="1"/>
        <v>0</v>
      </c>
      <c r="CD60" s="196" t="b">
        <f t="shared" si="1"/>
        <v>0</v>
      </c>
      <c r="CE60" s="196" t="b">
        <f t="shared" si="1"/>
        <v>0</v>
      </c>
      <c r="CF60" s="196" t="b">
        <f t="shared" si="1"/>
        <v>0</v>
      </c>
      <c r="CG60" s="196">
        <f t="shared" si="1"/>
        <v>17</v>
      </c>
      <c r="CH60" s="196" t="b">
        <f t="shared" si="1"/>
        <v>0</v>
      </c>
      <c r="CI60" s="196" t="b">
        <f t="shared" si="1"/>
        <v>0</v>
      </c>
      <c r="CJ60" s="196" t="b">
        <f t="shared" si="1"/>
        <v>0</v>
      </c>
      <c r="CK60" s="196" t="b">
        <f t="shared" si="1"/>
        <v>0</v>
      </c>
      <c r="CL60" s="196" t="b">
        <f t="shared" si="1"/>
        <v>0</v>
      </c>
      <c r="CM60" s="196" t="b">
        <f t="shared" si="1"/>
        <v>0</v>
      </c>
      <c r="CN60" s="196" t="b">
        <f t="shared" si="1"/>
        <v>0</v>
      </c>
      <c r="CO60" s="196" t="b">
        <f t="shared" si="1"/>
        <v>0</v>
      </c>
      <c r="CP60" s="196" t="b">
        <f t="shared" si="1"/>
        <v>0</v>
      </c>
      <c r="CQ60" s="196" t="b">
        <f t="shared" si="1"/>
        <v>0</v>
      </c>
      <c r="CR60" s="196" t="b">
        <f t="shared" si="1"/>
        <v>0</v>
      </c>
      <c r="CS60" s="196" t="b">
        <f t="shared" si="1"/>
        <v>0</v>
      </c>
      <c r="CT60" s="196" t="b">
        <f t="shared" si="1"/>
        <v>0</v>
      </c>
      <c r="CU60" s="196" t="b">
        <f t="shared" si="1"/>
        <v>0</v>
      </c>
      <c r="CV60" s="196" t="b">
        <f t="shared" si="1"/>
        <v>0</v>
      </c>
      <c r="CW60" s="196" t="b">
        <f t="shared" si="1"/>
        <v>0</v>
      </c>
      <c r="CX60" s="196" t="b">
        <f t="shared" si="1"/>
        <v>0</v>
      </c>
      <c r="CY60" s="196" t="b">
        <f t="shared" si="1"/>
        <v>0</v>
      </c>
      <c r="CZ60" s="196" t="b">
        <f t="shared" si="1"/>
        <v>0</v>
      </c>
      <c r="DA60" s="196" t="b">
        <f t="shared" si="1"/>
        <v>0</v>
      </c>
      <c r="DB60" s="196"/>
      <c r="DC60" s="78"/>
      <c r="DD60" s="78"/>
      <c r="EK60" s="78"/>
      <c r="EL60" s="78"/>
    </row>
    <row r="61" spans="2:142" ht="16" customHeight="1" thickBot="1" x14ac:dyDescent="0.25">
      <c r="E61" s="208"/>
      <c r="F61" s="208"/>
      <c r="G61" s="998"/>
      <c r="H61"/>
      <c r="I61"/>
      <c r="J61"/>
      <c r="K61"/>
      <c r="L61"/>
      <c r="M61"/>
      <c r="N61"/>
      <c r="O61" s="995"/>
      <c r="V61" s="1098"/>
      <c r="W61" s="1098"/>
      <c r="X61" s="1098"/>
      <c r="Y61" s="1098"/>
      <c r="Z61" s="1098"/>
      <c r="AA61" s="1098"/>
      <c r="AF61" s="401"/>
      <c r="AG61" s="401"/>
      <c r="AH61" s="401"/>
      <c r="AI61" s="401"/>
      <c r="AJ61" s="401"/>
      <c r="AK61" s="401"/>
      <c r="AL61" s="401"/>
      <c r="AM61" s="401"/>
      <c r="AN61" s="401"/>
      <c r="AO61" s="401"/>
      <c r="AP61" s="401"/>
      <c r="AQ61" s="401"/>
      <c r="AR61" s="401"/>
      <c r="AS61" s="401"/>
      <c r="AT61" s="401"/>
      <c r="AU61" s="401"/>
      <c r="AV61" s="401"/>
      <c r="AW61" s="401"/>
      <c r="AX61" s="401"/>
      <c r="AY61" s="401"/>
      <c r="AZ61" s="401"/>
      <c r="BA61" s="401"/>
      <c r="BB61" s="401"/>
      <c r="BC61" s="143"/>
      <c r="BD61" s="136"/>
      <c r="BE61" s="136"/>
      <c r="BF61" s="136"/>
      <c r="BG61" s="136"/>
      <c r="BH61" s="136"/>
      <c r="BI61" s="136"/>
      <c r="BJ61" s="136"/>
      <c r="BK61" s="136"/>
      <c r="BL61" s="136"/>
      <c r="BM61" s="402"/>
      <c r="BN61" s="188"/>
      <c r="BO61" s="1091"/>
      <c r="BP61" s="78"/>
      <c r="BQ61" s="196"/>
      <c r="BR61" s="196"/>
      <c r="BS61" s="196"/>
      <c r="BT61" s="196"/>
      <c r="BU61" s="196"/>
      <c r="BV61" s="196"/>
      <c r="BW61" s="196"/>
      <c r="BX61" s="196"/>
      <c r="BY61" s="196"/>
      <c r="BZ61" s="196"/>
      <c r="CA61" s="196"/>
      <c r="CB61" s="196"/>
      <c r="CC61" s="196"/>
      <c r="CD61" s="196"/>
      <c r="CE61" s="196"/>
      <c r="CF61" s="196"/>
      <c r="CG61" s="196"/>
      <c r="CH61" s="196"/>
      <c r="CI61" s="196"/>
      <c r="CJ61" s="196"/>
      <c r="CK61" s="196"/>
      <c r="CL61" s="196"/>
      <c r="CM61" s="196"/>
      <c r="CN61" s="196"/>
      <c r="CO61" s="196"/>
      <c r="CP61" s="196"/>
      <c r="CQ61" s="196"/>
      <c r="CR61" s="196"/>
      <c r="CS61" s="196"/>
      <c r="CT61" s="196"/>
      <c r="CU61" s="196"/>
      <c r="CV61" s="196"/>
      <c r="CW61" s="196"/>
      <c r="CX61" s="196"/>
      <c r="CY61" s="196"/>
      <c r="CZ61" s="196"/>
      <c r="DA61" s="196"/>
      <c r="DB61" s="196"/>
      <c r="DC61" s="78"/>
      <c r="DD61" s="78"/>
      <c r="EK61" s="78"/>
      <c r="EL61" s="78"/>
    </row>
    <row r="62" spans="2:142" ht="56" customHeight="1" thickBot="1" x14ac:dyDescent="0.3">
      <c r="E62" s="208"/>
      <c r="F62" s="208"/>
      <c r="G62" s="998"/>
      <c r="H62"/>
      <c r="I62"/>
      <c r="J62"/>
      <c r="K62"/>
      <c r="L62"/>
      <c r="M62"/>
      <c r="N62"/>
      <c r="O62" s="995"/>
      <c r="BD62" s="136"/>
      <c r="BE62" s="136"/>
      <c r="BF62" s="136"/>
      <c r="BG62" s="136"/>
      <c r="BH62" s="136"/>
      <c r="BI62" s="136"/>
      <c r="BJ62" s="136"/>
      <c r="BK62" s="136"/>
      <c r="BL62" s="136"/>
      <c r="BM62" s="402"/>
      <c r="BN62" s="188"/>
      <c r="BO62" s="1095" t="s">
        <v>128</v>
      </c>
      <c r="BP62" s="197" t="s">
        <v>129</v>
      </c>
      <c r="BQ62" s="748" t="str">
        <f>IF(BQ60=1,17,"")</f>
        <v/>
      </c>
      <c r="BR62" s="749" t="str">
        <f>IF(BR60=2,16,"")</f>
        <v/>
      </c>
      <c r="BS62" s="749" t="str">
        <f>IF(BS60=3,15,"")</f>
        <v/>
      </c>
      <c r="BT62" s="749" t="str">
        <f>IF(BT60=4,14,"")</f>
        <v/>
      </c>
      <c r="BU62" s="749" t="str">
        <f>IF(BU60=5,13,"")</f>
        <v/>
      </c>
      <c r="BV62" s="749" t="str">
        <f>IF(BV60=6,12,"")</f>
        <v/>
      </c>
      <c r="BW62" s="749" t="str">
        <f>IF(BW60=7,11,"")</f>
        <v/>
      </c>
      <c r="BX62" s="749" t="str">
        <f>IF(BX60=8,10,"")</f>
        <v/>
      </c>
      <c r="BY62" s="749" t="str">
        <f>IF(BY60=9,9,"")</f>
        <v/>
      </c>
      <c r="BZ62" s="749" t="str">
        <f>IF(BZ60=10,8,"")</f>
        <v/>
      </c>
      <c r="CA62" s="749" t="str">
        <f>IF(CA60=11,7,"")</f>
        <v/>
      </c>
      <c r="CB62" s="928" t="str">
        <f>IF(CB60=12,1,"")</f>
        <v/>
      </c>
      <c r="CC62" s="747" t="str">
        <f>IF(CC60=13,2,"")</f>
        <v/>
      </c>
      <c r="CD62" s="747" t="str">
        <f>IF(CD60=14,3,"")</f>
        <v/>
      </c>
      <c r="CE62" s="747" t="str">
        <f>IF(CE60=15,4,"")</f>
        <v/>
      </c>
      <c r="CF62" s="747" t="str">
        <f>IF(CF60=16,5,"")</f>
        <v/>
      </c>
      <c r="CG62" s="747">
        <f>IF(CG60=17,6,"")</f>
        <v>6</v>
      </c>
      <c r="CH62" s="747" t="str">
        <f>IF(CH60=18,7,"")</f>
        <v/>
      </c>
      <c r="CI62" s="747" t="str">
        <f>IF(CI60=19,8,"")</f>
        <v/>
      </c>
      <c r="CJ62" s="747" t="str">
        <f>IF(CJ60=20,9,"")</f>
        <v/>
      </c>
      <c r="CK62" s="747" t="str">
        <f>IF(CK60=21,10,"")</f>
        <v/>
      </c>
      <c r="CL62" s="747" t="str">
        <f>IF(CL60=22,11,"")</f>
        <v/>
      </c>
      <c r="CM62" s="747" t="str">
        <f>IF(CM60=23,12,"")</f>
        <v/>
      </c>
      <c r="CN62" s="747" t="str">
        <f>IF(CN60=24,13,"")</f>
        <v/>
      </c>
      <c r="CO62" s="747" t="str">
        <f>IF(CO60=25,14,"")</f>
        <v/>
      </c>
      <c r="CP62" s="747" t="str">
        <f>IF(CP60=26,15,"")</f>
        <v/>
      </c>
      <c r="CQ62" s="747" t="str">
        <f>IF(CQ60=27,16,"")</f>
        <v/>
      </c>
      <c r="CR62" s="929" t="str">
        <f>IF(CR60=28,17,"")</f>
        <v/>
      </c>
      <c r="CS62" s="756" t="str">
        <f>IF(CS60=29,9,"")</f>
        <v/>
      </c>
      <c r="CT62" s="756" t="str">
        <f>IF(CT60=30,10,"")</f>
        <v/>
      </c>
      <c r="CU62" s="756" t="str">
        <f>IF(CU60=31,11,"")</f>
        <v/>
      </c>
      <c r="CV62" s="756" t="str">
        <f>IF(CV60=32,12,"")</f>
        <v/>
      </c>
      <c r="CW62" s="756" t="str">
        <f>IF(CW60=33,13,"")</f>
        <v/>
      </c>
      <c r="CX62" s="756" t="str">
        <f>IF(CX60=34,14,"")</f>
        <v/>
      </c>
      <c r="CY62" s="756" t="str">
        <f>IF(CY60=35,15,"")</f>
        <v/>
      </c>
      <c r="CZ62" s="756" t="str">
        <f>IF(CZ60=36,16,"")</f>
        <v/>
      </c>
      <c r="DA62" s="757" t="str">
        <f>IF(DA60=37,17,"")</f>
        <v/>
      </c>
      <c r="DB62" s="198"/>
      <c r="DC62" s="78"/>
      <c r="DD62" s="78"/>
      <c r="EK62" s="78"/>
      <c r="EL62" s="78"/>
    </row>
    <row r="63" spans="2:142" ht="45" customHeight="1" thickBot="1" x14ac:dyDescent="0.3">
      <c r="E63" s="208"/>
      <c r="F63" s="208"/>
      <c r="G63" s="998"/>
      <c r="H63"/>
      <c r="I63"/>
      <c r="J63"/>
      <c r="K63"/>
      <c r="L63"/>
      <c r="M63"/>
      <c r="N63"/>
      <c r="O63" s="995"/>
      <c r="BD63" s="136"/>
      <c r="BE63" s="136"/>
      <c r="BF63" s="136"/>
      <c r="BG63" s="136"/>
      <c r="BH63" s="136"/>
      <c r="BI63" s="136"/>
      <c r="BJ63" s="136"/>
      <c r="BK63" s="136"/>
      <c r="BL63" s="968">
        <v>5</v>
      </c>
      <c r="BM63" s="1762" t="b">
        <f>AND(BO63&gt;=10,$BB$142&gt;=10,$BA$142&gt;=10,$BB$164&gt;=10,$BA$164&gt;=10,$BA$195&gt;=10,$BB$195&gt;=10)</f>
        <v>1</v>
      </c>
      <c r="BN63" s="84" t="str">
        <f>IF(BM63=TRUE,"O K","OVERLOAD")</f>
        <v>O K</v>
      </c>
      <c r="BO63" s="982">
        <f>IF(SUM(BQ62:CA62)&gt;0,K85,0)+IF(SUM(CB62:CR62)&gt;0,L85,0)+IF(SUM(CS62:DA62)&gt;0,M85,0)</f>
        <v>35.746201966041106</v>
      </c>
      <c r="BP63" s="788" t="s">
        <v>185</v>
      </c>
      <c r="BQ63" s="789">
        <v>-10</v>
      </c>
      <c r="BR63" s="789">
        <v>-9</v>
      </c>
      <c r="BS63" s="789">
        <v>-8</v>
      </c>
      <c r="BT63" s="789">
        <v>-7</v>
      </c>
      <c r="BU63" s="789">
        <v>-6</v>
      </c>
      <c r="BV63" s="789">
        <v>-5</v>
      </c>
      <c r="BW63" s="789">
        <v>-4</v>
      </c>
      <c r="BX63" s="789">
        <v>-3</v>
      </c>
      <c r="BY63" s="789">
        <v>-2</v>
      </c>
      <c r="BZ63" s="789">
        <v>-1</v>
      </c>
      <c r="CA63" s="789">
        <v>0</v>
      </c>
      <c r="CB63" s="789">
        <v>1</v>
      </c>
      <c r="CC63" s="789">
        <v>2</v>
      </c>
      <c r="CD63" s="789">
        <v>3</v>
      </c>
      <c r="CE63" s="789">
        <v>4</v>
      </c>
      <c r="CF63" s="789">
        <v>5</v>
      </c>
      <c r="CG63" s="789">
        <v>6</v>
      </c>
      <c r="CH63" s="789">
        <v>7</v>
      </c>
      <c r="CI63" s="789">
        <v>8</v>
      </c>
      <c r="CJ63" s="789">
        <v>9</v>
      </c>
      <c r="CK63" s="789">
        <v>10</v>
      </c>
      <c r="CL63" s="789">
        <v>11</v>
      </c>
      <c r="CM63" s="789">
        <v>12</v>
      </c>
      <c r="CN63" s="789">
        <v>13</v>
      </c>
      <c r="CO63" s="789">
        <v>14</v>
      </c>
      <c r="CP63" s="789">
        <v>15</v>
      </c>
      <c r="CQ63" s="789">
        <v>16</v>
      </c>
      <c r="CR63" s="789">
        <v>17</v>
      </c>
      <c r="CS63" s="789">
        <v>18</v>
      </c>
      <c r="CT63" s="789">
        <v>19</v>
      </c>
      <c r="CU63" s="789">
        <v>20</v>
      </c>
      <c r="CV63" s="789">
        <v>21</v>
      </c>
      <c r="CW63" s="789">
        <v>22</v>
      </c>
      <c r="CX63" s="789">
        <v>23</v>
      </c>
      <c r="CY63" s="789">
        <v>24</v>
      </c>
      <c r="CZ63" s="789">
        <v>25</v>
      </c>
      <c r="DA63" s="791">
        <v>26</v>
      </c>
      <c r="DB63" s="198"/>
      <c r="DC63" s="78"/>
      <c r="DD63" s="78"/>
      <c r="EK63" s="78"/>
      <c r="EL63" s="78"/>
    </row>
    <row r="64" spans="2:142" ht="24" hidden="1" thickBot="1" x14ac:dyDescent="0.3">
      <c r="E64" s="397"/>
      <c r="F64" s="397"/>
      <c r="G64" s="998"/>
      <c r="H64"/>
      <c r="I64"/>
      <c r="J64"/>
      <c r="K64"/>
      <c r="L64"/>
      <c r="M64"/>
      <c r="N64"/>
      <c r="O64" s="995"/>
      <c r="BN64" s="86"/>
      <c r="BO64" s="18"/>
      <c r="BP64" s="1582"/>
      <c r="BQ64" s="97"/>
      <c r="BR64" s="97"/>
      <c r="BS64" s="97"/>
      <c r="BT64" s="97"/>
      <c r="BU64" s="97"/>
      <c r="BV64" s="97"/>
      <c r="BW64" s="97"/>
      <c r="BX64" s="97"/>
      <c r="BY64" s="94"/>
      <c r="BZ64" s="94"/>
      <c r="CA64" s="89"/>
      <c r="CB64" s="89"/>
      <c r="CC64" s="89"/>
      <c r="CD64" s="89"/>
      <c r="CE64" s="89"/>
      <c r="CF64" s="89"/>
      <c r="CG64" s="89"/>
      <c r="CH64" s="89"/>
      <c r="CI64" s="89"/>
      <c r="CJ64" s="89"/>
      <c r="CK64" s="89"/>
      <c r="CL64" s="89"/>
      <c r="CM64" s="89"/>
      <c r="CN64" s="37"/>
      <c r="CO64" s="95"/>
      <c r="CP64" s="95"/>
      <c r="CQ64" s="95"/>
      <c r="CR64" s="95"/>
      <c r="CS64" s="92"/>
      <c r="CT64" s="92"/>
      <c r="CU64" s="92"/>
      <c r="CV64" s="92"/>
      <c r="CW64" s="92"/>
      <c r="CX64" s="92"/>
      <c r="CY64" s="92"/>
      <c r="CZ64" s="92"/>
      <c r="DA64" s="92"/>
      <c r="DB64" s="92"/>
      <c r="DC64" s="17"/>
      <c r="DD64" s="78"/>
    </row>
    <row r="65" spans="5:108" ht="24" hidden="1" thickBot="1" x14ac:dyDescent="0.3">
      <c r="E65" s="397"/>
      <c r="F65" s="397"/>
      <c r="G65" s="998"/>
      <c r="H65"/>
      <c r="I65"/>
      <c r="J65"/>
      <c r="K65"/>
      <c r="L65"/>
      <c r="M65"/>
      <c r="N65"/>
      <c r="O65" s="995"/>
      <c r="BN65" s="86"/>
      <c r="BO65" s="18"/>
      <c r="BP65" s="1582">
        <v>36</v>
      </c>
      <c r="BQ65" s="97"/>
      <c r="BR65" s="97"/>
      <c r="BS65" s="97"/>
      <c r="BT65" s="97"/>
      <c r="BU65" s="97"/>
      <c r="BV65" s="97"/>
      <c r="BW65" s="97"/>
      <c r="BX65" s="97"/>
      <c r="BY65" s="94"/>
      <c r="BZ65" s="94"/>
      <c r="CA65" s="89"/>
      <c r="CB65" s="89"/>
      <c r="CC65" s="89"/>
      <c r="CD65" s="89"/>
      <c r="CE65" s="89"/>
      <c r="CF65" s="89"/>
      <c r="CG65" s="89"/>
      <c r="CH65" s="98"/>
      <c r="CI65" s="99"/>
      <c r="CJ65" s="100"/>
      <c r="CK65" s="89"/>
      <c r="CL65" s="89"/>
      <c r="CM65" s="89"/>
      <c r="CN65" s="37"/>
      <c r="CO65" s="95"/>
      <c r="CP65" s="95"/>
      <c r="CQ65" s="95"/>
      <c r="CR65" s="95"/>
      <c r="CS65" s="92"/>
      <c r="CT65" s="92"/>
      <c r="CU65" s="92"/>
      <c r="CV65" s="92"/>
      <c r="CW65" s="92"/>
      <c r="CX65" s="92"/>
      <c r="CY65" s="101" t="b">
        <f>IF(CZ59=36,35)</f>
        <v>0</v>
      </c>
      <c r="CZ65" s="102"/>
      <c r="DA65" s="103" t="b">
        <f>IF(CZ59=36,37)</f>
        <v>0</v>
      </c>
      <c r="DB65" s="92"/>
      <c r="DC65" s="17"/>
      <c r="DD65" s="78"/>
    </row>
    <row r="66" spans="5:108" ht="24" hidden="1" thickBot="1" x14ac:dyDescent="0.3">
      <c r="E66" s="397"/>
      <c r="F66" s="397"/>
      <c r="G66" s="998"/>
      <c r="H66"/>
      <c r="I66"/>
      <c r="J66"/>
      <c r="K66"/>
      <c r="L66"/>
      <c r="M66"/>
      <c r="N66"/>
      <c r="O66" s="995"/>
      <c r="BN66" s="86"/>
      <c r="BO66" s="18"/>
      <c r="BP66" s="1582">
        <v>35</v>
      </c>
      <c r="BQ66" s="97"/>
      <c r="BR66" s="97"/>
      <c r="BS66" s="97"/>
      <c r="BT66" s="97"/>
      <c r="BU66" s="97"/>
      <c r="BV66" s="97"/>
      <c r="BW66" s="97"/>
      <c r="BX66" s="97"/>
      <c r="BY66" s="94"/>
      <c r="BZ66" s="94"/>
      <c r="CA66" s="89"/>
      <c r="CB66" s="89"/>
      <c r="CC66" s="89"/>
      <c r="CD66" s="89"/>
      <c r="CE66" s="89"/>
      <c r="CF66" s="89"/>
      <c r="CG66" s="89"/>
      <c r="CH66" s="104"/>
      <c r="CI66" s="89"/>
      <c r="CJ66" s="105"/>
      <c r="CK66" s="89"/>
      <c r="CL66" s="89"/>
      <c r="CM66" s="89"/>
      <c r="CN66" s="37"/>
      <c r="CO66" s="95"/>
      <c r="CP66" s="95"/>
      <c r="CQ66" s="95"/>
      <c r="CR66" s="95"/>
      <c r="CS66" s="92"/>
      <c r="CT66" s="92"/>
      <c r="CU66" s="92"/>
      <c r="CV66" s="92"/>
      <c r="CW66" s="101" t="b">
        <f>IF(CY59=35,33)</f>
        <v>0</v>
      </c>
      <c r="CX66" s="102"/>
      <c r="CY66" s="102"/>
      <c r="CZ66" s="102"/>
      <c r="DA66" s="103" t="b">
        <f>IF(CY59=35,37)</f>
        <v>0</v>
      </c>
      <c r="DB66" s="92"/>
      <c r="DC66" s="17"/>
      <c r="DD66" s="78"/>
    </row>
    <row r="67" spans="5:108" ht="24" hidden="1" thickBot="1" x14ac:dyDescent="0.3">
      <c r="E67" s="397"/>
      <c r="F67" s="397"/>
      <c r="G67" s="998"/>
      <c r="H67"/>
      <c r="I67"/>
      <c r="J67"/>
      <c r="K67"/>
      <c r="L67"/>
      <c r="M67"/>
      <c r="N67"/>
      <c r="O67" s="995"/>
      <c r="BN67" s="86"/>
      <c r="BO67" s="18"/>
      <c r="BP67" s="1582">
        <v>34</v>
      </c>
      <c r="BQ67" s="97"/>
      <c r="BR67" s="97"/>
      <c r="BS67" s="97"/>
      <c r="BT67" s="97"/>
      <c r="BU67" s="97"/>
      <c r="BV67" s="97"/>
      <c r="BW67" s="97"/>
      <c r="BX67" s="97"/>
      <c r="BY67" s="94"/>
      <c r="BZ67" s="94"/>
      <c r="CA67" s="89"/>
      <c r="CB67" s="89"/>
      <c r="CC67" s="89"/>
      <c r="CD67" s="89"/>
      <c r="CE67" s="89"/>
      <c r="CF67" s="89"/>
      <c r="CG67" s="89"/>
      <c r="CH67" s="104"/>
      <c r="CI67" s="89"/>
      <c r="CJ67" s="105"/>
      <c r="CK67" s="89"/>
      <c r="CL67" s="89"/>
      <c r="CM67" s="89"/>
      <c r="CN67" s="37"/>
      <c r="CO67" s="95"/>
      <c r="CP67" s="95"/>
      <c r="CQ67" s="95"/>
      <c r="CR67" s="95"/>
      <c r="CS67" s="92"/>
      <c r="CT67" s="92"/>
      <c r="CU67" s="101" t="b">
        <f>IF(CX59=34,31)</f>
        <v>0</v>
      </c>
      <c r="CV67" s="102"/>
      <c r="CW67" s="102"/>
      <c r="CX67" s="102"/>
      <c r="CY67" s="102"/>
      <c r="CZ67" s="102"/>
      <c r="DA67" s="103" t="b">
        <f>IF(CX59=34,37)</f>
        <v>0</v>
      </c>
      <c r="DB67" s="92"/>
      <c r="DC67" s="17"/>
      <c r="DD67" s="78"/>
    </row>
    <row r="68" spans="5:108" ht="24" hidden="1" thickBot="1" x14ac:dyDescent="0.3">
      <c r="E68" s="397"/>
      <c r="F68" s="397"/>
      <c r="G68" s="998"/>
      <c r="H68"/>
      <c r="I68"/>
      <c r="J68"/>
      <c r="K68"/>
      <c r="L68"/>
      <c r="M68"/>
      <c r="N68"/>
      <c r="O68" s="995"/>
      <c r="BN68" s="86"/>
      <c r="BO68" s="18"/>
      <c r="BP68" s="1582">
        <v>33</v>
      </c>
      <c r="BQ68" s="97"/>
      <c r="BR68" s="97"/>
      <c r="BS68" s="97"/>
      <c r="BT68" s="97"/>
      <c r="BU68" s="97"/>
      <c r="BV68" s="97"/>
      <c r="BW68" s="97"/>
      <c r="BX68" s="97"/>
      <c r="BY68" s="94"/>
      <c r="BZ68" s="94"/>
      <c r="CA68" s="89"/>
      <c r="CB68" s="89"/>
      <c r="CC68" s="89"/>
      <c r="CD68" s="89"/>
      <c r="CE68" s="89"/>
      <c r="CF68" s="89"/>
      <c r="CG68" s="89"/>
      <c r="CH68" s="104"/>
      <c r="CI68" s="89"/>
      <c r="CJ68" s="105"/>
      <c r="CK68" s="89"/>
      <c r="CL68" s="89"/>
      <c r="CM68" s="89"/>
      <c r="CN68" s="37"/>
      <c r="CO68" s="95"/>
      <c r="CP68" s="95"/>
      <c r="CQ68" s="95"/>
      <c r="CR68" s="95"/>
      <c r="CS68" s="101" t="b">
        <f>IF(CW59=33,29)</f>
        <v>0</v>
      </c>
      <c r="CT68" s="102"/>
      <c r="CU68" s="102"/>
      <c r="CV68" s="102"/>
      <c r="CW68" s="102"/>
      <c r="CX68" s="102"/>
      <c r="CY68" s="102"/>
      <c r="CZ68" s="102"/>
      <c r="DA68" s="103" t="b">
        <f>IF(CW59=33,37)</f>
        <v>0</v>
      </c>
      <c r="DB68" s="92"/>
      <c r="DC68" s="17"/>
      <c r="DD68" s="78"/>
    </row>
    <row r="69" spans="5:108" ht="21" hidden="1" thickBot="1" x14ac:dyDescent="0.25">
      <c r="E69" s="397"/>
      <c r="F69" s="397"/>
      <c r="G69" s="998"/>
      <c r="H69"/>
      <c r="I69"/>
      <c r="J69"/>
      <c r="K69"/>
      <c r="L69"/>
      <c r="M69"/>
      <c r="N69"/>
      <c r="O69" s="995"/>
      <c r="BN69" s="86"/>
      <c r="BP69" s="1582">
        <v>32</v>
      </c>
      <c r="BQ69" s="107"/>
      <c r="BR69" s="107"/>
      <c r="BS69" s="107"/>
      <c r="BT69" s="107"/>
      <c r="BU69" s="107"/>
      <c r="BV69" s="108"/>
      <c r="BW69" s="107"/>
      <c r="BX69" s="107"/>
      <c r="BY69" s="107"/>
      <c r="BZ69" s="107"/>
      <c r="CA69" s="107"/>
      <c r="CB69" s="107"/>
      <c r="CC69" s="107"/>
      <c r="CD69" s="107"/>
      <c r="CE69" s="107"/>
      <c r="CF69" s="107"/>
      <c r="CG69" s="107"/>
      <c r="CH69" s="109"/>
      <c r="CI69" s="107"/>
      <c r="CJ69" s="110"/>
      <c r="CK69" s="107"/>
      <c r="CL69" s="107"/>
      <c r="CM69" s="107"/>
      <c r="CN69" s="108"/>
      <c r="CO69" s="78"/>
      <c r="CP69" s="78"/>
      <c r="CQ69" s="101" t="b">
        <f>IF(CV59=32,27)</f>
        <v>0</v>
      </c>
      <c r="CR69" s="111"/>
      <c r="CS69" s="111"/>
      <c r="CT69" s="111"/>
      <c r="CU69" s="111"/>
      <c r="CV69" s="111"/>
      <c r="CW69" s="111"/>
      <c r="CX69" s="111"/>
      <c r="CY69" s="111"/>
      <c r="CZ69" s="111"/>
      <c r="DA69" s="103" t="b">
        <f>IF(CV59=32,37)</f>
        <v>0</v>
      </c>
      <c r="DB69" s="78"/>
      <c r="DC69" s="78"/>
      <c r="DD69" s="78"/>
    </row>
    <row r="70" spans="5:108" ht="21" hidden="1" thickBot="1" x14ac:dyDescent="0.25">
      <c r="E70" s="397"/>
      <c r="F70" s="397"/>
      <c r="G70" s="998"/>
      <c r="H70"/>
      <c r="I70"/>
      <c r="J70"/>
      <c r="K70"/>
      <c r="L70"/>
      <c r="M70"/>
      <c r="N70"/>
      <c r="O70" s="995"/>
      <c r="BN70" s="86"/>
      <c r="BP70" s="1582">
        <v>31</v>
      </c>
      <c r="BQ70" s="107"/>
      <c r="BR70" s="107"/>
      <c r="BS70" s="107"/>
      <c r="BT70" s="107"/>
      <c r="BU70" s="107"/>
      <c r="BV70" s="108"/>
      <c r="BW70" s="107"/>
      <c r="BX70" s="107"/>
      <c r="BY70" s="107"/>
      <c r="BZ70" s="107"/>
      <c r="CA70" s="107"/>
      <c r="CB70" s="107"/>
      <c r="CC70" s="107"/>
      <c r="CD70" s="107"/>
      <c r="CE70" s="107"/>
      <c r="CF70" s="107"/>
      <c r="CG70" s="107"/>
      <c r="CH70" s="109"/>
      <c r="CI70" s="107"/>
      <c r="CJ70" s="110"/>
      <c r="CK70" s="107"/>
      <c r="CL70" s="107"/>
      <c r="CM70" s="107"/>
      <c r="CN70" s="108"/>
      <c r="CO70" s="101" t="b">
        <f>IF(CU59=31,25)</f>
        <v>0</v>
      </c>
      <c r="CP70" s="111"/>
      <c r="CQ70" s="111"/>
      <c r="CR70" s="111"/>
      <c r="CS70" s="111"/>
      <c r="CT70" s="111"/>
      <c r="CU70" s="111"/>
      <c r="CV70" s="111"/>
      <c r="CW70" s="111"/>
      <c r="CX70" s="111"/>
      <c r="CY70" s="111"/>
      <c r="CZ70" s="111"/>
      <c r="DA70" s="103" t="b">
        <f>IF(CU59=31,37)</f>
        <v>0</v>
      </c>
      <c r="DB70" s="78"/>
      <c r="DC70" s="78"/>
      <c r="DD70" s="78"/>
    </row>
    <row r="71" spans="5:108" ht="21" hidden="1" thickBot="1" x14ac:dyDescent="0.25">
      <c r="E71" s="397"/>
      <c r="F71" s="397"/>
      <c r="G71" s="998"/>
      <c r="H71"/>
      <c r="I71"/>
      <c r="J71"/>
      <c r="K71"/>
      <c r="L71"/>
      <c r="M71"/>
      <c r="N71"/>
      <c r="O71" s="995"/>
      <c r="BN71" s="86"/>
      <c r="BP71" s="1582">
        <v>30</v>
      </c>
      <c r="BQ71" s="107"/>
      <c r="BR71" s="107"/>
      <c r="BS71" s="107"/>
      <c r="BT71" s="107"/>
      <c r="BU71" s="107"/>
      <c r="BV71" s="108"/>
      <c r="BW71" s="107"/>
      <c r="BX71" s="107"/>
      <c r="BY71" s="107"/>
      <c r="BZ71" s="107"/>
      <c r="CA71" s="107"/>
      <c r="CB71" s="107"/>
      <c r="CC71" s="107"/>
      <c r="CD71" s="107"/>
      <c r="CE71" s="107"/>
      <c r="CF71" s="107"/>
      <c r="CG71" s="107"/>
      <c r="CH71" s="109"/>
      <c r="CI71" s="107"/>
      <c r="CJ71" s="110"/>
      <c r="CK71" s="107"/>
      <c r="CL71" s="107"/>
      <c r="CM71" s="101" t="b">
        <f>IF(CT59=30,23)</f>
        <v>0</v>
      </c>
      <c r="CN71" s="112"/>
      <c r="CO71" s="111"/>
      <c r="CP71" s="111"/>
      <c r="CQ71" s="111"/>
      <c r="CR71" s="111"/>
      <c r="CS71" s="111"/>
      <c r="CT71" s="111"/>
      <c r="CU71" s="111"/>
      <c r="CV71" s="111"/>
      <c r="CW71" s="111"/>
      <c r="CX71" s="111"/>
      <c r="CY71" s="111"/>
      <c r="CZ71" s="111"/>
      <c r="DA71" s="103" t="b">
        <f>IF(CT59=30,37)</f>
        <v>0</v>
      </c>
      <c r="DB71" s="78"/>
      <c r="DC71" s="78"/>
      <c r="DD71" s="78"/>
    </row>
    <row r="72" spans="5:108" ht="21" hidden="1" thickBot="1" x14ac:dyDescent="0.25">
      <c r="E72" s="397"/>
      <c r="F72" s="397"/>
      <c r="G72" s="998"/>
      <c r="H72"/>
      <c r="I72"/>
      <c r="J72"/>
      <c r="K72"/>
      <c r="L72"/>
      <c r="M72"/>
      <c r="N72"/>
      <c r="O72" s="995"/>
      <c r="BE72" s="114"/>
      <c r="BF72" s="114"/>
      <c r="BG72" s="114"/>
      <c r="BH72" s="114"/>
      <c r="BN72" s="86"/>
      <c r="BO72" s="114"/>
      <c r="BP72" s="1582">
        <v>29</v>
      </c>
      <c r="BQ72" s="78"/>
      <c r="BR72" s="78"/>
      <c r="BS72" s="78"/>
      <c r="BT72" s="78"/>
      <c r="BU72" s="78"/>
      <c r="BV72" s="78"/>
      <c r="BW72" s="78"/>
      <c r="BX72" s="78"/>
      <c r="BY72" s="78"/>
      <c r="BZ72" s="78"/>
      <c r="CA72" s="78"/>
      <c r="CB72" s="78"/>
      <c r="CC72" s="78"/>
      <c r="CD72" s="78"/>
      <c r="CE72" s="78"/>
      <c r="CF72" s="78"/>
      <c r="CG72" s="78"/>
      <c r="CH72" s="115"/>
      <c r="CI72" s="78"/>
      <c r="CJ72" s="116"/>
      <c r="CK72" s="117" t="b">
        <f>IF(CS59=29,21)</f>
        <v>0</v>
      </c>
      <c r="CL72" s="111"/>
      <c r="CM72" s="111"/>
      <c r="CN72" s="111"/>
      <c r="CO72" s="111"/>
      <c r="CP72" s="111"/>
      <c r="CQ72" s="111"/>
      <c r="CR72" s="118"/>
      <c r="CS72" s="111"/>
      <c r="CT72" s="118"/>
      <c r="CU72" s="119"/>
      <c r="CV72" s="119"/>
      <c r="CW72" s="119"/>
      <c r="CX72" s="119"/>
      <c r="CY72" s="119"/>
      <c r="CZ72" s="119"/>
      <c r="DA72" s="103" t="b">
        <f>IF(CS59=29,37)</f>
        <v>0</v>
      </c>
      <c r="DB72" s="76"/>
      <c r="DC72" s="78"/>
      <c r="DD72" s="78"/>
    </row>
    <row r="73" spans="5:108" ht="21" hidden="1" thickBot="1" x14ac:dyDescent="0.25">
      <c r="E73" s="397"/>
      <c r="F73" s="397"/>
      <c r="G73" s="998"/>
      <c r="H73"/>
      <c r="I73"/>
      <c r="J73"/>
      <c r="K73"/>
      <c r="L73"/>
      <c r="M73"/>
      <c r="N73"/>
      <c r="O73" s="995"/>
      <c r="BE73" s="114"/>
      <c r="BF73" s="114"/>
      <c r="BG73" s="114"/>
      <c r="BH73" s="114"/>
      <c r="BN73" s="86"/>
      <c r="BO73" s="114"/>
      <c r="BP73" s="1582">
        <v>28</v>
      </c>
      <c r="BQ73" s="78"/>
      <c r="BR73" s="78"/>
      <c r="BS73" s="78"/>
      <c r="BT73" s="78"/>
      <c r="BU73" s="78"/>
      <c r="BV73" s="78"/>
      <c r="BW73" s="78"/>
      <c r="BX73" s="78"/>
      <c r="BY73" s="78"/>
      <c r="BZ73" s="78"/>
      <c r="CA73" s="78"/>
      <c r="CB73" s="78"/>
      <c r="CC73" s="78"/>
      <c r="CD73" s="78"/>
      <c r="CE73" s="78"/>
      <c r="CF73" s="78"/>
      <c r="CG73" s="78"/>
      <c r="CH73" s="115"/>
      <c r="CI73" s="78"/>
      <c r="CJ73" s="116"/>
      <c r="CK73" s="120" t="b">
        <f>IF(CR59=28,21)</f>
        <v>0</v>
      </c>
      <c r="CL73" s="121"/>
      <c r="CM73" s="121"/>
      <c r="CN73" s="121"/>
      <c r="CO73" s="121"/>
      <c r="CP73" s="122"/>
      <c r="CQ73" s="121"/>
      <c r="CR73" s="121"/>
      <c r="CS73" s="121"/>
      <c r="CT73" s="122"/>
      <c r="CU73" s="123"/>
      <c r="CV73" s="123"/>
      <c r="CW73" s="123"/>
      <c r="CX73" s="123"/>
      <c r="CY73" s="124" t="b">
        <f>IF(CR59=28,35)</f>
        <v>0</v>
      </c>
      <c r="CZ73" s="76"/>
      <c r="DA73" s="76"/>
      <c r="DB73" s="76"/>
      <c r="DC73" s="78"/>
      <c r="DD73" s="78"/>
    </row>
    <row r="74" spans="5:108" ht="21" hidden="1" thickBot="1" x14ac:dyDescent="0.25">
      <c r="E74" s="397"/>
      <c r="F74" s="397"/>
      <c r="G74" s="998"/>
      <c r="H74"/>
      <c r="I74"/>
      <c r="J74"/>
      <c r="K74"/>
      <c r="L74"/>
      <c r="M74"/>
      <c r="N74"/>
      <c r="O74" s="995"/>
      <c r="BE74" s="114"/>
      <c r="BF74" s="114"/>
      <c r="BG74" s="114"/>
      <c r="BH74" s="114"/>
      <c r="BN74" s="86"/>
      <c r="BO74" s="114"/>
      <c r="BP74" s="1582">
        <v>27</v>
      </c>
      <c r="BQ74" s="78"/>
      <c r="BR74" s="78"/>
      <c r="BS74" s="78"/>
      <c r="BT74" s="78"/>
      <c r="BU74" s="78"/>
      <c r="BV74" s="78"/>
      <c r="BW74" s="78"/>
      <c r="BX74" s="78"/>
      <c r="BY74" s="78"/>
      <c r="BZ74" s="78"/>
      <c r="CA74" s="78"/>
      <c r="CB74" s="78"/>
      <c r="CC74" s="78"/>
      <c r="CD74" s="78"/>
      <c r="CE74" s="78"/>
      <c r="CF74" s="78"/>
      <c r="CG74" s="78"/>
      <c r="CH74" s="115"/>
      <c r="CI74" s="78"/>
      <c r="CJ74" s="116"/>
      <c r="CK74" s="120" t="b">
        <f>IF(CQ59=27,21)</f>
        <v>0</v>
      </c>
      <c r="CL74" s="121"/>
      <c r="CM74" s="121"/>
      <c r="CN74" s="122"/>
      <c r="CO74" s="121"/>
      <c r="CP74" s="121"/>
      <c r="CQ74" s="121"/>
      <c r="CR74" s="121"/>
      <c r="CS74" s="121"/>
      <c r="CT74" s="122"/>
      <c r="CU74" s="123"/>
      <c r="CV74" s="123"/>
      <c r="CW74" s="124" t="b">
        <f>IF(CQ59=27,33)</f>
        <v>0</v>
      </c>
      <c r="CX74" s="76"/>
      <c r="CY74" s="76"/>
      <c r="CZ74" s="76"/>
      <c r="DA74" s="76"/>
      <c r="DB74" s="76"/>
      <c r="DC74" s="78"/>
      <c r="DD74" s="78"/>
    </row>
    <row r="75" spans="5:108" ht="21" hidden="1" thickBot="1" x14ac:dyDescent="0.25">
      <c r="E75" s="397"/>
      <c r="F75" s="397"/>
      <c r="G75" s="998"/>
      <c r="H75"/>
      <c r="I75"/>
      <c r="J75"/>
      <c r="K75"/>
      <c r="L75"/>
      <c r="M75"/>
      <c r="N75"/>
      <c r="O75" s="995"/>
      <c r="BN75" s="86"/>
      <c r="BP75" s="1582">
        <v>26</v>
      </c>
      <c r="BQ75" s="78"/>
      <c r="BR75" s="78"/>
      <c r="BS75" s="78"/>
      <c r="BT75" s="78"/>
      <c r="BU75" s="78"/>
      <c r="BV75" s="78"/>
      <c r="BW75" s="78"/>
      <c r="BX75" s="78"/>
      <c r="BY75" s="78"/>
      <c r="BZ75" s="78"/>
      <c r="CA75" s="78"/>
      <c r="CB75" s="78"/>
      <c r="CC75" s="78"/>
      <c r="CD75" s="78"/>
      <c r="CE75" s="78"/>
      <c r="CF75" s="78"/>
      <c r="CG75" s="78"/>
      <c r="CH75" s="115"/>
      <c r="CI75" s="78"/>
      <c r="CJ75" s="116"/>
      <c r="CK75" s="120" t="b">
        <f>IF(CP59=26,21)</f>
        <v>0</v>
      </c>
      <c r="CL75" s="122"/>
      <c r="CM75" s="121"/>
      <c r="CN75" s="121"/>
      <c r="CO75" s="121"/>
      <c r="CP75" s="121"/>
      <c r="CQ75" s="121"/>
      <c r="CR75" s="121"/>
      <c r="CS75" s="121"/>
      <c r="CT75" s="122"/>
      <c r="CU75" s="124" t="b">
        <f>IF(CP59=26,31)</f>
        <v>0</v>
      </c>
      <c r="CV75" s="76"/>
      <c r="CW75" s="76"/>
      <c r="CX75" s="76"/>
      <c r="CY75" s="76"/>
      <c r="CZ75" s="76"/>
      <c r="DA75" s="76"/>
      <c r="DB75" s="76"/>
      <c r="DC75" s="78"/>
      <c r="DD75" s="78"/>
    </row>
    <row r="76" spans="5:108" ht="21" hidden="1" thickBot="1" x14ac:dyDescent="0.25">
      <c r="E76" s="397"/>
      <c r="F76" s="397"/>
      <c r="G76" s="998"/>
      <c r="H76"/>
      <c r="I76"/>
      <c r="J76"/>
      <c r="K76"/>
      <c r="L76"/>
      <c r="M76"/>
      <c r="N76"/>
      <c r="O76" s="995"/>
      <c r="BE76" s="126"/>
      <c r="BF76" s="126"/>
      <c r="BG76" s="126"/>
      <c r="BH76" s="126"/>
      <c r="BN76" s="86"/>
      <c r="BO76" s="126"/>
      <c r="BP76" s="1582">
        <v>25</v>
      </c>
      <c r="BQ76" s="78"/>
      <c r="BR76" s="78"/>
      <c r="BS76" s="78"/>
      <c r="BT76" s="78"/>
      <c r="BU76" s="78"/>
      <c r="BV76" s="78"/>
      <c r="BW76" s="78"/>
      <c r="BX76" s="78"/>
      <c r="BY76" s="78"/>
      <c r="BZ76" s="78"/>
      <c r="CA76" s="78"/>
      <c r="CC76" s="78"/>
      <c r="CD76" s="78"/>
      <c r="CE76" s="78"/>
      <c r="CF76" s="78"/>
      <c r="CG76" s="78"/>
      <c r="CH76" s="115"/>
      <c r="CI76" s="78"/>
      <c r="CK76" s="128" t="b">
        <f>IF(CO59=25,21)</f>
        <v>0</v>
      </c>
      <c r="CL76" s="121"/>
      <c r="CM76" s="121"/>
      <c r="CN76" s="121"/>
      <c r="CO76" s="121"/>
      <c r="CP76" s="121"/>
      <c r="CQ76" s="121"/>
      <c r="CR76" s="121"/>
      <c r="CS76" s="124" t="b">
        <f>IF(CO59=25,29)</f>
        <v>0</v>
      </c>
      <c r="CU76" s="76"/>
      <c r="CV76" s="76"/>
      <c r="CW76" s="76"/>
      <c r="CX76" s="76"/>
      <c r="CY76" s="76"/>
      <c r="CZ76" s="76"/>
      <c r="DA76" s="76"/>
      <c r="DB76" s="76"/>
      <c r="DC76" s="78"/>
      <c r="DD76" s="78"/>
    </row>
    <row r="77" spans="5:108" ht="21" hidden="1" thickBot="1" x14ac:dyDescent="0.25">
      <c r="E77" s="397"/>
      <c r="F77" s="397"/>
      <c r="G77" s="998"/>
      <c r="H77"/>
      <c r="I77"/>
      <c r="J77"/>
      <c r="K77"/>
      <c r="L77"/>
      <c r="M77"/>
      <c r="N77"/>
      <c r="O77" s="995"/>
      <c r="BE77" s="126"/>
      <c r="BF77" s="126"/>
      <c r="BG77" s="126"/>
      <c r="BH77" s="126"/>
      <c r="BN77" s="86"/>
      <c r="BO77" s="126"/>
      <c r="BP77" s="1582">
        <v>24</v>
      </c>
      <c r="BQ77" s="78"/>
      <c r="BR77" s="78"/>
      <c r="BS77" s="78"/>
      <c r="BT77" s="78"/>
      <c r="BU77" s="78"/>
      <c r="BV77" s="78"/>
      <c r="BW77" s="78"/>
      <c r="BX77" s="78"/>
      <c r="BY77" s="78"/>
      <c r="BZ77" s="78"/>
      <c r="CA77" s="78"/>
      <c r="CB77" s="117" t="b">
        <f>IF(CN59=24,12)</f>
        <v>0</v>
      </c>
      <c r="CC77" s="111"/>
      <c r="CD77" s="111"/>
      <c r="CE77" s="111"/>
      <c r="CF77" s="111"/>
      <c r="CG77" s="111"/>
      <c r="CH77" s="118"/>
      <c r="CI77" s="111"/>
      <c r="CJ77" s="129"/>
      <c r="CK77" s="111"/>
      <c r="CL77" s="111"/>
      <c r="CM77" s="111"/>
      <c r="CN77" s="111"/>
      <c r="CO77" s="111"/>
      <c r="CP77" s="111"/>
      <c r="CQ77" s="111"/>
      <c r="CR77" s="111"/>
      <c r="CS77" s="111"/>
      <c r="CT77" s="118"/>
      <c r="CU77" s="119"/>
      <c r="CV77" s="119"/>
      <c r="CW77" s="119"/>
      <c r="CX77" s="119"/>
      <c r="CY77" s="119"/>
      <c r="CZ77" s="103" t="b">
        <f>IF(CN59=24,36)</f>
        <v>0</v>
      </c>
      <c r="DA77" s="76"/>
      <c r="DB77" s="76"/>
      <c r="DC77" s="78"/>
      <c r="DD77" s="78"/>
    </row>
    <row r="78" spans="5:108" ht="21" hidden="1" thickBot="1" x14ac:dyDescent="0.25">
      <c r="E78" s="397"/>
      <c r="F78" s="397"/>
      <c r="G78" s="998"/>
      <c r="H78"/>
      <c r="I78"/>
      <c r="J78"/>
      <c r="K78"/>
      <c r="L78"/>
      <c r="M78"/>
      <c r="N78"/>
      <c r="O78" s="995"/>
      <c r="BE78" s="126"/>
      <c r="BF78" s="126"/>
      <c r="BG78" s="126"/>
      <c r="BH78" s="126"/>
      <c r="BN78" s="86"/>
      <c r="BO78" s="126"/>
      <c r="BP78" s="1582">
        <v>23</v>
      </c>
      <c r="BQ78" s="78"/>
      <c r="BR78" s="78"/>
      <c r="BS78" s="78"/>
      <c r="BT78" s="78"/>
      <c r="BU78" s="78"/>
      <c r="BV78" s="78"/>
      <c r="BW78" s="78"/>
      <c r="BX78" s="78"/>
      <c r="BY78" s="78"/>
      <c r="BZ78" s="78"/>
      <c r="CA78" s="78"/>
      <c r="CB78" s="120" t="b">
        <f>IF(CM59=23,12)</f>
        <v>0</v>
      </c>
      <c r="CC78" s="121"/>
      <c r="CD78" s="121"/>
      <c r="CE78" s="121"/>
      <c r="CF78" s="122"/>
      <c r="CG78" s="121"/>
      <c r="CH78" s="132"/>
      <c r="CI78" s="121"/>
      <c r="CJ78" s="133"/>
      <c r="CK78" s="121"/>
      <c r="CL78" s="121"/>
      <c r="CM78" s="121"/>
      <c r="CN78" s="121"/>
      <c r="CO78" s="121"/>
      <c r="CP78" s="121"/>
      <c r="CQ78" s="121"/>
      <c r="CR78" s="121"/>
      <c r="CS78" s="121"/>
      <c r="CT78" s="122"/>
      <c r="CU78" s="123"/>
      <c r="CV78" s="123"/>
      <c r="CW78" s="123"/>
      <c r="CX78" s="124" t="b">
        <f>IF(CM59=23,34)</f>
        <v>0</v>
      </c>
      <c r="CY78" s="76"/>
      <c r="CZ78" s="76"/>
      <c r="DA78" s="76"/>
      <c r="DB78" s="76"/>
      <c r="DC78" s="78"/>
      <c r="DD78" s="78"/>
    </row>
    <row r="79" spans="5:108" ht="21" hidden="1" thickBot="1" x14ac:dyDescent="0.25">
      <c r="E79" s="397"/>
      <c r="F79" s="397"/>
      <c r="G79" s="1008"/>
      <c r="H79"/>
      <c r="I79"/>
      <c r="J79"/>
      <c r="K79"/>
      <c r="L79"/>
      <c r="M79"/>
      <c r="N79"/>
      <c r="O79" s="995"/>
      <c r="U79" s="114"/>
      <c r="AB79" s="114"/>
      <c r="AC79" s="114"/>
      <c r="AD79" s="114"/>
      <c r="AE79" s="114"/>
      <c r="BE79" s="126"/>
      <c r="BF79" s="126"/>
      <c r="BG79" s="126"/>
      <c r="BH79" s="126"/>
      <c r="BN79" s="86"/>
      <c r="BO79" s="126"/>
      <c r="BP79" s="1582">
        <v>22</v>
      </c>
      <c r="BQ79" s="76"/>
      <c r="BR79" s="76"/>
      <c r="BS79" s="76"/>
      <c r="BT79" s="76"/>
      <c r="BU79" s="76"/>
      <c r="BV79" s="76"/>
      <c r="BW79" s="76"/>
      <c r="BX79" s="76"/>
      <c r="BY79" s="76"/>
      <c r="BZ79" s="76"/>
      <c r="CA79" s="76"/>
      <c r="CB79" s="120" t="b">
        <f>IF(CL59=22,12)</f>
        <v>0</v>
      </c>
      <c r="CC79" s="123"/>
      <c r="CD79" s="123"/>
      <c r="CE79" s="123"/>
      <c r="CF79" s="122"/>
      <c r="CG79" s="123"/>
      <c r="CH79" s="134"/>
      <c r="CI79" s="123"/>
      <c r="CJ79" s="135"/>
      <c r="CK79" s="123"/>
      <c r="CL79" s="123"/>
      <c r="CM79" s="123"/>
      <c r="CN79" s="123"/>
      <c r="CO79" s="121"/>
      <c r="CP79" s="121"/>
      <c r="CQ79" s="122"/>
      <c r="CR79" s="121"/>
      <c r="CS79" s="121"/>
      <c r="CT79" s="121"/>
      <c r="CU79" s="121"/>
      <c r="CV79" s="124" t="b">
        <f>IF(CL59=22,32)</f>
        <v>0</v>
      </c>
      <c r="CW79" s="78"/>
      <c r="CX79" s="78"/>
      <c r="CY79" s="78"/>
      <c r="CZ79" s="78"/>
      <c r="DA79" s="78"/>
      <c r="DB79" s="78"/>
      <c r="DC79" s="78"/>
      <c r="DD79" s="78"/>
    </row>
    <row r="80" spans="5:108" ht="21" hidden="1" thickBot="1" x14ac:dyDescent="0.25">
      <c r="E80" s="397"/>
      <c r="F80" s="397"/>
      <c r="G80" s="998"/>
      <c r="H80"/>
      <c r="I80"/>
      <c r="J80"/>
      <c r="K80"/>
      <c r="L80"/>
      <c r="M80"/>
      <c r="N80"/>
      <c r="O80" s="995"/>
      <c r="BE80" s="126"/>
      <c r="BF80" s="126"/>
      <c r="BG80" s="126"/>
      <c r="BH80" s="126"/>
      <c r="BN80" s="86"/>
      <c r="BO80" s="126"/>
      <c r="BP80" s="1582">
        <v>21</v>
      </c>
      <c r="BQ80" s="78"/>
      <c r="BR80" s="78"/>
      <c r="BS80" s="78"/>
      <c r="BT80" s="78"/>
      <c r="BU80" s="78"/>
      <c r="BV80" s="78"/>
      <c r="BW80" s="78"/>
      <c r="BX80" s="78"/>
      <c r="BY80" s="78"/>
      <c r="BZ80" s="78"/>
      <c r="CA80" s="78"/>
      <c r="CB80" s="120" t="b">
        <f>IF(CK59=21,12)</f>
        <v>0</v>
      </c>
      <c r="CC80" s="121"/>
      <c r="CD80" s="121"/>
      <c r="CE80" s="121"/>
      <c r="CF80" s="121"/>
      <c r="CG80" s="121"/>
      <c r="CH80" s="132"/>
      <c r="CI80" s="121"/>
      <c r="CJ80" s="133"/>
      <c r="CK80" s="121"/>
      <c r="CL80" s="121"/>
      <c r="CM80" s="121"/>
      <c r="CN80" s="121"/>
      <c r="CO80" s="121"/>
      <c r="CP80" s="121"/>
      <c r="CQ80" s="121"/>
      <c r="CR80" s="121"/>
      <c r="CS80" s="121"/>
      <c r="CT80" s="124" t="b">
        <f>IF(CK59=21,30)</f>
        <v>0</v>
      </c>
      <c r="CU80" s="76"/>
      <c r="CV80" s="76"/>
      <c r="CW80" s="76"/>
      <c r="CX80" s="76"/>
      <c r="CY80" s="76"/>
      <c r="CZ80" s="76"/>
      <c r="DA80" s="76"/>
      <c r="DB80" s="76"/>
      <c r="DC80" s="78"/>
      <c r="DD80" s="78"/>
    </row>
    <row r="81" spans="2:108" ht="21" hidden="1" thickBot="1" x14ac:dyDescent="0.25">
      <c r="E81" s="397"/>
      <c r="F81" s="397"/>
      <c r="G81" s="998"/>
      <c r="H81"/>
      <c r="I81"/>
      <c r="J81"/>
      <c r="K81"/>
      <c r="L81"/>
      <c r="M81"/>
      <c r="N81"/>
      <c r="O81" s="995"/>
      <c r="T81" s="401"/>
      <c r="BE81" s="136"/>
      <c r="BF81" s="136"/>
      <c r="BG81" s="136"/>
      <c r="BH81" s="136"/>
      <c r="BN81" s="86"/>
      <c r="BO81" s="1091"/>
      <c r="BP81" s="1582">
        <v>20</v>
      </c>
      <c r="BQ81" s="78"/>
      <c r="BR81" s="78"/>
      <c r="BS81" s="78"/>
      <c r="BT81" s="78"/>
      <c r="BU81" s="78"/>
      <c r="BV81" s="78"/>
      <c r="BW81" s="78"/>
      <c r="BX81" s="78"/>
      <c r="CA81" s="137"/>
      <c r="CB81" s="117" t="b">
        <f>IF(CJ59=20,12)</f>
        <v>0</v>
      </c>
      <c r="CC81" s="111"/>
      <c r="CD81" s="111"/>
      <c r="CE81" s="111"/>
      <c r="CF81" s="111"/>
      <c r="CG81" s="111"/>
      <c r="CH81" s="138"/>
      <c r="CI81" s="111"/>
      <c r="CJ81" s="129"/>
      <c r="CK81" s="111"/>
      <c r="CL81" s="111"/>
      <c r="CM81" s="111"/>
      <c r="CN81" s="111"/>
      <c r="CO81" s="111"/>
      <c r="CP81" s="111"/>
      <c r="CQ81" s="111"/>
      <c r="CR81" s="103" t="b">
        <f>IF(CJ59=20,28)</f>
        <v>0</v>
      </c>
      <c r="CS81" s="137"/>
      <c r="CU81" s="76"/>
      <c r="CV81" s="76"/>
      <c r="CW81" s="76"/>
      <c r="CX81" s="76"/>
      <c r="CY81" s="76"/>
      <c r="CZ81" s="76"/>
      <c r="DA81" s="76"/>
      <c r="DB81" s="76"/>
      <c r="DC81" s="78"/>
      <c r="DD81" s="78"/>
    </row>
    <row r="82" spans="2:108" ht="21" hidden="1" thickBot="1" x14ac:dyDescent="0.25">
      <c r="E82" s="397"/>
      <c r="F82" s="397"/>
      <c r="G82" s="998"/>
      <c r="H82"/>
      <c r="I82"/>
      <c r="J82"/>
      <c r="K82"/>
      <c r="L82"/>
      <c r="M82"/>
      <c r="N82"/>
      <c r="O82" s="995"/>
      <c r="U82" s="114"/>
      <c r="AB82" s="114"/>
      <c r="AC82" s="114"/>
      <c r="AD82" s="114"/>
      <c r="AE82" s="114"/>
      <c r="BE82" s="136"/>
      <c r="BF82" s="136"/>
      <c r="BG82" s="136"/>
      <c r="BH82" s="136"/>
      <c r="BN82" s="86"/>
      <c r="BO82" s="1091"/>
      <c r="BP82" s="1582">
        <v>19</v>
      </c>
      <c r="BQ82" s="78"/>
      <c r="BR82" s="78"/>
      <c r="BS82" s="78"/>
      <c r="BT82" s="78"/>
      <c r="BU82" s="78"/>
      <c r="BV82" s="78"/>
      <c r="BW82" s="78"/>
      <c r="BX82" s="78"/>
      <c r="BZ82" s="139"/>
      <c r="CA82" s="139"/>
      <c r="CB82" s="117" t="b">
        <f>IF(CI59=19,12)</f>
        <v>0</v>
      </c>
      <c r="CC82" s="119"/>
      <c r="CD82" s="119"/>
      <c r="CE82" s="118"/>
      <c r="CF82" s="119"/>
      <c r="CG82" s="119"/>
      <c r="CH82" s="140"/>
      <c r="CI82" s="119"/>
      <c r="CJ82" s="141"/>
      <c r="CK82" s="118"/>
      <c r="CL82" s="119"/>
      <c r="CM82" s="119"/>
      <c r="CN82" s="119"/>
      <c r="CO82" s="111"/>
      <c r="CP82" s="103" t="b">
        <f>IF(CI59=19,26)</f>
        <v>0</v>
      </c>
      <c r="CQ82" s="142"/>
      <c r="CR82" s="137"/>
      <c r="CT82" s="78"/>
      <c r="CU82" s="78"/>
      <c r="CV82" s="78"/>
      <c r="CW82" s="78"/>
      <c r="CX82" s="78"/>
      <c r="CY82" s="78"/>
      <c r="CZ82" s="78"/>
      <c r="DA82" s="78"/>
      <c r="DB82" s="78"/>
      <c r="DC82" s="78"/>
      <c r="DD82" s="78"/>
    </row>
    <row r="83" spans="2:108" ht="21" hidden="1" thickBot="1" x14ac:dyDescent="0.25">
      <c r="E83" s="397"/>
      <c r="F83" s="397"/>
      <c r="G83" s="998"/>
      <c r="H83"/>
      <c r="I83"/>
      <c r="J83"/>
      <c r="K83" s="988">
        <v>5</v>
      </c>
      <c r="L83"/>
      <c r="M83" s="988">
        <v>51</v>
      </c>
      <c r="N83"/>
      <c r="O83" s="995"/>
      <c r="U83" s="114"/>
      <c r="AB83" s="114"/>
      <c r="AC83" s="114"/>
      <c r="AD83" s="114"/>
      <c r="AE83" s="114"/>
      <c r="BE83" s="136"/>
      <c r="BF83" s="136"/>
      <c r="BG83" s="136"/>
      <c r="BH83" s="136"/>
      <c r="BN83" s="86"/>
      <c r="BO83" s="1091"/>
      <c r="BP83" s="1582">
        <v>18</v>
      </c>
      <c r="BQ83" s="76"/>
      <c r="BR83" s="76"/>
      <c r="BS83" s="76"/>
      <c r="BT83" s="76"/>
      <c r="BV83" s="76"/>
      <c r="BW83" s="76"/>
      <c r="BX83" s="76"/>
      <c r="BZ83" s="117" t="b">
        <f>IF(CH59=18,10)</f>
        <v>0</v>
      </c>
      <c r="CA83" s="119"/>
      <c r="CB83" s="119"/>
      <c r="CC83" s="119"/>
      <c r="CD83" s="119"/>
      <c r="CE83" s="118"/>
      <c r="CF83" s="119"/>
      <c r="CG83" s="119"/>
      <c r="CH83" s="140"/>
      <c r="CI83" s="119"/>
      <c r="CJ83" s="141"/>
      <c r="CK83" s="118"/>
      <c r="CL83" s="119"/>
      <c r="CM83" s="119"/>
      <c r="CN83" s="119"/>
      <c r="CO83" s="111"/>
      <c r="CP83" s="103" t="b">
        <f>IF(CH59=18,26)</f>
        <v>0</v>
      </c>
      <c r="CR83" s="78"/>
      <c r="CS83" s="78"/>
      <c r="CT83" s="78"/>
      <c r="CU83" s="78"/>
      <c r="CV83" s="78"/>
      <c r="CW83" s="78"/>
      <c r="CX83" s="78"/>
      <c r="CY83" s="78"/>
      <c r="CZ83" s="78"/>
      <c r="DA83" s="78"/>
      <c r="DB83" s="78"/>
      <c r="DC83" s="78"/>
      <c r="DD83" s="78"/>
    </row>
    <row r="84" spans="2:108" ht="85" hidden="1" thickBot="1" x14ac:dyDescent="0.25">
      <c r="E84" s="397"/>
      <c r="F84" s="397"/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U84" s="114"/>
      <c r="AB84" s="114"/>
      <c r="AC84" s="114"/>
      <c r="AD84" s="114"/>
      <c r="AE84" s="114"/>
      <c r="BE84" s="136"/>
      <c r="BF84" s="136"/>
      <c r="BG84" s="136"/>
      <c r="BH84" s="136"/>
      <c r="BN84" s="86"/>
      <c r="BO84" s="1091"/>
      <c r="BP84" s="1582">
        <v>17</v>
      </c>
      <c r="BQ84" s="76"/>
      <c r="BR84" s="76"/>
      <c r="BS84" s="76"/>
      <c r="BT84" s="76"/>
      <c r="BU84" s="76"/>
      <c r="BV84" s="76"/>
      <c r="BW84" s="76"/>
      <c r="BX84" s="117">
        <f>IF(CG59=17,8)</f>
        <v>8</v>
      </c>
      <c r="BY84" s="118"/>
      <c r="BZ84" s="118"/>
      <c r="CA84" s="119"/>
      <c r="CB84" s="119"/>
      <c r="CC84" s="119"/>
      <c r="CD84" s="119"/>
      <c r="CE84" s="119"/>
      <c r="CF84" s="119"/>
      <c r="CG84" s="119"/>
      <c r="CH84" s="140"/>
      <c r="CI84" s="119"/>
      <c r="CJ84" s="141"/>
      <c r="CK84" s="119"/>
      <c r="CL84" s="119"/>
      <c r="CM84" s="119"/>
      <c r="CN84" s="118"/>
      <c r="CO84" s="118"/>
      <c r="CP84" s="103">
        <f>IF(CG59=17,26)</f>
        <v>26</v>
      </c>
      <c r="CQ84" s="78"/>
      <c r="CR84" s="78"/>
      <c r="CS84" s="78"/>
      <c r="CT84" s="78"/>
      <c r="CU84" s="78"/>
      <c r="CV84" s="78"/>
      <c r="CW84" s="78"/>
      <c r="CX84" s="78"/>
      <c r="CY84" s="78"/>
      <c r="CZ84" s="78"/>
      <c r="DA84" s="78"/>
      <c r="DB84" s="78"/>
      <c r="DC84" s="78"/>
      <c r="DD84" s="78"/>
    </row>
    <row r="85" spans="2:108" ht="68.25" hidden="1" customHeight="1" thickBot="1" x14ac:dyDescent="0.3">
      <c r="E85" s="397"/>
      <c r="F85" s="397"/>
      <c r="G85" s="998"/>
      <c r="H85"/>
      <c r="I85"/>
      <c r="J85" s="1087" t="s">
        <v>264</v>
      </c>
      <c r="K85" s="1080">
        <f>+MIN(J19:K20)</f>
        <v>35.746201966041106</v>
      </c>
      <c r="L85" s="1081">
        <f>+$E$22/(BQ27)</f>
        <v>35.746201966041106</v>
      </c>
      <c r="M85" s="1081">
        <f>+MIN(K25:L26)</f>
        <v>35.746201966041106</v>
      </c>
      <c r="N85"/>
      <c r="O85" s="995"/>
      <c r="U85" s="114"/>
      <c r="AB85" s="114"/>
      <c r="AC85" s="114"/>
      <c r="AD85" s="114"/>
      <c r="AE85" s="114"/>
      <c r="BE85" s="136"/>
      <c r="BF85" s="136"/>
      <c r="BG85" s="136"/>
      <c r="BH85" s="136"/>
      <c r="BN85" s="86"/>
      <c r="BO85" s="1091"/>
      <c r="BP85" s="1582">
        <v>16</v>
      </c>
      <c r="BQ85" s="76"/>
      <c r="BR85" s="76"/>
      <c r="BS85" s="76"/>
      <c r="BT85" s="76"/>
      <c r="BU85" s="76"/>
      <c r="BV85" s="145" t="b">
        <f>IF(CF59=16,6)</f>
        <v>0</v>
      </c>
      <c r="BW85" s="146"/>
      <c r="BX85" s="147"/>
      <c r="BY85" s="147"/>
      <c r="BZ85" s="146"/>
      <c r="CA85" s="146"/>
      <c r="CB85" s="146"/>
      <c r="CC85" s="146"/>
      <c r="CD85" s="146"/>
      <c r="CE85" s="146"/>
      <c r="CF85" s="146"/>
      <c r="CG85" s="146"/>
      <c r="CH85" s="148"/>
      <c r="CI85" s="146"/>
      <c r="CJ85" s="149"/>
      <c r="CK85" s="146"/>
      <c r="CL85" s="146"/>
      <c r="CM85" s="147"/>
      <c r="CN85" s="147"/>
      <c r="CO85" s="150"/>
      <c r="CP85" s="151" t="b">
        <f>IF(CF59=16,26)</f>
        <v>0</v>
      </c>
      <c r="CQ85" s="78"/>
      <c r="CR85" s="78"/>
      <c r="CS85" s="78"/>
      <c r="CT85" s="78"/>
      <c r="CU85" s="78"/>
      <c r="CV85" s="78"/>
      <c r="CW85" s="78"/>
      <c r="CX85" s="78"/>
      <c r="CY85" s="78"/>
      <c r="CZ85" s="78"/>
      <c r="DA85" s="78"/>
      <c r="DB85" s="78"/>
      <c r="DC85" s="78"/>
      <c r="DD85" s="78"/>
    </row>
    <row r="86" spans="2:108" ht="21" hidden="1" thickBot="1" x14ac:dyDescent="0.25">
      <c r="E86" s="397"/>
      <c r="F86" s="397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U86" s="114"/>
      <c r="AB86" s="114"/>
      <c r="AC86" s="114"/>
      <c r="AD86" s="114"/>
      <c r="AE86" s="114"/>
      <c r="BE86" s="136"/>
      <c r="BF86" s="136"/>
      <c r="BG86" s="136"/>
      <c r="BH86" s="136"/>
      <c r="BN86" s="86"/>
      <c r="BO86" s="1091"/>
      <c r="BP86" s="1582">
        <v>15</v>
      </c>
      <c r="BQ86" s="76"/>
      <c r="BR86" s="76"/>
      <c r="BS86" s="76"/>
      <c r="BT86" s="117" t="b">
        <f>IF(CE59=15,4)</f>
        <v>0</v>
      </c>
      <c r="BU86" s="119"/>
      <c r="BV86" s="119"/>
      <c r="BW86" s="119"/>
      <c r="BX86" s="118"/>
      <c r="BY86" s="119"/>
      <c r="BZ86" s="119"/>
      <c r="CA86" s="118"/>
      <c r="CB86" s="119"/>
      <c r="CC86" s="119"/>
      <c r="CD86" s="119"/>
      <c r="CE86" s="119"/>
      <c r="CF86" s="119"/>
      <c r="CG86" s="119"/>
      <c r="CH86" s="140"/>
      <c r="CI86" s="118"/>
      <c r="CJ86" s="141"/>
      <c r="CK86" s="119"/>
      <c r="CL86" s="118"/>
      <c r="CM86" s="119"/>
      <c r="CN86" s="119"/>
      <c r="CO86" s="111"/>
      <c r="CP86" s="103" t="b">
        <f>IF(CE59=15,26)</f>
        <v>0</v>
      </c>
      <c r="CQ86" s="78"/>
      <c r="CR86" s="78"/>
      <c r="CS86" s="78"/>
      <c r="CT86" s="78"/>
      <c r="CU86" s="78"/>
      <c r="CV86" s="78"/>
      <c r="CW86" s="78"/>
      <c r="CX86" s="78"/>
      <c r="CY86" s="78"/>
      <c r="CZ86" s="78"/>
      <c r="DA86" s="78"/>
      <c r="DB86" s="78"/>
      <c r="DC86" s="78"/>
      <c r="DD86" s="78"/>
    </row>
    <row r="87" spans="2:108" ht="21" hidden="1" thickBot="1" x14ac:dyDescent="0.25">
      <c r="E87" s="397"/>
      <c r="F87" s="397"/>
      <c r="G87" s="998"/>
      <c r="H87"/>
      <c r="I87"/>
      <c r="J87"/>
      <c r="K87"/>
      <c r="L87"/>
      <c r="M87"/>
      <c r="N87"/>
      <c r="O87" s="995"/>
      <c r="U87" s="114"/>
      <c r="AB87" s="114"/>
      <c r="AC87" s="114"/>
      <c r="AD87" s="114"/>
      <c r="AE87" s="114"/>
      <c r="BE87" s="136"/>
      <c r="BF87" s="136"/>
      <c r="BG87" s="136"/>
      <c r="BH87" s="136"/>
      <c r="BN87" s="86"/>
      <c r="BO87" s="1091"/>
      <c r="BP87" s="1582">
        <v>14</v>
      </c>
      <c r="BQ87" s="76"/>
      <c r="BR87" s="117" t="b">
        <f>IF(CD59=14,2)</f>
        <v>0</v>
      </c>
      <c r="BS87" s="119"/>
      <c r="BT87" s="119"/>
      <c r="BU87" s="119"/>
      <c r="BV87" s="118"/>
      <c r="BW87" s="119"/>
      <c r="BX87" s="119"/>
      <c r="BY87" s="118"/>
      <c r="BZ87" s="119"/>
      <c r="CA87" s="119"/>
      <c r="CB87" s="119"/>
      <c r="CC87" s="119"/>
      <c r="CD87" s="119"/>
      <c r="CE87" s="119"/>
      <c r="CF87" s="119"/>
      <c r="CG87" s="119"/>
      <c r="CH87" s="140"/>
      <c r="CI87" s="118"/>
      <c r="CJ87" s="141"/>
      <c r="CK87" s="119"/>
      <c r="CL87" s="118"/>
      <c r="CM87" s="119"/>
      <c r="CN87" s="119"/>
      <c r="CO87" s="111"/>
      <c r="CP87" s="103" t="b">
        <f>IF(CD59=14,26)</f>
        <v>0</v>
      </c>
      <c r="CQ87" s="78"/>
      <c r="CR87" s="78"/>
      <c r="CS87" s="78"/>
      <c r="CT87" s="78"/>
      <c r="CU87" s="78"/>
      <c r="CV87" s="78"/>
      <c r="CW87" s="78"/>
      <c r="CX87" s="78"/>
      <c r="CY87" s="78"/>
      <c r="CZ87" s="78"/>
      <c r="DA87" s="78"/>
      <c r="DB87" s="78"/>
      <c r="DC87" s="78"/>
      <c r="DD87" s="78"/>
    </row>
    <row r="88" spans="2:108" ht="21" hidden="1" thickBot="1" x14ac:dyDescent="0.25">
      <c r="E88" s="397"/>
      <c r="F88" s="397"/>
      <c r="G88" s="998"/>
      <c r="H88"/>
      <c r="I88"/>
      <c r="J88"/>
      <c r="K88"/>
      <c r="L88"/>
      <c r="M88"/>
      <c r="N88"/>
      <c r="O88" s="995"/>
      <c r="U88" s="114"/>
      <c r="AB88" s="114"/>
      <c r="AC88" s="114"/>
      <c r="AD88" s="114"/>
      <c r="AE88" s="114"/>
      <c r="BE88" s="136"/>
      <c r="BF88" s="136"/>
      <c r="BG88" s="136"/>
      <c r="BH88" s="136"/>
      <c r="BN88" s="86"/>
      <c r="BO88" s="1091"/>
      <c r="BP88" s="1582">
        <v>13</v>
      </c>
      <c r="BQ88" s="76"/>
      <c r="BR88" s="76"/>
      <c r="BS88" s="76"/>
      <c r="BU88" s="152"/>
      <c r="BV88" s="152"/>
      <c r="BW88" s="91"/>
      <c r="BX88" s="152"/>
      <c r="BY88" s="120" t="b">
        <f>IF(CC59=13,9)</f>
        <v>0</v>
      </c>
      <c r="BZ88" s="123"/>
      <c r="CA88" s="123"/>
      <c r="CB88" s="123"/>
      <c r="CC88" s="123"/>
      <c r="CD88" s="123"/>
      <c r="CE88" s="123"/>
      <c r="CF88" s="123"/>
      <c r="CG88" s="124" t="b">
        <f>IF(CC59=13,17)</f>
        <v>0</v>
      </c>
      <c r="CH88" s="153"/>
      <c r="CI88" s="91"/>
      <c r="CJ88" s="154"/>
      <c r="CK88" s="152"/>
      <c r="CM88" s="76"/>
      <c r="CN88" s="76"/>
      <c r="CO88" s="78"/>
      <c r="CP88" s="78"/>
      <c r="CQ88" s="78"/>
      <c r="CR88" s="78"/>
      <c r="CS88" s="78"/>
      <c r="CT88" s="78"/>
      <c r="CU88" s="78"/>
      <c r="CV88" s="78"/>
      <c r="CW88" s="78"/>
      <c r="CX88" s="78"/>
      <c r="CY88" s="78"/>
      <c r="CZ88" s="78"/>
      <c r="DA88" s="78"/>
      <c r="DB88" s="78"/>
      <c r="DC88" s="78"/>
      <c r="DD88" s="78"/>
    </row>
    <row r="89" spans="2:108" ht="21" hidden="1" thickBot="1" x14ac:dyDescent="0.25">
      <c r="D89" s="397"/>
      <c r="E89" s="397"/>
      <c r="F89" s="397"/>
      <c r="G89" s="998"/>
      <c r="H89"/>
      <c r="I89"/>
      <c r="J89"/>
      <c r="K89"/>
      <c r="L89"/>
      <c r="M89"/>
      <c r="N89"/>
      <c r="O89" s="995"/>
      <c r="U89" s="114"/>
      <c r="AB89" s="114"/>
      <c r="AC89" s="114"/>
      <c r="AD89" s="114"/>
      <c r="AE89" s="114"/>
      <c r="BE89" s="136"/>
      <c r="BF89" s="136"/>
      <c r="BG89" s="136"/>
      <c r="BH89" s="136"/>
      <c r="BN89" s="86"/>
      <c r="BO89" s="1091"/>
      <c r="BP89" s="1582">
        <v>12</v>
      </c>
      <c r="BQ89" s="76"/>
      <c r="BS89" s="139"/>
      <c r="BT89" s="139"/>
      <c r="BU89" s="142"/>
      <c r="BV89" s="139"/>
      <c r="BW89" s="117" t="b">
        <f>IF(CB59=12,7)</f>
        <v>0</v>
      </c>
      <c r="BX89" s="119"/>
      <c r="BY89" s="119"/>
      <c r="BZ89" s="119"/>
      <c r="CA89" s="119"/>
      <c r="CB89" s="119"/>
      <c r="CC89" s="119"/>
      <c r="CD89" s="119"/>
      <c r="CE89" s="119"/>
      <c r="CF89" s="119"/>
      <c r="CG89" s="103" t="b">
        <f>IF(CB59=12,17)</f>
        <v>0</v>
      </c>
      <c r="CH89" s="155"/>
      <c r="CI89" s="142"/>
      <c r="CJ89" s="156"/>
      <c r="CK89" s="139"/>
      <c r="CM89" s="76"/>
      <c r="CN89" s="76"/>
      <c r="CO89" s="78"/>
      <c r="CP89" s="78"/>
      <c r="CQ89" s="78"/>
      <c r="CR89" s="78"/>
      <c r="CS89" s="78"/>
      <c r="CT89" s="78"/>
      <c r="CU89" s="78"/>
      <c r="CV89" s="78"/>
      <c r="CW89" s="78"/>
      <c r="CX89" s="78"/>
      <c r="CY89" s="78"/>
      <c r="CZ89" s="78"/>
      <c r="DA89" s="78"/>
      <c r="DB89" s="78"/>
      <c r="DC89" s="78"/>
      <c r="DD89" s="78"/>
    </row>
    <row r="90" spans="2:108" ht="21" hidden="1" thickBot="1" x14ac:dyDescent="0.25">
      <c r="D90" s="397"/>
      <c r="E90" s="397"/>
      <c r="F90" s="397"/>
      <c r="G90" s="998"/>
      <c r="H90"/>
      <c r="I90"/>
      <c r="J90"/>
      <c r="K90"/>
      <c r="L90"/>
      <c r="M90"/>
      <c r="N90"/>
      <c r="O90" s="995"/>
      <c r="U90" s="114"/>
      <c r="AB90" s="114"/>
      <c r="AC90" s="114"/>
      <c r="AD90" s="114"/>
      <c r="AE90" s="114"/>
      <c r="BE90" s="136"/>
      <c r="BF90" s="136"/>
      <c r="BG90" s="136"/>
      <c r="BH90" s="136"/>
      <c r="BN90" s="86"/>
      <c r="BO90" s="1091"/>
      <c r="BP90" s="1582">
        <v>11</v>
      </c>
      <c r="BR90" s="152"/>
      <c r="BS90" s="91"/>
      <c r="BT90" s="152"/>
      <c r="BU90" s="117" t="b">
        <f>IF(CA59=11,5)</f>
        <v>0</v>
      </c>
      <c r="BV90" s="119"/>
      <c r="BW90" s="119"/>
      <c r="BX90" s="119"/>
      <c r="BY90" s="119"/>
      <c r="BZ90" s="119"/>
      <c r="CA90" s="119"/>
      <c r="CB90" s="119"/>
      <c r="CC90" s="119"/>
      <c r="CD90" s="119"/>
      <c r="CE90" s="119"/>
      <c r="CF90" s="119"/>
      <c r="CG90" s="103" t="b">
        <f>IF(CA59=11,17)</f>
        <v>0</v>
      </c>
      <c r="CH90" s="153"/>
      <c r="CI90" s="91"/>
      <c r="CJ90" s="154"/>
      <c r="CL90" s="76"/>
      <c r="CM90" s="76"/>
      <c r="CN90" s="76"/>
      <c r="CO90" s="78"/>
      <c r="CP90" s="78"/>
      <c r="CQ90" s="78"/>
      <c r="CR90" s="78"/>
      <c r="CS90" s="78"/>
      <c r="CT90" s="78"/>
      <c r="CU90" s="78"/>
      <c r="CV90" s="78"/>
      <c r="CW90" s="78"/>
      <c r="CX90" s="78"/>
      <c r="CY90" s="78"/>
      <c r="CZ90" s="78"/>
      <c r="DA90" s="78"/>
      <c r="DB90" s="78"/>
      <c r="DC90" s="78"/>
      <c r="DD90" s="78"/>
    </row>
    <row r="91" spans="2:108" ht="21" hidden="1" thickBot="1" x14ac:dyDescent="0.25">
      <c r="B91" s="399"/>
      <c r="C91" s="399"/>
      <c r="D91" s="397"/>
      <c r="E91" s="397"/>
      <c r="F91" s="397"/>
      <c r="G91" s="998"/>
      <c r="H91"/>
      <c r="I91"/>
      <c r="J91"/>
      <c r="K91"/>
      <c r="L91"/>
      <c r="M91"/>
      <c r="N91"/>
      <c r="O91" s="995"/>
      <c r="U91" s="114"/>
      <c r="AB91" s="114"/>
      <c r="AC91" s="114"/>
      <c r="AD91" s="114"/>
      <c r="AE91" s="114"/>
      <c r="BE91" s="136"/>
      <c r="BF91" s="136"/>
      <c r="BG91" s="136"/>
      <c r="BH91" s="136"/>
      <c r="BN91" s="86"/>
      <c r="BO91" s="1091"/>
      <c r="BP91" s="1582">
        <v>10</v>
      </c>
      <c r="BR91" s="152"/>
      <c r="BS91" s="117" t="b">
        <f>IF(BZ59=10,3)</f>
        <v>0</v>
      </c>
      <c r="BT91" s="119"/>
      <c r="BU91" s="119"/>
      <c r="BV91" s="119"/>
      <c r="BW91" s="119"/>
      <c r="BX91" s="119"/>
      <c r="BY91" s="119"/>
      <c r="BZ91" s="119"/>
      <c r="CA91" s="119"/>
      <c r="CB91" s="119"/>
      <c r="CC91" s="119"/>
      <c r="CD91" s="119"/>
      <c r="CE91" s="119"/>
      <c r="CF91" s="119"/>
      <c r="CG91" s="103" t="b">
        <f>IF(BZ59=10,17)</f>
        <v>0</v>
      </c>
      <c r="CH91" s="153"/>
      <c r="CJ91" s="157"/>
      <c r="CK91" s="76"/>
      <c r="CL91" s="76"/>
      <c r="CM91" s="76"/>
      <c r="CN91" s="76"/>
      <c r="CO91" s="78"/>
      <c r="CP91" s="78"/>
      <c r="CQ91" s="78"/>
      <c r="CR91" s="78"/>
      <c r="CS91" s="78"/>
      <c r="CT91" s="78"/>
      <c r="CU91" s="78"/>
      <c r="CV91" s="78"/>
      <c r="CW91" s="78"/>
      <c r="CX91" s="78"/>
      <c r="CY91" s="78"/>
      <c r="CZ91" s="78"/>
      <c r="DA91" s="78"/>
      <c r="DB91" s="78"/>
      <c r="DC91" s="78"/>
      <c r="DD91" s="78"/>
    </row>
    <row r="92" spans="2:108" ht="21" hidden="1" thickBot="1" x14ac:dyDescent="0.25">
      <c r="B92" s="399"/>
      <c r="C92" s="399"/>
      <c r="D92" s="397"/>
      <c r="E92" s="397"/>
      <c r="F92" s="397"/>
      <c r="G92" s="998"/>
      <c r="H92"/>
      <c r="I92"/>
      <c r="J92"/>
      <c r="K92"/>
      <c r="L92"/>
      <c r="M92"/>
      <c r="N92"/>
      <c r="O92" s="995"/>
      <c r="U92" s="114"/>
      <c r="AB92" s="114"/>
      <c r="AC92" s="114"/>
      <c r="AD92" s="114"/>
      <c r="AE92" s="114"/>
      <c r="BF92" s="136"/>
      <c r="BG92" s="136"/>
      <c r="BH92" s="136"/>
      <c r="BN92" s="86"/>
      <c r="BO92" s="1091"/>
      <c r="BP92" s="1582">
        <v>9</v>
      </c>
      <c r="BQ92" s="117" t="b">
        <f>IF(BY59=9,1)</f>
        <v>0</v>
      </c>
      <c r="BR92" s="119"/>
      <c r="BS92" s="119"/>
      <c r="BT92" s="119"/>
      <c r="BU92" s="119"/>
      <c r="BV92" s="119"/>
      <c r="BW92" s="119"/>
      <c r="BX92" s="119"/>
      <c r="BY92" s="119"/>
      <c r="BZ92" s="119"/>
      <c r="CA92" s="119"/>
      <c r="CB92" s="119"/>
      <c r="CC92" s="119"/>
      <c r="CD92" s="119"/>
      <c r="CE92" s="119"/>
      <c r="CF92" s="119"/>
      <c r="CG92" s="103" t="b">
        <f>IF(BY59=9,17)</f>
        <v>0</v>
      </c>
      <c r="CH92" s="76"/>
      <c r="CI92" s="76"/>
      <c r="CJ92" s="157"/>
      <c r="CK92" s="76"/>
      <c r="CL92" s="76"/>
      <c r="CM92" s="76"/>
      <c r="CN92" s="76"/>
      <c r="CO92" s="78"/>
      <c r="CP92" s="78"/>
      <c r="CQ92" s="78"/>
      <c r="CR92" s="78"/>
      <c r="CS92" s="78"/>
      <c r="CT92" s="78"/>
      <c r="CU92" s="78"/>
      <c r="CV92" s="78"/>
      <c r="CW92" s="78"/>
      <c r="CX92" s="78"/>
      <c r="CY92" s="78"/>
      <c r="CZ92" s="78"/>
      <c r="DA92" s="78"/>
      <c r="DB92" s="78"/>
      <c r="DC92" s="78"/>
      <c r="DD92" s="78"/>
    </row>
    <row r="93" spans="2:108" ht="21" hidden="1" thickBot="1" x14ac:dyDescent="0.25">
      <c r="B93" s="401"/>
      <c r="E93" s="397"/>
      <c r="F93" s="397"/>
      <c r="G93" s="998"/>
      <c r="H93"/>
      <c r="I93"/>
      <c r="J93"/>
      <c r="K93"/>
      <c r="L93"/>
      <c r="M93"/>
      <c r="N93"/>
      <c r="O93" s="995"/>
      <c r="U93" s="114"/>
      <c r="AB93" s="114"/>
      <c r="AC93" s="114"/>
      <c r="AD93" s="114"/>
      <c r="AE93" s="114"/>
      <c r="BE93" s="136"/>
      <c r="BF93" s="136"/>
      <c r="BG93" s="136"/>
      <c r="BH93" s="136"/>
      <c r="BN93" s="86"/>
      <c r="BO93" s="1091"/>
      <c r="BP93" s="1582">
        <v>8</v>
      </c>
      <c r="BQ93" s="117" t="b">
        <f>IF(BX59=8,1)</f>
        <v>0</v>
      </c>
      <c r="BR93" s="119"/>
      <c r="BS93" s="118"/>
      <c r="BT93" s="119"/>
      <c r="BU93" s="119"/>
      <c r="BV93" s="119"/>
      <c r="BW93" s="119"/>
      <c r="BX93" s="76"/>
      <c r="BY93" s="119"/>
      <c r="BZ93" s="119"/>
      <c r="CA93" s="119"/>
      <c r="CB93" s="119"/>
      <c r="CC93" s="118"/>
      <c r="CD93" s="119"/>
      <c r="CE93" s="103" t="b">
        <f>IF(BX59=8,15)</f>
        <v>0</v>
      </c>
      <c r="CF93" s="76"/>
      <c r="CG93" s="76"/>
      <c r="CH93" s="158"/>
      <c r="CI93" s="76"/>
      <c r="CJ93" s="157"/>
      <c r="CK93" s="76"/>
      <c r="CL93" s="76"/>
      <c r="CM93" s="76"/>
      <c r="CN93" s="76"/>
      <c r="CO93" s="78"/>
      <c r="CP93" s="78"/>
      <c r="CQ93" s="78"/>
      <c r="CR93" s="78"/>
      <c r="CS93" s="78"/>
      <c r="CT93" s="78"/>
      <c r="CU93" s="78"/>
      <c r="CV93" s="78"/>
      <c r="CW93" s="78"/>
      <c r="CX93" s="78"/>
      <c r="CY93" s="78"/>
      <c r="CZ93" s="78"/>
      <c r="DA93" s="78"/>
      <c r="DB93" s="78"/>
      <c r="DC93" s="78"/>
      <c r="DD93" s="78"/>
    </row>
    <row r="94" spans="2:108" ht="21" hidden="1" thickBot="1" x14ac:dyDescent="0.25">
      <c r="B94" s="399"/>
      <c r="C94" s="399"/>
      <c r="D94" s="397"/>
      <c r="E94" s="397"/>
      <c r="F94" s="397"/>
      <c r="G94" s="998"/>
      <c r="H94"/>
      <c r="I94"/>
      <c r="J94"/>
      <c r="K94"/>
      <c r="L94"/>
      <c r="M94"/>
      <c r="N94"/>
      <c r="O94" s="995"/>
      <c r="U94" s="114"/>
      <c r="AB94" s="114"/>
      <c r="AC94" s="114"/>
      <c r="AD94" s="114"/>
      <c r="AE94" s="114"/>
      <c r="BF94" s="136"/>
      <c r="BG94" s="136"/>
      <c r="BH94" s="136"/>
      <c r="BN94" s="86"/>
      <c r="BO94" s="1091"/>
      <c r="BP94" s="1582">
        <v>7</v>
      </c>
      <c r="BQ94" s="117" t="b">
        <f>IF(BW59=7,1)</f>
        <v>0</v>
      </c>
      <c r="BR94" s="118"/>
      <c r="BS94" s="119"/>
      <c r="BT94" s="119"/>
      <c r="BU94" s="119"/>
      <c r="BV94" s="119"/>
      <c r="BW94" s="119"/>
      <c r="BX94" s="119"/>
      <c r="BY94" s="119"/>
      <c r="BZ94" s="119"/>
      <c r="CA94" s="118"/>
      <c r="CB94" s="118"/>
      <c r="CC94" s="103" t="b">
        <f>IF(BW59=7,13)</f>
        <v>0</v>
      </c>
      <c r="CD94" s="76"/>
      <c r="CE94" s="76"/>
      <c r="CF94" s="76"/>
      <c r="CG94" s="76"/>
      <c r="CH94" s="158"/>
      <c r="CI94" s="76"/>
      <c r="CJ94" s="157"/>
      <c r="CK94" s="76"/>
      <c r="CL94" s="76"/>
      <c r="CM94" s="76"/>
      <c r="CN94" s="76"/>
      <c r="CO94" s="78"/>
      <c r="CP94" s="78"/>
      <c r="CQ94" s="78"/>
      <c r="CR94" s="78"/>
      <c r="CS94" s="78"/>
      <c r="CT94" s="78"/>
      <c r="CU94" s="78"/>
      <c r="CV94" s="78"/>
      <c r="CW94" s="78"/>
      <c r="CX94" s="78"/>
      <c r="CY94" s="78"/>
      <c r="CZ94" s="78"/>
      <c r="DA94" s="78"/>
      <c r="DB94" s="78"/>
      <c r="DC94" s="78"/>
      <c r="DD94" s="78"/>
    </row>
    <row r="95" spans="2:108" ht="21" hidden="1" thickBot="1" x14ac:dyDescent="0.25">
      <c r="B95" s="399"/>
      <c r="C95" s="399"/>
      <c r="D95" s="397"/>
      <c r="E95" s="397"/>
      <c r="F95" s="397"/>
      <c r="G95" s="998"/>
      <c r="H95"/>
      <c r="I95"/>
      <c r="J95"/>
      <c r="K95"/>
      <c r="L95"/>
      <c r="M95"/>
      <c r="N95"/>
      <c r="O95" s="995"/>
      <c r="U95" s="114"/>
      <c r="AB95" s="114"/>
      <c r="AC95" s="114"/>
      <c r="AD95" s="114"/>
      <c r="AE95" s="114"/>
      <c r="BF95" s="136"/>
      <c r="BG95" s="136"/>
      <c r="BH95" s="136"/>
      <c r="BN95" s="86"/>
      <c r="BO95" s="1091"/>
      <c r="BP95" s="1582">
        <v>6</v>
      </c>
      <c r="BQ95" s="120" t="b">
        <f>IF(BV59=6,1)</f>
        <v>0</v>
      </c>
      <c r="BR95" s="123"/>
      <c r="BS95" s="123"/>
      <c r="BT95" s="123"/>
      <c r="BU95" s="123"/>
      <c r="BV95" s="123"/>
      <c r="BW95" s="123"/>
      <c r="BX95" s="123"/>
      <c r="BY95" s="123"/>
      <c r="BZ95" s="123"/>
      <c r="CA95" s="124" t="b">
        <f>IF(BV59=6,11)</f>
        <v>0</v>
      </c>
      <c r="CB95" s="76"/>
      <c r="CC95" s="76"/>
      <c r="CD95" s="76"/>
      <c r="CE95" s="76"/>
      <c r="CF95" s="76"/>
      <c r="CG95" s="76"/>
      <c r="CH95" s="158"/>
      <c r="CI95" s="76"/>
      <c r="CJ95" s="157"/>
      <c r="CK95" s="76"/>
      <c r="CL95" s="76"/>
      <c r="CM95" s="76"/>
      <c r="CN95" s="76"/>
      <c r="CO95" s="78"/>
      <c r="CP95" s="78"/>
      <c r="CQ95" s="78"/>
      <c r="CR95" s="78"/>
      <c r="CS95" s="78"/>
      <c r="CT95" s="78"/>
      <c r="CU95" s="78"/>
      <c r="CV95" s="78"/>
      <c r="CW95" s="78"/>
      <c r="CX95" s="78"/>
      <c r="CY95" s="78"/>
      <c r="CZ95" s="78"/>
      <c r="DA95" s="78"/>
      <c r="DB95" s="78"/>
      <c r="DC95" s="78"/>
      <c r="DD95" s="78"/>
    </row>
    <row r="96" spans="2:108" ht="21" hidden="1" thickBot="1" x14ac:dyDescent="0.25">
      <c r="B96" s="19"/>
      <c r="C96" s="399"/>
      <c r="D96" s="397"/>
      <c r="E96" s="19"/>
      <c r="F96" s="397"/>
      <c r="G96" s="998"/>
      <c r="H96"/>
      <c r="I96"/>
      <c r="J96"/>
      <c r="K96"/>
      <c r="L96"/>
      <c r="M96"/>
      <c r="N96"/>
      <c r="O96" s="995"/>
      <c r="U96" s="114"/>
      <c r="AB96" s="114"/>
      <c r="AC96" s="114"/>
      <c r="AD96" s="114"/>
      <c r="AE96" s="114"/>
      <c r="BE96" s="136"/>
      <c r="BF96" s="136"/>
      <c r="BG96" s="136"/>
      <c r="BH96" s="136"/>
      <c r="BN96" s="86"/>
      <c r="BO96" s="1091"/>
      <c r="BP96" s="1582">
        <v>5</v>
      </c>
      <c r="BQ96" s="120" t="b">
        <f>IF(BU59=5,1)</f>
        <v>0</v>
      </c>
      <c r="BR96" s="122"/>
      <c r="BS96" s="123"/>
      <c r="BT96" s="123"/>
      <c r="BU96" s="123"/>
      <c r="BV96" s="123"/>
      <c r="BW96" s="123"/>
      <c r="BX96" s="122"/>
      <c r="BY96" s="124" t="b">
        <f>IF(BU59=5,9)</f>
        <v>0</v>
      </c>
      <c r="BZ96" s="76"/>
      <c r="CA96" s="76"/>
      <c r="CB96" s="76"/>
      <c r="CC96" s="76"/>
      <c r="CD96" s="76"/>
      <c r="CE96" s="76"/>
      <c r="CF96" s="76"/>
      <c r="CG96" s="76"/>
      <c r="CH96" s="158"/>
      <c r="CI96" s="76"/>
      <c r="CJ96" s="157"/>
      <c r="CK96" s="76"/>
      <c r="CL96" s="76"/>
      <c r="CM96" s="76"/>
      <c r="CN96" s="76"/>
      <c r="CO96" s="78"/>
      <c r="CP96" s="78"/>
      <c r="CQ96" s="78"/>
      <c r="CR96" s="78"/>
      <c r="CS96" s="78"/>
      <c r="CT96" s="78"/>
      <c r="CU96" s="78"/>
      <c r="CV96" s="78"/>
      <c r="CW96" s="78"/>
      <c r="CX96" s="78"/>
      <c r="CY96" s="78"/>
      <c r="CZ96" s="78"/>
      <c r="DA96" s="78"/>
      <c r="DB96" s="78"/>
      <c r="DC96" s="78"/>
      <c r="DD96" s="78"/>
    </row>
    <row r="97" spans="2:142" ht="21" hidden="1" thickBot="1" x14ac:dyDescent="0.25">
      <c r="B97" s="399"/>
      <c r="C97" s="399"/>
      <c r="D97" s="397"/>
      <c r="E97" s="397"/>
      <c r="F97" s="397"/>
      <c r="G97" s="998"/>
      <c r="H97"/>
      <c r="I97"/>
      <c r="J97"/>
      <c r="K97"/>
      <c r="L97"/>
      <c r="M97"/>
      <c r="N97"/>
      <c r="O97" s="995"/>
      <c r="U97" s="114"/>
      <c r="AB97" s="114"/>
      <c r="AC97" s="114"/>
      <c r="AD97" s="114"/>
      <c r="AE97" s="114"/>
      <c r="BF97" s="136"/>
      <c r="BG97" s="136"/>
      <c r="BH97" s="136"/>
      <c r="BN97" s="86"/>
      <c r="BO97" s="1091"/>
      <c r="BP97" s="1582">
        <v>4</v>
      </c>
      <c r="BQ97" s="120" t="b">
        <f>IF(BT59=4,1)</f>
        <v>0</v>
      </c>
      <c r="BR97" s="123"/>
      <c r="BS97" s="123"/>
      <c r="BT97" s="123"/>
      <c r="BU97" s="123"/>
      <c r="BV97" s="123"/>
      <c r="BW97" s="124" t="b">
        <f>IF(BT59=4,7)</f>
        <v>0</v>
      </c>
      <c r="BX97" s="76"/>
      <c r="BY97" s="159"/>
      <c r="BZ97" s="159"/>
      <c r="CA97" s="76"/>
      <c r="CB97" s="159"/>
      <c r="CC97" s="76"/>
      <c r="CD97" s="76"/>
      <c r="CE97" s="76"/>
      <c r="CF97" s="76"/>
      <c r="CG97" s="76"/>
      <c r="CH97" s="158"/>
      <c r="CI97" s="76"/>
      <c r="CJ97" s="157"/>
      <c r="CK97" s="76"/>
      <c r="CL97" s="76"/>
      <c r="CM97" s="76"/>
      <c r="CN97" s="76"/>
      <c r="CO97" s="78"/>
      <c r="CP97" s="78"/>
      <c r="CQ97" s="78"/>
      <c r="CR97" s="78"/>
      <c r="CS97" s="78"/>
      <c r="CT97" s="78"/>
      <c r="CU97" s="78"/>
      <c r="CV97" s="78"/>
      <c r="CW97" s="78"/>
      <c r="CX97" s="78"/>
      <c r="CY97" s="78"/>
      <c r="CZ97" s="78"/>
      <c r="DA97" s="78"/>
      <c r="DB97" s="78"/>
      <c r="DC97" s="78"/>
      <c r="DD97" s="78"/>
    </row>
    <row r="98" spans="2:142" ht="21" hidden="1" thickBot="1" x14ac:dyDescent="0.25">
      <c r="B98" s="399"/>
      <c r="C98" s="399"/>
      <c r="D98" s="397"/>
      <c r="E98" s="397"/>
      <c r="F98" s="397"/>
      <c r="G98" s="998"/>
      <c r="H98"/>
      <c r="I98"/>
      <c r="J98"/>
      <c r="K98"/>
      <c r="L98"/>
      <c r="M98"/>
      <c r="N98"/>
      <c r="O98" s="995"/>
      <c r="U98" s="114"/>
      <c r="AB98" s="114"/>
      <c r="AC98" s="114"/>
      <c r="AD98" s="114"/>
      <c r="AE98" s="114"/>
      <c r="BE98" s="136"/>
      <c r="BF98" s="136"/>
      <c r="BG98" s="136"/>
      <c r="BH98" s="136"/>
      <c r="BN98" s="86"/>
      <c r="BO98" s="1091"/>
      <c r="BP98" s="1582">
        <v>3</v>
      </c>
      <c r="BQ98" s="120" t="b">
        <f>IF(BS59=3,1)</f>
        <v>0</v>
      </c>
      <c r="BR98" s="123"/>
      <c r="BS98" s="123"/>
      <c r="BT98" s="123"/>
      <c r="BU98" s="124" t="b">
        <f>IF(BS59=3,5)</f>
        <v>0</v>
      </c>
      <c r="BV98" s="76"/>
      <c r="BW98" s="76"/>
      <c r="BX98" s="76"/>
      <c r="BY98" s="76"/>
      <c r="BZ98" s="76"/>
      <c r="CA98" s="76"/>
      <c r="CB98" s="76"/>
      <c r="CC98" s="76"/>
      <c r="CD98" s="76"/>
      <c r="CE98" s="76"/>
      <c r="CF98" s="76"/>
      <c r="CG98" s="76"/>
      <c r="CH98" s="158"/>
      <c r="CI98" s="76"/>
      <c r="CJ98" s="157"/>
      <c r="CK98" s="76"/>
      <c r="CL98" s="76"/>
      <c r="CM98" s="76"/>
      <c r="CN98" s="76"/>
      <c r="CO98" s="78"/>
      <c r="CP98" s="78"/>
      <c r="CQ98" s="78"/>
      <c r="CR98" s="78"/>
      <c r="CS98" s="78"/>
      <c r="CT98" s="78"/>
      <c r="CU98" s="78"/>
      <c r="CV98" s="78"/>
      <c r="CW98" s="78"/>
      <c r="CX98" s="78"/>
      <c r="CY98" s="78"/>
      <c r="CZ98" s="78"/>
      <c r="DA98" s="78"/>
      <c r="DB98" s="78"/>
      <c r="DC98" s="78"/>
      <c r="DD98" s="78"/>
    </row>
    <row r="99" spans="2:142" ht="20" hidden="1" x14ac:dyDescent="0.2">
      <c r="B99" s="399"/>
      <c r="C99" s="399"/>
      <c r="D99" s="397"/>
      <c r="E99" s="397"/>
      <c r="F99" s="397"/>
      <c r="G99" s="998"/>
      <c r="H99"/>
      <c r="I99"/>
      <c r="J99"/>
      <c r="K99"/>
      <c r="L99"/>
      <c r="M99"/>
      <c r="N99"/>
      <c r="O99" s="995"/>
      <c r="U99" s="114"/>
      <c r="AB99" s="114"/>
      <c r="AC99" s="114"/>
      <c r="AD99" s="114"/>
      <c r="AE99" s="114"/>
      <c r="BE99" s="136"/>
      <c r="BF99" s="136"/>
      <c r="BG99" s="136"/>
      <c r="BH99" s="136"/>
      <c r="BN99" s="86"/>
      <c r="BO99" s="1091"/>
      <c r="BP99" s="1582">
        <v>2</v>
      </c>
      <c r="BQ99" s="160" t="b">
        <f>IF(BR59=2,1)</f>
        <v>0</v>
      </c>
      <c r="BR99" s="161"/>
      <c r="BS99" s="162" t="b">
        <f>IF(BR59=2,3)</f>
        <v>0</v>
      </c>
      <c r="BT99" s="76"/>
      <c r="BU99" s="76"/>
      <c r="BV99" s="76"/>
      <c r="BW99" s="76"/>
      <c r="BX99" s="76"/>
      <c r="BY99" s="76"/>
      <c r="BZ99" s="76"/>
      <c r="CA99" s="76"/>
      <c r="CB99" s="76"/>
      <c r="CC99" s="76"/>
      <c r="CD99" s="76"/>
      <c r="CE99" s="76"/>
      <c r="CF99" s="76"/>
      <c r="CG99" s="76"/>
      <c r="CH99" s="158"/>
      <c r="CI99" s="76"/>
      <c r="CJ99" s="157"/>
      <c r="CK99" s="76"/>
      <c r="CL99" s="76"/>
      <c r="CM99" s="76"/>
      <c r="CN99" s="76"/>
      <c r="CO99" s="78"/>
      <c r="CP99" s="78"/>
      <c r="CQ99" s="78"/>
      <c r="CR99" s="78"/>
      <c r="CS99" s="78"/>
      <c r="CT99" s="78"/>
      <c r="CU99" s="78"/>
      <c r="CV99" s="78"/>
      <c r="CW99" s="78"/>
      <c r="CX99" s="78"/>
      <c r="CY99" s="78"/>
      <c r="CZ99" s="78"/>
      <c r="DA99" s="78"/>
      <c r="DB99" s="78"/>
      <c r="DC99" s="78"/>
      <c r="DD99" s="78"/>
    </row>
    <row r="100" spans="2:142" ht="21" hidden="1" thickBot="1" x14ac:dyDescent="0.25">
      <c r="B100" s="399"/>
      <c r="C100" s="399"/>
      <c r="D100" s="397"/>
      <c r="E100" s="397"/>
      <c r="F100" s="397"/>
      <c r="G100" s="998"/>
      <c r="H100"/>
      <c r="I100"/>
      <c r="J100"/>
      <c r="K100"/>
      <c r="L100"/>
      <c r="M100"/>
      <c r="N100"/>
      <c r="O100" s="995"/>
      <c r="U100" s="114"/>
      <c r="AB100" s="114"/>
      <c r="AC100" s="114"/>
      <c r="AD100" s="114"/>
      <c r="AE100" s="114"/>
      <c r="BE100" s="136"/>
      <c r="BF100" s="136"/>
      <c r="BG100" s="136"/>
      <c r="BH100" s="136"/>
      <c r="BN100" s="86"/>
      <c r="BO100" s="1091"/>
      <c r="BP100" s="163"/>
      <c r="BQ100" s="164">
        <f>SUM(BQ65:BQ99)</f>
        <v>0</v>
      </c>
      <c r="BR100" s="164">
        <f t="shared" ref="BR100:DA100" si="2">SUM(BR65:BR99)</f>
        <v>0</v>
      </c>
      <c r="BS100" s="164">
        <f t="shared" si="2"/>
        <v>0</v>
      </c>
      <c r="BT100" s="164">
        <f t="shared" si="2"/>
        <v>0</v>
      </c>
      <c r="BU100" s="164">
        <f t="shared" si="2"/>
        <v>0</v>
      </c>
      <c r="BV100" s="164">
        <f t="shared" si="2"/>
        <v>0</v>
      </c>
      <c r="BW100" s="164">
        <f t="shared" si="2"/>
        <v>0</v>
      </c>
      <c r="BX100" s="164">
        <f t="shared" si="2"/>
        <v>8</v>
      </c>
      <c r="BY100" s="164">
        <f t="shared" si="2"/>
        <v>0</v>
      </c>
      <c r="BZ100" s="164">
        <f t="shared" si="2"/>
        <v>0</v>
      </c>
      <c r="CA100" s="164">
        <f t="shared" si="2"/>
        <v>0</v>
      </c>
      <c r="CB100" s="164">
        <f t="shared" si="2"/>
        <v>0</v>
      </c>
      <c r="CC100" s="164">
        <f t="shared" si="2"/>
        <v>0</v>
      </c>
      <c r="CD100" s="164">
        <f t="shared" si="2"/>
        <v>0</v>
      </c>
      <c r="CE100" s="164">
        <f t="shared" si="2"/>
        <v>0</v>
      </c>
      <c r="CF100" s="164">
        <f t="shared" si="2"/>
        <v>0</v>
      </c>
      <c r="CG100" s="165">
        <f t="shared" si="2"/>
        <v>0</v>
      </c>
      <c r="CH100" s="166"/>
      <c r="CI100" s="167"/>
      <c r="CJ100" s="168"/>
      <c r="CK100" s="169">
        <f t="shared" si="2"/>
        <v>0</v>
      </c>
      <c r="CL100" s="164">
        <f t="shared" si="2"/>
        <v>0</v>
      </c>
      <c r="CM100" s="164">
        <f t="shared" si="2"/>
        <v>0</v>
      </c>
      <c r="CN100" s="164">
        <f t="shared" si="2"/>
        <v>0</v>
      </c>
      <c r="CO100" s="164">
        <f t="shared" si="2"/>
        <v>0</v>
      </c>
      <c r="CP100" s="164">
        <f t="shared" si="2"/>
        <v>26</v>
      </c>
      <c r="CQ100" s="164">
        <f t="shared" si="2"/>
        <v>0</v>
      </c>
      <c r="CR100" s="164">
        <f t="shared" si="2"/>
        <v>0</v>
      </c>
      <c r="CS100" s="164">
        <f t="shared" si="2"/>
        <v>0</v>
      </c>
      <c r="CT100" s="164">
        <f t="shared" si="2"/>
        <v>0</v>
      </c>
      <c r="CU100" s="164">
        <f t="shared" si="2"/>
        <v>0</v>
      </c>
      <c r="CV100" s="164">
        <f t="shared" si="2"/>
        <v>0</v>
      </c>
      <c r="CW100" s="164">
        <f t="shared" si="2"/>
        <v>0</v>
      </c>
      <c r="CX100" s="164">
        <f t="shared" si="2"/>
        <v>0</v>
      </c>
      <c r="CY100" s="164">
        <f t="shared" si="2"/>
        <v>0</v>
      </c>
      <c r="CZ100" s="164">
        <f t="shared" si="2"/>
        <v>0</v>
      </c>
      <c r="DA100" s="164">
        <f t="shared" si="2"/>
        <v>0</v>
      </c>
      <c r="DB100" s="78"/>
      <c r="DC100" s="78"/>
      <c r="DD100" s="78"/>
    </row>
    <row r="101" spans="2:142" ht="144" customHeight="1" thickBot="1" x14ac:dyDescent="0.25">
      <c r="B101" s="399"/>
      <c r="C101" s="399"/>
      <c r="D101" s="397"/>
      <c r="E101" s="397"/>
      <c r="F101" s="397"/>
      <c r="G101" s="998"/>
      <c r="H101"/>
      <c r="I101"/>
      <c r="J101"/>
      <c r="K101"/>
      <c r="L101"/>
      <c r="M101"/>
      <c r="N101"/>
      <c r="O101" s="995"/>
      <c r="U101" s="114"/>
      <c r="AB101" s="114"/>
      <c r="AC101" s="114"/>
      <c r="AD101" s="114"/>
      <c r="AE101" s="114"/>
      <c r="BE101" s="136"/>
      <c r="BF101" s="136"/>
      <c r="BG101" s="136"/>
      <c r="BH101" s="136"/>
      <c r="BN101" s="86"/>
      <c r="BO101" s="1091"/>
      <c r="BP101" s="163"/>
      <c r="BQ101" s="170"/>
      <c r="BR101" s="170"/>
      <c r="BS101" s="170"/>
      <c r="BT101" s="170"/>
      <c r="BU101" s="170"/>
      <c r="BV101" s="170"/>
      <c r="BW101" s="170"/>
      <c r="BX101" s="170"/>
      <c r="BY101" s="170"/>
      <c r="BZ101" s="170"/>
      <c r="CA101" s="170"/>
      <c r="CB101" s="170"/>
      <c r="CC101" s="170"/>
      <c r="CD101" s="170"/>
      <c r="CE101" s="170"/>
      <c r="CF101" s="170"/>
      <c r="CG101" s="170"/>
      <c r="CH101" s="170"/>
      <c r="CI101" s="170"/>
      <c r="CJ101" s="170"/>
      <c r="CK101" s="170"/>
      <c r="CL101" s="170"/>
      <c r="CM101" s="170"/>
      <c r="CN101" s="170"/>
      <c r="CO101" s="170"/>
      <c r="CP101" s="170"/>
      <c r="CQ101" s="170"/>
      <c r="CR101" s="170"/>
      <c r="CS101" s="170"/>
      <c r="CT101" s="170"/>
      <c r="CU101" s="170"/>
      <c r="CV101" s="170"/>
      <c r="CW101" s="170"/>
      <c r="CX101" s="170"/>
      <c r="CY101" s="170"/>
      <c r="CZ101" s="170"/>
      <c r="DA101" s="170"/>
      <c r="DB101" s="78"/>
      <c r="DC101" s="78"/>
      <c r="DD101" s="78"/>
    </row>
    <row r="102" spans="2:142" ht="56" customHeight="1" thickBot="1" x14ac:dyDescent="0.3">
      <c r="B102" s="399"/>
      <c r="C102" s="399"/>
      <c r="D102" s="397"/>
      <c r="E102" s="397"/>
      <c r="F102" s="397"/>
      <c r="G102" s="998"/>
      <c r="H102"/>
      <c r="I102"/>
      <c r="J102"/>
      <c r="K102"/>
      <c r="L102"/>
      <c r="M102"/>
      <c r="N102"/>
      <c r="O102" s="995"/>
      <c r="U102" s="114"/>
      <c r="AB102" s="114"/>
      <c r="AC102" s="114"/>
      <c r="AD102" s="114"/>
      <c r="AE102" s="114"/>
      <c r="BE102" s="136"/>
      <c r="BF102" s="136"/>
      <c r="BG102" s="136"/>
      <c r="BH102" s="136"/>
      <c r="BN102" s="86"/>
      <c r="BO102" s="1095" t="s">
        <v>128</v>
      </c>
      <c r="BP102" s="172" t="s">
        <v>124</v>
      </c>
      <c r="BQ102" s="750" t="str">
        <f>IF(BQ100=1,17,"")</f>
        <v/>
      </c>
      <c r="BR102" s="751" t="str">
        <f>IF(BR100=2,16,"")</f>
        <v/>
      </c>
      <c r="BS102" s="751" t="str">
        <f>IF(BS100=3,15,"")</f>
        <v/>
      </c>
      <c r="BT102" s="751" t="str">
        <f>IF(BT100=4,14,"")</f>
        <v/>
      </c>
      <c r="BU102" s="751" t="str">
        <f>IF(BU100=5,13,"")</f>
        <v/>
      </c>
      <c r="BV102" s="751" t="str">
        <f>IF(BV100=6,12,"")</f>
        <v/>
      </c>
      <c r="BW102" s="751" t="str">
        <f>IF(BW100=7,11,"")</f>
        <v/>
      </c>
      <c r="BX102" s="751">
        <f>IF(BX100=8,10,"")</f>
        <v>10</v>
      </c>
      <c r="BY102" s="751" t="str">
        <f>IF(BY100=9,9,"")</f>
        <v/>
      </c>
      <c r="BZ102" s="751" t="str">
        <f>IF(BZ100=10,8,"")</f>
        <v/>
      </c>
      <c r="CA102" s="751" t="str">
        <f>IF(CA100=11,7,"")</f>
        <v/>
      </c>
      <c r="CB102" s="752" t="str">
        <f>IF(CB100=12,"6  ADS ","")</f>
        <v/>
      </c>
      <c r="CC102" s="751" t="str">
        <f>IF(CC100=13,5,"")</f>
        <v/>
      </c>
      <c r="CD102" s="751" t="str">
        <f>IF(CD100=14,4,"")</f>
        <v/>
      </c>
      <c r="CE102" s="751" t="str">
        <f>IF(CE100=15,3,"")</f>
        <v/>
      </c>
      <c r="CF102" s="751" t="str">
        <f>IF(CF100=16,2,"")</f>
        <v/>
      </c>
      <c r="CG102" s="751" t="str">
        <f>IF(CG100=17,1,"")</f>
        <v/>
      </c>
      <c r="CH102" s="173"/>
      <c r="CI102" s="174"/>
      <c r="CJ102" s="175"/>
      <c r="CK102" s="753" t="str">
        <f>IF(CK100=21,1,"")</f>
        <v/>
      </c>
      <c r="CL102" s="753" t="str">
        <f>IF(CL100=22,2,"")</f>
        <v/>
      </c>
      <c r="CM102" s="753" t="str">
        <f>IF(CM100=23,3,"")</f>
        <v/>
      </c>
      <c r="CN102" s="753" t="str">
        <f>IF(CN100=24,4,"")</f>
        <v/>
      </c>
      <c r="CO102" s="753" t="str">
        <f>IF(CO100=25,5,"")</f>
        <v/>
      </c>
      <c r="CP102" s="754" t="str">
        <f>IF(CP100=26,"6  ADS ","")</f>
        <v xml:space="preserve">6  ADS </v>
      </c>
      <c r="CQ102" s="753" t="str">
        <f>IF(CQ100=27,7,"")</f>
        <v/>
      </c>
      <c r="CR102" s="753" t="str">
        <f>IF(CR100=28,8,"")</f>
        <v/>
      </c>
      <c r="CS102" s="753" t="str">
        <f>IF(CS100=29,9,"")</f>
        <v/>
      </c>
      <c r="CT102" s="753" t="str">
        <f>IF(CT100=30,10,"")</f>
        <v/>
      </c>
      <c r="CU102" s="753" t="str">
        <f>IF(CU100=31,11,"")</f>
        <v/>
      </c>
      <c r="CV102" s="753" t="str">
        <f>IF(CV100=32,12,"")</f>
        <v/>
      </c>
      <c r="CW102" s="753" t="str">
        <f>IF(CW100=33,13,"")</f>
        <v/>
      </c>
      <c r="CX102" s="753" t="str">
        <f>IF(CX100=34,14,"")</f>
        <v/>
      </c>
      <c r="CY102" s="753" t="str">
        <f>IF(CY100=35,15,"")</f>
        <v/>
      </c>
      <c r="CZ102" s="753" t="str">
        <f>IF(CZ100=36,16,"")</f>
        <v/>
      </c>
      <c r="DA102" s="755" t="str">
        <f>IF(DA100=37,17,"")</f>
        <v/>
      </c>
      <c r="DB102" s="340"/>
      <c r="DC102" s="78"/>
      <c r="DD102" s="78"/>
    </row>
    <row r="103" spans="2:142" ht="45" customHeight="1" thickBot="1" x14ac:dyDescent="0.3">
      <c r="B103" s="399"/>
      <c r="C103" s="399"/>
      <c r="D103" s="397"/>
      <c r="E103" s="397"/>
      <c r="F103" s="397"/>
      <c r="G103" s="998"/>
      <c r="H103"/>
      <c r="I103"/>
      <c r="J103"/>
      <c r="K103"/>
      <c r="L103"/>
      <c r="M103"/>
      <c r="N103"/>
      <c r="O103" s="995"/>
      <c r="U103" s="114"/>
      <c r="AB103" s="114"/>
      <c r="AC103" s="114"/>
      <c r="AD103" s="114"/>
      <c r="AE103" s="114"/>
      <c r="BE103" s="136"/>
      <c r="BF103" s="136"/>
      <c r="BG103" s="136"/>
      <c r="BH103" s="136"/>
      <c r="BL103" s="968">
        <v>6</v>
      </c>
      <c r="BM103" s="1762" t="b">
        <f>AND(BO103&gt;=10,$BB$142&gt;=10,$BA$142&gt;=10,$BB$164&gt;=10,$BA$164&gt;=10,$BA$195&gt;=10,$BB$195&gt;=10)</f>
        <v>1</v>
      </c>
      <c r="BN103" s="84" t="str">
        <f>IF(BM103=TRUE,"O K","OVERLOAD")</f>
        <v>O K</v>
      </c>
      <c r="BO103" s="982">
        <f>SUM(I132:M132)</f>
        <v>71.492403932082212</v>
      </c>
      <c r="BP103" s="788" t="s">
        <v>185</v>
      </c>
      <c r="BQ103" s="789">
        <v>-10</v>
      </c>
      <c r="BR103" s="789">
        <v>-9</v>
      </c>
      <c r="BS103" s="789">
        <v>-8</v>
      </c>
      <c r="BT103" s="789">
        <v>-7</v>
      </c>
      <c r="BU103" s="789">
        <v>-6</v>
      </c>
      <c r="BV103" s="789">
        <v>-5</v>
      </c>
      <c r="BW103" s="789">
        <v>-4</v>
      </c>
      <c r="BX103" s="789">
        <v>-3</v>
      </c>
      <c r="BY103" s="789">
        <v>-2</v>
      </c>
      <c r="BZ103" s="789">
        <v>-1</v>
      </c>
      <c r="CA103" s="789">
        <v>0</v>
      </c>
      <c r="CB103" s="789">
        <v>1</v>
      </c>
      <c r="CC103" s="789">
        <v>2</v>
      </c>
      <c r="CD103" s="789">
        <v>3</v>
      </c>
      <c r="CE103" s="789">
        <v>4</v>
      </c>
      <c r="CF103" s="789">
        <v>5</v>
      </c>
      <c r="CG103" s="789">
        <v>6</v>
      </c>
      <c r="CH103" s="789">
        <v>7</v>
      </c>
      <c r="CI103" s="789">
        <v>8</v>
      </c>
      <c r="CJ103" s="789">
        <v>9</v>
      </c>
      <c r="CK103" s="789">
        <v>10</v>
      </c>
      <c r="CL103" s="789">
        <v>11</v>
      </c>
      <c r="CM103" s="789">
        <v>12</v>
      </c>
      <c r="CN103" s="789">
        <v>13</v>
      </c>
      <c r="CO103" s="789">
        <v>14</v>
      </c>
      <c r="CP103" s="789">
        <v>15</v>
      </c>
      <c r="CQ103" s="789">
        <v>16</v>
      </c>
      <c r="CR103" s="789">
        <v>17</v>
      </c>
      <c r="CS103" s="789">
        <v>18</v>
      </c>
      <c r="CT103" s="789">
        <v>19</v>
      </c>
      <c r="CU103" s="789">
        <v>20</v>
      </c>
      <c r="CV103" s="789">
        <v>21</v>
      </c>
      <c r="CW103" s="789">
        <v>22</v>
      </c>
      <c r="CX103" s="789">
        <v>23</v>
      </c>
      <c r="CY103" s="789">
        <v>24</v>
      </c>
      <c r="CZ103" s="789">
        <v>25</v>
      </c>
      <c r="DA103" s="791">
        <v>26</v>
      </c>
      <c r="DB103" s="78"/>
      <c r="DC103" s="78"/>
      <c r="DD103" s="78"/>
    </row>
    <row r="104" spans="2:142" ht="21" thickBot="1" x14ac:dyDescent="0.25">
      <c r="G104" s="998"/>
      <c r="H104"/>
      <c r="I104"/>
      <c r="J104"/>
      <c r="K104"/>
      <c r="L104"/>
      <c r="M104"/>
      <c r="N104"/>
      <c r="O104" s="995"/>
      <c r="BD104" s="136"/>
      <c r="BE104" s="136"/>
      <c r="BF104" s="136"/>
      <c r="BG104" s="136"/>
      <c r="BH104" s="136"/>
      <c r="BI104" s="136"/>
      <c r="BJ104" s="136"/>
      <c r="BK104" s="136"/>
      <c r="BL104" s="136"/>
      <c r="BM104" s="402"/>
      <c r="BN104" s="136"/>
      <c r="BP104" s="78"/>
      <c r="BQ104" s="199"/>
      <c r="BR104" s="199"/>
      <c r="BS104" s="199"/>
      <c r="BT104" s="199"/>
      <c r="BU104" s="199"/>
      <c r="BV104" s="199"/>
      <c r="BW104" s="199"/>
      <c r="BX104" s="199"/>
      <c r="BY104" s="199"/>
      <c r="BZ104" s="199"/>
      <c r="CA104" s="199"/>
      <c r="CB104" s="199"/>
      <c r="CC104" s="199"/>
      <c r="CD104" s="199"/>
      <c r="CE104" s="199"/>
      <c r="CF104" s="199"/>
      <c r="CG104" s="199"/>
      <c r="CH104" s="199"/>
      <c r="CI104" s="199"/>
      <c r="CJ104" s="199"/>
      <c r="CK104" s="199"/>
      <c r="CL104" s="199"/>
      <c r="CM104" s="199"/>
      <c r="CN104" s="199"/>
      <c r="CO104" s="199"/>
      <c r="CP104" s="199"/>
      <c r="CQ104" s="199"/>
      <c r="CR104" s="199"/>
      <c r="CS104" s="199"/>
      <c r="CT104" s="199"/>
      <c r="CU104" s="199"/>
      <c r="CV104" s="199"/>
      <c r="CW104" s="199"/>
      <c r="CX104" s="199"/>
      <c r="CY104" s="199"/>
      <c r="CZ104" s="199"/>
      <c r="DA104" s="199"/>
      <c r="DB104" s="199"/>
      <c r="DC104" s="78"/>
      <c r="DD104" s="78"/>
      <c r="EK104" s="78"/>
      <c r="EL104" s="78"/>
    </row>
    <row r="105" spans="2:142" ht="20" hidden="1" x14ac:dyDescent="0.2">
      <c r="G105" s="998"/>
      <c r="H105"/>
      <c r="I105"/>
      <c r="J105"/>
      <c r="K105"/>
      <c r="L105"/>
      <c r="M105"/>
      <c r="N105"/>
      <c r="O105" s="995"/>
      <c r="U105" s="212"/>
      <c r="V105" s="73"/>
      <c r="AB105" s="73"/>
      <c r="AC105" s="73"/>
      <c r="AD105" s="73"/>
      <c r="AE105" s="73"/>
      <c r="AF105" s="73"/>
      <c r="AG105" s="73"/>
      <c r="AH105" s="73"/>
      <c r="AI105" s="73"/>
      <c r="AJ105" s="73"/>
      <c r="AK105" s="73"/>
      <c r="AL105" s="73"/>
      <c r="AM105" s="73"/>
      <c r="AN105" s="73"/>
      <c r="AO105" s="73"/>
      <c r="AP105" s="73"/>
      <c r="AQ105" s="73"/>
      <c r="AR105" s="73"/>
      <c r="AS105" s="73"/>
      <c r="AT105" s="73"/>
      <c r="AU105" s="73"/>
      <c r="AV105" s="73"/>
      <c r="AW105" s="73"/>
      <c r="AX105" s="73"/>
      <c r="AY105" s="73"/>
      <c r="AZ105" s="73"/>
      <c r="BA105" s="73"/>
      <c r="BB105" s="73"/>
      <c r="BC105" s="126"/>
      <c r="BE105" s="136"/>
      <c r="BF105" s="136"/>
      <c r="BG105" s="136"/>
      <c r="BH105" s="136"/>
      <c r="BI105" s="136"/>
      <c r="BJ105" s="136"/>
      <c r="BK105" s="136"/>
      <c r="BL105" s="1579" t="s">
        <v>59</v>
      </c>
      <c r="BM105" s="402"/>
      <c r="BN105" s="136"/>
      <c r="BO105" s="1091"/>
      <c r="BP105" s="78"/>
      <c r="BQ105" s="199"/>
      <c r="BR105" s="199"/>
      <c r="BS105" s="199"/>
      <c r="BT105" s="199"/>
      <c r="BU105" s="199"/>
      <c r="BV105" s="199"/>
      <c r="BW105" s="199"/>
      <c r="BX105" s="199"/>
      <c r="BY105" s="199"/>
      <c r="BZ105" s="199"/>
      <c r="CA105" s="199"/>
      <c r="CB105" s="199"/>
      <c r="CC105" s="199"/>
      <c r="CD105" s="199"/>
      <c r="CE105" s="199"/>
      <c r="CF105" s="199"/>
      <c r="CG105" s="199"/>
      <c r="CH105" s="199"/>
      <c r="CI105" s="199"/>
      <c r="CJ105" s="199"/>
      <c r="CK105" s="199"/>
      <c r="CL105" s="199"/>
      <c r="CM105" s="199"/>
      <c r="CN105" s="199"/>
      <c r="CO105" s="199"/>
      <c r="CP105" s="199"/>
      <c r="CQ105" s="199"/>
      <c r="CR105" s="199"/>
      <c r="CS105" s="199"/>
      <c r="CT105" s="199"/>
      <c r="CU105" s="199"/>
      <c r="CV105" s="199"/>
      <c r="CW105" s="199"/>
      <c r="CX105" s="199"/>
      <c r="CY105" s="199"/>
      <c r="CZ105" s="199"/>
      <c r="DA105" s="199"/>
      <c r="DB105" s="199"/>
      <c r="DD105" s="1579" t="s">
        <v>58</v>
      </c>
    </row>
    <row r="106" spans="2:142" ht="20" hidden="1" x14ac:dyDescent="0.2">
      <c r="B106" s="330"/>
      <c r="C106" s="412"/>
      <c r="D106" s="37"/>
      <c r="E106" s="37"/>
      <c r="F106" s="37"/>
      <c r="G106" s="998"/>
      <c r="H106"/>
      <c r="I106"/>
      <c r="J106"/>
      <c r="K106"/>
      <c r="L106"/>
      <c r="M106"/>
      <c r="N106"/>
      <c r="O106" s="995"/>
      <c r="U106" s="212"/>
      <c r="V106" s="73"/>
      <c r="AB106" s="73"/>
      <c r="AC106" s="73"/>
      <c r="AD106" s="73"/>
      <c r="AE106" s="73"/>
      <c r="AF106" s="73"/>
      <c r="AG106" s="73"/>
      <c r="AH106" s="73"/>
      <c r="AI106" s="73"/>
      <c r="AJ106" s="73"/>
      <c r="AK106" s="73"/>
      <c r="AL106" s="73"/>
      <c r="AM106" s="73"/>
      <c r="AN106" s="73"/>
      <c r="AO106" s="73"/>
      <c r="AP106" s="73"/>
      <c r="AQ106" s="73"/>
      <c r="AR106" s="73"/>
      <c r="AS106" s="73"/>
      <c r="AT106" s="73"/>
      <c r="AU106" s="73"/>
      <c r="AV106" s="73"/>
      <c r="AW106" s="73"/>
      <c r="AX106" s="73"/>
      <c r="AY106" s="73"/>
      <c r="AZ106" s="73"/>
      <c r="BA106" s="73"/>
      <c r="BB106" s="73"/>
      <c r="BC106" s="126"/>
      <c r="BE106" s="136"/>
      <c r="BF106" s="136"/>
      <c r="BG106" s="136"/>
      <c r="BH106" s="136"/>
      <c r="BI106" s="136"/>
      <c r="BJ106" s="136"/>
      <c r="BK106" s="136"/>
      <c r="BL106" s="1579">
        <f>-+BI211</f>
        <v>695.4773579361057</v>
      </c>
      <c r="BM106" s="402"/>
      <c r="BN106" s="136"/>
      <c r="BO106" s="1091"/>
      <c r="BP106" s="78"/>
      <c r="BQ106" s="199"/>
      <c r="BR106" s="199"/>
      <c r="BS106" s="199"/>
      <c r="BT106" s="199"/>
      <c r="BU106" s="199"/>
      <c r="BV106" s="199"/>
      <c r="BW106" s="199"/>
      <c r="BX106" s="199"/>
      <c r="BY106" s="199"/>
      <c r="BZ106" s="199"/>
      <c r="CA106" s="199"/>
      <c r="CB106" s="199"/>
      <c r="CC106" s="199"/>
      <c r="CD106" s="199"/>
      <c r="CE106" s="199"/>
      <c r="CF106" s="199"/>
      <c r="CG106" s="199"/>
      <c r="CH106" s="199"/>
      <c r="CI106" s="199"/>
      <c r="CJ106" s="199"/>
      <c r="CK106" s="199"/>
      <c r="CL106" s="199"/>
      <c r="CM106" s="199"/>
      <c r="CN106" s="199"/>
      <c r="CO106" s="199"/>
      <c r="CP106" s="199"/>
      <c r="CQ106" s="199"/>
      <c r="CR106" s="199"/>
      <c r="CS106" s="199"/>
      <c r="CT106" s="199"/>
      <c r="CU106" s="199"/>
      <c r="CV106" s="199"/>
      <c r="CW106" s="199"/>
      <c r="CX106" s="199"/>
      <c r="CY106" s="199"/>
      <c r="CZ106" s="199"/>
      <c r="DA106" s="199"/>
      <c r="DB106" s="199"/>
      <c r="DD106" s="1579">
        <f>+-BI247</f>
        <v>-852.5226420638943</v>
      </c>
    </row>
    <row r="107" spans="2:142" ht="20" hidden="1" x14ac:dyDescent="0.2">
      <c r="B107" s="330"/>
      <c r="C107" s="412"/>
      <c r="D107" s="37"/>
      <c r="E107" s="37"/>
      <c r="F107" s="37"/>
      <c r="G107" s="998"/>
      <c r="H107"/>
      <c r="I107"/>
      <c r="J107"/>
      <c r="K107"/>
      <c r="L107"/>
      <c r="M107"/>
      <c r="N107"/>
      <c r="O107" s="995"/>
      <c r="U107" s="212"/>
      <c r="V107" s="73"/>
      <c r="AB107" s="73"/>
      <c r="AC107" s="73"/>
      <c r="AD107" s="73"/>
      <c r="AE107" s="73"/>
      <c r="AF107" s="73"/>
      <c r="AG107" s="73"/>
      <c r="AH107" s="73"/>
      <c r="AI107" s="73"/>
      <c r="AJ107" s="73"/>
      <c r="AK107" s="73"/>
      <c r="AL107" s="73"/>
      <c r="AM107" s="73"/>
      <c r="AN107" s="73"/>
      <c r="AO107" s="73"/>
      <c r="AP107" s="73"/>
      <c r="AQ107" s="73"/>
      <c r="AR107" s="73"/>
      <c r="AS107" s="73"/>
      <c r="AT107" s="73"/>
      <c r="AU107" s="73"/>
      <c r="AV107" s="73"/>
      <c r="AW107" s="73"/>
      <c r="AX107" s="73"/>
      <c r="AY107" s="73"/>
      <c r="AZ107" s="73"/>
      <c r="BA107" s="73"/>
      <c r="BB107" s="73"/>
      <c r="BC107" s="126"/>
      <c r="BE107" s="136"/>
      <c r="BF107" s="136"/>
      <c r="BG107" s="136"/>
      <c r="BH107" s="136"/>
      <c r="BI107" s="136"/>
      <c r="BJ107" s="136"/>
      <c r="BK107" s="136"/>
      <c r="BL107" s="136"/>
      <c r="BM107" s="402"/>
      <c r="BN107" s="136"/>
      <c r="BO107" s="1091"/>
      <c r="BP107" s="78"/>
      <c r="BQ107" s="199"/>
      <c r="BR107" s="199"/>
      <c r="BS107" s="199"/>
      <c r="BT107" s="199"/>
      <c r="BU107" s="199"/>
      <c r="BV107" s="199"/>
      <c r="BW107" s="199"/>
      <c r="BX107" s="199"/>
      <c r="BY107" s="199"/>
      <c r="BZ107" s="199"/>
      <c r="CA107" s="199"/>
      <c r="CB107" s="199"/>
      <c r="CC107" s="199"/>
      <c r="CD107" s="199"/>
      <c r="CE107" s="199"/>
      <c r="CF107" s="199"/>
      <c r="CG107" s="199"/>
      <c r="CH107" s="199"/>
      <c r="CI107" s="199"/>
      <c r="CJ107" s="199"/>
      <c r="CK107" s="199"/>
      <c r="CL107" s="199"/>
      <c r="CM107" s="199"/>
      <c r="CN107" s="199"/>
      <c r="CO107" s="199"/>
      <c r="CP107" s="199"/>
      <c r="CQ107" s="199"/>
      <c r="CR107" s="199"/>
      <c r="CS107" s="199"/>
      <c r="CT107" s="199"/>
      <c r="CU107" s="199"/>
      <c r="CV107" s="199"/>
      <c r="CW107" s="199"/>
      <c r="CX107" s="199"/>
      <c r="CY107" s="199"/>
      <c r="CZ107" s="199"/>
      <c r="DA107" s="199"/>
      <c r="DB107" s="199"/>
    </row>
    <row r="108" spans="2:142" ht="20" hidden="1" x14ac:dyDescent="0.2">
      <c r="B108" s="330"/>
      <c r="C108" s="412"/>
      <c r="D108" s="37"/>
      <c r="E108" s="37"/>
      <c r="F108" s="37"/>
      <c r="G108" s="998"/>
      <c r="H108"/>
      <c r="I108"/>
      <c r="J108"/>
      <c r="K108"/>
      <c r="L108"/>
      <c r="M108"/>
      <c r="N108"/>
      <c r="O108" s="995"/>
      <c r="U108" s="212"/>
      <c r="V108" s="73"/>
      <c r="AB108" s="73"/>
      <c r="AC108" s="73"/>
      <c r="AD108" s="73"/>
      <c r="AE108" s="73"/>
      <c r="AF108" s="73"/>
      <c r="AG108" s="73"/>
      <c r="AH108" s="73"/>
      <c r="AI108" s="73"/>
      <c r="AJ108" s="73"/>
      <c r="AK108" s="73"/>
      <c r="AL108" s="73"/>
      <c r="AM108" s="73"/>
      <c r="AN108" s="73"/>
      <c r="AO108" s="73"/>
      <c r="AP108" s="73"/>
      <c r="AQ108" s="73"/>
      <c r="AR108" s="73"/>
      <c r="AS108" s="73"/>
      <c r="AT108" s="73"/>
      <c r="AU108" s="73"/>
      <c r="AV108" s="73"/>
      <c r="AW108" s="73"/>
      <c r="AX108" s="73"/>
      <c r="AY108" s="73"/>
      <c r="AZ108" s="73"/>
      <c r="BA108" s="73"/>
      <c r="BB108" s="73"/>
      <c r="BC108" s="126"/>
      <c r="BE108" s="136"/>
      <c r="BF108" s="136"/>
      <c r="BG108" s="136"/>
      <c r="BH108" s="136"/>
      <c r="BI108" s="136"/>
      <c r="BJ108" s="136"/>
      <c r="BK108" s="136"/>
      <c r="BL108" s="136"/>
      <c r="BM108" s="402"/>
      <c r="BN108" s="136"/>
      <c r="BO108" s="1091"/>
      <c r="BP108" s="78"/>
      <c r="BQ108" s="199"/>
      <c r="BR108" s="199"/>
      <c r="BS108" s="199"/>
      <c r="BT108" s="199"/>
      <c r="BU108" s="199"/>
      <c r="BV108" s="199"/>
      <c r="BW108" s="199"/>
      <c r="BX108" s="199"/>
      <c r="BY108" s="199"/>
      <c r="BZ108" s="199"/>
      <c r="CA108" s="199"/>
      <c r="CB108" s="199"/>
      <c r="CC108" s="199"/>
      <c r="CD108" s="199"/>
      <c r="CE108" s="199"/>
      <c r="CF108" s="199"/>
      <c r="CG108" s="199"/>
      <c r="CH108" s="199"/>
      <c r="CI108" s="199"/>
      <c r="CJ108" s="199"/>
      <c r="CK108" s="199"/>
      <c r="CL108" s="199"/>
      <c r="CM108" s="199"/>
      <c r="CN108" s="199"/>
      <c r="CO108" s="199"/>
      <c r="CP108" s="199"/>
      <c r="CQ108" s="199"/>
      <c r="CR108" s="199"/>
      <c r="CS108" s="199"/>
      <c r="CT108" s="199"/>
      <c r="CU108" s="199"/>
      <c r="CV108" s="199"/>
      <c r="CW108" s="199"/>
      <c r="CX108" s="199"/>
      <c r="CY108" s="199"/>
      <c r="CZ108" s="199"/>
      <c r="DA108" s="199"/>
      <c r="DB108" s="199"/>
    </row>
    <row r="109" spans="2:142" ht="20" hidden="1" x14ac:dyDescent="0.2">
      <c r="B109" s="330"/>
      <c r="C109" s="412"/>
      <c r="D109" s="37"/>
      <c r="E109" s="37"/>
      <c r="F109" s="37"/>
      <c r="G109" s="998"/>
      <c r="H109"/>
      <c r="I109"/>
      <c r="J109"/>
      <c r="K109"/>
      <c r="L109"/>
      <c r="M109"/>
      <c r="N109"/>
      <c r="O109" s="995"/>
      <c r="U109" s="212"/>
      <c r="V109" s="73"/>
      <c r="AB109" s="73"/>
      <c r="AC109" s="73"/>
      <c r="AD109" s="73"/>
      <c r="AE109" s="73"/>
      <c r="AF109" s="73"/>
      <c r="AG109" s="73"/>
      <c r="AH109" s="73"/>
      <c r="AI109" s="73"/>
      <c r="AJ109" s="73"/>
      <c r="AK109" s="73"/>
      <c r="AL109" s="73"/>
      <c r="AM109" s="73"/>
      <c r="AN109" s="73"/>
      <c r="AO109" s="73"/>
      <c r="AP109" s="73"/>
      <c r="AQ109" s="73"/>
      <c r="AR109" s="73"/>
      <c r="AS109" s="73"/>
      <c r="AT109" s="73"/>
      <c r="AU109" s="73"/>
      <c r="AV109" s="73"/>
      <c r="AW109" s="73"/>
      <c r="AX109" s="73"/>
      <c r="AY109" s="73"/>
      <c r="AZ109" s="73"/>
      <c r="BA109" s="73"/>
      <c r="BB109" s="73"/>
      <c r="BC109" s="126"/>
      <c r="BE109" s="136"/>
      <c r="BF109" s="136"/>
      <c r="BG109" s="136"/>
      <c r="BH109" s="136"/>
      <c r="BI109" s="136"/>
      <c r="BJ109" s="136"/>
      <c r="BK109" s="136"/>
      <c r="BL109" s="136"/>
      <c r="BM109" s="402"/>
      <c r="BN109" s="136"/>
      <c r="BO109" s="1091"/>
      <c r="BP109" s="78"/>
      <c r="BQ109" s="199"/>
      <c r="BR109" s="199"/>
      <c r="BS109" s="199"/>
      <c r="BT109" s="199"/>
      <c r="BU109" s="199"/>
      <c r="BV109" s="199"/>
      <c r="BW109" s="199"/>
      <c r="BX109" s="199"/>
      <c r="BY109" s="199"/>
      <c r="BZ109" s="199"/>
      <c r="CA109" s="199"/>
      <c r="CB109" s="199"/>
      <c r="CC109" s="199"/>
      <c r="CD109" s="199"/>
      <c r="CE109" s="199"/>
      <c r="CF109" s="199"/>
      <c r="CG109" s="199"/>
      <c r="CH109" s="199"/>
      <c r="CI109" s="199"/>
      <c r="CJ109" s="199"/>
      <c r="CK109" s="199"/>
      <c r="CL109" s="199"/>
      <c r="CM109" s="199"/>
      <c r="CN109" s="199"/>
      <c r="CO109" s="199"/>
      <c r="CP109" s="199"/>
      <c r="CQ109" s="199"/>
      <c r="CR109" s="199"/>
      <c r="CS109" s="199"/>
      <c r="CT109" s="199"/>
      <c r="CU109" s="199"/>
      <c r="CV109" s="199"/>
      <c r="CW109" s="199"/>
      <c r="CX109" s="199"/>
      <c r="CY109" s="199"/>
      <c r="CZ109" s="199"/>
      <c r="DA109" s="199"/>
      <c r="DB109" s="199"/>
    </row>
    <row r="110" spans="2:142" ht="20" hidden="1" x14ac:dyDescent="0.2">
      <c r="B110" s="330"/>
      <c r="C110" s="412"/>
      <c r="D110" s="37"/>
      <c r="E110" s="37"/>
      <c r="F110" s="37"/>
      <c r="G110" s="998"/>
      <c r="H110"/>
      <c r="I110"/>
      <c r="J110"/>
      <c r="K110"/>
      <c r="L110"/>
      <c r="M110"/>
      <c r="N110"/>
      <c r="O110" s="995"/>
      <c r="U110" s="212"/>
      <c r="V110" s="73"/>
      <c r="AB110" s="73"/>
      <c r="AC110" s="73"/>
      <c r="AD110" s="73"/>
      <c r="AE110" s="73"/>
      <c r="AF110" s="73"/>
      <c r="AG110" s="73"/>
      <c r="AH110" s="73"/>
      <c r="AI110" s="73"/>
      <c r="AJ110" s="73"/>
      <c r="AK110" s="73"/>
      <c r="AL110" s="73"/>
      <c r="AM110" s="73"/>
      <c r="AN110" s="73"/>
      <c r="AO110" s="73"/>
      <c r="AP110" s="73"/>
      <c r="AQ110" s="73"/>
      <c r="AR110" s="73"/>
      <c r="AS110" s="73"/>
      <c r="AT110" s="73"/>
      <c r="AU110" s="73"/>
      <c r="AV110" s="73"/>
      <c r="AW110" s="73"/>
      <c r="AX110" s="73"/>
      <c r="AY110" s="73"/>
      <c r="AZ110" s="73"/>
      <c r="BA110" s="73"/>
      <c r="BB110" s="73"/>
      <c r="BC110" s="126"/>
      <c r="BE110" s="136"/>
      <c r="BF110" s="136"/>
      <c r="BG110" s="136"/>
      <c r="BH110" s="136"/>
      <c r="BI110" s="136"/>
      <c r="BJ110" s="136"/>
      <c r="BK110" s="136"/>
      <c r="BL110" s="136"/>
      <c r="BM110" s="402"/>
      <c r="BN110" s="136"/>
      <c r="BO110" s="1091"/>
      <c r="BP110" s="78"/>
      <c r="BQ110" s="199"/>
      <c r="BR110" s="199"/>
      <c r="BS110" s="199"/>
      <c r="BT110" s="199"/>
      <c r="BU110" s="199"/>
      <c r="BV110" s="199"/>
      <c r="BW110" s="199"/>
      <c r="BX110" s="199"/>
      <c r="BY110" s="199"/>
      <c r="BZ110" s="199"/>
      <c r="CA110" s="199"/>
      <c r="CB110" s="199"/>
      <c r="CC110" s="199"/>
      <c r="CD110" s="199"/>
      <c r="CE110" s="199"/>
      <c r="CF110" s="199"/>
      <c r="CG110" s="199"/>
      <c r="CH110" s="199"/>
      <c r="CI110" s="199"/>
      <c r="CJ110" s="199"/>
      <c r="CK110" s="199"/>
      <c r="CL110" s="199"/>
      <c r="CM110" s="199"/>
      <c r="CN110" s="199"/>
      <c r="CO110" s="199"/>
      <c r="CP110" s="199"/>
      <c r="CQ110" s="199"/>
      <c r="CR110" s="199"/>
      <c r="CS110" s="199"/>
      <c r="CT110" s="199"/>
      <c r="CU110" s="199"/>
      <c r="CV110" s="199"/>
      <c r="CW110" s="199"/>
      <c r="CX110" s="199"/>
      <c r="CY110" s="199"/>
      <c r="CZ110" s="199"/>
      <c r="DA110" s="199"/>
      <c r="DB110" s="199"/>
    </row>
    <row r="111" spans="2:142" ht="20" hidden="1" x14ac:dyDescent="0.2">
      <c r="B111" s="330"/>
      <c r="C111" s="412"/>
      <c r="D111" s="37"/>
      <c r="E111" s="37"/>
      <c r="F111" s="37"/>
      <c r="G111" s="998"/>
      <c r="H111"/>
      <c r="I111"/>
      <c r="J111"/>
      <c r="K111"/>
      <c r="L111"/>
      <c r="M111"/>
      <c r="N111"/>
      <c r="O111" s="995"/>
      <c r="U111" s="212"/>
      <c r="V111" s="73"/>
      <c r="AB111" s="73"/>
      <c r="AC111" s="73"/>
      <c r="AD111" s="73"/>
      <c r="AE111" s="73"/>
      <c r="AF111" s="73"/>
      <c r="AG111" s="73"/>
      <c r="AH111" s="73"/>
      <c r="AI111" s="73"/>
      <c r="AJ111" s="73"/>
      <c r="AK111" s="73"/>
      <c r="AL111" s="73"/>
      <c r="AM111" s="73"/>
      <c r="AN111" s="73"/>
      <c r="AO111" s="73"/>
      <c r="AP111" s="73"/>
      <c r="AQ111" s="73"/>
      <c r="AR111" s="73"/>
      <c r="AS111" s="73"/>
      <c r="AT111" s="73"/>
      <c r="AU111" s="73"/>
      <c r="AV111" s="73"/>
      <c r="AW111" s="73"/>
      <c r="AX111" s="73"/>
      <c r="AY111" s="73"/>
      <c r="AZ111" s="73"/>
      <c r="BA111" s="73"/>
      <c r="BB111" s="73"/>
      <c r="BC111" s="126"/>
      <c r="BE111" s="136"/>
      <c r="BF111" s="136"/>
      <c r="BG111" s="136"/>
      <c r="BH111" s="136"/>
      <c r="BI111" s="136"/>
      <c r="BJ111" s="136"/>
      <c r="BK111" s="136"/>
      <c r="BL111" s="136"/>
      <c r="BM111" s="402"/>
      <c r="BN111" s="136"/>
      <c r="BO111" s="1091"/>
      <c r="BP111" s="78"/>
      <c r="BQ111" s="199"/>
      <c r="BR111" s="199"/>
      <c r="BS111" s="199"/>
      <c r="BT111" s="199"/>
      <c r="BU111" s="199"/>
      <c r="BV111" s="199"/>
      <c r="BW111" s="199"/>
      <c r="BX111" s="199"/>
      <c r="BY111" s="199"/>
      <c r="BZ111" s="199"/>
      <c r="CA111" s="199"/>
      <c r="CB111" s="199"/>
      <c r="CC111" s="199"/>
      <c r="CD111" s="199"/>
      <c r="CE111" s="199"/>
      <c r="CF111" s="199"/>
      <c r="CG111" s="199"/>
      <c r="CH111" s="199"/>
      <c r="CI111" s="199"/>
      <c r="CJ111" s="199"/>
      <c r="CK111" s="199"/>
      <c r="CL111" s="199"/>
      <c r="CM111" s="199"/>
      <c r="CN111" s="199"/>
      <c r="CO111" s="199"/>
      <c r="CP111" s="199"/>
      <c r="CQ111" s="199"/>
      <c r="CR111" s="199"/>
      <c r="CS111" s="199"/>
      <c r="CT111" s="199"/>
      <c r="CU111" s="199"/>
      <c r="CV111" s="199"/>
      <c r="CW111" s="199"/>
      <c r="CX111" s="199"/>
      <c r="CY111" s="199"/>
      <c r="CZ111" s="199"/>
      <c r="DA111" s="199"/>
      <c r="DB111" s="199"/>
    </row>
    <row r="112" spans="2:142" ht="20" hidden="1" x14ac:dyDescent="0.2">
      <c r="B112" s="330"/>
      <c r="C112" s="412"/>
      <c r="D112" s="37"/>
      <c r="E112" s="37"/>
      <c r="F112" s="37"/>
      <c r="G112" s="998"/>
      <c r="H112"/>
      <c r="I112"/>
      <c r="J112"/>
      <c r="K112"/>
      <c r="L112"/>
      <c r="M112"/>
      <c r="N112"/>
      <c r="O112" s="995"/>
      <c r="U112" s="212"/>
      <c r="V112" s="73"/>
      <c r="AB112" s="73"/>
      <c r="AC112" s="73"/>
      <c r="AD112" s="73"/>
      <c r="AE112" s="73"/>
      <c r="AF112" s="73"/>
      <c r="AG112" s="73"/>
      <c r="AH112" s="73"/>
      <c r="AI112" s="73"/>
      <c r="AJ112" s="73"/>
      <c r="AK112" s="73"/>
      <c r="AL112" s="73"/>
      <c r="AM112" s="73"/>
      <c r="AN112" s="73"/>
      <c r="AO112" s="73"/>
      <c r="AP112" s="73"/>
      <c r="AQ112" s="73"/>
      <c r="AR112" s="73"/>
      <c r="AS112" s="73"/>
      <c r="AT112" s="73"/>
      <c r="AU112" s="73"/>
      <c r="AV112" s="73"/>
      <c r="AW112" s="73"/>
      <c r="AX112" s="73"/>
      <c r="AY112" s="73"/>
      <c r="AZ112" s="73"/>
      <c r="BA112" s="73"/>
      <c r="BB112" s="73"/>
      <c r="BC112" s="126"/>
      <c r="BE112" s="136"/>
      <c r="BF112" s="136"/>
      <c r="BG112" s="136"/>
      <c r="BH112" s="136"/>
      <c r="BI112" s="136"/>
      <c r="BJ112" s="136"/>
      <c r="BK112" s="136"/>
      <c r="BL112" s="136"/>
      <c r="BM112" s="402"/>
      <c r="BN112" s="136"/>
      <c r="BO112" s="1091"/>
      <c r="BP112" s="78"/>
      <c r="BQ112" s="199"/>
      <c r="BR112" s="199"/>
      <c r="BS112" s="199"/>
      <c r="BT112" s="199"/>
      <c r="BU112" s="199"/>
      <c r="BV112" s="199"/>
      <c r="BW112" s="199"/>
      <c r="BX112" s="199"/>
      <c r="BY112" s="199"/>
      <c r="BZ112" s="199"/>
      <c r="CA112" s="199"/>
      <c r="CB112" s="199"/>
      <c r="CC112" s="199"/>
      <c r="CD112" s="199"/>
      <c r="CE112" s="199"/>
      <c r="CF112" s="199"/>
      <c r="CG112" s="199"/>
      <c r="CH112" s="199"/>
      <c r="CI112" s="199"/>
      <c r="CJ112" s="199"/>
      <c r="CK112" s="199"/>
      <c r="CL112" s="199"/>
      <c r="CM112" s="199"/>
      <c r="CN112" s="199"/>
      <c r="CO112" s="199"/>
      <c r="CP112" s="199"/>
      <c r="CQ112" s="199"/>
      <c r="CR112" s="199"/>
      <c r="CS112" s="199"/>
      <c r="CT112" s="199"/>
      <c r="CU112" s="199"/>
      <c r="CV112" s="199"/>
      <c r="CW112" s="199"/>
      <c r="CX112" s="199"/>
      <c r="CY112" s="199"/>
      <c r="CZ112" s="199"/>
      <c r="DA112" s="199"/>
      <c r="DB112" s="199"/>
    </row>
    <row r="113" spans="2:106" ht="20" hidden="1" x14ac:dyDescent="0.2">
      <c r="B113" s="330"/>
      <c r="C113" s="412"/>
      <c r="D113" s="37"/>
      <c r="E113" s="37"/>
      <c r="F113" s="37"/>
      <c r="G113" s="998"/>
      <c r="H113"/>
      <c r="I113"/>
      <c r="J113"/>
      <c r="K113"/>
      <c r="L113"/>
      <c r="M113"/>
      <c r="N113"/>
      <c r="O113" s="995"/>
      <c r="U113" s="212"/>
      <c r="V113" s="73"/>
      <c r="AB113" s="73"/>
      <c r="AC113" s="73"/>
      <c r="AD113" s="73"/>
      <c r="AE113" s="73"/>
      <c r="AF113" s="73"/>
      <c r="AG113" s="73"/>
      <c r="AH113" s="73"/>
      <c r="AI113" s="73"/>
      <c r="AJ113" s="73"/>
      <c r="AK113" s="73"/>
      <c r="AL113" s="73"/>
      <c r="AM113" s="73"/>
      <c r="AN113" s="73"/>
      <c r="AO113" s="73"/>
      <c r="AP113" s="73"/>
      <c r="AQ113" s="73"/>
      <c r="AR113" s="73"/>
      <c r="AS113" s="73"/>
      <c r="AT113" s="73"/>
      <c r="AU113" s="73"/>
      <c r="AV113" s="73"/>
      <c r="AW113" s="73"/>
      <c r="AX113" s="73"/>
      <c r="AY113" s="73"/>
      <c r="AZ113" s="73"/>
      <c r="BA113" s="73"/>
      <c r="BB113" s="73"/>
      <c r="BC113" s="126"/>
      <c r="BE113" s="136"/>
      <c r="BF113" s="136"/>
      <c r="BG113" s="136"/>
      <c r="BH113" s="136"/>
      <c r="BI113" s="136"/>
      <c r="BJ113" s="136"/>
      <c r="BK113" s="136"/>
      <c r="BL113" s="136"/>
      <c r="BM113" s="402"/>
      <c r="BN113" s="136"/>
      <c r="BO113" s="1091"/>
      <c r="BP113" s="78"/>
      <c r="BQ113" s="199"/>
      <c r="BR113" s="199"/>
      <c r="BS113" s="199"/>
      <c r="BT113" s="199"/>
      <c r="BU113" s="199"/>
      <c r="BV113" s="199"/>
      <c r="BW113" s="199"/>
      <c r="BX113" s="199"/>
      <c r="BY113" s="199"/>
      <c r="BZ113" s="199"/>
      <c r="CA113" s="199"/>
      <c r="CB113" s="199"/>
      <c r="CC113" s="199"/>
      <c r="CD113" s="199"/>
      <c r="CE113" s="199"/>
      <c r="CF113" s="199"/>
      <c r="CG113" s="199"/>
      <c r="CH113" s="199"/>
      <c r="CI113" s="199"/>
      <c r="CJ113" s="199"/>
      <c r="CK113" s="199"/>
      <c r="CL113" s="199"/>
      <c r="CM113" s="199"/>
      <c r="CN113" s="199"/>
      <c r="CO113" s="199"/>
      <c r="CP113" s="199"/>
      <c r="CQ113" s="199"/>
      <c r="CR113" s="199"/>
      <c r="CS113" s="199"/>
      <c r="CT113" s="199"/>
      <c r="CU113" s="199"/>
      <c r="CV113" s="199"/>
      <c r="CW113" s="199"/>
      <c r="CX113" s="199"/>
      <c r="CY113" s="199"/>
      <c r="CZ113" s="199"/>
      <c r="DA113" s="199"/>
      <c r="DB113" s="199"/>
    </row>
    <row r="114" spans="2:106" ht="20" hidden="1" x14ac:dyDescent="0.2">
      <c r="B114" s="330"/>
      <c r="C114" s="412"/>
      <c r="D114" s="37"/>
      <c r="E114" s="37"/>
      <c r="F114" s="37"/>
      <c r="G114" s="998"/>
      <c r="H114"/>
      <c r="I114"/>
      <c r="J114"/>
      <c r="K114"/>
      <c r="L114"/>
      <c r="M114"/>
      <c r="N114"/>
      <c r="O114" s="995"/>
      <c r="U114" s="212"/>
      <c r="V114" s="73"/>
      <c r="AB114" s="73"/>
      <c r="AC114" s="73"/>
      <c r="AD114" s="73"/>
      <c r="AE114" s="73"/>
      <c r="AF114" s="73"/>
      <c r="AG114" s="73"/>
      <c r="AH114" s="73"/>
      <c r="AI114" s="73"/>
      <c r="AJ114" s="73"/>
      <c r="AK114" s="73"/>
      <c r="AL114" s="73"/>
      <c r="AM114" s="73"/>
      <c r="AN114" s="73"/>
      <c r="AO114" s="73"/>
      <c r="AP114" s="73"/>
      <c r="AQ114" s="73"/>
      <c r="AR114" s="73"/>
      <c r="AS114" s="73"/>
      <c r="AT114" s="73"/>
      <c r="AU114" s="73"/>
      <c r="AV114" s="73"/>
      <c r="AW114" s="73"/>
      <c r="AX114" s="73"/>
      <c r="AY114" s="73"/>
      <c r="AZ114" s="73"/>
      <c r="BA114" s="73"/>
      <c r="BB114" s="73"/>
      <c r="BC114" s="126"/>
      <c r="BE114" s="136"/>
      <c r="BF114" s="136"/>
      <c r="BG114" s="136"/>
      <c r="BH114" s="136"/>
      <c r="BI114" s="136"/>
      <c r="BJ114" s="136"/>
      <c r="BK114" s="136"/>
      <c r="BL114" s="136"/>
      <c r="BM114" s="402"/>
      <c r="BN114" s="136"/>
      <c r="BO114" s="1091"/>
      <c r="BP114" s="78"/>
      <c r="BQ114" s="199"/>
      <c r="BR114" s="199"/>
      <c r="BS114" s="199"/>
      <c r="BT114" s="199"/>
      <c r="BU114" s="199"/>
      <c r="BV114" s="199"/>
      <c r="BW114" s="199"/>
      <c r="BX114" s="199"/>
      <c r="BY114" s="199"/>
      <c r="BZ114" s="199"/>
      <c r="CA114" s="199"/>
      <c r="CB114" s="199"/>
      <c r="CC114" s="199"/>
      <c r="CD114" s="199"/>
      <c r="CE114" s="199"/>
      <c r="CF114" s="199"/>
      <c r="CG114" s="199"/>
      <c r="CH114" s="199"/>
      <c r="CI114" s="199"/>
      <c r="CJ114" s="199"/>
      <c r="CK114" s="199"/>
      <c r="CL114" s="199"/>
      <c r="CM114" s="199"/>
      <c r="CN114" s="199"/>
      <c r="CO114" s="199"/>
      <c r="CP114" s="199"/>
      <c r="CQ114" s="199"/>
      <c r="CR114" s="199"/>
      <c r="CS114" s="199"/>
      <c r="CT114" s="199"/>
      <c r="CU114" s="199"/>
      <c r="CV114" s="199"/>
      <c r="CW114" s="199"/>
      <c r="CX114" s="199"/>
      <c r="CY114" s="199"/>
      <c r="CZ114" s="199"/>
      <c r="DA114" s="199"/>
      <c r="DB114" s="199"/>
    </row>
    <row r="115" spans="2:106" ht="20" hidden="1" x14ac:dyDescent="0.2">
      <c r="B115" s="330"/>
      <c r="C115" s="412"/>
      <c r="D115" s="37"/>
      <c r="E115" s="37"/>
      <c r="F115" s="37"/>
      <c r="G115" s="998"/>
      <c r="H115"/>
      <c r="I115"/>
      <c r="J115"/>
      <c r="K115"/>
      <c r="L115"/>
      <c r="M115"/>
      <c r="N115"/>
      <c r="O115" s="995"/>
      <c r="U115" s="212"/>
      <c r="V115" s="73"/>
      <c r="AB115" s="73"/>
      <c r="AC115" s="73"/>
      <c r="AD115" s="73"/>
      <c r="AE115" s="73"/>
      <c r="AF115" s="73"/>
      <c r="AG115" s="73"/>
      <c r="AH115" s="73"/>
      <c r="AI115" s="73"/>
      <c r="AJ115" s="73"/>
      <c r="AK115" s="73"/>
      <c r="AL115" s="73"/>
      <c r="AM115" s="73"/>
      <c r="AN115" s="73"/>
      <c r="AO115" s="73"/>
      <c r="AP115" s="73"/>
      <c r="AQ115" s="73"/>
      <c r="AR115" s="73"/>
      <c r="AS115" s="73"/>
      <c r="AT115" s="73"/>
      <c r="AU115" s="73"/>
      <c r="AV115" s="73"/>
      <c r="AW115" s="73"/>
      <c r="AX115" s="73"/>
      <c r="AY115" s="73"/>
      <c r="AZ115" s="73"/>
      <c r="BA115" s="73"/>
      <c r="BB115" s="73"/>
      <c r="BC115" s="126"/>
      <c r="BE115" s="136"/>
      <c r="BF115" s="136"/>
      <c r="BG115" s="136"/>
      <c r="BH115" s="136"/>
      <c r="BI115" s="136"/>
      <c r="BJ115" s="136"/>
      <c r="BK115" s="136"/>
      <c r="BL115" s="136"/>
      <c r="BM115" s="402"/>
      <c r="BN115" s="136"/>
      <c r="BO115" s="1091"/>
      <c r="BP115" s="78"/>
      <c r="BQ115" s="199"/>
      <c r="BR115" s="199"/>
      <c r="BS115" s="199"/>
      <c r="BT115" s="199"/>
      <c r="BU115" s="199"/>
      <c r="BV115" s="199"/>
      <c r="BW115" s="199"/>
      <c r="BX115" s="199"/>
      <c r="BY115" s="199"/>
      <c r="BZ115" s="199"/>
      <c r="CA115" s="199"/>
      <c r="CB115" s="199"/>
      <c r="CC115" s="199"/>
      <c r="CD115" s="199"/>
      <c r="CE115" s="199"/>
      <c r="CF115" s="199"/>
      <c r="CG115" s="199"/>
      <c r="CH115" s="199"/>
      <c r="CI115" s="199"/>
      <c r="CJ115" s="199"/>
      <c r="CK115" s="199"/>
      <c r="CL115" s="199"/>
      <c r="CM115" s="199"/>
      <c r="CN115" s="199"/>
      <c r="CO115" s="199"/>
      <c r="CP115" s="199"/>
      <c r="CQ115" s="199"/>
      <c r="CR115" s="199"/>
      <c r="CS115" s="199"/>
      <c r="CT115" s="199"/>
      <c r="CU115" s="199"/>
      <c r="CV115" s="199"/>
      <c r="CW115" s="199"/>
      <c r="CX115" s="199"/>
      <c r="CY115" s="199"/>
      <c r="CZ115" s="199"/>
      <c r="DA115" s="199"/>
      <c r="DB115" s="199"/>
    </row>
    <row r="116" spans="2:106" ht="20" hidden="1" x14ac:dyDescent="0.2">
      <c r="B116" s="330"/>
      <c r="C116" s="412"/>
      <c r="D116" s="37"/>
      <c r="E116" s="37"/>
      <c r="F116" s="37"/>
      <c r="G116" s="998"/>
      <c r="H116"/>
      <c r="I116"/>
      <c r="J116"/>
      <c r="K116"/>
      <c r="L116"/>
      <c r="M116"/>
      <c r="N116"/>
      <c r="O116" s="995"/>
      <c r="U116" s="212"/>
      <c r="V116" s="73"/>
      <c r="AB116" s="73"/>
      <c r="AC116" s="73"/>
      <c r="AD116" s="73"/>
      <c r="AE116" s="73"/>
      <c r="AF116" s="73"/>
      <c r="AG116" s="73"/>
      <c r="AH116" s="73"/>
      <c r="AI116" s="73"/>
      <c r="AJ116" s="73"/>
      <c r="AK116" s="73"/>
      <c r="AL116" s="73"/>
      <c r="AM116" s="73"/>
      <c r="AN116" s="73"/>
      <c r="AO116" s="73"/>
      <c r="AP116" s="73"/>
      <c r="AQ116" s="73"/>
      <c r="AR116" s="73"/>
      <c r="AS116" s="73"/>
      <c r="AT116" s="73"/>
      <c r="AU116" s="73"/>
      <c r="AV116" s="73"/>
      <c r="AW116" s="73"/>
      <c r="AX116" s="73"/>
      <c r="AY116" s="73"/>
      <c r="AZ116" s="73"/>
      <c r="BA116" s="73"/>
      <c r="BB116" s="73"/>
      <c r="BC116" s="126"/>
      <c r="BE116" s="136"/>
      <c r="BF116" s="136"/>
      <c r="BG116" s="136"/>
      <c r="BH116" s="136"/>
      <c r="BI116" s="136"/>
      <c r="BJ116" s="136"/>
      <c r="BK116" s="136"/>
      <c r="BL116" s="136"/>
      <c r="BM116" s="402"/>
      <c r="BN116" s="136"/>
      <c r="BO116" s="1091"/>
      <c r="BP116" s="78"/>
      <c r="BQ116" s="199"/>
      <c r="BR116" s="199"/>
      <c r="BS116" s="199"/>
      <c r="BT116" s="199"/>
      <c r="BU116" s="199"/>
      <c r="BV116" s="199"/>
      <c r="BW116" s="199"/>
      <c r="BX116" s="199"/>
      <c r="BY116" s="199"/>
      <c r="BZ116" s="199"/>
      <c r="CA116" s="199"/>
      <c r="CB116" s="199"/>
      <c r="CC116" s="199"/>
      <c r="CD116" s="199"/>
      <c r="CE116" s="199"/>
      <c r="CF116" s="199"/>
      <c r="CG116" s="199"/>
      <c r="CH116" s="199"/>
      <c r="CI116" s="199"/>
      <c r="CJ116" s="199"/>
      <c r="CK116" s="199"/>
      <c r="CL116" s="199"/>
      <c r="CM116" s="199"/>
      <c r="CN116" s="199"/>
      <c r="CO116" s="199"/>
      <c r="CP116" s="199"/>
      <c r="CQ116" s="199"/>
      <c r="CR116" s="199"/>
      <c r="CS116" s="199"/>
      <c r="CT116" s="199"/>
      <c r="CU116" s="199"/>
      <c r="CV116" s="199"/>
      <c r="CW116" s="199"/>
      <c r="CX116" s="199"/>
      <c r="CY116" s="199"/>
      <c r="CZ116" s="199"/>
      <c r="DA116" s="199"/>
      <c r="DB116" s="199"/>
    </row>
    <row r="117" spans="2:106" ht="20" hidden="1" x14ac:dyDescent="0.2">
      <c r="B117" s="330"/>
      <c r="C117" s="412"/>
      <c r="D117" s="37"/>
      <c r="E117" s="37"/>
      <c r="F117" s="37"/>
      <c r="G117" s="998"/>
      <c r="H117"/>
      <c r="I117"/>
      <c r="J117"/>
      <c r="K117"/>
      <c r="L117"/>
      <c r="M117"/>
      <c r="N117"/>
      <c r="O117" s="995"/>
      <c r="U117" s="212"/>
      <c r="V117" s="73"/>
      <c r="AB117" s="73"/>
      <c r="AC117" s="73"/>
      <c r="AD117" s="73"/>
      <c r="AE117" s="73"/>
      <c r="AF117" s="73"/>
      <c r="AG117" s="73"/>
      <c r="AH117" s="73"/>
      <c r="AI117" s="73"/>
      <c r="AJ117" s="73"/>
      <c r="AK117" s="73"/>
      <c r="AL117" s="73"/>
      <c r="AM117" s="73"/>
      <c r="AN117" s="73"/>
      <c r="AO117" s="73"/>
      <c r="AP117" s="73"/>
      <c r="AQ117" s="73"/>
      <c r="AR117" s="73"/>
      <c r="AS117" s="73"/>
      <c r="AT117" s="73"/>
      <c r="AU117" s="73"/>
      <c r="AV117" s="73"/>
      <c r="AW117" s="73"/>
      <c r="AX117" s="73"/>
      <c r="AY117" s="73"/>
      <c r="AZ117" s="73"/>
      <c r="BA117" s="73"/>
      <c r="BB117" s="73"/>
      <c r="BC117" s="126"/>
      <c r="BE117" s="136"/>
      <c r="BF117" s="136"/>
      <c r="BG117" s="136"/>
      <c r="BH117" s="136"/>
      <c r="BI117" s="136"/>
      <c r="BJ117" s="136"/>
      <c r="BK117" s="136"/>
      <c r="BL117" s="136"/>
      <c r="BM117" s="402"/>
      <c r="BN117" s="136"/>
      <c r="BO117" s="1091"/>
      <c r="BP117" s="78"/>
      <c r="BQ117" s="199"/>
      <c r="BR117" s="199"/>
      <c r="BS117" s="199"/>
      <c r="BT117" s="199"/>
      <c r="BU117" s="199"/>
      <c r="BV117" s="199"/>
      <c r="BW117" s="199"/>
      <c r="BX117" s="199"/>
      <c r="BY117" s="199"/>
      <c r="BZ117" s="199"/>
      <c r="CA117" s="199"/>
      <c r="CB117" s="199"/>
      <c r="CC117" s="199"/>
      <c r="CD117" s="199"/>
      <c r="CE117" s="199"/>
      <c r="CF117" s="199"/>
      <c r="CG117" s="199"/>
      <c r="CH117" s="199"/>
      <c r="CI117" s="199"/>
      <c r="CJ117" s="199"/>
      <c r="CK117" s="199"/>
      <c r="CL117" s="199"/>
      <c r="CM117" s="199"/>
      <c r="CN117" s="199"/>
      <c r="CO117" s="199"/>
      <c r="CP117" s="199"/>
      <c r="CQ117" s="199"/>
      <c r="CR117" s="199"/>
      <c r="CS117" s="199"/>
      <c r="CT117" s="199"/>
      <c r="CU117" s="199"/>
      <c r="CV117" s="199"/>
      <c r="CW117" s="199"/>
      <c r="CX117" s="199"/>
      <c r="CY117" s="199"/>
      <c r="CZ117" s="199"/>
      <c r="DA117" s="199"/>
      <c r="DB117" s="199"/>
    </row>
    <row r="118" spans="2:106" ht="20" hidden="1" x14ac:dyDescent="0.2">
      <c r="B118" s="330"/>
      <c r="C118" s="412"/>
      <c r="D118" s="37"/>
      <c r="E118" s="37"/>
      <c r="F118" s="37"/>
      <c r="G118" s="998"/>
      <c r="H118"/>
      <c r="I118"/>
      <c r="J118"/>
      <c r="K118"/>
      <c r="L118"/>
      <c r="M118"/>
      <c r="N118"/>
      <c r="O118" s="995"/>
      <c r="U118" s="212"/>
      <c r="V118" s="73"/>
      <c r="AB118" s="73"/>
      <c r="AC118" s="73"/>
      <c r="AD118" s="73"/>
      <c r="AE118" s="73"/>
      <c r="AF118" s="73"/>
      <c r="AG118" s="73"/>
      <c r="AH118" s="73"/>
      <c r="AI118" s="73"/>
      <c r="AJ118" s="73"/>
      <c r="AK118" s="73"/>
      <c r="AL118" s="73"/>
      <c r="AM118" s="73"/>
      <c r="AN118" s="73"/>
      <c r="AO118" s="73"/>
      <c r="AP118" s="73"/>
      <c r="AQ118" s="73"/>
      <c r="AR118" s="73"/>
      <c r="AS118" s="73"/>
      <c r="AT118" s="73"/>
      <c r="AU118" s="73"/>
      <c r="AV118" s="73"/>
      <c r="AW118" s="73"/>
      <c r="AX118" s="73"/>
      <c r="AY118" s="73"/>
      <c r="AZ118" s="73"/>
      <c r="BA118" s="73"/>
      <c r="BB118" s="73"/>
      <c r="BC118" s="126"/>
      <c r="BE118" s="136"/>
      <c r="BF118" s="136"/>
      <c r="BG118" s="136"/>
      <c r="BH118" s="136"/>
      <c r="BI118" s="136"/>
      <c r="BJ118" s="136"/>
      <c r="BK118" s="136"/>
      <c r="BL118" s="136"/>
      <c r="BM118" s="402"/>
      <c r="BN118" s="136"/>
      <c r="BO118" s="1091"/>
      <c r="BP118" s="78"/>
      <c r="BQ118" s="199"/>
      <c r="BR118" s="199"/>
      <c r="BS118" s="199"/>
      <c r="BT118" s="199"/>
      <c r="BU118" s="199"/>
      <c r="BV118" s="199"/>
      <c r="BW118" s="199"/>
      <c r="BX118" s="199"/>
      <c r="BY118" s="199"/>
      <c r="BZ118" s="199"/>
      <c r="CA118" s="199"/>
      <c r="CB118" s="199"/>
      <c r="CC118" s="199"/>
      <c r="CD118" s="199"/>
      <c r="CE118" s="199"/>
      <c r="CF118" s="199"/>
      <c r="CG118" s="199"/>
      <c r="CH118" s="199"/>
      <c r="CI118" s="199"/>
      <c r="CJ118" s="199"/>
      <c r="CK118" s="199"/>
      <c r="CL118" s="199"/>
      <c r="CM118" s="199"/>
      <c r="CN118" s="199"/>
      <c r="CO118" s="199"/>
      <c r="CP118" s="199"/>
      <c r="CQ118" s="199"/>
      <c r="CR118" s="199"/>
      <c r="CS118" s="199"/>
      <c r="CT118" s="199"/>
      <c r="CU118" s="199"/>
      <c r="CV118" s="199"/>
      <c r="CW118" s="199"/>
      <c r="CX118" s="199"/>
      <c r="CY118" s="199"/>
      <c r="CZ118" s="199"/>
      <c r="DA118" s="199"/>
      <c r="DB118" s="199"/>
    </row>
    <row r="119" spans="2:106" ht="20" hidden="1" x14ac:dyDescent="0.2">
      <c r="B119" s="330"/>
      <c r="C119" s="412"/>
      <c r="D119" s="37"/>
      <c r="E119" s="37"/>
      <c r="F119" s="37"/>
      <c r="G119" s="998"/>
      <c r="H119"/>
      <c r="I119"/>
      <c r="J119"/>
      <c r="K119"/>
      <c r="L119"/>
      <c r="M119"/>
      <c r="N119"/>
      <c r="O119" s="995"/>
      <c r="U119" s="212"/>
      <c r="V119" s="73"/>
      <c r="AB119" s="73"/>
      <c r="AC119" s="73"/>
      <c r="AD119" s="73"/>
      <c r="AE119" s="73"/>
      <c r="AF119" s="73"/>
      <c r="AG119" s="73"/>
      <c r="AH119" s="73"/>
      <c r="AI119" s="73"/>
      <c r="AJ119" s="73"/>
      <c r="AK119" s="73"/>
      <c r="AL119" s="73"/>
      <c r="AM119" s="73"/>
      <c r="AN119" s="73"/>
      <c r="AO119" s="73"/>
      <c r="AP119" s="73"/>
      <c r="AQ119" s="73"/>
      <c r="AR119" s="73"/>
      <c r="AS119" s="73"/>
      <c r="AT119" s="73"/>
      <c r="AU119" s="73"/>
      <c r="AV119" s="73"/>
      <c r="AW119" s="73"/>
      <c r="AX119" s="73"/>
      <c r="AY119" s="73"/>
      <c r="AZ119" s="73"/>
      <c r="BA119" s="73"/>
      <c r="BB119" s="73"/>
      <c r="BC119" s="126"/>
      <c r="BE119" s="136"/>
      <c r="BF119" s="136"/>
      <c r="BG119" s="136"/>
      <c r="BH119" s="136"/>
      <c r="BI119" s="136"/>
      <c r="BJ119" s="136"/>
      <c r="BK119" s="136"/>
      <c r="BL119" s="136"/>
      <c r="BM119" s="402"/>
      <c r="BN119" s="136"/>
      <c r="BO119" s="1091"/>
      <c r="BP119" s="78"/>
      <c r="BQ119" s="199"/>
      <c r="BR119" s="199"/>
      <c r="BS119" s="199"/>
      <c r="BT119" s="199"/>
      <c r="BU119" s="199"/>
      <c r="BV119" s="199"/>
      <c r="BW119" s="199"/>
      <c r="BX119" s="199"/>
      <c r="BY119" s="199"/>
      <c r="BZ119" s="199"/>
      <c r="CA119" s="199"/>
      <c r="CB119" s="199"/>
      <c r="CC119" s="199"/>
      <c r="CD119" s="199"/>
      <c r="CE119" s="199"/>
      <c r="CF119" s="199"/>
      <c r="CG119" s="199"/>
      <c r="CH119" s="199"/>
      <c r="CI119" s="199"/>
      <c r="CJ119" s="199"/>
      <c r="CK119" s="199"/>
      <c r="CL119" s="199"/>
      <c r="CM119" s="199"/>
      <c r="CN119" s="199"/>
      <c r="CO119" s="199"/>
      <c r="CP119" s="199"/>
      <c r="CQ119" s="199"/>
      <c r="CR119" s="199"/>
      <c r="CS119" s="199"/>
      <c r="CT119" s="199"/>
      <c r="CU119" s="199"/>
      <c r="CV119" s="199"/>
      <c r="CW119" s="199"/>
      <c r="CX119" s="199"/>
      <c r="CY119" s="199"/>
      <c r="CZ119" s="199"/>
      <c r="DA119" s="199"/>
      <c r="DB119" s="199"/>
    </row>
    <row r="120" spans="2:106" ht="20" hidden="1" x14ac:dyDescent="0.2">
      <c r="B120" s="330"/>
      <c r="C120" s="412"/>
      <c r="D120" s="37"/>
      <c r="E120" s="37"/>
      <c r="F120" s="37"/>
      <c r="G120" s="998"/>
      <c r="H120"/>
      <c r="I120"/>
      <c r="J120"/>
      <c r="K120"/>
      <c r="L120"/>
      <c r="M120"/>
      <c r="N120"/>
      <c r="O120" s="995"/>
      <c r="U120" s="212"/>
      <c r="V120" s="73"/>
      <c r="AB120" s="73"/>
      <c r="AC120" s="73"/>
      <c r="AD120" s="73"/>
      <c r="AE120" s="73"/>
      <c r="AF120" s="73"/>
      <c r="AG120" s="73"/>
      <c r="AH120" s="73"/>
      <c r="AI120" s="73"/>
      <c r="AJ120" s="73"/>
      <c r="AK120" s="73"/>
      <c r="AL120" s="73"/>
      <c r="AM120" s="73"/>
      <c r="AN120" s="73"/>
      <c r="AO120" s="73"/>
      <c r="AP120" s="73"/>
      <c r="AQ120" s="73"/>
      <c r="AR120" s="73"/>
      <c r="AS120" s="73"/>
      <c r="AT120" s="73"/>
      <c r="AU120" s="73"/>
      <c r="AV120" s="73"/>
      <c r="AW120" s="73"/>
      <c r="AX120" s="73"/>
      <c r="AY120" s="73"/>
      <c r="AZ120" s="73"/>
      <c r="BA120" s="73"/>
      <c r="BB120" s="73"/>
      <c r="BC120" s="126"/>
      <c r="BE120" s="136"/>
      <c r="BF120" s="136"/>
      <c r="BG120" s="136"/>
      <c r="BH120" s="136"/>
      <c r="BI120" s="136"/>
      <c r="BJ120" s="136"/>
      <c r="BK120" s="136"/>
      <c r="BL120" s="136"/>
      <c r="BM120" s="402"/>
      <c r="BN120" s="136"/>
      <c r="BO120" s="1091"/>
      <c r="BP120" s="78"/>
      <c r="BQ120" s="199"/>
      <c r="BR120" s="199"/>
      <c r="BS120" s="199"/>
      <c r="BT120" s="199"/>
      <c r="BU120" s="199"/>
      <c r="BV120" s="199"/>
      <c r="BW120" s="199"/>
      <c r="BX120" s="199"/>
      <c r="BY120" s="199"/>
      <c r="BZ120" s="199"/>
      <c r="CA120" s="199"/>
      <c r="CB120" s="199"/>
      <c r="CC120" s="199"/>
      <c r="CD120" s="199"/>
      <c r="CE120" s="199"/>
      <c r="CF120" s="199"/>
      <c r="CG120" s="199"/>
      <c r="CH120" s="199"/>
      <c r="CI120" s="199"/>
      <c r="CJ120" s="199"/>
      <c r="CK120" s="199"/>
      <c r="CL120" s="199"/>
      <c r="CM120" s="199"/>
      <c r="CN120" s="199"/>
      <c r="CO120" s="199"/>
      <c r="CP120" s="199"/>
      <c r="CQ120" s="199"/>
      <c r="CR120" s="199"/>
      <c r="CS120" s="199"/>
      <c r="CT120" s="199"/>
      <c r="CU120" s="199"/>
      <c r="CV120" s="199"/>
      <c r="CW120" s="199"/>
      <c r="CX120" s="199"/>
      <c r="CY120" s="199"/>
      <c r="CZ120" s="199"/>
      <c r="DA120" s="199"/>
      <c r="DB120" s="199"/>
    </row>
    <row r="121" spans="2:106" ht="20" hidden="1" x14ac:dyDescent="0.2">
      <c r="B121" s="330"/>
      <c r="C121" s="412"/>
      <c r="D121" s="37"/>
      <c r="E121" s="37"/>
      <c r="F121" s="37"/>
      <c r="G121" s="998"/>
      <c r="H121"/>
      <c r="I121"/>
      <c r="J121"/>
      <c r="K121"/>
      <c r="L121"/>
      <c r="M121"/>
      <c r="N121"/>
      <c r="O121" s="995"/>
      <c r="U121" s="212"/>
      <c r="V121" s="73"/>
      <c r="AB121" s="73"/>
      <c r="AC121" s="73"/>
      <c r="AD121" s="73"/>
      <c r="AE121" s="73"/>
      <c r="AF121" s="73"/>
      <c r="AG121" s="73"/>
      <c r="AH121" s="73"/>
      <c r="AI121" s="73"/>
      <c r="AJ121" s="73"/>
      <c r="AK121" s="73"/>
      <c r="AL121" s="73"/>
      <c r="AM121" s="73"/>
      <c r="AN121" s="73"/>
      <c r="AO121" s="73"/>
      <c r="AP121" s="73"/>
      <c r="AQ121" s="73"/>
      <c r="AR121" s="73"/>
      <c r="AS121" s="73"/>
      <c r="AT121" s="73"/>
      <c r="AU121" s="73"/>
      <c r="AV121" s="73"/>
      <c r="AW121" s="73"/>
      <c r="AX121" s="73"/>
      <c r="AY121" s="73"/>
      <c r="AZ121" s="73"/>
      <c r="BA121" s="73"/>
      <c r="BB121" s="73"/>
      <c r="BC121" s="126"/>
      <c r="BE121" s="136"/>
      <c r="BF121" s="136"/>
      <c r="BG121" s="136"/>
      <c r="BH121" s="136"/>
      <c r="BI121" s="136"/>
      <c r="BJ121" s="136"/>
      <c r="BK121" s="136"/>
      <c r="BL121" s="136"/>
      <c r="BM121" s="402"/>
      <c r="BN121" s="136"/>
      <c r="BO121" s="1091"/>
      <c r="BP121" s="78"/>
      <c r="BQ121" s="199"/>
      <c r="BR121" s="199"/>
      <c r="BS121" s="199"/>
      <c r="BT121" s="199"/>
      <c r="BU121" s="199"/>
      <c r="BV121" s="199"/>
      <c r="BW121" s="199"/>
      <c r="BX121" s="199"/>
      <c r="BY121" s="199"/>
      <c r="BZ121" s="199"/>
      <c r="CA121" s="199"/>
      <c r="CB121" s="199"/>
      <c r="CC121" s="199"/>
      <c r="CD121" s="199"/>
      <c r="CE121" s="199"/>
      <c r="CF121" s="199"/>
      <c r="CG121" s="199"/>
      <c r="CH121" s="199"/>
      <c r="CI121" s="199"/>
      <c r="CJ121" s="199"/>
      <c r="CK121" s="199"/>
      <c r="CL121" s="199"/>
      <c r="CM121" s="199"/>
      <c r="CN121" s="199"/>
      <c r="CO121" s="199"/>
      <c r="CP121" s="199"/>
      <c r="CQ121" s="199"/>
      <c r="CR121" s="199"/>
      <c r="CS121" s="199"/>
      <c r="CT121" s="199"/>
      <c r="CU121" s="199"/>
      <c r="CV121" s="199"/>
      <c r="CW121" s="199"/>
      <c r="CX121" s="199"/>
      <c r="CY121" s="199"/>
      <c r="CZ121" s="199"/>
      <c r="DA121" s="199"/>
      <c r="DB121" s="199"/>
    </row>
    <row r="122" spans="2:106" ht="20" hidden="1" x14ac:dyDescent="0.2">
      <c r="B122" s="330"/>
      <c r="C122" s="412"/>
      <c r="D122" s="37"/>
      <c r="E122" s="37"/>
      <c r="F122" s="37"/>
      <c r="G122" s="998"/>
      <c r="H122"/>
      <c r="I122"/>
      <c r="J122"/>
      <c r="K122"/>
      <c r="L122"/>
      <c r="M122"/>
      <c r="N122"/>
      <c r="O122" s="995"/>
      <c r="U122" s="212"/>
      <c r="V122" s="73"/>
      <c r="AB122" s="73"/>
      <c r="AC122" s="73"/>
      <c r="AD122" s="73"/>
      <c r="AE122" s="73"/>
      <c r="AF122" s="73"/>
      <c r="AG122" s="73"/>
      <c r="AH122" s="73"/>
      <c r="AI122" s="73"/>
      <c r="AJ122" s="73"/>
      <c r="AK122" s="73"/>
      <c r="AL122" s="73"/>
      <c r="AM122" s="73"/>
      <c r="AN122" s="73"/>
      <c r="AO122" s="73"/>
      <c r="AP122" s="73"/>
      <c r="AQ122" s="73"/>
      <c r="AR122" s="73"/>
      <c r="AS122" s="73"/>
      <c r="AT122" s="73"/>
      <c r="AU122" s="73"/>
      <c r="AV122" s="73"/>
      <c r="AW122" s="73"/>
      <c r="AX122" s="73"/>
      <c r="AY122" s="73"/>
      <c r="AZ122" s="73"/>
      <c r="BA122" s="73"/>
      <c r="BB122" s="73"/>
      <c r="BC122" s="126"/>
      <c r="BE122" s="136"/>
      <c r="BF122" s="136"/>
      <c r="BG122" s="136"/>
      <c r="BH122" s="136"/>
      <c r="BI122" s="136"/>
      <c r="BJ122" s="136"/>
      <c r="BK122" s="136"/>
      <c r="BL122" s="136"/>
      <c r="BM122" s="402"/>
      <c r="BN122" s="136"/>
      <c r="BO122" s="1091"/>
      <c r="BP122" s="78"/>
      <c r="BQ122" s="199"/>
      <c r="BR122" s="199"/>
      <c r="BS122" s="199"/>
      <c r="BT122" s="199"/>
      <c r="BU122" s="199"/>
      <c r="BV122" s="199"/>
      <c r="BW122" s="199"/>
      <c r="BX122" s="199"/>
      <c r="BY122" s="199"/>
      <c r="BZ122" s="199"/>
      <c r="CA122" s="199"/>
      <c r="CB122" s="199"/>
      <c r="CC122" s="199"/>
      <c r="CD122" s="199"/>
      <c r="CE122" s="199"/>
      <c r="CF122" s="199"/>
      <c r="CG122" s="199"/>
      <c r="CH122" s="199"/>
      <c r="CI122" s="199"/>
      <c r="CJ122" s="199"/>
      <c r="CK122" s="199"/>
      <c r="CL122" s="199"/>
      <c r="CM122" s="199"/>
      <c r="CN122" s="199"/>
      <c r="CO122" s="199"/>
      <c r="CP122" s="199"/>
      <c r="CQ122" s="199"/>
      <c r="CR122" s="199"/>
      <c r="CS122" s="199"/>
      <c r="CT122" s="199"/>
      <c r="CU122" s="199"/>
      <c r="CV122" s="199"/>
      <c r="CW122" s="199"/>
      <c r="CX122" s="199"/>
      <c r="CY122" s="199"/>
      <c r="CZ122" s="199"/>
      <c r="DA122" s="199"/>
      <c r="DB122" s="199"/>
    </row>
    <row r="123" spans="2:106" ht="20" hidden="1" x14ac:dyDescent="0.2">
      <c r="B123" s="330"/>
      <c r="C123" s="412"/>
      <c r="D123" s="37"/>
      <c r="E123" s="37"/>
      <c r="F123" s="37"/>
      <c r="G123" s="998"/>
      <c r="H123"/>
      <c r="I123"/>
      <c r="J123"/>
      <c r="K123"/>
      <c r="L123"/>
      <c r="M123"/>
      <c r="N123"/>
      <c r="O123" s="995"/>
      <c r="U123" s="212"/>
      <c r="V123" s="73"/>
      <c r="AB123" s="73"/>
      <c r="AC123" s="73"/>
      <c r="AD123" s="73"/>
      <c r="AE123" s="73"/>
      <c r="AF123" s="73"/>
      <c r="AG123" s="73"/>
      <c r="AH123" s="73"/>
      <c r="AI123" s="73"/>
      <c r="AJ123" s="73"/>
      <c r="AK123" s="73"/>
      <c r="AL123" s="73"/>
      <c r="AM123" s="73"/>
      <c r="AN123" s="73"/>
      <c r="AO123" s="73"/>
      <c r="AP123" s="73"/>
      <c r="AQ123" s="73"/>
      <c r="AR123" s="73"/>
      <c r="AS123" s="73"/>
      <c r="AT123" s="73"/>
      <c r="AU123" s="73"/>
      <c r="AV123" s="73"/>
      <c r="AW123" s="73"/>
      <c r="AX123" s="73"/>
      <c r="AY123" s="73"/>
      <c r="AZ123" s="73"/>
      <c r="BA123" s="73"/>
      <c r="BB123" s="73"/>
      <c r="BC123" s="126"/>
      <c r="BE123" s="136"/>
      <c r="BF123" s="136"/>
      <c r="BG123" s="136"/>
      <c r="BH123" s="136"/>
      <c r="BI123" s="136"/>
      <c r="BJ123" s="136"/>
      <c r="BK123" s="136"/>
      <c r="BL123" s="136"/>
      <c r="BM123" s="402"/>
      <c r="BN123" s="136"/>
      <c r="BO123" s="1091"/>
      <c r="BP123" s="78"/>
      <c r="BQ123" s="199"/>
      <c r="BR123" s="199"/>
      <c r="BS123" s="199"/>
      <c r="BT123" s="199"/>
      <c r="BU123" s="199"/>
      <c r="BV123" s="199"/>
      <c r="BW123" s="199"/>
      <c r="BX123" s="199"/>
      <c r="BY123" s="199"/>
      <c r="BZ123" s="199"/>
      <c r="CA123" s="199"/>
      <c r="CB123" s="199"/>
      <c r="CC123" s="199"/>
      <c r="CD123" s="199"/>
      <c r="CE123" s="199"/>
      <c r="CF123" s="199"/>
      <c r="CG123" s="199"/>
      <c r="CH123" s="199"/>
      <c r="CI123" s="199"/>
      <c r="CJ123" s="199"/>
      <c r="CK123" s="199"/>
      <c r="CL123" s="199"/>
      <c r="CM123" s="199"/>
      <c r="CN123" s="199"/>
      <c r="CO123" s="199"/>
      <c r="CP123" s="199"/>
      <c r="CQ123" s="199"/>
      <c r="CR123" s="199"/>
      <c r="CS123" s="199"/>
      <c r="CT123" s="199"/>
      <c r="CU123" s="199"/>
      <c r="CV123" s="199"/>
      <c r="CW123" s="199"/>
      <c r="CX123" s="199"/>
      <c r="CY123" s="199"/>
      <c r="CZ123" s="199"/>
      <c r="DA123" s="199"/>
      <c r="DB123" s="199"/>
    </row>
    <row r="124" spans="2:106" ht="126" hidden="1" x14ac:dyDescent="0.2">
      <c r="B124" s="330"/>
      <c r="C124" s="412"/>
      <c r="D124" s="37"/>
      <c r="E124" s="37"/>
      <c r="F124" s="3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212"/>
      <c r="V124" s="73"/>
      <c r="AB124" s="73"/>
      <c r="AC124" s="73"/>
      <c r="AD124" s="73"/>
      <c r="AE124" s="73"/>
      <c r="AF124" s="73"/>
      <c r="AG124" s="73"/>
      <c r="AH124" s="73"/>
      <c r="AI124" s="73"/>
      <c r="AJ124" s="73"/>
      <c r="AK124" s="73"/>
      <c r="AL124" s="73"/>
      <c r="AM124" s="73"/>
      <c r="AN124" s="73"/>
      <c r="AO124" s="73"/>
      <c r="AP124" s="73"/>
      <c r="AQ124" s="73"/>
      <c r="AR124" s="73"/>
      <c r="AS124" s="73"/>
      <c r="AT124" s="73"/>
      <c r="AU124" s="73"/>
      <c r="AV124" s="73"/>
      <c r="AW124" s="73"/>
      <c r="AX124" s="73"/>
      <c r="AY124" s="73"/>
      <c r="AZ124" s="73"/>
      <c r="BA124" s="73"/>
      <c r="BB124" s="73"/>
      <c r="BC124" s="126"/>
      <c r="BE124" s="136"/>
      <c r="BF124" s="136"/>
      <c r="BG124" s="136"/>
      <c r="BH124" s="136"/>
      <c r="BI124" s="136"/>
      <c r="BJ124" s="136"/>
      <c r="BK124" s="136"/>
      <c r="BL124" s="136"/>
      <c r="BM124" s="402"/>
      <c r="BN124" s="136"/>
      <c r="BO124" s="1091"/>
      <c r="BP124" s="78"/>
      <c r="BQ124" s="199"/>
      <c r="BR124" s="199"/>
      <c r="BS124" s="199"/>
      <c r="BT124" s="199"/>
      <c r="BU124" s="199"/>
      <c r="BV124" s="199"/>
      <c r="BW124" s="199"/>
      <c r="BX124" s="199"/>
      <c r="BY124" s="199"/>
      <c r="BZ124" s="199"/>
      <c r="CA124" s="199"/>
      <c r="CB124" s="199"/>
      <c r="CC124" s="199"/>
      <c r="CD124" s="199"/>
      <c r="CE124" s="199"/>
      <c r="CF124" s="199"/>
      <c r="CG124" s="199"/>
      <c r="CH124" s="199"/>
      <c r="CI124" s="199"/>
      <c r="CJ124" s="199"/>
      <c r="CK124" s="199"/>
      <c r="CL124" s="199"/>
      <c r="CM124" s="199"/>
      <c r="CN124" s="199"/>
      <c r="CO124" s="199"/>
      <c r="CP124" s="199"/>
      <c r="CQ124" s="199"/>
      <c r="CR124" s="199"/>
      <c r="CS124" s="199"/>
      <c r="CT124" s="199"/>
      <c r="CU124" s="199"/>
      <c r="CV124" s="199"/>
      <c r="CW124" s="199"/>
      <c r="CX124" s="199"/>
      <c r="CY124" s="199"/>
      <c r="CZ124" s="199"/>
      <c r="DA124" s="199"/>
      <c r="DB124" s="199"/>
    </row>
    <row r="125" spans="2:106" ht="85" hidden="1" thickBot="1" x14ac:dyDescent="0.25">
      <c r="B125" s="330"/>
      <c r="C125" s="412"/>
      <c r="D125" s="37"/>
      <c r="E125" s="37"/>
      <c r="F125" s="3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212"/>
      <c r="V125" s="73"/>
      <c r="AB125" s="73"/>
      <c r="AC125" s="73"/>
      <c r="AD125" s="73"/>
      <c r="AE125" s="73"/>
      <c r="AF125" s="73"/>
      <c r="AG125" s="73"/>
      <c r="AH125" s="73"/>
      <c r="AI125" s="73"/>
      <c r="AJ125" s="73"/>
      <c r="AK125" s="73"/>
      <c r="AL125" s="73"/>
      <c r="AM125" s="73"/>
      <c r="AN125" s="73"/>
      <c r="AO125" s="73"/>
      <c r="AP125" s="73"/>
      <c r="AQ125" s="73"/>
      <c r="AR125" s="73"/>
      <c r="AS125" s="73"/>
      <c r="AT125" s="73"/>
      <c r="AU125" s="73"/>
      <c r="AV125" s="73"/>
      <c r="AW125" s="73"/>
      <c r="AX125" s="73"/>
      <c r="AY125" s="73"/>
      <c r="AZ125" s="73"/>
      <c r="BA125" s="73"/>
      <c r="BB125" s="73"/>
      <c r="BC125" s="126"/>
      <c r="BE125" s="136"/>
      <c r="BF125" s="136"/>
      <c r="BG125" s="136"/>
      <c r="BH125" s="136"/>
      <c r="BI125" s="136"/>
      <c r="BJ125" s="136"/>
      <c r="BK125" s="136"/>
      <c r="BL125" s="136"/>
      <c r="BM125" s="402"/>
      <c r="BN125" s="136"/>
      <c r="BO125" s="1091"/>
      <c r="BP125" s="78"/>
      <c r="BQ125" s="199"/>
      <c r="BR125" s="199"/>
      <c r="BS125" s="199"/>
      <c r="BT125" s="199"/>
      <c r="BU125" s="199"/>
      <c r="BV125" s="199"/>
      <c r="BW125" s="199"/>
      <c r="BX125" s="199"/>
      <c r="BY125" s="199"/>
      <c r="BZ125" s="199"/>
      <c r="CA125" s="199"/>
      <c r="CB125" s="199"/>
      <c r="CC125" s="199"/>
      <c r="CD125" s="199"/>
      <c r="CE125" s="199"/>
      <c r="CF125" s="199"/>
      <c r="CG125" s="199"/>
      <c r="CH125" s="199"/>
      <c r="CI125" s="199"/>
      <c r="CJ125" s="199"/>
      <c r="CK125" s="199"/>
      <c r="CL125" s="199"/>
      <c r="CM125" s="199"/>
      <c r="CN125" s="199"/>
      <c r="CO125" s="199"/>
      <c r="CP125" s="199"/>
      <c r="CQ125" s="199"/>
      <c r="CR125" s="199"/>
      <c r="CS125" s="199"/>
      <c r="CT125" s="199"/>
      <c r="CU125" s="199"/>
      <c r="CV125" s="199"/>
      <c r="CW125" s="199"/>
      <c r="CX125" s="199"/>
      <c r="CY125" s="199"/>
      <c r="CZ125" s="199"/>
      <c r="DA125" s="199"/>
      <c r="DB125" s="199"/>
    </row>
    <row r="126" spans="2:106" ht="52.5" hidden="1" customHeight="1" thickBot="1" x14ac:dyDescent="0.3">
      <c r="B126" s="330"/>
      <c r="C126" s="412"/>
      <c r="D126" s="37"/>
      <c r="E126" s="37"/>
      <c r="F126" s="37"/>
      <c r="G126" s="998"/>
      <c r="H126" s="1087" t="s">
        <v>265</v>
      </c>
      <c r="I126" s="1080">
        <f>+MIN(K31:L32)</f>
        <v>45.563092381089511</v>
      </c>
      <c r="J126" s="1080">
        <f>+MIN(J37:K38)</f>
        <v>71.492403932082212</v>
      </c>
      <c r="K126" s="1082">
        <f>+MIN(J43:L44)</f>
        <v>71.492403932082212</v>
      </c>
      <c r="L126" s="1083">
        <f>+MIN(J49:L50)</f>
        <v>30.934213239843267</v>
      </c>
      <c r="M126" s="1084">
        <f>+MIN(J55:L56)</f>
        <v>71.492403932082212</v>
      </c>
      <c r="N126"/>
      <c r="O126" s="995"/>
      <c r="U126" s="212"/>
      <c r="V126" s="73"/>
      <c r="AB126" s="73"/>
      <c r="AC126" s="73"/>
      <c r="AD126" s="73"/>
      <c r="AE126" s="73"/>
      <c r="AF126" s="73"/>
      <c r="AG126" s="73"/>
      <c r="AH126" s="73"/>
      <c r="AI126" s="73"/>
      <c r="AJ126" s="73"/>
      <c r="AK126" s="73"/>
      <c r="AL126" s="73"/>
      <c r="AM126" s="73"/>
      <c r="AN126" s="73"/>
      <c r="AO126" s="73"/>
      <c r="AP126" s="73"/>
      <c r="AQ126" s="73"/>
      <c r="AR126" s="73"/>
      <c r="AS126" s="73"/>
      <c r="AT126" s="73"/>
      <c r="AU126" s="73"/>
      <c r="AV126" s="73"/>
      <c r="AW126" s="73"/>
      <c r="AX126" s="73"/>
      <c r="AY126" s="73"/>
      <c r="AZ126" s="73"/>
      <c r="BA126" s="73"/>
      <c r="BB126" s="73"/>
      <c r="BC126" s="126"/>
      <c r="BE126" s="136"/>
      <c r="BF126" s="136"/>
      <c r="BG126" s="136"/>
      <c r="BH126" s="136"/>
      <c r="BI126" s="136"/>
      <c r="BJ126" s="136"/>
      <c r="BK126" s="136"/>
      <c r="BL126" s="136"/>
      <c r="BM126" s="402"/>
      <c r="BN126" s="136"/>
      <c r="BO126" s="1091"/>
      <c r="BP126" s="78"/>
      <c r="BQ126" s="199"/>
      <c r="BR126" s="199"/>
      <c r="BS126" s="199"/>
      <c r="BT126" s="199"/>
      <c r="BU126" s="199"/>
      <c r="BV126" s="199"/>
      <c r="BW126" s="199"/>
      <c r="BX126" s="199"/>
      <c r="BY126" s="199"/>
      <c r="BZ126" s="199"/>
      <c r="CA126" s="199"/>
      <c r="CB126" s="199"/>
      <c r="CC126" s="199"/>
      <c r="CD126" s="199"/>
      <c r="CE126" s="199"/>
      <c r="CF126" s="199"/>
      <c r="CG126" s="199"/>
      <c r="CH126" s="199"/>
      <c r="CI126" s="199"/>
      <c r="CJ126" s="199"/>
      <c r="CK126" s="199"/>
      <c r="CL126" s="199"/>
      <c r="CM126" s="199"/>
      <c r="CN126" s="199"/>
      <c r="CO126" s="199"/>
      <c r="CP126" s="199"/>
      <c r="CQ126" s="199"/>
      <c r="CR126" s="199"/>
      <c r="CS126" s="199"/>
      <c r="CT126" s="199"/>
      <c r="CU126" s="199"/>
      <c r="CV126" s="199"/>
      <c r="CW126" s="199"/>
      <c r="CX126" s="199"/>
      <c r="CY126" s="199"/>
      <c r="CZ126" s="199"/>
      <c r="DA126" s="199"/>
      <c r="DB126" s="199"/>
    </row>
    <row r="127" spans="2:106" ht="20" hidden="1" x14ac:dyDescent="0.2">
      <c r="B127" s="330"/>
      <c r="C127" s="412"/>
      <c r="D127" s="37"/>
      <c r="E127" s="37"/>
      <c r="F127" s="37"/>
      <c r="G127" s="1583"/>
      <c r="H127" s="126"/>
      <c r="I127" s="126"/>
      <c r="J127" s="126"/>
      <c r="K127" s="126"/>
      <c r="L127" s="126"/>
      <c r="M127" s="126"/>
      <c r="N127" s="126"/>
      <c r="O127" s="1584"/>
      <c r="U127" s="212"/>
      <c r="V127" s="73"/>
      <c r="AB127" s="73"/>
      <c r="AC127" s="73"/>
      <c r="AD127" s="73"/>
      <c r="AE127" s="73"/>
      <c r="AF127" s="73"/>
      <c r="AG127" s="73"/>
      <c r="AH127" s="73"/>
      <c r="AI127" s="73"/>
      <c r="AJ127" s="73"/>
      <c r="AK127" s="73"/>
      <c r="AL127" s="73"/>
      <c r="AM127" s="73"/>
      <c r="AN127" s="73"/>
      <c r="AO127" s="73"/>
      <c r="AP127" s="73"/>
      <c r="AQ127" s="73"/>
      <c r="AR127" s="73"/>
      <c r="AS127" s="73"/>
      <c r="AT127" s="73"/>
      <c r="AU127" s="73"/>
      <c r="AV127" s="73"/>
      <c r="AW127" s="73"/>
      <c r="AX127" s="73"/>
      <c r="AY127" s="73"/>
      <c r="AZ127" s="73"/>
      <c r="BA127" s="73"/>
      <c r="BB127" s="73"/>
      <c r="BC127" s="126"/>
      <c r="BE127" s="136"/>
      <c r="BF127" s="136"/>
      <c r="BG127" s="136"/>
      <c r="BH127" s="136"/>
      <c r="BI127" s="136"/>
      <c r="BJ127" s="136"/>
      <c r="BK127" s="136"/>
      <c r="BL127" s="136"/>
      <c r="BM127" s="402"/>
      <c r="BN127" s="136"/>
      <c r="BO127" s="1091"/>
      <c r="BP127" s="78"/>
      <c r="BQ127" s="199"/>
      <c r="BR127" s="199"/>
      <c r="BS127" s="199"/>
      <c r="BT127" s="199"/>
      <c r="BU127" s="199"/>
      <c r="BV127" s="199"/>
      <c r="BW127" s="199"/>
      <c r="BX127" s="199"/>
      <c r="BY127" s="199"/>
      <c r="BZ127" s="199"/>
      <c r="CA127" s="199"/>
      <c r="CB127" s="199"/>
      <c r="CC127" s="199"/>
      <c r="CD127" s="199"/>
      <c r="CE127" s="199"/>
      <c r="CF127" s="199"/>
      <c r="CG127" s="199"/>
      <c r="CH127" s="199"/>
      <c r="CI127" s="199"/>
      <c r="CJ127" s="199"/>
      <c r="CK127" s="199"/>
      <c r="CL127" s="199"/>
      <c r="CM127" s="199"/>
      <c r="CN127" s="199"/>
      <c r="CO127" s="199"/>
      <c r="CP127" s="199"/>
      <c r="CQ127" s="199"/>
      <c r="CR127" s="199"/>
      <c r="CS127" s="199"/>
      <c r="CT127" s="199"/>
      <c r="CU127" s="199"/>
      <c r="CV127" s="199"/>
      <c r="CW127" s="199"/>
      <c r="CX127" s="199"/>
      <c r="CY127" s="199"/>
      <c r="CZ127" s="199"/>
      <c r="DA127" s="199"/>
      <c r="DB127" s="199"/>
    </row>
    <row r="128" spans="2:106" ht="31" hidden="1" thickBot="1" x14ac:dyDescent="0.25">
      <c r="B128" s="330"/>
      <c r="C128" s="412"/>
      <c r="D128" s="37"/>
      <c r="E128" s="37"/>
      <c r="F128" s="37"/>
      <c r="G128" s="998"/>
      <c r="H128" s="201"/>
      <c r="I128" s="201"/>
      <c r="J128" s="201"/>
      <c r="K128" s="201"/>
      <c r="L128" s="201"/>
      <c r="M128" s="201"/>
      <c r="N128" s="201"/>
      <c r="O128" s="1013"/>
      <c r="U128" s="212"/>
      <c r="V128" s="73"/>
      <c r="AB128" s="73"/>
      <c r="AC128" s="73"/>
      <c r="AD128" s="73"/>
      <c r="AE128" s="73"/>
      <c r="AF128" s="73"/>
      <c r="AG128" s="73"/>
      <c r="AH128" s="73"/>
      <c r="AI128" s="73"/>
      <c r="AJ128" s="73"/>
      <c r="AK128" s="73"/>
      <c r="AL128" s="73"/>
      <c r="AM128" s="73"/>
      <c r="AN128" s="73"/>
      <c r="AO128" s="73"/>
      <c r="AP128" s="73"/>
      <c r="AQ128" s="73"/>
      <c r="AR128" s="73"/>
      <c r="AS128" s="73"/>
      <c r="AT128" s="73"/>
      <c r="AU128" s="73"/>
      <c r="AV128" s="73"/>
      <c r="AW128" s="73"/>
      <c r="AX128" s="73"/>
      <c r="AY128" s="73"/>
      <c r="AZ128" s="73"/>
      <c r="BA128" s="73"/>
      <c r="BB128" s="73"/>
      <c r="BC128" s="126"/>
      <c r="BE128" s="136"/>
      <c r="BF128" s="136"/>
      <c r="BG128" s="136"/>
      <c r="BH128" s="136"/>
      <c r="BI128" s="136"/>
      <c r="BJ128" s="136"/>
      <c r="BK128" s="136"/>
      <c r="BL128" s="136"/>
      <c r="BM128" s="402"/>
      <c r="BN128" s="136"/>
      <c r="BO128" s="1091"/>
      <c r="BP128" s="78"/>
      <c r="BQ128" s="199"/>
      <c r="BR128" s="199"/>
      <c r="BS128" s="199"/>
      <c r="BT128" s="199"/>
      <c r="BU128" s="199"/>
      <c r="BV128" s="199"/>
      <c r="BW128" s="199"/>
      <c r="BX128" s="199"/>
      <c r="BY128" s="199"/>
      <c r="BZ128" s="199"/>
      <c r="CA128" s="199"/>
      <c r="CB128" s="199"/>
      <c r="CC128" s="199"/>
      <c r="CD128" s="199"/>
      <c r="CE128" s="199"/>
      <c r="CF128" s="199"/>
      <c r="CG128" s="199"/>
      <c r="CH128" s="199"/>
      <c r="CI128" s="199"/>
      <c r="CJ128" s="199"/>
      <c r="CK128" s="199"/>
      <c r="CL128" s="199"/>
      <c r="CM128" s="199"/>
      <c r="CN128" s="199"/>
      <c r="CO128" s="199"/>
      <c r="CP128" s="199"/>
      <c r="CQ128" s="199"/>
      <c r="CR128" s="199"/>
      <c r="CS128" s="199"/>
      <c r="CT128" s="199"/>
      <c r="CU128" s="199"/>
      <c r="CV128" s="199"/>
      <c r="CW128" s="199"/>
      <c r="CX128" s="199"/>
      <c r="CY128" s="199"/>
      <c r="CZ128" s="199"/>
      <c r="DA128" s="199"/>
      <c r="DB128" s="199"/>
    </row>
    <row r="129" spans="2:142" ht="51.75" customHeight="1" thickBot="1" x14ac:dyDescent="0.25">
      <c r="B129" s="408"/>
      <c r="D129" s="409" t="str">
        <f>IF(BL106&gt;0," ","change the angle of frame or of cabinets")</f>
        <v xml:space="preserve"> </v>
      </c>
      <c r="E129" s="37"/>
      <c r="F129" s="37"/>
      <c r="G129" s="998"/>
      <c r="H129"/>
      <c r="I129"/>
      <c r="J129"/>
      <c r="K129"/>
      <c r="L129"/>
      <c r="M129"/>
      <c r="N129"/>
      <c r="O129" s="995"/>
      <c r="U129" s="212"/>
      <c r="V129" s="73"/>
      <c r="AB129" s="73"/>
      <c r="AC129" s="73"/>
      <c r="AD129" s="73"/>
      <c r="AE129" s="73"/>
      <c r="AF129" s="73"/>
      <c r="AG129" s="73"/>
      <c r="AH129" s="73"/>
      <c r="AI129" s="73"/>
      <c r="AJ129" s="73"/>
      <c r="AK129" s="73"/>
      <c r="AL129" s="73"/>
      <c r="AM129" s="73"/>
      <c r="AN129" s="73"/>
      <c r="AO129" s="73"/>
      <c r="AP129" s="73"/>
      <c r="AQ129" s="73"/>
      <c r="AR129" s="73"/>
      <c r="AS129" s="73"/>
      <c r="AT129" s="73"/>
      <c r="AU129" s="73"/>
      <c r="AV129" s="73"/>
      <c r="AW129" s="73"/>
      <c r="AX129" s="73"/>
      <c r="AY129" s="73"/>
      <c r="AZ129" s="73"/>
      <c r="BA129" s="73"/>
      <c r="BB129" s="73"/>
      <c r="BC129" s="126"/>
      <c r="BE129" s="136"/>
      <c r="BF129" s="136"/>
      <c r="BG129" s="136"/>
      <c r="BH129" s="136"/>
      <c r="BI129" s="136"/>
      <c r="BJ129" s="136"/>
      <c r="BK129" s="136"/>
      <c r="BL129" s="136"/>
      <c r="BM129" s="402"/>
      <c r="BN129" s="136"/>
      <c r="BO129" s="1091"/>
      <c r="BP129" s="78"/>
      <c r="BQ129" s="199"/>
      <c r="BR129" s="199"/>
      <c r="BS129" s="199"/>
      <c r="BT129" s="199"/>
      <c r="BU129" s="199"/>
      <c r="BV129" s="199"/>
      <c r="BW129" s="199"/>
      <c r="BX129" s="199"/>
      <c r="BY129" s="199"/>
      <c r="BZ129" s="199"/>
      <c r="CA129" s="199"/>
      <c r="CB129" s="199"/>
      <c r="CC129" s="199"/>
      <c r="CD129" s="199"/>
      <c r="CE129" s="199"/>
      <c r="CF129" s="199"/>
      <c r="CG129" s="199"/>
      <c r="CH129" s="199"/>
      <c r="CI129" s="199"/>
      <c r="CJ129" s="199"/>
      <c r="CK129" s="199"/>
      <c r="CL129" s="199"/>
      <c r="CM129" s="199"/>
      <c r="CN129" s="199"/>
      <c r="CO129" s="199"/>
      <c r="CP129" s="199"/>
      <c r="CQ129" s="199"/>
      <c r="CR129" s="199"/>
      <c r="CS129" s="199"/>
      <c r="CT129" s="199"/>
      <c r="CU129" s="199"/>
      <c r="CV129" s="199"/>
      <c r="CW129" s="199"/>
      <c r="CX129" s="199"/>
      <c r="CY129" s="199"/>
      <c r="CZ129" s="199"/>
      <c r="DA129" s="199"/>
      <c r="DB129" s="199"/>
    </row>
    <row r="130" spans="2:142" ht="51.75" customHeight="1" thickBot="1" x14ac:dyDescent="0.3">
      <c r="B130" s="1846" t="s">
        <v>116</v>
      </c>
      <c r="D130" s="409" t="str">
        <f>IF(DD106&lt;0," ","change the angle of frame or of cabinets")</f>
        <v xml:space="preserve"> </v>
      </c>
      <c r="E130" s="37"/>
      <c r="F130" s="37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U130" s="212"/>
      <c r="V130" s="73"/>
      <c r="AB130" s="73"/>
      <c r="AC130" s="73"/>
      <c r="AD130" s="73"/>
      <c r="AE130" s="73"/>
      <c r="AF130" s="73"/>
      <c r="AG130" s="73"/>
      <c r="AH130" s="73"/>
      <c r="AI130" s="73"/>
      <c r="AJ130" s="73"/>
      <c r="AK130" s="73"/>
      <c r="AL130" s="73"/>
      <c r="AM130" s="73"/>
      <c r="AN130" s="73"/>
      <c r="AO130" s="73"/>
      <c r="AP130" s="73"/>
      <c r="AQ130" s="73"/>
      <c r="AR130" s="73"/>
      <c r="AS130" s="73"/>
      <c r="AT130" s="73"/>
      <c r="AU130" s="73"/>
      <c r="AV130" s="73"/>
      <c r="AW130" s="73"/>
      <c r="AX130" s="73"/>
      <c r="AY130" s="73"/>
      <c r="AZ130" s="73"/>
      <c r="BA130" s="73"/>
      <c r="BB130" s="73"/>
      <c r="BC130" s="126"/>
      <c r="BE130" s="136"/>
      <c r="BF130" s="136"/>
      <c r="BG130" s="136"/>
      <c r="BH130" s="136"/>
      <c r="BI130" s="136"/>
      <c r="BJ130" s="136"/>
      <c r="BK130" s="136"/>
      <c r="BL130" s="136"/>
      <c r="BM130" s="402"/>
      <c r="BN130" s="136"/>
      <c r="BO130" s="1091"/>
      <c r="BP130" s="78"/>
      <c r="BQ130" s="199"/>
      <c r="BR130" s="199"/>
      <c r="BS130" s="199"/>
      <c r="BT130" s="199"/>
      <c r="BU130" s="199"/>
      <c r="BV130" s="199"/>
      <c r="BW130" s="199"/>
      <c r="BX130" s="199"/>
      <c r="BY130" s="199"/>
      <c r="BZ130" s="199"/>
      <c r="CA130" s="199"/>
      <c r="CB130" s="199"/>
      <c r="CC130" s="199"/>
      <c r="CD130" s="199"/>
      <c r="CE130" s="199"/>
      <c r="CF130" s="199"/>
      <c r="CG130" s="199"/>
      <c r="CH130" s="199"/>
      <c r="CI130" s="199"/>
      <c r="CJ130" s="199"/>
      <c r="CK130" s="199"/>
      <c r="CL130" s="199"/>
      <c r="CM130" s="199"/>
      <c r="CN130" s="199"/>
      <c r="CO130" s="199"/>
      <c r="CP130" s="199"/>
      <c r="CQ130" s="199"/>
      <c r="CR130" s="199"/>
      <c r="CS130" s="199"/>
      <c r="CT130" s="199"/>
      <c r="CU130" s="199"/>
      <c r="CV130" s="199"/>
      <c r="CW130" s="199"/>
      <c r="CX130" s="199"/>
      <c r="CY130" s="199"/>
      <c r="CZ130" s="199"/>
      <c r="DA130" s="199"/>
      <c r="DB130" s="199"/>
    </row>
    <row r="131" spans="2:142" ht="51.75" customHeight="1" thickBot="1" x14ac:dyDescent="0.3">
      <c r="B131" s="1847"/>
      <c r="C131" s="213"/>
      <c r="D131" s="409" t="str">
        <f>IF(BL106&gt;(+COS(($B$132*-1)*3.14159265358979/180)*451.5)," ","USE EXBAR AR AT THE FRONT")</f>
        <v xml:space="preserve"> </v>
      </c>
      <c r="E131" s="37"/>
      <c r="F131" s="37"/>
      <c r="G131" s="1014"/>
      <c r="H131" s="209"/>
      <c r="I131" s="1085">
        <f>COUNTIF(CK100:DA100,"&gt;0")</f>
        <v>1</v>
      </c>
      <c r="J131" s="1085">
        <f>COUNTIF(BQ100:CG100,"&gt;0")</f>
        <v>1</v>
      </c>
      <c r="K131" s="1085" t="b">
        <f>AND(IF(SUM(BQ102:CA102)&gt;0,1,0),IF(CP102="6  ADS ",1,0))</f>
        <v>1</v>
      </c>
      <c r="L131" s="1085" t="b">
        <f>AND(IF(SUM(CQ102:DA102)&gt;0,1,0),IF(CB102="6  ADS ",1,0))</f>
        <v>0</v>
      </c>
      <c r="M131" s="1085" t="b">
        <f>AND(IF(CP102="6  ADS ",1,0),IF(CB102="6  ADS ",1,0))</f>
        <v>0</v>
      </c>
      <c r="N131" s="209"/>
      <c r="O131" s="1015"/>
      <c r="U131" s="212"/>
      <c r="V131" s="73"/>
      <c r="AB131" s="73"/>
      <c r="AC131" s="73"/>
      <c r="AD131" s="73"/>
      <c r="AE131" s="73"/>
      <c r="AF131" s="73"/>
      <c r="AG131" s="73"/>
      <c r="AH131" s="73"/>
      <c r="AI131" s="73"/>
      <c r="AJ131" s="73"/>
      <c r="AK131" s="73"/>
      <c r="AL131" s="73"/>
      <c r="AM131" s="73"/>
      <c r="AN131" s="73"/>
      <c r="AO131" s="73"/>
      <c r="AP131" s="73"/>
      <c r="AQ131" s="73"/>
      <c r="AR131" s="73"/>
      <c r="AS131" s="73"/>
      <c r="AT131" s="73"/>
      <c r="AU131" s="73"/>
      <c r="AV131" s="73"/>
      <c r="AW131" s="73"/>
      <c r="AX131" s="73"/>
      <c r="AY131" s="73"/>
      <c r="AZ131" s="73"/>
      <c r="BA131" s="73"/>
      <c r="BB131" s="73"/>
      <c r="BC131" s="126"/>
      <c r="BE131" s="136"/>
      <c r="BF131" s="136"/>
      <c r="BG131" s="136"/>
      <c r="BH131" s="136"/>
      <c r="BI131" s="136"/>
      <c r="BJ131" s="136"/>
      <c r="BK131" s="136"/>
      <c r="BL131" s="136"/>
      <c r="BM131" s="402"/>
      <c r="BN131" s="136"/>
      <c r="BO131" s="1091"/>
      <c r="BP131" s="78"/>
      <c r="BQ131" s="199"/>
      <c r="BR131" s="199"/>
      <c r="BS131" s="199"/>
      <c r="BT131" s="199"/>
      <c r="BU131" s="199"/>
      <c r="BV131" s="199"/>
      <c r="BW131" s="199"/>
      <c r="BX131" s="199"/>
      <c r="BY131" s="199"/>
      <c r="BZ131" s="199"/>
      <c r="CA131" s="199"/>
      <c r="CB131" s="199"/>
      <c r="CC131" s="199"/>
      <c r="CD131" s="199"/>
      <c r="CE131" s="199"/>
      <c r="CF131" s="199"/>
      <c r="CG131" s="199"/>
      <c r="CH131" s="199"/>
      <c r="CI131" s="199"/>
      <c r="CJ131" s="199"/>
      <c r="CK131" s="199"/>
      <c r="CL131" s="199"/>
      <c r="CM131" s="199"/>
      <c r="CN131" s="199"/>
      <c r="CO131" s="199"/>
      <c r="CP131" s="199"/>
      <c r="CQ131" s="199"/>
      <c r="CR131" s="199"/>
      <c r="CS131" s="199"/>
      <c r="CT131" s="199"/>
      <c r="CU131" s="199"/>
      <c r="CV131" s="199"/>
      <c r="CW131" s="199"/>
      <c r="CX131" s="199"/>
      <c r="CY131" s="199"/>
      <c r="CZ131" s="199"/>
      <c r="DA131" s="199"/>
      <c r="DB131" s="199"/>
    </row>
    <row r="132" spans="2:142" ht="51.75" customHeight="1" thickBot="1" x14ac:dyDescent="0.3">
      <c r="B132" s="4">
        <v>0</v>
      </c>
      <c r="C132" s="213"/>
      <c r="D132" s="341" t="str">
        <f>IF(DD106&lt;-(+COS(($B$132*-1)*3.14159265358979/180)*365.5)," ","USE EXBAR AR AT THE BACK")</f>
        <v xml:space="preserve"> </v>
      </c>
      <c r="E132" s="37"/>
      <c r="F132" s="37"/>
      <c r="G132" s="1016"/>
      <c r="H132" s="1017"/>
      <c r="I132" s="1086">
        <f>IF(I131=2,I126,0)</f>
        <v>0</v>
      </c>
      <c r="J132" s="1086">
        <f>IF(J131=2,J126,0)</f>
        <v>0</v>
      </c>
      <c r="K132" s="1086">
        <f t="shared" ref="K132:M132" si="3">IF(K131=TRUE,K126,0)</f>
        <v>71.492403932082212</v>
      </c>
      <c r="L132" s="1086">
        <f t="shared" si="3"/>
        <v>0</v>
      </c>
      <c r="M132" s="1086">
        <f t="shared" si="3"/>
        <v>0</v>
      </c>
      <c r="N132" s="1017"/>
      <c r="O132" s="1018"/>
      <c r="U132" s="212"/>
      <c r="V132" s="73"/>
      <c r="AB132" s="73"/>
      <c r="AC132" s="73"/>
      <c r="AD132" s="73"/>
      <c r="AE132" s="73"/>
      <c r="AF132" s="73"/>
      <c r="AG132" s="73"/>
      <c r="AH132" s="73"/>
      <c r="AI132" s="73"/>
      <c r="AJ132" s="73"/>
      <c r="AK132" s="73"/>
      <c r="AL132" s="73"/>
      <c r="AM132" s="73"/>
      <c r="AN132" s="73"/>
      <c r="AO132" s="73"/>
      <c r="AP132" s="73"/>
      <c r="AQ132" s="73"/>
      <c r="AR132" s="73"/>
      <c r="AS132" s="73"/>
      <c r="AT132" s="73"/>
      <c r="AU132" s="73"/>
      <c r="AV132" s="73"/>
      <c r="AW132" s="73"/>
      <c r="AX132" s="73"/>
      <c r="AY132" s="73"/>
      <c r="AZ132" s="73"/>
      <c r="BA132" s="73"/>
      <c r="BB132" s="73"/>
      <c r="BC132" s="126"/>
      <c r="BE132" s="136"/>
      <c r="BF132" s="136"/>
      <c r="BG132" s="136"/>
      <c r="BH132" s="136"/>
      <c r="BI132" s="136"/>
      <c r="BJ132" s="136"/>
      <c r="BK132" s="136"/>
      <c r="BL132" s="136"/>
      <c r="BM132" s="402"/>
      <c r="BN132" s="136"/>
      <c r="BO132" s="1091"/>
      <c r="BP132" s="78"/>
      <c r="BQ132" s="199"/>
      <c r="BR132" s="199"/>
      <c r="BS132" s="199"/>
      <c r="BT132" s="199"/>
      <c r="BU132" s="199"/>
      <c r="BV132" s="199"/>
      <c r="BW132" s="199"/>
      <c r="BX132" s="199"/>
      <c r="BY132" s="199"/>
      <c r="BZ132" s="199"/>
      <c r="CA132" s="199"/>
      <c r="CB132" s="199"/>
      <c r="CC132" s="199"/>
      <c r="CD132" s="199"/>
      <c r="CE132" s="199"/>
      <c r="CF132" s="199"/>
      <c r="CG132" s="199"/>
      <c r="CH132" s="199"/>
      <c r="CI132" s="199"/>
      <c r="CJ132" s="199"/>
      <c r="CK132" s="199"/>
      <c r="CL132" s="199"/>
      <c r="CM132" s="199"/>
      <c r="CN132" s="199"/>
      <c r="CO132" s="199"/>
      <c r="CP132" s="199"/>
      <c r="CQ132" s="199"/>
      <c r="CR132" s="199"/>
      <c r="CS132" s="199"/>
      <c r="CT132" s="199"/>
      <c r="CU132" s="199"/>
      <c r="CV132" s="199"/>
      <c r="CW132" s="199"/>
      <c r="CX132" s="199"/>
      <c r="CY132" s="199"/>
      <c r="CZ132" s="199"/>
      <c r="DA132" s="199"/>
      <c r="DB132" s="199"/>
    </row>
    <row r="133" spans="2:142" ht="21" hidden="1" thickBot="1" x14ac:dyDescent="0.25">
      <c r="B133" s="713"/>
      <c r="C133" s="714"/>
      <c r="D133" s="37"/>
      <c r="E133" s="37"/>
      <c r="F133" s="37"/>
      <c r="G133" s="37"/>
      <c r="U133" s="212"/>
      <c r="V133" s="73"/>
      <c r="AB133" s="73"/>
      <c r="AC133" s="73"/>
      <c r="AD133" s="73"/>
      <c r="AE133" s="73"/>
      <c r="AF133" s="73"/>
      <c r="AG133" s="73"/>
      <c r="AH133" s="73"/>
      <c r="AI133" s="73"/>
      <c r="AJ133" s="73"/>
      <c r="AK133" s="73"/>
      <c r="AL133" s="73"/>
      <c r="AM133" s="73"/>
      <c r="AN133" s="73"/>
      <c r="AO133" s="73"/>
      <c r="AP133" s="73"/>
      <c r="AQ133" s="73"/>
      <c r="AR133" s="73"/>
      <c r="AS133" s="73"/>
      <c r="AT133" s="73"/>
      <c r="AU133" s="73"/>
      <c r="AV133" s="73"/>
      <c r="AW133" s="73"/>
      <c r="AX133" s="73"/>
      <c r="AY133" s="73"/>
      <c r="AZ133" s="73"/>
      <c r="BA133" s="73"/>
      <c r="BB133" s="73"/>
      <c r="BC133" s="126"/>
      <c r="BE133" s="136"/>
      <c r="BF133" s="136"/>
      <c r="BG133" s="136"/>
      <c r="BH133" s="136"/>
      <c r="BI133" s="136"/>
      <c r="BJ133" s="136"/>
      <c r="BK133" s="136"/>
      <c r="BL133" s="136"/>
      <c r="BM133" s="402"/>
      <c r="BN133" s="136"/>
      <c r="BO133" s="1091"/>
      <c r="BP133" s="78"/>
      <c r="BQ133" s="199"/>
      <c r="BR133" s="199"/>
      <c r="BS133" s="199"/>
      <c r="BT133" s="199"/>
      <c r="BU133" s="199"/>
      <c r="BV133" s="199"/>
      <c r="BW133" s="199"/>
      <c r="BX133" s="199"/>
      <c r="BY133" s="199"/>
      <c r="BZ133" s="199"/>
      <c r="CA133" s="199"/>
      <c r="CB133" s="199"/>
      <c r="CC133" s="199"/>
      <c r="CD133" s="199"/>
      <c r="CE133" s="199"/>
      <c r="CF133" s="199"/>
      <c r="CG133" s="199"/>
      <c r="CH133" s="199"/>
      <c r="CI133" s="199"/>
      <c r="CJ133" s="199"/>
      <c r="CK133" s="199"/>
      <c r="CL133" s="199"/>
      <c r="CM133" s="199"/>
      <c r="CN133" s="199"/>
      <c r="CO133" s="199"/>
      <c r="CP133" s="199"/>
      <c r="CQ133" s="199"/>
      <c r="CR133" s="199"/>
      <c r="CS133" s="199"/>
      <c r="CT133" s="199"/>
      <c r="CU133" s="199"/>
      <c r="CV133" s="199"/>
      <c r="CW133" s="199"/>
      <c r="CX133" s="199"/>
      <c r="CY133" s="199"/>
      <c r="CZ133" s="199"/>
      <c r="DA133" s="199"/>
      <c r="DB133" s="199"/>
    </row>
    <row r="134" spans="2:142" ht="41.25" hidden="1" customHeight="1" thickBot="1" x14ac:dyDescent="0.35">
      <c r="B134"/>
      <c r="D134" s="543"/>
      <c r="E134" s="543"/>
      <c r="F134" s="543"/>
      <c r="G134" s="543"/>
      <c r="V134" s="437"/>
      <c r="W134" s="437"/>
      <c r="X134" s="437"/>
      <c r="Y134" s="437"/>
      <c r="Z134" s="437"/>
      <c r="AA134" s="437"/>
      <c r="AB134" s="1585"/>
      <c r="AC134" s="1585"/>
      <c r="AD134" s="1585"/>
      <c r="AE134" s="1585"/>
      <c r="AF134" s="437"/>
      <c r="AG134" s="437"/>
      <c r="AH134" s="546"/>
      <c r="AI134" s="547"/>
      <c r="AJ134" s="543"/>
      <c r="AK134" s="415"/>
      <c r="AL134" s="292"/>
      <c r="AM134" s="543"/>
      <c r="AN134" s="415"/>
      <c r="AO134" s="292"/>
      <c r="AP134" s="445"/>
      <c r="AQ134" s="292"/>
      <c r="AR134" s="445"/>
      <c r="AS134" s="445"/>
      <c r="AT134" s="445"/>
      <c r="AU134" s="445"/>
      <c r="AV134" s="445"/>
      <c r="AW134" s="445"/>
      <c r="AX134" s="445"/>
      <c r="AY134" s="1586"/>
      <c r="AZ134" s="1586"/>
      <c r="BA134" s="1586"/>
      <c r="BB134" s="1586"/>
      <c r="BD134" s="545"/>
      <c r="BM134" s="214"/>
      <c r="BN134" s="214"/>
      <c r="BO134" s="214"/>
    </row>
    <row r="135" spans="2:142" ht="47.25" hidden="1" customHeight="1" thickBot="1" x14ac:dyDescent="0.35">
      <c r="B135"/>
      <c r="C135"/>
      <c r="D135" s="543"/>
      <c r="E135" s="543"/>
      <c r="F135" s="543"/>
      <c r="G135" s="543"/>
      <c r="V135" s="437"/>
      <c r="W135" s="437"/>
      <c r="X135" s="437"/>
      <c r="Y135" s="437"/>
      <c r="Z135" s="437"/>
      <c r="AA135" s="437"/>
      <c r="AB135" s="1585"/>
      <c r="AC135" s="1585"/>
      <c r="AD135" s="1585"/>
      <c r="AE135" s="1585"/>
      <c r="AF135" s="437"/>
      <c r="AG135" s="437"/>
      <c r="AH135" s="437"/>
      <c r="AI135" s="437"/>
      <c r="AJ135" s="543"/>
      <c r="AK135" s="415"/>
      <c r="AL135" s="292"/>
      <c r="AM135" s="543"/>
      <c r="AN135" s="415"/>
      <c r="AO135" s="292"/>
      <c r="AP135" s="445"/>
      <c r="AQ135" s="292"/>
      <c r="AR135" s="445"/>
      <c r="AS135" s="445"/>
      <c r="AT135" s="445"/>
      <c r="AU135" s="445"/>
      <c r="AV135" s="445"/>
      <c r="AW135" s="445"/>
      <c r="AX135" s="445"/>
      <c r="AY135" s="1586"/>
      <c r="AZ135" s="1586"/>
      <c r="BA135" s="1586"/>
      <c r="BB135" s="1586"/>
      <c r="BD135" s="545"/>
      <c r="BM135" s="214"/>
      <c r="BN135" s="214"/>
      <c r="BO135" s="214"/>
    </row>
    <row r="136" spans="2:142" ht="65" hidden="1" x14ac:dyDescent="0.3">
      <c r="B136"/>
      <c r="D136" s="543"/>
      <c r="E136" s="543"/>
      <c r="F136" s="543"/>
      <c r="G136" s="543"/>
      <c r="V136" s="437"/>
      <c r="W136" s="437"/>
      <c r="X136" s="437"/>
      <c r="Y136" s="437"/>
      <c r="Z136" s="437"/>
      <c r="AA136" s="437"/>
      <c r="AB136" s="1585"/>
      <c r="AC136" s="1585"/>
      <c r="AD136" s="1585"/>
      <c r="AE136" s="1585"/>
      <c r="AF136" s="437"/>
      <c r="AG136" s="437"/>
      <c r="AH136" s="437"/>
      <c r="AI136" s="437"/>
      <c r="AJ136" s="543"/>
      <c r="AK136" s="415"/>
      <c r="AL136" s="797" t="s">
        <v>174</v>
      </c>
      <c r="AM136" s="794"/>
      <c r="AN136" s="794"/>
      <c r="AO136" s="794"/>
      <c r="AP136" s="876" t="s">
        <v>178</v>
      </c>
      <c r="AQ136" s="292"/>
      <c r="AR136" s="445"/>
      <c r="AS136" s="445"/>
      <c r="AT136" s="445"/>
      <c r="AU136" s="445"/>
      <c r="AV136" s="445"/>
      <c r="AW136" s="445"/>
      <c r="AX136" s="445"/>
      <c r="AY136" s="1586"/>
      <c r="AZ136" s="1586"/>
      <c r="BA136" s="1586"/>
      <c r="BB136" s="1586"/>
      <c r="BD136" s="545"/>
      <c r="BM136" s="214"/>
      <c r="BN136" s="214"/>
      <c r="BO136" s="214"/>
    </row>
    <row r="137" spans="2:142" ht="23.25" customHeight="1" thickBot="1" x14ac:dyDescent="0.35">
      <c r="D137" s="543"/>
      <c r="E137" s="543"/>
      <c r="F137" s="543"/>
      <c r="G137" s="543"/>
      <c r="V137" s="437"/>
      <c r="W137" s="437"/>
      <c r="X137" s="437"/>
      <c r="Y137" s="437"/>
      <c r="Z137" s="437"/>
      <c r="AA137" s="437"/>
      <c r="AB137" s="1585"/>
      <c r="AC137" s="1585"/>
      <c r="AD137" s="1585"/>
      <c r="AE137" s="1585"/>
      <c r="AF137" s="437"/>
      <c r="AG137" s="437"/>
      <c r="AH137" s="437"/>
      <c r="AI137" s="437"/>
      <c r="AJ137" s="543"/>
      <c r="AK137" s="415"/>
      <c r="AL137" s="877" t="s">
        <v>175</v>
      </c>
      <c r="AM137" s="797" t="s">
        <v>176</v>
      </c>
      <c r="AN137" s="797" t="s">
        <v>177</v>
      </c>
      <c r="AO137" s="798" t="s">
        <v>181</v>
      </c>
      <c r="AP137" s="799" t="s">
        <v>179</v>
      </c>
      <c r="AQ137" s="292"/>
      <c r="AR137" s="445"/>
      <c r="AS137" s="445"/>
      <c r="AT137" s="445"/>
      <c r="AU137" s="445"/>
      <c r="AV137" s="445"/>
      <c r="AW137" s="445"/>
      <c r="AX137" s="445"/>
      <c r="AY137" s="1586"/>
      <c r="AZ137" s="1586"/>
      <c r="BA137" s="1586"/>
      <c r="BB137" s="1586"/>
      <c r="BD137" s="545"/>
      <c r="BM137" s="214"/>
      <c r="BN137" s="214"/>
      <c r="BO137" s="214"/>
    </row>
    <row r="138" spans="2:142" ht="77.25" customHeight="1" thickBot="1" x14ac:dyDescent="0.35">
      <c r="B138" s="345" t="s">
        <v>30</v>
      </c>
      <c r="C138" s="412"/>
      <c r="D138" s="37"/>
      <c r="E138" s="37"/>
      <c r="F138" s="37"/>
      <c r="G138" s="37"/>
      <c r="T138" s="73"/>
      <c r="AL138" s="877">
        <v>6.8623010000000004</v>
      </c>
      <c r="AM138" s="797">
        <f>+$B$132-AL138</f>
        <v>-6.8623010000000004</v>
      </c>
      <c r="AN138" s="800">
        <f>COS(AM138*3.14159265358979/180)</f>
        <v>0.99283617366519983</v>
      </c>
      <c r="AO138" s="793">
        <f>+AN138*378.71303</f>
        <v>375.99999562235405</v>
      </c>
      <c r="AP138" s="801">
        <f>+((AP142*(AR142-31))+(AO138*31)+(AP160*31))/(AR142+31)</f>
        <v>269.97737163870869</v>
      </c>
      <c r="AQ138" s="1100" t="s">
        <v>266</v>
      </c>
      <c r="BD138" s="136"/>
      <c r="BM138" s="214"/>
      <c r="BN138" s="214"/>
      <c r="BO138" s="214"/>
      <c r="EK138" s="78"/>
      <c r="EL138" s="78"/>
    </row>
    <row r="139" spans="2:142" ht="37.5" customHeight="1" thickBot="1" x14ac:dyDescent="0.35">
      <c r="B139" s="27">
        <v>1</v>
      </c>
      <c r="C139" s="216"/>
      <c r="D139" s="549" t="s">
        <v>65</v>
      </c>
      <c r="E139" s="330"/>
      <c r="F139" s="330"/>
      <c r="G139" s="330"/>
      <c r="H139" s="342" t="s">
        <v>87</v>
      </c>
      <c r="I139" s="342" t="s">
        <v>88</v>
      </c>
      <c r="J139" s="342" t="s">
        <v>89</v>
      </c>
      <c r="K139"/>
      <c r="L139"/>
      <c r="M139"/>
      <c r="N139"/>
      <c r="O139"/>
      <c r="P139" s="342" t="s">
        <v>90</v>
      </c>
      <c r="Q139" s="342" t="s">
        <v>91</v>
      </c>
      <c r="R139" s="330"/>
      <c r="S139" s="342" t="s">
        <v>92</v>
      </c>
      <c r="T139" s="1588"/>
      <c r="W139" s="1850" t="s">
        <v>93</v>
      </c>
      <c r="X139" s="1850"/>
      <c r="Y139" s="1850"/>
      <c r="Z139" s="1850"/>
      <c r="AA139" s="1850"/>
      <c r="AQ139" s="1589" t="s">
        <v>334</v>
      </c>
      <c r="AZ139" s="415"/>
      <c r="BA139" s="1848" t="s">
        <v>52</v>
      </c>
      <c r="BB139" s="1849"/>
      <c r="BD139" s="136"/>
      <c r="BM139" s="214"/>
      <c r="BN139" s="214"/>
      <c r="BO139" s="214"/>
      <c r="EK139" s="78"/>
      <c r="EL139" s="78"/>
    </row>
    <row r="140" spans="2:142" ht="23" hidden="1" thickBot="1" x14ac:dyDescent="0.35">
      <c r="C140" s="416"/>
      <c r="D140" s="550" t="s">
        <v>13</v>
      </c>
      <c r="H140" s="356" t="s">
        <v>4</v>
      </c>
      <c r="I140" s="356" t="s">
        <v>1</v>
      </c>
      <c r="J140" s="377" t="s">
        <v>73</v>
      </c>
      <c r="K140" s="316" t="s">
        <v>2</v>
      </c>
      <c r="L140" s="316" t="s">
        <v>3</v>
      </c>
      <c r="M140" s="316" t="s">
        <v>8</v>
      </c>
      <c r="N140" s="316" t="s">
        <v>5</v>
      </c>
      <c r="O140" s="316" t="s">
        <v>6</v>
      </c>
      <c r="P140" s="316" t="s">
        <v>7</v>
      </c>
      <c r="Q140" s="316" t="s">
        <v>9</v>
      </c>
      <c r="R140" s="356" t="s">
        <v>10</v>
      </c>
      <c r="S140" s="316" t="s">
        <v>11</v>
      </c>
      <c r="T140" s="418" t="s">
        <v>12</v>
      </c>
      <c r="W140" s="356" t="s">
        <v>97</v>
      </c>
      <c r="X140" s="316" t="s">
        <v>94</v>
      </c>
      <c r="Y140" s="356" t="s">
        <v>98</v>
      </c>
      <c r="Z140" s="419" t="s">
        <v>95</v>
      </c>
      <c r="AA140" s="419" t="s">
        <v>96</v>
      </c>
      <c r="AC140" s="316" t="s">
        <v>99</v>
      </c>
      <c r="AD140" s="316"/>
      <c r="AE140" s="316"/>
      <c r="AF140" s="420"/>
      <c r="AG140" s="420"/>
      <c r="AH140" s="420"/>
      <c r="AI140" s="420"/>
      <c r="AJ140" s="420"/>
      <c r="AK140" s="420"/>
      <c r="AL140" s="420"/>
      <c r="AM140" s="420"/>
      <c r="AN140" s="420"/>
      <c r="AO140" s="420"/>
      <c r="AP140" s="420" t="s">
        <v>135</v>
      </c>
      <c r="AQ140" s="420"/>
      <c r="AR140" s="420" t="s">
        <v>135</v>
      </c>
      <c r="AS140" s="420"/>
      <c r="AT140" s="420"/>
      <c r="AU140" s="420" t="s">
        <v>135</v>
      </c>
      <c r="AV140" s="420"/>
      <c r="AW140" s="420"/>
      <c r="AX140" s="420"/>
      <c r="AY140" s="415"/>
      <c r="AZ140" s="415"/>
      <c r="BA140" s="420"/>
      <c r="BB140" s="420"/>
      <c r="BC140" s="231"/>
      <c r="BD140" s="136"/>
      <c r="BM140" s="214"/>
      <c r="BN140" s="214"/>
      <c r="BO140" s="214"/>
      <c r="EK140" s="78"/>
      <c r="EL140" s="78"/>
    </row>
    <row r="141" spans="2:142" ht="44.25" customHeight="1" thickBot="1" x14ac:dyDescent="0.35">
      <c r="B141" s="421"/>
      <c r="C141" s="422"/>
      <c r="D141" s="551" t="s">
        <v>22</v>
      </c>
      <c r="E141" s="37"/>
      <c r="F141" s="330"/>
      <c r="G141" s="240"/>
      <c r="H141" s="356"/>
      <c r="I141" s="356"/>
      <c r="J141" s="377"/>
      <c r="K141" s="316"/>
      <c r="L141" s="316"/>
      <c r="M141" s="316"/>
      <c r="N141" s="316"/>
      <c r="O141" s="316"/>
      <c r="P141" s="316"/>
      <c r="Q141" s="316"/>
      <c r="R141" s="356"/>
      <c r="S141" s="316"/>
      <c r="T141" s="418"/>
      <c r="V141" s="420"/>
      <c r="W141" s="420"/>
      <c r="X141" s="420"/>
      <c r="Y141" s="420"/>
      <c r="Z141" s="420"/>
      <c r="AA141" s="420"/>
      <c r="AB141" s="420"/>
      <c r="AC141" s="423">
        <f>SUM(AC142:AC153)</f>
        <v>343.49989132317432</v>
      </c>
      <c r="AD141" s="424"/>
      <c r="AE141" s="424"/>
      <c r="AF141" s="420" t="s">
        <v>38</v>
      </c>
      <c r="AH141" s="425" t="s">
        <v>31</v>
      </c>
      <c r="AI141" s="425"/>
      <c r="AJ141" s="367" t="s">
        <v>67</v>
      </c>
      <c r="AK141" s="426" t="s">
        <v>32</v>
      </c>
      <c r="AL141" s="367" t="s">
        <v>33</v>
      </c>
      <c r="AM141" s="368" t="s">
        <v>68</v>
      </c>
      <c r="AN141" s="427" t="s">
        <v>34</v>
      </c>
      <c r="AO141" s="367" t="s">
        <v>35</v>
      </c>
      <c r="AP141" s="428" t="s">
        <v>48</v>
      </c>
      <c r="AQ141" s="367" t="s">
        <v>335</v>
      </c>
      <c r="AR141" s="428" t="s">
        <v>336</v>
      </c>
      <c r="AS141" s="420" t="s">
        <v>46</v>
      </c>
      <c r="AT141" s="420" t="s">
        <v>72</v>
      </c>
      <c r="AU141" s="428" t="s">
        <v>71</v>
      </c>
      <c r="AV141" s="553"/>
      <c r="AW141" s="1594" t="s">
        <v>41</v>
      </c>
      <c r="AX141" s="1594" t="s">
        <v>42</v>
      </c>
      <c r="AY141" s="430" t="s">
        <v>23</v>
      </c>
      <c r="AZ141" s="430" t="s">
        <v>24</v>
      </c>
      <c r="BA141" s="431" t="s">
        <v>23</v>
      </c>
      <c r="BB141" s="431" t="s">
        <v>24</v>
      </c>
      <c r="BD141" s="136"/>
      <c r="BM141" s="214"/>
      <c r="BN141" s="214"/>
      <c r="BO141" s="214"/>
      <c r="EK141" s="78"/>
      <c r="EL141" s="78"/>
    </row>
    <row r="142" spans="2:142" ht="23" thickBot="1" x14ac:dyDescent="0.35">
      <c r="B142" s="735">
        <v>1</v>
      </c>
      <c r="C142" s="715">
        <f>+(B132*-1)+D142</f>
        <v>0</v>
      </c>
      <c r="D142" s="25">
        <v>0</v>
      </c>
      <c r="E142" s="257" t="s">
        <v>80</v>
      </c>
      <c r="F142" s="258"/>
      <c r="G142" s="258"/>
      <c r="H142" s="342">
        <v>421.92079999999999</v>
      </c>
      <c r="I142" s="342">
        <v>35.4982179</v>
      </c>
      <c r="J142" s="342">
        <f>+I142-C142</f>
        <v>35.4982179</v>
      </c>
      <c r="K142" s="280"/>
      <c r="L142" s="280"/>
      <c r="M142" s="280"/>
      <c r="N142" s="280"/>
      <c r="O142" s="280"/>
      <c r="P142" s="342">
        <f>COS(J142*3.14159265358979/180)</f>
        <v>0.81413357986421708</v>
      </c>
      <c r="Q142" s="342">
        <f>+P142*H142</f>
        <v>343.49989132317432</v>
      </c>
      <c r="R142" s="433">
        <v>343.5</v>
      </c>
      <c r="S142" s="342">
        <f>+Q142</f>
        <v>343.49989132317432</v>
      </c>
      <c r="T142" s="258">
        <f t="shared" ref="T142:T153" si="4">+S142</f>
        <v>343.49989132317432</v>
      </c>
      <c r="U142" s="258"/>
      <c r="V142" s="258">
        <f t="shared" ref="V142:V153" si="5">IF(B142&lt;($B$139+1),T142,0)</f>
        <v>343.49989132317432</v>
      </c>
      <c r="W142" s="433">
        <v>35.4982179</v>
      </c>
      <c r="X142" s="419">
        <f>+W142+AI155</f>
        <v>35.4982179</v>
      </c>
      <c r="Y142" s="356">
        <v>421.92079999999999</v>
      </c>
      <c r="Z142" s="419">
        <f>+COS(X142*3.14159265358979/180)*Y142</f>
        <v>343.49989132317432</v>
      </c>
      <c r="AA142" s="716">
        <f>+AC141-Z142</f>
        <v>0</v>
      </c>
      <c r="AB142" s="258"/>
      <c r="AC142" s="514">
        <f>IF(AD142=1,AF142)</f>
        <v>343.49989132317432</v>
      </c>
      <c r="AD142" s="514">
        <f t="shared" ref="AD142:AD153" si="6">MAX(AE$142:AE$153)</f>
        <v>1</v>
      </c>
      <c r="AE142" s="514">
        <f>IF(V142=0,0,1)</f>
        <v>1</v>
      </c>
      <c r="AF142" s="437">
        <f>SUM(V142:V153)/($B$139)</f>
        <v>343.49989132317432</v>
      </c>
      <c r="AH142" s="450">
        <f>+D142+C142</f>
        <v>0</v>
      </c>
      <c r="AI142" s="717">
        <f t="shared" ref="AI142:AI153" si="7">IF(B142&lt;($B$139+1),AH142)</f>
        <v>0</v>
      </c>
      <c r="AJ142" s="1690">
        <f>54.5017821+AH142</f>
        <v>54.5017821</v>
      </c>
      <c r="AK142" s="718">
        <f>SIN(AJ142*3.14159265358979/180)</f>
        <v>0.81413357986421619</v>
      </c>
      <c r="AL142" s="1690">
        <f>+AK142*421.92</f>
        <v>343.49924001631013</v>
      </c>
      <c r="AM142" s="1690">
        <f>58.7344156-AH142</f>
        <v>58.734415599999998</v>
      </c>
      <c r="AN142" s="442">
        <f>SIN(AM142*3.14159265358979/180)</f>
        <v>0.85477073319485097</v>
      </c>
      <c r="AO142" s="382">
        <f>+AN142*472.06</f>
        <v>403.50307231196138</v>
      </c>
      <c r="AP142" s="519">
        <f t="shared" ref="AP142:AP153" si="8">+((AF142*AQ142)+($AG$164*$AQ$164)+($AQ$195*$AG$195))/AR142</f>
        <v>218.13665644165812</v>
      </c>
      <c r="AQ142" s="1596">
        <f>$C$10*B139</f>
        <v>57</v>
      </c>
      <c r="AR142" s="519">
        <f t="shared" ref="AR142:AR153" si="9">+AQ142+$AQ$195+$AQ$164+31</f>
        <v>157.80000000000001</v>
      </c>
      <c r="AS142" s="444">
        <f>+AO142+AL142</f>
        <v>747.0023123282715</v>
      </c>
      <c r="AT142" s="445">
        <f>+V142-AL142</f>
        <v>6.5130686419934136E-4</v>
      </c>
      <c r="AU142" s="446">
        <f>+AP142-AT142</f>
        <v>218.13600513479392</v>
      </c>
      <c r="AV142" s="719"/>
      <c r="AW142" s="447">
        <f>+((AS142-AU142)/AS142)*AR142</f>
        <v>111.7200066155301</v>
      </c>
      <c r="AX142" s="447">
        <f>+(AU142/AS142)*AR142</f>
        <v>46.079993384469915</v>
      </c>
      <c r="AY142" s="1597">
        <f>2*$C$21/AW142</f>
        <v>103.83099993826437</v>
      </c>
      <c r="AZ142" s="1597">
        <f>2*$D$21/AX142</f>
        <v>251.73614725191092</v>
      </c>
      <c r="BA142" s="542">
        <f>ABS(AY142)</f>
        <v>103.83099993826437</v>
      </c>
      <c r="BB142" s="542">
        <f>ABS(AZ142)</f>
        <v>251.73614725191092</v>
      </c>
      <c r="BC142" s="91"/>
      <c r="BD142" s="136"/>
      <c r="BM142" s="214"/>
      <c r="BN142" s="214"/>
      <c r="BO142" s="214"/>
      <c r="EK142" s="78"/>
      <c r="EL142" s="78"/>
    </row>
    <row r="143" spans="2:142" ht="23" thickBot="1" x14ac:dyDescent="0.35">
      <c r="B143" s="735">
        <v>2</v>
      </c>
      <c r="C143" s="278"/>
      <c r="D143" s="25">
        <v>0</v>
      </c>
      <c r="E143" s="257" t="s">
        <v>80</v>
      </c>
      <c r="F143" s="258"/>
      <c r="G143" s="258"/>
      <c r="H143" s="5">
        <v>479.77208100000001</v>
      </c>
      <c r="I143" s="5">
        <v>61.416098300000002</v>
      </c>
      <c r="J143" s="258">
        <f>+I143+D143</f>
        <v>61.416098300000002</v>
      </c>
      <c r="K143" s="258">
        <f t="shared" ref="K143:K153" si="10">+J143/2</f>
        <v>30.708049150000001</v>
      </c>
      <c r="L143" s="258">
        <f t="shared" ref="L143:L153" si="11">SIN(K143*3.14159265358979/180)</f>
        <v>0.51066370850547771</v>
      </c>
      <c r="M143" s="258">
        <f t="shared" ref="M143:M153" si="12">+L143*H143</f>
        <v>245.00219012085046</v>
      </c>
      <c r="N143" s="258">
        <f t="shared" ref="N143:N153" si="13">+M143*2</f>
        <v>490.00438024170091</v>
      </c>
      <c r="O143" s="258">
        <f>+C142+(D143/2)</f>
        <v>0</v>
      </c>
      <c r="P143" s="258">
        <f t="shared" ref="P143:P153" si="14">SIN(O143*3.14159265358979/180)</f>
        <v>0</v>
      </c>
      <c r="Q143" s="258">
        <f t="shared" ref="Q143:Q153" si="15">+P143*N143</f>
        <v>0</v>
      </c>
      <c r="R143" s="258">
        <f t="shared" ref="R143:R153" si="16">+T142</f>
        <v>343.49989132317432</v>
      </c>
      <c r="S143" s="258">
        <f>+R143+Q143</f>
        <v>343.49989132317432</v>
      </c>
      <c r="T143" s="258">
        <f t="shared" si="4"/>
        <v>343.49989132317432</v>
      </c>
      <c r="U143" s="258"/>
      <c r="V143" s="258">
        <f t="shared" si="5"/>
        <v>0</v>
      </c>
      <c r="W143" s="258"/>
      <c r="X143" s="258"/>
      <c r="Y143" s="258"/>
      <c r="Z143" s="258"/>
      <c r="AA143" s="258"/>
      <c r="AB143" s="258"/>
      <c r="AC143" s="514" t="b">
        <f>IF(AD143=2,AF143)</f>
        <v>0</v>
      </c>
      <c r="AD143" s="514">
        <f t="shared" si="6"/>
        <v>1</v>
      </c>
      <c r="AE143" s="514">
        <f>IF(V143=0,0,2)</f>
        <v>0</v>
      </c>
      <c r="AF143" s="437" t="e">
        <f>SUM(V143:V153)/($B$139-B142)</f>
        <v>#DIV/0!</v>
      </c>
      <c r="AG143" s="437"/>
      <c r="AH143" s="450">
        <f>SUM(D143)+$C$142</f>
        <v>0</v>
      </c>
      <c r="AI143" s="717" t="b">
        <f t="shared" si="7"/>
        <v>0</v>
      </c>
      <c r="AJ143" s="1690">
        <f t="shared" ref="AJ143:AJ153" si="17">54.5017821+AH143</f>
        <v>54.5017821</v>
      </c>
      <c r="AK143" s="718">
        <f>SIN(AJ143*3.14159265358979/180)</f>
        <v>0.81413357986421619</v>
      </c>
      <c r="AL143" s="1690">
        <f t="shared" ref="AL143:AL153" si="18">+AK143*421.92</f>
        <v>343.49924001631013</v>
      </c>
      <c r="AM143" s="1690">
        <f t="shared" ref="AM143:AM153" si="19">58.7344156-AH143</f>
        <v>58.734415599999998</v>
      </c>
      <c r="AN143" s="442">
        <f t="shared" ref="AN143:AN153" si="20">SIN(AM143*3.14159265358979/180)</f>
        <v>0.85477073319485097</v>
      </c>
      <c r="AO143" s="382">
        <f t="shared" ref="AO143:AO153" si="21">+AN143*472.06</f>
        <v>403.50307231196138</v>
      </c>
      <c r="AP143" s="519" t="e">
        <f t="shared" si="8"/>
        <v>#DIV/0!</v>
      </c>
      <c r="AQ143" s="1596">
        <f>$C$10*($B$139-B142)</f>
        <v>0</v>
      </c>
      <c r="AR143" s="519">
        <f t="shared" si="9"/>
        <v>100.8</v>
      </c>
      <c r="AS143" s="444">
        <f t="shared" ref="AS143:AS153" si="22">+AO143+AL143</f>
        <v>747.0023123282715</v>
      </c>
      <c r="AT143" s="445">
        <f t="shared" ref="AT143:AT153" si="23">+V143-AL143</f>
        <v>-343.49924001631013</v>
      </c>
      <c r="AU143" s="446" t="e">
        <f t="shared" ref="AU143:AU153" si="24">+AP143-AT143</f>
        <v>#DIV/0!</v>
      </c>
      <c r="AV143" s="719"/>
      <c r="AW143" s="447" t="e">
        <f t="shared" ref="AW143:AW153" si="25">+((AS143-AU143)/AS143)*AR143</f>
        <v>#DIV/0!</v>
      </c>
      <c r="AX143" s="447" t="e">
        <f t="shared" ref="AX143:AX153" si="26">+(AU143/AS143)*AR143</f>
        <v>#DIV/0!</v>
      </c>
      <c r="AY143" s="1597" t="e">
        <f t="shared" ref="AY143:AY153" si="27">2*$C$21/AW143</f>
        <v>#DIV/0!</v>
      </c>
      <c r="AZ143" s="1597" t="e">
        <f t="shared" ref="AZ143:AZ153" si="28">2*$D$21/AX143</f>
        <v>#DIV/0!</v>
      </c>
      <c r="BA143" s="542" t="e">
        <f>ABS(AY143)</f>
        <v>#DIV/0!</v>
      </c>
      <c r="BB143" s="542" t="e">
        <f>ABS(AZ143)</f>
        <v>#DIV/0!</v>
      </c>
      <c r="BD143" s="136"/>
      <c r="BM143" s="214"/>
      <c r="BN143" s="214"/>
      <c r="BO143" s="214"/>
      <c r="EK143" s="78"/>
      <c r="EL143" s="78"/>
    </row>
    <row r="144" spans="2:142" ht="23" thickBot="1" x14ac:dyDescent="0.35">
      <c r="B144" s="735">
        <v>3</v>
      </c>
      <c r="C144" s="278"/>
      <c r="D144" s="25">
        <v>0</v>
      </c>
      <c r="E144" s="257" t="s">
        <v>80</v>
      </c>
      <c r="F144" s="258"/>
      <c r="G144" s="258"/>
      <c r="H144" s="5">
        <v>479.77208100000001</v>
      </c>
      <c r="I144" s="5">
        <v>61.416098300000002</v>
      </c>
      <c r="J144" s="258">
        <f t="shared" ref="J144:J153" si="29">+I144+D144</f>
        <v>61.416098300000002</v>
      </c>
      <c r="K144" s="258">
        <f t="shared" si="10"/>
        <v>30.708049150000001</v>
      </c>
      <c r="L144" s="258">
        <f t="shared" si="11"/>
        <v>0.51066370850547771</v>
      </c>
      <c r="M144" s="258">
        <f t="shared" si="12"/>
        <v>245.00219012085046</v>
      </c>
      <c r="N144" s="258">
        <f t="shared" si="13"/>
        <v>490.00438024170091</v>
      </c>
      <c r="O144" s="258">
        <f>+C142+D143+(D144/2)</f>
        <v>0</v>
      </c>
      <c r="P144" s="258">
        <f t="shared" si="14"/>
        <v>0</v>
      </c>
      <c r="Q144" s="258">
        <f t="shared" si="15"/>
        <v>0</v>
      </c>
      <c r="R144" s="258">
        <f t="shared" si="16"/>
        <v>343.49989132317432</v>
      </c>
      <c r="S144" s="258">
        <f t="shared" ref="S144:S153" si="30">+S143+Q144</f>
        <v>343.49989132317432</v>
      </c>
      <c r="T144" s="258">
        <f t="shared" si="4"/>
        <v>343.49989132317432</v>
      </c>
      <c r="U144" s="258"/>
      <c r="V144" s="258">
        <f t="shared" si="5"/>
        <v>0</v>
      </c>
      <c r="W144" s="258"/>
      <c r="X144" s="258"/>
      <c r="Y144" s="258"/>
      <c r="Z144" s="258"/>
      <c r="AA144" s="258"/>
      <c r="AB144" s="258"/>
      <c r="AC144" s="514" t="b">
        <f>IF(AD144=3,AF144)</f>
        <v>0</v>
      </c>
      <c r="AD144" s="514">
        <f t="shared" si="6"/>
        <v>1</v>
      </c>
      <c r="AE144" s="514">
        <f>IF(V144=0,0,3)</f>
        <v>0</v>
      </c>
      <c r="AF144" s="437">
        <f>SUM(V144:V153)/($B$139-B143)</f>
        <v>0</v>
      </c>
      <c r="AG144" s="437"/>
      <c r="AH144" s="450">
        <f>SUM(D143:D144)+$C$142</f>
        <v>0</v>
      </c>
      <c r="AI144" s="717" t="b">
        <f t="shared" si="7"/>
        <v>0</v>
      </c>
      <c r="AJ144" s="1690">
        <f t="shared" si="17"/>
        <v>54.5017821</v>
      </c>
      <c r="AK144" s="718">
        <f t="shared" ref="AK144:AK153" si="31">SIN(AJ144*3.14159265358979/180)</f>
        <v>0.81413357986421619</v>
      </c>
      <c r="AL144" s="1690">
        <f t="shared" si="18"/>
        <v>343.49924001631013</v>
      </c>
      <c r="AM144" s="1690">
        <f t="shared" si="19"/>
        <v>58.734415599999998</v>
      </c>
      <c r="AN144" s="442">
        <f t="shared" si="20"/>
        <v>0.85477073319485097</v>
      </c>
      <c r="AO144" s="382">
        <f t="shared" si="21"/>
        <v>403.50307231196138</v>
      </c>
      <c r="AP144" s="519">
        <f t="shared" si="8"/>
        <v>338.8691913486922</v>
      </c>
      <c r="AQ144" s="1596">
        <f t="shared" ref="AQ144:AQ158" si="32">$C$10*($B$139-B143)</f>
        <v>-57</v>
      </c>
      <c r="AR144" s="519">
        <f t="shared" si="9"/>
        <v>43.8</v>
      </c>
      <c r="AS144" s="444">
        <f t="shared" si="22"/>
        <v>747.0023123282715</v>
      </c>
      <c r="AT144" s="445">
        <f t="shared" si="23"/>
        <v>-343.49924001631013</v>
      </c>
      <c r="AU144" s="446">
        <f t="shared" si="24"/>
        <v>682.36843136500238</v>
      </c>
      <c r="AV144" s="719"/>
      <c r="AW144" s="447">
        <f t="shared" si="25"/>
        <v>3.7897660281232368</v>
      </c>
      <c r="AX144" s="447">
        <f t="shared" si="26"/>
        <v>40.010233971876758</v>
      </c>
      <c r="AY144" s="1597">
        <f t="shared" si="27"/>
        <v>3060.8749759004349</v>
      </c>
      <c r="AZ144" s="1597">
        <f t="shared" si="28"/>
        <v>289.92582268210811</v>
      </c>
      <c r="BA144" s="542">
        <f t="shared" ref="BA144:BB153" si="33">ABS(AY144)</f>
        <v>3060.8749759004349</v>
      </c>
      <c r="BB144" s="542">
        <f t="shared" si="33"/>
        <v>289.92582268210811</v>
      </c>
      <c r="BD144" s="136"/>
      <c r="BM144" s="214"/>
      <c r="BN144" s="214"/>
      <c r="BO144" s="214"/>
      <c r="EK144" s="78"/>
      <c r="EL144" s="78"/>
    </row>
    <row r="145" spans="2:142" ht="23" thickBot="1" x14ac:dyDescent="0.35">
      <c r="B145" s="735">
        <v>4</v>
      </c>
      <c r="C145" s="278"/>
      <c r="D145" s="25">
        <v>0</v>
      </c>
      <c r="E145" s="257" t="s">
        <v>80</v>
      </c>
      <c r="F145" s="258"/>
      <c r="G145" s="258"/>
      <c r="H145" s="5">
        <v>479.77208100000001</v>
      </c>
      <c r="I145" s="5">
        <v>61.416098300000002</v>
      </c>
      <c r="J145" s="258">
        <f t="shared" si="29"/>
        <v>61.416098300000002</v>
      </c>
      <c r="K145" s="258">
        <f t="shared" si="10"/>
        <v>30.708049150000001</v>
      </c>
      <c r="L145" s="258">
        <f t="shared" si="11"/>
        <v>0.51066370850547771</v>
      </c>
      <c r="M145" s="258">
        <f t="shared" si="12"/>
        <v>245.00219012085046</v>
      </c>
      <c r="N145" s="258">
        <f t="shared" si="13"/>
        <v>490.00438024170091</v>
      </c>
      <c r="O145" s="258">
        <f>+C142+D143+D144+(D145/2)</f>
        <v>0</v>
      </c>
      <c r="P145" s="258">
        <f t="shared" si="14"/>
        <v>0</v>
      </c>
      <c r="Q145" s="258">
        <f t="shared" si="15"/>
        <v>0</v>
      </c>
      <c r="R145" s="258">
        <f t="shared" si="16"/>
        <v>343.49989132317432</v>
      </c>
      <c r="S145" s="258">
        <f t="shared" si="30"/>
        <v>343.49989132317432</v>
      </c>
      <c r="T145" s="258">
        <f t="shared" si="4"/>
        <v>343.49989132317432</v>
      </c>
      <c r="U145" s="258"/>
      <c r="V145" s="258">
        <f t="shared" si="5"/>
        <v>0</v>
      </c>
      <c r="W145" s="258"/>
      <c r="X145" s="258"/>
      <c r="Y145" s="258"/>
      <c r="Z145" s="258"/>
      <c r="AA145" s="258"/>
      <c r="AB145" s="258"/>
      <c r="AC145" s="514" t="b">
        <f>IF(AD145=4,AF145)</f>
        <v>0</v>
      </c>
      <c r="AD145" s="514">
        <f t="shared" si="6"/>
        <v>1</v>
      </c>
      <c r="AE145" s="514">
        <f>IF(V145=0,0,4)</f>
        <v>0</v>
      </c>
      <c r="AF145" s="437">
        <f>SUM(V145:V153)/($B$139-B144)</f>
        <v>0</v>
      </c>
      <c r="AG145" s="437"/>
      <c r="AH145" s="450">
        <f>SUM(D143:D145)+$C$142</f>
        <v>0</v>
      </c>
      <c r="AI145" s="717" t="b">
        <f t="shared" si="7"/>
        <v>0</v>
      </c>
      <c r="AJ145" s="1690">
        <f t="shared" si="17"/>
        <v>54.5017821</v>
      </c>
      <c r="AK145" s="718">
        <f t="shared" si="31"/>
        <v>0.81413357986421619</v>
      </c>
      <c r="AL145" s="1690">
        <f t="shared" si="18"/>
        <v>343.49924001631013</v>
      </c>
      <c r="AM145" s="1690">
        <f t="shared" si="19"/>
        <v>58.734415599999998</v>
      </c>
      <c r="AN145" s="442">
        <f t="shared" si="20"/>
        <v>0.85477073319485097</v>
      </c>
      <c r="AO145" s="382">
        <f t="shared" si="21"/>
        <v>403.50307231196138</v>
      </c>
      <c r="AP145" s="519">
        <f t="shared" si="8"/>
        <v>-1124.4295894752056</v>
      </c>
      <c r="AQ145" s="1596">
        <f t="shared" si="32"/>
        <v>-114</v>
      </c>
      <c r="AR145" s="519">
        <f t="shared" si="9"/>
        <v>-13.200000000000003</v>
      </c>
      <c r="AS145" s="444">
        <f t="shared" si="22"/>
        <v>747.0023123282715</v>
      </c>
      <c r="AT145" s="445">
        <f t="shared" si="23"/>
        <v>-343.49924001631013</v>
      </c>
      <c r="AU145" s="446">
        <f t="shared" si="24"/>
        <v>-780.93034945889553</v>
      </c>
      <c r="AV145" s="719"/>
      <c r="AW145" s="447">
        <f t="shared" si="25"/>
        <v>-26.999529723982214</v>
      </c>
      <c r="AX145" s="447">
        <f t="shared" si="26"/>
        <v>13.799529723982207</v>
      </c>
      <c r="AY145" s="1597">
        <f t="shared" si="27"/>
        <v>-429.63711289002009</v>
      </c>
      <c r="AZ145" s="1597">
        <f t="shared" si="28"/>
        <v>840.60835637321441</v>
      </c>
      <c r="BA145" s="542">
        <f t="shared" si="33"/>
        <v>429.63711289002009</v>
      </c>
      <c r="BB145" s="542">
        <f t="shared" si="33"/>
        <v>840.60835637321441</v>
      </c>
      <c r="BD145" s="136"/>
      <c r="BM145" s="214"/>
      <c r="BN145" s="214"/>
      <c r="BO145" s="214"/>
      <c r="EK145" s="78"/>
      <c r="EL145" s="78"/>
    </row>
    <row r="146" spans="2:142" ht="23" thickBot="1" x14ac:dyDescent="0.35">
      <c r="B146" s="735">
        <v>5</v>
      </c>
      <c r="C146" s="278"/>
      <c r="D146" s="25">
        <v>0</v>
      </c>
      <c r="E146" s="257" t="s">
        <v>80</v>
      </c>
      <c r="F146" s="258"/>
      <c r="G146" s="258"/>
      <c r="H146" s="5">
        <v>479.77208100000001</v>
      </c>
      <c r="I146" s="5">
        <v>61.416098300000002</v>
      </c>
      <c r="J146" s="258">
        <f t="shared" si="29"/>
        <v>61.416098300000002</v>
      </c>
      <c r="K146" s="258">
        <f t="shared" si="10"/>
        <v>30.708049150000001</v>
      </c>
      <c r="L146" s="258">
        <f t="shared" si="11"/>
        <v>0.51066370850547771</v>
      </c>
      <c r="M146" s="258">
        <f t="shared" si="12"/>
        <v>245.00219012085046</v>
      </c>
      <c r="N146" s="258">
        <f t="shared" si="13"/>
        <v>490.00438024170091</v>
      </c>
      <c r="O146" s="258">
        <f>+C142+D143+D144+D145+(D146/2)</f>
        <v>0</v>
      </c>
      <c r="P146" s="258">
        <f t="shared" si="14"/>
        <v>0</v>
      </c>
      <c r="Q146" s="258">
        <f t="shared" si="15"/>
        <v>0</v>
      </c>
      <c r="R146" s="258">
        <f t="shared" si="16"/>
        <v>343.49989132317432</v>
      </c>
      <c r="S146" s="258">
        <f t="shared" si="30"/>
        <v>343.49989132317432</v>
      </c>
      <c r="T146" s="258">
        <f t="shared" si="4"/>
        <v>343.49989132317432</v>
      </c>
      <c r="U146" s="258"/>
      <c r="V146" s="258">
        <f t="shared" si="5"/>
        <v>0</v>
      </c>
      <c r="W146" s="258"/>
      <c r="X146" s="258"/>
      <c r="Y146" s="258"/>
      <c r="Z146" s="258"/>
      <c r="AA146" s="258"/>
      <c r="AB146" s="258"/>
      <c r="AC146" s="514" t="b">
        <f>IF(AD146=5,AF146)</f>
        <v>0</v>
      </c>
      <c r="AD146" s="514">
        <f t="shared" si="6"/>
        <v>1</v>
      </c>
      <c r="AE146" s="514">
        <f>IF(V146=0,0,5)</f>
        <v>0</v>
      </c>
      <c r="AF146" s="437">
        <f>SUM(V146:V153)/($B$139-B145)</f>
        <v>0</v>
      </c>
      <c r="AG146" s="437"/>
      <c r="AH146" s="450">
        <f>SUM(D143:D146)+$C$142</f>
        <v>0</v>
      </c>
      <c r="AI146" s="717" t="b">
        <f t="shared" si="7"/>
        <v>0</v>
      </c>
      <c r="AJ146" s="1690">
        <f t="shared" si="17"/>
        <v>54.5017821</v>
      </c>
      <c r="AK146" s="718">
        <f t="shared" si="31"/>
        <v>0.81413357986421619</v>
      </c>
      <c r="AL146" s="1690">
        <f t="shared" si="18"/>
        <v>343.49924001631013</v>
      </c>
      <c r="AM146" s="1690">
        <f t="shared" si="19"/>
        <v>58.734415599999998</v>
      </c>
      <c r="AN146" s="442">
        <f t="shared" si="20"/>
        <v>0.85477073319485097</v>
      </c>
      <c r="AO146" s="382">
        <f t="shared" si="21"/>
        <v>403.50307231196138</v>
      </c>
      <c r="AP146" s="519">
        <f t="shared" si="8"/>
        <v>-211.43120485858574</v>
      </c>
      <c r="AQ146" s="1596">
        <f t="shared" si="32"/>
        <v>-171</v>
      </c>
      <c r="AR146" s="519">
        <f t="shared" si="9"/>
        <v>-70.199999999999989</v>
      </c>
      <c r="AS146" s="444">
        <f t="shared" si="22"/>
        <v>747.0023123282715</v>
      </c>
      <c r="AT146" s="445">
        <f t="shared" si="23"/>
        <v>-343.49924001631013</v>
      </c>
      <c r="AU146" s="446">
        <f t="shared" si="24"/>
        <v>132.06803515772438</v>
      </c>
      <c r="AV146" s="719"/>
      <c r="AW146" s="447">
        <f t="shared" si="25"/>
        <v>-57.788825476087652</v>
      </c>
      <c r="AX146" s="447">
        <f t="shared" si="26"/>
        <v>-12.411174523912338</v>
      </c>
      <c r="AY146" s="1597">
        <f t="shared" si="27"/>
        <v>-200.73084899086496</v>
      </c>
      <c r="AZ146" s="1597">
        <f t="shared" si="28"/>
        <v>-934.6415987987707</v>
      </c>
      <c r="BA146" s="542">
        <f t="shared" si="33"/>
        <v>200.73084899086496</v>
      </c>
      <c r="BB146" s="542">
        <f t="shared" si="33"/>
        <v>934.6415987987707</v>
      </c>
      <c r="BD146" s="136"/>
      <c r="BM146" s="214"/>
      <c r="BN146" s="214"/>
      <c r="BO146" s="214"/>
      <c r="EK146" s="78"/>
      <c r="EL146" s="78"/>
    </row>
    <row r="147" spans="2:142" ht="23" thickBot="1" x14ac:dyDescent="0.35">
      <c r="B147" s="735">
        <v>6</v>
      </c>
      <c r="C147" s="278"/>
      <c r="D147" s="25">
        <v>0</v>
      </c>
      <c r="E147" s="257" t="s">
        <v>80</v>
      </c>
      <c r="F147" s="258"/>
      <c r="G147" s="258"/>
      <c r="H147" s="5">
        <v>479.77208100000001</v>
      </c>
      <c r="I147" s="5">
        <v>61.416098300000002</v>
      </c>
      <c r="J147" s="258">
        <f t="shared" si="29"/>
        <v>61.416098300000002</v>
      </c>
      <c r="K147" s="258">
        <f t="shared" si="10"/>
        <v>30.708049150000001</v>
      </c>
      <c r="L147" s="258">
        <f t="shared" si="11"/>
        <v>0.51066370850547771</v>
      </c>
      <c r="M147" s="258">
        <f t="shared" si="12"/>
        <v>245.00219012085046</v>
      </c>
      <c r="N147" s="258">
        <f t="shared" si="13"/>
        <v>490.00438024170091</v>
      </c>
      <c r="O147" s="258">
        <f>+C142+D143+D144+D145+D146+(D147/2)</f>
        <v>0</v>
      </c>
      <c r="P147" s="258">
        <f t="shared" si="14"/>
        <v>0</v>
      </c>
      <c r="Q147" s="258">
        <f t="shared" si="15"/>
        <v>0</v>
      </c>
      <c r="R147" s="258">
        <f t="shared" si="16"/>
        <v>343.49989132317432</v>
      </c>
      <c r="S147" s="258">
        <f t="shared" si="30"/>
        <v>343.49989132317432</v>
      </c>
      <c r="T147" s="258">
        <f t="shared" si="4"/>
        <v>343.49989132317432</v>
      </c>
      <c r="U147" s="258"/>
      <c r="V147" s="258">
        <f t="shared" si="5"/>
        <v>0</v>
      </c>
      <c r="W147" s="258"/>
      <c r="X147" s="258"/>
      <c r="Y147" s="258"/>
      <c r="Z147" s="258"/>
      <c r="AA147" s="258"/>
      <c r="AB147" s="258"/>
      <c r="AC147" s="514" t="b">
        <f>IF(AD147=6,AF147)</f>
        <v>0</v>
      </c>
      <c r="AD147" s="514">
        <f t="shared" si="6"/>
        <v>1</v>
      </c>
      <c r="AE147" s="514">
        <f>IF(V147=0,0,6)</f>
        <v>0</v>
      </c>
      <c r="AF147" s="437">
        <f>SUM(V147:V153)/($B$139-B146)</f>
        <v>0</v>
      </c>
      <c r="AG147" s="437"/>
      <c r="AH147" s="450">
        <f>SUM(D143:D147)+$C$142</f>
        <v>0</v>
      </c>
      <c r="AI147" s="717" t="b">
        <f t="shared" si="7"/>
        <v>0</v>
      </c>
      <c r="AJ147" s="1690">
        <f t="shared" si="17"/>
        <v>54.5017821</v>
      </c>
      <c r="AK147" s="718">
        <f t="shared" si="31"/>
        <v>0.81413357986421619</v>
      </c>
      <c r="AL147" s="1690">
        <f t="shared" si="18"/>
        <v>343.49924001631013</v>
      </c>
      <c r="AM147" s="1690">
        <f t="shared" si="19"/>
        <v>58.734415599999998</v>
      </c>
      <c r="AN147" s="442">
        <f t="shared" si="20"/>
        <v>0.85477073319485097</v>
      </c>
      <c r="AO147" s="382">
        <f t="shared" si="21"/>
        <v>403.50307231196138</v>
      </c>
      <c r="AP147" s="519">
        <f t="shared" si="8"/>
        <v>-116.68608947384213</v>
      </c>
      <c r="AQ147" s="1596">
        <f t="shared" si="32"/>
        <v>-228</v>
      </c>
      <c r="AR147" s="519">
        <f t="shared" si="9"/>
        <v>-127.19999999999999</v>
      </c>
      <c r="AS147" s="444">
        <f t="shared" si="22"/>
        <v>747.0023123282715</v>
      </c>
      <c r="AT147" s="445">
        <f t="shared" si="23"/>
        <v>-343.49924001631013</v>
      </c>
      <c r="AU147" s="446">
        <f t="shared" si="24"/>
        <v>226.81315054246801</v>
      </c>
      <c r="AV147" s="719"/>
      <c r="AW147" s="447">
        <f t="shared" si="25"/>
        <v>-88.578121228193098</v>
      </c>
      <c r="AX147" s="447">
        <f t="shared" si="26"/>
        <v>-38.621878771806891</v>
      </c>
      <c r="AY147" s="1597">
        <f t="shared" si="27"/>
        <v>-130.95784646545306</v>
      </c>
      <c r="AZ147" s="1597">
        <f t="shared" si="28"/>
        <v>-300.3478952574348</v>
      </c>
      <c r="BA147" s="542">
        <f t="shared" si="33"/>
        <v>130.95784646545306</v>
      </c>
      <c r="BB147" s="542">
        <f t="shared" si="33"/>
        <v>300.3478952574348</v>
      </c>
      <c r="BD147" s="136"/>
      <c r="BM147" s="214"/>
      <c r="BN147" s="214"/>
      <c r="BO147" s="214"/>
      <c r="EK147" s="78"/>
      <c r="EL147" s="78"/>
    </row>
    <row r="148" spans="2:142" ht="21" thickBot="1" x14ac:dyDescent="0.25">
      <c r="B148" s="735">
        <v>7</v>
      </c>
      <c r="C148" s="278"/>
      <c r="D148" s="25">
        <v>0</v>
      </c>
      <c r="E148" s="257" t="s">
        <v>80</v>
      </c>
      <c r="F148" s="258"/>
      <c r="G148" s="258"/>
      <c r="H148" s="5">
        <v>479.77208100000001</v>
      </c>
      <c r="I148" s="5">
        <v>61.416098300000002</v>
      </c>
      <c r="J148" s="258">
        <f t="shared" si="29"/>
        <v>61.416098300000002</v>
      </c>
      <c r="K148" s="258">
        <f t="shared" si="10"/>
        <v>30.708049150000001</v>
      </c>
      <c r="L148" s="258">
        <f t="shared" si="11"/>
        <v>0.51066370850547771</v>
      </c>
      <c r="M148" s="258">
        <f t="shared" si="12"/>
        <v>245.00219012085046</v>
      </c>
      <c r="N148" s="258">
        <f t="shared" si="13"/>
        <v>490.00438024170091</v>
      </c>
      <c r="O148" s="258">
        <f>+C142+D143+D144+D145+D146+D147+(D148/2)</f>
        <v>0</v>
      </c>
      <c r="P148" s="258">
        <f t="shared" si="14"/>
        <v>0</v>
      </c>
      <c r="Q148" s="258">
        <f t="shared" si="15"/>
        <v>0</v>
      </c>
      <c r="R148" s="258">
        <f t="shared" si="16"/>
        <v>343.49989132317432</v>
      </c>
      <c r="S148" s="258">
        <f t="shared" si="30"/>
        <v>343.49989132317432</v>
      </c>
      <c r="T148" s="258">
        <f t="shared" si="4"/>
        <v>343.49989132317432</v>
      </c>
      <c r="U148" s="258"/>
      <c r="V148" s="258">
        <f t="shared" si="5"/>
        <v>0</v>
      </c>
      <c r="W148" s="258"/>
      <c r="X148" s="258"/>
      <c r="Y148" s="258"/>
      <c r="Z148" s="258"/>
      <c r="AA148" s="258"/>
      <c r="AB148" s="258"/>
      <c r="AC148" s="514" t="b">
        <f>IF(AD148=7,AF148)</f>
        <v>0</v>
      </c>
      <c r="AD148" s="514">
        <f t="shared" si="6"/>
        <v>1</v>
      </c>
      <c r="AE148" s="514">
        <f>IF(V148=0,0,7)</f>
        <v>0</v>
      </c>
      <c r="AF148" s="437">
        <f>SUM(V148:V153)/($B$139-B147)</f>
        <v>0</v>
      </c>
      <c r="AG148" s="437"/>
      <c r="AH148" s="450">
        <f>SUM(D143:D148)+$C$142</f>
        <v>0</v>
      </c>
      <c r="AI148" s="717" t="b">
        <f t="shared" si="7"/>
        <v>0</v>
      </c>
      <c r="AJ148" s="1690">
        <f t="shared" si="17"/>
        <v>54.5017821</v>
      </c>
      <c r="AK148" s="718">
        <f t="shared" si="31"/>
        <v>0.81413357986421619</v>
      </c>
      <c r="AL148" s="1690">
        <f t="shared" si="18"/>
        <v>343.49924001631013</v>
      </c>
      <c r="AM148" s="1690">
        <f t="shared" si="19"/>
        <v>58.734415599999998</v>
      </c>
      <c r="AN148" s="442">
        <f t="shared" si="20"/>
        <v>0.85477073319485097</v>
      </c>
      <c r="AO148" s="382">
        <f t="shared" si="21"/>
        <v>403.50307231196138</v>
      </c>
      <c r="AP148" s="519">
        <f t="shared" si="8"/>
        <v>-80.578016183890981</v>
      </c>
      <c r="AQ148" s="1596">
        <f t="shared" si="32"/>
        <v>-285</v>
      </c>
      <c r="AR148" s="519">
        <f t="shared" si="9"/>
        <v>-184.2</v>
      </c>
      <c r="AS148" s="444">
        <f t="shared" si="22"/>
        <v>747.0023123282715</v>
      </c>
      <c r="AT148" s="445">
        <f t="shared" si="23"/>
        <v>-343.49924001631013</v>
      </c>
      <c r="AU148" s="446">
        <f t="shared" si="24"/>
        <v>262.92122383241917</v>
      </c>
      <c r="AV148" s="719"/>
      <c r="AW148" s="447">
        <f t="shared" si="25"/>
        <v>-119.36741698029854</v>
      </c>
      <c r="AX148" s="447">
        <f t="shared" si="26"/>
        <v>-64.832583019701445</v>
      </c>
      <c r="AY148" s="1597">
        <f t="shared" si="27"/>
        <v>-97.17894793614046</v>
      </c>
      <c r="AZ148" s="1597">
        <f t="shared" si="28"/>
        <v>-178.92237914498904</v>
      </c>
      <c r="BA148" s="542">
        <f t="shared" si="33"/>
        <v>97.17894793614046</v>
      </c>
      <c r="BB148" s="542">
        <f t="shared" si="33"/>
        <v>178.92237914498904</v>
      </c>
      <c r="BD148" s="136"/>
      <c r="BF148" s="35"/>
      <c r="EK148" s="78"/>
      <c r="EL148" s="78"/>
    </row>
    <row r="149" spans="2:142" ht="21" thickBot="1" x14ac:dyDescent="0.25">
      <c r="B149" s="735">
        <v>8</v>
      </c>
      <c r="C149" s="278"/>
      <c r="D149" s="25">
        <v>0</v>
      </c>
      <c r="E149" s="257" t="s">
        <v>80</v>
      </c>
      <c r="F149" s="258"/>
      <c r="G149" s="258"/>
      <c r="H149" s="5">
        <v>479.77208100000001</v>
      </c>
      <c r="I149" s="5">
        <v>61.416098300000002</v>
      </c>
      <c r="J149" s="258">
        <f t="shared" si="29"/>
        <v>61.416098300000002</v>
      </c>
      <c r="K149" s="258">
        <f t="shared" si="10"/>
        <v>30.708049150000001</v>
      </c>
      <c r="L149" s="258">
        <f t="shared" si="11"/>
        <v>0.51066370850547771</v>
      </c>
      <c r="M149" s="258">
        <f t="shared" si="12"/>
        <v>245.00219012085046</v>
      </c>
      <c r="N149" s="258">
        <f t="shared" si="13"/>
        <v>490.00438024170091</v>
      </c>
      <c r="O149" s="258">
        <f>+C142+D143+D144+D145+D146+D147+D148+(D149/2)</f>
        <v>0</v>
      </c>
      <c r="P149" s="258">
        <f t="shared" si="14"/>
        <v>0</v>
      </c>
      <c r="Q149" s="258">
        <f t="shared" si="15"/>
        <v>0</v>
      </c>
      <c r="R149" s="258">
        <f t="shared" si="16"/>
        <v>343.49989132317432</v>
      </c>
      <c r="S149" s="258">
        <f t="shared" si="30"/>
        <v>343.49989132317432</v>
      </c>
      <c r="T149" s="258">
        <f t="shared" si="4"/>
        <v>343.49989132317432</v>
      </c>
      <c r="U149" s="258"/>
      <c r="V149" s="258">
        <f t="shared" si="5"/>
        <v>0</v>
      </c>
      <c r="W149" s="258"/>
      <c r="X149" s="258"/>
      <c r="Y149" s="258"/>
      <c r="Z149" s="258"/>
      <c r="AA149" s="258"/>
      <c r="AB149" s="258"/>
      <c r="AC149" s="514" t="b">
        <f>IF(AD149=8,AF149)</f>
        <v>0</v>
      </c>
      <c r="AD149" s="514">
        <f t="shared" si="6"/>
        <v>1</v>
      </c>
      <c r="AE149" s="514">
        <f>IF(V149=0,0,8)</f>
        <v>0</v>
      </c>
      <c r="AF149" s="437">
        <f>SUM(V149:V153)/($B$139-B148)</f>
        <v>0</v>
      </c>
      <c r="AG149" s="437"/>
      <c r="AH149" s="450">
        <f>SUM(D143:D149)+$C$142</f>
        <v>0</v>
      </c>
      <c r="AI149" s="717" t="b">
        <f t="shared" si="7"/>
        <v>0</v>
      </c>
      <c r="AJ149" s="1690">
        <f t="shared" si="17"/>
        <v>54.5017821</v>
      </c>
      <c r="AK149" s="718">
        <f t="shared" si="31"/>
        <v>0.81413357986421619</v>
      </c>
      <c r="AL149" s="1690">
        <f t="shared" si="18"/>
        <v>343.49924001631013</v>
      </c>
      <c r="AM149" s="1690">
        <f t="shared" si="19"/>
        <v>58.734415599999998</v>
      </c>
      <c r="AN149" s="442">
        <f t="shared" si="20"/>
        <v>0.85477073319485097</v>
      </c>
      <c r="AO149" s="382">
        <f t="shared" si="21"/>
        <v>403.50307231196138</v>
      </c>
      <c r="AP149" s="519">
        <f t="shared" si="8"/>
        <v>-61.535947682722714</v>
      </c>
      <c r="AQ149" s="1596">
        <f t="shared" si="32"/>
        <v>-342</v>
      </c>
      <c r="AR149" s="519">
        <f t="shared" si="9"/>
        <v>-241.2</v>
      </c>
      <c r="AS149" s="444">
        <f t="shared" si="22"/>
        <v>747.0023123282715</v>
      </c>
      <c r="AT149" s="445">
        <f t="shared" si="23"/>
        <v>-343.49924001631013</v>
      </c>
      <c r="AU149" s="446">
        <f t="shared" si="24"/>
        <v>281.96329233358739</v>
      </c>
      <c r="AV149" s="719"/>
      <c r="AW149" s="447">
        <f t="shared" si="25"/>
        <v>-150.156712732404</v>
      </c>
      <c r="AX149" s="447">
        <f t="shared" si="26"/>
        <v>-91.043287267595971</v>
      </c>
      <c r="AY149" s="1597">
        <f t="shared" si="27"/>
        <v>-77.252623535202801</v>
      </c>
      <c r="AZ149" s="1597">
        <f t="shared" si="28"/>
        <v>-127.41191962791373</v>
      </c>
      <c r="BA149" s="542">
        <f t="shared" si="33"/>
        <v>77.252623535202801</v>
      </c>
      <c r="BB149" s="542">
        <f t="shared" si="33"/>
        <v>127.41191962791373</v>
      </c>
      <c r="BD149" s="136"/>
      <c r="BF149" s="35"/>
      <c r="EK149" s="78"/>
      <c r="EL149" s="78"/>
    </row>
    <row r="150" spans="2:142" ht="21" thickBot="1" x14ac:dyDescent="0.25">
      <c r="B150" s="735">
        <v>9</v>
      </c>
      <c r="C150" s="278"/>
      <c r="D150" s="25">
        <v>0</v>
      </c>
      <c r="E150" s="257" t="s">
        <v>80</v>
      </c>
      <c r="F150" s="258"/>
      <c r="G150" s="258"/>
      <c r="H150" s="5">
        <v>479.77208100000001</v>
      </c>
      <c r="I150" s="5">
        <v>61.416098300000002</v>
      </c>
      <c r="J150" s="258">
        <f t="shared" si="29"/>
        <v>61.416098300000002</v>
      </c>
      <c r="K150" s="258">
        <f t="shared" si="10"/>
        <v>30.708049150000001</v>
      </c>
      <c r="L150" s="258">
        <f t="shared" si="11"/>
        <v>0.51066370850547771</v>
      </c>
      <c r="M150" s="258">
        <f t="shared" si="12"/>
        <v>245.00219012085046</v>
      </c>
      <c r="N150" s="258">
        <f t="shared" si="13"/>
        <v>490.00438024170091</v>
      </c>
      <c r="O150" s="258">
        <f>+C142+D143+D144+D145+D146+D147+D148+D149+(D150/2)</f>
        <v>0</v>
      </c>
      <c r="P150" s="258">
        <f t="shared" si="14"/>
        <v>0</v>
      </c>
      <c r="Q150" s="258">
        <f t="shared" si="15"/>
        <v>0</v>
      </c>
      <c r="R150" s="258">
        <f t="shared" si="16"/>
        <v>343.49989132317432</v>
      </c>
      <c r="S150" s="258">
        <f t="shared" si="30"/>
        <v>343.49989132317432</v>
      </c>
      <c r="T150" s="258">
        <f t="shared" si="4"/>
        <v>343.49989132317432</v>
      </c>
      <c r="U150" s="258"/>
      <c r="V150" s="258">
        <f t="shared" si="5"/>
        <v>0</v>
      </c>
      <c r="W150" s="258"/>
      <c r="X150" s="258"/>
      <c r="Y150" s="258"/>
      <c r="Z150" s="258"/>
      <c r="AA150" s="258"/>
      <c r="AB150" s="258"/>
      <c r="AC150" s="514" t="b">
        <f>IF(AD150=9,AF150)</f>
        <v>0</v>
      </c>
      <c r="AD150" s="514">
        <f t="shared" si="6"/>
        <v>1</v>
      </c>
      <c r="AE150" s="514">
        <f>IF(V150=0,0,9)</f>
        <v>0</v>
      </c>
      <c r="AF150" s="437">
        <f>SUM(V150:V153)/($B$139-B149)</f>
        <v>0</v>
      </c>
      <c r="AG150" s="437"/>
      <c r="AH150" s="450">
        <f>SUM(D143:D150)+$C$142</f>
        <v>0</v>
      </c>
      <c r="AI150" s="717" t="b">
        <f t="shared" si="7"/>
        <v>0</v>
      </c>
      <c r="AJ150" s="1690">
        <f t="shared" si="17"/>
        <v>54.5017821</v>
      </c>
      <c r="AK150" s="718">
        <f t="shared" si="31"/>
        <v>0.81413357986421619</v>
      </c>
      <c r="AL150" s="1690">
        <f t="shared" si="18"/>
        <v>343.49924001631013</v>
      </c>
      <c r="AM150" s="1690">
        <f t="shared" si="19"/>
        <v>58.734415599999998</v>
      </c>
      <c r="AN150" s="442">
        <f t="shared" si="20"/>
        <v>0.85477073319485097</v>
      </c>
      <c r="AO150" s="382">
        <f t="shared" si="21"/>
        <v>403.50307231196138</v>
      </c>
      <c r="AP150" s="519">
        <f t="shared" si="8"/>
        <v>-49.773543196085576</v>
      </c>
      <c r="AQ150" s="1596">
        <f t="shared" si="32"/>
        <v>-399</v>
      </c>
      <c r="AR150" s="519">
        <f t="shared" si="9"/>
        <v>-298.2</v>
      </c>
      <c r="AS150" s="444">
        <f t="shared" si="22"/>
        <v>747.0023123282715</v>
      </c>
      <c r="AT150" s="445">
        <f t="shared" si="23"/>
        <v>-343.49924001631013</v>
      </c>
      <c r="AU150" s="446">
        <f t="shared" si="24"/>
        <v>293.72569682022453</v>
      </c>
      <c r="AV150" s="719"/>
      <c r="AW150" s="447">
        <f t="shared" si="25"/>
        <v>-180.94600848450946</v>
      </c>
      <c r="AX150" s="447">
        <f t="shared" si="26"/>
        <v>-117.25399151549053</v>
      </c>
      <c r="AY150" s="1597">
        <f t="shared" si="27"/>
        <v>-64.10752078564397</v>
      </c>
      <c r="AZ150" s="1597">
        <f t="shared" si="28"/>
        <v>-98.930534048962542</v>
      </c>
      <c r="BA150" s="542">
        <f t="shared" si="33"/>
        <v>64.10752078564397</v>
      </c>
      <c r="BB150" s="542">
        <f t="shared" si="33"/>
        <v>98.930534048962542</v>
      </c>
      <c r="BD150" s="136"/>
      <c r="BF150" s="35"/>
      <c r="EK150" s="78"/>
      <c r="EL150" s="78"/>
    </row>
    <row r="151" spans="2:142" ht="21" thickBot="1" x14ac:dyDescent="0.25">
      <c r="B151" s="735">
        <v>10</v>
      </c>
      <c r="C151" s="278"/>
      <c r="D151" s="25">
        <v>0</v>
      </c>
      <c r="E151" s="257" t="s">
        <v>80</v>
      </c>
      <c r="F151" s="258"/>
      <c r="G151" s="258"/>
      <c r="H151" s="5">
        <v>479.77208100000001</v>
      </c>
      <c r="I151" s="5">
        <v>61.416098300000002</v>
      </c>
      <c r="J151" s="258">
        <f t="shared" si="29"/>
        <v>61.416098300000002</v>
      </c>
      <c r="K151" s="258">
        <f t="shared" si="10"/>
        <v>30.708049150000001</v>
      </c>
      <c r="L151" s="258">
        <f t="shared" si="11"/>
        <v>0.51066370850547771</v>
      </c>
      <c r="M151" s="258">
        <f>+L151*H151</f>
        <v>245.00219012085046</v>
      </c>
      <c r="N151" s="258">
        <f t="shared" si="13"/>
        <v>490.00438024170091</v>
      </c>
      <c r="O151" s="258">
        <f>+C142+D143+D144+D145+D146+D147+D148+D149+D150+(D151/2)</f>
        <v>0</v>
      </c>
      <c r="P151" s="258">
        <f t="shared" si="14"/>
        <v>0</v>
      </c>
      <c r="Q151" s="258">
        <f t="shared" si="15"/>
        <v>0</v>
      </c>
      <c r="R151" s="258">
        <f t="shared" si="16"/>
        <v>343.49989132317432</v>
      </c>
      <c r="S151" s="258">
        <f t="shared" si="30"/>
        <v>343.49989132317432</v>
      </c>
      <c r="T151" s="258">
        <f t="shared" si="4"/>
        <v>343.49989132317432</v>
      </c>
      <c r="U151" s="258"/>
      <c r="V151" s="258">
        <f t="shared" si="5"/>
        <v>0</v>
      </c>
      <c r="W151" s="258"/>
      <c r="X151" s="258"/>
      <c r="Y151" s="258"/>
      <c r="Z151" s="258"/>
      <c r="AA151" s="258"/>
      <c r="AB151" s="258"/>
      <c r="AC151" s="514" t="b">
        <f>IF(AD151=10,AF151)</f>
        <v>0</v>
      </c>
      <c r="AD151" s="514">
        <f t="shared" si="6"/>
        <v>1</v>
      </c>
      <c r="AE151" s="514">
        <f>IF(V151=0,0,10)</f>
        <v>0</v>
      </c>
      <c r="AF151" s="437">
        <f>SUM(V151:V153)/($B$139-B150)</f>
        <v>0</v>
      </c>
      <c r="AG151" s="437"/>
      <c r="AH151" s="450">
        <f>SUM(D143:D151)+$C$142</f>
        <v>0</v>
      </c>
      <c r="AI151" s="717" t="b">
        <f t="shared" si="7"/>
        <v>0</v>
      </c>
      <c r="AJ151" s="1690">
        <f t="shared" si="17"/>
        <v>54.5017821</v>
      </c>
      <c r="AK151" s="718">
        <f t="shared" si="31"/>
        <v>0.81413357986421619</v>
      </c>
      <c r="AL151" s="1690">
        <f t="shared" si="18"/>
        <v>343.49924001631013</v>
      </c>
      <c r="AM151" s="1690">
        <f t="shared" si="19"/>
        <v>58.734415599999998</v>
      </c>
      <c r="AN151" s="442">
        <f t="shared" si="20"/>
        <v>0.85477073319485097</v>
      </c>
      <c r="AO151" s="382">
        <f t="shared" si="21"/>
        <v>403.50307231196138</v>
      </c>
      <c r="AP151" s="519">
        <f t="shared" si="8"/>
        <v>-41.786234744011033</v>
      </c>
      <c r="AQ151" s="1596">
        <f t="shared" si="32"/>
        <v>-456</v>
      </c>
      <c r="AR151" s="519">
        <f t="shared" si="9"/>
        <v>-355.2</v>
      </c>
      <c r="AS151" s="444">
        <f t="shared" si="22"/>
        <v>747.0023123282715</v>
      </c>
      <c r="AT151" s="445">
        <f t="shared" si="23"/>
        <v>-343.49924001631013</v>
      </c>
      <c r="AU151" s="446">
        <f t="shared" si="24"/>
        <v>301.71300527229909</v>
      </c>
      <c r="AV151" s="719"/>
      <c r="AW151" s="447">
        <f t="shared" si="25"/>
        <v>-211.73530423661489</v>
      </c>
      <c r="AX151" s="447">
        <f t="shared" si="26"/>
        <v>-143.46469576338509</v>
      </c>
      <c r="AY151" s="1597">
        <f t="shared" si="27"/>
        <v>-54.785384241056761</v>
      </c>
      <c r="AZ151" s="1597">
        <f t="shared" si="28"/>
        <v>-80.856129365316221</v>
      </c>
      <c r="BA151" s="542">
        <f t="shared" si="33"/>
        <v>54.785384241056761</v>
      </c>
      <c r="BB151" s="542">
        <f t="shared" si="33"/>
        <v>80.856129365316221</v>
      </c>
      <c r="BD151" s="136"/>
      <c r="BF151" s="35"/>
      <c r="EK151" s="78"/>
      <c r="EL151" s="78"/>
    </row>
    <row r="152" spans="2:142" ht="21" thickBot="1" x14ac:dyDescent="0.25">
      <c r="B152" s="735">
        <v>11</v>
      </c>
      <c r="C152" s="278"/>
      <c r="D152" s="25">
        <v>0</v>
      </c>
      <c r="E152" s="257" t="s">
        <v>80</v>
      </c>
      <c r="F152" s="258"/>
      <c r="G152" s="258"/>
      <c r="H152" s="5">
        <v>479.77208100000001</v>
      </c>
      <c r="I152" s="5">
        <v>61.416098300000002</v>
      </c>
      <c r="J152" s="258">
        <f t="shared" si="29"/>
        <v>61.416098300000002</v>
      </c>
      <c r="K152" s="258">
        <f t="shared" si="10"/>
        <v>30.708049150000001</v>
      </c>
      <c r="L152" s="258">
        <f t="shared" si="11"/>
        <v>0.51066370850547771</v>
      </c>
      <c r="M152" s="258">
        <f t="shared" si="12"/>
        <v>245.00219012085046</v>
      </c>
      <c r="N152" s="258">
        <f t="shared" si="13"/>
        <v>490.00438024170091</v>
      </c>
      <c r="O152" s="258">
        <f>+C142+D143+D144+D145+D146+D147+D148+D149+D150+D151+(D152/2)</f>
        <v>0</v>
      </c>
      <c r="P152" s="258">
        <f t="shared" si="14"/>
        <v>0</v>
      </c>
      <c r="Q152" s="258">
        <f t="shared" si="15"/>
        <v>0</v>
      </c>
      <c r="R152" s="258">
        <f t="shared" si="16"/>
        <v>343.49989132317432</v>
      </c>
      <c r="S152" s="258">
        <f t="shared" si="30"/>
        <v>343.49989132317432</v>
      </c>
      <c r="T152" s="258">
        <f t="shared" si="4"/>
        <v>343.49989132317432</v>
      </c>
      <c r="U152" s="258"/>
      <c r="V152" s="258">
        <f t="shared" si="5"/>
        <v>0</v>
      </c>
      <c r="W152" s="258"/>
      <c r="X152" s="258"/>
      <c r="Y152" s="258"/>
      <c r="Z152" s="258"/>
      <c r="AA152" s="258"/>
      <c r="AB152" s="258"/>
      <c r="AC152" s="514" t="b">
        <f>IF(AD152=11,AF152)</f>
        <v>0</v>
      </c>
      <c r="AD152" s="514">
        <f t="shared" si="6"/>
        <v>1</v>
      </c>
      <c r="AE152" s="514">
        <f>IF(V152=0,0,11)</f>
        <v>0</v>
      </c>
      <c r="AF152" s="437">
        <f>SUM(V152:V153)/($B$139-B151)</f>
        <v>0</v>
      </c>
      <c r="AG152" s="437"/>
      <c r="AH152" s="450">
        <f>SUM(D143:D152)+$C$142</f>
        <v>0</v>
      </c>
      <c r="AI152" s="717" t="b">
        <f t="shared" si="7"/>
        <v>0</v>
      </c>
      <c r="AJ152" s="1690">
        <f t="shared" si="17"/>
        <v>54.5017821</v>
      </c>
      <c r="AK152" s="718">
        <f t="shared" si="31"/>
        <v>0.81413357986421619</v>
      </c>
      <c r="AL152" s="1690">
        <f t="shared" si="18"/>
        <v>343.49924001631013</v>
      </c>
      <c r="AM152" s="1690">
        <f t="shared" si="19"/>
        <v>58.734415599999998</v>
      </c>
      <c r="AN152" s="442">
        <f t="shared" si="20"/>
        <v>0.85477073319485097</v>
      </c>
      <c r="AO152" s="382">
        <f t="shared" si="21"/>
        <v>403.50307231196138</v>
      </c>
      <c r="AP152" s="519">
        <f t="shared" si="8"/>
        <v>-36.007934451898876</v>
      </c>
      <c r="AQ152" s="1596">
        <f t="shared" si="32"/>
        <v>-513</v>
      </c>
      <c r="AR152" s="519">
        <f t="shared" si="9"/>
        <v>-412.2</v>
      </c>
      <c r="AS152" s="444">
        <f t="shared" si="22"/>
        <v>747.0023123282715</v>
      </c>
      <c r="AT152" s="445">
        <f t="shared" si="23"/>
        <v>-343.49924001631013</v>
      </c>
      <c r="AU152" s="446">
        <f t="shared" si="24"/>
        <v>307.49130556441128</v>
      </c>
      <c r="AV152" s="719"/>
      <c r="AW152" s="447">
        <f t="shared" si="25"/>
        <v>-242.52459998872033</v>
      </c>
      <c r="AX152" s="447">
        <f t="shared" si="26"/>
        <v>-169.67540001127966</v>
      </c>
      <c r="AY152" s="1597">
        <f t="shared" si="27"/>
        <v>-47.830199495389373</v>
      </c>
      <c r="AZ152" s="1597">
        <f t="shared" si="28"/>
        <v>-68.365832638254318</v>
      </c>
      <c r="BA152" s="542">
        <f t="shared" si="33"/>
        <v>47.830199495389373</v>
      </c>
      <c r="BB152" s="542">
        <f t="shared" si="33"/>
        <v>68.365832638254318</v>
      </c>
      <c r="BD152" s="136"/>
      <c r="BF152" s="35"/>
      <c r="EK152" s="78"/>
      <c r="EL152" s="78"/>
    </row>
    <row r="153" spans="2:142" ht="21" thickBot="1" x14ac:dyDescent="0.25">
      <c r="B153" s="735">
        <v>12</v>
      </c>
      <c r="C153" s="278"/>
      <c r="D153" s="25">
        <v>0</v>
      </c>
      <c r="E153" s="257" t="s">
        <v>80</v>
      </c>
      <c r="F153" s="258"/>
      <c r="G153" s="258"/>
      <c r="H153" s="5">
        <v>479.77208100000001</v>
      </c>
      <c r="I153" s="5">
        <v>61.416098300000002</v>
      </c>
      <c r="J153" s="258">
        <f t="shared" si="29"/>
        <v>61.416098300000002</v>
      </c>
      <c r="K153" s="258">
        <f t="shared" si="10"/>
        <v>30.708049150000001</v>
      </c>
      <c r="L153" s="258">
        <f t="shared" si="11"/>
        <v>0.51066370850547771</v>
      </c>
      <c r="M153" s="258">
        <f t="shared" si="12"/>
        <v>245.00219012085046</v>
      </c>
      <c r="N153" s="258">
        <f t="shared" si="13"/>
        <v>490.00438024170091</v>
      </c>
      <c r="O153" s="258">
        <f>+C142+D143+D144+D145+D146+D147+D148+D149+D150+D151+D152+(D153/2)</f>
        <v>0</v>
      </c>
      <c r="P153" s="258">
        <f t="shared" si="14"/>
        <v>0</v>
      </c>
      <c r="Q153" s="258">
        <f t="shared" si="15"/>
        <v>0</v>
      </c>
      <c r="R153" s="258">
        <f t="shared" si="16"/>
        <v>343.49989132317432</v>
      </c>
      <c r="S153" s="258">
        <f t="shared" si="30"/>
        <v>343.49989132317432</v>
      </c>
      <c r="T153" s="258">
        <f t="shared" si="4"/>
        <v>343.49989132317432</v>
      </c>
      <c r="U153" s="258"/>
      <c r="V153" s="258">
        <f t="shared" si="5"/>
        <v>0</v>
      </c>
      <c r="W153" s="258"/>
      <c r="X153" s="258"/>
      <c r="Y153" s="258"/>
      <c r="Z153" s="258"/>
      <c r="AA153" s="258"/>
      <c r="AB153" s="258"/>
      <c r="AC153" s="514" t="b">
        <f>IF(AD153=12,AF153)</f>
        <v>0</v>
      </c>
      <c r="AD153" s="514">
        <f t="shared" si="6"/>
        <v>1</v>
      </c>
      <c r="AE153" s="514">
        <f>IF(V153=0,0,12)</f>
        <v>0</v>
      </c>
      <c r="AF153" s="437">
        <f>SUM(V153)/($B$139-B152)</f>
        <v>0</v>
      </c>
      <c r="AG153" s="437"/>
      <c r="AH153" s="450">
        <f>SUM(D143:D153)+$C$142</f>
        <v>0</v>
      </c>
      <c r="AI153" s="717" t="b">
        <f t="shared" si="7"/>
        <v>0</v>
      </c>
      <c r="AJ153" s="1690">
        <f t="shared" si="17"/>
        <v>54.5017821</v>
      </c>
      <c r="AK153" s="718">
        <f t="shared" si="31"/>
        <v>0.81413357986421619</v>
      </c>
      <c r="AL153" s="1690">
        <f t="shared" si="18"/>
        <v>343.49924001631013</v>
      </c>
      <c r="AM153" s="1690">
        <f t="shared" si="19"/>
        <v>58.734415599999998</v>
      </c>
      <c r="AN153" s="442">
        <f t="shared" si="20"/>
        <v>0.85477073319485097</v>
      </c>
      <c r="AO153" s="382">
        <f t="shared" si="21"/>
        <v>403.50307231196138</v>
      </c>
      <c r="AP153" s="519">
        <f t="shared" si="8"/>
        <v>-31.633569013368959</v>
      </c>
      <c r="AQ153" s="1596">
        <f t="shared" si="32"/>
        <v>-570</v>
      </c>
      <c r="AR153" s="519">
        <f t="shared" si="9"/>
        <v>-469.20000000000005</v>
      </c>
      <c r="AS153" s="444">
        <f t="shared" si="22"/>
        <v>747.0023123282715</v>
      </c>
      <c r="AT153" s="445">
        <f t="shared" si="23"/>
        <v>-343.49924001631013</v>
      </c>
      <c r="AU153" s="446">
        <f t="shared" si="24"/>
        <v>311.86567100294116</v>
      </c>
      <c r="AV153" s="719"/>
      <c r="AW153" s="447">
        <f t="shared" si="25"/>
        <v>-273.31389574082584</v>
      </c>
      <c r="AX153" s="447">
        <f t="shared" si="26"/>
        <v>-195.8861042591742</v>
      </c>
      <c r="AY153" s="1597">
        <f t="shared" si="27"/>
        <v>-42.442042577300498</v>
      </c>
      <c r="AZ153" s="1597">
        <f t="shared" si="28"/>
        <v>-59.218085141211446</v>
      </c>
      <c r="BA153" s="542">
        <f t="shared" si="33"/>
        <v>42.442042577300498</v>
      </c>
      <c r="BB153" s="542">
        <f t="shared" si="33"/>
        <v>59.218085141211446</v>
      </c>
      <c r="BD153" s="136"/>
      <c r="BF153" s="35"/>
      <c r="EK153" s="78"/>
      <c r="EL153" s="78"/>
    </row>
    <row r="154" spans="2:142" ht="37.5" hidden="1" customHeight="1" thickBot="1" x14ac:dyDescent="0.25">
      <c r="B154" s="720"/>
      <c r="D154" s="721"/>
      <c r="E154" s="722"/>
      <c r="F154" s="722"/>
      <c r="G154" s="722"/>
      <c r="H154" s="23"/>
      <c r="I154" s="23"/>
      <c r="J154" s="722"/>
      <c r="K154" s="722"/>
      <c r="L154" s="722"/>
      <c r="M154" s="722"/>
      <c r="N154" s="722"/>
      <c r="O154" s="722"/>
      <c r="P154" s="722"/>
      <c r="Q154" s="722"/>
      <c r="R154" s="722"/>
      <c r="S154" s="722"/>
      <c r="T154" s="722"/>
      <c r="U154" s="722"/>
      <c r="V154" s="722"/>
      <c r="W154" s="722"/>
      <c r="X154" s="722"/>
      <c r="Y154" s="722"/>
      <c r="Z154" s="722"/>
      <c r="AA154" s="722"/>
      <c r="AB154" s="722"/>
      <c r="AC154" s="514"/>
      <c r="AD154" s="514"/>
      <c r="AE154" s="514"/>
      <c r="AF154" s="437"/>
      <c r="AG154" s="437"/>
      <c r="AH154" s="450"/>
      <c r="AI154" s="717"/>
      <c r="AJ154" s="24"/>
      <c r="AK154" s="426"/>
      <c r="AL154" s="24"/>
      <c r="AM154" s="24"/>
      <c r="AN154" s="723"/>
      <c r="AO154" s="24"/>
      <c r="AP154" s="446"/>
      <c r="AQ154" s="382">
        <f t="shared" si="32"/>
        <v>-627</v>
      </c>
      <c r="AR154" s="446"/>
      <c r="AS154" s="445"/>
      <c r="AT154" s="445"/>
      <c r="AU154" s="446"/>
      <c r="AV154" s="719"/>
      <c r="AW154" s="447"/>
      <c r="AX154" s="447"/>
      <c r="AY154" s="1691"/>
      <c r="AZ154" s="1691"/>
      <c r="BA154" s="1692"/>
      <c r="BB154" s="1692"/>
      <c r="BD154" s="136"/>
      <c r="BF154" s="35"/>
      <c r="EK154" s="78"/>
      <c r="EL154" s="78"/>
    </row>
    <row r="155" spans="2:142" ht="22" hidden="1" thickBot="1" x14ac:dyDescent="0.25">
      <c r="B155" s="1923"/>
      <c r="D155" s="721"/>
      <c r="E155" s="722"/>
      <c r="F155" s="722"/>
      <c r="G155" s="722"/>
      <c r="H155" s="23"/>
      <c r="I155" s="23"/>
      <c r="J155" s="722"/>
      <c r="K155" s="722"/>
      <c r="L155" s="722"/>
      <c r="M155" s="722"/>
      <c r="N155" s="722"/>
      <c r="O155" s="722"/>
      <c r="P155" s="722"/>
      <c r="Q155" s="722"/>
      <c r="R155" s="722"/>
      <c r="S155" s="722"/>
      <c r="T155" s="722"/>
      <c r="U155" s="722"/>
      <c r="V155" s="722"/>
      <c r="W155" s="722"/>
      <c r="X155" s="722"/>
      <c r="Y155" s="722"/>
      <c r="Z155" s="722"/>
      <c r="AA155" s="722"/>
      <c r="AB155" s="722"/>
      <c r="AC155" s="514"/>
      <c r="AD155" s="514"/>
      <c r="AE155" s="514"/>
      <c r="AF155" s="437"/>
      <c r="AG155" s="437"/>
      <c r="AH155" s="554" t="s">
        <v>79</v>
      </c>
      <c r="AI155" s="555">
        <f>MAX(AI142:AI153)</f>
        <v>0</v>
      </c>
      <c r="AJ155" s="24"/>
      <c r="AK155" s="426"/>
      <c r="AL155" s="855" t="s">
        <v>190</v>
      </c>
      <c r="AM155" s="856"/>
      <c r="AN155" s="856"/>
      <c r="AO155" s="856"/>
      <c r="AP155" s="857"/>
      <c r="AQ155" s="382">
        <f t="shared" si="32"/>
        <v>57</v>
      </c>
      <c r="AR155" s="446"/>
      <c r="AS155" s="445"/>
      <c r="AT155" s="445"/>
      <c r="AU155" s="446"/>
      <c r="AV155" s="719"/>
      <c r="AW155" s="447"/>
      <c r="AX155" s="447"/>
      <c r="AY155" s="1691"/>
      <c r="AZ155" s="1691"/>
      <c r="BA155" s="1692"/>
      <c r="BB155" s="1692"/>
      <c r="BD155" s="136"/>
      <c r="BF155" s="35"/>
      <c r="EK155" s="78"/>
      <c r="EL155" s="78"/>
    </row>
    <row r="156" spans="2:142" ht="59.25" hidden="1" customHeight="1" thickBot="1" x14ac:dyDescent="0.25">
      <c r="B156" s="1923"/>
      <c r="D156" s="721"/>
      <c r="E156" s="722"/>
      <c r="F156" s="722"/>
      <c r="G156" s="722"/>
      <c r="H156" s="23"/>
      <c r="I156" s="23"/>
      <c r="J156" s="722"/>
      <c r="K156" s="722"/>
      <c r="L156" s="722"/>
      <c r="M156" s="722"/>
      <c r="N156" s="722"/>
      <c r="O156" s="722"/>
      <c r="P156" s="722"/>
      <c r="Q156" s="722"/>
      <c r="R156" s="722"/>
      <c r="S156" s="722"/>
      <c r="T156" s="722"/>
      <c r="U156" s="722"/>
      <c r="V156" s="722"/>
      <c r="W156" s="722"/>
      <c r="X156" s="722"/>
      <c r="Y156" s="722"/>
      <c r="Z156" s="722"/>
      <c r="AA156" s="722"/>
      <c r="AB156" s="722"/>
      <c r="AC156" s="514"/>
      <c r="AD156" s="514"/>
      <c r="AE156" s="514"/>
      <c r="AF156" s="437"/>
      <c r="AG156" s="437"/>
      <c r="AH156" s="450"/>
      <c r="AI156" s="717"/>
      <c r="AJ156" s="24"/>
      <c r="AK156" s="426"/>
      <c r="AL156" s="858" t="s">
        <v>175</v>
      </c>
      <c r="AM156" s="859" t="s">
        <v>176</v>
      </c>
      <c r="AN156" s="859" t="s">
        <v>177</v>
      </c>
      <c r="AO156" s="860" t="s">
        <v>181</v>
      </c>
      <c r="AP156" s="861"/>
      <c r="AQ156" s="382">
        <f t="shared" si="32"/>
        <v>57</v>
      </c>
      <c r="AR156" s="446"/>
      <c r="AS156" s="445"/>
      <c r="AT156" s="445"/>
      <c r="AU156" s="446"/>
      <c r="AV156" s="719"/>
      <c r="AW156" s="447"/>
      <c r="AX156" s="447"/>
      <c r="AY156" s="1691"/>
      <c r="AZ156" s="1691"/>
      <c r="BA156" s="1692"/>
      <c r="BB156" s="1692"/>
      <c r="BD156" s="136"/>
      <c r="BF156" s="35"/>
      <c r="EK156" s="78"/>
      <c r="EL156" s="78"/>
    </row>
    <row r="157" spans="2:142" ht="33.75" hidden="1" customHeight="1" thickBot="1" x14ac:dyDescent="0.25">
      <c r="B157" s="727"/>
      <c r="D157" s="721"/>
      <c r="E157" s="722"/>
      <c r="F157" s="722"/>
      <c r="G157" s="722"/>
      <c r="H157" s="23"/>
      <c r="I157" s="23"/>
      <c r="J157" s="722"/>
      <c r="K157" s="722"/>
      <c r="L157" s="722"/>
      <c r="M157" s="722"/>
      <c r="N157" s="722"/>
      <c r="O157" s="722"/>
      <c r="P157" s="722"/>
      <c r="Q157" s="722"/>
      <c r="R157" s="722"/>
      <c r="S157" s="722"/>
      <c r="T157" s="722"/>
      <c r="U157" s="722"/>
      <c r="V157" s="722"/>
      <c r="W157" s="722"/>
      <c r="X157" s="722"/>
      <c r="Y157" s="722"/>
      <c r="Z157" s="722"/>
      <c r="AA157" s="722"/>
      <c r="AB157" s="722"/>
      <c r="AC157" s="514"/>
      <c r="AD157" s="514"/>
      <c r="AE157" s="514"/>
      <c r="AF157" s="437"/>
      <c r="AG157" s="437"/>
      <c r="AH157" s="450"/>
      <c r="AI157" s="717"/>
      <c r="AJ157" s="24"/>
      <c r="AK157" s="426"/>
      <c r="AL157" s="862">
        <v>6.8623010000000004</v>
      </c>
      <c r="AM157" s="863">
        <f>+(AI154*-1)-AL157</f>
        <v>-6.8623010000000004</v>
      </c>
      <c r="AN157" s="864">
        <f>COS(AM157*3.14159265358979/180)</f>
        <v>0.99283617366519983</v>
      </c>
      <c r="AO157" s="865">
        <f>+AN157*378.71303</f>
        <v>375.99999562235405</v>
      </c>
      <c r="AP157" s="866"/>
      <c r="AQ157" s="382">
        <f t="shared" si="32"/>
        <v>57</v>
      </c>
      <c r="AR157" s="446"/>
      <c r="AS157" s="445"/>
      <c r="AT157" s="445"/>
      <c r="AU157" s="446"/>
      <c r="AV157" s="719"/>
      <c r="AW157" s="447"/>
      <c r="AX157" s="447"/>
      <c r="AY157" s="1691"/>
      <c r="AZ157" s="1691"/>
      <c r="BA157" s="1692"/>
      <c r="BB157" s="1692"/>
      <c r="BD157" s="136"/>
      <c r="BF157" s="35"/>
      <c r="EK157" s="78"/>
      <c r="EL157" s="78"/>
    </row>
    <row r="158" spans="2:142" ht="21" hidden="1" thickBot="1" x14ac:dyDescent="0.25">
      <c r="B158" s="720"/>
      <c r="D158" s="721"/>
      <c r="E158" s="722"/>
      <c r="F158" s="722"/>
      <c r="G158" s="722"/>
      <c r="H158" s="23"/>
      <c r="I158" s="23"/>
      <c r="J158" s="722"/>
      <c r="K158" s="722"/>
      <c r="L158" s="722"/>
      <c r="M158" s="722"/>
      <c r="N158" s="722"/>
      <c r="O158" s="722"/>
      <c r="P158" s="722"/>
      <c r="Q158" s="722"/>
      <c r="R158" s="722"/>
      <c r="S158" s="722"/>
      <c r="T158" s="722"/>
      <c r="U158" s="722"/>
      <c r="V158" s="722"/>
      <c r="W158" s="722"/>
      <c r="X158" s="722"/>
      <c r="Y158" s="722"/>
      <c r="Z158" s="722"/>
      <c r="AA158" s="722"/>
      <c r="AB158" s="722"/>
      <c r="AC158" s="514"/>
      <c r="AD158" s="514"/>
      <c r="AE158" s="514"/>
      <c r="AF158" s="437"/>
      <c r="AG158" s="437"/>
      <c r="AH158" s="450"/>
      <c r="AI158" s="717"/>
      <c r="AJ158" s="24"/>
      <c r="AK158" s="426"/>
      <c r="AL158" s="867" t="s">
        <v>189</v>
      </c>
      <c r="AM158" s="849"/>
      <c r="AN158" s="849"/>
      <c r="AO158" s="849"/>
      <c r="AP158" s="868"/>
      <c r="AQ158" s="382">
        <f t="shared" si="32"/>
        <v>57</v>
      </c>
      <c r="AR158" s="446"/>
      <c r="AS158" s="445"/>
      <c r="AT158" s="445"/>
      <c r="AU158" s="446"/>
      <c r="AV158" s="719"/>
      <c r="AW158" s="447"/>
      <c r="AX158" s="447"/>
      <c r="AY158" s="1691"/>
      <c r="AZ158" s="1691"/>
      <c r="BA158" s="1692"/>
      <c r="BB158" s="1692"/>
      <c r="BD158" s="136"/>
      <c r="BF158" s="35"/>
      <c r="EK158" s="78"/>
      <c r="EL158" s="78"/>
    </row>
    <row r="159" spans="2:142" ht="24" customHeight="1" thickBot="1" x14ac:dyDescent="0.25">
      <c r="U159" s="276"/>
      <c r="AL159" s="869"/>
      <c r="AM159" s="859" t="s">
        <v>194</v>
      </c>
      <c r="AN159" s="859" t="s">
        <v>193</v>
      </c>
      <c r="AO159" s="860" t="s">
        <v>206</v>
      </c>
      <c r="AP159" s="870" t="s">
        <v>191</v>
      </c>
      <c r="BD159" s="136"/>
      <c r="EK159" s="78"/>
      <c r="EL159" s="78"/>
    </row>
    <row r="160" spans="2:142" ht="64" thickBot="1" x14ac:dyDescent="0.25">
      <c r="B160" s="345" t="s">
        <v>118</v>
      </c>
      <c r="C160" s="454"/>
      <c r="D160" s="455"/>
      <c r="E160" s="37"/>
      <c r="F160" s="37"/>
      <c r="G160" s="37"/>
      <c r="S160" s="728" t="s">
        <v>66</v>
      </c>
      <c r="T160" s="728">
        <f>SUM(V164:V183)/B161</f>
        <v>213.83080000000001</v>
      </c>
      <c r="U160" s="212"/>
      <c r="V160" s="73"/>
      <c r="AB160" s="73"/>
      <c r="AC160" s="73"/>
      <c r="AD160" s="73"/>
      <c r="AE160" s="73"/>
      <c r="AF160" s="73"/>
      <c r="AG160" s="73"/>
      <c r="AH160" s="73"/>
      <c r="AI160" s="73"/>
      <c r="AJ160" s="73"/>
      <c r="AK160" s="73"/>
      <c r="AL160" s="871"/>
      <c r="AM160" s="872">
        <f>+AI155</f>
        <v>0</v>
      </c>
      <c r="AN160" s="873">
        <f>SIN(AM160*3.14159265358979/180)</f>
        <v>0</v>
      </c>
      <c r="AO160" s="874">
        <f>+AN160*((+B139*491.5)+119)</f>
        <v>0</v>
      </c>
      <c r="AP160" s="875">
        <f>+AO157+AO160</f>
        <v>375.99999562235405</v>
      </c>
      <c r="AQ160" s="73"/>
      <c r="AR160" s="73"/>
      <c r="AS160" s="73"/>
      <c r="AT160" s="73"/>
      <c r="AU160" s="73"/>
      <c r="AV160" s="73"/>
      <c r="AW160" s="73"/>
      <c r="AX160" s="73"/>
      <c r="AY160" s="73"/>
      <c r="AZ160" s="73"/>
      <c r="BA160" s="73"/>
      <c r="BB160" s="73"/>
      <c r="BC160" s="126"/>
      <c r="BE160" s="136"/>
      <c r="BF160" s="136"/>
      <c r="BG160" s="136"/>
      <c r="BH160" s="136"/>
      <c r="BI160" s="136"/>
      <c r="BJ160" s="136"/>
      <c r="BK160" s="136"/>
      <c r="BL160" s="136"/>
      <c r="BM160" s="402"/>
      <c r="BN160" s="136"/>
      <c r="BO160" s="1091"/>
      <c r="BP160" s="78"/>
      <c r="BQ160" s="199"/>
      <c r="BR160" s="199"/>
      <c r="BS160" s="199"/>
      <c r="BT160" s="199"/>
      <c r="BU160" s="199"/>
      <c r="BV160" s="199"/>
      <c r="BW160" s="199"/>
      <c r="BX160" s="199"/>
      <c r="BY160" s="199"/>
      <c r="BZ160" s="199"/>
      <c r="CA160" s="199"/>
      <c r="CB160" s="199"/>
      <c r="CC160" s="199"/>
      <c r="CD160" s="199"/>
      <c r="CE160" s="199"/>
      <c r="CF160" s="199"/>
      <c r="CG160" s="199"/>
      <c r="CH160" s="199"/>
      <c r="CI160" s="199"/>
      <c r="CJ160" s="199"/>
      <c r="CK160" s="199"/>
      <c r="CL160" s="199"/>
      <c r="CM160" s="199"/>
      <c r="CN160" s="199"/>
      <c r="CO160" s="199"/>
      <c r="CP160" s="199"/>
      <c r="CQ160" s="199"/>
      <c r="CR160" s="199"/>
      <c r="CS160" s="199"/>
      <c r="CT160" s="199"/>
      <c r="CU160" s="199"/>
      <c r="CV160" s="199"/>
      <c r="CW160" s="199"/>
      <c r="CX160" s="199"/>
      <c r="CY160" s="199"/>
      <c r="CZ160" s="199"/>
      <c r="DA160" s="199"/>
      <c r="DB160" s="199"/>
    </row>
    <row r="161" spans="1:109" ht="42.75" customHeight="1" thickBot="1" x14ac:dyDescent="0.3">
      <c r="B161" s="27">
        <v>1</v>
      </c>
      <c r="C161" s="216"/>
      <c r="D161" s="549" t="s">
        <v>139</v>
      </c>
      <c r="E161" s="330"/>
      <c r="F161" s="330"/>
      <c r="G161" s="330"/>
      <c r="H161" s="1684"/>
      <c r="I161" s="1623"/>
      <c r="J161" s="1623"/>
      <c r="K161" s="1623"/>
      <c r="L161" s="1623"/>
      <c r="M161" s="1623"/>
      <c r="N161" s="1623"/>
      <c r="O161" s="1623"/>
      <c r="P161" s="1623"/>
      <c r="Q161" s="1623"/>
      <c r="R161" s="1623"/>
      <c r="S161" s="1624"/>
      <c r="T161" s="1625"/>
      <c r="U161" s="401"/>
      <c r="V161" s="1585"/>
      <c r="W161" s="1850" t="s">
        <v>93</v>
      </c>
      <c r="X161" s="1850"/>
      <c r="Y161" s="1850"/>
      <c r="Z161" s="1850"/>
      <c r="AA161" s="1850"/>
      <c r="AB161" s="1585"/>
      <c r="AC161" s="1585"/>
      <c r="AD161" s="1585"/>
      <c r="AE161" s="1585"/>
      <c r="AF161" s="1585"/>
      <c r="AG161" s="1585"/>
      <c r="AH161" s="1585"/>
      <c r="AI161" s="1585"/>
      <c r="AJ161" s="1585"/>
      <c r="AK161" s="1585"/>
      <c r="AL161" s="1585"/>
      <c r="AM161" s="1585"/>
      <c r="AN161" s="1585"/>
      <c r="AO161" s="1585"/>
      <c r="AP161" s="1585"/>
      <c r="AQ161" s="1589" t="s">
        <v>315</v>
      </c>
      <c r="AR161" s="1585"/>
      <c r="AS161" s="1585"/>
      <c r="AT161" s="1585"/>
      <c r="AU161" s="1585"/>
      <c r="AV161" s="1585"/>
      <c r="AW161" s="1585"/>
      <c r="AX161" s="1585"/>
      <c r="AY161" s="1585"/>
      <c r="AZ161" s="1585"/>
      <c r="BA161" s="1848" t="s">
        <v>52</v>
      </c>
      <c r="BB161" s="1849"/>
      <c r="BC161" s="218"/>
      <c r="BE161" s="136"/>
      <c r="BF161" s="136"/>
      <c r="BG161" s="136"/>
      <c r="BH161" s="136"/>
      <c r="BI161" s="136"/>
      <c r="BJ161" s="136"/>
      <c r="BK161" s="136"/>
      <c r="BL161" s="136"/>
      <c r="BM161" s="402"/>
      <c r="BN161" s="136"/>
      <c r="BO161" s="1091"/>
      <c r="BP161" s="76"/>
      <c r="BQ161" s="76"/>
      <c r="BR161" s="76"/>
      <c r="BS161" s="76"/>
      <c r="BT161" s="76"/>
      <c r="BU161" s="76"/>
      <c r="BV161" s="202"/>
      <c r="BW161" s="202"/>
      <c r="BX161" s="202"/>
      <c r="BY161" s="202"/>
      <c r="BZ161" s="202"/>
      <c r="CA161" s="202"/>
      <c r="CB161" s="202"/>
      <c r="CC161" s="202"/>
      <c r="CD161" s="202"/>
      <c r="CE161" s="202"/>
      <c r="CF161" s="202"/>
      <c r="CG161" s="202"/>
      <c r="CH161" s="202"/>
      <c r="CI161" s="202"/>
      <c r="CJ161" s="78"/>
      <c r="CK161" s="78"/>
      <c r="CL161" s="78"/>
      <c r="CM161" s="78"/>
      <c r="CN161" s="78"/>
      <c r="CO161" s="78"/>
      <c r="CP161" s="78"/>
      <c r="CQ161" s="78"/>
      <c r="CR161" s="78"/>
      <c r="CS161" s="78"/>
      <c r="CT161" s="78"/>
      <c r="CU161" s="78"/>
      <c r="CV161" s="78"/>
      <c r="CW161" s="78"/>
      <c r="CX161" s="78"/>
      <c r="CY161" s="78"/>
      <c r="CZ161" s="78"/>
      <c r="DA161" s="78"/>
      <c r="DB161" s="78"/>
      <c r="DC161" s="78"/>
      <c r="DD161" s="78"/>
    </row>
    <row r="162" spans="1:109" ht="20" hidden="1" thickBot="1" x14ac:dyDescent="0.25">
      <c r="C162" s="416"/>
      <c r="D162" s="354"/>
      <c r="H162" s="500" t="s">
        <v>4</v>
      </c>
      <c r="I162" s="500" t="s">
        <v>1</v>
      </c>
      <c r="J162" s="456" t="s">
        <v>0</v>
      </c>
      <c r="K162" s="456" t="s">
        <v>2</v>
      </c>
      <c r="L162" s="456" t="s">
        <v>3</v>
      </c>
      <c r="M162" s="456" t="s">
        <v>8</v>
      </c>
      <c r="N162" s="456" t="s">
        <v>5</v>
      </c>
      <c r="O162" s="456" t="s">
        <v>6</v>
      </c>
      <c r="P162" s="456" t="s">
        <v>7</v>
      </c>
      <c r="Q162" s="456" t="s">
        <v>9</v>
      </c>
      <c r="R162" s="1628" t="s">
        <v>10</v>
      </c>
      <c r="S162" s="456" t="s">
        <v>11</v>
      </c>
      <c r="T162" s="467" t="s">
        <v>12</v>
      </c>
      <c r="V162" s="420"/>
      <c r="W162" s="356" t="s">
        <v>140</v>
      </c>
      <c r="X162" s="316" t="s">
        <v>94</v>
      </c>
      <c r="Y162" s="356" t="s">
        <v>141</v>
      </c>
      <c r="Z162" s="419" t="s">
        <v>100</v>
      </c>
      <c r="AA162" s="419" t="s">
        <v>96</v>
      </c>
      <c r="AB162" s="420"/>
      <c r="AC162" s="457" t="s">
        <v>99</v>
      </c>
      <c r="AD162" s="457"/>
      <c r="AE162" s="457"/>
      <c r="AF162" s="420"/>
      <c r="AG162" s="420"/>
      <c r="AH162" s="420"/>
      <c r="AI162" s="420"/>
      <c r="AJ162" s="420"/>
      <c r="AK162" s="420"/>
      <c r="AL162" s="420"/>
      <c r="AM162" s="420"/>
      <c r="AN162" s="420"/>
      <c r="AO162" s="420"/>
      <c r="AP162" s="420"/>
      <c r="AQ162" s="420"/>
      <c r="AR162" s="420"/>
      <c r="AS162" s="420"/>
      <c r="AT162" s="420"/>
      <c r="AU162" s="420" t="s">
        <v>135</v>
      </c>
      <c r="AV162" s="420"/>
      <c r="AW162" s="420"/>
      <c r="AX162" s="420"/>
      <c r="AY162" s="415"/>
      <c r="AZ162" s="420"/>
      <c r="BA162" s="420"/>
      <c r="BB162" s="420"/>
      <c r="BC162" s="231"/>
      <c r="BE162" s="136"/>
      <c r="BF162" s="136"/>
      <c r="BG162" s="136"/>
      <c r="BH162" s="136"/>
      <c r="BI162" s="136"/>
      <c r="BJ162" s="136"/>
      <c r="BK162" s="136"/>
      <c r="BL162" s="136"/>
      <c r="BM162" s="402"/>
      <c r="BN162" s="136"/>
      <c r="BO162" s="1091"/>
      <c r="BP162" s="126"/>
      <c r="BQ162" s="126"/>
      <c r="BR162" s="126"/>
      <c r="BS162" s="126"/>
      <c r="BT162" s="126"/>
      <c r="BU162" s="126"/>
      <c r="BV162" s="203"/>
      <c r="BW162" s="203"/>
      <c r="BX162" s="203"/>
      <c r="BY162" s="203"/>
      <c r="BZ162" s="203"/>
      <c r="CA162" s="203"/>
      <c r="CB162" s="203"/>
      <c r="CC162" s="203"/>
      <c r="CD162" s="203"/>
      <c r="CE162" s="203"/>
      <c r="CF162" s="203"/>
      <c r="CG162" s="203"/>
      <c r="CH162" s="203"/>
      <c r="CI162" s="203"/>
    </row>
    <row r="163" spans="1:109" ht="50.25" customHeight="1" thickBot="1" x14ac:dyDescent="0.25">
      <c r="B163" s="501"/>
      <c r="C163" s="237"/>
      <c r="D163" s="502" t="s">
        <v>22</v>
      </c>
      <c r="E163" s="330"/>
      <c r="F163" s="503"/>
      <c r="G163" s="240"/>
      <c r="H163" s="469"/>
      <c r="I163" s="470"/>
      <c r="R163" s="1628"/>
      <c r="T163" s="471"/>
      <c r="V163" s="420"/>
      <c r="W163" s="420"/>
      <c r="X163" s="420"/>
      <c r="Y163" s="420"/>
      <c r="Z163" s="420"/>
      <c r="AA163" s="420"/>
      <c r="AB163" s="420"/>
      <c r="AC163" s="484">
        <f>SUM(AC164:AC183)</f>
        <v>213.83080000000001</v>
      </c>
      <c r="AD163" s="48"/>
      <c r="AE163" s="48"/>
      <c r="AF163" s="420" t="s">
        <v>38</v>
      </c>
      <c r="AG163" s="552" t="s">
        <v>101</v>
      </c>
      <c r="AH163" s="425" t="s">
        <v>31</v>
      </c>
      <c r="AI163" s="504"/>
      <c r="AJ163" s="368" t="s">
        <v>120</v>
      </c>
      <c r="AK163" s="426" t="s">
        <v>32</v>
      </c>
      <c r="AL163" s="472" t="s">
        <v>142</v>
      </c>
      <c r="AM163" s="368" t="s">
        <v>121</v>
      </c>
      <c r="AN163" s="427" t="s">
        <v>34</v>
      </c>
      <c r="AO163" s="472" t="s">
        <v>143</v>
      </c>
      <c r="AP163" s="428" t="s">
        <v>48</v>
      </c>
      <c r="AQ163" s="1685" t="s">
        <v>36</v>
      </c>
      <c r="AR163" s="428" t="s">
        <v>144</v>
      </c>
      <c r="AS163" s="420" t="s">
        <v>37</v>
      </c>
      <c r="AT163" s="420" t="s">
        <v>39</v>
      </c>
      <c r="AU163" s="428" t="s">
        <v>145</v>
      </c>
      <c r="AV163" s="420"/>
      <c r="AW163" s="1594" t="s">
        <v>41</v>
      </c>
      <c r="AX163" s="1594" t="s">
        <v>42</v>
      </c>
      <c r="AY163" s="430" t="s">
        <v>23</v>
      </c>
      <c r="AZ163" s="430" t="s">
        <v>24</v>
      </c>
      <c r="BA163" s="557" t="s">
        <v>23</v>
      </c>
      <c r="BB163" s="557" t="s">
        <v>24</v>
      </c>
      <c r="BE163" s="136"/>
      <c r="BF163" s="136"/>
      <c r="BG163" s="136"/>
      <c r="BH163" s="136"/>
      <c r="BI163" s="136"/>
      <c r="BJ163" s="136"/>
      <c r="BM163" s="402"/>
      <c r="BN163" s="73"/>
      <c r="BO163" s="1091"/>
      <c r="BP163" s="64"/>
      <c r="BS163" s="126"/>
      <c r="BT163" s="126"/>
      <c r="BU163" s="126"/>
      <c r="BV163" s="203"/>
      <c r="BW163" s="203"/>
      <c r="BX163" s="203"/>
      <c r="BY163" s="203"/>
      <c r="BZ163" s="203"/>
      <c r="CA163" s="203"/>
      <c r="CB163" s="203"/>
      <c r="CC163" s="203"/>
      <c r="CD163" s="203"/>
      <c r="CE163" s="203"/>
      <c r="CF163" s="203"/>
      <c r="CG163" s="203"/>
      <c r="CH163" s="203"/>
      <c r="CI163" s="203"/>
      <c r="CR163" s="64"/>
    </row>
    <row r="164" spans="1:109" ht="21" customHeight="1" thickBot="1" x14ac:dyDescent="0.25">
      <c r="B164" s="255">
        <v>1</v>
      </c>
      <c r="C164" s="715">
        <f>+D164+AI155</f>
        <v>0</v>
      </c>
      <c r="D164" s="25">
        <v>0</v>
      </c>
      <c r="E164" s="279" t="s">
        <v>119</v>
      </c>
      <c r="F164" s="258"/>
      <c r="G164" s="258">
        <f>+D164</f>
        <v>0</v>
      </c>
      <c r="H164" s="506">
        <v>279.06049999999999</v>
      </c>
      <c r="I164" s="507">
        <v>79.962900599999998</v>
      </c>
      <c r="J164" s="508">
        <f>+I164-C164</f>
        <v>79.962900599999998</v>
      </c>
      <c r="K164" s="508">
        <f>+J164/2</f>
        <v>39.981450299999999</v>
      </c>
      <c r="L164" s="508">
        <f t="shared" ref="L164:L183" si="34">SIN(K164*3.14159265358979/180)</f>
        <v>0.64253956655634092</v>
      </c>
      <c r="M164" s="508">
        <f t="shared" ref="M164:M183" si="35">+L164*H164</f>
        <v>179.30741271299578</v>
      </c>
      <c r="N164" s="508">
        <f t="shared" ref="N164:N183" si="36">+M164*2</f>
        <v>358.61482542599157</v>
      </c>
      <c r="O164" s="508">
        <f>+C164/2</f>
        <v>0</v>
      </c>
      <c r="P164" s="508">
        <f t="shared" ref="P164:P183" si="37">SIN(O164*3.14159265358979/180)</f>
        <v>0</v>
      </c>
      <c r="Q164" s="508">
        <f t="shared" ref="Q164:Q183" si="38">+P164*N164</f>
        <v>0</v>
      </c>
      <c r="R164" s="509">
        <v>213.83080000000001</v>
      </c>
      <c r="S164" s="508">
        <f>+R164+Q164</f>
        <v>213.83080000000001</v>
      </c>
      <c r="T164" s="510">
        <f t="shared" ref="T164:T183" si="39">+S164</f>
        <v>213.83080000000001</v>
      </c>
      <c r="U164" s="456"/>
      <c r="V164" s="511">
        <f t="shared" ref="V164:V183" si="40">IF(B164&lt;($B$161+1),T164,0)</f>
        <v>213.83080000000001</v>
      </c>
      <c r="W164" s="512">
        <v>39.981450000000002</v>
      </c>
      <c r="X164" s="511">
        <f>+W164+AI186</f>
        <v>39.981450000000002</v>
      </c>
      <c r="Y164" s="512">
        <v>279.06049999999999</v>
      </c>
      <c r="Z164" s="419">
        <f>+COS(X164*3.14159265358979/180)*Y164</f>
        <v>213.83080883710866</v>
      </c>
      <c r="AA164" s="513">
        <f>+AC163-Z164</f>
        <v>-8.8371086519600794E-6</v>
      </c>
      <c r="AB164" s="1595" t="str">
        <f>IF(AZ164&lt;0,"use the locking pin"," ")</f>
        <v xml:space="preserve"> </v>
      </c>
      <c r="AC164" s="514">
        <f>IF(AD164=1,AF164)</f>
        <v>213.83080000000001</v>
      </c>
      <c r="AD164" s="514">
        <f t="shared" ref="AD164:AD183" si="41">MAX(AE$164:AE$183)</f>
        <v>1</v>
      </c>
      <c r="AE164" s="514">
        <f>IF(V164=0,0,1)</f>
        <v>1</v>
      </c>
      <c r="AF164" s="511">
        <f>SUM(V164:V183)/($B$161)</f>
        <v>213.83080000000001</v>
      </c>
      <c r="AG164" s="437">
        <f>+AA142+$AF$164</f>
        <v>213.83080000000001</v>
      </c>
      <c r="AH164" s="515">
        <f>C164</f>
        <v>0</v>
      </c>
      <c r="AI164" s="516">
        <f>IF(B164&lt;($B$161+1),AH164)</f>
        <v>0</v>
      </c>
      <c r="AJ164" s="287">
        <f>66.2555484-AH164</f>
        <v>66.255548399999995</v>
      </c>
      <c r="AK164" s="517">
        <f t="shared" ref="AK164:AK183" si="42">SIN(AJ164*3.14159265358979/180)</f>
        <v>0.91535047595051022</v>
      </c>
      <c r="AL164" s="289">
        <f>+AK164*304.3209</f>
        <v>278.56028065668761</v>
      </c>
      <c r="AM164" s="287">
        <f>50.0185497+AH164</f>
        <v>50.018549700000001</v>
      </c>
      <c r="AN164" s="518">
        <f>SIN(AM164*3.14159265358979/180)</f>
        <v>0.76625250760411079</v>
      </c>
      <c r="AO164" s="291">
        <f>+AN164*279.0605</f>
        <v>213.83080789825695</v>
      </c>
      <c r="AP164" s="519">
        <f t="shared" ref="AP164:AP183" si="43">+((AF164*AQ164)+($AQ$195*($AF$195+$AA$164)))/AR164</f>
        <v>212.64284500104179</v>
      </c>
      <c r="AQ164" s="1686">
        <f>$C$13*B161</f>
        <v>40.5</v>
      </c>
      <c r="AR164" s="519">
        <f>+AQ164+$AQ$195</f>
        <v>69.8</v>
      </c>
      <c r="AS164" s="520">
        <f>+AO164+AL164</f>
        <v>492.39108855494453</v>
      </c>
      <c r="AT164" s="521">
        <f>+V164-AO164</f>
        <v>-7.8982569391428115E-6</v>
      </c>
      <c r="AU164" s="522">
        <f>+AP164-AT164</f>
        <v>212.64285289929873</v>
      </c>
      <c r="AV164" s="521"/>
      <c r="AW164" s="523">
        <f>+((AS164-AU164)/AS164)*AR164</f>
        <v>39.656336807535816</v>
      </c>
      <c r="AX164" s="523">
        <f>+(AU164/AS164)*AR164</f>
        <v>30.143663192464178</v>
      </c>
      <c r="AY164" s="1597">
        <f t="shared" ref="AY164:AY183" si="44">2*$C$20/AW164</f>
        <v>292.51315007481162</v>
      </c>
      <c r="AZ164" s="1597">
        <f t="shared" ref="AZ164:AZ183" si="45">$D$20/AX164</f>
        <v>331.74468332369003</v>
      </c>
      <c r="BA164" s="542">
        <f>ABS(AY164)</f>
        <v>292.51315007481162</v>
      </c>
      <c r="BB164" s="542">
        <f>ABS(AZ164)</f>
        <v>331.74468332369003</v>
      </c>
      <c r="BC164" s="91"/>
      <c r="BM164" s="402"/>
      <c r="BN164" s="73"/>
      <c r="BO164" s="1091"/>
      <c r="BP164" s="64"/>
      <c r="BS164" s="126"/>
      <c r="BT164" s="126"/>
      <c r="BU164" s="126"/>
      <c r="BV164" s="203"/>
      <c r="BW164" s="203"/>
      <c r="BX164" s="203"/>
      <c r="BY164" s="203"/>
      <c r="BZ164" s="203"/>
      <c r="CA164" s="203"/>
      <c r="CB164" s="203"/>
      <c r="CC164" s="203"/>
      <c r="CD164" s="203"/>
      <c r="CE164" s="203"/>
      <c r="CF164" s="203"/>
      <c r="CG164" s="203"/>
      <c r="CH164" s="203"/>
      <c r="CI164" s="203"/>
      <c r="CP164" s="212"/>
      <c r="CR164" s="64"/>
    </row>
    <row r="165" spans="1:109" ht="21" customHeight="1" thickBot="1" x14ac:dyDescent="0.25">
      <c r="B165" s="277">
        <v>2</v>
      </c>
      <c r="C165" s="278"/>
      <c r="D165" s="25">
        <v>0</v>
      </c>
      <c r="E165" s="279" t="s">
        <v>130</v>
      </c>
      <c r="F165" s="258"/>
      <c r="G165" s="258">
        <f>+D165+BC165</f>
        <v>0</v>
      </c>
      <c r="H165" s="506">
        <v>279.06049999999999</v>
      </c>
      <c r="I165" s="507">
        <v>79.962900599999998</v>
      </c>
      <c r="J165" s="474">
        <f t="shared" ref="J165:J183" si="46">+I165-D165</f>
        <v>79.962900599999998</v>
      </c>
      <c r="K165" s="474">
        <f t="shared" ref="K165:K183" si="47">+J165/2</f>
        <v>39.981450299999999</v>
      </c>
      <c r="L165" s="474">
        <f t="shared" si="34"/>
        <v>0.64253956655634092</v>
      </c>
      <c r="M165" s="474">
        <f t="shared" si="35"/>
        <v>179.30741271299578</v>
      </c>
      <c r="N165" s="474">
        <f t="shared" si="36"/>
        <v>358.61482542599157</v>
      </c>
      <c r="O165" s="474">
        <f>+C164+(D165/2)</f>
        <v>0</v>
      </c>
      <c r="P165" s="474">
        <f t="shared" si="37"/>
        <v>0</v>
      </c>
      <c r="Q165" s="474">
        <f t="shared" si="38"/>
        <v>0</v>
      </c>
      <c r="R165" s="474">
        <f t="shared" ref="R165:R183" si="48">+T164</f>
        <v>213.83080000000001</v>
      </c>
      <c r="S165" s="474">
        <f>+R165+Q165</f>
        <v>213.83080000000001</v>
      </c>
      <c r="T165" s="476">
        <f t="shared" si="39"/>
        <v>213.83080000000001</v>
      </c>
      <c r="V165" s="437">
        <f t="shared" si="40"/>
        <v>0</v>
      </c>
      <c r="W165" s="437"/>
      <c r="X165" s="437"/>
      <c r="Y165" s="437"/>
      <c r="Z165" s="437"/>
      <c r="AA165" s="437"/>
      <c r="AB165" s="1595" t="e">
        <f t="shared" ref="AB165:AB183" si="49">IF(AZ165&lt;0,"use the locking pin"," ")</f>
        <v>#DIV/0!</v>
      </c>
      <c r="AC165" s="514" t="b">
        <f>IF(AD165=2,AF165)</f>
        <v>0</v>
      </c>
      <c r="AD165" s="514">
        <f t="shared" si="41"/>
        <v>1</v>
      </c>
      <c r="AE165" s="514">
        <f>IF(V165=0,0,2)</f>
        <v>0</v>
      </c>
      <c r="AF165" s="437" t="e">
        <f>SUM(V165:V183)/($B$161-B164)</f>
        <v>#DIV/0!</v>
      </c>
      <c r="AG165" s="437"/>
      <c r="AH165" s="450">
        <f>SUM(D165)+$C$164</f>
        <v>0</v>
      </c>
      <c r="AI165" s="516" t="b">
        <f t="shared" ref="AI165:AI183" si="50">IF(B165&lt;($B$161+1),AH165)</f>
        <v>0</v>
      </c>
      <c r="AJ165" s="287">
        <f t="shared" ref="AJ165:AJ183" si="51">66.2555484-AH165</f>
        <v>66.255548399999995</v>
      </c>
      <c r="AK165" s="441">
        <f t="shared" si="42"/>
        <v>0.91535047595051022</v>
      </c>
      <c r="AL165" s="289">
        <f t="shared" ref="AL165:AL183" si="52">+AK165*304.3209</f>
        <v>278.56028065668761</v>
      </c>
      <c r="AM165" s="287">
        <f t="shared" ref="AM165:AM183" si="53">50.0185497+AH165</f>
        <v>50.018549700000001</v>
      </c>
      <c r="AN165" s="442">
        <f t="shared" ref="AN165:AN183" si="54">SIN(AM165*3.14159265358979/180)</f>
        <v>0.76625250760411079</v>
      </c>
      <c r="AO165" s="291">
        <f t="shared" ref="AO165:AO183" si="55">+AN165*279.0605</f>
        <v>213.83080789825695</v>
      </c>
      <c r="AP165" s="519" t="e">
        <f t="shared" si="43"/>
        <v>#DIV/0!</v>
      </c>
      <c r="AQ165" s="1687">
        <f>$C$13*($B$161-B164)</f>
        <v>0</v>
      </c>
      <c r="AR165" s="519">
        <f>+AQ165+$AQ$195</f>
        <v>29.3</v>
      </c>
      <c r="AS165" s="444">
        <f t="shared" ref="AS165:AS183" si="56">+AO165+AL165</f>
        <v>492.39108855494453</v>
      </c>
      <c r="AT165" s="445">
        <f>+V165-AO165</f>
        <v>-213.83080789825695</v>
      </c>
      <c r="AU165" s="446" t="e">
        <f t="shared" ref="AU165:AU183" si="57">+AP165-AT165</f>
        <v>#DIV/0!</v>
      </c>
      <c r="AV165" s="445"/>
      <c r="AW165" s="447" t="e">
        <f t="shared" ref="AW165:AW183" si="58">+((AS165-AU165)/AS165)*AR165</f>
        <v>#DIV/0!</v>
      </c>
      <c r="AX165" s="447" t="e">
        <f t="shared" ref="AX165:AX183" si="59">+(AU165/AS165)*AR165</f>
        <v>#DIV/0!</v>
      </c>
      <c r="AY165" s="1597" t="e">
        <f t="shared" si="44"/>
        <v>#DIV/0!</v>
      </c>
      <c r="AZ165" s="1597" t="e">
        <f t="shared" si="45"/>
        <v>#DIV/0!</v>
      </c>
      <c r="BA165" s="542" t="e">
        <f t="shared" ref="BA165:BB183" si="60">ABS(AY165)</f>
        <v>#DIV/0!</v>
      </c>
      <c r="BB165" s="542" t="e">
        <f t="shared" si="60"/>
        <v>#DIV/0!</v>
      </c>
      <c r="BM165" s="402"/>
      <c r="BN165" s="136"/>
      <c r="BO165" s="1091"/>
      <c r="BP165" s="126"/>
      <c r="BQ165" s="126"/>
      <c r="BR165" s="126"/>
      <c r="BS165" s="126"/>
      <c r="BT165" s="126"/>
      <c r="BU165" s="126"/>
      <c r="BV165" s="203"/>
      <c r="BW165" s="203"/>
      <c r="BX165" s="203"/>
      <c r="BY165" s="203"/>
      <c r="BZ165" s="203"/>
      <c r="CA165" s="203"/>
      <c r="CB165" s="203"/>
      <c r="CC165" s="203"/>
      <c r="CD165" s="203"/>
      <c r="CE165" s="203"/>
      <c r="CF165" s="203"/>
      <c r="CG165" s="203"/>
      <c r="CH165" s="203"/>
      <c r="CI165" s="203"/>
    </row>
    <row r="166" spans="1:109" ht="21" customHeight="1" thickBot="1" x14ac:dyDescent="0.35">
      <c r="B166" s="277">
        <v>3</v>
      </c>
      <c r="C166" s="278"/>
      <c r="D166" s="25">
        <v>0</v>
      </c>
      <c r="E166" s="279" t="s">
        <v>130</v>
      </c>
      <c r="F166" s="258"/>
      <c r="G166" s="258">
        <f>+D166+BC166</f>
        <v>0</v>
      </c>
      <c r="H166" s="506">
        <v>279.06049999999999</v>
      </c>
      <c r="I166" s="507">
        <v>79.962900599999998</v>
      </c>
      <c r="J166" s="474">
        <f t="shared" si="46"/>
        <v>79.962900599999998</v>
      </c>
      <c r="K166" s="474">
        <f t="shared" si="47"/>
        <v>39.981450299999999</v>
      </c>
      <c r="L166" s="474">
        <f t="shared" si="34"/>
        <v>0.64253956655634092</v>
      </c>
      <c r="M166" s="474">
        <f t="shared" si="35"/>
        <v>179.30741271299578</v>
      </c>
      <c r="N166" s="474">
        <f t="shared" si="36"/>
        <v>358.61482542599157</v>
      </c>
      <c r="O166" s="474">
        <f>+C164+D165+(D166/2)</f>
        <v>0</v>
      </c>
      <c r="P166" s="474">
        <f t="shared" si="37"/>
        <v>0</v>
      </c>
      <c r="Q166" s="474">
        <f t="shared" si="38"/>
        <v>0</v>
      </c>
      <c r="R166" s="474">
        <f t="shared" si="48"/>
        <v>213.83080000000001</v>
      </c>
      <c r="S166" s="474">
        <f t="shared" ref="S166:S183" si="61">+S165+Q166</f>
        <v>213.83080000000001</v>
      </c>
      <c r="T166" s="476">
        <f t="shared" si="39"/>
        <v>213.83080000000001</v>
      </c>
      <c r="V166" s="437">
        <f t="shared" si="40"/>
        <v>0</v>
      </c>
      <c r="W166" s="437"/>
      <c r="X166" s="437"/>
      <c r="Y166" s="437"/>
      <c r="Z166" s="437"/>
      <c r="AA166" s="437"/>
      <c r="AB166" s="1595" t="str">
        <f t="shared" si="49"/>
        <v xml:space="preserve"> </v>
      </c>
      <c r="AC166" s="514" t="b">
        <f>IF(AD166=3,AF166)</f>
        <v>0</v>
      </c>
      <c r="AD166" s="514">
        <f t="shared" si="41"/>
        <v>1</v>
      </c>
      <c r="AE166" s="514">
        <f>IF(V166=0,0,3)</f>
        <v>0</v>
      </c>
      <c r="AF166" s="437">
        <f>SUM(V166:V183)/($B$161-B165)</f>
        <v>0</v>
      </c>
      <c r="AG166" s="437"/>
      <c r="AH166" s="450">
        <f>SUM(D165:D166)+$C$164</f>
        <v>0</v>
      </c>
      <c r="AI166" s="516" t="b">
        <f t="shared" si="50"/>
        <v>0</v>
      </c>
      <c r="AJ166" s="287">
        <f t="shared" si="51"/>
        <v>66.255548399999995</v>
      </c>
      <c r="AK166" s="441">
        <f t="shared" si="42"/>
        <v>0.91535047595051022</v>
      </c>
      <c r="AL166" s="289">
        <f t="shared" si="52"/>
        <v>278.56028065668761</v>
      </c>
      <c r="AM166" s="287">
        <f t="shared" si="53"/>
        <v>50.018549700000001</v>
      </c>
      <c r="AN166" s="442">
        <f t="shared" si="54"/>
        <v>0.76625250760411079</v>
      </c>
      <c r="AO166" s="291">
        <f t="shared" si="55"/>
        <v>213.83080789825695</v>
      </c>
      <c r="AP166" s="519">
        <f t="shared" si="43"/>
        <v>-551.99314116720689</v>
      </c>
      <c r="AQ166" s="1687">
        <f t="shared" ref="AQ166:AQ183" si="62">$C$13*($B$161-B165)</f>
        <v>-40.5</v>
      </c>
      <c r="AR166" s="519">
        <f t="shared" ref="AR166:AR183" si="63">+AQ166+$AQ$195</f>
        <v>-11.2</v>
      </c>
      <c r="AS166" s="444">
        <f t="shared" si="56"/>
        <v>492.39108855494453</v>
      </c>
      <c r="AT166" s="445">
        <f>+V166-AO166</f>
        <v>-213.83080789825695</v>
      </c>
      <c r="AU166" s="446">
        <f t="shared" si="57"/>
        <v>-338.16233326894996</v>
      </c>
      <c r="AV166" s="445"/>
      <c r="AW166" s="447">
        <f t="shared" si="58"/>
        <v>-18.891890086247187</v>
      </c>
      <c r="AX166" s="447">
        <f t="shared" si="59"/>
        <v>7.691890086247188</v>
      </c>
      <c r="AY166" s="1597">
        <f t="shared" si="44"/>
        <v>-614.02008729896772</v>
      </c>
      <c r="AZ166" s="1597">
        <f t="shared" si="45"/>
        <v>1300.0705792558874</v>
      </c>
      <c r="BA166" s="542">
        <f t="shared" si="60"/>
        <v>614.02008729896772</v>
      </c>
      <c r="BB166" s="542">
        <f t="shared" si="60"/>
        <v>1300.0705792558874</v>
      </c>
      <c r="BM166" s="214"/>
      <c r="BN166" s="214"/>
      <c r="BO166" s="214"/>
      <c r="BP166" s="126"/>
      <c r="BQ166" s="126"/>
      <c r="BR166" s="126"/>
      <c r="BS166" s="126"/>
      <c r="BT166" s="126"/>
      <c r="BU166" s="126"/>
      <c r="BV166" s="203"/>
      <c r="BW166" s="203"/>
      <c r="BX166" s="203"/>
      <c r="BY166" s="203"/>
      <c r="BZ166" s="203"/>
      <c r="CA166" s="203"/>
      <c r="CB166" s="203"/>
      <c r="CC166" s="203"/>
      <c r="CD166" s="203"/>
      <c r="CE166" s="203"/>
      <c r="CF166" s="203"/>
      <c r="CG166" s="203"/>
      <c r="CH166" s="203"/>
      <c r="CI166" s="203"/>
    </row>
    <row r="167" spans="1:109" ht="21" customHeight="1" thickBot="1" x14ac:dyDescent="0.35">
      <c r="B167" s="277">
        <v>4</v>
      </c>
      <c r="C167" s="278"/>
      <c r="D167" s="25">
        <v>0</v>
      </c>
      <c r="E167" s="279" t="s">
        <v>130</v>
      </c>
      <c r="F167" s="258"/>
      <c r="G167" s="258">
        <f>+D167+BC167</f>
        <v>0</v>
      </c>
      <c r="H167" s="506">
        <v>279.06049999999999</v>
      </c>
      <c r="I167" s="507">
        <v>79.962900599999998</v>
      </c>
      <c r="J167" s="474">
        <f t="shared" si="46"/>
        <v>79.962900599999998</v>
      </c>
      <c r="K167" s="474">
        <f t="shared" si="47"/>
        <v>39.981450299999999</v>
      </c>
      <c r="L167" s="474">
        <f t="shared" si="34"/>
        <v>0.64253956655634092</v>
      </c>
      <c r="M167" s="474">
        <f t="shared" si="35"/>
        <v>179.30741271299578</v>
      </c>
      <c r="N167" s="474">
        <f t="shared" si="36"/>
        <v>358.61482542599157</v>
      </c>
      <c r="O167" s="474">
        <f>+C164+D165+D166+(D167/2)</f>
        <v>0</v>
      </c>
      <c r="P167" s="474">
        <f t="shared" si="37"/>
        <v>0</v>
      </c>
      <c r="Q167" s="474">
        <f t="shared" si="38"/>
        <v>0</v>
      </c>
      <c r="R167" s="474">
        <f t="shared" si="48"/>
        <v>213.83080000000001</v>
      </c>
      <c r="S167" s="474">
        <f t="shared" si="61"/>
        <v>213.83080000000001</v>
      </c>
      <c r="T167" s="476">
        <f t="shared" si="39"/>
        <v>213.83080000000001</v>
      </c>
      <c r="V167" s="437">
        <f t="shared" si="40"/>
        <v>0</v>
      </c>
      <c r="W167" s="437"/>
      <c r="X167" s="437"/>
      <c r="Y167" s="437"/>
      <c r="Z167" s="437"/>
      <c r="AA167" s="437"/>
      <c r="AB167" s="1595" t="str">
        <f t="shared" si="49"/>
        <v>use the locking pin</v>
      </c>
      <c r="AC167" s="514" t="b">
        <f>IF(AD167=4,AF167)</f>
        <v>0</v>
      </c>
      <c r="AD167" s="514">
        <f t="shared" si="41"/>
        <v>1</v>
      </c>
      <c r="AE167" s="514">
        <f>IF(V167=0,0,4)</f>
        <v>0</v>
      </c>
      <c r="AF167" s="437">
        <f>SUM(V167:V183)/($B$161-B166)</f>
        <v>0</v>
      </c>
      <c r="AG167" s="437"/>
      <c r="AH167" s="450">
        <f>SUM(D165:D167)+$C$164</f>
        <v>0</v>
      </c>
      <c r="AI167" s="516" t="b">
        <f t="shared" si="50"/>
        <v>0</v>
      </c>
      <c r="AJ167" s="287">
        <f t="shared" si="51"/>
        <v>66.255548399999995</v>
      </c>
      <c r="AK167" s="441">
        <f t="shared" si="42"/>
        <v>0.91535047595051022</v>
      </c>
      <c r="AL167" s="289">
        <f t="shared" si="52"/>
        <v>278.56028065668761</v>
      </c>
      <c r="AM167" s="287">
        <f t="shared" si="53"/>
        <v>50.018549700000001</v>
      </c>
      <c r="AN167" s="442">
        <f t="shared" si="54"/>
        <v>0.76625250760411079</v>
      </c>
      <c r="AO167" s="291">
        <f t="shared" si="55"/>
        <v>213.83080789825695</v>
      </c>
      <c r="AP167" s="519">
        <f t="shared" si="43"/>
        <v>-119.58071916968504</v>
      </c>
      <c r="AQ167" s="1687">
        <f t="shared" si="62"/>
        <v>-81</v>
      </c>
      <c r="AR167" s="519">
        <f t="shared" si="63"/>
        <v>-51.7</v>
      </c>
      <c r="AS167" s="444">
        <f t="shared" si="56"/>
        <v>492.39108855494453</v>
      </c>
      <c r="AT167" s="445">
        <f>+V167-AO167</f>
        <v>-213.83080789825695</v>
      </c>
      <c r="AU167" s="446">
        <f t="shared" si="57"/>
        <v>94.25008872857191</v>
      </c>
      <c r="AV167" s="445"/>
      <c r="AW167" s="447">
        <f t="shared" si="58"/>
        <v>-41.803944404096519</v>
      </c>
      <c r="AX167" s="447">
        <f t="shared" si="59"/>
        <v>-9.896055595903487</v>
      </c>
      <c r="AY167" s="1597">
        <f t="shared" si="44"/>
        <v>-277.48577712832463</v>
      </c>
      <c r="AZ167" s="1597">
        <f t="shared" si="45"/>
        <v>-1010.5036196582748</v>
      </c>
      <c r="BA167" s="542">
        <f t="shared" si="60"/>
        <v>277.48577712832463</v>
      </c>
      <c r="BB167" s="542">
        <f t="shared" si="60"/>
        <v>1010.5036196582748</v>
      </c>
      <c r="BM167" s="214"/>
      <c r="BN167" s="214"/>
      <c r="BO167" s="214"/>
      <c r="BP167" s="126"/>
      <c r="BQ167" s="126"/>
      <c r="BR167" s="126"/>
      <c r="BS167" s="126"/>
      <c r="BT167" s="126"/>
      <c r="BU167" s="126"/>
      <c r="BV167" s="203"/>
      <c r="BW167" s="203"/>
      <c r="BX167" s="203"/>
      <c r="BY167" s="203"/>
      <c r="BZ167" s="203"/>
      <c r="CA167" s="203"/>
      <c r="CB167" s="203"/>
      <c r="CC167" s="203"/>
      <c r="CD167" s="203"/>
      <c r="CE167" s="203"/>
      <c r="CF167" s="203"/>
      <c r="CG167" s="203"/>
      <c r="CH167" s="203"/>
      <c r="CI167" s="203"/>
    </row>
    <row r="168" spans="1:109" ht="21" customHeight="1" thickBot="1" x14ac:dyDescent="0.35">
      <c r="B168" s="277">
        <v>5</v>
      </c>
      <c r="C168" s="278"/>
      <c r="D168" s="25">
        <v>0</v>
      </c>
      <c r="E168" s="279" t="s">
        <v>130</v>
      </c>
      <c r="F168" s="258"/>
      <c r="G168" s="258">
        <f>+D168+BC168</f>
        <v>0</v>
      </c>
      <c r="H168" s="506">
        <v>279.06049999999999</v>
      </c>
      <c r="I168" s="507">
        <v>79.962900599999998</v>
      </c>
      <c r="J168" s="474">
        <f t="shared" si="46"/>
        <v>79.962900599999998</v>
      </c>
      <c r="K168" s="474">
        <f t="shared" si="47"/>
        <v>39.981450299999999</v>
      </c>
      <c r="L168" s="474">
        <f t="shared" si="34"/>
        <v>0.64253956655634092</v>
      </c>
      <c r="M168" s="474">
        <f t="shared" si="35"/>
        <v>179.30741271299578</v>
      </c>
      <c r="N168" s="474">
        <f t="shared" si="36"/>
        <v>358.61482542599157</v>
      </c>
      <c r="O168" s="474">
        <f>+C164+D165+D166+D167+(D168/2)</f>
        <v>0</v>
      </c>
      <c r="P168" s="474">
        <f t="shared" si="37"/>
        <v>0</v>
      </c>
      <c r="Q168" s="474">
        <f t="shared" si="38"/>
        <v>0</v>
      </c>
      <c r="R168" s="474">
        <f t="shared" si="48"/>
        <v>213.83080000000001</v>
      </c>
      <c r="S168" s="474">
        <f t="shared" si="61"/>
        <v>213.83080000000001</v>
      </c>
      <c r="T168" s="476">
        <f t="shared" si="39"/>
        <v>213.83080000000001</v>
      </c>
      <c r="V168" s="437">
        <f t="shared" si="40"/>
        <v>0</v>
      </c>
      <c r="W168" s="437"/>
      <c r="X168" s="437"/>
      <c r="Y168" s="437"/>
      <c r="Z168" s="437"/>
      <c r="AA168" s="437"/>
      <c r="AB168" s="1595" t="str">
        <f t="shared" si="49"/>
        <v>use the locking pin</v>
      </c>
      <c r="AC168" s="514" t="b">
        <f>IF(AD168=5,AF168)</f>
        <v>0</v>
      </c>
      <c r="AD168" s="514">
        <f t="shared" si="41"/>
        <v>1</v>
      </c>
      <c r="AE168" s="514">
        <f>IF(V168=0,0,5)</f>
        <v>0</v>
      </c>
      <c r="AF168" s="437">
        <f>SUM(V168:V183)/($B$161-B167)</f>
        <v>0</v>
      </c>
      <c r="AG168" s="437"/>
      <c r="AH168" s="450">
        <f>SUM(D165:D168)+$C$164</f>
        <v>0</v>
      </c>
      <c r="AI168" s="516" t="b">
        <f t="shared" si="50"/>
        <v>0</v>
      </c>
      <c r="AJ168" s="287">
        <f t="shared" si="51"/>
        <v>66.255548399999995</v>
      </c>
      <c r="AK168" s="441">
        <f t="shared" si="42"/>
        <v>0.91535047595051022</v>
      </c>
      <c r="AL168" s="289">
        <f t="shared" si="52"/>
        <v>278.56028065668761</v>
      </c>
      <c r="AM168" s="287">
        <f t="shared" si="53"/>
        <v>50.018549700000001</v>
      </c>
      <c r="AN168" s="442">
        <f t="shared" si="54"/>
        <v>0.76625250760411079</v>
      </c>
      <c r="AO168" s="291">
        <f t="shared" si="55"/>
        <v>213.83080789825695</v>
      </c>
      <c r="AP168" s="519">
        <f t="shared" si="43"/>
        <v>-67.05339675783857</v>
      </c>
      <c r="AQ168" s="1687">
        <f t="shared" si="62"/>
        <v>-121.5</v>
      </c>
      <c r="AR168" s="519">
        <f t="shared" si="63"/>
        <v>-92.2</v>
      </c>
      <c r="AS168" s="444">
        <f t="shared" si="56"/>
        <v>492.39108855494453</v>
      </c>
      <c r="AT168" s="445">
        <f t="shared" ref="AT168:AT183" si="64">+V168-AO168</f>
        <v>-213.83080789825695</v>
      </c>
      <c r="AU168" s="446">
        <f t="shared" si="57"/>
        <v>146.77741114041839</v>
      </c>
      <c r="AV168" s="445"/>
      <c r="AW168" s="447">
        <f t="shared" si="58"/>
        <v>-64.715998721945837</v>
      </c>
      <c r="AX168" s="447">
        <f t="shared" si="59"/>
        <v>-27.484001278054166</v>
      </c>
      <c r="AY168" s="1597">
        <f t="shared" si="44"/>
        <v>-179.24470345949132</v>
      </c>
      <c r="AZ168" s="1597">
        <f t="shared" si="45"/>
        <v>-363.84804013180383</v>
      </c>
      <c r="BA168" s="542">
        <f t="shared" si="60"/>
        <v>179.24470345949132</v>
      </c>
      <c r="BB168" s="542">
        <f t="shared" si="60"/>
        <v>363.84804013180383</v>
      </c>
      <c r="BM168" s="214"/>
      <c r="BN168" s="214"/>
      <c r="BO168" s="214"/>
      <c r="BP168" s="126"/>
      <c r="BQ168" s="126"/>
      <c r="BR168" s="126"/>
      <c r="BS168" s="126"/>
      <c r="BT168" s="126"/>
      <c r="BU168" s="126"/>
      <c r="BV168" s="203"/>
      <c r="BW168" s="203"/>
      <c r="BX168" s="203"/>
      <c r="BY168" s="203"/>
      <c r="BZ168" s="203"/>
      <c r="CA168" s="203"/>
      <c r="CB168" s="203"/>
      <c r="CC168" s="203"/>
      <c r="CD168" s="203"/>
      <c r="CE168" s="203"/>
      <c r="CF168" s="203"/>
      <c r="CG168" s="203"/>
      <c r="CH168" s="203"/>
      <c r="CI168" s="203"/>
    </row>
    <row r="169" spans="1:109" ht="21" customHeight="1" thickBot="1" x14ac:dyDescent="0.35">
      <c r="B169" s="277">
        <v>6</v>
      </c>
      <c r="C169" s="278"/>
      <c r="D169" s="25">
        <v>0</v>
      </c>
      <c r="E169" s="279" t="s">
        <v>130</v>
      </c>
      <c r="F169" s="258"/>
      <c r="G169" s="258">
        <f t="shared" ref="G169:G183" si="65">+D169+BC169</f>
        <v>0</v>
      </c>
      <c r="H169" s="506">
        <v>279.06049999999999</v>
      </c>
      <c r="I169" s="507">
        <v>79.962900599999998</v>
      </c>
      <c r="J169" s="474">
        <f t="shared" si="46"/>
        <v>79.962900599999998</v>
      </c>
      <c r="K169" s="474">
        <f t="shared" si="47"/>
        <v>39.981450299999999</v>
      </c>
      <c r="L169" s="474">
        <f t="shared" si="34"/>
        <v>0.64253956655634092</v>
      </c>
      <c r="M169" s="474">
        <f t="shared" si="35"/>
        <v>179.30741271299578</v>
      </c>
      <c r="N169" s="474">
        <f t="shared" si="36"/>
        <v>358.61482542599157</v>
      </c>
      <c r="O169" s="474">
        <f>+C164+D165+D166+D167+D168+(D169/2)</f>
        <v>0</v>
      </c>
      <c r="P169" s="474">
        <f t="shared" si="37"/>
        <v>0</v>
      </c>
      <c r="Q169" s="474">
        <f t="shared" si="38"/>
        <v>0</v>
      </c>
      <c r="R169" s="474">
        <f t="shared" si="48"/>
        <v>213.83080000000001</v>
      </c>
      <c r="S169" s="474">
        <f t="shared" si="61"/>
        <v>213.83080000000001</v>
      </c>
      <c r="T169" s="476">
        <f t="shared" si="39"/>
        <v>213.83080000000001</v>
      </c>
      <c r="V169" s="437">
        <f t="shared" si="40"/>
        <v>0</v>
      </c>
      <c r="W169" s="437"/>
      <c r="X169" s="437"/>
      <c r="Y169" s="437"/>
      <c r="Z169" s="437"/>
      <c r="AA169" s="437"/>
      <c r="AB169" s="1595" t="str">
        <f t="shared" si="49"/>
        <v>use the locking pin</v>
      </c>
      <c r="AC169" s="514" t="b">
        <f>IF(AD169=6,AF169)</f>
        <v>0</v>
      </c>
      <c r="AD169" s="514">
        <f t="shared" si="41"/>
        <v>1</v>
      </c>
      <c r="AE169" s="514">
        <f>IF(V169=0,0,6)</f>
        <v>0</v>
      </c>
      <c r="AF169" s="437">
        <f>SUM(V169:V183)/($B$161-B168)</f>
        <v>0</v>
      </c>
      <c r="AG169" s="437"/>
      <c r="AH169" s="450">
        <f>SUM(D165:D169)+$C$164</f>
        <v>0</v>
      </c>
      <c r="AI169" s="516" t="b">
        <f t="shared" si="50"/>
        <v>0</v>
      </c>
      <c r="AJ169" s="287">
        <f t="shared" si="51"/>
        <v>66.255548399999995</v>
      </c>
      <c r="AK169" s="441">
        <f t="shared" si="42"/>
        <v>0.91535047595051022</v>
      </c>
      <c r="AL169" s="289">
        <f t="shared" si="52"/>
        <v>278.56028065668761</v>
      </c>
      <c r="AM169" s="287">
        <f t="shared" si="53"/>
        <v>50.018549700000001</v>
      </c>
      <c r="AN169" s="442">
        <f t="shared" si="54"/>
        <v>0.76625250760411079</v>
      </c>
      <c r="AO169" s="291">
        <f t="shared" si="55"/>
        <v>213.83080789825695</v>
      </c>
      <c r="AP169" s="519">
        <f t="shared" si="43"/>
        <v>-46.588720279372396</v>
      </c>
      <c r="AQ169" s="1687">
        <f t="shared" si="62"/>
        <v>-162</v>
      </c>
      <c r="AR169" s="519">
        <f t="shared" si="63"/>
        <v>-132.69999999999999</v>
      </c>
      <c r="AS169" s="444">
        <f t="shared" si="56"/>
        <v>492.39108855494453</v>
      </c>
      <c r="AT169" s="445">
        <f t="shared" si="64"/>
        <v>-213.83080789825695</v>
      </c>
      <c r="AU169" s="446">
        <f t="shared" si="57"/>
        <v>167.24208761888457</v>
      </c>
      <c r="AV169" s="445"/>
      <c r="AW169" s="447">
        <f t="shared" si="58"/>
        <v>-87.628053039795148</v>
      </c>
      <c r="AX169" s="447">
        <f t="shared" si="59"/>
        <v>-45.071946960204833</v>
      </c>
      <c r="AY169" s="1597">
        <f t="shared" si="44"/>
        <v>-132.37769866611106</v>
      </c>
      <c r="AZ169" s="1597">
        <f t="shared" si="45"/>
        <v>-221.86749573585658</v>
      </c>
      <c r="BA169" s="542">
        <f t="shared" si="60"/>
        <v>132.37769866611106</v>
      </c>
      <c r="BB169" s="542">
        <f t="shared" si="60"/>
        <v>221.86749573585658</v>
      </c>
      <c r="BM169" s="214"/>
      <c r="BN169" s="214"/>
      <c r="BO169" s="214"/>
      <c r="CI169" s="236"/>
      <c r="CJ169" s="236"/>
      <c r="CK169" s="236"/>
      <c r="CL169" s="236"/>
      <c r="CM169" s="236"/>
      <c r="CN169" s="236"/>
    </row>
    <row r="170" spans="1:109" ht="21" customHeight="1" thickBot="1" x14ac:dyDescent="0.35">
      <c r="B170" s="277">
        <v>7</v>
      </c>
      <c r="C170" s="278"/>
      <c r="D170" s="25">
        <v>0</v>
      </c>
      <c r="E170" s="279" t="s">
        <v>130</v>
      </c>
      <c r="F170" s="258"/>
      <c r="G170" s="258">
        <f t="shared" si="65"/>
        <v>0</v>
      </c>
      <c r="H170" s="506">
        <v>279.06049999999999</v>
      </c>
      <c r="I170" s="507">
        <v>79.962900599999998</v>
      </c>
      <c r="J170" s="474">
        <f t="shared" si="46"/>
        <v>79.962900599999998</v>
      </c>
      <c r="K170" s="474">
        <f t="shared" si="47"/>
        <v>39.981450299999999</v>
      </c>
      <c r="L170" s="474">
        <f t="shared" si="34"/>
        <v>0.64253956655634092</v>
      </c>
      <c r="M170" s="474">
        <f t="shared" si="35"/>
        <v>179.30741271299578</v>
      </c>
      <c r="N170" s="474">
        <f t="shared" si="36"/>
        <v>358.61482542599157</v>
      </c>
      <c r="O170" s="474">
        <f>+C164+D165+D166+D167+D168+D169+(D170/2)</f>
        <v>0</v>
      </c>
      <c r="P170" s="474">
        <f t="shared" si="37"/>
        <v>0</v>
      </c>
      <c r="Q170" s="474">
        <f t="shared" si="38"/>
        <v>0</v>
      </c>
      <c r="R170" s="474">
        <f t="shared" si="48"/>
        <v>213.83080000000001</v>
      </c>
      <c r="S170" s="474">
        <f t="shared" si="61"/>
        <v>213.83080000000001</v>
      </c>
      <c r="T170" s="476">
        <f t="shared" si="39"/>
        <v>213.83080000000001</v>
      </c>
      <c r="V170" s="437">
        <f t="shared" si="40"/>
        <v>0</v>
      </c>
      <c r="W170" s="437"/>
      <c r="X170" s="437"/>
      <c r="Y170" s="437"/>
      <c r="Z170" s="437"/>
      <c r="AA170" s="437"/>
      <c r="AB170" s="1595" t="str">
        <f t="shared" si="49"/>
        <v>use the locking pin</v>
      </c>
      <c r="AC170" s="514" t="b">
        <f>IF(AD170=7,AF170)</f>
        <v>0</v>
      </c>
      <c r="AD170" s="514">
        <f t="shared" si="41"/>
        <v>1</v>
      </c>
      <c r="AE170" s="514">
        <f>IF(V170=0,0,7)</f>
        <v>0</v>
      </c>
      <c r="AF170" s="437">
        <f>SUM(V170:V183)/($B$161-B169)</f>
        <v>0</v>
      </c>
      <c r="AG170" s="437"/>
      <c r="AH170" s="450">
        <f>SUM(D165:D170)+$C$164</f>
        <v>0</v>
      </c>
      <c r="AI170" s="516" t="b">
        <f t="shared" si="50"/>
        <v>0</v>
      </c>
      <c r="AJ170" s="287">
        <f t="shared" si="51"/>
        <v>66.255548399999995</v>
      </c>
      <c r="AK170" s="441">
        <f t="shared" si="42"/>
        <v>0.91535047595051022</v>
      </c>
      <c r="AL170" s="289">
        <f t="shared" si="52"/>
        <v>278.56028065668761</v>
      </c>
      <c r="AM170" s="287">
        <f t="shared" si="53"/>
        <v>50.018549700000001</v>
      </c>
      <c r="AN170" s="442">
        <f t="shared" si="54"/>
        <v>0.76625250760411079</v>
      </c>
      <c r="AO170" s="291">
        <f t="shared" si="55"/>
        <v>213.83080789825695</v>
      </c>
      <c r="AP170" s="519">
        <f t="shared" si="43"/>
        <v>-35.694706588179656</v>
      </c>
      <c r="AQ170" s="1687">
        <f t="shared" si="62"/>
        <v>-202.5</v>
      </c>
      <c r="AR170" s="519">
        <f t="shared" si="63"/>
        <v>-173.2</v>
      </c>
      <c r="AS170" s="444">
        <f t="shared" si="56"/>
        <v>492.39108855494453</v>
      </c>
      <c r="AT170" s="445">
        <f t="shared" si="64"/>
        <v>-213.83080789825695</v>
      </c>
      <c r="AU170" s="446">
        <f t="shared" si="57"/>
        <v>178.13610131007729</v>
      </c>
      <c r="AV170" s="445"/>
      <c r="AW170" s="447">
        <f t="shared" si="58"/>
        <v>-110.54010735764449</v>
      </c>
      <c r="AX170" s="447">
        <f t="shared" si="59"/>
        <v>-62.659892642355501</v>
      </c>
      <c r="AY170" s="1597">
        <f t="shared" si="44"/>
        <v>-104.93928653849632</v>
      </c>
      <c r="AZ170" s="1597">
        <f t="shared" si="45"/>
        <v>-159.59171933276522</v>
      </c>
      <c r="BA170" s="542">
        <f t="shared" si="60"/>
        <v>104.93928653849632</v>
      </c>
      <c r="BB170" s="542">
        <f t="shared" si="60"/>
        <v>159.59171933276522</v>
      </c>
      <c r="BM170" s="214"/>
      <c r="BN170" s="214"/>
      <c r="BO170" s="214"/>
    </row>
    <row r="171" spans="1:109" ht="21" customHeight="1" thickBot="1" x14ac:dyDescent="0.35">
      <c r="B171" s="277">
        <v>8</v>
      </c>
      <c r="C171" s="278"/>
      <c r="D171" s="25">
        <v>0</v>
      </c>
      <c r="E171" s="279" t="s">
        <v>130</v>
      </c>
      <c r="F171" s="258"/>
      <c r="G171" s="258">
        <f t="shared" si="65"/>
        <v>0</v>
      </c>
      <c r="H171" s="506">
        <v>279.06049999999999</v>
      </c>
      <c r="I171" s="507">
        <v>79.962900599999998</v>
      </c>
      <c r="J171" s="474">
        <f t="shared" si="46"/>
        <v>79.962900599999998</v>
      </c>
      <c r="K171" s="474">
        <f t="shared" si="47"/>
        <v>39.981450299999999</v>
      </c>
      <c r="L171" s="474">
        <f t="shared" si="34"/>
        <v>0.64253956655634092</v>
      </c>
      <c r="M171" s="474">
        <f t="shared" si="35"/>
        <v>179.30741271299578</v>
      </c>
      <c r="N171" s="474">
        <f t="shared" si="36"/>
        <v>358.61482542599157</v>
      </c>
      <c r="O171" s="474">
        <f>+C164+D165+D166+D167+D168+D169+D170+(D171/2)</f>
        <v>0</v>
      </c>
      <c r="P171" s="474">
        <f t="shared" si="37"/>
        <v>0</v>
      </c>
      <c r="Q171" s="474">
        <f t="shared" si="38"/>
        <v>0</v>
      </c>
      <c r="R171" s="474">
        <f t="shared" si="48"/>
        <v>213.83080000000001</v>
      </c>
      <c r="S171" s="474">
        <f t="shared" si="61"/>
        <v>213.83080000000001</v>
      </c>
      <c r="T171" s="476">
        <f t="shared" si="39"/>
        <v>213.83080000000001</v>
      </c>
      <c r="V171" s="437">
        <f t="shared" si="40"/>
        <v>0</v>
      </c>
      <c r="W171" s="437"/>
      <c r="X171" s="437"/>
      <c r="Y171" s="437"/>
      <c r="Z171" s="437"/>
      <c r="AA171" s="437"/>
      <c r="AB171" s="1595" t="str">
        <f t="shared" si="49"/>
        <v>use the locking pin</v>
      </c>
      <c r="AC171" s="514" t="b">
        <f>IF(AD171=8,AF171)</f>
        <v>0</v>
      </c>
      <c r="AD171" s="514">
        <f t="shared" si="41"/>
        <v>1</v>
      </c>
      <c r="AE171" s="514">
        <f>IF(V171=0,0,8)</f>
        <v>0</v>
      </c>
      <c r="AF171" s="437">
        <f>SUM(V171:V183)/($B$161-B170)</f>
        <v>0</v>
      </c>
      <c r="AG171" s="437"/>
      <c r="AH171" s="450">
        <f>SUM(D165:D171)+$C$164</f>
        <v>0</v>
      </c>
      <c r="AI171" s="516" t="b">
        <f t="shared" si="50"/>
        <v>0</v>
      </c>
      <c r="AJ171" s="287">
        <f t="shared" si="51"/>
        <v>66.255548399999995</v>
      </c>
      <c r="AK171" s="441">
        <f t="shared" si="42"/>
        <v>0.91535047595051022</v>
      </c>
      <c r="AL171" s="289">
        <f t="shared" si="52"/>
        <v>278.56028065668761</v>
      </c>
      <c r="AM171" s="287">
        <f t="shared" si="53"/>
        <v>50.018549700000001</v>
      </c>
      <c r="AN171" s="442">
        <f t="shared" si="54"/>
        <v>0.76625250760411079</v>
      </c>
      <c r="AO171" s="291">
        <f t="shared" si="55"/>
        <v>213.83080789825695</v>
      </c>
      <c r="AP171" s="519">
        <f t="shared" si="43"/>
        <v>-28.929916617092733</v>
      </c>
      <c r="AQ171" s="1687">
        <f t="shared" si="62"/>
        <v>-243</v>
      </c>
      <c r="AR171" s="519">
        <f t="shared" si="63"/>
        <v>-213.7</v>
      </c>
      <c r="AS171" s="444">
        <f t="shared" si="56"/>
        <v>492.39108855494453</v>
      </c>
      <c r="AT171" s="445">
        <f t="shared" si="64"/>
        <v>-213.83080789825695</v>
      </c>
      <c r="AU171" s="446">
        <f t="shared" si="57"/>
        <v>184.90089128116421</v>
      </c>
      <c r="AV171" s="445"/>
      <c r="AW171" s="447">
        <f t="shared" si="58"/>
        <v>-133.45216167549381</v>
      </c>
      <c r="AX171" s="447">
        <f t="shared" si="59"/>
        <v>-80.247838324506176</v>
      </c>
      <c r="AY171" s="1597">
        <f t="shared" si="44"/>
        <v>-86.922533545817714</v>
      </c>
      <c r="AZ171" s="1597">
        <f t="shared" si="45"/>
        <v>-124.61394859711989</v>
      </c>
      <c r="BA171" s="542">
        <f t="shared" si="60"/>
        <v>86.922533545817714</v>
      </c>
      <c r="BB171" s="542">
        <f t="shared" si="60"/>
        <v>124.61394859711989</v>
      </c>
      <c r="BM171" s="214"/>
      <c r="BN171" s="214"/>
      <c r="BO171" s="214"/>
    </row>
    <row r="172" spans="1:109" ht="21" customHeight="1" thickBot="1" x14ac:dyDescent="0.35">
      <c r="B172" s="277">
        <v>9</v>
      </c>
      <c r="C172" s="278"/>
      <c r="D172" s="25">
        <v>0</v>
      </c>
      <c r="E172" s="279" t="s">
        <v>130</v>
      </c>
      <c r="F172" s="258"/>
      <c r="G172" s="258">
        <f t="shared" si="65"/>
        <v>0</v>
      </c>
      <c r="H172" s="506">
        <v>279.06049999999999</v>
      </c>
      <c r="I172" s="507">
        <v>79.962900599999998</v>
      </c>
      <c r="J172" s="474">
        <f t="shared" si="46"/>
        <v>79.962900599999998</v>
      </c>
      <c r="K172" s="474">
        <f t="shared" si="47"/>
        <v>39.981450299999999</v>
      </c>
      <c r="L172" s="474">
        <f t="shared" si="34"/>
        <v>0.64253956655634092</v>
      </c>
      <c r="M172" s="474">
        <f t="shared" si="35"/>
        <v>179.30741271299578</v>
      </c>
      <c r="N172" s="474">
        <f t="shared" si="36"/>
        <v>358.61482542599157</v>
      </c>
      <c r="O172" s="474">
        <f>+C164+D165+D166+D167+D168+D169+D170+D171+(D172/2)</f>
        <v>0</v>
      </c>
      <c r="P172" s="474">
        <f t="shared" si="37"/>
        <v>0</v>
      </c>
      <c r="Q172" s="474">
        <f t="shared" si="38"/>
        <v>0</v>
      </c>
      <c r="R172" s="474">
        <f t="shared" si="48"/>
        <v>213.83080000000001</v>
      </c>
      <c r="S172" s="474">
        <f t="shared" si="61"/>
        <v>213.83080000000001</v>
      </c>
      <c r="T172" s="476">
        <f t="shared" si="39"/>
        <v>213.83080000000001</v>
      </c>
      <c r="V172" s="437">
        <f t="shared" si="40"/>
        <v>0</v>
      </c>
      <c r="W172" s="437"/>
      <c r="X172" s="437"/>
      <c r="Y172" s="437"/>
      <c r="Z172" s="437"/>
      <c r="AA172" s="437"/>
      <c r="AB172" s="1595" t="str">
        <f t="shared" si="49"/>
        <v>use the locking pin</v>
      </c>
      <c r="AC172" s="514" t="b">
        <f>IF(AD172=9,AF172)</f>
        <v>0</v>
      </c>
      <c r="AD172" s="514">
        <f t="shared" si="41"/>
        <v>1</v>
      </c>
      <c r="AE172" s="514">
        <f>IF(V172=0,0,9)</f>
        <v>0</v>
      </c>
      <c r="AF172" s="437">
        <f>SUM(V172:V183)/($B$161-B171)</f>
        <v>0</v>
      </c>
      <c r="AG172" s="437"/>
      <c r="AH172" s="450">
        <f>SUM(D165:D172)+$C$164</f>
        <v>0</v>
      </c>
      <c r="AI172" s="516" t="b">
        <f t="shared" si="50"/>
        <v>0</v>
      </c>
      <c r="AJ172" s="287">
        <f t="shared" si="51"/>
        <v>66.255548399999995</v>
      </c>
      <c r="AK172" s="441">
        <f t="shared" si="42"/>
        <v>0.91535047595051022</v>
      </c>
      <c r="AL172" s="289">
        <f t="shared" si="52"/>
        <v>278.56028065668761</v>
      </c>
      <c r="AM172" s="287">
        <f t="shared" si="53"/>
        <v>50.018549700000001</v>
      </c>
      <c r="AN172" s="442">
        <f t="shared" si="54"/>
        <v>0.76625250760411079</v>
      </c>
      <c r="AO172" s="291">
        <f t="shared" si="55"/>
        <v>213.83080789825695</v>
      </c>
      <c r="AP172" s="519">
        <f t="shared" si="43"/>
        <v>-24.320704882268753</v>
      </c>
      <c r="AQ172" s="1687">
        <f t="shared" si="62"/>
        <v>-283.5</v>
      </c>
      <c r="AR172" s="519">
        <f t="shared" si="63"/>
        <v>-254.2</v>
      </c>
      <c r="AS172" s="444">
        <f t="shared" si="56"/>
        <v>492.39108855494453</v>
      </c>
      <c r="AT172" s="445">
        <f t="shared" si="64"/>
        <v>-213.83080789825695</v>
      </c>
      <c r="AU172" s="446">
        <f t="shared" si="57"/>
        <v>189.51010301598819</v>
      </c>
      <c r="AV172" s="445"/>
      <c r="AW172" s="447">
        <f t="shared" si="58"/>
        <v>-156.36421599334315</v>
      </c>
      <c r="AX172" s="447">
        <f t="shared" si="59"/>
        <v>-97.835784006656851</v>
      </c>
      <c r="AY172" s="1597">
        <f t="shared" si="44"/>
        <v>-74.185771509856465</v>
      </c>
      <c r="AZ172" s="1597">
        <f t="shared" si="45"/>
        <v>-102.21209040773455</v>
      </c>
      <c r="BA172" s="542">
        <f t="shared" si="60"/>
        <v>74.185771509856465</v>
      </c>
      <c r="BB172" s="542">
        <f t="shared" si="60"/>
        <v>102.21209040773455</v>
      </c>
      <c r="BM172" s="214"/>
      <c r="BN172" s="214"/>
      <c r="BO172" s="214"/>
    </row>
    <row r="173" spans="1:109" ht="21" customHeight="1" thickBot="1" x14ac:dyDescent="0.35">
      <c r="B173" s="277">
        <v>10</v>
      </c>
      <c r="C173" s="278"/>
      <c r="D173" s="25">
        <v>0</v>
      </c>
      <c r="E173" s="279" t="s">
        <v>130</v>
      </c>
      <c r="F173" s="258"/>
      <c r="G173" s="258">
        <f t="shared" si="65"/>
        <v>0</v>
      </c>
      <c r="H173" s="506">
        <v>279.06049999999999</v>
      </c>
      <c r="I173" s="507">
        <v>79.962900599999998</v>
      </c>
      <c r="J173" s="474">
        <f t="shared" si="46"/>
        <v>79.962900599999998</v>
      </c>
      <c r="K173" s="474">
        <f t="shared" si="47"/>
        <v>39.981450299999999</v>
      </c>
      <c r="L173" s="474">
        <f t="shared" si="34"/>
        <v>0.64253956655634092</v>
      </c>
      <c r="M173" s="474">
        <f t="shared" si="35"/>
        <v>179.30741271299578</v>
      </c>
      <c r="N173" s="474">
        <f t="shared" si="36"/>
        <v>358.61482542599157</v>
      </c>
      <c r="O173" s="474">
        <f>+C164+D165+D166+D167+D168+D169+D170+D171+D172+(D173/2)</f>
        <v>0</v>
      </c>
      <c r="P173" s="474">
        <f t="shared" si="37"/>
        <v>0</v>
      </c>
      <c r="Q173" s="474">
        <f t="shared" si="38"/>
        <v>0</v>
      </c>
      <c r="R173" s="474">
        <f t="shared" si="48"/>
        <v>213.83080000000001</v>
      </c>
      <c r="S173" s="474">
        <f t="shared" si="61"/>
        <v>213.83080000000001</v>
      </c>
      <c r="T173" s="476">
        <f t="shared" si="39"/>
        <v>213.83080000000001</v>
      </c>
      <c r="V173" s="437">
        <f t="shared" si="40"/>
        <v>0</v>
      </c>
      <c r="W173" s="437"/>
      <c r="X173" s="437"/>
      <c r="Y173" s="437"/>
      <c r="Z173" s="437"/>
      <c r="AA173" s="437"/>
      <c r="AB173" s="1595" t="str">
        <f t="shared" si="49"/>
        <v>use the locking pin</v>
      </c>
      <c r="AC173" s="514" t="b">
        <f>IF(AD173=10,AF173)</f>
        <v>0</v>
      </c>
      <c r="AD173" s="514">
        <f t="shared" si="41"/>
        <v>1</v>
      </c>
      <c r="AE173" s="514">
        <f>IF(V173=0,0,10)</f>
        <v>0</v>
      </c>
      <c r="AF173" s="437">
        <f>SUM(V173:V183)/($B$161-B172)</f>
        <v>0</v>
      </c>
      <c r="AG173" s="437"/>
      <c r="AH173" s="450">
        <f>SUM(D165:D173)+$C$164</f>
        <v>0</v>
      </c>
      <c r="AI173" s="516" t="b">
        <f t="shared" si="50"/>
        <v>0</v>
      </c>
      <c r="AJ173" s="287">
        <f t="shared" si="51"/>
        <v>66.255548399999995</v>
      </c>
      <c r="AK173" s="441">
        <f t="shared" si="42"/>
        <v>0.91535047595051022</v>
      </c>
      <c r="AL173" s="289">
        <f t="shared" si="52"/>
        <v>278.56028065668761</v>
      </c>
      <c r="AM173" s="287">
        <f t="shared" si="53"/>
        <v>50.018549700000001</v>
      </c>
      <c r="AN173" s="442">
        <f t="shared" si="54"/>
        <v>0.76625250760411079</v>
      </c>
      <c r="AO173" s="291">
        <f t="shared" si="55"/>
        <v>213.83080789825695</v>
      </c>
      <c r="AP173" s="519">
        <f t="shared" si="43"/>
        <v>-20.978361659561305</v>
      </c>
      <c r="AQ173" s="1687">
        <f t="shared" si="62"/>
        <v>-324</v>
      </c>
      <c r="AR173" s="519">
        <f t="shared" si="63"/>
        <v>-294.7</v>
      </c>
      <c r="AS173" s="444">
        <f t="shared" si="56"/>
        <v>492.39108855494453</v>
      </c>
      <c r="AT173" s="445">
        <f t="shared" si="64"/>
        <v>-213.83080789825695</v>
      </c>
      <c r="AU173" s="446">
        <f t="shared" si="57"/>
        <v>192.85244623869565</v>
      </c>
      <c r="AV173" s="445"/>
      <c r="AW173" s="447">
        <f t="shared" si="58"/>
        <v>-179.27627031119249</v>
      </c>
      <c r="AX173" s="447">
        <f t="shared" si="59"/>
        <v>-115.42372968880753</v>
      </c>
      <c r="AY173" s="1597">
        <f t="shared" si="44"/>
        <v>-64.704603570034195</v>
      </c>
      <c r="AZ173" s="1597">
        <f t="shared" si="45"/>
        <v>-86.637297434079414</v>
      </c>
      <c r="BA173" s="542">
        <f t="shared" si="60"/>
        <v>64.704603570034195</v>
      </c>
      <c r="BB173" s="542">
        <f t="shared" si="60"/>
        <v>86.637297434079414</v>
      </c>
      <c r="BM173" s="214"/>
      <c r="BN173" s="214"/>
      <c r="BO173" s="214"/>
    </row>
    <row r="174" spans="1:109" ht="21" customHeight="1" thickBot="1" x14ac:dyDescent="0.35">
      <c r="A174" s="296"/>
      <c r="B174" s="277">
        <v>11</v>
      </c>
      <c r="C174" s="278"/>
      <c r="D174" s="25">
        <v>0</v>
      </c>
      <c r="E174" s="279" t="s">
        <v>130</v>
      </c>
      <c r="F174" s="258"/>
      <c r="G174" s="258">
        <f t="shared" si="65"/>
        <v>0</v>
      </c>
      <c r="H174" s="506">
        <v>279.06049999999999</v>
      </c>
      <c r="I174" s="507">
        <v>79.962900599999998</v>
      </c>
      <c r="J174" s="474">
        <f t="shared" si="46"/>
        <v>79.962900599999998</v>
      </c>
      <c r="K174" s="474">
        <f t="shared" si="47"/>
        <v>39.981450299999999</v>
      </c>
      <c r="L174" s="474">
        <f t="shared" si="34"/>
        <v>0.64253956655634092</v>
      </c>
      <c r="M174" s="474">
        <f t="shared" si="35"/>
        <v>179.30741271299578</v>
      </c>
      <c r="N174" s="474">
        <f t="shared" si="36"/>
        <v>358.61482542599157</v>
      </c>
      <c r="O174" s="474">
        <f>+C164+D165+D166+D167+D168+D169+D170+D171+D172+D173+(D174/2)</f>
        <v>0</v>
      </c>
      <c r="P174" s="474">
        <f t="shared" si="37"/>
        <v>0</v>
      </c>
      <c r="Q174" s="474">
        <f t="shared" si="38"/>
        <v>0</v>
      </c>
      <c r="R174" s="474">
        <f t="shared" si="48"/>
        <v>213.83080000000001</v>
      </c>
      <c r="S174" s="474">
        <f t="shared" si="61"/>
        <v>213.83080000000001</v>
      </c>
      <c r="T174" s="476">
        <f t="shared" si="39"/>
        <v>213.83080000000001</v>
      </c>
      <c r="V174" s="437">
        <f t="shared" si="40"/>
        <v>0</v>
      </c>
      <c r="W174" s="437"/>
      <c r="X174" s="437"/>
      <c r="Y174" s="437"/>
      <c r="Z174" s="437"/>
      <c r="AA174" s="437"/>
      <c r="AB174" s="1595" t="str">
        <f t="shared" si="49"/>
        <v>use the locking pin</v>
      </c>
      <c r="AC174" s="514" t="b">
        <f>IF(AD174=11,AF174)</f>
        <v>0</v>
      </c>
      <c r="AD174" s="514">
        <f t="shared" si="41"/>
        <v>1</v>
      </c>
      <c r="AE174" s="514">
        <f>IF(V174=0,0,11)</f>
        <v>0</v>
      </c>
      <c r="AF174" s="437">
        <f>SUM(V174:V183)/($B$161-B173)</f>
        <v>0</v>
      </c>
      <c r="AG174" s="437"/>
      <c r="AH174" s="450">
        <f>SUM(D165:D174)+$C$164</f>
        <v>0</v>
      </c>
      <c r="AI174" s="516" t="b">
        <f t="shared" si="50"/>
        <v>0</v>
      </c>
      <c r="AJ174" s="287">
        <f t="shared" si="51"/>
        <v>66.255548399999995</v>
      </c>
      <c r="AK174" s="441">
        <f t="shared" si="42"/>
        <v>0.91535047595051022</v>
      </c>
      <c r="AL174" s="289">
        <f t="shared" si="52"/>
        <v>278.56028065668761</v>
      </c>
      <c r="AM174" s="287">
        <f t="shared" si="53"/>
        <v>50.018549700000001</v>
      </c>
      <c r="AN174" s="442">
        <f t="shared" si="54"/>
        <v>0.76625250760411079</v>
      </c>
      <c r="AO174" s="291">
        <f t="shared" si="55"/>
        <v>213.83080789825695</v>
      </c>
      <c r="AP174" s="519">
        <f t="shared" si="43"/>
        <v>-18.443684907734834</v>
      </c>
      <c r="AQ174" s="1687">
        <f t="shared" si="62"/>
        <v>-364.5</v>
      </c>
      <c r="AR174" s="519">
        <f t="shared" si="63"/>
        <v>-335.2</v>
      </c>
      <c r="AS174" s="444">
        <f t="shared" si="56"/>
        <v>492.39108855494453</v>
      </c>
      <c r="AT174" s="445">
        <f t="shared" si="64"/>
        <v>-213.83080789825695</v>
      </c>
      <c r="AU174" s="446">
        <f t="shared" si="57"/>
        <v>195.38712299052213</v>
      </c>
      <c r="AV174" s="445"/>
      <c r="AW174" s="447">
        <f t="shared" si="58"/>
        <v>-202.1883246290418</v>
      </c>
      <c r="AX174" s="447">
        <f t="shared" si="59"/>
        <v>-133.01167537095819</v>
      </c>
      <c r="AY174" s="1597">
        <f t="shared" si="44"/>
        <v>-57.372254413219501</v>
      </c>
      <c r="AZ174" s="1597">
        <f t="shared" si="45"/>
        <v>-75.181370147476571</v>
      </c>
      <c r="BA174" s="542">
        <f t="shared" si="60"/>
        <v>57.372254413219501</v>
      </c>
      <c r="BB174" s="542">
        <f t="shared" si="60"/>
        <v>75.181370147476571</v>
      </c>
      <c r="BM174" s="214"/>
      <c r="BN174" s="214"/>
      <c r="BO174" s="214"/>
    </row>
    <row r="175" spans="1:109" ht="21" customHeight="1" thickBot="1" x14ac:dyDescent="0.35">
      <c r="A175" s="296"/>
      <c r="B175" s="277">
        <v>12</v>
      </c>
      <c r="C175" s="278"/>
      <c r="D175" s="25">
        <v>0</v>
      </c>
      <c r="E175" s="279" t="s">
        <v>130</v>
      </c>
      <c r="F175" s="258"/>
      <c r="G175" s="258">
        <f t="shared" si="65"/>
        <v>0</v>
      </c>
      <c r="H175" s="506">
        <v>279.06049999999999</v>
      </c>
      <c r="I175" s="507">
        <v>79.962900599999998</v>
      </c>
      <c r="J175" s="474">
        <f t="shared" si="46"/>
        <v>79.962900599999998</v>
      </c>
      <c r="K175" s="474">
        <f t="shared" si="47"/>
        <v>39.981450299999999</v>
      </c>
      <c r="L175" s="474">
        <f t="shared" si="34"/>
        <v>0.64253956655634092</v>
      </c>
      <c r="M175" s="474">
        <f t="shared" si="35"/>
        <v>179.30741271299578</v>
      </c>
      <c r="N175" s="474">
        <f t="shared" si="36"/>
        <v>358.61482542599157</v>
      </c>
      <c r="O175" s="474">
        <f>+C164+D165+D166+D167+D168+D169+D170+D171+D172+D173+D174+(D175/2)</f>
        <v>0</v>
      </c>
      <c r="P175" s="474">
        <f t="shared" si="37"/>
        <v>0</v>
      </c>
      <c r="Q175" s="474">
        <f t="shared" si="38"/>
        <v>0</v>
      </c>
      <c r="R175" s="474">
        <f t="shared" si="48"/>
        <v>213.83080000000001</v>
      </c>
      <c r="S175" s="474">
        <f t="shared" si="61"/>
        <v>213.83080000000001</v>
      </c>
      <c r="T175" s="476">
        <f t="shared" si="39"/>
        <v>213.83080000000001</v>
      </c>
      <c r="V175" s="437">
        <f t="shared" si="40"/>
        <v>0</v>
      </c>
      <c r="W175" s="437"/>
      <c r="X175" s="437"/>
      <c r="Y175" s="437"/>
      <c r="Z175" s="437"/>
      <c r="AA175" s="437"/>
      <c r="AB175" s="1595" t="str">
        <f t="shared" si="49"/>
        <v>use the locking pin</v>
      </c>
      <c r="AC175" s="514" t="b">
        <f>IF(AD175=12,AF175)</f>
        <v>0</v>
      </c>
      <c r="AD175" s="514">
        <f t="shared" si="41"/>
        <v>1</v>
      </c>
      <c r="AE175" s="514">
        <f>IF(V175=0,0,12)</f>
        <v>0</v>
      </c>
      <c r="AF175" s="437">
        <f>SUM(V175:V183)/($B$161-B174)</f>
        <v>0</v>
      </c>
      <c r="AG175" s="437"/>
      <c r="AH175" s="450">
        <f>SUM(D165:D175)+$C$164</f>
        <v>0</v>
      </c>
      <c r="AI175" s="516" t="b">
        <f t="shared" si="50"/>
        <v>0</v>
      </c>
      <c r="AJ175" s="287">
        <f t="shared" si="51"/>
        <v>66.255548399999995</v>
      </c>
      <c r="AK175" s="441">
        <f t="shared" si="42"/>
        <v>0.91535047595051022</v>
      </c>
      <c r="AL175" s="289">
        <f t="shared" si="52"/>
        <v>278.56028065668761</v>
      </c>
      <c r="AM175" s="287">
        <f t="shared" si="53"/>
        <v>50.018549700000001</v>
      </c>
      <c r="AN175" s="442">
        <f t="shared" si="54"/>
        <v>0.76625250760411079</v>
      </c>
      <c r="AO175" s="291">
        <f t="shared" si="55"/>
        <v>213.83080789825695</v>
      </c>
      <c r="AP175" s="519">
        <f t="shared" si="43"/>
        <v>-16.455478256781252</v>
      </c>
      <c r="AQ175" s="1687">
        <f t="shared" si="62"/>
        <v>-405</v>
      </c>
      <c r="AR175" s="519">
        <f t="shared" si="63"/>
        <v>-375.7</v>
      </c>
      <c r="AS175" s="444">
        <f t="shared" si="56"/>
        <v>492.39108855494453</v>
      </c>
      <c r="AT175" s="445">
        <f t="shared" si="64"/>
        <v>-213.83080789825695</v>
      </c>
      <c r="AU175" s="446">
        <f t="shared" si="57"/>
        <v>197.3753296414757</v>
      </c>
      <c r="AV175" s="445"/>
      <c r="AW175" s="447">
        <f t="shared" si="58"/>
        <v>-225.10037894689114</v>
      </c>
      <c r="AX175" s="447">
        <f t="shared" si="59"/>
        <v>-150.59962105310888</v>
      </c>
      <c r="AY175" s="1597">
        <f t="shared" si="44"/>
        <v>-51.53256540157507</v>
      </c>
      <c r="AZ175" s="1597">
        <f t="shared" si="45"/>
        <v>-66.401229498934171</v>
      </c>
      <c r="BA175" s="542">
        <f t="shared" si="60"/>
        <v>51.53256540157507</v>
      </c>
      <c r="BB175" s="542">
        <f t="shared" si="60"/>
        <v>66.401229498934171</v>
      </c>
      <c r="BM175" s="214"/>
      <c r="BN175" s="214"/>
      <c r="BO175" s="214"/>
    </row>
    <row r="176" spans="1:109" ht="21" customHeight="1" thickBot="1" x14ac:dyDescent="0.35">
      <c r="B176" s="277">
        <v>13</v>
      </c>
      <c r="C176" s="278"/>
      <c r="D176" s="25">
        <v>0</v>
      </c>
      <c r="E176" s="279" t="s">
        <v>130</v>
      </c>
      <c r="F176" s="258"/>
      <c r="G176" s="258">
        <f t="shared" si="65"/>
        <v>0</v>
      </c>
      <c r="H176" s="506">
        <v>279.06049999999999</v>
      </c>
      <c r="I176" s="507">
        <v>79.962900599999998</v>
      </c>
      <c r="J176" s="474">
        <f t="shared" si="46"/>
        <v>79.962900599999998</v>
      </c>
      <c r="K176" s="474">
        <f t="shared" si="47"/>
        <v>39.981450299999999</v>
      </c>
      <c r="L176" s="474">
        <f t="shared" si="34"/>
        <v>0.64253956655634092</v>
      </c>
      <c r="M176" s="474">
        <f t="shared" si="35"/>
        <v>179.30741271299578</v>
      </c>
      <c r="N176" s="474">
        <f t="shared" si="36"/>
        <v>358.61482542599157</v>
      </c>
      <c r="O176" s="474">
        <f>+C164+D165+D166+D167+D168+D169+D170+D171+D172+D173+D174+D175+(D176/2)</f>
        <v>0</v>
      </c>
      <c r="P176" s="474">
        <f t="shared" si="37"/>
        <v>0</v>
      </c>
      <c r="Q176" s="474">
        <f t="shared" si="38"/>
        <v>0</v>
      </c>
      <c r="R176" s="474">
        <f t="shared" si="48"/>
        <v>213.83080000000001</v>
      </c>
      <c r="S176" s="474">
        <f t="shared" si="61"/>
        <v>213.83080000000001</v>
      </c>
      <c r="T176" s="476">
        <f t="shared" si="39"/>
        <v>213.83080000000001</v>
      </c>
      <c r="V176" s="437">
        <f t="shared" si="40"/>
        <v>0</v>
      </c>
      <c r="W176" s="437"/>
      <c r="X176" s="437"/>
      <c r="Y176" s="437"/>
      <c r="Z176" s="437"/>
      <c r="AA176" s="437"/>
      <c r="AB176" s="1595" t="str">
        <f t="shared" si="49"/>
        <v>use the locking pin</v>
      </c>
      <c r="AC176" s="514" t="b">
        <f>IF(AD176=13,AF176)</f>
        <v>0</v>
      </c>
      <c r="AD176" s="514">
        <f t="shared" si="41"/>
        <v>1</v>
      </c>
      <c r="AE176" s="514">
        <f>IF(V176=0,0,13)</f>
        <v>0</v>
      </c>
      <c r="AF176" s="437">
        <f>SUM(V176:V183)/($B$161-B175)</f>
        <v>0</v>
      </c>
      <c r="AG176" s="437"/>
      <c r="AH176" s="450">
        <f>SUM(D165:D176)+$C$164</f>
        <v>0</v>
      </c>
      <c r="AI176" s="516" t="b">
        <f t="shared" si="50"/>
        <v>0</v>
      </c>
      <c r="AJ176" s="287">
        <f t="shared" si="51"/>
        <v>66.255548399999995</v>
      </c>
      <c r="AK176" s="441">
        <f t="shared" si="42"/>
        <v>0.91535047595051022</v>
      </c>
      <c r="AL176" s="289">
        <f t="shared" si="52"/>
        <v>278.56028065668761</v>
      </c>
      <c r="AM176" s="287">
        <f t="shared" si="53"/>
        <v>50.018549700000001</v>
      </c>
      <c r="AN176" s="442">
        <f t="shared" si="54"/>
        <v>0.76625250760411079</v>
      </c>
      <c r="AO176" s="291">
        <f t="shared" si="55"/>
        <v>213.83080789825695</v>
      </c>
      <c r="AP176" s="519">
        <f t="shared" si="43"/>
        <v>-14.854212352409219</v>
      </c>
      <c r="AQ176" s="1687">
        <f t="shared" si="62"/>
        <v>-445.5</v>
      </c>
      <c r="AR176" s="519">
        <f t="shared" si="63"/>
        <v>-416.2</v>
      </c>
      <c r="AS176" s="444">
        <f t="shared" si="56"/>
        <v>492.39108855494453</v>
      </c>
      <c r="AT176" s="445">
        <f t="shared" si="64"/>
        <v>-213.83080789825695</v>
      </c>
      <c r="AU176" s="446">
        <f t="shared" si="57"/>
        <v>198.97659554584774</v>
      </c>
      <c r="AV176" s="445"/>
      <c r="AW176" s="447">
        <f t="shared" si="58"/>
        <v>-248.01243326474042</v>
      </c>
      <c r="AX176" s="447">
        <f t="shared" si="59"/>
        <v>-168.18756673525954</v>
      </c>
      <c r="AY176" s="1597">
        <f t="shared" si="44"/>
        <v>-46.771848682350537</v>
      </c>
      <c r="AZ176" s="1597">
        <f t="shared" si="45"/>
        <v>-59.45742716963607</v>
      </c>
      <c r="BA176" s="542">
        <f t="shared" si="60"/>
        <v>46.771848682350537</v>
      </c>
      <c r="BB176" s="542">
        <f t="shared" si="60"/>
        <v>59.45742716963607</v>
      </c>
      <c r="BM176" s="214"/>
      <c r="BN176" s="214"/>
      <c r="BO176" s="214"/>
      <c r="DE176" s="126"/>
    </row>
    <row r="177" spans="2:129" ht="21" customHeight="1" thickBot="1" x14ac:dyDescent="0.35">
      <c r="B177" s="277">
        <v>14</v>
      </c>
      <c r="C177" s="278"/>
      <c r="D177" s="25">
        <v>0</v>
      </c>
      <c r="E177" s="279" t="s">
        <v>130</v>
      </c>
      <c r="F177" s="258"/>
      <c r="G177" s="258">
        <f t="shared" si="65"/>
        <v>0</v>
      </c>
      <c r="H177" s="506">
        <v>279.06049999999999</v>
      </c>
      <c r="I177" s="507">
        <v>79.962900599999998</v>
      </c>
      <c r="J177" s="474">
        <f t="shared" si="46"/>
        <v>79.962900599999998</v>
      </c>
      <c r="K177" s="474">
        <f t="shared" si="47"/>
        <v>39.981450299999999</v>
      </c>
      <c r="L177" s="474">
        <f t="shared" si="34"/>
        <v>0.64253956655634092</v>
      </c>
      <c r="M177" s="474">
        <f t="shared" si="35"/>
        <v>179.30741271299578</v>
      </c>
      <c r="N177" s="474">
        <f t="shared" si="36"/>
        <v>358.61482542599157</v>
      </c>
      <c r="O177" s="474">
        <f>+C164+D165+D166+D167+D168+D169+D170+D171+D172+D173+D174+D175+D176+(D177/2)</f>
        <v>0</v>
      </c>
      <c r="P177" s="474">
        <f t="shared" si="37"/>
        <v>0</v>
      </c>
      <c r="Q177" s="474">
        <f t="shared" si="38"/>
        <v>0</v>
      </c>
      <c r="R177" s="474">
        <f t="shared" si="48"/>
        <v>213.83080000000001</v>
      </c>
      <c r="S177" s="474">
        <f t="shared" si="61"/>
        <v>213.83080000000001</v>
      </c>
      <c r="T177" s="476">
        <f t="shared" si="39"/>
        <v>213.83080000000001</v>
      </c>
      <c r="V177" s="437">
        <f t="shared" si="40"/>
        <v>0</v>
      </c>
      <c r="W177" s="437"/>
      <c r="X177" s="437"/>
      <c r="Y177" s="437"/>
      <c r="Z177" s="437"/>
      <c r="AA177" s="437"/>
      <c r="AB177" s="1595" t="str">
        <f t="shared" si="49"/>
        <v>use the locking pin</v>
      </c>
      <c r="AC177" s="514" t="b">
        <f>IF(AD177=14,AF177)</f>
        <v>0</v>
      </c>
      <c r="AD177" s="514">
        <f t="shared" si="41"/>
        <v>1</v>
      </c>
      <c r="AE177" s="514">
        <f>IF(V177=0,0,14)</f>
        <v>0</v>
      </c>
      <c r="AF177" s="437">
        <f>SUM(V177:V183)/($B$161-B176)</f>
        <v>0</v>
      </c>
      <c r="AG177" s="437"/>
      <c r="AH177" s="450">
        <f>SUM(D165:D177)+$C$164</f>
        <v>0</v>
      </c>
      <c r="AI177" s="516" t="b">
        <f t="shared" si="50"/>
        <v>0</v>
      </c>
      <c r="AJ177" s="287">
        <f t="shared" si="51"/>
        <v>66.255548399999995</v>
      </c>
      <c r="AK177" s="441">
        <f t="shared" si="42"/>
        <v>0.91535047595051022</v>
      </c>
      <c r="AL177" s="289">
        <f t="shared" si="52"/>
        <v>278.56028065668761</v>
      </c>
      <c r="AM177" s="287">
        <f t="shared" si="53"/>
        <v>50.018549700000001</v>
      </c>
      <c r="AN177" s="442">
        <f t="shared" si="54"/>
        <v>0.76625250760411079</v>
      </c>
      <c r="AO177" s="291">
        <f t="shared" si="55"/>
        <v>213.83080789825695</v>
      </c>
      <c r="AP177" s="519">
        <f t="shared" si="43"/>
        <v>-13.53694587491289</v>
      </c>
      <c r="AQ177" s="1687">
        <f t="shared" si="62"/>
        <v>-486</v>
      </c>
      <c r="AR177" s="519">
        <f t="shared" si="63"/>
        <v>-456.7</v>
      </c>
      <c r="AS177" s="444">
        <f t="shared" si="56"/>
        <v>492.39108855494453</v>
      </c>
      <c r="AT177" s="445">
        <f t="shared" si="64"/>
        <v>-213.83080789825695</v>
      </c>
      <c r="AU177" s="446">
        <f t="shared" si="57"/>
        <v>200.29386202334405</v>
      </c>
      <c r="AV177" s="445"/>
      <c r="AW177" s="447">
        <f t="shared" si="58"/>
        <v>-270.92448758258979</v>
      </c>
      <c r="AX177" s="447">
        <f t="shared" si="59"/>
        <v>-185.7755124174102</v>
      </c>
      <c r="AY177" s="1597">
        <f t="shared" si="44"/>
        <v>-42.81635854885139</v>
      </c>
      <c r="AZ177" s="1597">
        <f t="shared" si="45"/>
        <v>-53.828407575759897</v>
      </c>
      <c r="BA177" s="542">
        <f t="shared" si="60"/>
        <v>42.81635854885139</v>
      </c>
      <c r="BB177" s="542">
        <f t="shared" si="60"/>
        <v>53.828407575759897</v>
      </c>
      <c r="BM177" s="214"/>
      <c r="BN177" s="214"/>
      <c r="BO177" s="214"/>
      <c r="DE177" s="126"/>
    </row>
    <row r="178" spans="2:129" ht="21" customHeight="1" thickBot="1" x14ac:dyDescent="0.35">
      <c r="B178" s="277">
        <v>15</v>
      </c>
      <c r="C178" s="278"/>
      <c r="D178" s="25">
        <v>0</v>
      </c>
      <c r="E178" s="279" t="s">
        <v>130</v>
      </c>
      <c r="F178" s="258"/>
      <c r="G178" s="258">
        <f t="shared" si="65"/>
        <v>0</v>
      </c>
      <c r="H178" s="506">
        <v>279.06049999999999</v>
      </c>
      <c r="I178" s="507">
        <v>79.962900599999998</v>
      </c>
      <c r="J178" s="474">
        <f t="shared" si="46"/>
        <v>79.962900599999998</v>
      </c>
      <c r="K178" s="474">
        <f t="shared" si="47"/>
        <v>39.981450299999999</v>
      </c>
      <c r="L178" s="474">
        <f t="shared" si="34"/>
        <v>0.64253956655634092</v>
      </c>
      <c r="M178" s="474">
        <f t="shared" si="35"/>
        <v>179.30741271299578</v>
      </c>
      <c r="N178" s="474">
        <f t="shared" si="36"/>
        <v>358.61482542599157</v>
      </c>
      <c r="O178" s="474">
        <f>+C164+D165+D166+D167+D168+D169+D170+D171+D172+D173+D174+D175+D176+D177+(D178/2)</f>
        <v>0</v>
      </c>
      <c r="P178" s="474">
        <f t="shared" si="37"/>
        <v>0</v>
      </c>
      <c r="Q178" s="474">
        <f t="shared" si="38"/>
        <v>0</v>
      </c>
      <c r="R178" s="474">
        <f t="shared" si="48"/>
        <v>213.83080000000001</v>
      </c>
      <c r="S178" s="474">
        <f t="shared" si="61"/>
        <v>213.83080000000001</v>
      </c>
      <c r="T178" s="476">
        <f t="shared" si="39"/>
        <v>213.83080000000001</v>
      </c>
      <c r="V178" s="437">
        <f t="shared" si="40"/>
        <v>0</v>
      </c>
      <c r="W178" s="437"/>
      <c r="X178" s="437"/>
      <c r="Y178" s="437"/>
      <c r="Z178" s="437"/>
      <c r="AA178" s="437"/>
      <c r="AB178" s="1595" t="str">
        <f>IF(AZ178&lt;0,"use the locking pin"," ")</f>
        <v>use the locking pin</v>
      </c>
      <c r="AC178" s="514" t="b">
        <f>IF(AD178=15,AF178)</f>
        <v>0</v>
      </c>
      <c r="AD178" s="514">
        <f t="shared" si="41"/>
        <v>1</v>
      </c>
      <c r="AE178" s="514">
        <f>IF(V178=0,0,15)</f>
        <v>0</v>
      </c>
      <c r="AF178" s="437">
        <f>SUM(V178:V183)/($B$161-B177)</f>
        <v>0</v>
      </c>
      <c r="AG178" s="437"/>
      <c r="AH178" s="450">
        <f>SUM(D165:D178)+$C$164</f>
        <v>0</v>
      </c>
      <c r="AI178" s="516" t="b">
        <f t="shared" si="50"/>
        <v>0</v>
      </c>
      <c r="AJ178" s="287">
        <f t="shared" si="51"/>
        <v>66.255548399999995</v>
      </c>
      <c r="AK178" s="441">
        <f t="shared" si="42"/>
        <v>0.91535047595051022</v>
      </c>
      <c r="AL178" s="289">
        <f t="shared" si="52"/>
        <v>278.56028065668761</v>
      </c>
      <c r="AM178" s="287">
        <f t="shared" si="53"/>
        <v>50.018549700000001</v>
      </c>
      <c r="AN178" s="442">
        <f t="shared" si="54"/>
        <v>0.76625250760411079</v>
      </c>
      <c r="AO178" s="291">
        <f t="shared" si="55"/>
        <v>213.83080789825695</v>
      </c>
      <c r="AP178" s="519">
        <f t="shared" si="43"/>
        <v>-12.434278320741587</v>
      </c>
      <c r="AQ178" s="1687">
        <f t="shared" si="62"/>
        <v>-526.5</v>
      </c>
      <c r="AR178" s="519">
        <f t="shared" si="63"/>
        <v>-497.2</v>
      </c>
      <c r="AS178" s="444">
        <f t="shared" si="56"/>
        <v>492.39108855494453</v>
      </c>
      <c r="AT178" s="445">
        <f t="shared" si="64"/>
        <v>-213.83080789825695</v>
      </c>
      <c r="AU178" s="446">
        <f t="shared" si="57"/>
        <v>201.39652957751537</v>
      </c>
      <c r="AV178" s="445"/>
      <c r="AW178" s="447">
        <f t="shared" si="58"/>
        <v>-293.8365419004391</v>
      </c>
      <c r="AX178" s="447">
        <f t="shared" si="59"/>
        <v>-203.36345809956089</v>
      </c>
      <c r="AY178" s="1597">
        <f t="shared" si="44"/>
        <v>-39.477731139139387</v>
      </c>
      <c r="AZ178" s="1597">
        <f t="shared" si="45"/>
        <v>-49.173042656976691</v>
      </c>
      <c r="BA178" s="542">
        <f t="shared" si="60"/>
        <v>39.477731139139387</v>
      </c>
      <c r="BB178" s="542">
        <f t="shared" si="60"/>
        <v>49.173042656976691</v>
      </c>
      <c r="BM178" s="214"/>
      <c r="BN178" s="214"/>
      <c r="BO178" s="214"/>
      <c r="DE178" s="126"/>
    </row>
    <row r="179" spans="2:129" ht="21" customHeight="1" thickBot="1" x14ac:dyDescent="0.35">
      <c r="B179" s="277">
        <v>16</v>
      </c>
      <c r="C179" s="278"/>
      <c r="D179" s="25">
        <v>0</v>
      </c>
      <c r="E179" s="279" t="s">
        <v>130</v>
      </c>
      <c r="F179" s="258"/>
      <c r="G179" s="258">
        <f t="shared" si="65"/>
        <v>0</v>
      </c>
      <c r="H179" s="506">
        <v>279.06049999999999</v>
      </c>
      <c r="I179" s="507">
        <v>79.962900599999998</v>
      </c>
      <c r="J179" s="474">
        <f t="shared" si="46"/>
        <v>79.962900599999998</v>
      </c>
      <c r="K179" s="474">
        <f t="shared" si="47"/>
        <v>39.981450299999999</v>
      </c>
      <c r="L179" s="474">
        <f t="shared" si="34"/>
        <v>0.64253956655634092</v>
      </c>
      <c r="M179" s="474">
        <f t="shared" si="35"/>
        <v>179.30741271299578</v>
      </c>
      <c r="N179" s="474">
        <f t="shared" si="36"/>
        <v>358.61482542599157</v>
      </c>
      <c r="O179" s="474">
        <f>+C164+D165+D166+D167+D168+D169+D170+D171+D172+D173+D174+D175+D176+D177+D178+(D179/2)</f>
        <v>0</v>
      </c>
      <c r="P179" s="474">
        <f t="shared" si="37"/>
        <v>0</v>
      </c>
      <c r="Q179" s="474">
        <f t="shared" si="38"/>
        <v>0</v>
      </c>
      <c r="R179" s="474">
        <f t="shared" si="48"/>
        <v>213.83080000000001</v>
      </c>
      <c r="S179" s="474">
        <f t="shared" si="61"/>
        <v>213.83080000000001</v>
      </c>
      <c r="T179" s="476">
        <f t="shared" si="39"/>
        <v>213.83080000000001</v>
      </c>
      <c r="V179" s="437">
        <f t="shared" si="40"/>
        <v>0</v>
      </c>
      <c r="W179" s="437"/>
      <c r="X179" s="437"/>
      <c r="Y179" s="437"/>
      <c r="Z179" s="437"/>
      <c r="AA179" s="437"/>
      <c r="AB179" s="1595" t="str">
        <f t="shared" si="49"/>
        <v>use the locking pin</v>
      </c>
      <c r="AC179" s="514" t="b">
        <f>IF(AD179=16,AF179)</f>
        <v>0</v>
      </c>
      <c r="AD179" s="514">
        <f t="shared" si="41"/>
        <v>1</v>
      </c>
      <c r="AE179" s="514">
        <f>IF(V179=0,0,16)</f>
        <v>0</v>
      </c>
      <c r="AF179" s="437">
        <f>SUM(V179:V183)/($B$161-B178)</f>
        <v>0</v>
      </c>
      <c r="AG179" s="437"/>
      <c r="AH179" s="450">
        <f>SUM(D165:D179)+$C$164</f>
        <v>0</v>
      </c>
      <c r="AI179" s="516" t="b">
        <f t="shared" si="50"/>
        <v>0</v>
      </c>
      <c r="AJ179" s="287">
        <f t="shared" si="51"/>
        <v>66.255548399999995</v>
      </c>
      <c r="AK179" s="441">
        <f t="shared" si="42"/>
        <v>0.91535047595051022</v>
      </c>
      <c r="AL179" s="289">
        <f t="shared" si="52"/>
        <v>278.56028065668761</v>
      </c>
      <c r="AM179" s="287">
        <f t="shared" si="53"/>
        <v>50.018549700000001</v>
      </c>
      <c r="AN179" s="442">
        <f t="shared" si="54"/>
        <v>0.76625250760411079</v>
      </c>
      <c r="AO179" s="291">
        <f t="shared" si="55"/>
        <v>213.83080789825695</v>
      </c>
      <c r="AP179" s="519">
        <f t="shared" si="43"/>
        <v>-11.497718395151043</v>
      </c>
      <c r="AQ179" s="1687">
        <f t="shared" si="62"/>
        <v>-567</v>
      </c>
      <c r="AR179" s="519">
        <f t="shared" si="63"/>
        <v>-537.70000000000005</v>
      </c>
      <c r="AS179" s="444">
        <f t="shared" si="56"/>
        <v>492.39108855494453</v>
      </c>
      <c r="AT179" s="445">
        <f t="shared" si="64"/>
        <v>-213.83080789825695</v>
      </c>
      <c r="AU179" s="446">
        <f t="shared" si="57"/>
        <v>202.3330895031059</v>
      </c>
      <c r="AV179" s="445"/>
      <c r="AW179" s="447">
        <f t="shared" si="58"/>
        <v>-316.74859621828847</v>
      </c>
      <c r="AX179" s="447">
        <f t="shared" si="59"/>
        <v>-220.95140378171158</v>
      </c>
      <c r="AY179" s="1597">
        <f t="shared" si="44"/>
        <v>-36.622103897205015</v>
      </c>
      <c r="AZ179" s="1597">
        <f t="shared" si="45"/>
        <v>-45.258820848585678</v>
      </c>
      <c r="BA179" s="542">
        <f t="shared" si="60"/>
        <v>36.622103897205015</v>
      </c>
      <c r="BB179" s="542">
        <f t="shared" si="60"/>
        <v>45.258820848585678</v>
      </c>
      <c r="BM179" s="214"/>
      <c r="BN179" s="214"/>
      <c r="BO179" s="214"/>
      <c r="DE179" s="126"/>
    </row>
    <row r="180" spans="2:129" ht="21" customHeight="1" thickBot="1" x14ac:dyDescent="0.35">
      <c r="B180" s="277">
        <v>17</v>
      </c>
      <c r="C180" s="278"/>
      <c r="D180" s="25">
        <v>0</v>
      </c>
      <c r="E180" s="279" t="s">
        <v>130</v>
      </c>
      <c r="F180" s="258"/>
      <c r="G180" s="258">
        <f t="shared" si="65"/>
        <v>0</v>
      </c>
      <c r="H180" s="506">
        <v>279.06049999999999</v>
      </c>
      <c r="I180" s="507">
        <v>79.962900599999998</v>
      </c>
      <c r="J180" s="474">
        <f t="shared" si="46"/>
        <v>79.962900599999998</v>
      </c>
      <c r="K180" s="474">
        <f t="shared" si="47"/>
        <v>39.981450299999999</v>
      </c>
      <c r="L180" s="474">
        <f t="shared" si="34"/>
        <v>0.64253956655634092</v>
      </c>
      <c r="M180" s="474">
        <f t="shared" si="35"/>
        <v>179.30741271299578</v>
      </c>
      <c r="N180" s="474">
        <f t="shared" si="36"/>
        <v>358.61482542599157</v>
      </c>
      <c r="O180" s="474">
        <f>+C164+D165+D166+D167+D168+D169+D170+D171+D172+D173+D174+D175+D176+D177+D178+D179+(D180/2)</f>
        <v>0</v>
      </c>
      <c r="P180" s="474">
        <f t="shared" si="37"/>
        <v>0</v>
      </c>
      <c r="Q180" s="474">
        <f t="shared" si="38"/>
        <v>0</v>
      </c>
      <c r="R180" s="474">
        <f t="shared" si="48"/>
        <v>213.83080000000001</v>
      </c>
      <c r="S180" s="474">
        <f t="shared" si="61"/>
        <v>213.83080000000001</v>
      </c>
      <c r="T180" s="476">
        <f t="shared" si="39"/>
        <v>213.83080000000001</v>
      </c>
      <c r="V180" s="437">
        <f t="shared" si="40"/>
        <v>0</v>
      </c>
      <c r="W180" s="437"/>
      <c r="X180" s="437"/>
      <c r="Y180" s="437"/>
      <c r="Z180" s="437"/>
      <c r="AA180" s="437"/>
      <c r="AB180" s="1595" t="str">
        <f t="shared" si="49"/>
        <v>use the locking pin</v>
      </c>
      <c r="AC180" s="514" t="b">
        <f>IF(AD180=17,AF180)</f>
        <v>0</v>
      </c>
      <c r="AD180" s="514">
        <f t="shared" si="41"/>
        <v>1</v>
      </c>
      <c r="AE180" s="514">
        <f>IF(V180=0,0,17)</f>
        <v>0</v>
      </c>
      <c r="AF180" s="437">
        <f>SUM(V180:V183)/($B$161-B179)</f>
        <v>0</v>
      </c>
      <c r="AG180" s="437"/>
      <c r="AH180" s="450">
        <f>SUM(D165:D180)+$C$164</f>
        <v>0</v>
      </c>
      <c r="AI180" s="516" t="b">
        <f t="shared" si="50"/>
        <v>0</v>
      </c>
      <c r="AJ180" s="287">
        <f t="shared" si="51"/>
        <v>66.255548399999995</v>
      </c>
      <c r="AK180" s="441">
        <f t="shared" si="42"/>
        <v>0.91535047595051022</v>
      </c>
      <c r="AL180" s="289">
        <f t="shared" si="52"/>
        <v>278.56028065668761</v>
      </c>
      <c r="AM180" s="287">
        <f t="shared" si="53"/>
        <v>50.018549700000001</v>
      </c>
      <c r="AN180" s="442">
        <f t="shared" si="54"/>
        <v>0.76625250760411079</v>
      </c>
      <c r="AO180" s="291">
        <f t="shared" si="55"/>
        <v>213.83080789825695</v>
      </c>
      <c r="AP180" s="519">
        <f t="shared" si="43"/>
        <v>-10.692361087984635</v>
      </c>
      <c r="AQ180" s="1687">
        <f t="shared" si="62"/>
        <v>-607.5</v>
      </c>
      <c r="AR180" s="519">
        <f t="shared" si="63"/>
        <v>-578.20000000000005</v>
      </c>
      <c r="AS180" s="444">
        <f t="shared" si="56"/>
        <v>492.39108855494453</v>
      </c>
      <c r="AT180" s="445">
        <f t="shared" si="64"/>
        <v>-213.83080789825695</v>
      </c>
      <c r="AU180" s="446">
        <f t="shared" si="57"/>
        <v>203.13844681027231</v>
      </c>
      <c r="AV180" s="445"/>
      <c r="AW180" s="447">
        <f t="shared" si="58"/>
        <v>-339.66065053613784</v>
      </c>
      <c r="AX180" s="447">
        <f t="shared" si="59"/>
        <v>-238.53934946386227</v>
      </c>
      <c r="AY180" s="1597">
        <f t="shared" si="44"/>
        <v>-34.151733448340167</v>
      </c>
      <c r="AZ180" s="1597">
        <f t="shared" si="45"/>
        <v>-41.921804609913885</v>
      </c>
      <c r="BA180" s="542">
        <f t="shared" si="60"/>
        <v>34.151733448340167</v>
      </c>
      <c r="BB180" s="542">
        <f t="shared" si="60"/>
        <v>41.921804609913885</v>
      </c>
      <c r="BD180" s="136"/>
      <c r="BM180" s="214"/>
      <c r="BN180" s="214"/>
      <c r="BO180" s="214"/>
      <c r="DF180" s="126"/>
      <c r="DG180" s="126"/>
      <c r="DH180" s="126"/>
      <c r="DI180" s="126"/>
      <c r="DJ180" s="126"/>
      <c r="DK180" s="126"/>
      <c r="DL180" s="203"/>
      <c r="DM180" s="203"/>
      <c r="DN180" s="203"/>
      <c r="DO180" s="203"/>
      <c r="DP180" s="203"/>
      <c r="DQ180" s="203"/>
      <c r="DR180" s="203"/>
      <c r="DS180" s="203"/>
      <c r="DT180" s="203"/>
      <c r="DU180" s="203"/>
      <c r="DV180" s="203"/>
      <c r="DW180" s="203"/>
      <c r="DX180" s="203"/>
      <c r="DY180" s="203"/>
    </row>
    <row r="181" spans="2:129" ht="21" customHeight="1" thickBot="1" x14ac:dyDescent="0.35">
      <c r="B181" s="277">
        <v>18</v>
      </c>
      <c r="C181" s="278"/>
      <c r="D181" s="25">
        <v>0</v>
      </c>
      <c r="E181" s="279" t="s">
        <v>130</v>
      </c>
      <c r="F181" s="258"/>
      <c r="G181" s="258">
        <f t="shared" si="65"/>
        <v>0</v>
      </c>
      <c r="H181" s="506">
        <v>279.06049999999999</v>
      </c>
      <c r="I181" s="507">
        <v>79.962900599999998</v>
      </c>
      <c r="J181" s="474">
        <f t="shared" si="46"/>
        <v>79.962900599999998</v>
      </c>
      <c r="K181" s="474">
        <f t="shared" si="47"/>
        <v>39.981450299999999</v>
      </c>
      <c r="L181" s="474">
        <f t="shared" si="34"/>
        <v>0.64253956655634092</v>
      </c>
      <c r="M181" s="474">
        <f t="shared" si="35"/>
        <v>179.30741271299578</v>
      </c>
      <c r="N181" s="474">
        <f t="shared" si="36"/>
        <v>358.61482542599157</v>
      </c>
      <c r="O181" s="474">
        <f>+C164+D165+D166+D167+D168+D169+D170+D171+D172+D173+D174+D175+D176+D177+D178+D179+D180+(D181/2)</f>
        <v>0</v>
      </c>
      <c r="P181" s="474">
        <f t="shared" si="37"/>
        <v>0</v>
      </c>
      <c r="Q181" s="474">
        <f t="shared" si="38"/>
        <v>0</v>
      </c>
      <c r="R181" s="474">
        <f t="shared" si="48"/>
        <v>213.83080000000001</v>
      </c>
      <c r="S181" s="474">
        <f t="shared" si="61"/>
        <v>213.83080000000001</v>
      </c>
      <c r="T181" s="476">
        <f t="shared" si="39"/>
        <v>213.83080000000001</v>
      </c>
      <c r="V181" s="437">
        <f t="shared" si="40"/>
        <v>0</v>
      </c>
      <c r="W181" s="437"/>
      <c r="X181" s="437"/>
      <c r="Y181" s="437"/>
      <c r="Z181" s="437"/>
      <c r="AA181" s="437"/>
      <c r="AB181" s="1595" t="str">
        <f t="shared" si="49"/>
        <v>use the locking pin</v>
      </c>
      <c r="AC181" s="514" t="b">
        <f>IF(AD181=18,AF181)</f>
        <v>0</v>
      </c>
      <c r="AD181" s="514">
        <f t="shared" si="41"/>
        <v>1</v>
      </c>
      <c r="AE181" s="514">
        <f>IF(V181=0,0,18)</f>
        <v>0</v>
      </c>
      <c r="AF181" s="437">
        <f>SUM(V181:V183)/($B$161-B180)</f>
        <v>0</v>
      </c>
      <c r="AG181" s="437"/>
      <c r="AH181" s="450">
        <f>SUM(D165:D181)+$C$164</f>
        <v>0</v>
      </c>
      <c r="AI181" s="516" t="b">
        <f t="shared" si="50"/>
        <v>0</v>
      </c>
      <c r="AJ181" s="287">
        <f t="shared" si="51"/>
        <v>66.255548399999995</v>
      </c>
      <c r="AK181" s="441">
        <f t="shared" si="42"/>
        <v>0.91535047595051022</v>
      </c>
      <c r="AL181" s="289">
        <f t="shared" si="52"/>
        <v>278.56028065668761</v>
      </c>
      <c r="AM181" s="287">
        <f t="shared" si="53"/>
        <v>50.018549700000001</v>
      </c>
      <c r="AN181" s="442">
        <f t="shared" si="54"/>
        <v>0.76625250760411079</v>
      </c>
      <c r="AO181" s="291">
        <f t="shared" si="55"/>
        <v>213.83080789825695</v>
      </c>
      <c r="AP181" s="519">
        <f t="shared" si="43"/>
        <v>-9.9924408939271316</v>
      </c>
      <c r="AQ181" s="1687">
        <f t="shared" si="62"/>
        <v>-648</v>
      </c>
      <c r="AR181" s="519">
        <f t="shared" si="63"/>
        <v>-618.70000000000005</v>
      </c>
      <c r="AS181" s="444">
        <f t="shared" si="56"/>
        <v>492.39108855494453</v>
      </c>
      <c r="AT181" s="445">
        <f t="shared" si="64"/>
        <v>-213.83080789825695</v>
      </c>
      <c r="AU181" s="446">
        <f t="shared" si="57"/>
        <v>203.83836700432983</v>
      </c>
      <c r="AV181" s="445"/>
      <c r="AW181" s="447">
        <f t="shared" si="58"/>
        <v>-362.57270485398715</v>
      </c>
      <c r="AX181" s="447">
        <f t="shared" si="59"/>
        <v>-256.12729514601295</v>
      </c>
      <c r="AY181" s="1597">
        <f t="shared" si="44"/>
        <v>-31.993583203323247</v>
      </c>
      <c r="AZ181" s="1597">
        <f t="shared" si="45"/>
        <v>-39.04308595575182</v>
      </c>
      <c r="BA181" s="542">
        <f t="shared" si="60"/>
        <v>31.993583203323247</v>
      </c>
      <c r="BB181" s="542">
        <f t="shared" si="60"/>
        <v>39.04308595575182</v>
      </c>
      <c r="BD181" s="458"/>
      <c r="BM181" s="214"/>
      <c r="BN181" s="214"/>
      <c r="BO181" s="214"/>
      <c r="DF181" s="126"/>
      <c r="DG181" s="126"/>
      <c r="DH181" s="126"/>
      <c r="DI181" s="126"/>
      <c r="DJ181" s="126"/>
      <c r="DK181" s="126"/>
      <c r="DL181" s="203"/>
      <c r="DM181" s="203"/>
      <c r="DN181" s="203"/>
      <c r="DO181" s="203"/>
      <c r="DP181" s="203"/>
      <c r="DQ181" s="203"/>
      <c r="DR181" s="203"/>
      <c r="DS181" s="203"/>
      <c r="DT181" s="203"/>
      <c r="DU181" s="203"/>
      <c r="DV181" s="203"/>
      <c r="DW181" s="203"/>
      <c r="DX181" s="203"/>
      <c r="DY181" s="203"/>
    </row>
    <row r="182" spans="2:129" ht="21" customHeight="1" thickBot="1" x14ac:dyDescent="0.35">
      <c r="B182" s="277">
        <v>19</v>
      </c>
      <c r="C182" s="278"/>
      <c r="D182" s="25">
        <v>0</v>
      </c>
      <c r="E182" s="279" t="s">
        <v>130</v>
      </c>
      <c r="F182" s="258"/>
      <c r="G182" s="258">
        <f t="shared" si="65"/>
        <v>0</v>
      </c>
      <c r="H182" s="506">
        <v>279.06049999999999</v>
      </c>
      <c r="I182" s="507">
        <v>79.962900599999998</v>
      </c>
      <c r="J182" s="474">
        <f t="shared" si="46"/>
        <v>79.962900599999998</v>
      </c>
      <c r="K182" s="474">
        <f t="shared" si="47"/>
        <v>39.981450299999999</v>
      </c>
      <c r="L182" s="474">
        <f t="shared" si="34"/>
        <v>0.64253956655634092</v>
      </c>
      <c r="M182" s="474">
        <f t="shared" si="35"/>
        <v>179.30741271299578</v>
      </c>
      <c r="N182" s="474">
        <f t="shared" si="36"/>
        <v>358.61482542599157</v>
      </c>
      <c r="O182" s="474">
        <f>+C164+D165+D166+D167+D168+D169+D170+D171+D172+D173+D174+D175+D176+D177+D178+D179+D180+D181+(D182/2)</f>
        <v>0</v>
      </c>
      <c r="P182" s="474">
        <f t="shared" si="37"/>
        <v>0</v>
      </c>
      <c r="Q182" s="474">
        <f t="shared" si="38"/>
        <v>0</v>
      </c>
      <c r="R182" s="474">
        <f t="shared" si="48"/>
        <v>213.83080000000001</v>
      </c>
      <c r="S182" s="474">
        <f t="shared" si="61"/>
        <v>213.83080000000001</v>
      </c>
      <c r="T182" s="476">
        <f t="shared" si="39"/>
        <v>213.83080000000001</v>
      </c>
      <c r="V182" s="437">
        <f t="shared" si="40"/>
        <v>0</v>
      </c>
      <c r="W182" s="437"/>
      <c r="X182" s="437"/>
      <c r="Y182" s="437"/>
      <c r="Z182" s="437"/>
      <c r="AA182" s="437"/>
      <c r="AB182" s="1595" t="str">
        <f t="shared" si="49"/>
        <v>use the locking pin</v>
      </c>
      <c r="AC182" s="514" t="b">
        <f>IF(AD182=19,AF182)</f>
        <v>0</v>
      </c>
      <c r="AD182" s="514">
        <f t="shared" si="41"/>
        <v>1</v>
      </c>
      <c r="AE182" s="514">
        <f>IF(V182=0,0,19)</f>
        <v>0</v>
      </c>
      <c r="AF182" s="437">
        <f>SUM(V182:V183)/($B$161-B181)</f>
        <v>0</v>
      </c>
      <c r="AG182" s="437"/>
      <c r="AH182" s="450">
        <f>SUM(D165:D182)+$C$164</f>
        <v>0</v>
      </c>
      <c r="AI182" s="516" t="b">
        <f t="shared" si="50"/>
        <v>0</v>
      </c>
      <c r="AJ182" s="287">
        <f t="shared" si="51"/>
        <v>66.255548399999995</v>
      </c>
      <c r="AK182" s="441">
        <f t="shared" si="42"/>
        <v>0.91535047595051022</v>
      </c>
      <c r="AL182" s="289">
        <f t="shared" si="52"/>
        <v>278.56028065668761</v>
      </c>
      <c r="AM182" s="287">
        <f t="shared" si="53"/>
        <v>50.018549700000001</v>
      </c>
      <c r="AN182" s="442">
        <f t="shared" si="54"/>
        <v>0.76625250760411079</v>
      </c>
      <c r="AO182" s="291">
        <f t="shared" si="55"/>
        <v>213.83080789825695</v>
      </c>
      <c r="AP182" s="519">
        <f t="shared" si="43"/>
        <v>-9.3785242431321549</v>
      </c>
      <c r="AQ182" s="1687">
        <f t="shared" si="62"/>
        <v>-688.5</v>
      </c>
      <c r="AR182" s="519">
        <f t="shared" si="63"/>
        <v>-659.2</v>
      </c>
      <c r="AS182" s="444">
        <f t="shared" si="56"/>
        <v>492.39108855494453</v>
      </c>
      <c r="AT182" s="445">
        <f t="shared" si="64"/>
        <v>-213.83080789825695</v>
      </c>
      <c r="AU182" s="446">
        <f t="shared" si="57"/>
        <v>204.4522836551248</v>
      </c>
      <c r="AV182" s="445"/>
      <c r="AW182" s="447">
        <f t="shared" si="58"/>
        <v>-385.4847591718364</v>
      </c>
      <c r="AX182" s="447">
        <f t="shared" si="59"/>
        <v>-273.71524082816359</v>
      </c>
      <c r="AY182" s="1597">
        <f t="shared" si="44"/>
        <v>-30.091980873436043</v>
      </c>
      <c r="AZ182" s="1597">
        <f t="shared" si="45"/>
        <v>-36.534319279202748</v>
      </c>
      <c r="BA182" s="542">
        <f t="shared" si="60"/>
        <v>30.091980873436043</v>
      </c>
      <c r="BB182" s="542">
        <f t="shared" si="60"/>
        <v>36.534319279202748</v>
      </c>
      <c r="BD182" s="144"/>
      <c r="BM182" s="214"/>
      <c r="BN182" s="214"/>
      <c r="BO182" s="214"/>
      <c r="DF182" s="126"/>
      <c r="DG182" s="126"/>
      <c r="DH182" s="126"/>
      <c r="DI182" s="126"/>
      <c r="DJ182" s="126"/>
      <c r="DK182" s="126"/>
      <c r="DL182" s="203"/>
      <c r="DM182" s="203"/>
      <c r="DN182" s="203"/>
      <c r="DO182" s="203"/>
      <c r="DP182" s="203"/>
      <c r="DQ182" s="203"/>
      <c r="DR182" s="203"/>
      <c r="DS182" s="203"/>
      <c r="DT182" s="203"/>
      <c r="DU182" s="203"/>
      <c r="DV182" s="203"/>
      <c r="DW182" s="203"/>
      <c r="DX182" s="203"/>
      <c r="DY182" s="203"/>
    </row>
    <row r="183" spans="2:129" ht="21" customHeight="1" thickBot="1" x14ac:dyDescent="0.35">
      <c r="B183" s="277">
        <v>20</v>
      </c>
      <c r="C183" s="278"/>
      <c r="D183" s="25">
        <v>0</v>
      </c>
      <c r="E183" s="279" t="s">
        <v>130</v>
      </c>
      <c r="F183" s="258"/>
      <c r="G183" s="258">
        <f t="shared" si="65"/>
        <v>0</v>
      </c>
      <c r="H183" s="506">
        <v>279.06049999999999</v>
      </c>
      <c r="I183" s="507">
        <v>79.962900599999998</v>
      </c>
      <c r="J183" s="474">
        <f t="shared" si="46"/>
        <v>79.962900599999998</v>
      </c>
      <c r="K183" s="474">
        <f t="shared" si="47"/>
        <v>39.981450299999999</v>
      </c>
      <c r="L183" s="474">
        <f t="shared" si="34"/>
        <v>0.64253956655634092</v>
      </c>
      <c r="M183" s="474">
        <f t="shared" si="35"/>
        <v>179.30741271299578</v>
      </c>
      <c r="N183" s="474">
        <f t="shared" si="36"/>
        <v>358.61482542599157</v>
      </c>
      <c r="O183" s="474">
        <f>+C164+D165+D166+D167+D168+D169+D170+D171+D172+D173+D174+D175+D176+D177+D178+D179+D180+D181+D182+(D183/2)</f>
        <v>0</v>
      </c>
      <c r="P183" s="474">
        <f t="shared" si="37"/>
        <v>0</v>
      </c>
      <c r="Q183" s="474">
        <f t="shared" si="38"/>
        <v>0</v>
      </c>
      <c r="R183" s="474">
        <f t="shared" si="48"/>
        <v>213.83080000000001</v>
      </c>
      <c r="S183" s="474">
        <f t="shared" si="61"/>
        <v>213.83080000000001</v>
      </c>
      <c r="T183" s="476">
        <f t="shared" si="39"/>
        <v>213.83080000000001</v>
      </c>
      <c r="V183" s="437">
        <f t="shared" si="40"/>
        <v>0</v>
      </c>
      <c r="W183" s="437"/>
      <c r="X183" s="437"/>
      <c r="Y183" s="437"/>
      <c r="Z183" s="437"/>
      <c r="AA183" s="437"/>
      <c r="AB183" s="1595" t="str">
        <f t="shared" si="49"/>
        <v>use the locking pin</v>
      </c>
      <c r="AC183" s="514" t="b">
        <f>IF(AD183=20,AF183)</f>
        <v>0</v>
      </c>
      <c r="AD183" s="514">
        <f t="shared" si="41"/>
        <v>1</v>
      </c>
      <c r="AE183" s="514">
        <f>IF(V183=0,0,20)</f>
        <v>0</v>
      </c>
      <c r="AF183" s="437">
        <f>SUM(V183:V183)/($B$161-B182)</f>
        <v>0</v>
      </c>
      <c r="AG183" s="437"/>
      <c r="AH183" s="450">
        <f>SUM(D165:D183)+$C$164</f>
        <v>0</v>
      </c>
      <c r="AI183" s="516" t="b">
        <f t="shared" si="50"/>
        <v>0</v>
      </c>
      <c r="AJ183" s="287">
        <f t="shared" si="51"/>
        <v>66.255548399999995</v>
      </c>
      <c r="AK183" s="441">
        <f t="shared" si="42"/>
        <v>0.91535047595051022</v>
      </c>
      <c r="AL183" s="289">
        <f t="shared" si="52"/>
        <v>278.56028065668761</v>
      </c>
      <c r="AM183" s="287">
        <f t="shared" si="53"/>
        <v>50.018549700000001</v>
      </c>
      <c r="AN183" s="442">
        <f t="shared" si="54"/>
        <v>0.76625250760411079</v>
      </c>
      <c r="AO183" s="291">
        <f t="shared" si="55"/>
        <v>213.83080789825695</v>
      </c>
      <c r="AP183" s="519">
        <f t="shared" si="43"/>
        <v>-8.8356769773799009</v>
      </c>
      <c r="AQ183" s="1687">
        <f t="shared" si="62"/>
        <v>-729</v>
      </c>
      <c r="AR183" s="519">
        <f t="shared" si="63"/>
        <v>-699.7</v>
      </c>
      <c r="AS183" s="444">
        <f t="shared" si="56"/>
        <v>492.39108855494453</v>
      </c>
      <c r="AT183" s="445">
        <f t="shared" si="64"/>
        <v>-213.83080789825695</v>
      </c>
      <c r="AU183" s="446">
        <f t="shared" si="57"/>
        <v>204.99513092087705</v>
      </c>
      <c r="AV183" s="445"/>
      <c r="AW183" s="447">
        <f t="shared" si="58"/>
        <v>-408.39681348968583</v>
      </c>
      <c r="AX183" s="447">
        <f t="shared" si="59"/>
        <v>-291.30318651031428</v>
      </c>
      <c r="AY183" s="1597">
        <f t="shared" si="44"/>
        <v>-28.403747573052406</v>
      </c>
      <c r="AZ183" s="1597">
        <f t="shared" si="45"/>
        <v>-34.328495063152786</v>
      </c>
      <c r="BA183" s="542">
        <f t="shared" si="60"/>
        <v>28.403747573052406</v>
      </c>
      <c r="BB183" s="542">
        <f t="shared" si="60"/>
        <v>34.328495063152786</v>
      </c>
      <c r="BD183" s="144"/>
      <c r="BM183" s="214"/>
      <c r="BN183" s="214"/>
      <c r="BO183" s="214"/>
      <c r="DF183" s="126"/>
      <c r="DG183" s="126"/>
      <c r="DH183" s="126"/>
      <c r="DI183" s="126"/>
      <c r="DJ183" s="126"/>
      <c r="DK183" s="126"/>
      <c r="DL183" s="203"/>
      <c r="DM183" s="203"/>
      <c r="DN183" s="203"/>
      <c r="DO183" s="203"/>
      <c r="DP183" s="203"/>
      <c r="DQ183" s="203"/>
      <c r="DR183" s="203"/>
      <c r="DS183" s="203"/>
      <c r="DT183" s="203"/>
      <c r="DU183" s="203"/>
      <c r="DV183" s="203"/>
      <c r="DW183" s="203"/>
      <c r="DX183" s="203"/>
      <c r="DY183" s="203"/>
    </row>
    <row r="184" spans="2:129" ht="21" hidden="1" customHeight="1" x14ac:dyDescent="0.3">
      <c r="D184" s="543"/>
      <c r="E184" s="543"/>
      <c r="F184" s="543"/>
      <c r="G184" s="543"/>
      <c r="V184" s="437"/>
      <c r="W184" s="437"/>
      <c r="X184" s="437"/>
      <c r="Y184" s="437"/>
      <c r="Z184" s="437"/>
      <c r="AA184" s="437"/>
      <c r="AB184" s="1585"/>
      <c r="AC184" s="1585"/>
      <c r="AD184" s="1585"/>
      <c r="AE184" s="1585"/>
      <c r="AF184" s="437"/>
      <c r="AG184" s="437"/>
      <c r="AH184" s="437"/>
      <c r="AI184" s="437"/>
      <c r="AJ184" s="543"/>
      <c r="AK184" s="415"/>
      <c r="AL184" s="292"/>
      <c r="AM184" s="543"/>
      <c r="AN184" s="415"/>
      <c r="AO184" s="292"/>
      <c r="AP184" s="445"/>
      <c r="AQ184" s="292"/>
      <c r="AR184" s="445"/>
      <c r="AS184" s="445"/>
      <c r="AT184" s="445"/>
      <c r="AU184" s="445"/>
      <c r="AV184" s="445"/>
      <c r="AW184" s="445"/>
      <c r="AX184" s="445"/>
      <c r="AY184" s="1586"/>
      <c r="AZ184" s="1586"/>
      <c r="BA184" s="1586"/>
      <c r="BB184" s="1586"/>
      <c r="BD184" s="545"/>
      <c r="BM184" s="214"/>
      <c r="BN184" s="214"/>
      <c r="BO184" s="214"/>
    </row>
    <row r="185" spans="2:129" ht="19" hidden="1" thickBot="1" x14ac:dyDescent="0.25">
      <c r="B185" s="350"/>
      <c r="U185" s="276"/>
    </row>
    <row r="186" spans="2:129" ht="22" hidden="1" thickBot="1" x14ac:dyDescent="0.25">
      <c r="B186" s="350"/>
      <c r="AB186" s="415"/>
      <c r="AC186" s="415"/>
      <c r="AD186" s="415"/>
      <c r="AE186" s="415"/>
      <c r="AH186" s="546" t="s">
        <v>79</v>
      </c>
      <c r="AI186" s="547">
        <f>MAX(AI164:AI183)</f>
        <v>0</v>
      </c>
    </row>
    <row r="187" spans="2:129" ht="20" hidden="1" x14ac:dyDescent="0.2">
      <c r="B187" s="350"/>
      <c r="AB187" s="415"/>
      <c r="AC187" s="415"/>
      <c r="AD187" s="415"/>
      <c r="AE187" s="415"/>
      <c r="AH187" s="853"/>
      <c r="AI187" s="854"/>
    </row>
    <row r="188" spans="2:129" ht="20" hidden="1" x14ac:dyDescent="0.2">
      <c r="B188" s="350"/>
      <c r="AB188" s="415"/>
      <c r="AC188" s="415"/>
      <c r="AD188" s="415"/>
      <c r="AE188" s="415"/>
      <c r="AH188" s="853"/>
      <c r="AI188" s="854"/>
    </row>
    <row r="189" spans="2:129" hidden="1" x14ac:dyDescent="0.2">
      <c r="V189" s="73"/>
      <c r="W189" s="73"/>
      <c r="X189" s="73"/>
      <c r="Y189" s="73"/>
      <c r="Z189" s="73"/>
      <c r="AA189" s="73"/>
      <c r="AB189" s="73"/>
      <c r="AC189" s="73"/>
      <c r="AD189" s="73"/>
      <c r="AE189" s="73"/>
      <c r="AF189" s="73"/>
      <c r="AG189" s="73"/>
      <c r="AH189" s="73"/>
      <c r="AI189" s="73"/>
      <c r="AJ189" s="73"/>
      <c r="AK189" s="73"/>
      <c r="AL189" s="73"/>
      <c r="AM189" s="73"/>
      <c r="AN189" s="73"/>
      <c r="AO189" s="73"/>
      <c r="AP189" s="73"/>
      <c r="AQ189" s="73"/>
      <c r="AR189" s="73"/>
      <c r="AS189" s="73"/>
      <c r="AT189" s="73">
        <f>+AS142-AP142</f>
        <v>528.86565588661335</v>
      </c>
      <c r="AU189" s="73"/>
      <c r="AV189" s="73"/>
      <c r="AW189" s="73"/>
      <c r="AX189" s="73"/>
      <c r="AY189" s="73"/>
      <c r="AZ189" s="73"/>
      <c r="BA189" s="73"/>
      <c r="BB189" s="73"/>
      <c r="BC189" s="126"/>
    </row>
    <row r="190" spans="2:129" ht="19" thickBot="1" x14ac:dyDescent="0.25">
      <c r="V190" s="73"/>
      <c r="W190" s="73"/>
      <c r="X190" s="73"/>
      <c r="Y190" s="73"/>
      <c r="Z190" s="73"/>
      <c r="AA190" s="73"/>
      <c r="AB190" s="73"/>
      <c r="AC190" s="73"/>
      <c r="AD190" s="73"/>
      <c r="AE190" s="73"/>
      <c r="AF190" s="73"/>
      <c r="AG190" s="73"/>
      <c r="AH190" s="73"/>
      <c r="AI190" s="73"/>
      <c r="AJ190" s="73"/>
      <c r="AK190" s="73"/>
      <c r="AL190" s="73"/>
      <c r="AM190" s="73"/>
      <c r="AN190" s="73"/>
      <c r="AO190" s="73"/>
      <c r="AP190" s="73"/>
      <c r="AQ190" s="73"/>
      <c r="AR190" s="73"/>
      <c r="AS190" s="73"/>
      <c r="AT190" s="73"/>
      <c r="AU190" s="73"/>
      <c r="AV190" s="73"/>
      <c r="AW190" s="73"/>
      <c r="AX190" s="73"/>
      <c r="AY190" s="73"/>
      <c r="AZ190" s="73"/>
      <c r="BA190" s="73"/>
      <c r="BB190" s="73"/>
      <c r="BC190" s="126"/>
    </row>
    <row r="191" spans="2:129" ht="82.5" customHeight="1" thickBot="1" x14ac:dyDescent="0.25">
      <c r="B191" s="345" t="s">
        <v>288</v>
      </c>
      <c r="C191" s="454"/>
      <c r="D191" s="455"/>
      <c r="E191" s="37"/>
      <c r="F191" s="37"/>
      <c r="G191" s="37"/>
      <c r="H191" s="456"/>
      <c r="I191" s="456"/>
      <c r="J191" s="456"/>
      <c r="K191" s="456"/>
      <c r="L191" s="456"/>
      <c r="M191" s="456"/>
      <c r="N191" s="456"/>
      <c r="O191" s="456"/>
      <c r="P191" s="456"/>
      <c r="Q191" s="456"/>
      <c r="R191" s="456"/>
      <c r="S191" s="457" t="s">
        <v>289</v>
      </c>
      <c r="T191" s="457">
        <f>SUM(V195:V221)/B192</f>
        <v>211.0008</v>
      </c>
      <c r="U191" s="212"/>
      <c r="V191" s="73"/>
      <c r="W191" s="73"/>
      <c r="X191" s="73"/>
      <c r="Y191" s="73"/>
      <c r="Z191" s="73"/>
      <c r="AA191" s="73"/>
      <c r="AB191" s="73"/>
      <c r="AC191" s="73"/>
      <c r="AD191" s="73"/>
      <c r="AE191" s="73"/>
      <c r="AF191" s="73"/>
      <c r="AG191" s="73"/>
      <c r="AH191" s="73"/>
      <c r="AI191" s="73"/>
      <c r="AJ191" s="73"/>
      <c r="AK191" s="73"/>
      <c r="AL191" s="73"/>
      <c r="AM191" s="73"/>
      <c r="AN191" s="73"/>
      <c r="AO191" s="73"/>
      <c r="AP191" s="73"/>
      <c r="AQ191" s="73"/>
      <c r="AR191" s="73"/>
      <c r="AS191" s="73"/>
      <c r="AT191" s="73"/>
      <c r="AU191" s="73"/>
      <c r="AV191" s="73"/>
      <c r="AW191" s="73"/>
      <c r="AX191" s="73"/>
      <c r="AY191" s="73"/>
      <c r="AZ191" s="73"/>
      <c r="BA191" s="73"/>
      <c r="BB191" s="73"/>
      <c r="BC191" s="126"/>
    </row>
    <row r="192" spans="2:129" ht="36" customHeight="1" thickBot="1" x14ac:dyDescent="0.3">
      <c r="B192" s="27">
        <v>1</v>
      </c>
      <c r="C192" s="216"/>
      <c r="D192" s="549" t="s">
        <v>290</v>
      </c>
      <c r="E192" s="330"/>
      <c r="F192" s="330"/>
      <c r="G192" s="330"/>
      <c r="H192" s="1658" t="s">
        <v>291</v>
      </c>
      <c r="I192" s="1658" t="s">
        <v>292</v>
      </c>
      <c r="J192" s="1623"/>
      <c r="K192" s="1623"/>
      <c r="L192" s="1623"/>
      <c r="M192" s="1623"/>
      <c r="N192" s="1623"/>
      <c r="O192" s="1623"/>
      <c r="P192" s="1623"/>
      <c r="Q192" s="1623"/>
      <c r="R192" s="1623"/>
      <c r="S192" s="1624"/>
      <c r="T192" s="1625"/>
      <c r="U192" s="401"/>
      <c r="V192" s="1585"/>
      <c r="W192" s="1585"/>
      <c r="X192" s="1585"/>
      <c r="Y192" s="1585"/>
      <c r="Z192" s="1585"/>
      <c r="AA192" s="1585"/>
      <c r="AB192" s="1585"/>
      <c r="AC192" s="1585"/>
      <c r="AD192" s="1585"/>
      <c r="AE192" s="1585"/>
      <c r="AF192" s="1585"/>
      <c r="AG192" s="1585"/>
      <c r="AH192" s="1585"/>
      <c r="AI192" s="1585"/>
      <c r="AJ192" s="1585"/>
      <c r="AK192" s="1585"/>
      <c r="AL192" s="1585"/>
      <c r="AM192" s="1585"/>
      <c r="AN192" s="1585"/>
      <c r="AO192" s="1585"/>
      <c r="AP192" s="1585"/>
      <c r="AQ192" s="1585"/>
      <c r="AR192" s="1585"/>
      <c r="AS192" s="1585"/>
      <c r="AT192" s="1585"/>
      <c r="AU192" s="1585"/>
      <c r="AV192" s="1585"/>
      <c r="AW192" s="1585"/>
      <c r="AX192" s="1585"/>
      <c r="AY192" s="1585"/>
      <c r="AZ192" s="1585"/>
      <c r="BA192" s="1848" t="s">
        <v>52</v>
      </c>
      <c r="BB192" s="1849"/>
      <c r="BC192" s="218"/>
      <c r="BP192" s="305"/>
      <c r="BQ192" s="305"/>
      <c r="BR192" s="305"/>
      <c r="BS192" s="305"/>
      <c r="BT192" s="305"/>
      <c r="BU192" s="305"/>
      <c r="BV192" s="1818"/>
      <c r="BW192" s="1818"/>
      <c r="BX192" s="1818"/>
      <c r="BY192" s="126"/>
    </row>
    <row r="193" spans="2:109" ht="45" hidden="1" thickBot="1" x14ac:dyDescent="0.3">
      <c r="C193" s="416"/>
      <c r="D193" s="354"/>
      <c r="H193" s="1626" t="s">
        <v>4</v>
      </c>
      <c r="I193" s="1627" t="s">
        <v>1</v>
      </c>
      <c r="J193" s="456" t="s">
        <v>0</v>
      </c>
      <c r="K193" s="456" t="s">
        <v>2</v>
      </c>
      <c r="L193" s="456" t="s">
        <v>3</v>
      </c>
      <c r="M193" s="456" t="s">
        <v>8</v>
      </c>
      <c r="N193" s="456" t="s">
        <v>5</v>
      </c>
      <c r="O193" s="456" t="s">
        <v>6</v>
      </c>
      <c r="P193" s="456" t="s">
        <v>7</v>
      </c>
      <c r="Q193" s="456" t="s">
        <v>9</v>
      </c>
      <c r="R193" s="1628" t="s">
        <v>10</v>
      </c>
      <c r="S193" s="456" t="s">
        <v>11</v>
      </c>
      <c r="T193" s="467" t="s">
        <v>12</v>
      </c>
      <c r="V193" s="420"/>
      <c r="W193" s="420"/>
      <c r="X193" s="420"/>
      <c r="Y193" s="420"/>
      <c r="Z193" s="420"/>
      <c r="AA193" s="420"/>
      <c r="AB193" s="420"/>
      <c r="AC193" s="420"/>
      <c r="AD193" s="420"/>
      <c r="AE193" s="420"/>
      <c r="AF193" s="420"/>
      <c r="AG193" s="420"/>
      <c r="AH193" s="420"/>
      <c r="AI193" s="420"/>
      <c r="AJ193" s="1589" t="s">
        <v>295</v>
      </c>
      <c r="AK193" s="420"/>
      <c r="AL193" s="1589" t="s">
        <v>296</v>
      </c>
      <c r="AM193" s="1589" t="s">
        <v>297</v>
      </c>
      <c r="AN193" s="420"/>
      <c r="AO193" s="1589" t="s">
        <v>298</v>
      </c>
      <c r="AP193" s="420"/>
      <c r="AQ193" s="1589" t="s">
        <v>321</v>
      </c>
      <c r="AR193" s="420"/>
      <c r="AS193" s="420"/>
      <c r="AT193" s="420"/>
      <c r="AU193" s="420"/>
      <c r="AV193" s="420"/>
      <c r="AW193" s="420"/>
      <c r="AX193" s="420"/>
      <c r="AY193" s="415"/>
      <c r="AZ193" s="420"/>
      <c r="BA193" s="420"/>
      <c r="BB193" s="420"/>
      <c r="BC193" s="231"/>
      <c r="BV193" s="306"/>
      <c r="CI193" s="306"/>
    </row>
    <row r="194" spans="2:109" ht="49.25" customHeight="1" thickBot="1" x14ac:dyDescent="0.25">
      <c r="B194" s="421"/>
      <c r="C194" s="422"/>
      <c r="D194" s="551" t="s">
        <v>22</v>
      </c>
      <c r="E194" s="330"/>
      <c r="F194" s="468"/>
      <c r="G194" s="240"/>
      <c r="H194" s="736"/>
      <c r="I194" s="737"/>
      <c r="R194" s="1628"/>
      <c r="T194" s="471"/>
      <c r="V194" s="420"/>
      <c r="W194" s="420"/>
      <c r="X194" s="420"/>
      <c r="Y194" s="420"/>
      <c r="Z194" s="420"/>
      <c r="AA194" s="420"/>
      <c r="AB194" s="420"/>
      <c r="AC194" s="420"/>
      <c r="AD194" s="420"/>
      <c r="AE194" s="420"/>
      <c r="AF194" s="420" t="s">
        <v>38</v>
      </c>
      <c r="AG194" s="552" t="s">
        <v>102</v>
      </c>
      <c r="AH194" s="425" t="s">
        <v>31</v>
      </c>
      <c r="AI194" s="425"/>
      <c r="AJ194" s="1630" t="s">
        <v>301</v>
      </c>
      <c r="AK194" s="426" t="s">
        <v>32</v>
      </c>
      <c r="AL194" s="1631" t="s">
        <v>33</v>
      </c>
      <c r="AM194" s="1630" t="s">
        <v>302</v>
      </c>
      <c r="AN194" s="427" t="s">
        <v>34</v>
      </c>
      <c r="AO194" s="1630" t="s">
        <v>35</v>
      </c>
      <c r="AP194" s="427"/>
      <c r="AQ194" s="473" t="s">
        <v>36</v>
      </c>
      <c r="AR194" s="420"/>
      <c r="AS194" s="420" t="s">
        <v>37</v>
      </c>
      <c r="AT194" s="420" t="s">
        <v>39</v>
      </c>
      <c r="AU194" s="420"/>
      <c r="AV194" s="420" t="s">
        <v>40</v>
      </c>
      <c r="AW194" s="1594" t="s">
        <v>41</v>
      </c>
      <c r="AX194" s="1594" t="s">
        <v>42</v>
      </c>
      <c r="AY194" s="430" t="s">
        <v>23</v>
      </c>
      <c r="AZ194" s="430" t="s">
        <v>24</v>
      </c>
      <c r="BA194" s="431" t="s">
        <v>23</v>
      </c>
      <c r="BB194" s="431" t="s">
        <v>24</v>
      </c>
      <c r="BP194" s="307"/>
      <c r="BQ194" s="307"/>
      <c r="BR194" s="307"/>
      <c r="BS194" s="307"/>
      <c r="BT194" s="307"/>
      <c r="BU194" s="307"/>
      <c r="BV194" s="1819"/>
      <c r="BW194" s="1819"/>
      <c r="CH194" s="1813"/>
      <c r="CI194" s="1813"/>
    </row>
    <row r="195" spans="2:109" ht="21" customHeight="1" thickBot="1" x14ac:dyDescent="0.25">
      <c r="B195" s="255">
        <v>1</v>
      </c>
      <c r="C195" s="256">
        <f>+D195+AI186</f>
        <v>0</v>
      </c>
      <c r="D195" s="25">
        <v>0</v>
      </c>
      <c r="E195" s="257" t="s">
        <v>337</v>
      </c>
      <c r="F195" s="258"/>
      <c r="G195" s="258">
        <f>+D195</f>
        <v>0</v>
      </c>
      <c r="H195" s="1632">
        <v>251.073172</v>
      </c>
      <c r="I195" s="1633">
        <v>65.636175100000003</v>
      </c>
      <c r="J195" s="474">
        <f>+I195-C195</f>
        <v>65.636175100000003</v>
      </c>
      <c r="K195" s="474">
        <f>+J195/2</f>
        <v>32.818087550000001</v>
      </c>
      <c r="L195" s="474">
        <f t="shared" ref="L195:L220" si="66">SIN(K195*3.14159265358979/180)</f>
        <v>0.54197353948789428</v>
      </c>
      <c r="M195" s="474">
        <f t="shared" ref="M195:M220" si="67">+L195*H195</f>
        <v>136.07501569929286</v>
      </c>
      <c r="N195" s="474">
        <f t="shared" ref="N195:N220" si="68">+M195*2</f>
        <v>272.15003139858572</v>
      </c>
      <c r="O195" s="474">
        <f>+C195/2</f>
        <v>0</v>
      </c>
      <c r="P195" s="474">
        <f t="shared" ref="P195:P220" si="69">SIN(O195*3.14159265358979/180)</f>
        <v>0</v>
      </c>
      <c r="Q195" s="474">
        <f t="shared" ref="Q195:Q220" si="70">+P195*N195</f>
        <v>0</v>
      </c>
      <c r="R195" s="1634">
        <v>211.0008</v>
      </c>
      <c r="S195" s="474">
        <f>+R195+Q195</f>
        <v>211.0008</v>
      </c>
      <c r="T195" s="476">
        <f t="shared" ref="T195:T220" si="71">+S195</f>
        <v>211.0008</v>
      </c>
      <c r="V195" s="1635">
        <f t="shared" ref="V195:V220" si="72">IF(B195&lt;($B$192+1),T195,0)</f>
        <v>211.0008</v>
      </c>
      <c r="W195" s="437"/>
      <c r="X195" s="437"/>
      <c r="Y195" s="437"/>
      <c r="Z195" s="437"/>
      <c r="AA195" s="437"/>
      <c r="AB195" s="258" t="str">
        <f t="shared" ref="AB195:AB220" si="73">IF(AZ195&lt;0,"use the locking pin"," ")</f>
        <v xml:space="preserve"> </v>
      </c>
      <c r="AC195" s="1636"/>
      <c r="AD195" s="1636"/>
      <c r="AE195" s="1636"/>
      <c r="AF195" s="1637">
        <f>SUM(V195:V220)/($B$192)</f>
        <v>211.0008</v>
      </c>
      <c r="AG195" s="1638">
        <f>+AF195+AA142+AA164</f>
        <v>211.00079116289135</v>
      </c>
      <c r="AH195" s="450">
        <f>C195</f>
        <v>0</v>
      </c>
      <c r="AI195" s="1639"/>
      <c r="AJ195" s="718">
        <f>75.4990086-AH195</f>
        <v>75.499008599999996</v>
      </c>
      <c r="AK195" s="1639">
        <f t="shared" ref="AK195:AK220" si="74">SIN(AJ195*3.14159265358979/180)</f>
        <v>0.96814330785934066</v>
      </c>
      <c r="AL195" s="1639">
        <f>+AK195*290.642868</f>
        <v>281.38394763124575</v>
      </c>
      <c r="AM195" s="1640">
        <f>57.1819124+AH195</f>
        <v>57.181912400000002</v>
      </c>
      <c r="AN195" s="1639">
        <f>SIN(AM195*3.14159265358979/180)</f>
        <v>0.84039555073787342</v>
      </c>
      <c r="AO195" s="1641">
        <f>+AN195*251.073172</f>
        <v>211.00077665844481</v>
      </c>
      <c r="AP195" s="439"/>
      <c r="AQ195" s="444">
        <f>$C$16*B192</f>
        <v>29.3</v>
      </c>
      <c r="AR195" s="444"/>
      <c r="AS195" s="445">
        <f>+AO195+AL195</f>
        <v>492.38472428969055</v>
      </c>
      <c r="AT195" s="445">
        <f>+V195-AO195</f>
        <v>2.3341555191791485E-5</v>
      </c>
      <c r="AU195" s="445"/>
      <c r="AV195" s="447">
        <f>+AF195-AT195</f>
        <v>211.00077665844481</v>
      </c>
      <c r="AW195" s="447">
        <f>+((AS195-AV195)/AS195)*AQ195</f>
        <v>16.744121535226355</v>
      </c>
      <c r="AX195" s="1597">
        <f>+(AV195/AS195)*AQ195</f>
        <v>12.555878464773642</v>
      </c>
      <c r="AY195" s="1597">
        <f t="shared" ref="AY195:AY220" si="75">2*$C$20/AW195</f>
        <v>692.78044689271212</v>
      </c>
      <c r="AZ195" s="1642">
        <f t="shared" ref="AZ195:AZ220" si="76">$D$20/AX195</f>
        <v>796.43969381000863</v>
      </c>
      <c r="BA195" s="274">
        <f>ABS(AY195)</f>
        <v>692.78044689271212</v>
      </c>
      <c r="BB195" s="275">
        <f>ABS(AZ195)</f>
        <v>796.43969381000863</v>
      </c>
      <c r="BC195" s="91"/>
    </row>
    <row r="196" spans="2:109" ht="21" customHeight="1" thickBot="1" x14ac:dyDescent="0.25">
      <c r="B196" s="277">
        <v>2</v>
      </c>
      <c r="C196" s="278"/>
      <c r="D196" s="25">
        <v>0.5</v>
      </c>
      <c r="E196" s="257" t="s">
        <v>305</v>
      </c>
      <c r="F196" s="258"/>
      <c r="G196" s="258">
        <f>+D196+BC196</f>
        <v>0.5</v>
      </c>
      <c r="H196" s="1632">
        <v>251.073172</v>
      </c>
      <c r="I196" s="1633">
        <v>65.636175100000003</v>
      </c>
      <c r="J196" s="474">
        <f t="shared" ref="J196:J220" si="77">+I196-D196</f>
        <v>65.136175100000003</v>
      </c>
      <c r="K196" s="474">
        <f t="shared" ref="K196:K220" si="78">+J196/2</f>
        <v>32.568087550000001</v>
      </c>
      <c r="L196" s="474">
        <f t="shared" si="66"/>
        <v>0.53830147457895938</v>
      </c>
      <c r="M196" s="474">
        <f t="shared" si="67"/>
        <v>135.15305871481669</v>
      </c>
      <c r="N196" s="474">
        <f t="shared" si="68"/>
        <v>270.30611742963339</v>
      </c>
      <c r="O196" s="474">
        <f>+C195+(D196/2)</f>
        <v>0.25</v>
      </c>
      <c r="P196" s="474">
        <f t="shared" si="69"/>
        <v>4.3633092847465667E-3</v>
      </c>
      <c r="Q196" s="474">
        <f t="shared" si="70"/>
        <v>1.1794291919045152</v>
      </c>
      <c r="R196" s="474">
        <f t="shared" ref="R196:R220" si="79">+T195</f>
        <v>211.0008</v>
      </c>
      <c r="S196" s="474">
        <f>+R196+Q196</f>
        <v>212.18022919190452</v>
      </c>
      <c r="T196" s="476">
        <f t="shared" si="71"/>
        <v>212.18022919190452</v>
      </c>
      <c r="V196" s="1635">
        <f t="shared" si="72"/>
        <v>0</v>
      </c>
      <c r="W196" s="437"/>
      <c r="X196" s="437"/>
      <c r="Y196" s="437"/>
      <c r="Z196" s="437"/>
      <c r="AA196" s="437"/>
      <c r="AB196" s="280" t="e">
        <f t="shared" si="73"/>
        <v>#DIV/0!</v>
      </c>
      <c r="AC196" s="1636"/>
      <c r="AD196" s="1636"/>
      <c r="AE196" s="1636"/>
      <c r="AF196" s="1637" t="e">
        <f>SUM(V196:V220)/($B$192-B195)</f>
        <v>#DIV/0!</v>
      </c>
      <c r="AG196" s="1638"/>
      <c r="AH196" s="450">
        <f>SUM(D196)+$C$195</f>
        <v>0.5</v>
      </c>
      <c r="AI196" s="1639"/>
      <c r="AJ196" s="718">
        <f t="shared" ref="AJ196:AJ220" si="80">75.4990086-AH196</f>
        <v>74.999008599999996</v>
      </c>
      <c r="AK196" s="1639">
        <f t="shared" si="74"/>
        <v>0.96592134774826766</v>
      </c>
      <c r="AL196" s="1639">
        <f t="shared" ref="AL196:AL220" si="81">+AK196*290.642868</f>
        <v>280.73815077198185</v>
      </c>
      <c r="AM196" s="1640">
        <f t="shared" ref="AM196:AM220" si="82">57.1819124+AH196</f>
        <v>57.681912400000002</v>
      </c>
      <c r="AN196" s="1639">
        <f t="shared" ref="AN196:AN220" si="83">SIN(AM196*3.14159265358979/180)</f>
        <v>0.84509310238833768</v>
      </c>
      <c r="AO196" s="1641">
        <f t="shared" ref="AO196:AO220" si="84">+AN196*251.073172</f>
        <v>212.18020585196072</v>
      </c>
      <c r="AP196" s="287"/>
      <c r="AQ196" s="444">
        <f t="shared" ref="AQ196:AQ220" si="85">$C$16*($B$192-B195)</f>
        <v>0</v>
      </c>
      <c r="AR196" s="444"/>
      <c r="AS196" s="445">
        <f t="shared" ref="AS196:AS220" si="86">+AO196+AL196</f>
        <v>492.9183566239426</v>
      </c>
      <c r="AT196" s="445">
        <f>+V196-AO196</f>
        <v>-212.18020585196072</v>
      </c>
      <c r="AU196" s="445"/>
      <c r="AV196" s="447" t="e">
        <f>+AF196-AT196</f>
        <v>#DIV/0!</v>
      </c>
      <c r="AW196" s="447" t="e">
        <f t="shared" ref="AW196:AW220" si="87">+((AS196-AV196)/AS196)*AQ196</f>
        <v>#DIV/0!</v>
      </c>
      <c r="AX196" s="1597" t="e">
        <f t="shared" ref="AX196:AX220" si="88">+(AV196/AS196)*AQ196</f>
        <v>#DIV/0!</v>
      </c>
      <c r="AY196" s="1597" t="e">
        <f t="shared" si="75"/>
        <v>#DIV/0!</v>
      </c>
      <c r="AZ196" s="1642" t="e">
        <f t="shared" si="76"/>
        <v>#DIV/0!</v>
      </c>
      <c r="BA196" s="274" t="e">
        <f t="shared" ref="BA196:BB211" si="89">ABS(AY196)</f>
        <v>#DIV/0!</v>
      </c>
      <c r="BB196" s="294" t="e">
        <f t="shared" si="89"/>
        <v>#DIV/0!</v>
      </c>
    </row>
    <row r="197" spans="2:109" ht="21" customHeight="1" thickBot="1" x14ac:dyDescent="0.25">
      <c r="B197" s="277">
        <v>3</v>
      </c>
      <c r="C197" s="278"/>
      <c r="D197" s="25">
        <v>0.5</v>
      </c>
      <c r="E197" s="257" t="s">
        <v>305</v>
      </c>
      <c r="F197" s="258"/>
      <c r="G197" s="258">
        <f t="shared" ref="G197:G220" si="90">+D197+BC197</f>
        <v>0.5</v>
      </c>
      <c r="H197" s="1632">
        <v>251.073172</v>
      </c>
      <c r="I197" s="1633">
        <v>65.636175100000003</v>
      </c>
      <c r="J197" s="474">
        <f t="shared" si="77"/>
        <v>65.136175100000003</v>
      </c>
      <c r="K197" s="474">
        <f t="shared" si="78"/>
        <v>32.568087550000001</v>
      </c>
      <c r="L197" s="474">
        <f t="shared" si="66"/>
        <v>0.53830147457895938</v>
      </c>
      <c r="M197" s="474">
        <f t="shared" si="67"/>
        <v>135.15305871481669</v>
      </c>
      <c r="N197" s="474">
        <f t="shared" si="68"/>
        <v>270.30611742963339</v>
      </c>
      <c r="O197" s="474">
        <f>+C195+D196+(D197/2)</f>
        <v>0.75</v>
      </c>
      <c r="P197" s="474">
        <f t="shared" si="69"/>
        <v>1.3089595571344427E-2</v>
      </c>
      <c r="Q197" s="474">
        <f t="shared" si="70"/>
        <v>3.538197757614236</v>
      </c>
      <c r="R197" s="474">
        <f t="shared" si="79"/>
        <v>212.18022919190452</v>
      </c>
      <c r="S197" s="474">
        <f t="shared" ref="S197:S220" si="91">+S196+Q197</f>
        <v>215.71842694951874</v>
      </c>
      <c r="T197" s="476">
        <f t="shared" si="71"/>
        <v>215.71842694951874</v>
      </c>
      <c r="V197" s="1635">
        <f t="shared" si="72"/>
        <v>0</v>
      </c>
      <c r="W197" s="437"/>
      <c r="X197" s="437"/>
      <c r="Y197" s="437"/>
      <c r="Z197" s="437"/>
      <c r="AA197" s="437"/>
      <c r="AB197" s="295" t="str">
        <f t="shared" si="73"/>
        <v>use the locking pin</v>
      </c>
      <c r="AC197" s="1636"/>
      <c r="AD197" s="1636"/>
      <c r="AE197" s="1636"/>
      <c r="AF197" s="1637">
        <f>SUM(V197:V220)/($B$192-B196)</f>
        <v>0</v>
      </c>
      <c r="AG197" s="1638"/>
      <c r="AH197" s="450">
        <f>SUM(D196:D197)+$C$195</f>
        <v>1</v>
      </c>
      <c r="AI197" s="1639"/>
      <c r="AJ197" s="718">
        <f t="shared" si="80"/>
        <v>74.499008599999996</v>
      </c>
      <c r="AK197" s="1639">
        <f t="shared" si="74"/>
        <v>0.96362582898684701</v>
      </c>
      <c r="AL197" s="1639">
        <f t="shared" si="81"/>
        <v>280.07097461561477</v>
      </c>
      <c r="AM197" s="1640">
        <f t="shared" si="82"/>
        <v>58.181912400000002</v>
      </c>
      <c r="AN197" s="1639">
        <f t="shared" si="83"/>
        <v>0.84972629692714396</v>
      </c>
      <c r="AO197" s="1641">
        <f t="shared" si="84"/>
        <v>213.34347670131189</v>
      </c>
      <c r="AP197" s="287"/>
      <c r="AQ197" s="444">
        <f t="shared" si="85"/>
        <v>-29.3</v>
      </c>
      <c r="AR197" s="444"/>
      <c r="AS197" s="445">
        <f t="shared" si="86"/>
        <v>493.41445131692666</v>
      </c>
      <c r="AT197" s="445">
        <f>+V197-AO197</f>
        <v>-213.34347670131189</v>
      </c>
      <c r="AU197" s="445"/>
      <c r="AV197" s="447">
        <f>+AF197-AT197</f>
        <v>213.34347670131189</v>
      </c>
      <c r="AW197" s="447">
        <f t="shared" si="87"/>
        <v>-16.631210404023289</v>
      </c>
      <c r="AX197" s="1597">
        <f t="shared" si="88"/>
        <v>-12.668789595976712</v>
      </c>
      <c r="AY197" s="1597">
        <f t="shared" si="75"/>
        <v>-697.4838101497304</v>
      </c>
      <c r="AZ197" s="1642">
        <f t="shared" si="76"/>
        <v>-789.34139084413778</v>
      </c>
      <c r="BA197" s="274">
        <f t="shared" si="89"/>
        <v>697.4838101497304</v>
      </c>
      <c r="BB197" s="275">
        <f t="shared" si="89"/>
        <v>789.34139084413778</v>
      </c>
    </row>
    <row r="198" spans="2:109" ht="21" customHeight="1" thickBot="1" x14ac:dyDescent="0.25">
      <c r="B198" s="277">
        <v>4</v>
      </c>
      <c r="C198" s="278"/>
      <c r="D198" s="25">
        <v>0.5</v>
      </c>
      <c r="E198" s="257" t="s">
        <v>305</v>
      </c>
      <c r="F198" s="258"/>
      <c r="G198" s="258">
        <f t="shared" si="90"/>
        <v>0.5</v>
      </c>
      <c r="H198" s="1632">
        <v>251.073172</v>
      </c>
      <c r="I198" s="1633">
        <v>65.636175100000003</v>
      </c>
      <c r="J198" s="474">
        <f t="shared" si="77"/>
        <v>65.136175100000003</v>
      </c>
      <c r="K198" s="474">
        <f t="shared" si="78"/>
        <v>32.568087550000001</v>
      </c>
      <c r="L198" s="474">
        <f t="shared" si="66"/>
        <v>0.53830147457895938</v>
      </c>
      <c r="M198" s="474">
        <f t="shared" si="67"/>
        <v>135.15305871481669</v>
      </c>
      <c r="N198" s="474">
        <f t="shared" si="68"/>
        <v>270.30611742963339</v>
      </c>
      <c r="O198" s="474">
        <f>+C195+D196+D197+(D198/2)</f>
        <v>1.25</v>
      </c>
      <c r="P198" s="474">
        <f t="shared" si="69"/>
        <v>2.18148850345611E-2</v>
      </c>
      <c r="Q198" s="474">
        <f t="shared" si="70"/>
        <v>5.8966968758660245</v>
      </c>
      <c r="R198" s="474">
        <f t="shared" si="79"/>
        <v>215.71842694951874</v>
      </c>
      <c r="S198" s="474">
        <f t="shared" si="91"/>
        <v>221.61512382538476</v>
      </c>
      <c r="T198" s="476">
        <f t="shared" si="71"/>
        <v>221.61512382538476</v>
      </c>
      <c r="V198" s="1635">
        <f t="shared" si="72"/>
        <v>0</v>
      </c>
      <c r="W198" s="437"/>
      <c r="X198" s="437"/>
      <c r="Y198" s="437"/>
      <c r="Z198" s="437"/>
      <c r="AA198" s="437"/>
      <c r="AB198" s="295" t="str">
        <f t="shared" si="73"/>
        <v>use the locking pin</v>
      </c>
      <c r="AC198" s="1636"/>
      <c r="AD198" s="1636"/>
      <c r="AE198" s="1636"/>
      <c r="AF198" s="1637">
        <f>SUM(V198:V220)/($B$192-B197)</f>
        <v>0</v>
      </c>
      <c r="AG198" s="1638"/>
      <c r="AH198" s="450">
        <f>SUM(D196:D198)+$C$195</f>
        <v>1.5</v>
      </c>
      <c r="AI198" s="1639"/>
      <c r="AJ198" s="718">
        <f t="shared" si="80"/>
        <v>73.999008599999996</v>
      </c>
      <c r="AK198" s="1639">
        <f t="shared" si="74"/>
        <v>0.96125692638771998</v>
      </c>
      <c r="AL198" s="1639">
        <f t="shared" si="81"/>
        <v>279.38246997019183</v>
      </c>
      <c r="AM198" s="1640">
        <f t="shared" si="82"/>
        <v>58.681912400000002</v>
      </c>
      <c r="AN198" s="1639">
        <f t="shared" si="83"/>
        <v>0.85429478151859028</v>
      </c>
      <c r="AO198" s="1641">
        <f t="shared" si="84"/>
        <v>214.49050061891944</v>
      </c>
      <c r="AP198" s="287"/>
      <c r="AQ198" s="444">
        <f t="shared" si="85"/>
        <v>-58.6</v>
      </c>
      <c r="AR198" s="444"/>
      <c r="AS198" s="445">
        <f t="shared" si="86"/>
        <v>493.87297058911128</v>
      </c>
      <c r="AT198" s="445">
        <f>+V198-AO198</f>
        <v>-214.49050061891944</v>
      </c>
      <c r="AU198" s="445"/>
      <c r="AV198" s="447">
        <f t="shared" ref="AV198:AV220" si="92">+AF198-AT198</f>
        <v>214.49050061891944</v>
      </c>
      <c r="AW198" s="447">
        <f t="shared" si="87"/>
        <v>-33.149845638898384</v>
      </c>
      <c r="AX198" s="1597">
        <f t="shared" si="88"/>
        <v>-25.450154361101614</v>
      </c>
      <c r="AY198" s="1597">
        <f t="shared" si="75"/>
        <v>-349.92621463034612</v>
      </c>
      <c r="AZ198" s="1642">
        <f t="shared" si="76"/>
        <v>-392.92492525248275</v>
      </c>
      <c r="BA198" s="274">
        <f t="shared" si="89"/>
        <v>349.92621463034612</v>
      </c>
      <c r="BB198" s="275">
        <f t="shared" si="89"/>
        <v>392.92492525248275</v>
      </c>
    </row>
    <row r="199" spans="2:109" ht="21" customHeight="1" thickBot="1" x14ac:dyDescent="0.25">
      <c r="B199" s="277">
        <v>5</v>
      </c>
      <c r="C199" s="278"/>
      <c r="D199" s="25">
        <v>0.5</v>
      </c>
      <c r="E199" s="257" t="s">
        <v>305</v>
      </c>
      <c r="F199" s="258"/>
      <c r="G199" s="258">
        <f>+D199+BC199</f>
        <v>0.5</v>
      </c>
      <c r="H199" s="1632">
        <v>251.073172</v>
      </c>
      <c r="I199" s="1633">
        <v>65.636175100000003</v>
      </c>
      <c r="J199" s="474">
        <f t="shared" si="77"/>
        <v>65.136175100000003</v>
      </c>
      <c r="K199" s="474">
        <f t="shared" si="78"/>
        <v>32.568087550000001</v>
      </c>
      <c r="L199" s="474">
        <f t="shared" si="66"/>
        <v>0.53830147457895938</v>
      </c>
      <c r="M199" s="474">
        <f t="shared" si="67"/>
        <v>135.15305871481669</v>
      </c>
      <c r="N199" s="474">
        <f t="shared" si="68"/>
        <v>270.30611742963339</v>
      </c>
      <c r="O199" s="474">
        <f>+C195+D196+D197+D198+(D199/2)</f>
        <v>1.75</v>
      </c>
      <c r="P199" s="474">
        <f t="shared" si="69"/>
        <v>3.0538513209822628E-2</v>
      </c>
      <c r="Q199" s="474">
        <f t="shared" si="70"/>
        <v>8.254746937820725</v>
      </c>
      <c r="R199" s="474">
        <f t="shared" si="79"/>
        <v>221.61512382538476</v>
      </c>
      <c r="S199" s="474">
        <f t="shared" si="91"/>
        <v>229.86987076320548</v>
      </c>
      <c r="T199" s="476">
        <f t="shared" si="71"/>
        <v>229.86987076320548</v>
      </c>
      <c r="V199" s="1635">
        <f t="shared" si="72"/>
        <v>0</v>
      </c>
      <c r="W199" s="437"/>
      <c r="X199" s="437"/>
      <c r="Y199" s="437"/>
      <c r="Z199" s="437"/>
      <c r="AA199" s="437"/>
      <c r="AB199" s="295" t="str">
        <f t="shared" si="73"/>
        <v>use the locking pin</v>
      </c>
      <c r="AC199" s="1636"/>
      <c r="AD199" s="1636"/>
      <c r="AE199" s="1636"/>
      <c r="AF199" s="1637">
        <f>SUM(V199:V220)/($B$192-B198)</f>
        <v>0</v>
      </c>
      <c r="AG199" s="1638"/>
      <c r="AH199" s="450">
        <f>SUM(D196:D199)+$C$195</f>
        <v>2</v>
      </c>
      <c r="AI199" s="1639"/>
      <c r="AJ199" s="718">
        <f t="shared" si="80"/>
        <v>73.499008599999996</v>
      </c>
      <c r="AK199" s="1639">
        <f t="shared" si="74"/>
        <v>0.95881482035199095</v>
      </c>
      <c r="AL199" s="1639">
        <f t="shared" si="81"/>
        <v>278.67268926800745</v>
      </c>
      <c r="AM199" s="1640">
        <f t="shared" si="82"/>
        <v>59.181912400000002</v>
      </c>
      <c r="AN199" s="1639">
        <f t="shared" si="83"/>
        <v>0.85879820825488717</v>
      </c>
      <c r="AO199" s="1641">
        <f t="shared" si="84"/>
        <v>215.62119025447112</v>
      </c>
      <c r="AP199" s="287"/>
      <c r="AQ199" s="444">
        <f t="shared" si="85"/>
        <v>-87.9</v>
      </c>
      <c r="AR199" s="444"/>
      <c r="AS199" s="445">
        <f t="shared" si="86"/>
        <v>494.29387952247856</v>
      </c>
      <c r="AT199" s="445">
        <f t="shared" ref="AT199:AT220" si="93">+V199-AO199</f>
        <v>-215.62119025447112</v>
      </c>
      <c r="AU199" s="445"/>
      <c r="AV199" s="447">
        <f t="shared" si="92"/>
        <v>215.62119025447112</v>
      </c>
      <c r="AW199" s="447">
        <f t="shared" si="87"/>
        <v>-49.556206138587044</v>
      </c>
      <c r="AX199" s="1597">
        <f t="shared" si="88"/>
        <v>-38.343793861412962</v>
      </c>
      <c r="AY199" s="1597">
        <f t="shared" si="75"/>
        <v>-234.07764443387518</v>
      </c>
      <c r="AZ199" s="1642">
        <f t="shared" si="76"/>
        <v>-260.79839767925097</v>
      </c>
      <c r="BA199" s="274">
        <f t="shared" si="89"/>
        <v>234.07764443387518</v>
      </c>
      <c r="BB199" s="275">
        <f t="shared" si="89"/>
        <v>260.79839767925097</v>
      </c>
      <c r="DE199" s="305"/>
    </row>
    <row r="200" spans="2:109" ht="21" customHeight="1" thickBot="1" x14ac:dyDescent="0.25">
      <c r="B200" s="277">
        <v>6</v>
      </c>
      <c r="C200" s="278"/>
      <c r="D200" s="25">
        <v>0.5</v>
      </c>
      <c r="E200" s="257" t="s">
        <v>305</v>
      </c>
      <c r="F200" s="258"/>
      <c r="G200" s="258">
        <f t="shared" si="90"/>
        <v>0.5</v>
      </c>
      <c r="H200" s="1632">
        <v>251.073172</v>
      </c>
      <c r="I200" s="1633">
        <v>65.636175100000003</v>
      </c>
      <c r="J200" s="474">
        <f t="shared" si="77"/>
        <v>65.136175100000003</v>
      </c>
      <c r="K200" s="474">
        <f t="shared" si="78"/>
        <v>32.568087550000001</v>
      </c>
      <c r="L200" s="474">
        <f t="shared" si="66"/>
        <v>0.53830147457895938</v>
      </c>
      <c r="M200" s="474">
        <f t="shared" si="67"/>
        <v>135.15305871481669</v>
      </c>
      <c r="N200" s="474">
        <f t="shared" si="68"/>
        <v>270.30611742963339</v>
      </c>
      <c r="O200" s="474">
        <f>+C195+D196+D197+D198+D199+(D200/2)</f>
        <v>2.25</v>
      </c>
      <c r="P200" s="474">
        <f t="shared" si="69"/>
        <v>3.9259815759068568E-2</v>
      </c>
      <c r="Q200" s="474">
        <f t="shared" si="70"/>
        <v>10.61216836883656</v>
      </c>
      <c r="R200" s="474">
        <f t="shared" si="79"/>
        <v>229.86987076320548</v>
      </c>
      <c r="S200" s="474">
        <f t="shared" si="91"/>
        <v>240.48203913204205</v>
      </c>
      <c r="T200" s="476">
        <f t="shared" si="71"/>
        <v>240.48203913204205</v>
      </c>
      <c r="V200" s="1635">
        <f t="shared" si="72"/>
        <v>0</v>
      </c>
      <c r="W200" s="437"/>
      <c r="X200" s="437"/>
      <c r="Y200" s="437"/>
      <c r="Z200" s="437"/>
      <c r="AA200" s="437"/>
      <c r="AB200" s="295" t="str">
        <f t="shared" si="73"/>
        <v>use the locking pin</v>
      </c>
      <c r="AC200" s="1636"/>
      <c r="AD200" s="1636"/>
      <c r="AE200" s="1636"/>
      <c r="AF200" s="1637">
        <f>SUM(V200:V220)/($B$192-B199)</f>
        <v>0</v>
      </c>
      <c r="AG200" s="1638"/>
      <c r="AH200" s="450">
        <f>SUM(D196:D200)+$C$195</f>
        <v>2.5</v>
      </c>
      <c r="AI200" s="1639"/>
      <c r="AJ200" s="718">
        <f t="shared" si="80"/>
        <v>72.999008599999996</v>
      </c>
      <c r="AK200" s="1639">
        <f t="shared" si="74"/>
        <v>0.95629969685548954</v>
      </c>
      <c r="AL200" s="1639">
        <f t="shared" si="81"/>
        <v>277.94168656161008</v>
      </c>
      <c r="AM200" s="1640">
        <f t="shared" si="82"/>
        <v>59.681912400000002</v>
      </c>
      <c r="AN200" s="1639">
        <f t="shared" si="83"/>
        <v>0.86323623418265283</v>
      </c>
      <c r="AO200" s="1641">
        <f t="shared" si="84"/>
        <v>216.73545950157347</v>
      </c>
      <c r="AP200" s="287"/>
      <c r="AQ200" s="444">
        <f t="shared" si="85"/>
        <v>-117.2</v>
      </c>
      <c r="AR200" s="444"/>
      <c r="AS200" s="445">
        <f t="shared" si="86"/>
        <v>494.67714606318356</v>
      </c>
      <c r="AT200" s="445">
        <f t="shared" si="93"/>
        <v>-216.73545950157347</v>
      </c>
      <c r="AU200" s="445"/>
      <c r="AV200" s="447">
        <f t="shared" si="92"/>
        <v>216.73545950157347</v>
      </c>
      <c r="AW200" s="447">
        <f t="shared" si="87"/>
        <v>-65.85055712450486</v>
      </c>
      <c r="AX200" s="1597">
        <f t="shared" si="88"/>
        <v>-51.349442875495143</v>
      </c>
      <c r="AY200" s="1597">
        <f t="shared" si="75"/>
        <v>-176.1564443269275</v>
      </c>
      <c r="AZ200" s="1642">
        <f t="shared" si="76"/>
        <v>-194.74407977992252</v>
      </c>
      <c r="BA200" s="274">
        <f t="shared" si="89"/>
        <v>176.1564443269275</v>
      </c>
      <c r="BB200" s="275">
        <f t="shared" si="89"/>
        <v>194.74407977992252</v>
      </c>
    </row>
    <row r="201" spans="2:109" ht="21" customHeight="1" thickBot="1" x14ac:dyDescent="0.25">
      <c r="B201" s="277">
        <v>7</v>
      </c>
      <c r="C201" s="278"/>
      <c r="D201" s="25">
        <v>0.5</v>
      </c>
      <c r="E201" s="257" t="s">
        <v>305</v>
      </c>
      <c r="F201" s="258"/>
      <c r="G201" s="258">
        <f t="shared" si="90"/>
        <v>0.5</v>
      </c>
      <c r="H201" s="1632">
        <v>251.073172</v>
      </c>
      <c r="I201" s="1633">
        <v>65.636175100000003</v>
      </c>
      <c r="J201" s="474">
        <f t="shared" si="77"/>
        <v>65.136175100000003</v>
      </c>
      <c r="K201" s="474">
        <f t="shared" si="78"/>
        <v>32.568087550000001</v>
      </c>
      <c r="L201" s="474">
        <f t="shared" si="66"/>
        <v>0.53830147457895938</v>
      </c>
      <c r="M201" s="474">
        <f t="shared" si="67"/>
        <v>135.15305871481669</v>
      </c>
      <c r="N201" s="474">
        <f t="shared" si="68"/>
        <v>270.30611742963339</v>
      </c>
      <c r="O201" s="474">
        <f>+C195+D196+D197+D198+D199+D200+(D201/2)</f>
        <v>2.75</v>
      </c>
      <c r="P201" s="474">
        <f t="shared" si="69"/>
        <v>4.79781285213439E-2</v>
      </c>
      <c r="Q201" s="474">
        <f t="shared" si="70"/>
        <v>12.968781642144426</v>
      </c>
      <c r="R201" s="474">
        <f t="shared" si="79"/>
        <v>240.48203913204205</v>
      </c>
      <c r="S201" s="474">
        <f t="shared" si="91"/>
        <v>253.45082077418647</v>
      </c>
      <c r="T201" s="476">
        <f t="shared" si="71"/>
        <v>253.45082077418647</v>
      </c>
      <c r="V201" s="1635">
        <f t="shared" si="72"/>
        <v>0</v>
      </c>
      <c r="W201" s="437"/>
      <c r="X201" s="437"/>
      <c r="Y201" s="437"/>
      <c r="Z201" s="437"/>
      <c r="AA201" s="437"/>
      <c r="AB201" s="295" t="str">
        <f t="shared" si="73"/>
        <v>use the locking pin</v>
      </c>
      <c r="AC201" s="1636"/>
      <c r="AD201" s="1636"/>
      <c r="AE201" s="1636"/>
      <c r="AF201" s="1637">
        <f>SUM(V201:V220)/($B$192-B200)</f>
        <v>0</v>
      </c>
      <c r="AG201" s="1638"/>
      <c r="AH201" s="450">
        <f>SUM(D196:D201)+$C$195</f>
        <v>3</v>
      </c>
      <c r="AI201" s="1639"/>
      <c r="AJ201" s="718">
        <f t="shared" si="80"/>
        <v>72.499008599999996</v>
      </c>
      <c r="AK201" s="1639">
        <f t="shared" si="74"/>
        <v>0.95371174743460796</v>
      </c>
      <c r="AL201" s="1639">
        <f t="shared" si="81"/>
        <v>277.18951751968609</v>
      </c>
      <c r="AM201" s="1640">
        <f t="shared" si="82"/>
        <v>60.181912400000002</v>
      </c>
      <c r="AN201" s="1639">
        <f t="shared" si="83"/>
        <v>0.86760852132903066</v>
      </c>
      <c r="AO201" s="1641">
        <f t="shared" si="84"/>
        <v>217.83322350430939</v>
      </c>
      <c r="AP201" s="287"/>
      <c r="AQ201" s="444">
        <f t="shared" si="85"/>
        <v>-146.5</v>
      </c>
      <c r="AR201" s="444"/>
      <c r="AS201" s="445">
        <f t="shared" si="86"/>
        <v>495.02274102399548</v>
      </c>
      <c r="AT201" s="445">
        <f t="shared" si="93"/>
        <v>-217.83322350430939</v>
      </c>
      <c r="AU201" s="445"/>
      <c r="AV201" s="447">
        <f t="shared" si="92"/>
        <v>217.83322350430939</v>
      </c>
      <c r="AW201" s="447">
        <f t="shared" si="87"/>
        <v>-82.033128887437499</v>
      </c>
      <c r="AX201" s="1597">
        <f t="shared" si="88"/>
        <v>-64.466871112562501</v>
      </c>
      <c r="AY201" s="1597">
        <f t="shared" si="75"/>
        <v>-141.40628496466402</v>
      </c>
      <c r="AZ201" s="1642">
        <f t="shared" si="76"/>
        <v>-155.11843257507383</v>
      </c>
      <c r="BA201" s="274">
        <f t="shared" si="89"/>
        <v>141.40628496466402</v>
      </c>
      <c r="BB201" s="275">
        <f t="shared" si="89"/>
        <v>155.11843257507383</v>
      </c>
      <c r="DE201" s="307"/>
    </row>
    <row r="202" spans="2:109" ht="21" customHeight="1" thickBot="1" x14ac:dyDescent="0.25">
      <c r="B202" s="277">
        <v>8</v>
      </c>
      <c r="C202" s="278"/>
      <c r="D202" s="25">
        <v>0.5</v>
      </c>
      <c r="E202" s="257" t="s">
        <v>305</v>
      </c>
      <c r="F202" s="258"/>
      <c r="G202" s="258">
        <f t="shared" si="90"/>
        <v>0.5</v>
      </c>
      <c r="H202" s="1632">
        <v>251.073172</v>
      </c>
      <c r="I202" s="1633">
        <v>65.636175100000003</v>
      </c>
      <c r="J202" s="474">
        <f t="shared" si="77"/>
        <v>65.136175100000003</v>
      </c>
      <c r="K202" s="474">
        <f t="shared" si="78"/>
        <v>32.568087550000001</v>
      </c>
      <c r="L202" s="474">
        <f t="shared" si="66"/>
        <v>0.53830147457895938</v>
      </c>
      <c r="M202" s="474">
        <f t="shared" si="67"/>
        <v>135.15305871481669</v>
      </c>
      <c r="N202" s="474">
        <f t="shared" si="68"/>
        <v>270.30611742963339</v>
      </c>
      <c r="O202" s="474">
        <f>+C195+D196+D197+D198+D199+D200+D201+(D202/2)</f>
        <v>3.25</v>
      </c>
      <c r="P202" s="474">
        <f t="shared" si="69"/>
        <v>5.6692787563377457E-2</v>
      </c>
      <c r="Q202" s="474">
        <f t="shared" si="70"/>
        <v>15.324407292519567</v>
      </c>
      <c r="R202" s="474">
        <f t="shared" si="79"/>
        <v>253.45082077418647</v>
      </c>
      <c r="S202" s="474">
        <f t="shared" si="91"/>
        <v>268.77522806670606</v>
      </c>
      <c r="T202" s="476">
        <f t="shared" si="71"/>
        <v>268.77522806670606</v>
      </c>
      <c r="V202" s="1635">
        <f t="shared" si="72"/>
        <v>0</v>
      </c>
      <c r="W202" s="437"/>
      <c r="X202" s="437"/>
      <c r="Y202" s="437"/>
      <c r="Z202" s="437"/>
      <c r="AA202" s="437"/>
      <c r="AB202" s="295" t="str">
        <f t="shared" si="73"/>
        <v>use the locking pin</v>
      </c>
      <c r="AC202" s="1636"/>
      <c r="AD202" s="1636"/>
      <c r="AE202" s="1636"/>
      <c r="AF202" s="1637">
        <f>SUM(V202:V220)/($B$192-B201)</f>
        <v>0</v>
      </c>
      <c r="AG202" s="1638"/>
      <c r="AH202" s="450">
        <f>SUM(D196:D202)+$C$195</f>
        <v>3.5</v>
      </c>
      <c r="AI202" s="1639"/>
      <c r="AJ202" s="718">
        <f t="shared" si="80"/>
        <v>71.999008599999996</v>
      </c>
      <c r="AK202" s="1639">
        <f t="shared" si="74"/>
        <v>0.95105116917171384</v>
      </c>
      <c r="AL202" s="1639">
        <f t="shared" si="81"/>
        <v>276.41623942282013</v>
      </c>
      <c r="AM202" s="1640">
        <f t="shared" si="82"/>
        <v>60.681912400000002</v>
      </c>
      <c r="AN202" s="1639">
        <f t="shared" si="83"/>
        <v>0.87191473672742625</v>
      </c>
      <c r="AO202" s="1641">
        <f t="shared" si="84"/>
        <v>218.91439866369981</v>
      </c>
      <c r="AP202" s="287"/>
      <c r="AQ202" s="444">
        <f t="shared" si="85"/>
        <v>-175.8</v>
      </c>
      <c r="AR202" s="444"/>
      <c r="AS202" s="445">
        <f t="shared" si="86"/>
        <v>495.33063808651991</v>
      </c>
      <c r="AT202" s="445">
        <f t="shared" si="93"/>
        <v>-218.91439866369981</v>
      </c>
      <c r="AU202" s="445"/>
      <c r="AV202" s="447">
        <f t="shared" si="92"/>
        <v>218.91439866369981</v>
      </c>
      <c r="AW202" s="447">
        <f t="shared" si="87"/>
        <v>-98.104117036353841</v>
      </c>
      <c r="AX202" s="1597">
        <f t="shared" si="88"/>
        <v>-77.69588296364617</v>
      </c>
      <c r="AY202" s="1597">
        <f t="shared" si="75"/>
        <v>-118.24172471478907</v>
      </c>
      <c r="AZ202" s="1642">
        <f t="shared" si="76"/>
        <v>-128.70694840650683</v>
      </c>
      <c r="BA202" s="274">
        <f t="shared" si="89"/>
        <v>118.24172471478907</v>
      </c>
      <c r="BB202" s="275">
        <f t="shared" si="89"/>
        <v>128.70694840650683</v>
      </c>
    </row>
    <row r="203" spans="2:109" ht="19" thickBot="1" x14ac:dyDescent="0.25">
      <c r="B203" s="277">
        <v>9</v>
      </c>
      <c r="C203" s="278"/>
      <c r="D203" s="25">
        <v>0.5</v>
      </c>
      <c r="E203" s="257" t="s">
        <v>305</v>
      </c>
      <c r="F203" s="258"/>
      <c r="G203" s="258">
        <f t="shared" si="90"/>
        <v>0.5</v>
      </c>
      <c r="H203" s="1632">
        <v>251.073172</v>
      </c>
      <c r="I203" s="1633">
        <v>65.636175100000003</v>
      </c>
      <c r="J203" s="474">
        <f t="shared" si="77"/>
        <v>65.136175100000003</v>
      </c>
      <c r="K203" s="474">
        <f t="shared" si="78"/>
        <v>32.568087550000001</v>
      </c>
      <c r="L203" s="474">
        <f t="shared" si="66"/>
        <v>0.53830147457895938</v>
      </c>
      <c r="M203" s="474">
        <f t="shared" si="67"/>
        <v>135.15305871481669</v>
      </c>
      <c r="N203" s="474">
        <f t="shared" si="68"/>
        <v>270.30611742963339</v>
      </c>
      <c r="O203" s="474">
        <f>+C195+D196+D197+D198+D199+D200+D201+D202+(D203/2)</f>
        <v>3.75</v>
      </c>
      <c r="P203" s="474">
        <f t="shared" si="69"/>
        <v>6.5403129230143006E-2</v>
      </c>
      <c r="Q203" s="474">
        <f t="shared" si="70"/>
        <v>17.678865929948522</v>
      </c>
      <c r="R203" s="474">
        <f t="shared" si="79"/>
        <v>268.77522806670606</v>
      </c>
      <c r="S203" s="474">
        <f t="shared" si="91"/>
        <v>286.45409399665459</v>
      </c>
      <c r="T203" s="476">
        <f t="shared" si="71"/>
        <v>286.45409399665459</v>
      </c>
      <c r="V203" s="1635">
        <f t="shared" si="72"/>
        <v>0</v>
      </c>
      <c r="W203" s="437"/>
      <c r="X203" s="437"/>
      <c r="Y203" s="437"/>
      <c r="Z203" s="437"/>
      <c r="AA203" s="437"/>
      <c r="AB203" s="295" t="str">
        <f t="shared" si="73"/>
        <v>use the locking pin</v>
      </c>
      <c r="AC203" s="1636"/>
      <c r="AD203" s="1636"/>
      <c r="AE203" s="1636"/>
      <c r="AF203" s="1637">
        <f>SUM(V203:V220)/($B$192-B202)</f>
        <v>0</v>
      </c>
      <c r="AG203" s="1638"/>
      <c r="AH203" s="450">
        <f>SUM(D196:D203)+$C$195</f>
        <v>4</v>
      </c>
      <c r="AI203" s="1639"/>
      <c r="AJ203" s="718">
        <f t="shared" si="80"/>
        <v>71.499008599999996</v>
      </c>
      <c r="AK203" s="1639">
        <f t="shared" si="74"/>
        <v>0.94831816468014318</v>
      </c>
      <c r="AL203" s="1639">
        <f t="shared" si="81"/>
        <v>275.62191115913316</v>
      </c>
      <c r="AM203" s="1640">
        <f t="shared" si="82"/>
        <v>61.181912400000002</v>
      </c>
      <c r="AN203" s="1639">
        <f t="shared" si="83"/>
        <v>0.87615455244286489</v>
      </c>
      <c r="AO203" s="1641">
        <f t="shared" si="84"/>
        <v>219.97890264407044</v>
      </c>
      <c r="AP203" s="287"/>
      <c r="AQ203" s="444">
        <f t="shared" si="85"/>
        <v>-205.1</v>
      </c>
      <c r="AR203" s="444"/>
      <c r="AS203" s="445">
        <f t="shared" si="86"/>
        <v>495.60081380320361</v>
      </c>
      <c r="AT203" s="445">
        <f t="shared" si="93"/>
        <v>-219.97890264407044</v>
      </c>
      <c r="AU203" s="445"/>
      <c r="AV203" s="447">
        <f t="shared" si="92"/>
        <v>219.97890264407044</v>
      </c>
      <c r="AW203" s="447">
        <f t="shared" si="87"/>
        <v>-114.06368271458393</v>
      </c>
      <c r="AX203" s="1597">
        <f t="shared" si="88"/>
        <v>-91.036317285416061</v>
      </c>
      <c r="AY203" s="1597">
        <f t="shared" si="75"/>
        <v>-101.69757563435964</v>
      </c>
      <c r="AZ203" s="1642">
        <f t="shared" si="76"/>
        <v>-109.84627122654918</v>
      </c>
      <c r="BA203" s="274">
        <f t="shared" si="89"/>
        <v>101.69757563435964</v>
      </c>
      <c r="BB203" s="275">
        <f t="shared" si="89"/>
        <v>109.84627122654918</v>
      </c>
      <c r="BD203" s="545"/>
      <c r="BQ203" s="236"/>
      <c r="BR203" s="236"/>
      <c r="BS203" s="236"/>
      <c r="BT203" s="236"/>
      <c r="BU203" s="236"/>
      <c r="BV203" s="236"/>
      <c r="CA203" s="236"/>
      <c r="CB203" s="236"/>
      <c r="CC203" s="236"/>
      <c r="CD203" s="236"/>
      <c r="CI203" s="236"/>
      <c r="CJ203" s="236"/>
      <c r="CK203" s="236"/>
      <c r="CL203" s="236"/>
      <c r="CM203" s="236"/>
      <c r="CN203" s="236"/>
      <c r="DE203" s="126"/>
    </row>
    <row r="204" spans="2:109" ht="19" thickBot="1" x14ac:dyDescent="0.25">
      <c r="B204" s="277">
        <v>10</v>
      </c>
      <c r="C204" s="278"/>
      <c r="D204" s="25">
        <v>10</v>
      </c>
      <c r="E204" s="257" t="s">
        <v>305</v>
      </c>
      <c r="F204" s="258"/>
      <c r="G204" s="258">
        <f t="shared" si="90"/>
        <v>10</v>
      </c>
      <c r="H204" s="1632">
        <v>251.073172</v>
      </c>
      <c r="I204" s="1633">
        <v>65.636175100000003</v>
      </c>
      <c r="J204" s="474">
        <f t="shared" si="77"/>
        <v>55.636175100000003</v>
      </c>
      <c r="K204" s="474">
        <f t="shared" si="78"/>
        <v>27.818087550000001</v>
      </c>
      <c r="L204" s="474">
        <f t="shared" si="66"/>
        <v>0.46666586807624966</v>
      </c>
      <c r="M204" s="474">
        <f t="shared" si="67"/>
        <v>117.16727976203754</v>
      </c>
      <c r="N204" s="474">
        <f t="shared" si="68"/>
        <v>234.33455952407508</v>
      </c>
      <c r="O204" s="474">
        <f>+C195+D196+D197+D198+D199+D200+D201+D202+D203+(D204/2)</f>
        <v>9</v>
      </c>
      <c r="P204" s="474">
        <f t="shared" si="69"/>
        <v>0.1564344650402307</v>
      </c>
      <c r="Q204" s="474">
        <f t="shared" si="70"/>
        <v>36.658001459586785</v>
      </c>
      <c r="R204" s="474">
        <f t="shared" si="79"/>
        <v>286.45409399665459</v>
      </c>
      <c r="S204" s="474">
        <f t="shared" si="91"/>
        <v>323.11209545624138</v>
      </c>
      <c r="T204" s="476">
        <f t="shared" si="71"/>
        <v>323.11209545624138</v>
      </c>
      <c r="V204" s="1635">
        <f t="shared" si="72"/>
        <v>0</v>
      </c>
      <c r="W204" s="437"/>
      <c r="X204" s="437"/>
      <c r="Y204" s="437"/>
      <c r="Z204" s="437"/>
      <c r="AA204" s="437"/>
      <c r="AB204" s="295" t="str">
        <f t="shared" si="73"/>
        <v>use the locking pin</v>
      </c>
      <c r="AC204" s="1636"/>
      <c r="AD204" s="1636"/>
      <c r="AE204" s="1636"/>
      <c r="AF204" s="1637">
        <f>SUM(V204:V220)/($B$192-B203)</f>
        <v>0</v>
      </c>
      <c r="AG204" s="1638"/>
      <c r="AH204" s="450">
        <f>SUM(D196:D204)+$C$195</f>
        <v>14</v>
      </c>
      <c r="AI204" s="1639"/>
      <c r="AJ204" s="718">
        <f t="shared" si="80"/>
        <v>61.499008599999996</v>
      </c>
      <c r="AK204" s="1639">
        <f t="shared" si="74"/>
        <v>0.87880885615971105</v>
      </c>
      <c r="AL204" s="1639">
        <f t="shared" si="81"/>
        <v>255.4195263780579</v>
      </c>
      <c r="AM204" s="1640">
        <f t="shared" si="82"/>
        <v>71.181912400000002</v>
      </c>
      <c r="AN204" s="1639">
        <f t="shared" si="83"/>
        <v>0.94654747747751544</v>
      </c>
      <c r="AO204" s="1641">
        <f t="shared" si="84"/>
        <v>237.65267761887836</v>
      </c>
      <c r="AP204" s="287"/>
      <c r="AQ204" s="444">
        <f t="shared" si="85"/>
        <v>-234.4</v>
      </c>
      <c r="AR204" s="444"/>
      <c r="AS204" s="445">
        <f t="shared" si="86"/>
        <v>493.07220399693625</v>
      </c>
      <c r="AT204" s="445">
        <f t="shared" si="93"/>
        <v>-237.65267761887836</v>
      </c>
      <c r="AU204" s="445"/>
      <c r="AV204" s="447">
        <f t="shared" si="92"/>
        <v>237.65267761887836</v>
      </c>
      <c r="AW204" s="447">
        <f t="shared" si="87"/>
        <v>-121.42306237848437</v>
      </c>
      <c r="AX204" s="1597">
        <f t="shared" si="88"/>
        <v>-112.97693762151562</v>
      </c>
      <c r="AY204" s="1597">
        <f t="shared" si="75"/>
        <v>-95.533746001578919</v>
      </c>
      <c r="AZ204" s="1642">
        <f t="shared" si="76"/>
        <v>-88.513640133360937</v>
      </c>
      <c r="BA204" s="274">
        <f t="shared" si="89"/>
        <v>95.533746001578919</v>
      </c>
      <c r="BB204" s="275">
        <f t="shared" si="89"/>
        <v>88.513640133360937</v>
      </c>
      <c r="BD204" s="545"/>
      <c r="DE204" s="126"/>
    </row>
    <row r="205" spans="2:109" ht="19" thickBot="1" x14ac:dyDescent="0.25">
      <c r="B205" s="277">
        <v>11</v>
      </c>
      <c r="C205" s="278"/>
      <c r="D205" s="25">
        <v>0.5</v>
      </c>
      <c r="E205" s="257" t="s">
        <v>305</v>
      </c>
      <c r="F205" s="258"/>
      <c r="G205" s="258">
        <f t="shared" si="90"/>
        <v>0.5</v>
      </c>
      <c r="H205" s="1632">
        <v>251.073172</v>
      </c>
      <c r="I205" s="1633">
        <v>65.636175100000003</v>
      </c>
      <c r="J205" s="474">
        <f t="shared" si="77"/>
        <v>65.136175100000003</v>
      </c>
      <c r="K205" s="474">
        <f t="shared" si="78"/>
        <v>32.568087550000001</v>
      </c>
      <c r="L205" s="474">
        <f t="shared" si="66"/>
        <v>0.53830147457895938</v>
      </c>
      <c r="M205" s="474">
        <f t="shared" si="67"/>
        <v>135.15305871481669</v>
      </c>
      <c r="N205" s="474">
        <f t="shared" si="68"/>
        <v>270.30611742963339</v>
      </c>
      <c r="O205" s="474">
        <f>+C195+D196+D197+D198+D199+D200+D201+D202+D203+D204+(D205/2)</f>
        <v>14.25</v>
      </c>
      <c r="P205" s="474">
        <f t="shared" si="69"/>
        <v>0.24615329302899278</v>
      </c>
      <c r="Q205" s="474">
        <f t="shared" si="70"/>
        <v>66.536740931185875</v>
      </c>
      <c r="R205" s="474">
        <f t="shared" si="79"/>
        <v>323.11209545624138</v>
      </c>
      <c r="S205" s="474">
        <f t="shared" si="91"/>
        <v>389.64883638742725</v>
      </c>
      <c r="T205" s="476">
        <f t="shared" si="71"/>
        <v>389.64883638742725</v>
      </c>
      <c r="V205" s="1635">
        <f t="shared" si="72"/>
        <v>0</v>
      </c>
      <c r="W205" s="437"/>
      <c r="X205" s="437"/>
      <c r="Y205" s="437"/>
      <c r="Z205" s="437"/>
      <c r="AA205" s="437"/>
      <c r="AB205" s="295" t="str">
        <f t="shared" si="73"/>
        <v>use the locking pin</v>
      </c>
      <c r="AC205" s="1636"/>
      <c r="AD205" s="1636"/>
      <c r="AE205" s="1636"/>
      <c r="AF205" s="1637">
        <f>SUM(V205:V220)/($B$192-B204)</f>
        <v>0</v>
      </c>
      <c r="AG205" s="1638"/>
      <c r="AH205" s="450">
        <f>SUM(D196:D205)+$C$195</f>
        <v>14.5</v>
      </c>
      <c r="AI205" s="1639"/>
      <c r="AJ205" s="718">
        <f t="shared" si="80"/>
        <v>60.999008599999996</v>
      </c>
      <c r="AK205" s="1639">
        <f t="shared" si="74"/>
        <v>0.87461131825345362</v>
      </c>
      <c r="AL205" s="1639">
        <f t="shared" si="81"/>
        <v>254.19954192244452</v>
      </c>
      <c r="AM205" s="1640">
        <f t="shared" si="82"/>
        <v>71.681912400000002</v>
      </c>
      <c r="AN205" s="1639">
        <f t="shared" si="83"/>
        <v>0.9493263066291362</v>
      </c>
      <c r="AO205" s="1641">
        <f t="shared" si="84"/>
        <v>238.35036706842186</v>
      </c>
      <c r="AP205" s="287"/>
      <c r="AQ205" s="444">
        <f t="shared" si="85"/>
        <v>-263.7</v>
      </c>
      <c r="AR205" s="444"/>
      <c r="AS205" s="445">
        <f t="shared" si="86"/>
        <v>492.54990899086636</v>
      </c>
      <c r="AT205" s="445">
        <f t="shared" si="93"/>
        <v>-238.35036706842186</v>
      </c>
      <c r="AU205" s="445"/>
      <c r="AV205" s="447">
        <f t="shared" si="92"/>
        <v>238.35036706842186</v>
      </c>
      <c r="AW205" s="447">
        <f t="shared" si="87"/>
        <v>-136.09264357044401</v>
      </c>
      <c r="AX205" s="1597">
        <f t="shared" si="88"/>
        <v>-127.60735642955598</v>
      </c>
      <c r="AY205" s="1597">
        <f t="shared" si="75"/>
        <v>-85.236054614484956</v>
      </c>
      <c r="AZ205" s="1642">
        <f t="shared" si="76"/>
        <v>-78.365388013663406</v>
      </c>
      <c r="BA205" s="274">
        <f t="shared" si="89"/>
        <v>85.236054614484956</v>
      </c>
      <c r="BB205" s="275">
        <f t="shared" si="89"/>
        <v>78.365388013663406</v>
      </c>
      <c r="BD205" s="545"/>
      <c r="DE205" s="126"/>
    </row>
    <row r="206" spans="2:109" ht="19" thickBot="1" x14ac:dyDescent="0.25">
      <c r="B206" s="277">
        <v>12</v>
      </c>
      <c r="C206" s="278"/>
      <c r="D206" s="25">
        <v>0.5</v>
      </c>
      <c r="E206" s="257" t="s">
        <v>305</v>
      </c>
      <c r="F206" s="258"/>
      <c r="G206" s="258">
        <f t="shared" si="90"/>
        <v>0.5</v>
      </c>
      <c r="H206" s="1632">
        <v>251.073172</v>
      </c>
      <c r="I206" s="1633">
        <v>65.636175100000003</v>
      </c>
      <c r="J206" s="474">
        <f t="shared" si="77"/>
        <v>65.136175100000003</v>
      </c>
      <c r="K206" s="474">
        <f t="shared" si="78"/>
        <v>32.568087550000001</v>
      </c>
      <c r="L206" s="474">
        <f t="shared" si="66"/>
        <v>0.53830147457895938</v>
      </c>
      <c r="M206" s="474">
        <f t="shared" si="67"/>
        <v>135.15305871481669</v>
      </c>
      <c r="N206" s="474">
        <f t="shared" si="68"/>
        <v>270.30611742963339</v>
      </c>
      <c r="O206" s="474">
        <f>+C195+D196+D197+D198+D199+D200+D201+D202+D203+D204+D205+(D206/2)</f>
        <v>14.75</v>
      </c>
      <c r="P206" s="474">
        <f t="shared" si="69"/>
        <v>0.25460194820552734</v>
      </c>
      <c r="Q206" s="474">
        <f t="shared" si="70"/>
        <v>68.820464109456708</v>
      </c>
      <c r="R206" s="474">
        <f t="shared" si="79"/>
        <v>389.64883638742725</v>
      </c>
      <c r="S206" s="474">
        <f t="shared" si="91"/>
        <v>458.46930049688399</v>
      </c>
      <c r="T206" s="476">
        <f t="shared" si="71"/>
        <v>458.46930049688399</v>
      </c>
      <c r="V206" s="1635">
        <f t="shared" si="72"/>
        <v>0</v>
      </c>
      <c r="W206" s="437"/>
      <c r="X206" s="437"/>
      <c r="Y206" s="437"/>
      <c r="Z206" s="437"/>
      <c r="AA206" s="437"/>
      <c r="AB206" s="295" t="str">
        <f t="shared" si="73"/>
        <v>use the locking pin</v>
      </c>
      <c r="AC206" s="1636"/>
      <c r="AD206" s="1636"/>
      <c r="AE206" s="1636"/>
      <c r="AF206" s="1637">
        <f>SUM(V206:V220)/($B$192-B205)</f>
        <v>0</v>
      </c>
      <c r="AG206" s="1638"/>
      <c r="AH206" s="450">
        <f>SUM(D196:D206)+$C$195</f>
        <v>15</v>
      </c>
      <c r="AI206" s="1639"/>
      <c r="AJ206" s="718">
        <f t="shared" si="80"/>
        <v>60.499008599999996</v>
      </c>
      <c r="AK206" s="1639">
        <f t="shared" si="74"/>
        <v>0.87034717530911587</v>
      </c>
      <c r="AL206" s="1639">
        <f t="shared" si="81"/>
        <v>252.96019918754024</v>
      </c>
      <c r="AM206" s="1640">
        <f t="shared" si="82"/>
        <v>72.181912400000002</v>
      </c>
      <c r="AN206" s="1639">
        <f t="shared" si="83"/>
        <v>0.95203284090704099</v>
      </c>
      <c r="AO206" s="1641">
        <f t="shared" si="84"/>
        <v>239.02990521470213</v>
      </c>
      <c r="AP206" s="287"/>
      <c r="AQ206" s="444">
        <f t="shared" si="85"/>
        <v>-293</v>
      </c>
      <c r="AR206" s="444"/>
      <c r="AS206" s="445">
        <f t="shared" si="86"/>
        <v>491.99010440224237</v>
      </c>
      <c r="AT206" s="445">
        <f t="shared" si="93"/>
        <v>-239.02990521470213</v>
      </c>
      <c r="AU206" s="445"/>
      <c r="AV206" s="447">
        <f t="shared" si="92"/>
        <v>239.02990521470213</v>
      </c>
      <c r="AW206" s="447">
        <f t="shared" si="87"/>
        <v>-150.64802665492692</v>
      </c>
      <c r="AX206" s="1597">
        <f t="shared" si="88"/>
        <v>-142.35197334507308</v>
      </c>
      <c r="AY206" s="1597">
        <f t="shared" si="75"/>
        <v>-77.000676726890418</v>
      </c>
      <c r="AZ206" s="1642">
        <f t="shared" si="76"/>
        <v>-70.248411490293606</v>
      </c>
      <c r="BA206" s="274">
        <f t="shared" si="89"/>
        <v>77.000676726890418</v>
      </c>
      <c r="BB206" s="275">
        <f t="shared" si="89"/>
        <v>70.248411490293606</v>
      </c>
      <c r="BD206" s="545"/>
      <c r="DE206" s="211"/>
    </row>
    <row r="207" spans="2:109" ht="19" thickBot="1" x14ac:dyDescent="0.25">
      <c r="B207" s="277">
        <v>13</v>
      </c>
      <c r="C207" s="278"/>
      <c r="D207" s="25">
        <v>0.5</v>
      </c>
      <c r="E207" s="257" t="s">
        <v>305</v>
      </c>
      <c r="F207" s="258"/>
      <c r="G207" s="258">
        <f t="shared" si="90"/>
        <v>0.5</v>
      </c>
      <c r="H207" s="1632">
        <v>251.073172</v>
      </c>
      <c r="I207" s="1633">
        <v>65.636175100000003</v>
      </c>
      <c r="J207" s="474">
        <f t="shared" si="77"/>
        <v>65.136175100000003</v>
      </c>
      <c r="K207" s="474">
        <f t="shared" si="78"/>
        <v>32.568087550000001</v>
      </c>
      <c r="L207" s="474">
        <f t="shared" si="66"/>
        <v>0.53830147457895938</v>
      </c>
      <c r="M207" s="474">
        <f t="shared" si="67"/>
        <v>135.15305871481669</v>
      </c>
      <c r="N207" s="474">
        <f t="shared" si="68"/>
        <v>270.30611742963339</v>
      </c>
      <c r="O207" s="474">
        <f>+C195+D196+D197+D198+D199+D200+D201+D202+D203+D204+D205+D206+(D207/2)</f>
        <v>15.25</v>
      </c>
      <c r="P207" s="474">
        <f t="shared" si="69"/>
        <v>0.2630312144579745</v>
      </c>
      <c r="Q207" s="474">
        <f t="shared" si="70"/>
        <v>71.098946342936344</v>
      </c>
      <c r="R207" s="474">
        <f t="shared" si="79"/>
        <v>458.46930049688399</v>
      </c>
      <c r="S207" s="474">
        <f t="shared" si="91"/>
        <v>529.56824683982029</v>
      </c>
      <c r="T207" s="476">
        <f t="shared" si="71"/>
        <v>529.56824683982029</v>
      </c>
      <c r="V207" s="1635">
        <f t="shared" si="72"/>
        <v>0</v>
      </c>
      <c r="W207" s="437"/>
      <c r="X207" s="437"/>
      <c r="Y207" s="437"/>
      <c r="Z207" s="437"/>
      <c r="AA207" s="437"/>
      <c r="AB207" s="295" t="str">
        <f t="shared" si="73"/>
        <v>use the locking pin</v>
      </c>
      <c r="AC207" s="1636"/>
      <c r="AD207" s="1636"/>
      <c r="AE207" s="1636"/>
      <c r="AF207" s="1637">
        <f>SUM(V207:V220)/($B$192-B206)</f>
        <v>0</v>
      </c>
      <c r="AG207" s="1638"/>
      <c r="AH207" s="450">
        <f>SUM(D196:D207)+$C$195</f>
        <v>15.5</v>
      </c>
      <c r="AI207" s="1639"/>
      <c r="AJ207" s="718">
        <f t="shared" si="80"/>
        <v>59.999008599999996</v>
      </c>
      <c r="AK207" s="1639">
        <f t="shared" si="74"/>
        <v>0.86601675205769213</v>
      </c>
      <c r="AL207" s="1639">
        <f t="shared" si="81"/>
        <v>251.70159255409257</v>
      </c>
      <c r="AM207" s="1640">
        <f t="shared" si="82"/>
        <v>72.681912400000002</v>
      </c>
      <c r="AN207" s="1639">
        <f t="shared" si="83"/>
        <v>0.95466687419816565</v>
      </c>
      <c r="AO207" s="1641">
        <f t="shared" si="84"/>
        <v>239.69124030825841</v>
      </c>
      <c r="AP207" s="287"/>
      <c r="AQ207" s="444">
        <f t="shared" si="85"/>
        <v>-322.3</v>
      </c>
      <c r="AR207" s="444"/>
      <c r="AS207" s="445">
        <f t="shared" si="86"/>
        <v>491.39283286235099</v>
      </c>
      <c r="AT207" s="445">
        <f t="shared" si="93"/>
        <v>-239.69124030825841</v>
      </c>
      <c r="AU207" s="445"/>
      <c r="AV207" s="447">
        <f t="shared" si="92"/>
        <v>239.69124030825841</v>
      </c>
      <c r="AW207" s="447">
        <f t="shared" si="87"/>
        <v>-165.08873930383174</v>
      </c>
      <c r="AX207" s="1597">
        <f t="shared" si="88"/>
        <v>-157.21126069616824</v>
      </c>
      <c r="AY207" s="1597">
        <f t="shared" si="75"/>
        <v>-70.265240675508394</v>
      </c>
      <c r="AZ207" s="1642">
        <f t="shared" si="76"/>
        <v>-63.608675076566783</v>
      </c>
      <c r="BA207" s="274">
        <f t="shared" si="89"/>
        <v>70.265240675508394</v>
      </c>
      <c r="BB207" s="275">
        <f t="shared" si="89"/>
        <v>63.608675076566783</v>
      </c>
      <c r="BD207" s="545"/>
      <c r="DE207" s="126"/>
    </row>
    <row r="208" spans="2:109" ht="19" thickBot="1" x14ac:dyDescent="0.25">
      <c r="B208" s="277">
        <v>14</v>
      </c>
      <c r="C208" s="278"/>
      <c r="D208" s="25">
        <v>0.5</v>
      </c>
      <c r="E208" s="257" t="s">
        <v>305</v>
      </c>
      <c r="F208" s="258"/>
      <c r="G208" s="258">
        <f t="shared" si="90"/>
        <v>0.5</v>
      </c>
      <c r="H208" s="1632">
        <v>251.073172</v>
      </c>
      <c r="I208" s="1633">
        <v>65.636175100000003</v>
      </c>
      <c r="J208" s="474">
        <f t="shared" si="77"/>
        <v>65.136175100000003</v>
      </c>
      <c r="K208" s="474">
        <f t="shared" si="78"/>
        <v>32.568087550000001</v>
      </c>
      <c r="L208" s="474">
        <f t="shared" si="66"/>
        <v>0.53830147457895938</v>
      </c>
      <c r="M208" s="474">
        <f t="shared" si="67"/>
        <v>135.15305871481669</v>
      </c>
      <c r="N208" s="474">
        <f t="shared" si="68"/>
        <v>270.30611742963339</v>
      </c>
      <c r="O208" s="474">
        <f>+C195+D196+D197+D198+D199+D200+D201+D202+D203+D204+D205+D206+D207+(D208/2)</f>
        <v>15.75</v>
      </c>
      <c r="P208" s="474">
        <f t="shared" si="69"/>
        <v>0.27144044986507398</v>
      </c>
      <c r="Q208" s="474">
        <f t="shared" si="70"/>
        <v>73.372014116381209</v>
      </c>
      <c r="R208" s="474">
        <f t="shared" si="79"/>
        <v>529.56824683982029</v>
      </c>
      <c r="S208" s="474">
        <f t="shared" si="91"/>
        <v>602.94026095620154</v>
      </c>
      <c r="T208" s="476">
        <f t="shared" si="71"/>
        <v>602.94026095620154</v>
      </c>
      <c r="V208" s="1635">
        <f t="shared" si="72"/>
        <v>0</v>
      </c>
      <c r="W208" s="437"/>
      <c r="X208" s="437"/>
      <c r="Y208" s="437"/>
      <c r="Z208" s="437"/>
      <c r="AA208" s="437"/>
      <c r="AB208" s="295" t="str">
        <f t="shared" si="73"/>
        <v>use the locking pin</v>
      </c>
      <c r="AC208" s="1636"/>
      <c r="AD208" s="1636"/>
      <c r="AE208" s="1636"/>
      <c r="AF208" s="1637">
        <f>SUM(V208:V220)/($B$192-B207)</f>
        <v>0</v>
      </c>
      <c r="AG208" s="1638"/>
      <c r="AH208" s="450">
        <f>SUM(D196:D208)+$C$195</f>
        <v>16</v>
      </c>
      <c r="AI208" s="1639"/>
      <c r="AJ208" s="718">
        <f t="shared" si="80"/>
        <v>59.499008599999996</v>
      </c>
      <c r="AK208" s="1639">
        <f t="shared" si="74"/>
        <v>0.86162037827767901</v>
      </c>
      <c r="AL208" s="1639">
        <f t="shared" si="81"/>
        <v>250.42381786986954</v>
      </c>
      <c r="AM208" s="1640">
        <f t="shared" si="82"/>
        <v>73.181912400000002</v>
      </c>
      <c r="AN208" s="1639">
        <f t="shared" si="83"/>
        <v>0.95722820591067703</v>
      </c>
      <c r="AO208" s="1641">
        <f t="shared" si="84"/>
        <v>240.33432198586283</v>
      </c>
      <c r="AP208" s="287"/>
      <c r="AQ208" s="444">
        <f t="shared" si="85"/>
        <v>-351.6</v>
      </c>
      <c r="AR208" s="444"/>
      <c r="AS208" s="445">
        <f t="shared" si="86"/>
        <v>490.75813985573234</v>
      </c>
      <c r="AT208" s="445">
        <f t="shared" si="93"/>
        <v>-240.33432198586283</v>
      </c>
      <c r="AU208" s="445"/>
      <c r="AV208" s="447">
        <f t="shared" si="92"/>
        <v>240.33432198586283</v>
      </c>
      <c r="AW208" s="447">
        <f t="shared" si="87"/>
        <v>-179.41427194448534</v>
      </c>
      <c r="AX208" s="1597">
        <f t="shared" si="88"/>
        <v>-172.18572805551469</v>
      </c>
      <c r="AY208" s="1597">
        <f t="shared" si="75"/>
        <v>-64.654834168316839</v>
      </c>
      <c r="AZ208" s="1642">
        <f t="shared" si="76"/>
        <v>-58.076822701448769</v>
      </c>
      <c r="BA208" s="274">
        <f t="shared" si="89"/>
        <v>64.654834168316839</v>
      </c>
      <c r="BB208" s="275">
        <f t="shared" si="89"/>
        <v>58.076822701448769</v>
      </c>
      <c r="BD208" s="545"/>
    </row>
    <row r="209" spans="2:65" ht="19" thickBot="1" x14ac:dyDescent="0.25">
      <c r="B209" s="277">
        <v>15</v>
      </c>
      <c r="C209" s="278"/>
      <c r="D209" s="25">
        <v>0.5</v>
      </c>
      <c r="E209" s="257" t="s">
        <v>305</v>
      </c>
      <c r="F209" s="258"/>
      <c r="G209" s="258">
        <f t="shared" si="90"/>
        <v>0.5</v>
      </c>
      <c r="H209" s="1632">
        <v>251.073172</v>
      </c>
      <c r="I209" s="1633">
        <v>65.636175100000003</v>
      </c>
      <c r="J209" s="474">
        <f t="shared" si="77"/>
        <v>65.136175100000003</v>
      </c>
      <c r="K209" s="474">
        <f t="shared" si="78"/>
        <v>32.568087550000001</v>
      </c>
      <c r="L209" s="474">
        <f t="shared" si="66"/>
        <v>0.53830147457895938</v>
      </c>
      <c r="M209" s="474">
        <f t="shared" si="67"/>
        <v>135.15305871481669</v>
      </c>
      <c r="N209" s="474">
        <f t="shared" si="68"/>
        <v>270.30611742963339</v>
      </c>
      <c r="O209" s="474">
        <f>+C195+D196+D197+D198+D199+D200+D201+D202+D203+D204+D205+D206+D207+D208+(D209/2)</f>
        <v>16.25</v>
      </c>
      <c r="P209" s="474">
        <f t="shared" si="69"/>
        <v>0.27982901403099181</v>
      </c>
      <c r="Q209" s="474">
        <f t="shared" si="70"/>
        <v>75.639494326879799</v>
      </c>
      <c r="R209" s="474">
        <f t="shared" si="79"/>
        <v>602.94026095620154</v>
      </c>
      <c r="S209" s="474">
        <f t="shared" si="91"/>
        <v>678.57975528308134</v>
      </c>
      <c r="T209" s="476">
        <f t="shared" si="71"/>
        <v>678.57975528308134</v>
      </c>
      <c r="V209" s="1635">
        <f t="shared" si="72"/>
        <v>0</v>
      </c>
      <c r="W209" s="437"/>
      <c r="X209" s="437"/>
      <c r="Y209" s="437"/>
      <c r="Z209" s="437"/>
      <c r="AA209" s="437"/>
      <c r="AB209" s="295" t="str">
        <f t="shared" si="73"/>
        <v>use the locking pin</v>
      </c>
      <c r="AC209" s="1636"/>
      <c r="AD209" s="1636"/>
      <c r="AE209" s="1636"/>
      <c r="AF209" s="1637">
        <f>SUM(V209:V220)/($B$192-B208)</f>
        <v>0</v>
      </c>
      <c r="AG209" s="1638"/>
      <c r="AH209" s="450">
        <f>SUM(D196:D209)+$C$195</f>
        <v>16.5</v>
      </c>
      <c r="AI209" s="1639"/>
      <c r="AJ209" s="718">
        <f t="shared" si="80"/>
        <v>58.999008599999996</v>
      </c>
      <c r="AK209" s="1639">
        <f t="shared" si="74"/>
        <v>0.8571583887699612</v>
      </c>
      <c r="AL209" s="1639">
        <f t="shared" si="81"/>
        <v>249.12697244236054</v>
      </c>
      <c r="AM209" s="1640">
        <f t="shared" si="82"/>
        <v>73.681912400000002</v>
      </c>
      <c r="AN209" s="1639">
        <f t="shared" si="83"/>
        <v>0.95971664098924869</v>
      </c>
      <c r="AO209" s="1641">
        <f t="shared" si="84"/>
        <v>240.95910127435587</v>
      </c>
      <c r="AP209" s="287"/>
      <c r="AQ209" s="444">
        <f t="shared" si="85"/>
        <v>-380.90000000000003</v>
      </c>
      <c r="AR209" s="444"/>
      <c r="AS209" s="445">
        <f t="shared" si="86"/>
        <v>490.08607371671644</v>
      </c>
      <c r="AT209" s="445">
        <f t="shared" si="93"/>
        <v>-240.95910127435587</v>
      </c>
      <c r="AU209" s="445"/>
      <c r="AV209" s="447">
        <f t="shared" si="92"/>
        <v>240.95910127435587</v>
      </c>
      <c r="AW209" s="447">
        <f t="shared" si="87"/>
        <v>-193.62407726391686</v>
      </c>
      <c r="AX209" s="1597">
        <f t="shared" si="88"/>
        <v>-187.2759227360832</v>
      </c>
      <c r="AY209" s="1597">
        <f t="shared" si="75"/>
        <v>-59.909904614748747</v>
      </c>
      <c r="AZ209" s="1642">
        <f t="shared" si="76"/>
        <v>-53.397147128690982</v>
      </c>
      <c r="BA209" s="274">
        <f t="shared" si="89"/>
        <v>59.909904614748747</v>
      </c>
      <c r="BB209" s="275">
        <f t="shared" si="89"/>
        <v>53.397147128690982</v>
      </c>
      <c r="BD209" s="545"/>
      <c r="BF209" s="136"/>
      <c r="BG209" s="136"/>
      <c r="BH209" s="136"/>
      <c r="BI209" s="136"/>
      <c r="BJ209" s="136"/>
      <c r="BK209" s="136"/>
      <c r="BL209" s="212"/>
      <c r="BM209"/>
    </row>
    <row r="210" spans="2:65" ht="19" thickBot="1" x14ac:dyDescent="0.25">
      <c r="B210" s="277">
        <v>16</v>
      </c>
      <c r="C210" s="278"/>
      <c r="D210" s="25">
        <v>0.5</v>
      </c>
      <c r="E210" s="257" t="s">
        <v>305</v>
      </c>
      <c r="F210" s="258"/>
      <c r="G210" s="258">
        <f t="shared" si="90"/>
        <v>0.5</v>
      </c>
      <c r="H210" s="1632">
        <v>251.073172</v>
      </c>
      <c r="I210" s="1633">
        <v>65.636175100000003</v>
      </c>
      <c r="J210" s="474">
        <f t="shared" si="77"/>
        <v>65.136175100000003</v>
      </c>
      <c r="K210" s="474">
        <f t="shared" si="78"/>
        <v>32.568087550000001</v>
      </c>
      <c r="L210" s="474">
        <f t="shared" si="66"/>
        <v>0.53830147457895938</v>
      </c>
      <c r="M210" s="474">
        <f t="shared" si="67"/>
        <v>135.15305871481669</v>
      </c>
      <c r="N210" s="474">
        <f t="shared" si="68"/>
        <v>270.30611742963339</v>
      </c>
      <c r="O210" s="474">
        <f>+C195+D196+D197+D198+D199+D200+D201+D202+D203+D204+D205+D206+D207+D208+D209+(D210/2)</f>
        <v>16.75</v>
      </c>
      <c r="P210" s="474">
        <f t="shared" si="69"/>
        <v>0.288196268134089</v>
      </c>
      <c r="Q210" s="474">
        <f t="shared" si="70"/>
        <v>77.901214297035168</v>
      </c>
      <c r="R210" s="474">
        <f t="shared" si="79"/>
        <v>678.57975528308134</v>
      </c>
      <c r="S210" s="474">
        <f t="shared" si="91"/>
        <v>756.48096958011649</v>
      </c>
      <c r="T210" s="476">
        <f t="shared" si="71"/>
        <v>756.48096958011649</v>
      </c>
      <c r="V210" s="1635">
        <f t="shared" si="72"/>
        <v>0</v>
      </c>
      <c r="W210" s="437"/>
      <c r="X210" s="437"/>
      <c r="Y210" s="437"/>
      <c r="Z210" s="437"/>
      <c r="AA210" s="437"/>
      <c r="AB210" s="295" t="str">
        <f t="shared" si="73"/>
        <v>use the locking pin</v>
      </c>
      <c r="AC210" s="1636"/>
      <c r="AD210" s="1636"/>
      <c r="AE210" s="1636"/>
      <c r="AF210" s="1637">
        <f>SUM(V210:V220)/($B$192-B209)</f>
        <v>0</v>
      </c>
      <c r="AG210" s="1638"/>
      <c r="AH210" s="450">
        <f>SUM(D196:D210)+$C$195</f>
        <v>17</v>
      </c>
      <c r="AI210" s="1639"/>
      <c r="AJ210" s="718">
        <f t="shared" si="80"/>
        <v>58.499008599999996</v>
      </c>
      <c r="AK210" s="1639">
        <f t="shared" si="74"/>
        <v>0.85263112333231494</v>
      </c>
      <c r="AL210" s="1639">
        <f t="shared" si="81"/>
        <v>247.81115503136576</v>
      </c>
      <c r="AM210" s="1640">
        <f t="shared" si="82"/>
        <v>74.181912400000002</v>
      </c>
      <c r="AN210" s="1639">
        <f t="shared" si="83"/>
        <v>0.96213198992991489</v>
      </c>
      <c r="AO210" s="1641">
        <f t="shared" si="84"/>
        <v>241.56553059437579</v>
      </c>
      <c r="AP210" s="287"/>
      <c r="AQ210" s="444">
        <f t="shared" si="85"/>
        <v>-410.2</v>
      </c>
      <c r="AR210" s="444"/>
      <c r="AS210" s="445">
        <f t="shared" si="86"/>
        <v>489.37668562574152</v>
      </c>
      <c r="AT210" s="445">
        <f t="shared" si="93"/>
        <v>-241.56553059437579</v>
      </c>
      <c r="AU210" s="445"/>
      <c r="AV210" s="447">
        <f t="shared" si="92"/>
        <v>241.56553059437579</v>
      </c>
      <c r="AW210" s="447">
        <f t="shared" si="87"/>
        <v>-207.71756967516487</v>
      </c>
      <c r="AX210" s="1597">
        <f t="shared" si="88"/>
        <v>-202.48243032483512</v>
      </c>
      <c r="AY210" s="1597">
        <f t="shared" si="75"/>
        <v>-55.845059318479592</v>
      </c>
      <c r="AZ210" s="1642">
        <f t="shared" si="76"/>
        <v>-49.387001054646412</v>
      </c>
      <c r="BA210" s="274">
        <f t="shared" si="89"/>
        <v>55.845059318479592</v>
      </c>
      <c r="BB210" s="275">
        <f t="shared" si="89"/>
        <v>49.387001054646412</v>
      </c>
      <c r="BD210" s="545"/>
      <c r="BF210" s="136"/>
      <c r="BG210" s="136"/>
      <c r="BH210" s="297" t="s">
        <v>122</v>
      </c>
      <c r="BI210" s="136"/>
      <c r="BJ210" s="136"/>
      <c r="BK210" s="136"/>
      <c r="BL210" s="136"/>
      <c r="BM210" s="136"/>
    </row>
    <row r="211" spans="2:65" ht="21" thickBot="1" x14ac:dyDescent="0.35">
      <c r="B211" s="277">
        <v>17</v>
      </c>
      <c r="C211" s="278"/>
      <c r="D211" s="25">
        <v>0.5</v>
      </c>
      <c r="E211" s="257" t="s">
        <v>305</v>
      </c>
      <c r="F211" s="258"/>
      <c r="G211" s="258">
        <f t="shared" si="90"/>
        <v>0.5</v>
      </c>
      <c r="H211" s="1632">
        <v>251.073172</v>
      </c>
      <c r="I211" s="1633">
        <v>65.636175100000003</v>
      </c>
      <c r="J211" s="474">
        <f t="shared" si="77"/>
        <v>65.136175100000003</v>
      </c>
      <c r="K211" s="474">
        <f t="shared" si="78"/>
        <v>32.568087550000001</v>
      </c>
      <c r="L211" s="474">
        <f t="shared" si="66"/>
        <v>0.53830147457895938</v>
      </c>
      <c r="M211" s="474">
        <f t="shared" si="67"/>
        <v>135.15305871481669</v>
      </c>
      <c r="N211" s="474">
        <f t="shared" si="68"/>
        <v>270.30611742963339</v>
      </c>
      <c r="O211" s="474">
        <f>+C195+D196+D197+D198+D199+D200+D201+D202+D203+D204+D205+D206+D207+D208+D209+D210+(D211/2)</f>
        <v>17.25</v>
      </c>
      <c r="P211" s="474">
        <f t="shared" si="69"/>
        <v>0.29654157497557065</v>
      </c>
      <c r="Q211" s="474">
        <f t="shared" si="70"/>
        <v>80.157001788115039</v>
      </c>
      <c r="R211" s="474">
        <f t="shared" si="79"/>
        <v>756.48096958011649</v>
      </c>
      <c r="S211" s="474">
        <f t="shared" si="91"/>
        <v>836.63797136823155</v>
      </c>
      <c r="T211" s="476">
        <f t="shared" si="71"/>
        <v>836.63797136823155</v>
      </c>
      <c r="V211" s="1635">
        <f t="shared" si="72"/>
        <v>0</v>
      </c>
      <c r="W211" s="437"/>
      <c r="X211" s="437"/>
      <c r="Y211" s="437"/>
      <c r="Z211" s="437"/>
      <c r="AA211" s="437"/>
      <c r="AB211" s="295" t="str">
        <f t="shared" si="73"/>
        <v>use the locking pin</v>
      </c>
      <c r="AC211" s="1636"/>
      <c r="AD211" s="1636"/>
      <c r="AE211" s="1636"/>
      <c r="AF211" s="1637">
        <f>SUM(V211:V220)/($B$192-B210)</f>
        <v>0</v>
      </c>
      <c r="AG211" s="1638"/>
      <c r="AH211" s="450">
        <f>SUM(D196:D211)+$C$195</f>
        <v>17.5</v>
      </c>
      <c r="AI211" s="1639"/>
      <c r="AJ211" s="718">
        <f t="shared" si="80"/>
        <v>57.999008599999996</v>
      </c>
      <c r="AK211" s="1639">
        <f t="shared" si="74"/>
        <v>0.84803892673353121</v>
      </c>
      <c r="AL211" s="1639">
        <f t="shared" si="81"/>
        <v>246.4764658414754</v>
      </c>
      <c r="AM211" s="1640">
        <f t="shared" si="82"/>
        <v>74.681912400000002</v>
      </c>
      <c r="AN211" s="1639">
        <f t="shared" si="83"/>
        <v>0.96447406879450248</v>
      </c>
      <c r="AO211" s="1641">
        <f t="shared" si="84"/>
        <v>242.15356376398196</v>
      </c>
      <c r="AP211" s="287"/>
      <c r="AQ211" s="444">
        <f t="shared" si="85"/>
        <v>-439.5</v>
      </c>
      <c r="AR211" s="444"/>
      <c r="AS211" s="445">
        <f t="shared" si="86"/>
        <v>488.63002960545737</v>
      </c>
      <c r="AT211" s="445">
        <f t="shared" si="93"/>
        <v>-242.15356376398196</v>
      </c>
      <c r="AU211" s="445"/>
      <c r="AV211" s="447">
        <f t="shared" si="92"/>
        <v>242.15356376398196</v>
      </c>
      <c r="AW211" s="447">
        <f t="shared" si="87"/>
        <v>-221.69412474463806</v>
      </c>
      <c r="AX211" s="1597">
        <f t="shared" si="88"/>
        <v>-217.80587525536197</v>
      </c>
      <c r="AY211" s="1597">
        <f t="shared" si="75"/>
        <v>-52.324345597167479</v>
      </c>
      <c r="AZ211" s="1642">
        <f t="shared" si="76"/>
        <v>-45.912443767991604</v>
      </c>
      <c r="BA211" s="274">
        <f t="shared" si="89"/>
        <v>52.324345597167479</v>
      </c>
      <c r="BB211" s="275">
        <f t="shared" si="89"/>
        <v>45.912443767991604</v>
      </c>
      <c r="BD211" s="545"/>
      <c r="BF211" s="298">
        <v>1</v>
      </c>
      <c r="BG211" s="1657">
        <v>-473</v>
      </c>
      <c r="BH211" s="300">
        <f>+COS(($B$132*-1)*3.14159265358979/180)*BG211</f>
        <v>-473</v>
      </c>
      <c r="BI211" s="301">
        <f t="shared" ref="BI211:BI247" si="94">+BH211-D$3</f>
        <v>-695.4773579361057</v>
      </c>
      <c r="BJ211" s="302">
        <f t="shared" ref="BJ211:BJ247" si="95">ABS(BI211)</f>
        <v>695.4773579361057</v>
      </c>
      <c r="BK211" s="303">
        <f>MIN(BJ211:BJ247)</f>
        <v>7.477357936105733</v>
      </c>
      <c r="BL211" s="302" t="b">
        <f>IF(BK211=BJ211,BF211)</f>
        <v>0</v>
      </c>
      <c r="BM211" s="304">
        <v>1</v>
      </c>
    </row>
    <row r="212" spans="2:65" ht="21" thickBot="1" x14ac:dyDescent="0.35">
      <c r="B212" s="277">
        <v>18</v>
      </c>
      <c r="C212" s="278"/>
      <c r="D212" s="25">
        <v>0.5</v>
      </c>
      <c r="E212" s="257" t="s">
        <v>305</v>
      </c>
      <c r="F212" s="258"/>
      <c r="G212" s="258">
        <f t="shared" si="90"/>
        <v>0.5</v>
      </c>
      <c r="H212" s="1632">
        <v>251.073172</v>
      </c>
      <c r="I212" s="1633">
        <v>65.636175100000003</v>
      </c>
      <c r="J212" s="474">
        <f t="shared" si="77"/>
        <v>65.136175100000003</v>
      </c>
      <c r="K212" s="474">
        <f t="shared" si="78"/>
        <v>32.568087550000001</v>
      </c>
      <c r="L212" s="474">
        <f t="shared" si="66"/>
        <v>0.53830147457895938</v>
      </c>
      <c r="M212" s="474">
        <f t="shared" si="67"/>
        <v>135.15305871481669</v>
      </c>
      <c r="N212" s="474">
        <f t="shared" si="68"/>
        <v>270.30611742963339</v>
      </c>
      <c r="O212" s="474">
        <f>+C195+D196+D197+D198+D199+D200+D201+D202+D203+D204+D205+D206+D207+D208+D209+D210+D211+(D212/2)</f>
        <v>17.75</v>
      </c>
      <c r="P212" s="474">
        <f t="shared" si="69"/>
        <v>0.30486429902801054</v>
      </c>
      <c r="Q212" s="474">
        <f t="shared" si="70"/>
        <v>82.406685013168286</v>
      </c>
      <c r="R212" s="474">
        <f t="shared" si="79"/>
        <v>836.63797136823155</v>
      </c>
      <c r="S212" s="474">
        <f t="shared" si="91"/>
        <v>919.04465638139982</v>
      </c>
      <c r="T212" s="476">
        <f t="shared" si="71"/>
        <v>919.04465638139982</v>
      </c>
      <c r="V212" s="1635">
        <f t="shared" si="72"/>
        <v>0</v>
      </c>
      <c r="W212" s="437"/>
      <c r="X212" s="437"/>
      <c r="Y212" s="437"/>
      <c r="Z212" s="437"/>
      <c r="AA212" s="437"/>
      <c r="AB212" s="295" t="str">
        <f t="shared" si="73"/>
        <v>use the locking pin</v>
      </c>
      <c r="AC212" s="1636"/>
      <c r="AD212" s="1636"/>
      <c r="AE212" s="1636"/>
      <c r="AF212" s="1637">
        <f>SUM(V212:V220)/($B$192-B211)</f>
        <v>0</v>
      </c>
      <c r="AG212" s="1638"/>
      <c r="AH212" s="450">
        <f>SUM(D196:D212)+$C$195</f>
        <v>18</v>
      </c>
      <c r="AI212" s="1639"/>
      <c r="AJ212" s="718">
        <f t="shared" si="80"/>
        <v>57.499008599999996</v>
      </c>
      <c r="AK212" s="1639">
        <f t="shared" si="74"/>
        <v>0.84338214868716044</v>
      </c>
      <c r="AL212" s="1639">
        <f t="shared" si="81"/>
        <v>245.12300651443877</v>
      </c>
      <c r="AM212" s="1640">
        <f t="shared" si="82"/>
        <v>75.181912400000002</v>
      </c>
      <c r="AN212" s="1639">
        <f t="shared" si="83"/>
        <v>0.96674269922463818</v>
      </c>
      <c r="AO212" s="1641">
        <f t="shared" si="84"/>
        <v>242.72315600217186</v>
      </c>
      <c r="AP212" s="287"/>
      <c r="AQ212" s="444">
        <f t="shared" si="85"/>
        <v>-468.8</v>
      </c>
      <c r="AR212" s="444"/>
      <c r="AS212" s="445">
        <f t="shared" si="86"/>
        <v>487.84616251661066</v>
      </c>
      <c r="AT212" s="445">
        <f t="shared" si="93"/>
        <v>-242.72315600217186</v>
      </c>
      <c r="AU212" s="445"/>
      <c r="AV212" s="447">
        <f t="shared" si="92"/>
        <v>242.72315600217186</v>
      </c>
      <c r="AW212" s="447">
        <f t="shared" si="87"/>
        <v>-235.5530785794717</v>
      </c>
      <c r="AX212" s="1597">
        <f t="shared" si="88"/>
        <v>-233.24692142052831</v>
      </c>
      <c r="AY212" s="1597">
        <f t="shared" si="75"/>
        <v>-49.245800861338999</v>
      </c>
      <c r="AZ212" s="1642">
        <f t="shared" si="76"/>
        <v>-42.873020312969885</v>
      </c>
      <c r="BA212" s="274">
        <f t="shared" ref="BA212:BB220" si="96">ABS(AY212)</f>
        <v>49.245800861338999</v>
      </c>
      <c r="BB212" s="275">
        <f t="shared" si="96"/>
        <v>42.873020312969885</v>
      </c>
      <c r="BF212" s="298">
        <v>2</v>
      </c>
      <c r="BG212" s="1657">
        <f>+BG211+43</f>
        <v>-430</v>
      </c>
      <c r="BH212" s="42">
        <f>+BH211+$E$2</f>
        <v>-430</v>
      </c>
      <c r="BI212" s="301">
        <f t="shared" si="94"/>
        <v>-652.4773579361057</v>
      </c>
      <c r="BJ212" s="302">
        <f t="shared" si="95"/>
        <v>652.4773579361057</v>
      </c>
      <c r="BK212" s="302">
        <f>+BK211</f>
        <v>7.477357936105733</v>
      </c>
      <c r="BL212" s="302" t="b">
        <f t="shared" ref="BL212:BL247" si="97">IF(BK212=BJ212,BF212)</f>
        <v>0</v>
      </c>
      <c r="BM212" s="304">
        <v>2</v>
      </c>
    </row>
    <row r="213" spans="2:65" ht="21" thickBot="1" x14ac:dyDescent="0.35">
      <c r="B213" s="277">
        <v>19</v>
      </c>
      <c r="C213" s="278"/>
      <c r="D213" s="25">
        <v>0.5</v>
      </c>
      <c r="E213" s="257" t="s">
        <v>305</v>
      </c>
      <c r="F213" s="258"/>
      <c r="G213" s="258">
        <f t="shared" si="90"/>
        <v>0.5</v>
      </c>
      <c r="H213" s="1632">
        <v>251.073172</v>
      </c>
      <c r="I213" s="1633">
        <v>65.636175100000003</v>
      </c>
      <c r="J213" s="474">
        <f t="shared" si="77"/>
        <v>65.136175100000003</v>
      </c>
      <c r="K213" s="474">
        <f t="shared" si="78"/>
        <v>32.568087550000001</v>
      </c>
      <c r="L213" s="474">
        <f t="shared" si="66"/>
        <v>0.53830147457895938</v>
      </c>
      <c r="M213" s="474">
        <f t="shared" si="67"/>
        <v>135.15305871481669</v>
      </c>
      <c r="N213" s="474">
        <f t="shared" si="68"/>
        <v>270.30611742963339</v>
      </c>
      <c r="O213" s="474">
        <f>+C195+D196+D197+D198+D199+D200+D201+D202+D203+D204+D205+D206+D207+D208+D209+D210+D211+D212+(D213/2)</f>
        <v>18.25</v>
      </c>
      <c r="P213" s="474">
        <f t="shared" si="69"/>
        <v>0.31316380648374925</v>
      </c>
      <c r="Q213" s="474">
        <f t="shared" si="70"/>
        <v>84.650092650107311</v>
      </c>
      <c r="R213" s="474">
        <f t="shared" si="79"/>
        <v>919.04465638139982</v>
      </c>
      <c r="S213" s="474">
        <f t="shared" si="91"/>
        <v>1003.6947490315072</v>
      </c>
      <c r="T213" s="476">
        <f t="shared" si="71"/>
        <v>1003.6947490315072</v>
      </c>
      <c r="V213" s="1635">
        <f t="shared" si="72"/>
        <v>0</v>
      </c>
      <c r="W213" s="437"/>
      <c r="X213" s="437"/>
      <c r="Y213" s="437"/>
      <c r="Z213" s="437"/>
      <c r="AA213" s="437"/>
      <c r="AB213" s="258" t="str">
        <f t="shared" si="73"/>
        <v>use the locking pin</v>
      </c>
      <c r="AC213" s="1636"/>
      <c r="AD213" s="1636"/>
      <c r="AE213" s="1636"/>
      <c r="AF213" s="1637">
        <f>SUM(V213:V220)/($B$192-B212)</f>
        <v>0</v>
      </c>
      <c r="AG213" s="1638"/>
      <c r="AH213" s="450">
        <f>SUM(D196:D213)+$C$195</f>
        <v>18.5</v>
      </c>
      <c r="AI213" s="1639"/>
      <c r="AJ213" s="718">
        <f t="shared" si="80"/>
        <v>56.999008599999996</v>
      </c>
      <c r="AK213" s="1639">
        <f t="shared" si="74"/>
        <v>0.83866114382488055</v>
      </c>
      <c r="AL213" s="1639">
        <f t="shared" si="81"/>
        <v>243.75088012142379</v>
      </c>
      <c r="AM213" s="1640">
        <f t="shared" si="82"/>
        <v>75.681912400000002</v>
      </c>
      <c r="AN213" s="1639">
        <f t="shared" si="83"/>
        <v>0.96893770845533134</v>
      </c>
      <c r="AO213" s="1641">
        <f t="shared" si="84"/>
        <v>243.27426393229126</v>
      </c>
      <c r="AP213" s="287"/>
      <c r="AQ213" s="444">
        <f t="shared" si="85"/>
        <v>-498.1</v>
      </c>
      <c r="AR213" s="444"/>
      <c r="AS213" s="445">
        <f t="shared" si="86"/>
        <v>487.02514405371505</v>
      </c>
      <c r="AT213" s="445">
        <f t="shared" si="93"/>
        <v>-243.27426393229126</v>
      </c>
      <c r="AU213" s="445"/>
      <c r="AV213" s="447">
        <f t="shared" si="92"/>
        <v>243.27426393229126</v>
      </c>
      <c r="AW213" s="447">
        <f t="shared" si="87"/>
        <v>-249.29372717374599</v>
      </c>
      <c r="AX213" s="1597">
        <f t="shared" si="88"/>
        <v>-248.806272826254</v>
      </c>
      <c r="AY213" s="1597">
        <f t="shared" si="75"/>
        <v>-46.531455610655399</v>
      </c>
      <c r="AZ213" s="1642">
        <f t="shared" si="76"/>
        <v>-40.191912713483653</v>
      </c>
      <c r="BA213" s="274">
        <f t="shared" si="96"/>
        <v>46.531455610655399</v>
      </c>
      <c r="BB213" s="275">
        <f t="shared" si="96"/>
        <v>40.191912713483653</v>
      </c>
      <c r="BF213" s="298">
        <v>3</v>
      </c>
      <c r="BG213" s="1657">
        <f t="shared" ref="BG213:BG247" si="98">+BG212+43</f>
        <v>-387</v>
      </c>
      <c r="BH213" s="42">
        <f t="shared" ref="BH213:BH247" si="99">+BH212+$E$2</f>
        <v>-387</v>
      </c>
      <c r="BI213" s="301">
        <f t="shared" si="94"/>
        <v>-609.4773579361057</v>
      </c>
      <c r="BJ213" s="302">
        <f t="shared" si="95"/>
        <v>609.4773579361057</v>
      </c>
      <c r="BK213" s="302">
        <f t="shared" ref="BK213:BK247" si="100">+BK212</f>
        <v>7.477357936105733</v>
      </c>
      <c r="BL213" s="302" t="b">
        <f t="shared" si="97"/>
        <v>0</v>
      </c>
      <c r="BM213" s="304">
        <v>3</v>
      </c>
    </row>
    <row r="214" spans="2:65" ht="21" thickBot="1" x14ac:dyDescent="0.35">
      <c r="B214" s="277">
        <v>20</v>
      </c>
      <c r="C214" s="278"/>
      <c r="D214" s="25">
        <v>0.5</v>
      </c>
      <c r="E214" s="257" t="s">
        <v>305</v>
      </c>
      <c r="F214" s="258"/>
      <c r="G214" s="258">
        <f t="shared" si="90"/>
        <v>0.5</v>
      </c>
      <c r="H214" s="1632">
        <v>251.073172</v>
      </c>
      <c r="I214" s="1633">
        <v>65.636175100000003</v>
      </c>
      <c r="J214" s="474">
        <f t="shared" si="77"/>
        <v>65.136175100000003</v>
      </c>
      <c r="K214" s="474">
        <f t="shared" si="78"/>
        <v>32.568087550000001</v>
      </c>
      <c r="L214" s="474">
        <f t="shared" si="66"/>
        <v>0.53830147457895938</v>
      </c>
      <c r="M214" s="474">
        <f t="shared" si="67"/>
        <v>135.15305871481669</v>
      </c>
      <c r="N214" s="474">
        <f t="shared" si="68"/>
        <v>270.30611742963339</v>
      </c>
      <c r="O214" s="64">
        <f>+C195+D196+D197+D198+D199+D200+D201+D202+D203+D204+D205+D206+D207+D208+D209+D210+D211+D212+D213+(D214/2)</f>
        <v>18.75</v>
      </c>
      <c r="P214" s="474">
        <f t="shared" si="69"/>
        <v>0.32143946530316125</v>
      </c>
      <c r="Q214" s="474">
        <f t="shared" si="70"/>
        <v>86.887053854754868</v>
      </c>
      <c r="R214" s="474">
        <f t="shared" si="79"/>
        <v>1003.6947490315072</v>
      </c>
      <c r="S214" s="474">
        <f t="shared" si="91"/>
        <v>1090.581802886262</v>
      </c>
      <c r="T214" s="476">
        <f t="shared" si="71"/>
        <v>1090.581802886262</v>
      </c>
      <c r="V214" s="1635">
        <f t="shared" si="72"/>
        <v>0</v>
      </c>
      <c r="W214" s="437"/>
      <c r="X214" s="437"/>
      <c r="Y214" s="437"/>
      <c r="Z214" s="437"/>
      <c r="AA214" s="437"/>
      <c r="AB214" s="281" t="str">
        <f t="shared" si="73"/>
        <v>use the locking pin</v>
      </c>
      <c r="AC214" s="1636"/>
      <c r="AD214" s="1636"/>
      <c r="AE214" s="1636"/>
      <c r="AF214" s="1637">
        <f>SUM(V214:V220)/($B$192-B213)</f>
        <v>0</v>
      </c>
      <c r="AG214" s="1638"/>
      <c r="AH214" s="450">
        <f>SUM(D196:D214)+$C$195</f>
        <v>19</v>
      </c>
      <c r="AI214" s="1639"/>
      <c r="AJ214" s="718">
        <f t="shared" si="80"/>
        <v>56.499008599999996</v>
      </c>
      <c r="AK214" s="1639">
        <f t="shared" si="74"/>
        <v>0.83387627166948974</v>
      </c>
      <c r="AL214" s="1639">
        <f t="shared" si="81"/>
        <v>242.36019115516766</v>
      </c>
      <c r="AM214" s="1640">
        <f t="shared" si="82"/>
        <v>76.181912400000002</v>
      </c>
      <c r="AN214" s="1639">
        <f t="shared" si="83"/>
        <v>0.97105892932813076</v>
      </c>
      <c r="AO214" s="1641">
        <f t="shared" si="84"/>
        <v>243.80684558533761</v>
      </c>
      <c r="AP214" s="287"/>
      <c r="AQ214" s="444">
        <f t="shared" si="85"/>
        <v>-527.4</v>
      </c>
      <c r="AR214" s="444"/>
      <c r="AS214" s="445">
        <f t="shared" si="86"/>
        <v>486.1670367405053</v>
      </c>
      <c r="AT214" s="445">
        <f t="shared" si="93"/>
        <v>-243.80684558533761</v>
      </c>
      <c r="AU214" s="445"/>
      <c r="AV214" s="447">
        <f t="shared" si="92"/>
        <v>243.80684558533761</v>
      </c>
      <c r="AW214" s="447">
        <f t="shared" si="87"/>
        <v>-262.91532571234472</v>
      </c>
      <c r="AX214" s="1597">
        <f t="shared" si="88"/>
        <v>-264.48467428765525</v>
      </c>
      <c r="AY214" s="1597">
        <f t="shared" si="75"/>
        <v>-44.120668768817012</v>
      </c>
      <c r="AZ214" s="1642">
        <f t="shared" si="76"/>
        <v>-37.809374123220216</v>
      </c>
      <c r="BA214" s="274">
        <f t="shared" si="96"/>
        <v>44.120668768817012</v>
      </c>
      <c r="BB214" s="275">
        <f t="shared" si="96"/>
        <v>37.809374123220216</v>
      </c>
      <c r="BF214" s="298">
        <v>4</v>
      </c>
      <c r="BG214" s="1657">
        <f t="shared" si="98"/>
        <v>-344</v>
      </c>
      <c r="BH214" s="42">
        <f t="shared" si="99"/>
        <v>-344</v>
      </c>
      <c r="BI214" s="301">
        <f t="shared" si="94"/>
        <v>-566.4773579361057</v>
      </c>
      <c r="BJ214" s="302">
        <f t="shared" si="95"/>
        <v>566.4773579361057</v>
      </c>
      <c r="BK214" s="302">
        <f t="shared" si="100"/>
        <v>7.477357936105733</v>
      </c>
      <c r="BL214" s="302" t="b">
        <f t="shared" si="97"/>
        <v>0</v>
      </c>
      <c r="BM214" s="304">
        <v>4</v>
      </c>
    </row>
    <row r="215" spans="2:65" ht="21" thickBot="1" x14ac:dyDescent="0.35">
      <c r="B215" s="277">
        <v>21</v>
      </c>
      <c r="C215" s="1644"/>
      <c r="D215" s="25">
        <v>0.5</v>
      </c>
      <c r="E215" s="257" t="s">
        <v>305</v>
      </c>
      <c r="F215" s="258"/>
      <c r="G215" s="258">
        <f t="shared" si="90"/>
        <v>0.5</v>
      </c>
      <c r="H215" s="1632">
        <v>251.073172</v>
      </c>
      <c r="I215" s="1633">
        <v>65.636175100000003</v>
      </c>
      <c r="J215" s="474">
        <f t="shared" si="77"/>
        <v>65.136175100000003</v>
      </c>
      <c r="K215" s="474">
        <f t="shared" si="78"/>
        <v>32.568087550000001</v>
      </c>
      <c r="L215" s="474">
        <f t="shared" si="66"/>
        <v>0.53830147457895938</v>
      </c>
      <c r="M215" s="474">
        <f t="shared" si="67"/>
        <v>135.15305871481669</v>
      </c>
      <c r="N215" s="474">
        <f t="shared" si="68"/>
        <v>270.30611742963339</v>
      </c>
      <c r="O215" s="1645">
        <f>+C195+D196+D197+D198+D199+D200+D201+D202+D203+D204+D205+D206+D207+D208+D209+D210+D211+D212+D213+D214+(D215/2)</f>
        <v>19.25</v>
      </c>
      <c r="P215" s="474">
        <f t="shared" si="69"/>
        <v>0.32969064526278691</v>
      </c>
      <c r="Q215" s="474">
        <f t="shared" si="70"/>
        <v>89.117398273854477</v>
      </c>
      <c r="R215" s="474">
        <f t="shared" si="79"/>
        <v>1090.581802886262</v>
      </c>
      <c r="S215" s="474">
        <f t="shared" si="91"/>
        <v>1179.6992011601164</v>
      </c>
      <c r="T215" s="476">
        <f t="shared" si="71"/>
        <v>1179.6992011601164</v>
      </c>
      <c r="V215" s="1635">
        <f t="shared" si="72"/>
        <v>0</v>
      </c>
      <c r="AB215" s="281" t="str">
        <f t="shared" si="73"/>
        <v>use the locking pin</v>
      </c>
      <c r="AF215" s="1637">
        <f>SUM(V215:V220)/($B$192-B214)</f>
        <v>0</v>
      </c>
      <c r="AG215" s="1646"/>
      <c r="AH215" s="450">
        <f>SUM(D196:D215)+$C$195</f>
        <v>19.5</v>
      </c>
      <c r="AI215" s="1639"/>
      <c r="AJ215" s="718">
        <f t="shared" si="80"/>
        <v>55.999008599999996</v>
      </c>
      <c r="AK215" s="1639">
        <f t="shared" si="74"/>
        <v>0.82902789660752807</v>
      </c>
      <c r="AL215" s="1639">
        <f t="shared" si="81"/>
        <v>240.95104552201946</v>
      </c>
      <c r="AM215" s="1640">
        <f t="shared" si="82"/>
        <v>76.681912400000002</v>
      </c>
      <c r="AN215" s="1639">
        <f t="shared" si="83"/>
        <v>0.97310620030385442</v>
      </c>
      <c r="AO215" s="1641">
        <f t="shared" si="84"/>
        <v>244.3208604031561</v>
      </c>
      <c r="AP215" s="287"/>
      <c r="AQ215" s="444">
        <f t="shared" si="85"/>
        <v>-556.70000000000005</v>
      </c>
      <c r="AR215" s="444"/>
      <c r="AS215" s="445">
        <f t="shared" si="86"/>
        <v>485.27190592517559</v>
      </c>
      <c r="AT215" s="64">
        <f t="shared" si="93"/>
        <v>-244.3208604031561</v>
      </c>
      <c r="AU215" s="445"/>
      <c r="AV215" s="447">
        <f t="shared" si="92"/>
        <v>244.3208604031561</v>
      </c>
      <c r="AW215" s="447">
        <f t="shared" si="87"/>
        <v>-276.41708783114882</v>
      </c>
      <c r="AX215" s="1597">
        <f t="shared" si="88"/>
        <v>-280.28291216885123</v>
      </c>
      <c r="AY215" s="1597">
        <f t="shared" si="75"/>
        <v>-41.965567653639184</v>
      </c>
      <c r="AZ215" s="1642">
        <f t="shared" si="76"/>
        <v>-35.678236402709011</v>
      </c>
      <c r="BA215" s="274">
        <f t="shared" si="96"/>
        <v>41.965567653639184</v>
      </c>
      <c r="BB215" s="275">
        <f t="shared" si="96"/>
        <v>35.678236402709011</v>
      </c>
      <c r="BF215" s="298">
        <v>5</v>
      </c>
      <c r="BG215" s="1657">
        <f t="shared" si="98"/>
        <v>-301</v>
      </c>
      <c r="BH215" s="42">
        <f t="shared" si="99"/>
        <v>-301</v>
      </c>
      <c r="BI215" s="301">
        <f t="shared" si="94"/>
        <v>-523.4773579361057</v>
      </c>
      <c r="BJ215" s="302">
        <f t="shared" si="95"/>
        <v>523.4773579361057</v>
      </c>
      <c r="BK215" s="302">
        <f t="shared" si="100"/>
        <v>7.477357936105733</v>
      </c>
      <c r="BL215" s="302" t="b">
        <f t="shared" si="97"/>
        <v>0</v>
      </c>
      <c r="BM215" s="304">
        <v>5</v>
      </c>
    </row>
    <row r="216" spans="2:65" ht="21" thickBot="1" x14ac:dyDescent="0.35">
      <c r="B216" s="277">
        <v>22</v>
      </c>
      <c r="C216" s="1644"/>
      <c r="D216" s="25">
        <v>0.5</v>
      </c>
      <c r="E216" s="257" t="s">
        <v>305</v>
      </c>
      <c r="F216" s="258"/>
      <c r="G216" s="258">
        <f t="shared" si="90"/>
        <v>0.5</v>
      </c>
      <c r="H216" s="1632">
        <v>251.073172</v>
      </c>
      <c r="I216" s="1633">
        <v>65.636175100000003</v>
      </c>
      <c r="J216" s="474">
        <f t="shared" si="77"/>
        <v>65.136175100000003</v>
      </c>
      <c r="K216" s="474">
        <f t="shared" si="78"/>
        <v>32.568087550000001</v>
      </c>
      <c r="L216" s="474">
        <f t="shared" si="66"/>
        <v>0.53830147457895938</v>
      </c>
      <c r="M216" s="474">
        <f t="shared" si="67"/>
        <v>135.15305871481669</v>
      </c>
      <c r="N216" s="474">
        <f t="shared" si="68"/>
        <v>270.30611742963339</v>
      </c>
      <c r="O216" s="1645">
        <f>+C195+D196+D197+D198+D199+D200+D201+D202+D203+D204+D205+D206+D207+D208+D209+D210+D211+D212+D213+D214+D215+(D216/2)</f>
        <v>19.75</v>
      </c>
      <c r="P216" s="474">
        <f t="shared" si="69"/>
        <v>0.33791671800332668</v>
      </c>
      <c r="Q216" s="474">
        <f t="shared" si="70"/>
        <v>91.340956058043531</v>
      </c>
      <c r="R216" s="474">
        <f t="shared" si="79"/>
        <v>1179.6992011601164</v>
      </c>
      <c r="S216" s="474">
        <f t="shared" si="91"/>
        <v>1271.0401572181599</v>
      </c>
      <c r="T216" s="476">
        <f t="shared" si="71"/>
        <v>1271.0401572181599</v>
      </c>
      <c r="V216" s="1635">
        <f t="shared" si="72"/>
        <v>0</v>
      </c>
      <c r="AB216" s="281" t="str">
        <f t="shared" si="73"/>
        <v>use the locking pin</v>
      </c>
      <c r="AF216" s="1637">
        <f>SUM(V216:V220)/($B$192-B215)</f>
        <v>0</v>
      </c>
      <c r="AG216" s="1646"/>
      <c r="AH216" s="450">
        <f>SUM(D196:D216)+$C$195</f>
        <v>20</v>
      </c>
      <c r="AI216" s="1639"/>
      <c r="AJ216" s="718">
        <f t="shared" si="80"/>
        <v>55.499008599999996</v>
      </c>
      <c r="AK216" s="1639">
        <f t="shared" si="74"/>
        <v>0.82411638786152763</v>
      </c>
      <c r="AL216" s="1639">
        <f t="shared" si="81"/>
        <v>239.52355053387478</v>
      </c>
      <c r="AM216" s="1640">
        <f t="shared" si="82"/>
        <v>77.181912400000002</v>
      </c>
      <c r="AN216" s="1639">
        <f t="shared" si="83"/>
        <v>0.97507936547489105</v>
      </c>
      <c r="AO216" s="1641">
        <f t="shared" si="84"/>
        <v>244.81626924152818</v>
      </c>
      <c r="AP216" s="287"/>
      <c r="AQ216" s="444">
        <f t="shared" si="85"/>
        <v>-586</v>
      </c>
      <c r="AR216" s="444"/>
      <c r="AS216" s="445">
        <f t="shared" si="86"/>
        <v>484.33981977540293</v>
      </c>
      <c r="AT216" s="64">
        <f t="shared" si="93"/>
        <v>-244.81626924152818</v>
      </c>
      <c r="AU216" s="445"/>
      <c r="AV216" s="447">
        <f t="shared" si="92"/>
        <v>244.81626924152818</v>
      </c>
      <c r="AW216" s="447">
        <f t="shared" si="87"/>
        <v>-289.7981848321669</v>
      </c>
      <c r="AX216" s="1597">
        <f t="shared" si="88"/>
        <v>-296.20181516783316</v>
      </c>
      <c r="AY216" s="1597">
        <f t="shared" si="75"/>
        <v>-40.0278559602366</v>
      </c>
      <c r="AZ216" s="1642">
        <f t="shared" si="76"/>
        <v>-33.760765423850707</v>
      </c>
      <c r="BA216" s="274">
        <f t="shared" si="96"/>
        <v>40.0278559602366</v>
      </c>
      <c r="BB216" s="275">
        <f t="shared" si="96"/>
        <v>33.760765423850707</v>
      </c>
      <c r="BF216" s="298">
        <v>6</v>
      </c>
      <c r="BG216" s="1657">
        <f t="shared" si="98"/>
        <v>-258</v>
      </c>
      <c r="BH216" s="42">
        <f t="shared" si="99"/>
        <v>-258</v>
      </c>
      <c r="BI216" s="301">
        <f t="shared" si="94"/>
        <v>-480.4773579361057</v>
      </c>
      <c r="BJ216" s="302">
        <f t="shared" si="95"/>
        <v>480.4773579361057</v>
      </c>
      <c r="BK216" s="302">
        <f t="shared" si="100"/>
        <v>7.477357936105733</v>
      </c>
      <c r="BL216" s="302" t="b">
        <f t="shared" si="97"/>
        <v>0</v>
      </c>
      <c r="BM216" s="304">
        <v>6</v>
      </c>
    </row>
    <row r="217" spans="2:65" ht="21" thickBot="1" x14ac:dyDescent="0.35">
      <c r="B217" s="277">
        <v>23</v>
      </c>
      <c r="C217" s="1644"/>
      <c r="D217" s="25">
        <v>0.5</v>
      </c>
      <c r="E217" s="257" t="s">
        <v>305</v>
      </c>
      <c r="F217" s="258"/>
      <c r="G217" s="258">
        <f t="shared" si="90"/>
        <v>0.5</v>
      </c>
      <c r="H217" s="1632">
        <v>251.073172</v>
      </c>
      <c r="I217" s="1633">
        <v>65.636175100000003</v>
      </c>
      <c r="J217" s="474">
        <f t="shared" si="77"/>
        <v>65.136175100000003</v>
      </c>
      <c r="K217" s="474">
        <f t="shared" si="78"/>
        <v>32.568087550000001</v>
      </c>
      <c r="L217" s="474">
        <f t="shared" si="66"/>
        <v>0.53830147457895938</v>
      </c>
      <c r="M217" s="474">
        <f t="shared" si="67"/>
        <v>135.15305871481669</v>
      </c>
      <c r="N217" s="474">
        <f t="shared" si="68"/>
        <v>270.30611742963339</v>
      </c>
      <c r="O217" s="1645">
        <f>+C195+D196+D197+D198+D199+D200+D201+D202+D203+D204+D205+D206+D207+D208+D209+D210+D211+D212+D213+D214+D215+D216+(D217/2)</f>
        <v>20.25</v>
      </c>
      <c r="P217" s="474">
        <f t="shared" si="69"/>
        <v>0.34611705707749263</v>
      </c>
      <c r="Q217" s="474">
        <f t="shared" si="70"/>
        <v>93.557557874787847</v>
      </c>
      <c r="R217" s="474">
        <f t="shared" si="79"/>
        <v>1271.0401572181599</v>
      </c>
      <c r="S217" s="474">
        <f t="shared" si="91"/>
        <v>1364.5977150929477</v>
      </c>
      <c r="T217" s="476">
        <f t="shared" si="71"/>
        <v>1364.5977150929477</v>
      </c>
      <c r="V217" s="1635">
        <f t="shared" si="72"/>
        <v>0</v>
      </c>
      <c r="AB217" s="281" t="str">
        <f t="shared" si="73"/>
        <v>use the locking pin</v>
      </c>
      <c r="AF217" s="1637">
        <f>SUM(V217:V220)/($B$192-B216)</f>
        <v>0</v>
      </c>
      <c r="AG217" s="1646"/>
      <c r="AH217" s="450">
        <f>SUM(D196:D217)+$C$195</f>
        <v>20.5</v>
      </c>
      <c r="AI217" s="1639"/>
      <c r="AJ217" s="718">
        <f t="shared" si="80"/>
        <v>54.999008599999996</v>
      </c>
      <c r="AK217" s="1639">
        <f t="shared" si="74"/>
        <v>0.8191421194618953</v>
      </c>
      <c r="AL217" s="1639">
        <f t="shared" si="81"/>
        <v>238.07781490000389</v>
      </c>
      <c r="AM217" s="1640">
        <f t="shared" si="82"/>
        <v>77.681912400000002</v>
      </c>
      <c r="AN217" s="1639">
        <f t="shared" si="83"/>
        <v>0.97697827457707354</v>
      </c>
      <c r="AO217" s="1641">
        <f t="shared" si="84"/>
        <v>245.29303437315281</v>
      </c>
      <c r="AP217" s="287"/>
      <c r="AQ217" s="444">
        <f t="shared" si="85"/>
        <v>-615.30000000000007</v>
      </c>
      <c r="AR217" s="444"/>
      <c r="AS217" s="445">
        <f t="shared" si="86"/>
        <v>483.37084927315669</v>
      </c>
      <c r="AT217" s="64">
        <f t="shared" si="93"/>
        <v>-245.29303437315281</v>
      </c>
      <c r="AU217" s="445"/>
      <c r="AV217" s="447">
        <f t="shared" si="92"/>
        <v>245.29303437315281</v>
      </c>
      <c r="AW217" s="447">
        <f t="shared" si="87"/>
        <v>-303.05774485211077</v>
      </c>
      <c r="AX217" s="1597">
        <f t="shared" si="88"/>
        <v>-312.2422551478893</v>
      </c>
      <c r="AY217" s="1597">
        <f t="shared" si="75"/>
        <v>-38.276533753198379</v>
      </c>
      <c r="AZ217" s="1642">
        <f t="shared" si="76"/>
        <v>-32.026414859397029</v>
      </c>
      <c r="BA217" s="274">
        <f t="shared" si="96"/>
        <v>38.276533753198379</v>
      </c>
      <c r="BB217" s="275">
        <f t="shared" si="96"/>
        <v>32.026414859397029</v>
      </c>
      <c r="BF217" s="298">
        <v>7</v>
      </c>
      <c r="BG217" s="1657">
        <f t="shared" si="98"/>
        <v>-215</v>
      </c>
      <c r="BH217" s="42">
        <f t="shared" si="99"/>
        <v>-215</v>
      </c>
      <c r="BI217" s="301">
        <f t="shared" si="94"/>
        <v>-437.4773579361057</v>
      </c>
      <c r="BJ217" s="302">
        <f t="shared" si="95"/>
        <v>437.4773579361057</v>
      </c>
      <c r="BK217" s="302">
        <f t="shared" si="100"/>
        <v>7.477357936105733</v>
      </c>
      <c r="BL217" s="302" t="b">
        <f t="shared" si="97"/>
        <v>0</v>
      </c>
      <c r="BM217" s="304">
        <v>7</v>
      </c>
    </row>
    <row r="218" spans="2:65" ht="21" thickBot="1" x14ac:dyDescent="0.35">
      <c r="B218" s="277">
        <v>24</v>
      </c>
      <c r="C218" s="1647"/>
      <c r="D218" s="25">
        <v>0.5</v>
      </c>
      <c r="E218" s="257" t="s">
        <v>305</v>
      </c>
      <c r="F218" s="258"/>
      <c r="G218" s="258">
        <f t="shared" si="90"/>
        <v>0.5</v>
      </c>
      <c r="H218" s="1632">
        <v>251.073172</v>
      </c>
      <c r="I218" s="1633">
        <v>65.636175100000003</v>
      </c>
      <c r="J218" s="474">
        <f t="shared" si="77"/>
        <v>65.136175100000003</v>
      </c>
      <c r="K218" s="474">
        <f t="shared" si="78"/>
        <v>32.568087550000001</v>
      </c>
      <c r="L218" s="474">
        <f t="shared" si="66"/>
        <v>0.53830147457895938</v>
      </c>
      <c r="M218" s="474">
        <f t="shared" si="67"/>
        <v>135.15305871481669</v>
      </c>
      <c r="N218" s="474">
        <f t="shared" si="68"/>
        <v>270.30611742963339</v>
      </c>
      <c r="O218" s="1645">
        <f>+C195+D196+D197+D198+D199+D200+D201+D202+D203+D204+D205+D206+D207+D208+D209+D210+D211+D212+D213+D214+D215+D216+D217+(D218/2)</f>
        <v>20.75</v>
      </c>
      <c r="P218" s="474">
        <f t="shared" si="69"/>
        <v>0.3542910379977155</v>
      </c>
      <c r="Q218" s="474">
        <f t="shared" si="70"/>
        <v>95.767034921277187</v>
      </c>
      <c r="R218" s="474">
        <f t="shared" si="79"/>
        <v>1364.5977150929477</v>
      </c>
      <c r="S218" s="474">
        <f t="shared" si="91"/>
        <v>1460.3647500142249</v>
      </c>
      <c r="T218" s="476">
        <f t="shared" si="71"/>
        <v>1460.3647500142249</v>
      </c>
      <c r="V218" s="1635">
        <f t="shared" si="72"/>
        <v>0</v>
      </c>
      <c r="AB218" s="281" t="str">
        <f t="shared" si="73"/>
        <v>use the locking pin</v>
      </c>
      <c r="AF218" s="1637">
        <f>SUM(V218:V220)/($B$192-B217)</f>
        <v>0</v>
      </c>
      <c r="AG218" s="1646"/>
      <c r="AH218" s="450">
        <f>SUM(D196:D218)+$C$195</f>
        <v>21</v>
      </c>
      <c r="AI218" s="1639"/>
      <c r="AJ218" s="718">
        <f t="shared" si="80"/>
        <v>54.499008599999996</v>
      </c>
      <c r="AK218" s="1639">
        <f t="shared" si="74"/>
        <v>0.81410547021842816</v>
      </c>
      <c r="AL218" s="1639">
        <f t="shared" si="81"/>
        <v>236.61394871877258</v>
      </c>
      <c r="AM218" s="1640">
        <f t="shared" si="82"/>
        <v>78.181912400000002</v>
      </c>
      <c r="AN218" s="1639">
        <f t="shared" si="83"/>
        <v>0.97880278300112167</v>
      </c>
      <c r="AO218" s="1641">
        <f t="shared" si="84"/>
        <v>245.7511194905193</v>
      </c>
      <c r="AP218" s="287"/>
      <c r="AQ218" s="444">
        <f t="shared" si="85"/>
        <v>-644.6</v>
      </c>
      <c r="AR218" s="444"/>
      <c r="AS218" s="445">
        <f t="shared" si="86"/>
        <v>482.36506820929185</v>
      </c>
      <c r="AT218" s="64">
        <f t="shared" si="93"/>
        <v>-245.7511194905193</v>
      </c>
      <c r="AU218" s="445"/>
      <c r="AV218" s="447">
        <f t="shared" si="92"/>
        <v>245.7511194905193</v>
      </c>
      <c r="AW218" s="447">
        <f t="shared" si="87"/>
        <v>-316.19485198282183</v>
      </c>
      <c r="AX218" s="1597">
        <f t="shared" si="88"/>
        <v>-328.40514801717819</v>
      </c>
      <c r="AY218" s="1597">
        <f t="shared" si="75"/>
        <v>-36.686239283333435</v>
      </c>
      <c r="AZ218" s="1642">
        <f t="shared" si="76"/>
        <v>-30.450192575778139</v>
      </c>
      <c r="BA218" s="274">
        <f t="shared" si="96"/>
        <v>36.686239283333435</v>
      </c>
      <c r="BB218" s="275">
        <f t="shared" si="96"/>
        <v>30.450192575778139</v>
      </c>
      <c r="BF218" s="298">
        <v>8</v>
      </c>
      <c r="BG218" s="1657">
        <f t="shared" si="98"/>
        <v>-172</v>
      </c>
      <c r="BH218" s="42">
        <f t="shared" si="99"/>
        <v>-172</v>
      </c>
      <c r="BI218" s="301">
        <f t="shared" si="94"/>
        <v>-394.4773579361057</v>
      </c>
      <c r="BJ218" s="302">
        <f t="shared" si="95"/>
        <v>394.4773579361057</v>
      </c>
      <c r="BK218" s="302">
        <f t="shared" si="100"/>
        <v>7.477357936105733</v>
      </c>
      <c r="BL218" s="302" t="b">
        <f t="shared" si="97"/>
        <v>0</v>
      </c>
      <c r="BM218" s="304">
        <v>8</v>
      </c>
    </row>
    <row r="219" spans="2:65" ht="21" thickBot="1" x14ac:dyDescent="0.35">
      <c r="B219" s="277">
        <v>25</v>
      </c>
      <c r="C219" s="1648"/>
      <c r="D219" s="25">
        <v>0.5</v>
      </c>
      <c r="E219" s="257" t="s">
        <v>305</v>
      </c>
      <c r="F219" s="258"/>
      <c r="G219" s="258">
        <f t="shared" si="90"/>
        <v>0.5</v>
      </c>
      <c r="H219" s="1632">
        <v>251.073172</v>
      </c>
      <c r="I219" s="1633">
        <v>65.636175100000003</v>
      </c>
      <c r="J219" s="474">
        <f t="shared" si="77"/>
        <v>65.136175100000003</v>
      </c>
      <c r="K219" s="474">
        <f t="shared" si="78"/>
        <v>32.568087550000001</v>
      </c>
      <c r="L219" s="474">
        <f t="shared" si="66"/>
        <v>0.53830147457895938</v>
      </c>
      <c r="M219" s="474">
        <f t="shared" si="67"/>
        <v>135.15305871481669</v>
      </c>
      <c r="N219" s="474">
        <f t="shared" si="68"/>
        <v>270.30611742963339</v>
      </c>
      <c r="O219" s="1645">
        <f>+C195+D196+D197+D198+D199+D200+D201+D202+D203+D204+D205+D206+D207+D208+D209+D210+D211+D212+D213+D214+D215+D216+D217+D218+(D219/2)</f>
        <v>21.25</v>
      </c>
      <c r="P219" s="474">
        <f t="shared" si="69"/>
        <v>0.3624380382837013</v>
      </c>
      <c r="Q219" s="474">
        <f t="shared" si="70"/>
        <v>97.969218937280132</v>
      </c>
      <c r="R219" s="474">
        <f t="shared" si="79"/>
        <v>1460.3647500142249</v>
      </c>
      <c r="S219" s="474">
        <f t="shared" si="91"/>
        <v>1558.3339689515051</v>
      </c>
      <c r="T219" s="476">
        <f t="shared" si="71"/>
        <v>1558.3339689515051</v>
      </c>
      <c r="V219" s="1635">
        <f t="shared" si="72"/>
        <v>0</v>
      </c>
      <c r="AB219" s="281" t="str">
        <f t="shared" si="73"/>
        <v>use the locking pin</v>
      </c>
      <c r="AF219" s="1637">
        <f>SUM(V219:V220)/($B$192-B218)</f>
        <v>0</v>
      </c>
      <c r="AG219" s="1646"/>
      <c r="AH219" s="450">
        <f>SUM(D196:D219)+$C$195</f>
        <v>21.5</v>
      </c>
      <c r="AI219" s="1639"/>
      <c r="AJ219" s="718">
        <f t="shared" si="80"/>
        <v>53.999008599999996</v>
      </c>
      <c r="AK219" s="1639">
        <f t="shared" si="74"/>
        <v>0.80900682369146637</v>
      </c>
      <c r="AL219" s="1639">
        <f t="shared" si="81"/>
        <v>235.13206346925816</v>
      </c>
      <c r="AM219" s="1640">
        <f t="shared" si="82"/>
        <v>78.681912400000002</v>
      </c>
      <c r="AN219" s="1639">
        <f t="shared" si="83"/>
        <v>0.98055275180365531</v>
      </c>
      <c r="AO219" s="1641">
        <f t="shared" si="84"/>
        <v>246.19048970867246</v>
      </c>
      <c r="AP219" s="287"/>
      <c r="AQ219" s="444">
        <f t="shared" si="85"/>
        <v>-673.9</v>
      </c>
      <c r="AR219" s="444"/>
      <c r="AS219" s="445">
        <f t="shared" si="86"/>
        <v>481.32255317793062</v>
      </c>
      <c r="AT219" s="64">
        <f t="shared" si="93"/>
        <v>-246.19048970867246</v>
      </c>
      <c r="AU219" s="445"/>
      <c r="AV219" s="447">
        <f t="shared" si="92"/>
        <v>246.19048970867246</v>
      </c>
      <c r="AW219" s="447">
        <f t="shared" si="87"/>
        <v>-329.2085453418527</v>
      </c>
      <c r="AX219" s="1597">
        <f t="shared" si="88"/>
        <v>-344.69145465814728</v>
      </c>
      <c r="AY219" s="1597">
        <f t="shared" si="75"/>
        <v>-35.236023378294966</v>
      </c>
      <c r="AZ219" s="1642">
        <f t="shared" si="76"/>
        <v>-29.011453184755172</v>
      </c>
      <c r="BA219" s="274">
        <f t="shared" si="96"/>
        <v>35.236023378294966</v>
      </c>
      <c r="BB219" s="275">
        <f t="shared" si="96"/>
        <v>29.011453184755172</v>
      </c>
      <c r="BF219" s="298">
        <v>9</v>
      </c>
      <c r="BG219" s="1657">
        <f t="shared" si="98"/>
        <v>-129</v>
      </c>
      <c r="BH219" s="42">
        <f t="shared" si="99"/>
        <v>-129</v>
      </c>
      <c r="BI219" s="301">
        <f t="shared" si="94"/>
        <v>-351.4773579361057</v>
      </c>
      <c r="BJ219" s="302">
        <f t="shared" si="95"/>
        <v>351.4773579361057</v>
      </c>
      <c r="BK219" s="302">
        <f t="shared" si="100"/>
        <v>7.477357936105733</v>
      </c>
      <c r="BL219" s="302" t="b">
        <f t="shared" si="97"/>
        <v>0</v>
      </c>
      <c r="BM219" s="304">
        <v>9</v>
      </c>
    </row>
    <row r="220" spans="2:65" ht="21" thickBot="1" x14ac:dyDescent="0.35">
      <c r="B220" s="277">
        <v>26</v>
      </c>
      <c r="C220" s="1648"/>
      <c r="D220" s="25">
        <v>0.5</v>
      </c>
      <c r="E220" s="257" t="s">
        <v>305</v>
      </c>
      <c r="F220" s="258"/>
      <c r="G220" s="258">
        <f t="shared" si="90"/>
        <v>0.5</v>
      </c>
      <c r="H220" s="1632">
        <v>251.073172</v>
      </c>
      <c r="I220" s="1633">
        <v>65.636175100000003</v>
      </c>
      <c r="J220" s="474">
        <f t="shared" si="77"/>
        <v>65.136175100000003</v>
      </c>
      <c r="K220" s="474">
        <f t="shared" si="78"/>
        <v>32.568087550000001</v>
      </c>
      <c r="L220" s="474">
        <f t="shared" si="66"/>
        <v>0.53830147457895938</v>
      </c>
      <c r="M220" s="474">
        <f t="shared" si="67"/>
        <v>135.15305871481669</v>
      </c>
      <c r="N220" s="474">
        <f t="shared" si="68"/>
        <v>270.30611742963339</v>
      </c>
      <c r="O220" s="1645">
        <f>+C195+D196+D197+D198+D199+D200+D201+D202+D203+D204+D205+D206+D207+D208+D209+D210+D211+D212+D213+D214+D215+D216+D217+D218+D219+(D220/2)</f>
        <v>21.75</v>
      </c>
      <c r="P220" s="474">
        <f t="shared" si="69"/>
        <v>0.37055743750983589</v>
      </c>
      <c r="Q220" s="474">
        <f t="shared" si="70"/>
        <v>100.16394221795774</v>
      </c>
      <c r="R220" s="474">
        <f t="shared" si="79"/>
        <v>1558.3339689515051</v>
      </c>
      <c r="S220" s="474">
        <f t="shared" si="91"/>
        <v>1658.4979111694629</v>
      </c>
      <c r="T220" s="476">
        <f t="shared" si="71"/>
        <v>1658.4979111694629</v>
      </c>
      <c r="V220" s="1635">
        <f t="shared" si="72"/>
        <v>0</v>
      </c>
      <c r="AB220" s="281" t="str">
        <f t="shared" si="73"/>
        <v>use the locking pin</v>
      </c>
      <c r="AF220" s="1637">
        <f>SUM(V220)/($B$192-B219)</f>
        <v>0</v>
      </c>
      <c r="AG220" s="1646"/>
      <c r="AH220" s="450">
        <f>SUM(D196:D220)+$C$195</f>
        <v>22</v>
      </c>
      <c r="AI220" s="1639"/>
      <c r="AJ220" s="718">
        <f t="shared" si="80"/>
        <v>53.499008599999996</v>
      </c>
      <c r="AK220" s="1639">
        <f t="shared" si="74"/>
        <v>0.80384656816268329</v>
      </c>
      <c r="AL220" s="1639">
        <f t="shared" si="81"/>
        <v>233.63227200275978</v>
      </c>
      <c r="AM220" s="1640">
        <f t="shared" si="82"/>
        <v>79.181912400000002</v>
      </c>
      <c r="AN220" s="1639">
        <f t="shared" si="83"/>
        <v>0.98222804771777472</v>
      </c>
      <c r="AO220" s="1641">
        <f t="shared" si="84"/>
        <v>246.61111156786907</v>
      </c>
      <c r="AP220" s="287"/>
      <c r="AQ220" s="444">
        <f t="shared" si="85"/>
        <v>-703.2</v>
      </c>
      <c r="AR220" s="444"/>
      <c r="AS220" s="445">
        <f t="shared" si="86"/>
        <v>480.24338357062885</v>
      </c>
      <c r="AT220" s="64">
        <f t="shared" si="93"/>
        <v>-246.61111156786907</v>
      </c>
      <c r="AU220" s="445"/>
      <c r="AV220" s="447">
        <f t="shared" si="92"/>
        <v>246.61111156786907</v>
      </c>
      <c r="AW220" s="447">
        <f t="shared" si="87"/>
        <v>-342.09781809139429</v>
      </c>
      <c r="AX220" s="1597">
        <f t="shared" si="88"/>
        <v>-361.10218190860576</v>
      </c>
      <c r="AY220" s="1597">
        <f t="shared" si="75"/>
        <v>-33.908430239975878</v>
      </c>
      <c r="AZ220" s="1642">
        <f t="shared" si="76"/>
        <v>-27.692992457550368</v>
      </c>
      <c r="BA220" s="274">
        <f t="shared" si="96"/>
        <v>33.908430239975878</v>
      </c>
      <c r="BB220" s="275">
        <f t="shared" si="96"/>
        <v>27.692992457550368</v>
      </c>
      <c r="BF220" s="298">
        <v>10</v>
      </c>
      <c r="BG220" s="1657">
        <f t="shared" si="98"/>
        <v>-86</v>
      </c>
      <c r="BH220" s="42">
        <f t="shared" si="99"/>
        <v>-86</v>
      </c>
      <c r="BI220" s="301">
        <f t="shared" si="94"/>
        <v>-308.4773579361057</v>
      </c>
      <c r="BJ220" s="302">
        <f t="shared" si="95"/>
        <v>308.4773579361057</v>
      </c>
      <c r="BK220" s="302">
        <f t="shared" si="100"/>
        <v>7.477357936105733</v>
      </c>
      <c r="BL220" s="302" t="b">
        <f t="shared" si="97"/>
        <v>0</v>
      </c>
      <c r="BM220" s="304">
        <v>10</v>
      </c>
    </row>
    <row r="221" spans="2:65" ht="20" x14ac:dyDescent="0.3">
      <c r="AK221" s="718"/>
      <c r="AN221" s="1640"/>
      <c r="AV221" s="445"/>
      <c r="BF221" s="298">
        <v>11</v>
      </c>
      <c r="BG221" s="1657">
        <f t="shared" si="98"/>
        <v>-43</v>
      </c>
      <c r="BH221" s="42">
        <f t="shared" si="99"/>
        <v>-43</v>
      </c>
      <c r="BI221" s="301">
        <f t="shared" si="94"/>
        <v>-265.4773579361057</v>
      </c>
      <c r="BJ221" s="302">
        <f t="shared" si="95"/>
        <v>265.4773579361057</v>
      </c>
      <c r="BK221" s="302">
        <f t="shared" si="100"/>
        <v>7.477357936105733</v>
      </c>
      <c r="BL221" s="302" t="b">
        <f t="shared" si="97"/>
        <v>0</v>
      </c>
      <c r="BM221" s="304">
        <v>11</v>
      </c>
    </row>
    <row r="222" spans="2:65" ht="20" x14ac:dyDescent="0.3">
      <c r="BF222" s="298">
        <v>12</v>
      </c>
      <c r="BG222" s="1657">
        <f t="shared" si="98"/>
        <v>0</v>
      </c>
      <c r="BH222" s="42">
        <f t="shared" si="99"/>
        <v>0</v>
      </c>
      <c r="BI222" s="301">
        <f t="shared" si="94"/>
        <v>-222.47735793610573</v>
      </c>
      <c r="BJ222" s="302">
        <f t="shared" si="95"/>
        <v>222.47735793610573</v>
      </c>
      <c r="BK222" s="302">
        <f t="shared" si="100"/>
        <v>7.477357936105733</v>
      </c>
      <c r="BL222" s="302" t="b">
        <f t="shared" si="97"/>
        <v>0</v>
      </c>
      <c r="BM222" s="304">
        <v>12</v>
      </c>
    </row>
    <row r="223" spans="2:65" ht="20" x14ac:dyDescent="0.3">
      <c r="BF223" s="298">
        <v>13</v>
      </c>
      <c r="BG223" s="1657">
        <f t="shared" si="98"/>
        <v>43</v>
      </c>
      <c r="BH223" s="42">
        <f t="shared" si="99"/>
        <v>43</v>
      </c>
      <c r="BI223" s="301">
        <f t="shared" si="94"/>
        <v>-179.47735793610573</v>
      </c>
      <c r="BJ223" s="302">
        <f t="shared" si="95"/>
        <v>179.47735793610573</v>
      </c>
      <c r="BK223" s="302">
        <f t="shared" si="100"/>
        <v>7.477357936105733</v>
      </c>
      <c r="BL223" s="302" t="b">
        <f t="shared" si="97"/>
        <v>0</v>
      </c>
      <c r="BM223" s="304">
        <v>13</v>
      </c>
    </row>
    <row r="224" spans="2:65" ht="20" x14ac:dyDescent="0.3">
      <c r="BF224" s="298">
        <v>14</v>
      </c>
      <c r="BG224" s="1657">
        <f t="shared" si="98"/>
        <v>86</v>
      </c>
      <c r="BH224" s="42">
        <f t="shared" si="99"/>
        <v>86</v>
      </c>
      <c r="BI224" s="301">
        <f t="shared" si="94"/>
        <v>-136.47735793610573</v>
      </c>
      <c r="BJ224" s="302">
        <f t="shared" si="95"/>
        <v>136.47735793610573</v>
      </c>
      <c r="BK224" s="302">
        <f t="shared" si="100"/>
        <v>7.477357936105733</v>
      </c>
      <c r="BL224" s="302" t="b">
        <f t="shared" si="97"/>
        <v>0</v>
      </c>
      <c r="BM224" s="304">
        <v>14</v>
      </c>
    </row>
    <row r="225" spans="58:65" ht="20" x14ac:dyDescent="0.3">
      <c r="BF225" s="298">
        <v>15</v>
      </c>
      <c r="BG225" s="1657">
        <f t="shared" si="98"/>
        <v>129</v>
      </c>
      <c r="BH225" s="42">
        <f t="shared" si="99"/>
        <v>129</v>
      </c>
      <c r="BI225" s="301">
        <f t="shared" si="94"/>
        <v>-93.477357936105733</v>
      </c>
      <c r="BJ225" s="302">
        <f t="shared" si="95"/>
        <v>93.477357936105733</v>
      </c>
      <c r="BK225" s="302">
        <f t="shared" si="100"/>
        <v>7.477357936105733</v>
      </c>
      <c r="BL225" s="302" t="b">
        <f t="shared" si="97"/>
        <v>0</v>
      </c>
      <c r="BM225" s="304">
        <v>15</v>
      </c>
    </row>
    <row r="226" spans="58:65" ht="20" x14ac:dyDescent="0.3">
      <c r="BF226" s="298">
        <v>16</v>
      </c>
      <c r="BG226" s="1657">
        <f t="shared" si="98"/>
        <v>172</v>
      </c>
      <c r="BH226" s="42">
        <f t="shared" si="99"/>
        <v>172</v>
      </c>
      <c r="BI226" s="301">
        <f t="shared" si="94"/>
        <v>-50.477357936105733</v>
      </c>
      <c r="BJ226" s="302">
        <f t="shared" si="95"/>
        <v>50.477357936105733</v>
      </c>
      <c r="BK226" s="302">
        <f t="shared" si="100"/>
        <v>7.477357936105733</v>
      </c>
      <c r="BL226" s="302" t="b">
        <f t="shared" si="97"/>
        <v>0</v>
      </c>
      <c r="BM226" s="304">
        <v>16</v>
      </c>
    </row>
    <row r="227" spans="58:65" ht="20" x14ac:dyDescent="0.3">
      <c r="BF227" s="298">
        <v>17</v>
      </c>
      <c r="BG227" s="1657">
        <f t="shared" si="98"/>
        <v>215</v>
      </c>
      <c r="BH227" s="42">
        <f t="shared" si="99"/>
        <v>215</v>
      </c>
      <c r="BI227" s="301">
        <f t="shared" si="94"/>
        <v>-7.477357936105733</v>
      </c>
      <c r="BJ227" s="302">
        <f t="shared" si="95"/>
        <v>7.477357936105733</v>
      </c>
      <c r="BK227" s="302">
        <f t="shared" si="100"/>
        <v>7.477357936105733</v>
      </c>
      <c r="BL227" s="302">
        <f t="shared" si="97"/>
        <v>17</v>
      </c>
      <c r="BM227" s="304">
        <v>17</v>
      </c>
    </row>
    <row r="228" spans="58:65" ht="20" x14ac:dyDescent="0.3">
      <c r="BF228" s="298">
        <v>18</v>
      </c>
      <c r="BG228" s="1657">
        <f t="shared" si="98"/>
        <v>258</v>
      </c>
      <c r="BH228" s="42">
        <f t="shared" si="99"/>
        <v>258</v>
      </c>
      <c r="BI228" s="301">
        <f t="shared" si="94"/>
        <v>35.522642063894267</v>
      </c>
      <c r="BJ228" s="302">
        <f t="shared" si="95"/>
        <v>35.522642063894267</v>
      </c>
      <c r="BK228" s="302">
        <f t="shared" si="100"/>
        <v>7.477357936105733</v>
      </c>
      <c r="BL228" s="302" t="b">
        <f t="shared" si="97"/>
        <v>0</v>
      </c>
      <c r="BM228" s="304">
        <v>18</v>
      </c>
    </row>
    <row r="229" spans="58:65" ht="20" x14ac:dyDescent="0.3">
      <c r="BF229" s="298">
        <v>19</v>
      </c>
      <c r="BG229" s="1657">
        <f t="shared" si="98"/>
        <v>301</v>
      </c>
      <c r="BH229" s="42">
        <f t="shared" si="99"/>
        <v>301</v>
      </c>
      <c r="BI229" s="301">
        <f t="shared" si="94"/>
        <v>78.522642063894267</v>
      </c>
      <c r="BJ229" s="302">
        <f t="shared" si="95"/>
        <v>78.522642063894267</v>
      </c>
      <c r="BK229" s="302">
        <f t="shared" si="100"/>
        <v>7.477357936105733</v>
      </c>
      <c r="BL229" s="302" t="b">
        <f t="shared" si="97"/>
        <v>0</v>
      </c>
      <c r="BM229" s="304">
        <v>19</v>
      </c>
    </row>
    <row r="230" spans="58:65" ht="20" x14ac:dyDescent="0.3">
      <c r="BF230" s="298">
        <v>20</v>
      </c>
      <c r="BG230" s="1657">
        <f t="shared" si="98"/>
        <v>344</v>
      </c>
      <c r="BH230" s="42">
        <f t="shared" si="99"/>
        <v>344</v>
      </c>
      <c r="BI230" s="301">
        <f t="shared" si="94"/>
        <v>121.52264206389427</v>
      </c>
      <c r="BJ230" s="302">
        <f t="shared" si="95"/>
        <v>121.52264206389427</v>
      </c>
      <c r="BK230" s="302">
        <f t="shared" si="100"/>
        <v>7.477357936105733</v>
      </c>
      <c r="BL230" s="302" t="b">
        <f t="shared" si="97"/>
        <v>0</v>
      </c>
      <c r="BM230" s="304">
        <v>20</v>
      </c>
    </row>
    <row r="231" spans="58:65" ht="20" x14ac:dyDescent="0.3">
      <c r="BF231" s="298">
        <v>21</v>
      </c>
      <c r="BG231" s="1657">
        <f t="shared" si="98"/>
        <v>387</v>
      </c>
      <c r="BH231" s="42">
        <f t="shared" si="99"/>
        <v>387</v>
      </c>
      <c r="BI231" s="301">
        <f t="shared" si="94"/>
        <v>164.52264206389427</v>
      </c>
      <c r="BJ231" s="302">
        <f t="shared" si="95"/>
        <v>164.52264206389427</v>
      </c>
      <c r="BK231" s="302">
        <f t="shared" si="100"/>
        <v>7.477357936105733</v>
      </c>
      <c r="BL231" s="302" t="b">
        <f t="shared" si="97"/>
        <v>0</v>
      </c>
      <c r="BM231" s="304">
        <v>21</v>
      </c>
    </row>
    <row r="232" spans="58:65" ht="20" x14ac:dyDescent="0.3">
      <c r="BF232" s="298">
        <v>22</v>
      </c>
      <c r="BG232" s="1657">
        <f t="shared" si="98"/>
        <v>430</v>
      </c>
      <c r="BH232" s="42">
        <f t="shared" si="99"/>
        <v>430</v>
      </c>
      <c r="BI232" s="301">
        <f t="shared" si="94"/>
        <v>207.52264206389427</v>
      </c>
      <c r="BJ232" s="302">
        <f t="shared" si="95"/>
        <v>207.52264206389427</v>
      </c>
      <c r="BK232" s="302">
        <f t="shared" si="100"/>
        <v>7.477357936105733</v>
      </c>
      <c r="BL232" s="302" t="b">
        <f t="shared" si="97"/>
        <v>0</v>
      </c>
      <c r="BM232" s="304">
        <v>22</v>
      </c>
    </row>
    <row r="233" spans="58:65" ht="20" x14ac:dyDescent="0.3">
      <c r="BF233" s="298">
        <v>23</v>
      </c>
      <c r="BG233" s="1657">
        <f t="shared" si="98"/>
        <v>473</v>
      </c>
      <c r="BH233" s="42">
        <f t="shared" si="99"/>
        <v>473</v>
      </c>
      <c r="BI233" s="301">
        <f t="shared" si="94"/>
        <v>250.52264206389427</v>
      </c>
      <c r="BJ233" s="302">
        <f t="shared" si="95"/>
        <v>250.52264206389427</v>
      </c>
      <c r="BK233" s="302">
        <f t="shared" si="100"/>
        <v>7.477357936105733</v>
      </c>
      <c r="BL233" s="302" t="b">
        <f t="shared" si="97"/>
        <v>0</v>
      </c>
      <c r="BM233" s="304">
        <v>23</v>
      </c>
    </row>
    <row r="234" spans="58:65" ht="20" x14ac:dyDescent="0.3">
      <c r="BF234" s="298">
        <v>24</v>
      </c>
      <c r="BG234" s="1657">
        <f t="shared" si="98"/>
        <v>516</v>
      </c>
      <c r="BH234" s="42">
        <f t="shared" si="99"/>
        <v>516</v>
      </c>
      <c r="BI234" s="301">
        <f t="shared" si="94"/>
        <v>293.5226420638943</v>
      </c>
      <c r="BJ234" s="302">
        <f t="shared" si="95"/>
        <v>293.5226420638943</v>
      </c>
      <c r="BK234" s="302">
        <f t="shared" si="100"/>
        <v>7.477357936105733</v>
      </c>
      <c r="BL234" s="302" t="b">
        <f t="shared" si="97"/>
        <v>0</v>
      </c>
      <c r="BM234" s="304">
        <v>24</v>
      </c>
    </row>
    <row r="235" spans="58:65" ht="20" x14ac:dyDescent="0.3">
      <c r="BF235" s="298">
        <v>25</v>
      </c>
      <c r="BG235" s="1657">
        <f t="shared" si="98"/>
        <v>559</v>
      </c>
      <c r="BH235" s="42">
        <f t="shared" si="99"/>
        <v>559</v>
      </c>
      <c r="BI235" s="301">
        <f t="shared" si="94"/>
        <v>336.5226420638943</v>
      </c>
      <c r="BJ235" s="302">
        <f t="shared" si="95"/>
        <v>336.5226420638943</v>
      </c>
      <c r="BK235" s="302">
        <f t="shared" si="100"/>
        <v>7.477357936105733</v>
      </c>
      <c r="BL235" s="302" t="b">
        <f t="shared" si="97"/>
        <v>0</v>
      </c>
      <c r="BM235" s="304">
        <v>25</v>
      </c>
    </row>
    <row r="236" spans="58:65" ht="20" x14ac:dyDescent="0.3">
      <c r="BF236" s="298">
        <v>26</v>
      </c>
      <c r="BG236" s="1657">
        <f t="shared" si="98"/>
        <v>602</v>
      </c>
      <c r="BH236" s="42">
        <f t="shared" si="99"/>
        <v>602</v>
      </c>
      <c r="BI236" s="301">
        <f t="shared" si="94"/>
        <v>379.5226420638943</v>
      </c>
      <c r="BJ236" s="302">
        <f t="shared" si="95"/>
        <v>379.5226420638943</v>
      </c>
      <c r="BK236" s="302">
        <f t="shared" si="100"/>
        <v>7.477357936105733</v>
      </c>
      <c r="BL236" s="302" t="b">
        <f t="shared" si="97"/>
        <v>0</v>
      </c>
      <c r="BM236" s="304">
        <v>26</v>
      </c>
    </row>
    <row r="237" spans="58:65" ht="20" x14ac:dyDescent="0.3">
      <c r="BF237" s="298">
        <v>27</v>
      </c>
      <c r="BG237" s="1657">
        <f t="shared" si="98"/>
        <v>645</v>
      </c>
      <c r="BH237" s="42">
        <f t="shared" si="99"/>
        <v>645</v>
      </c>
      <c r="BI237" s="301">
        <f t="shared" si="94"/>
        <v>422.5226420638943</v>
      </c>
      <c r="BJ237" s="302">
        <f t="shared" si="95"/>
        <v>422.5226420638943</v>
      </c>
      <c r="BK237" s="302">
        <f t="shared" si="100"/>
        <v>7.477357936105733</v>
      </c>
      <c r="BL237" s="302" t="b">
        <f t="shared" si="97"/>
        <v>0</v>
      </c>
      <c r="BM237" s="304">
        <v>27</v>
      </c>
    </row>
    <row r="238" spans="58:65" ht="20" x14ac:dyDescent="0.3">
      <c r="BF238" s="298">
        <v>28</v>
      </c>
      <c r="BG238" s="1657">
        <f t="shared" si="98"/>
        <v>688</v>
      </c>
      <c r="BH238" s="42">
        <f t="shared" si="99"/>
        <v>688</v>
      </c>
      <c r="BI238" s="301">
        <f t="shared" si="94"/>
        <v>465.5226420638943</v>
      </c>
      <c r="BJ238" s="302">
        <f t="shared" si="95"/>
        <v>465.5226420638943</v>
      </c>
      <c r="BK238" s="302">
        <f t="shared" si="100"/>
        <v>7.477357936105733</v>
      </c>
      <c r="BL238" s="302" t="b">
        <f t="shared" si="97"/>
        <v>0</v>
      </c>
      <c r="BM238" s="304">
        <v>28</v>
      </c>
    </row>
    <row r="239" spans="58:65" ht="20" x14ac:dyDescent="0.3">
      <c r="BF239" s="298">
        <v>29</v>
      </c>
      <c r="BG239" s="1657">
        <f t="shared" si="98"/>
        <v>731</v>
      </c>
      <c r="BH239" s="42">
        <f t="shared" si="99"/>
        <v>731</v>
      </c>
      <c r="BI239" s="301">
        <f t="shared" si="94"/>
        <v>508.5226420638943</v>
      </c>
      <c r="BJ239" s="302">
        <f t="shared" si="95"/>
        <v>508.5226420638943</v>
      </c>
      <c r="BK239" s="302">
        <f t="shared" si="100"/>
        <v>7.477357936105733</v>
      </c>
      <c r="BL239" s="302" t="b">
        <f t="shared" si="97"/>
        <v>0</v>
      </c>
      <c r="BM239" s="304">
        <v>29</v>
      </c>
    </row>
    <row r="240" spans="58:65" ht="20" x14ac:dyDescent="0.3">
      <c r="BF240" s="298">
        <v>30</v>
      </c>
      <c r="BG240" s="1657">
        <f t="shared" si="98"/>
        <v>774</v>
      </c>
      <c r="BH240" s="42">
        <f t="shared" si="99"/>
        <v>774</v>
      </c>
      <c r="BI240" s="301">
        <f t="shared" si="94"/>
        <v>551.5226420638943</v>
      </c>
      <c r="BJ240" s="302">
        <f t="shared" si="95"/>
        <v>551.5226420638943</v>
      </c>
      <c r="BK240" s="302">
        <f t="shared" si="100"/>
        <v>7.477357936105733</v>
      </c>
      <c r="BL240" s="302" t="b">
        <f t="shared" si="97"/>
        <v>0</v>
      </c>
      <c r="BM240" s="304">
        <v>30</v>
      </c>
    </row>
    <row r="241" spans="58:129" ht="20" x14ac:dyDescent="0.3">
      <c r="BF241" s="298">
        <v>31</v>
      </c>
      <c r="BG241" s="1657">
        <f t="shared" si="98"/>
        <v>817</v>
      </c>
      <c r="BH241" s="42">
        <f t="shared" si="99"/>
        <v>817</v>
      </c>
      <c r="BI241" s="301">
        <f t="shared" si="94"/>
        <v>594.5226420638943</v>
      </c>
      <c r="BJ241" s="302">
        <f t="shared" si="95"/>
        <v>594.5226420638943</v>
      </c>
      <c r="BK241" s="302">
        <f t="shared" si="100"/>
        <v>7.477357936105733</v>
      </c>
      <c r="BL241" s="302" t="b">
        <f t="shared" si="97"/>
        <v>0</v>
      </c>
      <c r="BM241" s="304">
        <v>31</v>
      </c>
    </row>
    <row r="242" spans="58:129" ht="20" x14ac:dyDescent="0.3">
      <c r="BF242" s="298">
        <v>32</v>
      </c>
      <c r="BG242" s="1657">
        <f t="shared" si="98"/>
        <v>860</v>
      </c>
      <c r="BH242" s="42">
        <f t="shared" si="99"/>
        <v>860</v>
      </c>
      <c r="BI242" s="301">
        <f t="shared" si="94"/>
        <v>637.5226420638943</v>
      </c>
      <c r="BJ242" s="302">
        <f t="shared" si="95"/>
        <v>637.5226420638943</v>
      </c>
      <c r="BK242" s="302">
        <f t="shared" si="100"/>
        <v>7.477357936105733</v>
      </c>
      <c r="BL242" s="302" t="b">
        <f t="shared" si="97"/>
        <v>0</v>
      </c>
      <c r="BM242" s="304">
        <v>32</v>
      </c>
    </row>
    <row r="243" spans="58:129" ht="20" x14ac:dyDescent="0.3">
      <c r="BF243" s="298">
        <v>33</v>
      </c>
      <c r="BG243" s="1657">
        <f t="shared" si="98"/>
        <v>903</v>
      </c>
      <c r="BH243" s="42">
        <f t="shared" si="99"/>
        <v>903</v>
      </c>
      <c r="BI243" s="301">
        <f t="shared" si="94"/>
        <v>680.5226420638943</v>
      </c>
      <c r="BJ243" s="302">
        <f t="shared" si="95"/>
        <v>680.5226420638943</v>
      </c>
      <c r="BK243" s="302">
        <f t="shared" si="100"/>
        <v>7.477357936105733</v>
      </c>
      <c r="BL243" s="302" t="b">
        <f t="shared" si="97"/>
        <v>0</v>
      </c>
      <c r="BM243" s="304">
        <v>33</v>
      </c>
    </row>
    <row r="244" spans="58:129" ht="20" x14ac:dyDescent="0.3">
      <c r="BF244" s="298">
        <v>34</v>
      </c>
      <c r="BG244" s="1657">
        <f t="shared" si="98"/>
        <v>946</v>
      </c>
      <c r="BH244" s="42">
        <f t="shared" si="99"/>
        <v>946</v>
      </c>
      <c r="BI244" s="301">
        <f t="shared" si="94"/>
        <v>723.5226420638943</v>
      </c>
      <c r="BJ244" s="302">
        <f t="shared" si="95"/>
        <v>723.5226420638943</v>
      </c>
      <c r="BK244" s="302">
        <f t="shared" si="100"/>
        <v>7.477357936105733</v>
      </c>
      <c r="BL244" s="302" t="b">
        <f t="shared" si="97"/>
        <v>0</v>
      </c>
      <c r="BM244" s="304">
        <v>34</v>
      </c>
    </row>
    <row r="245" spans="58:129" ht="20" x14ac:dyDescent="0.3">
      <c r="BF245" s="298">
        <v>35</v>
      </c>
      <c r="BG245" s="1657">
        <f t="shared" si="98"/>
        <v>989</v>
      </c>
      <c r="BH245" s="42">
        <f t="shared" si="99"/>
        <v>989</v>
      </c>
      <c r="BI245" s="301">
        <f t="shared" si="94"/>
        <v>766.5226420638943</v>
      </c>
      <c r="BJ245" s="302">
        <f t="shared" si="95"/>
        <v>766.5226420638943</v>
      </c>
      <c r="BK245" s="302">
        <f t="shared" si="100"/>
        <v>7.477357936105733</v>
      </c>
      <c r="BL245" s="302" t="b">
        <f t="shared" si="97"/>
        <v>0</v>
      </c>
      <c r="BM245" s="304">
        <v>35</v>
      </c>
      <c r="DF245" s="305"/>
      <c r="DG245" s="305"/>
      <c r="DH245" s="305"/>
      <c r="DI245" s="305"/>
      <c r="DJ245" s="305"/>
      <c r="DK245" s="305"/>
      <c r="DL245" s="1818"/>
      <c r="DM245" s="1818"/>
      <c r="DN245" s="1818"/>
      <c r="DO245" s="126"/>
    </row>
    <row r="246" spans="58:129" ht="20" x14ac:dyDescent="0.3">
      <c r="BF246" s="298">
        <v>36</v>
      </c>
      <c r="BG246" s="1657">
        <f t="shared" si="98"/>
        <v>1032</v>
      </c>
      <c r="BH246" s="42">
        <f t="shared" si="99"/>
        <v>1032</v>
      </c>
      <c r="BI246" s="301">
        <f t="shared" si="94"/>
        <v>809.5226420638943</v>
      </c>
      <c r="BJ246" s="302">
        <f t="shared" si="95"/>
        <v>809.5226420638943</v>
      </c>
      <c r="BK246" s="302">
        <f t="shared" si="100"/>
        <v>7.477357936105733</v>
      </c>
      <c r="BL246" s="302" t="b">
        <f t="shared" si="97"/>
        <v>0</v>
      </c>
      <c r="BM246" s="304">
        <v>36</v>
      </c>
      <c r="DL246" s="306"/>
      <c r="DY246" s="306"/>
    </row>
    <row r="247" spans="58:129" ht="20" x14ac:dyDescent="0.3">
      <c r="BF247" s="308">
        <v>37</v>
      </c>
      <c r="BG247" s="1679">
        <f t="shared" si="98"/>
        <v>1075</v>
      </c>
      <c r="BH247" s="42">
        <f t="shared" si="99"/>
        <v>1075</v>
      </c>
      <c r="BI247" s="301">
        <f t="shared" si="94"/>
        <v>852.5226420638943</v>
      </c>
      <c r="BJ247" s="302">
        <f t="shared" si="95"/>
        <v>852.5226420638943</v>
      </c>
      <c r="BK247" s="302">
        <f t="shared" si="100"/>
        <v>7.477357936105733</v>
      </c>
      <c r="BL247" s="302" t="b">
        <f t="shared" si="97"/>
        <v>0</v>
      </c>
      <c r="BM247" s="310">
        <v>37</v>
      </c>
      <c r="DF247" s="307"/>
      <c r="DG247" s="307"/>
      <c r="DH247" s="307"/>
      <c r="DI247" s="307"/>
      <c r="DJ247" s="307"/>
      <c r="DK247" s="307"/>
      <c r="DL247" s="1819"/>
      <c r="DM247" s="1819"/>
      <c r="DX247" s="1813"/>
      <c r="DY247" s="1813"/>
    </row>
    <row r="264" spans="110:134" x14ac:dyDescent="0.2">
      <c r="DF264" s="126"/>
      <c r="DH264" s="126"/>
      <c r="DJ264" s="126"/>
    </row>
    <row r="265" spans="110:134" x14ac:dyDescent="0.2">
      <c r="DF265" s="126"/>
      <c r="DJ265" s="126"/>
    </row>
    <row r="266" spans="110:134" x14ac:dyDescent="0.2">
      <c r="DF266" s="126"/>
      <c r="DG266" s="311"/>
      <c r="DH266" s="311"/>
      <c r="DI266" s="311"/>
      <c r="DJ266" s="311"/>
      <c r="DK266" s="311"/>
      <c r="DL266" s="311"/>
      <c r="DM266" s="311"/>
      <c r="DN266" s="311"/>
      <c r="DO266" s="311"/>
      <c r="DP266" s="311"/>
      <c r="DQ266" s="311"/>
      <c r="DR266" s="311"/>
      <c r="DS266" s="311"/>
      <c r="DT266" s="311"/>
      <c r="DU266" s="311"/>
      <c r="DV266" s="311"/>
      <c r="DW266" s="311"/>
      <c r="DX266" s="311"/>
      <c r="DY266" s="311"/>
      <c r="DZ266" s="311"/>
      <c r="EA266" s="311"/>
      <c r="EB266" s="311"/>
      <c r="EC266" s="311"/>
      <c r="ED266" s="311"/>
    </row>
    <row r="267" spans="110:134" x14ac:dyDescent="0.2">
      <c r="DF267" s="126"/>
    </row>
    <row r="268" spans="110:134" x14ac:dyDescent="0.2">
      <c r="DF268" s="211"/>
      <c r="DG268" s="312"/>
      <c r="DH268" s="312"/>
      <c r="DI268" s="312"/>
      <c r="DJ268" s="312"/>
      <c r="DK268" s="312"/>
      <c r="DL268" s="312"/>
      <c r="DM268" s="312"/>
      <c r="DN268" s="312"/>
      <c r="DO268" s="312"/>
      <c r="DP268" s="312"/>
      <c r="DQ268" s="312"/>
      <c r="DR268" s="312"/>
      <c r="DS268" s="312"/>
      <c r="DT268" s="312"/>
      <c r="DU268" s="312"/>
      <c r="DV268" s="312"/>
      <c r="DW268" s="312"/>
      <c r="DX268" s="312"/>
      <c r="DY268" s="312"/>
      <c r="DZ268" s="312"/>
      <c r="EA268" s="312"/>
      <c r="EB268" s="312"/>
      <c r="EC268" s="312"/>
      <c r="ED268" s="312"/>
    </row>
    <row r="269" spans="110:134" x14ac:dyDescent="0.2">
      <c r="DF269" s="126"/>
      <c r="DG269" s="203"/>
      <c r="DH269" s="203"/>
      <c r="DI269" s="203"/>
      <c r="DJ269" s="203"/>
      <c r="DK269" s="203"/>
      <c r="DL269" s="203"/>
      <c r="DM269" s="203"/>
      <c r="DN269" s="203"/>
      <c r="DO269" s="203"/>
      <c r="DP269" s="203"/>
      <c r="DQ269" s="203"/>
      <c r="DR269" s="203"/>
      <c r="DS269" s="203"/>
      <c r="DT269" s="203"/>
      <c r="DU269" s="203"/>
      <c r="DV269" s="203"/>
      <c r="DW269" s="203"/>
      <c r="DX269" s="203"/>
      <c r="DY269" s="203"/>
      <c r="DZ269" s="203"/>
      <c r="EA269" s="203"/>
      <c r="EB269" s="203"/>
      <c r="EC269" s="203"/>
      <c r="ED269" s="203"/>
    </row>
    <row r="271" spans="110:134" x14ac:dyDescent="0.2">
      <c r="DG271" s="236"/>
      <c r="DH271" s="236"/>
      <c r="DI271" s="236"/>
      <c r="DJ271" s="236"/>
      <c r="DK271" s="236"/>
      <c r="DL271" s="236"/>
      <c r="DM271" s="126"/>
      <c r="DN271" s="126"/>
      <c r="DO271" s="126"/>
      <c r="DP271" s="126"/>
      <c r="DQ271" s="126"/>
      <c r="DR271" s="236"/>
      <c r="DS271" s="236"/>
      <c r="DT271" s="236"/>
      <c r="DU271" s="126"/>
      <c r="DV271" s="126"/>
      <c r="DW271" s="126"/>
      <c r="DX271" s="126"/>
      <c r="DY271" s="126"/>
      <c r="DZ271" s="126"/>
      <c r="EA271" s="126"/>
      <c r="EB271" s="126"/>
      <c r="EC271" s="126"/>
      <c r="ED271" s="126"/>
    </row>
    <row r="272" spans="110:134" x14ac:dyDescent="0.2">
      <c r="DG272" s="236"/>
      <c r="DH272" s="236"/>
      <c r="DI272" s="236"/>
      <c r="DJ272" s="236"/>
      <c r="DK272" s="236"/>
      <c r="DL272" s="236"/>
      <c r="DQ272" s="236"/>
      <c r="DR272" s="236"/>
      <c r="DS272" s="236"/>
      <c r="DT272" s="236"/>
      <c r="DY272" s="236"/>
      <c r="DZ272" s="236"/>
      <c r="EA272" s="236"/>
      <c r="EB272" s="236"/>
      <c r="EC272" s="236"/>
      <c r="ED272" s="236"/>
    </row>
  </sheetData>
  <sheetProtection algorithmName="SHA-512" hashValue="AAdaLaS1+IwvUaaY4MyaNQiDDmjypk6JsArtxPlAMGTNX0ksDZFLWHPCQ5+61VsV9ow4fNZ5+UmZVzXTcomrrg==" saltValue="Pv3kINGFvbxH9gUvA5LkcA==" spinCount="100000" sheet="1" objects="1" scenarios="1" selectLockedCells="1"/>
  <protectedRanges>
    <protectedRange sqref="B132 B161 B157 B139 D142:D158 B192 D164:D183 D195:D220" name="Range1"/>
  </protectedRanges>
  <mergeCells count="25">
    <mergeCell ref="DG41:DH41"/>
    <mergeCell ref="DX247:DY247"/>
    <mergeCell ref="W139:AA139"/>
    <mergeCell ref="BA139:BB139"/>
    <mergeCell ref="B155:B156"/>
    <mergeCell ref="W161:AA161"/>
    <mergeCell ref="BA161:BB161"/>
    <mergeCell ref="BA192:BB192"/>
    <mergeCell ref="BV192:BX192"/>
    <mergeCell ref="BV194:BW194"/>
    <mergeCell ref="CH194:CI194"/>
    <mergeCell ref="DL245:DN245"/>
    <mergeCell ref="DL247:DM247"/>
    <mergeCell ref="B130:B131"/>
    <mergeCell ref="BQ34:CA35"/>
    <mergeCell ref="CS34:DA35"/>
    <mergeCell ref="CB35:CC35"/>
    <mergeCell ref="CQ35:CR35"/>
    <mergeCell ref="BQ27:BR27"/>
    <mergeCell ref="CQ28:DA29"/>
    <mergeCell ref="BQ29:BR29"/>
    <mergeCell ref="CO29:CP29"/>
    <mergeCell ref="BQ31:CA32"/>
    <mergeCell ref="CB32:CC32"/>
    <mergeCell ref="CZ32:DA32"/>
  </mergeCells>
  <conditionalFormatting sqref="B144:AP144 AR144:BB144">
    <cfRule type="expression" dxfId="257" priority="74">
      <formula>$B$139&lt;3</formula>
    </cfRule>
  </conditionalFormatting>
  <conditionalFormatting sqref="B145:AP145 AR145:BB145">
    <cfRule type="expression" dxfId="256" priority="73">
      <formula>$B$139&lt;4</formula>
    </cfRule>
  </conditionalFormatting>
  <conditionalFormatting sqref="B146:AP146 AR146:BB146">
    <cfRule type="expression" dxfId="255" priority="72">
      <formula>$B$139&lt;5</formula>
    </cfRule>
  </conditionalFormatting>
  <conditionalFormatting sqref="B147:AP147 AR147:BB147">
    <cfRule type="expression" dxfId="254" priority="71">
      <formula>$B$139&lt;6</formula>
    </cfRule>
  </conditionalFormatting>
  <conditionalFormatting sqref="B148:AP148 AR148:BB148">
    <cfRule type="expression" dxfId="253" priority="70">
      <formula>$B$139&lt;7</formula>
    </cfRule>
  </conditionalFormatting>
  <conditionalFormatting sqref="B149:AP149 AR149:BB149">
    <cfRule type="expression" dxfId="252" priority="69">
      <formula>$B$139&lt;8</formula>
    </cfRule>
  </conditionalFormatting>
  <conditionalFormatting sqref="B150:AP150 AR150:BB150">
    <cfRule type="expression" dxfId="251" priority="68">
      <formula>$B$139&lt;9</formula>
    </cfRule>
  </conditionalFormatting>
  <conditionalFormatting sqref="B151:AP151 AR151:BB151">
    <cfRule type="expression" dxfId="250" priority="48">
      <formula>$B$139&lt;10</formula>
    </cfRule>
  </conditionalFormatting>
  <conditionalFormatting sqref="B152:AP152 AR152:BB152">
    <cfRule type="expression" dxfId="249" priority="47">
      <formula>$B$139&lt;11</formula>
    </cfRule>
  </conditionalFormatting>
  <conditionalFormatting sqref="B153:AP153 AR153:BB153">
    <cfRule type="expression" dxfId="248" priority="46">
      <formula>$B$139&lt;12</formula>
    </cfRule>
  </conditionalFormatting>
  <conditionalFormatting sqref="B166:AP166 AS166:BB166">
    <cfRule type="expression" dxfId="247" priority="65">
      <formula>$B$161&lt;3</formula>
    </cfRule>
  </conditionalFormatting>
  <conditionalFormatting sqref="B167:AP167 AS167:BB167">
    <cfRule type="expression" dxfId="246" priority="64">
      <formula>$B$161&lt;4</formula>
    </cfRule>
  </conditionalFormatting>
  <conditionalFormatting sqref="B168:AP168 AS168:BB168">
    <cfRule type="expression" dxfId="245" priority="63">
      <formula>$B$161&lt;5</formula>
    </cfRule>
  </conditionalFormatting>
  <conditionalFormatting sqref="B169:AP169 AS169:BB169">
    <cfRule type="expression" dxfId="244" priority="62">
      <formula>$B$161&lt;6</formula>
    </cfRule>
  </conditionalFormatting>
  <conditionalFormatting sqref="B170:AP170 AS170:BB170">
    <cfRule type="expression" dxfId="243" priority="61">
      <formula>$B$161&lt;7</formula>
    </cfRule>
  </conditionalFormatting>
  <conditionalFormatting sqref="B171:AP171 AS171:BB171">
    <cfRule type="expression" dxfId="242" priority="60">
      <formula>$B$161&lt;8</formula>
    </cfRule>
  </conditionalFormatting>
  <conditionalFormatting sqref="B172:AP172 AS172:BB172">
    <cfRule type="expression" dxfId="241" priority="59">
      <formula>$B$161&lt;9</formula>
    </cfRule>
  </conditionalFormatting>
  <conditionalFormatting sqref="B173:AP173 AS173:BB173">
    <cfRule type="expression" dxfId="240" priority="58">
      <formula>$B$161&lt;10</formula>
    </cfRule>
  </conditionalFormatting>
  <conditionalFormatting sqref="B174:AP174 AS174:BB174">
    <cfRule type="expression" dxfId="239" priority="57">
      <formula>$B$161&lt;11</formula>
    </cfRule>
  </conditionalFormatting>
  <conditionalFormatting sqref="B175:AP175 AS175:BB175">
    <cfRule type="expression" dxfId="238" priority="56">
      <formula>$B$161&lt;12</formula>
    </cfRule>
  </conditionalFormatting>
  <conditionalFormatting sqref="B176:AP176 AS176:BB176">
    <cfRule type="expression" dxfId="237" priority="55">
      <formula>$B$161&lt;13</formula>
    </cfRule>
  </conditionalFormatting>
  <conditionalFormatting sqref="B177:AP177 AS177:BB177">
    <cfRule type="expression" dxfId="236" priority="54">
      <formula>$B$161&lt;14</formula>
    </cfRule>
  </conditionalFormatting>
  <conditionalFormatting sqref="B178:AP178 AS178:BB178">
    <cfRule type="expression" dxfId="235" priority="53">
      <formula>$B$161&lt;15</formula>
    </cfRule>
  </conditionalFormatting>
  <conditionalFormatting sqref="B179:AP179 AS179:BB179">
    <cfRule type="expression" dxfId="234" priority="52">
      <formula>$B$161&lt;16</formula>
    </cfRule>
  </conditionalFormatting>
  <conditionalFormatting sqref="B180:AP180 AS180:BB180">
    <cfRule type="expression" dxfId="233" priority="51">
      <formula>$B$161&lt;17</formula>
    </cfRule>
  </conditionalFormatting>
  <conditionalFormatting sqref="B181:AP181 AS181:BB181">
    <cfRule type="expression" dxfId="232" priority="50">
      <formula>$B$161&lt;18</formula>
    </cfRule>
  </conditionalFormatting>
  <conditionalFormatting sqref="B182:AP182 AS182:BB182">
    <cfRule type="expression" dxfId="231" priority="49">
      <formula>$B$161&lt;19</formula>
    </cfRule>
  </conditionalFormatting>
  <conditionalFormatting sqref="B183:AP183 AS183:BB183">
    <cfRule type="expression" dxfId="230" priority="45">
      <formula>$B$161&lt;20</formula>
    </cfRule>
  </conditionalFormatting>
  <conditionalFormatting sqref="B143:BB143 AQ144:AQ158">
    <cfRule type="expression" dxfId="229" priority="75">
      <formula>$B$139&lt;2</formula>
    </cfRule>
  </conditionalFormatting>
  <conditionalFormatting sqref="B165:BB165">
    <cfRule type="expression" dxfId="228" priority="28">
      <formula>$B$161&lt;2</formula>
    </cfRule>
  </conditionalFormatting>
  <conditionalFormatting sqref="B196:BB196">
    <cfRule type="expression" dxfId="227" priority="25">
      <formula>$B192&lt;2</formula>
    </cfRule>
  </conditionalFormatting>
  <conditionalFormatting sqref="B197:BB197">
    <cfRule type="expression" dxfId="226" priority="24">
      <formula>$B192&lt;3</formula>
    </cfRule>
  </conditionalFormatting>
  <conditionalFormatting sqref="B198:BB198">
    <cfRule type="expression" dxfId="225" priority="23">
      <formula>$B192&lt;4</formula>
    </cfRule>
  </conditionalFormatting>
  <conditionalFormatting sqref="B199:BB199">
    <cfRule type="expression" dxfId="224" priority="22">
      <formula>$B192&lt;5</formula>
    </cfRule>
  </conditionalFormatting>
  <conditionalFormatting sqref="B200:BB200">
    <cfRule type="expression" dxfId="223" priority="21">
      <formula>$B192&lt;6</formula>
    </cfRule>
  </conditionalFormatting>
  <conditionalFormatting sqref="B201:BB201">
    <cfRule type="expression" dxfId="222" priority="20">
      <formula>$B192&lt;7</formula>
    </cfRule>
  </conditionalFormatting>
  <conditionalFormatting sqref="B202:BB202">
    <cfRule type="expression" dxfId="221" priority="19">
      <formula>$B192&lt;8</formula>
    </cfRule>
  </conditionalFormatting>
  <conditionalFormatting sqref="B203:BB203">
    <cfRule type="expression" dxfId="220" priority="18">
      <formula>$B192&lt;9</formula>
    </cfRule>
  </conditionalFormatting>
  <conditionalFormatting sqref="B204:BB204">
    <cfRule type="expression" dxfId="219" priority="17">
      <formula>$B192&lt;10</formula>
    </cfRule>
  </conditionalFormatting>
  <conditionalFormatting sqref="B205:BB205">
    <cfRule type="expression" dxfId="218" priority="16">
      <formula>$B192&lt;11</formula>
    </cfRule>
  </conditionalFormatting>
  <conditionalFormatting sqref="B206:BB206">
    <cfRule type="expression" dxfId="217" priority="15">
      <formula>$B192&lt;12</formula>
    </cfRule>
  </conditionalFormatting>
  <conditionalFormatting sqref="B207:BB207">
    <cfRule type="expression" dxfId="216" priority="14">
      <formula>$B192&lt;13</formula>
    </cfRule>
  </conditionalFormatting>
  <conditionalFormatting sqref="B208:BB208">
    <cfRule type="expression" dxfId="215" priority="13">
      <formula>$B192&lt;14</formula>
    </cfRule>
  </conditionalFormatting>
  <conditionalFormatting sqref="B209:BB209">
    <cfRule type="expression" dxfId="214" priority="12">
      <formula>$B192&lt;15</formula>
    </cfRule>
  </conditionalFormatting>
  <conditionalFormatting sqref="B210:BB210">
    <cfRule type="expression" dxfId="213" priority="11">
      <formula>$B192&lt;16</formula>
    </cfRule>
  </conditionalFormatting>
  <conditionalFormatting sqref="B211:BB211">
    <cfRule type="expression" dxfId="212" priority="10">
      <formula>$B192&lt;17</formula>
    </cfRule>
  </conditionalFormatting>
  <conditionalFormatting sqref="B212:BB212">
    <cfRule type="expression" dxfId="211" priority="9">
      <formula>$B192&lt;18</formula>
    </cfRule>
  </conditionalFormatting>
  <conditionalFormatting sqref="B213:BB213">
    <cfRule type="expression" dxfId="210" priority="8">
      <formula>$B192&lt;19</formula>
    </cfRule>
  </conditionalFormatting>
  <conditionalFormatting sqref="B214:BB214">
    <cfRule type="expression" dxfId="209" priority="7">
      <formula>$B192&lt;20</formula>
    </cfRule>
  </conditionalFormatting>
  <conditionalFormatting sqref="B215:BB215">
    <cfRule type="expression" dxfId="208" priority="6">
      <formula>$B192&lt;21</formula>
    </cfRule>
  </conditionalFormatting>
  <conditionalFormatting sqref="B216:BB216">
    <cfRule type="expression" dxfId="207" priority="5">
      <formula>$B192&lt;22</formula>
    </cfRule>
  </conditionalFormatting>
  <conditionalFormatting sqref="B217:BB217">
    <cfRule type="expression" dxfId="206" priority="4">
      <formula>$B192&lt;23</formula>
    </cfRule>
  </conditionalFormatting>
  <conditionalFormatting sqref="B218:BB218">
    <cfRule type="expression" dxfId="205" priority="3">
      <formula>$B192&lt;24</formula>
    </cfRule>
  </conditionalFormatting>
  <conditionalFormatting sqref="B219:BB219">
    <cfRule type="expression" dxfId="204" priority="2">
      <formula>$B192&lt;25</formula>
    </cfRule>
  </conditionalFormatting>
  <conditionalFormatting sqref="B220:BB220">
    <cfRule type="expression" dxfId="203" priority="1">
      <formula>$B192&lt;26</formula>
    </cfRule>
  </conditionalFormatting>
  <conditionalFormatting sqref="D129:D130">
    <cfRule type="cellIs" dxfId="202" priority="34" stopIfTrue="1" operator="equal">
      <formula>"change the angle of frame or of cabinets"</formula>
    </cfRule>
  </conditionalFormatting>
  <conditionalFormatting sqref="D131">
    <cfRule type="cellIs" dxfId="201" priority="33" stopIfTrue="1" operator="equal">
      <formula>"USE EXBAR AR AT THE FRONT"</formula>
    </cfRule>
  </conditionalFormatting>
  <conditionalFormatting sqref="D132">
    <cfRule type="cellIs" dxfId="200" priority="32" stopIfTrue="1" operator="equal">
      <formula>"USE EXBAR AR AT THE BACK"</formula>
    </cfRule>
  </conditionalFormatting>
  <conditionalFormatting sqref="D142:D153 D164:D183">
    <cfRule type="cellIs" dxfId="199" priority="78" operator="notEqual">
      <formula>0</formula>
    </cfRule>
  </conditionalFormatting>
  <conditionalFormatting sqref="D142:D153">
    <cfRule type="cellIs" dxfId="198" priority="77" operator="notEqual">
      <formula>0</formula>
    </cfRule>
  </conditionalFormatting>
  <conditionalFormatting sqref="D195:D220">
    <cfRule type="cellIs" dxfId="197" priority="27" operator="notEqual">
      <formula>0</formula>
    </cfRule>
  </conditionalFormatting>
  <conditionalFormatting sqref="AK221 AN221 AV221">
    <cfRule type="expression" dxfId="196" priority="44">
      <formula>$B$192&lt;8</formula>
    </cfRule>
  </conditionalFormatting>
  <conditionalFormatting sqref="AQ166:AR183">
    <cfRule type="expression" dxfId="195" priority="66">
      <formula>$B$161&lt;2</formula>
    </cfRule>
  </conditionalFormatting>
  <conditionalFormatting sqref="BA142:BB153">
    <cfRule type="cellIs" dxfId="194" priority="76" operator="lessThan">
      <formula>10</formula>
    </cfRule>
  </conditionalFormatting>
  <conditionalFormatting sqref="BA164:BB183">
    <cfRule type="cellIs" dxfId="193" priority="67" operator="lessThan">
      <formula>10</formula>
    </cfRule>
  </conditionalFormatting>
  <conditionalFormatting sqref="BA195:BB220">
    <cfRule type="cellIs" dxfId="192" priority="26" operator="lessThan">
      <formula>10</formula>
    </cfRule>
  </conditionalFormatting>
  <conditionalFormatting sqref="BL211:BL247">
    <cfRule type="cellIs" dxfId="191" priority="82" stopIfTrue="1" operator="equal">
      <formula>FALSE</formula>
    </cfRule>
  </conditionalFormatting>
  <conditionalFormatting sqref="BN28">
    <cfRule type="cellIs" dxfId="190" priority="43" stopIfTrue="1" operator="equal">
      <formula>"negative force at the motor"</formula>
    </cfRule>
  </conditionalFormatting>
  <conditionalFormatting sqref="BN28:BN29">
    <cfRule type="cellIs" dxfId="189" priority="42" operator="equal">
      <formula>"""OK"""</formula>
    </cfRule>
  </conditionalFormatting>
  <conditionalFormatting sqref="BN29">
    <cfRule type="cellIs" dxfId="188" priority="81" stopIfTrue="1" operator="equal">
      <formula>"overload"</formula>
    </cfRule>
  </conditionalFormatting>
  <conditionalFormatting sqref="BN31">
    <cfRule type="cellIs" dxfId="187" priority="41" stopIfTrue="1" operator="equal">
      <formula>"negative force at the motor"</formula>
    </cfRule>
  </conditionalFormatting>
  <conditionalFormatting sqref="BN31:BN32">
    <cfRule type="cellIs" dxfId="186" priority="40" operator="equal">
      <formula>"""OK"""</formula>
    </cfRule>
  </conditionalFormatting>
  <conditionalFormatting sqref="BN34">
    <cfRule type="cellIs" dxfId="185" priority="39" stopIfTrue="1" operator="equal">
      <formula>"negative force at the motor"</formula>
    </cfRule>
  </conditionalFormatting>
  <conditionalFormatting sqref="BN34:BN35">
    <cfRule type="cellIs" dxfId="184" priority="38" operator="equal">
      <formula>"""OK"""</formula>
    </cfRule>
  </conditionalFormatting>
  <conditionalFormatting sqref="BN58 BN63 BN103 BN32 BN35">
    <cfRule type="cellIs" dxfId="183" priority="80" stopIfTrue="1" operator="equal">
      <formula>"overload"</formula>
    </cfRule>
  </conditionalFormatting>
  <conditionalFormatting sqref="BN58 BN103 BN63">
    <cfRule type="cellIs" dxfId="182" priority="79" operator="equal">
      <formula>"""OK"""</formula>
    </cfRule>
  </conditionalFormatting>
  <conditionalFormatting sqref="BO57:BO58 BN58 BN103">
    <cfRule type="expression" dxfId="181" priority="35">
      <formula>$B$132&lt;&gt;0</formula>
    </cfRule>
  </conditionalFormatting>
  <conditionalFormatting sqref="BO102:BO103">
    <cfRule type="expression" dxfId="180" priority="29">
      <formula>$B$132&lt;&gt;0</formula>
    </cfRule>
  </conditionalFormatting>
  <conditionalFormatting sqref="BQ102:CG102">
    <cfRule type="expression" dxfId="179" priority="31">
      <formula>$B$132=0</formula>
    </cfRule>
  </conditionalFormatting>
  <conditionalFormatting sqref="BQ59:DB61 BV161:CI168">
    <cfRule type="cellIs" dxfId="178" priority="83" stopIfTrue="1" operator="equal">
      <formula>FALSE</formula>
    </cfRule>
  </conditionalFormatting>
  <conditionalFormatting sqref="CB57:CR57">
    <cfRule type="cellIs" dxfId="177" priority="36" operator="equal">
      <formula>0</formula>
    </cfRule>
    <cfRule type="expression" dxfId="176" priority="37">
      <formula>$B$132=0</formula>
    </cfRule>
  </conditionalFormatting>
  <conditionalFormatting sqref="CK102:DA102">
    <cfRule type="expression" dxfId="175" priority="30">
      <formula>$B$132=0</formula>
    </cfRule>
  </conditionalFormatting>
  <dataValidations count="11">
    <dataValidation type="custom" allowBlank="1" showInputMessage="1" showErrorMessage="1" sqref="D195" xr:uid="{00000000-0002-0000-1400-000000000000}">
      <formula1>OR(D195=0,D195=0.5,D195=1,D195=2,D195=2.5,D195=3,D195=4,D195=5,D195=6,D195=7,D195=8,D195=9)</formula1>
    </dataValidation>
    <dataValidation type="custom" allowBlank="1" showInputMessage="1" showErrorMessage="1" sqref="D165:D183" xr:uid="{00000000-0002-0000-1400-000001000000}">
      <formula1>OR(D165=0,D165=0.5,D165=1,D165=2,D165=2.5,D165=3,D165=4,D165=5,D165=6,D165=7,D165=8)</formula1>
    </dataValidation>
    <dataValidation type="custom" allowBlank="1" showInputMessage="1" showErrorMessage="1" sqref="D196:D220" xr:uid="{00000000-0002-0000-1400-000002000000}">
      <formula1>OR(D196=0.5,D196=1,D196=2,D196=2.5,D196=3,D196=4,D196=5,D196=6,D196=7,D196=8,D196=9,D196=10)</formula1>
    </dataValidation>
    <dataValidation type="decimal" allowBlank="1" showInputMessage="1" showErrorMessage="1" sqref="D164" xr:uid="{00000000-0002-0000-1400-000003000000}">
      <formula1>-2</formula1>
      <formula2>4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61" xr:uid="{00000000-0002-0000-1400-000004000000}">
      <formula1>1</formula1>
      <formula2>20</formula2>
    </dataValidation>
    <dataValidation type="whole" allowBlank="1" showInputMessage="1" showErrorMessage="1" errorTitle="Coda Audio" error="YOU HAVE ENTERED A WRONG NUMBER OF CABINETS" promptTitle="Coda Audio" prompt="ENTER THE NUMBER OF CABINETS FROM 1 UP TO 26" sqref="B192" xr:uid="{00000000-0002-0000-1400-000005000000}">
      <formula1>1</formula1>
      <formula2>26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39" xr:uid="{00000000-0002-0000-1400-000006000000}">
      <formula1>1</formula1>
      <formula2>12</formula2>
    </dataValidation>
    <dataValidation type="decimal" allowBlank="1" showInputMessage="1" showErrorMessage="1" sqref="G143:G158 D136:D137 G196:G220 F197:F220 F144:F158 F134:G137 D134 D184 F166:F184 G165:G184" xr:uid="{00000000-0002-0000-1400-000007000000}">
      <formula1>0</formula1>
      <formula2>8</formula2>
    </dataValidation>
    <dataValidation type="decimal" allowBlank="1" showInputMessage="1" showErrorMessage="1" sqref="F142:G142 F164:G164 F195:G195" xr:uid="{00000000-0002-0000-1400-000008000000}">
      <formula1>0</formula1>
      <formula2>4</formula2>
    </dataValidation>
    <dataValidation type="custom" allowBlank="1" showInputMessage="1" showErrorMessage="1" sqref="D142:D158" xr:uid="{00000000-0002-0000-1400-000009000000}">
      <formula1>OR(D142=0,D142=2.5,D142=5)</formula1>
    </dataValidation>
    <dataValidation type="decimal" allowBlank="1" showInputMessage="1" showErrorMessage="1" sqref="B132" xr:uid="{00000000-0002-0000-1400-00000A000000}">
      <formula1>-89.9</formula1>
      <formula2>89.9</formula2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tabColor theme="8" tint="0.39997558519241921"/>
  </sheetPr>
  <dimension ref="A1:EN1048576"/>
  <sheetViews>
    <sheetView topLeftCell="A27" zoomScale="50" zoomScaleNormal="50" workbookViewId="0">
      <selection activeCell="D142" sqref="D142"/>
    </sheetView>
  </sheetViews>
  <sheetFormatPr baseColWidth="10" defaultColWidth="9.1640625" defaultRowHeight="18" x14ac:dyDescent="0.2"/>
  <cols>
    <col min="1" max="1" width="1.5" customWidth="1"/>
    <col min="2" max="2" width="39.5" style="35" customWidth="1"/>
    <col min="3" max="3" width="20.33203125" style="35" hidden="1" customWidth="1"/>
    <col min="4" max="4" width="40.33203125" customWidth="1"/>
    <col min="5" max="5" width="44.5" customWidth="1"/>
    <col min="6" max="6" width="35" hidden="1" customWidth="1"/>
    <col min="7" max="7" width="33" hidden="1" customWidth="1"/>
    <col min="8" max="9" width="17.33203125" style="64" hidden="1" customWidth="1"/>
    <col min="10" max="12" width="22.83203125" style="64" hidden="1" customWidth="1"/>
    <col min="13" max="14" width="19.5" style="64" hidden="1" customWidth="1"/>
    <col min="15" max="15" width="8.6640625" style="64" hidden="1" customWidth="1"/>
    <col min="16" max="16" width="19.5" style="64" hidden="1" customWidth="1"/>
    <col min="17" max="17" width="19.6640625" style="64" hidden="1" customWidth="1"/>
    <col min="18" max="18" width="28" style="64" hidden="1" customWidth="1"/>
    <col min="19" max="19" width="19.5" style="64" hidden="1" customWidth="1"/>
    <col min="20" max="20" width="22.33203125" style="64" hidden="1" customWidth="1"/>
    <col min="21" max="21" width="9.33203125" style="64" hidden="1" customWidth="1"/>
    <col min="22" max="22" width="19.5" style="64" hidden="1" customWidth="1"/>
    <col min="23" max="24" width="17.5" style="64" hidden="1" customWidth="1"/>
    <col min="25" max="25" width="14.5" style="64" hidden="1" customWidth="1"/>
    <col min="26" max="27" width="19.5" style="64" hidden="1" customWidth="1"/>
    <col min="28" max="28" width="35" style="64" customWidth="1"/>
    <col min="29" max="29" width="28.6640625" style="64" hidden="1" customWidth="1"/>
    <col min="30" max="31" width="4.83203125" style="64" hidden="1" customWidth="1"/>
    <col min="32" max="32" width="47.6640625" style="64" hidden="1" customWidth="1"/>
    <col min="33" max="33" width="39.5" style="64" hidden="1" customWidth="1"/>
    <col min="34" max="34" width="19.5" style="64" hidden="1" customWidth="1"/>
    <col min="35" max="35" width="9.33203125" style="64" hidden="1" customWidth="1"/>
    <col min="36" max="36" width="17.5" style="64" hidden="1" customWidth="1"/>
    <col min="37" max="37" width="19.5" style="64" hidden="1" customWidth="1"/>
    <col min="38" max="38" width="23.33203125" style="64" hidden="1" customWidth="1"/>
    <col min="39" max="39" width="17.5" style="64" hidden="1" customWidth="1"/>
    <col min="40" max="40" width="19.5" style="64" hidden="1" customWidth="1"/>
    <col min="41" max="41" width="29.1640625" style="64" hidden="1" customWidth="1"/>
    <col min="42" max="42" width="35.1640625" style="64" hidden="1" customWidth="1"/>
    <col min="43" max="43" width="38.33203125" style="64" hidden="1" customWidth="1"/>
    <col min="44" max="44" width="69.5" style="64" hidden="1" customWidth="1"/>
    <col min="45" max="45" width="19.5" style="64" hidden="1" customWidth="1"/>
    <col min="46" max="46" width="20.1640625" style="64" hidden="1" customWidth="1"/>
    <col min="47" max="47" width="38.5" style="64" hidden="1" customWidth="1"/>
    <col min="48" max="48" width="19.5" style="64" hidden="1" customWidth="1"/>
    <col min="49" max="50" width="20.1640625" style="64" hidden="1" customWidth="1"/>
    <col min="51" max="51" width="38.5" style="64" hidden="1" customWidth="1"/>
    <col min="52" max="52" width="11.1640625" style="64" hidden="1" customWidth="1"/>
    <col min="53" max="54" width="12.1640625" style="64" customWidth="1"/>
    <col min="55" max="55" width="15.1640625" hidden="1" customWidth="1"/>
    <col min="56" max="56" width="9.1640625" hidden="1" customWidth="1"/>
    <col min="57" max="57" width="4.83203125" hidden="1" customWidth="1"/>
    <col min="58" max="58" width="6.83203125" hidden="1" customWidth="1"/>
    <col min="59" max="59" width="34.1640625" hidden="1" customWidth="1"/>
    <col min="60" max="60" width="17" hidden="1" customWidth="1"/>
    <col min="61" max="62" width="16.33203125" hidden="1" customWidth="1"/>
    <col min="63" max="63" width="9.33203125" hidden="1" customWidth="1"/>
    <col min="64" max="64" width="14.1640625" hidden="1" customWidth="1"/>
    <col min="65" max="65" width="16.83203125" style="81" hidden="1" customWidth="1"/>
    <col min="66" max="66" width="30" customWidth="1"/>
    <col min="67" max="67" width="39.6640625" style="59" customWidth="1"/>
    <col min="68" max="68" width="41.83203125" customWidth="1"/>
    <col min="69" max="79" width="6.5" customWidth="1"/>
    <col min="80" max="80" width="9" customWidth="1"/>
    <col min="81" max="93" width="6.5" customWidth="1"/>
    <col min="94" max="94" width="8" customWidth="1"/>
    <col min="95" max="105" width="6.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33" width="6.5" hidden="1" customWidth="1"/>
    <col min="134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482" t="s">
        <v>104</v>
      </c>
      <c r="E1" s="482" t="s">
        <v>105</v>
      </c>
      <c r="F1" s="482" t="s">
        <v>106</v>
      </c>
      <c r="G1" s="990" t="s">
        <v>220</v>
      </c>
      <c r="H1" s="1073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+COS(($B$132*-1)*3.14159265358979/180)*C2</f>
        <v>688</v>
      </c>
      <c r="E2" s="41">
        <f>+COS(($B$132*-1)*3.14159265358979/180)*43</f>
        <v>43</v>
      </c>
      <c r="F2" s="42">
        <f>+COS((($B$132*-1)+72.969997)*3.14159265358979/180)*162.1867</f>
        <v>47.500013702602963</v>
      </c>
      <c r="G2" s="994" t="s">
        <v>212</v>
      </c>
      <c r="H2" s="1074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223.62428539406164</v>
      </c>
      <c r="D3" s="40">
        <f>+C9-F2</f>
        <v>223.62427169145869</v>
      </c>
      <c r="G3" s="994" t="s">
        <v>213</v>
      </c>
      <c r="H3" s="1075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+COS(($B$132*-1)*3.14159265358979/180)*C4</f>
        <v>1075</v>
      </c>
      <c r="G4" s="996" t="s">
        <v>233</v>
      </c>
      <c r="H4" s="1076">
        <v>860</v>
      </c>
      <c r="I4" s="984">
        <v>1</v>
      </c>
      <c r="J4" s="1721" t="s">
        <v>228</v>
      </c>
      <c r="K4" s="1727"/>
      <c r="L4" s="1727"/>
      <c r="M4" s="1727"/>
      <c r="N4"/>
      <c r="O4" s="995"/>
    </row>
    <row r="5" spans="2:15" ht="38" hidden="1" x14ac:dyDescent="0.2">
      <c r="B5" s="44" t="s">
        <v>115</v>
      </c>
      <c r="C5" s="45">
        <f>+C9+425.5</f>
        <v>696.62428539406164</v>
      </c>
      <c r="D5" s="40">
        <f>+(COS(($B$132*-1)*3.14159265358979/180)*473)+$D$3</f>
        <v>696.62427169145872</v>
      </c>
      <c r="G5" s="996" t="s">
        <v>214</v>
      </c>
      <c r="H5" s="1076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1" hidden="1" thickBot="1" x14ac:dyDescent="0.25">
      <c r="B6" s="73"/>
      <c r="C6" s="73"/>
      <c r="G6" s="996" t="s">
        <v>259</v>
      </c>
      <c r="H6" s="1076">
        <v>602</v>
      </c>
      <c r="I6"/>
      <c r="J6" s="963">
        <f>+H9/H8*BQ29</f>
        <v>268.9670665527953</v>
      </c>
      <c r="K6" s="963">
        <f>((H8-H9)/H8)*BQ29</f>
        <v>-184.91485825504679</v>
      </c>
      <c r="L6" s="963">
        <f>+CO29</f>
        <v>154.74779170225148</v>
      </c>
      <c r="M6" s="961" t="s">
        <v>223</v>
      </c>
      <c r="N6"/>
      <c r="O6" s="995"/>
    </row>
    <row r="7" spans="2:15" ht="85" hidden="1" thickBot="1" x14ac:dyDescent="0.25">
      <c r="B7" s="483" t="s">
        <v>18</v>
      </c>
      <c r="C7" s="394">
        <f>+C11+C14+C17+30+4.5+0.5</f>
        <v>238.8</v>
      </c>
      <c r="D7" s="1573" t="s">
        <v>272</v>
      </c>
      <c r="G7" s="997" t="s">
        <v>230</v>
      </c>
      <c r="H7" s="1077">
        <f>(+SIN(($B$132*-1)*3.14159265358979/180)*H2)</f>
        <v>0</v>
      </c>
      <c r="I7"/>
      <c r="J7" s="965">
        <f>ABS($H$1/J6)</f>
        <v>66.922691430948092</v>
      </c>
      <c r="K7" s="965">
        <f>ABS($H$1/K6)</f>
        <v>97.34209662683358</v>
      </c>
      <c r="L7" s="965">
        <f>ABS($H$1/L6)</f>
        <v>116.31829961511569</v>
      </c>
      <c r="M7" s="967" t="s">
        <v>222</v>
      </c>
      <c r="N7"/>
      <c r="O7" s="995"/>
    </row>
    <row r="8" spans="2:15" ht="20" hidden="1" x14ac:dyDescent="0.2">
      <c r="B8" s="483" t="s">
        <v>19</v>
      </c>
      <c r="C8" s="483">
        <f>+AS142</f>
        <v>746.99500648721551</v>
      </c>
      <c r="G8" s="997" t="s">
        <v>229</v>
      </c>
      <c r="H8" s="1077">
        <f>(+COS(($B$132*-1)*3.14159265358979/180)*H3)</f>
        <v>215</v>
      </c>
      <c r="I8"/>
      <c r="J8" s="1733">
        <f>ABS($E$22/BQ29)</f>
        <v>95.178938924015057</v>
      </c>
      <c r="K8" s="1733"/>
      <c r="L8" s="1733">
        <f>ABS($E$22/CO29)</f>
        <v>51.697022051162527</v>
      </c>
      <c r="M8" s="1734" t="s">
        <v>350</v>
      </c>
      <c r="N8"/>
      <c r="O8" s="995"/>
    </row>
    <row r="9" spans="2:15" ht="21" hidden="1" thickBot="1" x14ac:dyDescent="0.25">
      <c r="B9" s="483" t="s">
        <v>14</v>
      </c>
      <c r="C9" s="483">
        <f>+AP138</f>
        <v>271.12428539406164</v>
      </c>
      <c r="G9" s="994" t="s">
        <v>227</v>
      </c>
      <c r="H9" s="1077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B10" s="1574" t="s">
        <v>112</v>
      </c>
      <c r="C10" s="1575">
        <v>72</v>
      </c>
      <c r="D10" s="1576" t="s">
        <v>322</v>
      </c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483" t="s">
        <v>338</v>
      </c>
      <c r="C11" s="1575">
        <f>+(B139*C10)+31</f>
        <v>103</v>
      </c>
      <c r="G11" s="994" t="s">
        <v>226</v>
      </c>
      <c r="H11" s="1077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1" hidden="1" thickBot="1" x14ac:dyDescent="0.25">
      <c r="B12" s="483" t="s">
        <v>150</v>
      </c>
      <c r="C12" s="394">
        <v>747</v>
      </c>
      <c r="D12" s="397"/>
      <c r="G12" s="998"/>
      <c r="H12" s="37"/>
      <c r="I12"/>
      <c r="J12" s="963">
        <f>(CB32)</f>
        <v>189.12420829774851</v>
      </c>
      <c r="K12" s="963">
        <f>((+H8-H11)/H8*CZ32)</f>
        <v>-109.28674174495325</v>
      </c>
      <c r="L12" s="963">
        <f>(H11/H8*CZ32)</f>
        <v>158.96253344720472</v>
      </c>
      <c r="M12" s="961" t="s">
        <v>223</v>
      </c>
      <c r="N12"/>
      <c r="O12" s="995"/>
    </row>
    <row r="13" spans="2:15" ht="21" hidden="1" thickBot="1" x14ac:dyDescent="0.25">
      <c r="B13" s="1574" t="s">
        <v>132</v>
      </c>
      <c r="C13" s="1575">
        <v>40.5</v>
      </c>
      <c r="D13" s="1576" t="s">
        <v>273</v>
      </c>
      <c r="G13" s="998"/>
      <c r="H13"/>
      <c r="I13"/>
      <c r="J13" s="965">
        <f>ABS($H$1/J12)</f>
        <v>95.17554712859193</v>
      </c>
      <c r="K13" s="965">
        <f>ABS($H$1/K12)</f>
        <v>164.70433387068402</v>
      </c>
      <c r="L13" s="965">
        <f>ABS($H$1/L12)</f>
        <v>113.23422953609527</v>
      </c>
      <c r="M13" s="967" t="s">
        <v>222</v>
      </c>
      <c r="N13"/>
      <c r="O13" s="995"/>
    </row>
    <row r="14" spans="2:15" ht="20" hidden="1" x14ac:dyDescent="0.2">
      <c r="B14" s="483" t="s">
        <v>274</v>
      </c>
      <c r="C14" s="1575">
        <f>+(B163*C13)+31</f>
        <v>71.5</v>
      </c>
      <c r="D14" s="397"/>
      <c r="G14" s="998"/>
      <c r="H14"/>
      <c r="I14"/>
      <c r="J14" s="1733">
        <f>ABS($E$22/CB32)</f>
        <v>42.30024316826308</v>
      </c>
      <c r="K14" s="1733"/>
      <c r="L14" s="1733">
        <f>ABS($E$22/CZ32)</f>
        <v>161.0442375624466</v>
      </c>
      <c r="M14" s="1734" t="s">
        <v>350</v>
      </c>
      <c r="N14"/>
      <c r="O14" s="995"/>
    </row>
    <row r="15" spans="2:15" ht="19" hidden="1" thickBot="1" x14ac:dyDescent="0.25">
      <c r="B15" s="483" t="s">
        <v>133</v>
      </c>
      <c r="C15" s="394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1" hidden="1" thickBot="1" x14ac:dyDescent="0.25">
      <c r="B16" s="1574" t="s">
        <v>275</v>
      </c>
      <c r="C16" s="1575">
        <v>29.3</v>
      </c>
      <c r="D16" s="1576" t="s">
        <v>276</v>
      </c>
      <c r="G16" s="994" t="s">
        <v>231</v>
      </c>
      <c r="H16" s="1077">
        <f>+D2+H7-BL66</f>
        <v>-8.6242716914587163</v>
      </c>
      <c r="I16" s="984" t="s">
        <v>251</v>
      </c>
      <c r="J16" s="1721" t="s">
        <v>232</v>
      </c>
      <c r="K16" s="1727"/>
      <c r="L16" s="1727"/>
      <c r="M16" s="1727"/>
      <c r="N16"/>
      <c r="O16" s="995"/>
    </row>
    <row r="17" spans="2:144" ht="20" hidden="1" x14ac:dyDescent="0.2">
      <c r="B17" s="483" t="s">
        <v>275</v>
      </c>
      <c r="C17" s="1575">
        <f>+(B192*C16)</f>
        <v>29.3</v>
      </c>
      <c r="D17" s="397"/>
      <c r="G17" s="998"/>
      <c r="H17" s="37"/>
      <c r="I17" s="999"/>
      <c r="J17" s="961" t="s">
        <v>217</v>
      </c>
      <c r="K17" s="961" t="s">
        <v>225</v>
      </c>
      <c r="L17" s="961"/>
      <c r="M17" s="1724"/>
      <c r="N17"/>
      <c r="O17" s="995"/>
    </row>
    <row r="18" spans="2:144" ht="20" hidden="1" x14ac:dyDescent="0.2">
      <c r="B18" s="483" t="s">
        <v>277</v>
      </c>
      <c r="C18" s="394"/>
      <c r="D18" s="397"/>
      <c r="G18" s="998"/>
      <c r="H18"/>
      <c r="I18"/>
      <c r="J18" s="963">
        <f>+H16/H8*BQ27</f>
        <v>-9.5789585112574027</v>
      </c>
      <c r="K18" s="963">
        <f>((H8-H16)/H8)*BQ27</f>
        <v>248.37895851125742</v>
      </c>
      <c r="L18" s="963"/>
      <c r="M18" s="961" t="s">
        <v>223</v>
      </c>
      <c r="N18"/>
      <c r="O18" s="995"/>
    </row>
    <row r="19" spans="2:144" ht="20" hidden="1" x14ac:dyDescent="0.2">
      <c r="B19" s="399"/>
      <c r="C19" s="399"/>
      <c r="D19" s="397"/>
      <c r="G19" s="998"/>
      <c r="H19"/>
      <c r="I19"/>
      <c r="J19" s="965">
        <f>ABS($H$1/J18)</f>
        <v>1879.1186932113762</v>
      </c>
      <c r="K19" s="965">
        <f>ABS($H$1/K18)</f>
        <v>72.469906903100949</v>
      </c>
      <c r="L19" s="965"/>
      <c r="M19" s="967" t="s">
        <v>222</v>
      </c>
      <c r="N19"/>
      <c r="O19" s="995"/>
    </row>
    <row r="20" spans="2:144" ht="20" hidden="1" x14ac:dyDescent="0.2">
      <c r="B20" s="484" t="s">
        <v>76</v>
      </c>
      <c r="C20" s="1579">
        <v>5800</v>
      </c>
      <c r="D20" s="1579">
        <v>10000</v>
      </c>
      <c r="G20" s="998"/>
      <c r="H20"/>
      <c r="I20"/>
      <c r="J20" s="1733">
        <f>ABS($E$22/BQ27)</f>
        <v>33.50083752093802</v>
      </c>
      <c r="K20" s="1733"/>
      <c r="L20" s="1733"/>
      <c r="M20" s="1734" t="s">
        <v>350</v>
      </c>
      <c r="N20"/>
      <c r="O20" s="995"/>
    </row>
    <row r="21" spans="2:144" ht="20" hidden="1" thickBot="1" x14ac:dyDescent="0.25">
      <c r="B21" s="484" t="s">
        <v>77</v>
      </c>
      <c r="C21" s="1579">
        <v>5800</v>
      </c>
      <c r="D21" s="1579">
        <v>5800</v>
      </c>
      <c r="G21" s="998"/>
      <c r="H21"/>
      <c r="I21"/>
      <c r="J21" s="59"/>
      <c r="K21" s="59"/>
      <c r="L21" s="59"/>
      <c r="M21" s="59"/>
      <c r="N21"/>
      <c r="O21" s="995"/>
    </row>
    <row r="22" spans="2:144" ht="21" hidden="1" thickBot="1" x14ac:dyDescent="0.25">
      <c r="B22" s="484" t="s">
        <v>78</v>
      </c>
      <c r="C22" s="1579">
        <v>8000</v>
      </c>
      <c r="D22" s="1579">
        <v>8000</v>
      </c>
      <c r="E22" s="49">
        <v>8000</v>
      </c>
      <c r="G22" s="994" t="s">
        <v>219</v>
      </c>
      <c r="H22" s="1077">
        <f>(+COS(($B$132*-1)*3.14159265358979/180)*(H4))</f>
        <v>860</v>
      </c>
      <c r="I22" s="984" t="s">
        <v>251</v>
      </c>
      <c r="J22" s="1721" t="s">
        <v>254</v>
      </c>
      <c r="K22" s="1727"/>
      <c r="L22" s="1727"/>
      <c r="M22" s="1727"/>
      <c r="N22"/>
      <c r="O22" s="995"/>
    </row>
    <row r="23" spans="2:144" ht="20" hidden="1" x14ac:dyDescent="0.2">
      <c r="B23" s="1579"/>
      <c r="C23" s="1579" t="s">
        <v>20</v>
      </c>
      <c r="D23" s="1579" t="s">
        <v>21</v>
      </c>
      <c r="G23" s="994" t="s">
        <v>234</v>
      </c>
      <c r="H23" s="1092">
        <f>+BL66-H22+H7</f>
        <v>-163.37572830854128</v>
      </c>
      <c r="I23" s="999"/>
      <c r="J23" s="961"/>
      <c r="K23" s="961" t="s">
        <v>215</v>
      </c>
      <c r="L23" s="961" t="s">
        <v>216</v>
      </c>
      <c r="M23" s="1724"/>
      <c r="N23"/>
      <c r="O23" s="995"/>
    </row>
    <row r="24" spans="2:144" ht="26.25" hidden="1" customHeight="1" x14ac:dyDescent="0.2">
      <c r="B24" s="1580" t="s">
        <v>64</v>
      </c>
      <c r="C24" s="1579">
        <f>+((C8-C9)/C8)*C7</f>
        <v>152.12675748855892</v>
      </c>
      <c r="D24" s="1579">
        <f>+(C9/C8)*C7</f>
        <v>86.673242511441074</v>
      </c>
      <c r="G24" s="998"/>
      <c r="H24"/>
      <c r="I24"/>
      <c r="J24" s="963"/>
      <c r="K24" s="963">
        <f>((+H8-H23)/H8*BQ27)</f>
        <v>420.26104148874265</v>
      </c>
      <c r="L24" s="963">
        <f>(H23/H8*BQ27)</f>
        <v>-181.46104148874261</v>
      </c>
      <c r="M24" s="961" t="s">
        <v>223</v>
      </c>
      <c r="N24"/>
      <c r="O24" s="995"/>
    </row>
    <row r="25" spans="2:144" ht="20" hidden="1" x14ac:dyDescent="0.2">
      <c r="G25" s="998"/>
      <c r="H25"/>
      <c r="I25"/>
      <c r="J25" s="965"/>
      <c r="K25" s="965">
        <f>ABS($H$1/K24)</f>
        <v>42.830522515806784</v>
      </c>
      <c r="L25" s="965">
        <f>ABS($H$1/L24)</f>
        <v>99.194845639176364</v>
      </c>
      <c r="M25" s="967" t="s">
        <v>222</v>
      </c>
      <c r="N25"/>
      <c r="O25" s="995"/>
    </row>
    <row r="26" spans="2:144" ht="20" hidden="1" x14ac:dyDescent="0.2">
      <c r="G26" s="998"/>
      <c r="H26"/>
      <c r="I26"/>
      <c r="J26" s="1733"/>
      <c r="K26" s="1733"/>
      <c r="L26" s="1733">
        <f>ABS($E$22/BQ27)</f>
        <v>33.50083752093802</v>
      </c>
      <c r="M26" s="1734" t="s">
        <v>350</v>
      </c>
      <c r="N26"/>
      <c r="O26" s="995"/>
    </row>
    <row r="27" spans="2:144" ht="41.25" customHeight="1" thickBot="1" x14ac:dyDescent="0.25">
      <c r="G27" s="998"/>
      <c r="H27"/>
      <c r="I27"/>
      <c r="J27" s="59"/>
      <c r="K27" s="59"/>
      <c r="L27" s="59"/>
      <c r="M27" s="59"/>
      <c r="N27"/>
      <c r="O27" s="995"/>
      <c r="BE27" s="64"/>
      <c r="BF27" s="64"/>
      <c r="BG27" s="64"/>
      <c r="BH27" s="64"/>
      <c r="BO27" s="64"/>
      <c r="BP27" s="75" t="s">
        <v>25</v>
      </c>
      <c r="BQ27" s="1814">
        <f>+C7</f>
        <v>238.8</v>
      </c>
      <c r="BR27" s="1814"/>
      <c r="BS27" s="76" t="s">
        <v>17</v>
      </c>
      <c r="BT27" s="76"/>
      <c r="BU27" s="77" t="s">
        <v>339</v>
      </c>
      <c r="BV27" s="78"/>
      <c r="BW27" s="78"/>
      <c r="BX27" s="78"/>
      <c r="BY27" s="78"/>
      <c r="BZ27" s="78"/>
      <c r="CA27" s="78"/>
      <c r="CB27" s="78"/>
      <c r="CC27" s="78"/>
      <c r="CD27" s="78"/>
      <c r="CE27" s="78"/>
      <c r="CF27" s="78"/>
      <c r="CG27" s="78"/>
      <c r="CH27" s="78"/>
      <c r="CI27" s="78"/>
      <c r="CJ27" s="78"/>
      <c r="CK27" s="78"/>
      <c r="CL27" s="78"/>
      <c r="CM27" s="78"/>
      <c r="CN27" s="78"/>
      <c r="CO27" s="78"/>
      <c r="CP27" s="78"/>
      <c r="CQ27" s="78"/>
      <c r="CR27" s="78"/>
      <c r="CS27" s="78"/>
      <c r="CT27" s="78"/>
      <c r="CU27" s="78"/>
      <c r="CV27" s="78"/>
      <c r="CW27" s="78"/>
      <c r="CX27" s="78"/>
      <c r="CY27" s="78"/>
      <c r="CZ27" s="78"/>
      <c r="DA27" s="78"/>
      <c r="DB27" s="78"/>
      <c r="DC27" s="78"/>
      <c r="DD27" s="78"/>
    </row>
    <row r="28" spans="2:144" s="64" customFormat="1" ht="45.75" customHeight="1" thickBot="1" x14ac:dyDescent="0.3">
      <c r="B28" s="73"/>
      <c r="C28" s="73"/>
      <c r="G28" s="998"/>
      <c r="H28"/>
      <c r="I28" s="984">
        <v>60</v>
      </c>
      <c r="J28" s="1721" t="s">
        <v>241</v>
      </c>
      <c r="K28" s="1727"/>
      <c r="L28" s="1727"/>
      <c r="M28" s="1727"/>
      <c r="N28" s="1720"/>
      <c r="O28" s="995"/>
      <c r="BD28"/>
      <c r="BE28" s="85"/>
      <c r="BF28" s="85"/>
      <c r="BG28" s="85"/>
      <c r="BH28" s="85"/>
      <c r="BI28"/>
      <c r="BJ28"/>
      <c r="BK28"/>
      <c r="BL28"/>
      <c r="BM28" s="81" t="b">
        <f>AND(BQ29&gt;0,CO29&gt;0)</f>
        <v>1</v>
      </c>
      <c r="BN28" s="952" t="str">
        <f>IF(BM28=TRUE,"","negative force at the motor")</f>
        <v/>
      </c>
      <c r="BO28" s="1097" t="s">
        <v>128</v>
      </c>
      <c r="BP28" s="945" t="s">
        <v>27</v>
      </c>
      <c r="BQ28" s="946" t="s">
        <v>28</v>
      </c>
      <c r="BR28" s="777"/>
      <c r="BS28" s="777"/>
      <c r="BT28" s="777"/>
      <c r="BU28" s="777"/>
      <c r="BV28" s="777"/>
      <c r="BW28" s="777"/>
      <c r="BX28" s="777"/>
      <c r="BY28" s="777"/>
      <c r="BZ28" s="777"/>
      <c r="CA28" s="777"/>
      <c r="CB28" s="777"/>
      <c r="CC28" s="777"/>
      <c r="CD28" s="777"/>
      <c r="CE28" s="777"/>
      <c r="CF28" s="777"/>
      <c r="CG28" s="777"/>
      <c r="CH28" s="777"/>
      <c r="CI28" s="884"/>
      <c r="CJ28" s="777"/>
      <c r="CK28" s="885"/>
      <c r="CL28" s="885"/>
      <c r="CM28" s="885"/>
      <c r="CN28" s="885"/>
      <c r="CO28" s="777"/>
      <c r="CP28" s="782" t="s">
        <v>29</v>
      </c>
      <c r="CQ28" s="1801"/>
      <c r="CR28" s="1801"/>
      <c r="CS28" s="1801"/>
      <c r="CT28" s="1801"/>
      <c r="CU28" s="1801"/>
      <c r="CV28" s="1801"/>
      <c r="CW28" s="1801"/>
      <c r="CX28" s="1801"/>
      <c r="CY28" s="1801"/>
      <c r="CZ28" s="1801"/>
      <c r="DA28" s="1802"/>
      <c r="DB28" s="78"/>
      <c r="DC28" s="78"/>
      <c r="DD28" s="78"/>
      <c r="DE28"/>
      <c r="DF28"/>
      <c r="DG28"/>
      <c r="DH28"/>
      <c r="DI28"/>
      <c r="DJ28"/>
      <c r="DK28"/>
      <c r="DL28"/>
      <c r="DM28"/>
      <c r="DN28"/>
      <c r="DO28"/>
      <c r="DP28"/>
      <c r="DQ28"/>
      <c r="DR28"/>
      <c r="DS28"/>
      <c r="DT28"/>
      <c r="DU28"/>
      <c r="DV28"/>
      <c r="DW28"/>
      <c r="DX28"/>
      <c r="DY28"/>
      <c r="DZ28"/>
      <c r="EA28"/>
      <c r="EB28"/>
      <c r="EC28"/>
      <c r="ED28"/>
      <c r="EE28"/>
      <c r="EF28"/>
      <c r="EG28"/>
      <c r="EH28"/>
      <c r="EI28"/>
      <c r="EJ28"/>
      <c r="EK28"/>
      <c r="EL28"/>
      <c r="EM28"/>
      <c r="EN28"/>
    </row>
    <row r="29" spans="2:144" ht="45.75" customHeight="1" thickBot="1" x14ac:dyDescent="0.3">
      <c r="G29" s="998"/>
      <c r="H29"/>
      <c r="I29"/>
      <c r="J29" s="961"/>
      <c r="K29" s="961" t="s">
        <v>215</v>
      </c>
      <c r="L29" s="961" t="s">
        <v>216</v>
      </c>
      <c r="M29" s="1724"/>
      <c r="N29"/>
      <c r="O29" s="995"/>
      <c r="U29" s="114"/>
      <c r="BE29" s="85"/>
      <c r="BF29" s="85"/>
      <c r="BG29" s="85"/>
      <c r="BH29" s="85"/>
      <c r="BL29" s="968">
        <v>1</v>
      </c>
      <c r="BM29" s="1762" t="b">
        <f>AND(BO29&gt;=10,$BB$142&gt;=10,$BA$142&gt;=10,$BB$166&gt;=10,$BA$166&gt;=10,$BA$195&gt;=10,$BB$195&gt;=10)</f>
        <v>1</v>
      </c>
      <c r="BN29" s="84" t="str">
        <f>IF(BM29=TRUE,"O K","OVERLOAD")</f>
        <v>O K</v>
      </c>
      <c r="BO29" s="1761">
        <f>+MIN(J7:L8)</f>
        <v>51.697022051162527</v>
      </c>
      <c r="BP29" s="947" t="s">
        <v>138</v>
      </c>
      <c r="BQ29" s="1924">
        <f>+((D4-D5)/D4)*C7</f>
        <v>84.052208297748535</v>
      </c>
      <c r="BR29" s="1810"/>
      <c r="BS29" s="783"/>
      <c r="BT29" s="783"/>
      <c r="BU29" s="783"/>
      <c r="BV29" s="784"/>
      <c r="BW29" s="784"/>
      <c r="BX29" s="784"/>
      <c r="BY29" s="886"/>
      <c r="BZ29" s="886"/>
      <c r="CA29" s="886"/>
      <c r="CB29" s="886"/>
      <c r="CC29" s="886"/>
      <c r="CD29" s="886"/>
      <c r="CE29" s="886"/>
      <c r="CF29" s="886"/>
      <c r="CG29" s="886"/>
      <c r="CH29" s="886"/>
      <c r="CI29" s="887"/>
      <c r="CJ29" s="783"/>
      <c r="CK29" s="783"/>
      <c r="CL29" s="783"/>
      <c r="CM29" s="784"/>
      <c r="CN29" s="784"/>
      <c r="CO29" s="1799">
        <f>+(D5/D4)*C7</f>
        <v>154.74779170225148</v>
      </c>
      <c r="CP29" s="1800"/>
      <c r="CQ29" s="1803"/>
      <c r="CR29" s="1803"/>
      <c r="CS29" s="1803"/>
      <c r="CT29" s="1803"/>
      <c r="CU29" s="1803"/>
      <c r="CV29" s="1803"/>
      <c r="CW29" s="1803"/>
      <c r="CX29" s="1803"/>
      <c r="CY29" s="1803"/>
      <c r="CZ29" s="1803"/>
      <c r="DA29" s="1804"/>
      <c r="DB29" s="78"/>
      <c r="DC29" s="78"/>
      <c r="DD29" s="78"/>
    </row>
    <row r="30" spans="2:144" ht="15.75" customHeight="1" thickBot="1" x14ac:dyDescent="0.3">
      <c r="G30" s="1000"/>
      <c r="H30" s="63"/>
      <c r="I30"/>
      <c r="J30" s="963"/>
      <c r="K30" s="963">
        <f>((+H8-H23)/H8*BQ27)</f>
        <v>420.26104148874265</v>
      </c>
      <c r="L30" s="963">
        <f>(H23/H8*BQ27)</f>
        <v>-181.46104148874261</v>
      </c>
      <c r="M30" s="961" t="s">
        <v>223</v>
      </c>
      <c r="N30"/>
      <c r="O30" s="995"/>
      <c r="BE30" s="85"/>
      <c r="BF30" s="85"/>
      <c r="BG30" s="85"/>
      <c r="BH30" s="85"/>
      <c r="BN30" s="86"/>
      <c r="BO30" s="85"/>
      <c r="BP30" s="87"/>
      <c r="BQ30" s="88"/>
      <c r="BR30" s="88"/>
      <c r="BS30" s="87"/>
      <c r="BT30" s="87"/>
      <c r="BU30" s="87"/>
      <c r="BV30" s="87"/>
      <c r="BW30" s="87"/>
      <c r="BX30" s="87"/>
      <c r="BY30" s="87"/>
      <c r="BZ30" s="87"/>
      <c r="CA30" s="87"/>
      <c r="CB30" s="87"/>
      <c r="CC30" s="87"/>
      <c r="CD30" s="87"/>
      <c r="CE30" s="87"/>
      <c r="CF30" s="87"/>
      <c r="CG30" s="87"/>
      <c r="CH30" s="87"/>
      <c r="CJ30" s="76"/>
      <c r="CK30" s="76"/>
      <c r="CL30" s="88"/>
      <c r="CM30" s="89"/>
      <c r="CN30" s="89"/>
      <c r="CO30" s="89"/>
      <c r="CP30" s="89"/>
      <c r="CQ30" s="89"/>
      <c r="CR30" s="89"/>
      <c r="CS30" s="89"/>
      <c r="CT30" s="89"/>
      <c r="CU30" s="89"/>
      <c r="CV30" s="89"/>
      <c r="CW30" s="89"/>
      <c r="CX30" s="89"/>
      <c r="CY30" s="89"/>
      <c r="CZ30" s="89"/>
      <c r="DA30" s="89"/>
      <c r="DB30" s="89"/>
      <c r="DC30" s="78"/>
      <c r="DD30" s="78"/>
    </row>
    <row r="31" spans="2:144" ht="45.75" customHeight="1" thickBot="1" x14ac:dyDescent="0.3">
      <c r="F31" s="486"/>
      <c r="G31" s="1000"/>
      <c r="H31" s="63"/>
      <c r="I31"/>
      <c r="J31" s="965"/>
      <c r="K31" s="965">
        <f>ABS($H$1/K30)</f>
        <v>42.830522515806784</v>
      </c>
      <c r="L31" s="965">
        <f>ABS($H$1/L30)</f>
        <v>99.194845639176364</v>
      </c>
      <c r="M31" s="967" t="s">
        <v>222</v>
      </c>
      <c r="N31"/>
      <c r="O31" s="995"/>
      <c r="BE31" s="85"/>
      <c r="BF31" s="85"/>
      <c r="BG31" s="85"/>
      <c r="BH31" s="85"/>
      <c r="BM31" s="81" t="b">
        <f>AND(CB32&gt;0,CZ32&gt;0)</f>
        <v>1</v>
      </c>
      <c r="BN31" s="952" t="str">
        <f>IF(BM31=TRUE,"","negative force at the motor")</f>
        <v/>
      </c>
      <c r="BO31" s="1095" t="s">
        <v>128</v>
      </c>
      <c r="BP31" s="742" t="s">
        <v>27</v>
      </c>
      <c r="BQ31" s="1833"/>
      <c r="BR31" s="1834"/>
      <c r="BS31" s="1834"/>
      <c r="BT31" s="1834"/>
      <c r="BU31" s="1834"/>
      <c r="BV31" s="1834"/>
      <c r="BW31" s="1834"/>
      <c r="BX31" s="1834"/>
      <c r="BY31" s="1834"/>
      <c r="BZ31" s="1834"/>
      <c r="CA31" s="1834"/>
      <c r="CB31" s="772" t="s">
        <v>28</v>
      </c>
      <c r="CC31" s="774"/>
      <c r="CD31" s="774"/>
      <c r="CE31" s="774"/>
      <c r="CF31" s="774"/>
      <c r="CG31" s="774"/>
      <c r="CH31" s="774"/>
      <c r="CI31" s="774"/>
      <c r="CJ31" s="774"/>
      <c r="CK31" s="774"/>
      <c r="CL31" s="774"/>
      <c r="CM31" s="774"/>
      <c r="CN31" s="888"/>
      <c r="CO31" s="765"/>
      <c r="CP31" s="765"/>
      <c r="CQ31" s="765"/>
      <c r="CR31" s="765"/>
      <c r="CS31" s="889"/>
      <c r="CT31" s="889"/>
      <c r="CU31" s="888"/>
      <c r="CV31" s="888"/>
      <c r="CW31" s="888"/>
      <c r="CX31" s="888"/>
      <c r="CY31" s="888"/>
      <c r="CZ31" s="765"/>
      <c r="DA31" s="766" t="s">
        <v>29</v>
      </c>
      <c r="DB31" s="90"/>
      <c r="DC31" s="78"/>
      <c r="DD31" s="78"/>
    </row>
    <row r="32" spans="2:144" ht="45.75" customHeight="1" thickBot="1" x14ac:dyDescent="0.3">
      <c r="G32" s="1000"/>
      <c r="H32" s="63"/>
      <c r="I32"/>
      <c r="J32" s="1733"/>
      <c r="K32" s="1733"/>
      <c r="L32" s="1733">
        <f>ABS($E$22/BQ27)*2</f>
        <v>67.001675041876041</v>
      </c>
      <c r="M32" s="1734" t="s">
        <v>350</v>
      </c>
      <c r="N32" s="1730" t="s">
        <v>352</v>
      </c>
      <c r="O32" s="995"/>
      <c r="BL32" s="968">
        <v>2</v>
      </c>
      <c r="BM32" s="1762" t="b">
        <f>AND(BO32&gt;=10,$BB$142&gt;=10,$BA$142&gt;=10,$BB$166&gt;=10,$BA$166&gt;=10,$BA$195&gt;=10,$BB$195&gt;=10)</f>
        <v>1</v>
      </c>
      <c r="BN32" s="84" t="str">
        <f>IF(BM32=TRUE,"O K","OVERLOAD")</f>
        <v>O K</v>
      </c>
      <c r="BO32" s="1761">
        <f>+MIN(J13:L14)</f>
        <v>42.30024316826308</v>
      </c>
      <c r="BP32" s="743" t="s">
        <v>126</v>
      </c>
      <c r="BQ32" s="1835"/>
      <c r="BR32" s="1836"/>
      <c r="BS32" s="1836"/>
      <c r="BT32" s="1836"/>
      <c r="BU32" s="1836"/>
      <c r="BV32" s="1836"/>
      <c r="BW32" s="1836"/>
      <c r="BX32" s="1836"/>
      <c r="BY32" s="1836"/>
      <c r="BZ32" s="1836"/>
      <c r="CA32" s="1836"/>
      <c r="CB32" s="1840">
        <f>+((D4-D3)/D4)*C7</f>
        <v>189.12420829774851</v>
      </c>
      <c r="CC32" s="1841"/>
      <c r="CD32" s="890"/>
      <c r="CE32" s="890"/>
      <c r="CF32" s="890"/>
      <c r="CG32" s="890"/>
      <c r="CH32" s="890"/>
      <c r="CI32" s="890"/>
      <c r="CJ32" s="890"/>
      <c r="CK32" s="890"/>
      <c r="CL32" s="890"/>
      <c r="CM32" s="890"/>
      <c r="CN32" s="891"/>
      <c r="CO32" s="892"/>
      <c r="CP32" s="892"/>
      <c r="CQ32" s="892"/>
      <c r="CR32" s="892"/>
      <c r="CS32" s="893"/>
      <c r="CT32" s="893"/>
      <c r="CU32" s="883"/>
      <c r="CV32" s="883"/>
      <c r="CW32" s="883"/>
      <c r="CX32" s="883"/>
      <c r="CY32" s="883"/>
      <c r="CZ32" s="1797">
        <f>+(D3/D4)*C7</f>
        <v>49.675791702251473</v>
      </c>
      <c r="DA32" s="1798"/>
      <c r="DB32" s="92"/>
      <c r="DC32" s="78"/>
      <c r="DD32" s="78"/>
    </row>
    <row r="33" spans="2:144" ht="16" customHeight="1" thickBot="1" x14ac:dyDescent="0.3">
      <c r="G33" s="1000"/>
      <c r="H33" s="63"/>
      <c r="I33"/>
      <c r="J33" s="59"/>
      <c r="K33" s="59"/>
      <c r="L33" s="59"/>
      <c r="M33" s="59"/>
      <c r="N33"/>
      <c r="O33" s="995"/>
      <c r="BN33" s="86"/>
      <c r="BO33" s="18"/>
      <c r="BP33" s="93"/>
      <c r="BQ33" s="93"/>
      <c r="BR33" s="93"/>
      <c r="BS33" s="93"/>
      <c r="BT33" s="93"/>
      <c r="BU33" s="93"/>
      <c r="BV33" s="93"/>
      <c r="BW33" s="93"/>
      <c r="BX33" s="93"/>
      <c r="BY33" s="94"/>
      <c r="BZ33" s="94"/>
      <c r="CA33" s="89"/>
      <c r="CB33" s="89"/>
      <c r="CC33" s="89"/>
      <c r="CD33" s="89"/>
      <c r="CE33" s="89"/>
      <c r="CF33" s="89"/>
      <c r="CG33" s="89"/>
      <c r="CH33" s="89"/>
      <c r="CI33" s="89"/>
      <c r="CJ33" s="89"/>
      <c r="CK33" s="89"/>
      <c r="CL33" s="89"/>
      <c r="CM33" s="89"/>
      <c r="CN33" s="37"/>
      <c r="CO33" s="95"/>
      <c r="CP33" s="95"/>
      <c r="CQ33" s="95"/>
      <c r="CR33" s="95"/>
      <c r="CS33" s="92"/>
      <c r="CT33" s="92"/>
      <c r="CU33" s="92"/>
      <c r="CV33" s="92"/>
      <c r="CW33" s="92"/>
      <c r="CX33" s="92"/>
      <c r="CY33" s="92"/>
      <c r="CZ33" s="92"/>
      <c r="DA33" s="92"/>
      <c r="DB33" s="92"/>
      <c r="DC33" s="78"/>
      <c r="DD33" s="78"/>
    </row>
    <row r="34" spans="2:144" ht="45.75" customHeight="1" thickBot="1" x14ac:dyDescent="0.25">
      <c r="E34" s="397"/>
      <c r="F34" s="397"/>
      <c r="G34" s="1000"/>
      <c r="H34" s="63"/>
      <c r="I34" s="984">
        <v>61</v>
      </c>
      <c r="J34" s="1721" t="s">
        <v>255</v>
      </c>
      <c r="K34" s="1727"/>
      <c r="L34" s="1727"/>
      <c r="M34" s="1727"/>
      <c r="N34"/>
      <c r="O34" s="995"/>
      <c r="BM34" s="81" t="b">
        <f>AND(CB35&gt;0,CQ35&gt;0)</f>
        <v>1</v>
      </c>
      <c r="BN34" s="952" t="str">
        <f>IF(BM34=TRUE,"","negative force at the motor")</f>
        <v/>
      </c>
      <c r="BO34" s="1095" t="s">
        <v>128</v>
      </c>
      <c r="BP34" s="744" t="s">
        <v>27</v>
      </c>
      <c r="BQ34" s="1822"/>
      <c r="BR34" s="1823"/>
      <c r="BS34" s="1823"/>
      <c r="BT34" s="1823"/>
      <c r="BU34" s="1823"/>
      <c r="BV34" s="1823"/>
      <c r="BW34" s="1823"/>
      <c r="BX34" s="1823"/>
      <c r="BY34" s="1823"/>
      <c r="BZ34" s="1823"/>
      <c r="CA34" s="1823"/>
      <c r="CB34" s="894" t="s">
        <v>28</v>
      </c>
      <c r="CC34" s="895"/>
      <c r="CD34" s="895"/>
      <c r="CE34" s="895"/>
      <c r="CF34" s="895"/>
      <c r="CG34" s="895"/>
      <c r="CH34" s="895"/>
      <c r="CI34" s="896"/>
      <c r="CJ34" s="895"/>
      <c r="CK34" s="897"/>
      <c r="CL34" s="897"/>
      <c r="CM34" s="895"/>
      <c r="CN34" s="895"/>
      <c r="CO34" s="895"/>
      <c r="CP34" s="895"/>
      <c r="CQ34" s="895"/>
      <c r="CR34" s="898" t="s">
        <v>29</v>
      </c>
      <c r="CS34" s="1801"/>
      <c r="CT34" s="1801"/>
      <c r="CU34" s="1801"/>
      <c r="CV34" s="1801"/>
      <c r="CW34" s="1801"/>
      <c r="CX34" s="1801"/>
      <c r="CY34" s="1801"/>
      <c r="CZ34" s="1801"/>
      <c r="DA34" s="1802"/>
      <c r="DB34" s="89"/>
      <c r="DC34" s="78"/>
      <c r="DD34" s="78"/>
    </row>
    <row r="35" spans="2:144" ht="45.75" customHeight="1" thickBot="1" x14ac:dyDescent="0.3">
      <c r="E35" s="397"/>
      <c r="F35" s="397"/>
      <c r="G35" s="1000"/>
      <c r="H35" s="63"/>
      <c r="I35"/>
      <c r="J35" s="961" t="s">
        <v>217</v>
      </c>
      <c r="K35" s="961" t="s">
        <v>225</v>
      </c>
      <c r="L35" s="961"/>
      <c r="M35" s="1724"/>
      <c r="N35"/>
      <c r="O35" s="995"/>
      <c r="BL35" s="968">
        <v>3</v>
      </c>
      <c r="BM35" s="1762" t="b">
        <f>AND(BO35&gt;=10,$BB$142&gt;=10,$BA$142&gt;=10,$BB$166&gt;=10,$BA$166&gt;=10,$BA$195&gt;=10,$BB$195&gt;=10)</f>
        <v>1</v>
      </c>
      <c r="BN35" s="84" t="str">
        <f>IF(BM35=TRUE,"O K","OVERLOAD")</f>
        <v>O K</v>
      </c>
      <c r="BO35" s="983">
        <f>+$E$22/(MAX(CB35,CQ35))</f>
        <v>49.633464475756128</v>
      </c>
      <c r="BP35" s="745" t="s">
        <v>123</v>
      </c>
      <c r="BQ35" s="1824"/>
      <c r="BR35" s="1825"/>
      <c r="BS35" s="1825"/>
      <c r="BT35" s="1825"/>
      <c r="BU35" s="1825"/>
      <c r="BV35" s="1825"/>
      <c r="BW35" s="1825"/>
      <c r="BX35" s="1825"/>
      <c r="BY35" s="1825"/>
      <c r="BZ35" s="1825"/>
      <c r="CA35" s="1825"/>
      <c r="CB35" s="1807">
        <f>+((D2-D3)/D2)*C7</f>
        <v>161.18157546523204</v>
      </c>
      <c r="CC35" s="1808"/>
      <c r="CD35" s="899"/>
      <c r="CE35" s="899"/>
      <c r="CF35" s="899"/>
      <c r="CG35" s="899"/>
      <c r="CH35" s="899"/>
      <c r="CI35" s="900"/>
      <c r="CJ35" s="899"/>
      <c r="CK35" s="901"/>
      <c r="CL35" s="901"/>
      <c r="CM35" s="902"/>
      <c r="CN35" s="902"/>
      <c r="CO35" s="902"/>
      <c r="CP35" s="902"/>
      <c r="CQ35" s="1795">
        <f>+(D3/D2)*C7</f>
        <v>77.618424534767925</v>
      </c>
      <c r="CR35" s="1796"/>
      <c r="CS35" s="1803"/>
      <c r="CT35" s="1803"/>
      <c r="CU35" s="1803"/>
      <c r="CV35" s="1803"/>
      <c r="CW35" s="1803"/>
      <c r="CX35" s="1803"/>
      <c r="CY35" s="1803"/>
      <c r="CZ35" s="1803"/>
      <c r="DA35" s="1804"/>
      <c r="DB35" s="89"/>
      <c r="DC35" s="78"/>
      <c r="DD35" s="78"/>
    </row>
    <row r="36" spans="2:144" ht="18.75" hidden="1" customHeight="1" x14ac:dyDescent="0.25">
      <c r="E36" s="397"/>
      <c r="F36" s="397"/>
      <c r="G36" s="1000"/>
      <c r="H36" s="63"/>
      <c r="I36"/>
      <c r="J36" s="963">
        <f>+H16/H8*BQ27</f>
        <v>-9.5789585112574027</v>
      </c>
      <c r="K36" s="963">
        <f>((H8-H16)/H8)*BQ27</f>
        <v>248.37895851125742</v>
      </c>
      <c r="L36" s="963"/>
      <c r="M36" s="961" t="s">
        <v>223</v>
      </c>
      <c r="N36"/>
      <c r="O36" s="995"/>
      <c r="BN36" s="86"/>
      <c r="BO36" s="18"/>
      <c r="BP36" s="93"/>
      <c r="BQ36" s="93"/>
      <c r="BR36" s="93"/>
      <c r="BS36" s="93"/>
      <c r="BT36" s="93"/>
      <c r="BU36" s="93"/>
      <c r="BV36" s="93"/>
      <c r="BW36" s="93"/>
      <c r="BX36" s="93"/>
      <c r="BY36" s="94"/>
      <c r="BZ36" s="94"/>
      <c r="CA36" s="89"/>
      <c r="CB36" s="89"/>
      <c r="CC36" s="89"/>
      <c r="CD36" s="89"/>
      <c r="CE36" s="89"/>
      <c r="CF36" s="89"/>
      <c r="CG36" s="89"/>
      <c r="CH36" s="89"/>
      <c r="CI36" s="89"/>
      <c r="CJ36" s="89"/>
      <c r="CK36" s="93"/>
      <c r="CL36" s="89"/>
      <c r="CM36" s="89"/>
      <c r="CN36" s="37"/>
      <c r="CO36" s="95"/>
      <c r="CP36" s="95"/>
      <c r="CQ36" s="95"/>
      <c r="CR36" s="95"/>
      <c r="CS36" s="92"/>
      <c r="CT36" s="92"/>
      <c r="CU36" s="92"/>
      <c r="CV36" s="92"/>
      <c r="CW36" s="92"/>
      <c r="CX36" s="92"/>
      <c r="CY36" s="92"/>
      <c r="CZ36" s="92"/>
      <c r="DA36" s="92"/>
      <c r="DB36" s="92"/>
      <c r="DC36" s="78"/>
      <c r="DD36" s="78"/>
    </row>
    <row r="37" spans="2:144" ht="18.75" hidden="1" customHeight="1" x14ac:dyDescent="0.2">
      <c r="B37" s="399"/>
      <c r="C37" s="399"/>
      <c r="D37" s="397"/>
      <c r="E37" s="397"/>
      <c r="F37" s="397"/>
      <c r="G37" s="1000"/>
      <c r="H37" s="63"/>
      <c r="I37"/>
      <c r="J37" s="965">
        <f>ABS($H$1/J36)</f>
        <v>1879.1186932113762</v>
      </c>
      <c r="K37" s="965">
        <f>ABS($H$1/K36)</f>
        <v>72.469906903100949</v>
      </c>
      <c r="L37" s="965"/>
      <c r="M37" s="967" t="s">
        <v>222</v>
      </c>
      <c r="N37"/>
      <c r="O37" s="995"/>
      <c r="U37" s="114"/>
      <c r="AB37" s="114"/>
      <c r="AC37" s="114"/>
      <c r="AD37" s="114"/>
      <c r="AE37" s="114"/>
      <c r="BE37" s="136"/>
      <c r="BF37" s="136"/>
      <c r="BG37" s="136"/>
      <c r="BH37" s="136"/>
      <c r="BN37" s="86"/>
    </row>
    <row r="38" spans="2:144" ht="18.75" hidden="1" customHeight="1" x14ac:dyDescent="0.2">
      <c r="B38" s="399"/>
      <c r="C38" s="399"/>
      <c r="D38" s="397"/>
      <c r="E38" s="397"/>
      <c r="F38" s="397"/>
      <c r="G38" s="1000"/>
      <c r="H38" s="63"/>
      <c r="I38"/>
      <c r="J38" s="1733">
        <f>ABS($E$22/BQ27)*2</f>
        <v>67.001675041876041</v>
      </c>
      <c r="K38" s="1733"/>
      <c r="L38" s="1733"/>
      <c r="M38" s="1734" t="s">
        <v>350</v>
      </c>
      <c r="N38" s="1730" t="s">
        <v>352</v>
      </c>
      <c r="O38" s="995"/>
      <c r="U38" s="114"/>
      <c r="AB38" s="114"/>
      <c r="AC38" s="114"/>
      <c r="AD38" s="114"/>
      <c r="AE38" s="114"/>
      <c r="BE38" s="136"/>
      <c r="BF38" s="136"/>
      <c r="BG38" s="136"/>
      <c r="BH38" s="136"/>
      <c r="BN38" s="86"/>
    </row>
    <row r="39" spans="2:144" ht="24" hidden="1" thickBot="1" x14ac:dyDescent="0.3">
      <c r="B39" s="399"/>
      <c r="C39" s="399"/>
      <c r="D39" s="397"/>
      <c r="E39" s="397"/>
      <c r="F39" s="397"/>
      <c r="G39" s="998"/>
      <c r="H39"/>
      <c r="I39"/>
      <c r="J39" s="59"/>
      <c r="K39" s="59"/>
      <c r="L39" s="59"/>
      <c r="M39" s="59"/>
      <c r="N39"/>
      <c r="O39" s="995"/>
      <c r="U39" s="114"/>
      <c r="AB39" s="114"/>
      <c r="AC39" s="114"/>
      <c r="AD39" s="114"/>
      <c r="AE39" s="114"/>
      <c r="BE39" s="136"/>
      <c r="BF39" s="136"/>
      <c r="BG39" s="136"/>
      <c r="BH39" s="136"/>
      <c r="BN39" s="86"/>
      <c r="BO39" s="17"/>
      <c r="BP39" s="177"/>
      <c r="BQ39" s="178"/>
      <c r="BR39" s="178"/>
      <c r="BS39" s="178"/>
      <c r="BT39" s="178"/>
      <c r="BU39" s="178"/>
      <c r="BV39" s="178"/>
      <c r="BW39" s="178"/>
      <c r="BX39" s="178"/>
      <c r="BY39" s="179"/>
      <c r="BZ39" s="179"/>
      <c r="CA39" s="180"/>
      <c r="CB39" s="180"/>
      <c r="CC39" s="180"/>
      <c r="CD39" s="180"/>
      <c r="CE39" s="180"/>
      <c r="CF39" s="180"/>
      <c r="CG39" s="180"/>
      <c r="CH39" s="180"/>
      <c r="CI39" s="37"/>
      <c r="CJ39" s="89"/>
      <c r="CK39" s="181"/>
      <c r="CL39" s="181"/>
      <c r="CM39" s="89"/>
      <c r="CN39" s="89"/>
      <c r="CO39" s="89"/>
      <c r="CP39" s="89"/>
      <c r="CQ39" s="89"/>
      <c r="CR39" s="89"/>
      <c r="CS39" s="89"/>
      <c r="CT39" s="89"/>
      <c r="CU39" s="89"/>
      <c r="CV39" s="89"/>
      <c r="CW39" s="178"/>
      <c r="CX39" s="178"/>
      <c r="CY39" s="178"/>
      <c r="CZ39" s="178"/>
      <c r="DA39" s="178"/>
      <c r="DB39" s="178"/>
      <c r="DC39" s="178"/>
      <c r="DD39" s="178"/>
    </row>
    <row r="40" spans="2:144" ht="24" hidden="1" thickBot="1" x14ac:dyDescent="0.3">
      <c r="B40" s="399"/>
      <c r="C40" s="399"/>
      <c r="D40" s="397"/>
      <c r="E40" s="397"/>
      <c r="F40" s="397"/>
      <c r="G40" s="998"/>
      <c r="H40" s="1068" t="s">
        <v>262</v>
      </c>
      <c r="I40" s="984">
        <v>62</v>
      </c>
      <c r="J40" s="1721" t="s">
        <v>256</v>
      </c>
      <c r="K40" s="1727"/>
      <c r="L40" s="1727"/>
      <c r="M40" s="1727"/>
      <c r="N40"/>
      <c r="O40" s="995"/>
      <c r="U40" s="114"/>
      <c r="AB40" s="114"/>
      <c r="AC40" s="114"/>
      <c r="AD40" s="114"/>
      <c r="AE40" s="114"/>
      <c r="BE40" s="136"/>
      <c r="BF40" s="136"/>
      <c r="BG40" s="136"/>
      <c r="BH40" s="136"/>
      <c r="BN40" s="86"/>
      <c r="BO40" s="17"/>
      <c r="BP40" s="177"/>
      <c r="BQ40" s="178"/>
      <c r="BR40" s="178"/>
      <c r="BS40" s="178"/>
      <c r="BT40" s="178"/>
      <c r="BU40" s="178"/>
      <c r="BV40" s="178"/>
      <c r="BW40" s="178"/>
      <c r="BX40" s="178"/>
      <c r="BY40" s="179"/>
      <c r="BZ40" s="179"/>
      <c r="CA40" s="180"/>
      <c r="CB40" s="180"/>
      <c r="CC40" s="180"/>
      <c r="CD40" s="180"/>
      <c r="CE40" s="180"/>
      <c r="CF40" s="180"/>
      <c r="CG40" s="180"/>
      <c r="CH40" s="180"/>
      <c r="CI40" s="37"/>
      <c r="CJ40" s="89"/>
      <c r="CK40" s="181"/>
      <c r="CL40" s="181"/>
      <c r="CM40" s="89"/>
      <c r="CN40" s="89"/>
      <c r="CO40" s="89"/>
      <c r="CP40" s="89"/>
      <c r="CQ40" s="89"/>
      <c r="CR40" s="89"/>
      <c r="CS40" s="89"/>
      <c r="CT40" s="89"/>
      <c r="CU40" s="89"/>
      <c r="CV40" s="89"/>
      <c r="CW40" s="178"/>
      <c r="CX40" s="178"/>
      <c r="CY40" s="178"/>
      <c r="CZ40" s="178"/>
      <c r="DA40" s="178"/>
      <c r="DB40" s="178"/>
      <c r="DC40" s="178"/>
      <c r="DD40" s="178"/>
    </row>
    <row r="41" spans="2:144" ht="24" hidden="1" thickBot="1" x14ac:dyDescent="0.3">
      <c r="B41" s="399"/>
      <c r="C41" s="399"/>
      <c r="D41" s="397"/>
      <c r="E41" s="397"/>
      <c r="F41" s="397"/>
      <c r="G41" s="998"/>
      <c r="H41" s="1001" t="s">
        <v>250</v>
      </c>
      <c r="I41"/>
      <c r="J41" s="961" t="s">
        <v>217</v>
      </c>
      <c r="K41" s="961" t="s">
        <v>225</v>
      </c>
      <c r="L41" s="972" t="s">
        <v>242</v>
      </c>
      <c r="M41" s="1724"/>
      <c r="N41"/>
      <c r="O41" s="995"/>
      <c r="U41" s="114"/>
      <c r="AB41" s="114"/>
      <c r="AC41" s="114"/>
      <c r="AD41" s="114"/>
      <c r="AE41" s="114"/>
      <c r="BE41" s="136"/>
      <c r="BF41" s="136"/>
      <c r="BG41" s="136"/>
      <c r="BH41" s="136"/>
      <c r="BN41" s="86"/>
      <c r="BO41" s="17"/>
      <c r="BP41" s="177"/>
      <c r="BQ41" s="178"/>
      <c r="BR41" s="178"/>
      <c r="BS41" s="178"/>
      <c r="BT41" s="178"/>
      <c r="BU41" s="178"/>
      <c r="BV41" s="178"/>
      <c r="BW41" s="178"/>
      <c r="BX41" s="178"/>
      <c r="BY41" s="179"/>
      <c r="BZ41" s="179"/>
      <c r="CA41" s="182">
        <v>16</v>
      </c>
      <c r="CB41" s="180"/>
      <c r="CC41" s="180"/>
      <c r="CD41" s="180"/>
      <c r="CE41" s="180"/>
      <c r="CF41" s="180"/>
      <c r="CG41" s="180"/>
      <c r="CH41" s="180"/>
      <c r="CI41" s="37"/>
      <c r="CJ41" s="89"/>
      <c r="CK41" s="181"/>
      <c r="CL41" s="181"/>
      <c r="CM41" s="89"/>
      <c r="CN41" s="89"/>
      <c r="CO41" s="89"/>
      <c r="CP41" s="117" t="b">
        <f>IF(CQ59=27,15)</f>
        <v>0</v>
      </c>
      <c r="CQ41" s="183"/>
      <c r="CR41" s="103" t="b">
        <f>IF(CQ59=27,17)</f>
        <v>0</v>
      </c>
      <c r="CS41" s="89"/>
      <c r="CT41" s="89"/>
      <c r="CU41" s="89"/>
      <c r="CV41" s="89"/>
      <c r="CW41" s="178"/>
      <c r="CX41" s="178"/>
      <c r="CY41" s="178"/>
      <c r="CZ41" s="178"/>
      <c r="DA41" s="178"/>
      <c r="DB41" s="178"/>
      <c r="DC41" s="178"/>
      <c r="DD41" s="178"/>
      <c r="DG41" s="1814"/>
      <c r="DH41" s="1814"/>
      <c r="DI41" s="76"/>
      <c r="DJ41" s="76"/>
      <c r="DK41" s="77"/>
      <c r="DL41" s="78"/>
      <c r="DM41" s="78"/>
      <c r="DN41" s="78"/>
      <c r="DO41" s="78"/>
      <c r="DP41" s="78"/>
      <c r="DQ41" s="78"/>
      <c r="DR41" s="78"/>
      <c r="DS41" s="78"/>
      <c r="DT41" s="78"/>
      <c r="DU41" s="78"/>
      <c r="DV41" s="78"/>
      <c r="DW41" s="78"/>
      <c r="DX41" s="78"/>
      <c r="DY41" s="78"/>
      <c r="DZ41" s="78"/>
      <c r="EA41" s="78"/>
      <c r="EB41" s="78"/>
      <c r="EC41" s="78"/>
      <c r="ED41" s="78"/>
      <c r="EE41" s="78"/>
      <c r="EF41" s="78"/>
      <c r="EG41" s="78"/>
      <c r="EH41" s="78"/>
      <c r="EI41" s="78"/>
      <c r="EJ41" s="78"/>
      <c r="EK41" s="78"/>
      <c r="EL41" s="78"/>
      <c r="EM41" s="64"/>
      <c r="EN41" s="64"/>
    </row>
    <row r="42" spans="2:144" ht="24" hidden="1" thickBot="1" x14ac:dyDescent="0.3">
      <c r="B42" s="64"/>
      <c r="C42" s="399"/>
      <c r="E42" s="64"/>
      <c r="G42" s="1002" t="s">
        <v>245</v>
      </c>
      <c r="H42" s="1078">
        <f>SUM(BQ124:CA124)</f>
        <v>8</v>
      </c>
      <c r="I42"/>
      <c r="J42" s="963">
        <f>+H43/H8*BQ27/2</f>
        <v>214.92000000000002</v>
      </c>
      <c r="K42" s="963">
        <f>((H8-H43)/H8)*BQ27/2</f>
        <v>-95.52000000000001</v>
      </c>
      <c r="L42" s="963">
        <f>+BQ27/2</f>
        <v>119.4</v>
      </c>
      <c r="M42" s="961" t="s">
        <v>223</v>
      </c>
      <c r="N42"/>
      <c r="O42" s="995"/>
      <c r="U42" s="114"/>
      <c r="AB42" s="114"/>
      <c r="AC42" s="114"/>
      <c r="AD42" s="114"/>
      <c r="AE42" s="114"/>
      <c r="BE42" s="136"/>
      <c r="BF42" s="136"/>
      <c r="BG42" s="136"/>
      <c r="BH42" s="136"/>
      <c r="BN42" s="86"/>
      <c r="BO42" s="17"/>
      <c r="BP42" s="177"/>
      <c r="BQ42" s="178"/>
      <c r="BR42" s="178"/>
      <c r="BS42" s="178"/>
      <c r="BT42" s="178"/>
      <c r="BU42" s="178"/>
      <c r="BV42" s="178"/>
      <c r="BW42" s="178"/>
      <c r="BX42" s="178"/>
      <c r="BY42" s="179"/>
      <c r="BZ42" s="179"/>
      <c r="CA42" s="182">
        <v>15</v>
      </c>
      <c r="CB42" s="180"/>
      <c r="CC42" s="180"/>
      <c r="CD42" s="180"/>
      <c r="CE42" s="180"/>
      <c r="CF42" s="180"/>
      <c r="CG42" s="180"/>
      <c r="CH42" s="180"/>
      <c r="CI42" s="37"/>
      <c r="CJ42" s="89"/>
      <c r="CK42" s="181"/>
      <c r="CL42" s="181"/>
      <c r="CM42" s="89"/>
      <c r="CN42" s="117" t="b">
        <f>IF(CP59=26,13)</f>
        <v>0</v>
      </c>
      <c r="CO42" s="183"/>
      <c r="CP42" s="183"/>
      <c r="CQ42" s="183"/>
      <c r="CR42" s="103" t="b">
        <f>IF(CP59=26,17)</f>
        <v>0</v>
      </c>
      <c r="CS42" s="89"/>
      <c r="CT42" s="89"/>
      <c r="CU42" s="89"/>
      <c r="CV42" s="89"/>
      <c r="CW42" s="178"/>
      <c r="CX42" s="178"/>
      <c r="CY42" s="178"/>
      <c r="CZ42" s="178"/>
      <c r="DA42" s="178"/>
      <c r="DB42" s="178"/>
      <c r="DC42" s="178"/>
      <c r="DD42" s="178"/>
      <c r="EK42" s="78"/>
      <c r="EL42" s="78"/>
    </row>
    <row r="43" spans="2:144" ht="31" hidden="1" thickBot="1" x14ac:dyDescent="0.35">
      <c r="B43" s="67"/>
      <c r="C43" s="399"/>
      <c r="E43" s="68"/>
      <c r="G43" s="994" t="s">
        <v>243</v>
      </c>
      <c r="H43" s="1077">
        <f>$H$5-((H42-1)*$E$2)</f>
        <v>387</v>
      </c>
      <c r="I43"/>
      <c r="J43" s="965">
        <f>ABS($H$1/J42)</f>
        <v>83.752093802345058</v>
      </c>
      <c r="K43" s="965">
        <f>ABS($H$1/K42)</f>
        <v>188.44221105527637</v>
      </c>
      <c r="L43" s="965">
        <f>ABS($H$1/L42)</f>
        <v>150.7537688442211</v>
      </c>
      <c r="M43" s="967" t="s">
        <v>222</v>
      </c>
      <c r="N43"/>
      <c r="O43" s="995"/>
      <c r="U43" s="114"/>
      <c r="AB43" s="114"/>
      <c r="AC43" s="114"/>
      <c r="AD43" s="114"/>
      <c r="AE43" s="114"/>
      <c r="BE43" s="136"/>
      <c r="BF43" s="136"/>
      <c r="BG43" s="136"/>
      <c r="BH43" s="136"/>
      <c r="BN43" s="86"/>
      <c r="BO43" s="17"/>
      <c r="BP43" s="177"/>
      <c r="BQ43" s="178"/>
      <c r="BR43" s="178"/>
      <c r="BS43" s="178"/>
      <c r="BT43" s="178"/>
      <c r="BU43" s="178"/>
      <c r="BV43" s="178"/>
      <c r="BW43" s="178"/>
      <c r="BX43" s="178"/>
      <c r="BY43" s="179"/>
      <c r="BZ43" s="179"/>
      <c r="CA43" s="182">
        <v>14</v>
      </c>
      <c r="CB43" s="180"/>
      <c r="CC43" s="180"/>
      <c r="CD43" s="180"/>
      <c r="CE43" s="180"/>
      <c r="CF43" s="180"/>
      <c r="CG43" s="180"/>
      <c r="CH43" s="180"/>
      <c r="CI43" s="37"/>
      <c r="CJ43" s="89"/>
      <c r="CK43" s="181"/>
      <c r="CL43" s="117" t="b">
        <f>IF(CO59=25,11)</f>
        <v>0</v>
      </c>
      <c r="CM43" s="183"/>
      <c r="CN43" s="184"/>
      <c r="CO43" s="184"/>
      <c r="CP43" s="184"/>
      <c r="CQ43" s="184"/>
      <c r="CR43" s="124" t="b">
        <f>IF(CO59=25,17)</f>
        <v>0</v>
      </c>
      <c r="CS43" s="89"/>
      <c r="CT43" s="89"/>
      <c r="CU43" s="89"/>
      <c r="CV43" s="89"/>
      <c r="CW43" s="178"/>
      <c r="CX43" s="178"/>
      <c r="CY43" s="178"/>
      <c r="CZ43" s="178"/>
      <c r="DA43" s="178"/>
      <c r="DB43" s="178"/>
      <c r="DC43" s="178"/>
      <c r="DD43" s="178"/>
      <c r="EK43" s="78"/>
      <c r="EL43" s="78"/>
    </row>
    <row r="44" spans="2:144" ht="21" hidden="1" thickBot="1" x14ac:dyDescent="0.25">
      <c r="B44" s="487"/>
      <c r="C44" s="487"/>
      <c r="D44" s="487"/>
      <c r="E44" s="487"/>
      <c r="G44" s="1000"/>
      <c r="H44" s="63"/>
      <c r="I44"/>
      <c r="J44" s="1733"/>
      <c r="K44" s="1733"/>
      <c r="L44" s="1733">
        <f>ABS($E$22/BQ27)*2</f>
        <v>67.001675041876041</v>
      </c>
      <c r="M44" s="1734" t="s">
        <v>350</v>
      </c>
      <c r="N44" s="1730" t="s">
        <v>352</v>
      </c>
      <c r="O44" s="995"/>
      <c r="U44" s="114"/>
      <c r="AB44" s="114"/>
      <c r="AC44" s="114"/>
      <c r="AD44" s="114"/>
      <c r="AE44" s="114"/>
      <c r="BE44" s="136"/>
      <c r="BF44" s="136"/>
      <c r="BG44" s="136"/>
      <c r="BH44" s="136"/>
      <c r="BN44" s="86"/>
      <c r="BO44" s="1091"/>
      <c r="BP44" s="177"/>
      <c r="BQ44" s="178"/>
      <c r="BR44" s="178"/>
      <c r="BS44" s="178"/>
      <c r="BT44" s="178"/>
      <c r="BU44" s="178"/>
      <c r="BV44" s="178"/>
      <c r="BW44" s="178"/>
      <c r="BX44" s="178"/>
      <c r="CA44" s="182">
        <v>13</v>
      </c>
      <c r="CB44" s="178"/>
      <c r="CC44" s="177"/>
      <c r="CD44" s="177"/>
      <c r="CE44" s="177"/>
      <c r="CF44" s="177"/>
      <c r="CG44" s="177"/>
      <c r="CH44" s="177"/>
      <c r="CI44" s="177"/>
      <c r="CJ44" s="117" t="b">
        <f>IF(CN59=24,9)</f>
        <v>0</v>
      </c>
      <c r="CK44" s="185"/>
      <c r="CL44" s="186"/>
      <c r="CM44" s="122"/>
      <c r="CN44" s="186"/>
      <c r="CO44" s="122"/>
      <c r="CP44" s="122"/>
      <c r="CQ44" s="121"/>
      <c r="CR44" s="124" t="b">
        <f>IF(CN59=24,17)</f>
        <v>0</v>
      </c>
      <c r="CS44" s="78"/>
      <c r="CT44" s="78"/>
      <c r="CU44" s="78"/>
      <c r="CV44" s="78"/>
      <c r="CW44" s="78"/>
      <c r="CX44" s="78"/>
      <c r="CY44" s="78"/>
      <c r="CZ44" s="78"/>
      <c r="DA44" s="78"/>
      <c r="DB44" s="78"/>
      <c r="DC44" s="78"/>
      <c r="DD44" s="78"/>
      <c r="EK44" s="78"/>
      <c r="EL44" s="78"/>
    </row>
    <row r="45" spans="2:144" ht="21" hidden="1" thickBot="1" x14ac:dyDescent="0.25">
      <c r="B45" s="488"/>
      <c r="C45" s="489"/>
      <c r="D45" s="488"/>
      <c r="E45" s="488"/>
      <c r="G45" s="998"/>
      <c r="H45" s="1069" t="s">
        <v>263</v>
      </c>
      <c r="I45"/>
      <c r="J45" s="59"/>
      <c r="K45" s="59"/>
      <c r="L45" s="59"/>
      <c r="M45" s="59"/>
      <c r="N45"/>
      <c r="O45" s="995"/>
      <c r="U45" s="114"/>
      <c r="AB45" s="114"/>
      <c r="AC45" s="114"/>
      <c r="AD45" s="114"/>
      <c r="AE45" s="114"/>
      <c r="BE45" s="136"/>
      <c r="BF45" s="136"/>
      <c r="BG45" s="136"/>
      <c r="BH45" s="136"/>
      <c r="BN45" s="86"/>
      <c r="BO45" s="1091"/>
      <c r="BP45" s="177"/>
      <c r="BQ45" s="177"/>
      <c r="BR45" s="178"/>
      <c r="BS45" s="177"/>
      <c r="BT45" s="177"/>
      <c r="BU45" s="177"/>
      <c r="CA45" s="182">
        <v>12</v>
      </c>
      <c r="CB45" s="178"/>
      <c r="CC45" s="177"/>
      <c r="CD45" s="177"/>
      <c r="CE45" s="177"/>
      <c r="CF45" s="177"/>
      <c r="CG45" s="177"/>
      <c r="CH45" s="117" t="b">
        <f>IF(CM59=23,7)</f>
        <v>0</v>
      </c>
      <c r="CI45" s="185"/>
      <c r="CJ45" s="185"/>
      <c r="CK45" s="118"/>
      <c r="CL45" s="185"/>
      <c r="CM45" s="185"/>
      <c r="CN45" s="185"/>
      <c r="CO45" s="118"/>
      <c r="CP45" s="118"/>
      <c r="CQ45" s="111"/>
      <c r="CR45" s="103" t="b">
        <f>IF(CM59=23,17)</f>
        <v>0</v>
      </c>
      <c r="CS45" s="78"/>
      <c r="CT45" s="78"/>
      <c r="CU45" s="78"/>
      <c r="CV45" s="78"/>
      <c r="CW45" s="78"/>
      <c r="CX45" s="78"/>
      <c r="CY45" s="78"/>
      <c r="CZ45" s="78"/>
      <c r="DA45" s="78"/>
      <c r="DB45" s="78"/>
      <c r="DC45" s="78"/>
      <c r="DD45" s="78"/>
      <c r="EK45" s="78"/>
      <c r="EL45" s="78"/>
    </row>
    <row r="46" spans="2:144" ht="21" hidden="1" thickBot="1" x14ac:dyDescent="0.25">
      <c r="B46" s="399"/>
      <c r="C46" s="399"/>
      <c r="G46" s="1004"/>
      <c r="H46" s="1005" t="s">
        <v>250</v>
      </c>
      <c r="I46" s="984">
        <v>63</v>
      </c>
      <c r="J46" s="1721" t="s">
        <v>257</v>
      </c>
      <c r="K46" s="1727"/>
      <c r="L46" s="1727"/>
      <c r="M46" s="1727"/>
      <c r="N46"/>
      <c r="O46" s="995"/>
      <c r="U46" s="114"/>
      <c r="AB46" s="114"/>
      <c r="AC46" s="114"/>
      <c r="AD46" s="114"/>
      <c r="AE46" s="114"/>
      <c r="BE46" s="136"/>
      <c r="BF46" s="136"/>
      <c r="BG46" s="136"/>
      <c r="BH46" s="136"/>
      <c r="BN46" s="86"/>
      <c r="BO46" s="1091"/>
      <c r="BP46" s="177"/>
      <c r="BQ46" s="177"/>
      <c r="BR46" s="178"/>
      <c r="BS46" s="177"/>
      <c r="BT46" s="177"/>
      <c r="BU46" s="177"/>
      <c r="CA46" s="182">
        <v>11</v>
      </c>
      <c r="CB46" s="178"/>
      <c r="CC46" s="177"/>
      <c r="CD46" s="177"/>
      <c r="CE46" s="177"/>
      <c r="CF46" s="117" t="b">
        <f>IF(CL59=22,5)</f>
        <v>0</v>
      </c>
      <c r="CG46" s="185"/>
      <c r="CH46" s="185"/>
      <c r="CI46" s="118"/>
      <c r="CJ46" s="185"/>
      <c r="CK46" s="118"/>
      <c r="CL46" s="185"/>
      <c r="CM46" s="118"/>
      <c r="CN46" s="185"/>
      <c r="CO46" s="118"/>
      <c r="CP46" s="118"/>
      <c r="CQ46" s="111"/>
      <c r="CR46" s="103" t="b">
        <f>IF(CL59=22,17)</f>
        <v>0</v>
      </c>
      <c r="CS46" s="78"/>
      <c r="CT46" s="78"/>
      <c r="CU46" s="78"/>
      <c r="CV46" s="78"/>
      <c r="CW46" s="78"/>
      <c r="CX46" s="78"/>
      <c r="CY46" s="78"/>
      <c r="CZ46" s="78"/>
      <c r="DA46" s="78"/>
      <c r="DB46" s="78"/>
      <c r="DC46" s="78"/>
      <c r="DD46" s="78"/>
      <c r="DG46" s="107"/>
      <c r="DH46" s="107"/>
      <c r="DI46" s="107"/>
      <c r="DJ46" s="107"/>
      <c r="DK46" s="107"/>
      <c r="DL46" s="108"/>
      <c r="DM46" s="107"/>
      <c r="DN46" s="107"/>
      <c r="DO46" s="107"/>
      <c r="DP46" s="107"/>
      <c r="DQ46" s="107"/>
      <c r="DR46" s="107"/>
      <c r="DS46" s="107"/>
      <c r="DT46" s="107"/>
      <c r="DU46" s="107"/>
      <c r="DV46" s="107"/>
      <c r="DW46" s="107"/>
      <c r="DX46" s="107"/>
      <c r="DY46" s="107"/>
      <c r="DZ46" s="107"/>
      <c r="EA46" s="107"/>
      <c r="EB46" s="107"/>
      <c r="EC46" s="107"/>
      <c r="ED46" s="108"/>
      <c r="EE46" s="78"/>
      <c r="EF46" s="78"/>
      <c r="EG46" s="78"/>
      <c r="EH46" s="78"/>
      <c r="EI46" s="78"/>
      <c r="EJ46" s="78"/>
      <c r="EK46" s="78"/>
      <c r="EL46" s="78"/>
    </row>
    <row r="47" spans="2:144" ht="24" hidden="1" thickBot="1" x14ac:dyDescent="0.3">
      <c r="B47" s="490"/>
      <c r="C47" s="399"/>
      <c r="D47" s="491"/>
      <c r="E47" s="492"/>
      <c r="F47" s="397"/>
      <c r="G47" s="1002" t="s">
        <v>245</v>
      </c>
      <c r="H47" s="1079">
        <f>SUM(CQ124:DA124)</f>
        <v>0</v>
      </c>
      <c r="I47"/>
      <c r="J47" s="972" t="s">
        <v>244</v>
      </c>
      <c r="K47" s="961" t="s">
        <v>215</v>
      </c>
      <c r="L47" s="961" t="s">
        <v>216</v>
      </c>
      <c r="M47" s="1724"/>
      <c r="N47"/>
      <c r="O47" s="995"/>
      <c r="U47" s="114"/>
      <c r="AB47" s="114"/>
      <c r="AC47" s="114"/>
      <c r="AD47" s="114"/>
      <c r="AE47" s="114"/>
      <c r="BE47" s="136"/>
      <c r="BF47" s="136"/>
      <c r="BG47" s="136"/>
      <c r="BH47" s="136"/>
      <c r="BN47" s="86"/>
      <c r="BO47" s="1091"/>
      <c r="BP47" s="177"/>
      <c r="BQ47" s="177"/>
      <c r="BR47" s="178"/>
      <c r="BS47" s="177"/>
      <c r="BT47" s="177"/>
      <c r="BU47" s="177"/>
      <c r="CA47" s="182">
        <v>10</v>
      </c>
      <c r="CB47" s="178"/>
      <c r="CC47" s="177"/>
      <c r="CD47" s="117" t="b">
        <f>IF(CK59=21,3)</f>
        <v>0</v>
      </c>
      <c r="CE47" s="185"/>
      <c r="CF47" s="185"/>
      <c r="CG47" s="118"/>
      <c r="CH47" s="118"/>
      <c r="CI47" s="118"/>
      <c r="CJ47" s="185"/>
      <c r="CK47" s="185"/>
      <c r="CL47" s="185"/>
      <c r="CM47" s="118"/>
      <c r="CN47" s="185"/>
      <c r="CO47" s="118"/>
      <c r="CP47" s="118"/>
      <c r="CQ47" s="111"/>
      <c r="CR47" s="103" t="b">
        <f>IF(CK59=21,17)</f>
        <v>0</v>
      </c>
      <c r="CS47" s="78"/>
      <c r="CT47" s="78"/>
      <c r="CU47" s="78"/>
      <c r="CV47" s="78"/>
      <c r="CW47" s="78"/>
      <c r="CX47" s="78"/>
      <c r="CY47" s="78"/>
      <c r="CZ47" s="78"/>
      <c r="DA47" s="78"/>
      <c r="DB47" s="78"/>
      <c r="DC47" s="78"/>
      <c r="DD47" s="78"/>
      <c r="DG47" s="107"/>
      <c r="DH47" s="107"/>
      <c r="DI47" s="107"/>
      <c r="DJ47" s="107"/>
      <c r="DK47" s="107"/>
      <c r="DL47" s="108"/>
      <c r="DM47" s="107"/>
      <c r="DN47" s="107"/>
      <c r="DO47" s="107"/>
      <c r="DP47" s="107"/>
      <c r="DQ47" s="107"/>
      <c r="DR47" s="107"/>
      <c r="DS47" s="107"/>
      <c r="DT47" s="107"/>
      <c r="DU47" s="107"/>
      <c r="DV47" s="107"/>
      <c r="DW47" s="107"/>
      <c r="DX47" s="107"/>
      <c r="DY47" s="107"/>
      <c r="DZ47" s="107"/>
      <c r="EA47" s="107"/>
      <c r="EB47" s="107"/>
      <c r="EC47" s="107"/>
      <c r="ED47" s="108"/>
      <c r="EE47" s="78"/>
      <c r="EF47" s="78"/>
      <c r="EG47" s="78"/>
      <c r="EH47" s="78"/>
      <c r="EI47" s="78"/>
      <c r="EJ47" s="78"/>
      <c r="EK47" s="78"/>
      <c r="EL47" s="78"/>
    </row>
    <row r="48" spans="2:144" ht="21" hidden="1" thickBot="1" x14ac:dyDescent="0.25">
      <c r="B48" s="488"/>
      <c r="C48" s="399"/>
      <c r="D48" s="488"/>
      <c r="E48" s="20"/>
      <c r="F48" s="397"/>
      <c r="G48" s="994" t="s">
        <v>243</v>
      </c>
      <c r="H48" s="1077">
        <f>($E$2*(H47-1))-$H$4</f>
        <v>-903</v>
      </c>
      <c r="I48"/>
      <c r="J48" s="963">
        <f>+BQ27/2</f>
        <v>119.4</v>
      </c>
      <c r="K48" s="963">
        <f>((H8-H48)/H8)*BQ27/2</f>
        <v>620.88</v>
      </c>
      <c r="L48" s="963">
        <f>+H48/H8*BQ27/2</f>
        <v>-501.48</v>
      </c>
      <c r="M48" s="961" t="s">
        <v>223</v>
      </c>
      <c r="N48"/>
      <c r="O48" s="995"/>
      <c r="U48" s="114"/>
      <c r="AB48" s="114"/>
      <c r="AC48" s="114"/>
      <c r="AD48" s="114"/>
      <c r="AE48" s="114"/>
      <c r="BE48" s="136"/>
      <c r="BF48" s="136"/>
      <c r="BG48" s="136"/>
      <c r="BH48" s="136"/>
      <c r="BN48" s="86"/>
      <c r="BO48" s="1091"/>
      <c r="BP48" s="177"/>
      <c r="BQ48" s="177"/>
      <c r="BR48" s="178"/>
      <c r="BS48" s="177"/>
      <c r="BT48" s="177"/>
      <c r="BU48" s="177"/>
      <c r="CA48" s="182">
        <v>9</v>
      </c>
      <c r="CB48" s="117" t="b">
        <f>IF(CJ59=20,1)</f>
        <v>0</v>
      </c>
      <c r="CC48" s="185"/>
      <c r="CD48" s="185"/>
      <c r="CE48" s="118"/>
      <c r="CF48" s="185"/>
      <c r="CG48" s="185"/>
      <c r="CH48" s="185"/>
      <c r="CI48" s="185"/>
      <c r="CJ48" s="185"/>
      <c r="CK48" s="185"/>
      <c r="CL48" s="185"/>
      <c r="CM48" s="185"/>
      <c r="CN48" s="185"/>
      <c r="CO48" s="118"/>
      <c r="CP48" s="118"/>
      <c r="CQ48" s="111"/>
      <c r="CR48" s="103" t="b">
        <f>IF(CJ59=20,17)</f>
        <v>0</v>
      </c>
      <c r="CS48" s="78"/>
      <c r="CT48" s="78"/>
      <c r="CU48" s="78"/>
      <c r="CV48" s="78"/>
      <c r="CW48" s="78"/>
      <c r="CX48" s="78"/>
      <c r="CY48" s="78"/>
      <c r="CZ48" s="78"/>
      <c r="DA48" s="78"/>
      <c r="DB48" s="78"/>
      <c r="DC48" s="78"/>
      <c r="DD48" s="78"/>
      <c r="EK48" s="78"/>
      <c r="EL48" s="78"/>
    </row>
    <row r="49" spans="2:142" ht="21" hidden="1" thickBot="1" x14ac:dyDescent="0.25">
      <c r="B49" s="399"/>
      <c r="C49" s="399"/>
      <c r="F49" s="397"/>
      <c r="G49" s="998"/>
      <c r="H49"/>
      <c r="I49"/>
      <c r="J49" s="965">
        <f>ABS($H$1/J48)</f>
        <v>150.7537688442211</v>
      </c>
      <c r="K49" s="965">
        <f>ABS($H$1/K48)</f>
        <v>28.991109393119444</v>
      </c>
      <c r="L49" s="965">
        <f>ABS($H$1/L48)</f>
        <v>35.89375448671931</v>
      </c>
      <c r="M49" s="967" t="s">
        <v>222</v>
      </c>
      <c r="O49" s="1581"/>
      <c r="U49" s="114"/>
      <c r="AB49" s="114"/>
      <c r="AC49" s="114"/>
      <c r="AD49" s="114"/>
      <c r="AE49" s="114"/>
      <c r="BE49" s="136"/>
      <c r="BF49" s="136"/>
      <c r="BG49" s="136"/>
      <c r="BH49" s="136"/>
      <c r="BN49" s="86"/>
      <c r="BO49" s="1091"/>
      <c r="BP49" s="177"/>
      <c r="BQ49" s="177"/>
      <c r="BR49" s="178"/>
      <c r="BS49" s="177"/>
      <c r="BT49" s="177"/>
      <c r="BU49" s="177"/>
      <c r="CA49" s="182">
        <v>8</v>
      </c>
      <c r="CB49" s="120" t="b">
        <f>IF(CI59=19,1)</f>
        <v>0</v>
      </c>
      <c r="CC49" s="122"/>
      <c r="CD49" s="186"/>
      <c r="CE49" s="186"/>
      <c r="CF49" s="186"/>
      <c r="CG49" s="186"/>
      <c r="CH49" s="186"/>
      <c r="CI49" s="186"/>
      <c r="CJ49" s="186"/>
      <c r="CK49" s="186"/>
      <c r="CL49" s="186"/>
      <c r="CM49" s="186"/>
      <c r="CN49" s="186"/>
      <c r="CO49" s="122"/>
      <c r="CP49" s="124" t="b">
        <f>IF(CI59=19,15)</f>
        <v>0</v>
      </c>
      <c r="CQ49" s="78"/>
      <c r="CR49" s="78"/>
      <c r="CS49" s="78"/>
      <c r="CT49" s="78"/>
      <c r="CU49" s="78"/>
      <c r="CV49" s="78"/>
      <c r="CW49" s="78"/>
      <c r="CX49" s="78"/>
      <c r="CY49" s="78"/>
      <c r="CZ49" s="78"/>
      <c r="DA49" s="78"/>
      <c r="DB49" s="78"/>
      <c r="DC49" s="78"/>
      <c r="DD49" s="78"/>
      <c r="EK49" s="78"/>
      <c r="EL49" s="78"/>
    </row>
    <row r="50" spans="2:142" ht="21" hidden="1" thickBot="1" x14ac:dyDescent="0.25">
      <c r="B50" s="399"/>
      <c r="C50" s="399"/>
      <c r="G50" s="998"/>
      <c r="H50"/>
      <c r="I50"/>
      <c r="J50" s="1733">
        <f>ABS($E$22/BQ27)*2</f>
        <v>67.001675041876041</v>
      </c>
      <c r="K50" s="1733"/>
      <c r="L50" s="1733"/>
      <c r="M50" s="1734" t="s">
        <v>350</v>
      </c>
      <c r="N50" s="1730" t="s">
        <v>352</v>
      </c>
      <c r="O50" s="995"/>
      <c r="U50" s="114"/>
      <c r="AB50" s="114"/>
      <c r="AC50" s="114"/>
      <c r="AD50" s="114"/>
      <c r="AE50" s="114"/>
      <c r="BE50" s="136"/>
      <c r="BF50" s="136"/>
      <c r="BG50" s="136"/>
      <c r="BH50" s="136"/>
      <c r="BN50" s="86"/>
      <c r="BO50" s="1091"/>
      <c r="BP50" s="177"/>
      <c r="BQ50" s="177"/>
      <c r="BR50" s="178"/>
      <c r="BS50" s="177"/>
      <c r="BT50" s="177"/>
      <c r="BU50" s="177"/>
      <c r="CA50" s="182">
        <v>7</v>
      </c>
      <c r="CB50" s="120" t="b">
        <f>IF(CH59=18,1)</f>
        <v>0</v>
      </c>
      <c r="CC50" s="186"/>
      <c r="CD50" s="186"/>
      <c r="CE50" s="186"/>
      <c r="CF50" s="186"/>
      <c r="CG50" s="186"/>
      <c r="CH50" s="186"/>
      <c r="CI50" s="186"/>
      <c r="CJ50" s="186"/>
      <c r="CK50" s="186"/>
      <c r="CL50" s="186"/>
      <c r="CM50" s="186"/>
      <c r="CN50" s="124" t="b">
        <f>IF(CH59=18,13)</f>
        <v>0</v>
      </c>
      <c r="CO50" s="178"/>
      <c r="CQ50" s="78"/>
      <c r="CR50" s="78"/>
      <c r="CS50" s="78"/>
      <c r="CT50" s="78"/>
      <c r="CU50" s="78"/>
      <c r="CV50" s="78"/>
      <c r="CW50" s="78"/>
      <c r="CX50" s="78"/>
      <c r="CY50" s="78"/>
      <c r="CZ50" s="78"/>
      <c r="DA50" s="78"/>
      <c r="DB50" s="78"/>
      <c r="DC50" s="78"/>
      <c r="DD50" s="78"/>
      <c r="EK50" s="78"/>
      <c r="EL50" s="78"/>
    </row>
    <row r="51" spans="2:142" ht="21" hidden="1" thickBot="1" x14ac:dyDescent="0.25">
      <c r="G51" s="998"/>
      <c r="H51"/>
      <c r="I51"/>
      <c r="J51" s="59"/>
      <c r="K51" s="59"/>
      <c r="L51" s="59"/>
      <c r="M51" s="59"/>
      <c r="N51"/>
      <c r="O51" s="995"/>
      <c r="U51" s="114"/>
      <c r="AB51" s="114"/>
      <c r="AC51" s="114"/>
      <c r="AD51" s="114"/>
      <c r="AE51" s="114"/>
      <c r="BE51" s="136"/>
      <c r="BF51" s="136"/>
      <c r="BG51" s="136"/>
      <c r="BH51" s="136"/>
      <c r="BN51" s="86"/>
      <c r="BO51" s="1091"/>
      <c r="BP51" s="177"/>
      <c r="BQ51" s="177"/>
      <c r="BR51" s="178"/>
      <c r="BS51" s="177"/>
      <c r="BT51" s="177"/>
      <c r="BU51" s="177"/>
      <c r="CA51" s="182">
        <v>6</v>
      </c>
      <c r="CB51" s="120">
        <f>IF(CG59=17,1)</f>
        <v>1</v>
      </c>
      <c r="CC51" s="186"/>
      <c r="CD51" s="186"/>
      <c r="CE51" s="186"/>
      <c r="CF51" s="186"/>
      <c r="CG51" s="186"/>
      <c r="CH51" s="186"/>
      <c r="CI51" s="186"/>
      <c r="CJ51" s="186"/>
      <c r="CK51" s="186"/>
      <c r="CL51" s="124">
        <f>IF(CG59=17,11)</f>
        <v>11</v>
      </c>
      <c r="CM51" s="177"/>
      <c r="CN51" s="177"/>
      <c r="CO51" s="178"/>
      <c r="CQ51" s="78"/>
      <c r="CR51" s="78"/>
      <c r="CS51" s="78"/>
      <c r="CT51" s="78"/>
      <c r="CU51" s="78"/>
      <c r="CV51" s="78"/>
      <c r="CW51" s="78"/>
      <c r="CX51" s="78"/>
      <c r="CY51" s="78"/>
      <c r="CZ51" s="78"/>
      <c r="DA51" s="78"/>
      <c r="DB51" s="78"/>
      <c r="DC51" s="78"/>
      <c r="DD51" s="78"/>
      <c r="EK51" s="78"/>
      <c r="EL51" s="78"/>
    </row>
    <row r="52" spans="2:142" ht="21" hidden="1" thickBot="1" x14ac:dyDescent="0.25">
      <c r="G52" s="998"/>
      <c r="H52"/>
      <c r="I52" s="984">
        <v>64</v>
      </c>
      <c r="J52" s="1721" t="s">
        <v>258</v>
      </c>
      <c r="K52" s="1727"/>
      <c r="L52" s="1727"/>
      <c r="M52" s="1727"/>
      <c r="N52"/>
      <c r="O52" s="995"/>
      <c r="U52" s="114"/>
      <c r="AB52" s="114"/>
      <c r="AC52" s="114"/>
      <c r="AD52" s="114"/>
      <c r="AE52" s="114"/>
      <c r="BE52" s="136"/>
      <c r="BF52" s="136"/>
      <c r="BG52" s="136"/>
      <c r="BH52" s="136"/>
      <c r="BN52" s="86"/>
      <c r="BO52" s="1091"/>
      <c r="BP52" s="177"/>
      <c r="BQ52" s="177"/>
      <c r="BR52" s="178"/>
      <c r="BS52" s="177"/>
      <c r="BT52" s="177"/>
      <c r="BU52" s="177"/>
      <c r="CA52" s="182">
        <v>5</v>
      </c>
      <c r="CB52" s="117" t="b">
        <f>IF(CF59=16,1)</f>
        <v>0</v>
      </c>
      <c r="CC52" s="185"/>
      <c r="CD52" s="185"/>
      <c r="CE52" s="118"/>
      <c r="CF52" s="185"/>
      <c r="CG52" s="118"/>
      <c r="CH52" s="185"/>
      <c r="CI52" s="185"/>
      <c r="CJ52" s="103" t="b">
        <f>IF(CF59=16,9)</f>
        <v>0</v>
      </c>
      <c r="CK52" s="177"/>
      <c r="CL52" s="177"/>
      <c r="CM52" s="177"/>
      <c r="CN52" s="177"/>
      <c r="CO52" s="178"/>
      <c r="CQ52" s="78"/>
      <c r="CR52" s="78"/>
      <c r="CS52" s="78"/>
      <c r="CT52" s="78"/>
      <c r="CU52" s="78"/>
      <c r="CV52" s="78"/>
      <c r="CW52" s="78"/>
      <c r="CX52" s="78"/>
      <c r="CY52" s="78"/>
      <c r="CZ52" s="78"/>
      <c r="DA52" s="78"/>
      <c r="DB52" s="78"/>
      <c r="DC52" s="78"/>
      <c r="DD52" s="78"/>
      <c r="EK52" s="78"/>
      <c r="EL52" s="78"/>
    </row>
    <row r="53" spans="2:142" ht="24" hidden="1" thickBot="1" x14ac:dyDescent="0.3">
      <c r="B53" s="406"/>
      <c r="C53" s="406"/>
      <c r="D53" s="407"/>
      <c r="E53" s="407"/>
      <c r="F53" s="407"/>
      <c r="G53" s="1002" t="s">
        <v>245</v>
      </c>
      <c r="H53" s="1007" t="s">
        <v>252</v>
      </c>
      <c r="I53"/>
      <c r="J53" s="972" t="s">
        <v>244</v>
      </c>
      <c r="K53" s="961"/>
      <c r="L53" s="972" t="s">
        <v>242</v>
      </c>
      <c r="M53" s="1724"/>
      <c r="N53"/>
      <c r="O53" s="995"/>
      <c r="BD53" s="126"/>
      <c r="BE53" s="136"/>
      <c r="BF53" s="136"/>
      <c r="BG53" s="136"/>
      <c r="BH53" s="136"/>
      <c r="BN53" s="86"/>
      <c r="BO53" s="1091"/>
      <c r="BP53" s="177"/>
      <c r="BQ53" s="177"/>
      <c r="BR53" s="178"/>
      <c r="BS53" s="177"/>
      <c r="BT53" s="177"/>
      <c r="BU53" s="177"/>
      <c r="CA53" s="182">
        <v>4</v>
      </c>
      <c r="CB53" s="117" t="b">
        <f>IF(CE59=15,1)</f>
        <v>0</v>
      </c>
      <c r="CC53" s="118"/>
      <c r="CD53" s="118"/>
      <c r="CE53" s="185"/>
      <c r="CF53" s="118"/>
      <c r="CG53" s="118"/>
      <c r="CH53" s="103" t="b">
        <f>IF(CE59=15,7)</f>
        <v>0</v>
      </c>
      <c r="CI53" s="177"/>
      <c r="CJ53" s="177"/>
      <c r="CK53" s="177"/>
      <c r="CL53" s="177"/>
      <c r="CM53" s="177"/>
      <c r="CN53" s="177"/>
      <c r="CO53" s="178"/>
      <c r="CQ53" s="78"/>
      <c r="CR53" s="78"/>
      <c r="CS53" s="78"/>
      <c r="CT53" s="78"/>
      <c r="CU53" s="78"/>
      <c r="CV53" s="78"/>
      <c r="CW53" s="78"/>
      <c r="CX53" s="78"/>
      <c r="CY53" s="78"/>
      <c r="CZ53" s="78"/>
      <c r="DA53" s="78"/>
      <c r="DB53" s="78"/>
      <c r="DC53" s="78"/>
      <c r="DD53" s="78"/>
      <c r="EK53" s="78"/>
      <c r="EL53" s="78"/>
    </row>
    <row r="54" spans="2:142" ht="21" hidden="1" thickBot="1" x14ac:dyDescent="0.25">
      <c r="G54" s="994" t="s">
        <v>243</v>
      </c>
      <c r="H54" s="956"/>
      <c r="I54"/>
      <c r="J54" s="963">
        <f>+((H6-D3)/H6)*BQ27</f>
        <v>150.09322910312235</v>
      </c>
      <c r="K54" s="963"/>
      <c r="L54" s="963">
        <f>+(D3/H6)*BQ27</f>
        <v>88.706770896877643</v>
      </c>
      <c r="M54" s="961" t="s">
        <v>223</v>
      </c>
      <c r="N54"/>
      <c r="O54" s="995"/>
      <c r="BD54" s="126"/>
      <c r="BE54" s="136"/>
      <c r="BF54" s="136"/>
      <c r="BG54" s="136"/>
      <c r="BH54" s="136"/>
      <c r="BN54" s="86"/>
      <c r="BO54" s="1091"/>
      <c r="BP54" s="177"/>
      <c r="BQ54" s="177"/>
      <c r="BR54" s="178"/>
      <c r="BS54" s="177"/>
      <c r="BT54" s="177"/>
      <c r="BU54" s="177"/>
      <c r="CA54" s="182">
        <v>3</v>
      </c>
      <c r="CB54" s="120" t="b">
        <f>IF(CD59=14,1)</f>
        <v>0</v>
      </c>
      <c r="CC54" s="186"/>
      <c r="CD54" s="186"/>
      <c r="CE54" s="186"/>
      <c r="CF54" s="124" t="b">
        <f>IF(CD59=14,5)</f>
        <v>0</v>
      </c>
      <c r="CG54" s="177"/>
      <c r="CH54" s="177"/>
      <c r="CI54" s="177"/>
      <c r="CJ54" s="177"/>
      <c r="CK54" s="177"/>
      <c r="CL54" s="177"/>
      <c r="CM54" s="177"/>
      <c r="CN54" s="177"/>
      <c r="CO54" s="178"/>
      <c r="CQ54" s="78"/>
      <c r="CR54" s="78"/>
      <c r="CS54" s="78"/>
      <c r="CT54" s="78"/>
      <c r="CU54" s="78"/>
      <c r="CV54" s="78"/>
      <c r="CW54" s="78"/>
      <c r="CX54" s="78"/>
      <c r="CY54" s="78"/>
      <c r="CZ54" s="78"/>
      <c r="DA54" s="78"/>
      <c r="DB54" s="78"/>
      <c r="DC54" s="78"/>
      <c r="DD54" s="78"/>
      <c r="EK54" s="78"/>
      <c r="EL54" s="78"/>
    </row>
    <row r="55" spans="2:142" ht="24.75" hidden="1" customHeight="1" thickBot="1" x14ac:dyDescent="0.25">
      <c r="B55"/>
      <c r="G55" s="1000"/>
      <c r="H55" s="63"/>
      <c r="I55"/>
      <c r="J55" s="965">
        <f>ABS($H$1/J54)</f>
        <v>119.925463044259</v>
      </c>
      <c r="K55" s="965"/>
      <c r="L55" s="965">
        <f>ABS($H$1/L54)</f>
        <v>202.91573932868269</v>
      </c>
      <c r="M55" s="967" t="s">
        <v>222</v>
      </c>
      <c r="N55"/>
      <c r="O55" s="995"/>
      <c r="BD55" s="126"/>
      <c r="BE55" s="136"/>
      <c r="BF55" s="136"/>
      <c r="BG55" s="136"/>
      <c r="BH55" s="136"/>
      <c r="BN55" s="86"/>
      <c r="BO55" s="1091"/>
      <c r="BP55" s="177"/>
      <c r="BQ55" s="177"/>
      <c r="BR55" s="178"/>
      <c r="BS55" s="177"/>
      <c r="BT55" s="177"/>
      <c r="BU55" s="177"/>
      <c r="CA55" s="182">
        <v>2</v>
      </c>
      <c r="CB55" s="120" t="b">
        <f>IF(CC59=13,1)</f>
        <v>0</v>
      </c>
      <c r="CC55" s="186"/>
      <c r="CD55" s="124" t="b">
        <f>IF(CC59=13,3)</f>
        <v>0</v>
      </c>
      <c r="CE55" s="177"/>
      <c r="CF55" s="177"/>
      <c r="CG55" s="177"/>
      <c r="CH55" s="177"/>
      <c r="CI55" s="177"/>
      <c r="CJ55" s="177"/>
      <c r="CK55" s="177"/>
      <c r="CL55" s="177"/>
      <c r="CM55" s="177"/>
      <c r="CN55" s="177"/>
      <c r="CO55" s="178"/>
      <c r="CQ55" s="78"/>
      <c r="CR55" s="78"/>
      <c r="CS55" s="78"/>
      <c r="CT55" s="78"/>
      <c r="CU55" s="78"/>
      <c r="CV55" s="78"/>
      <c r="CW55" s="78"/>
      <c r="CX55" s="78"/>
      <c r="CY55" s="78"/>
      <c r="CZ55" s="78"/>
      <c r="DA55" s="78"/>
      <c r="DB55" s="78"/>
      <c r="DC55" s="78"/>
      <c r="DD55" s="78"/>
      <c r="EK55" s="78"/>
      <c r="EL55" s="78"/>
    </row>
    <row r="56" spans="2:142" ht="15.75" customHeight="1" thickBot="1" x14ac:dyDescent="0.25">
      <c r="B56" s="406"/>
      <c r="C56" s="406"/>
      <c r="D56" s="407"/>
      <c r="E56" s="407"/>
      <c r="F56" s="407"/>
      <c r="G56" s="1000"/>
      <c r="H56" s="63"/>
      <c r="J56" s="1733">
        <f>ABS($E$22/BQ27)*2</f>
        <v>67.001675041876041</v>
      </c>
      <c r="K56" s="1733"/>
      <c r="L56" s="1733"/>
      <c r="M56" s="1734" t="s">
        <v>350</v>
      </c>
      <c r="N56" s="1730" t="s">
        <v>352</v>
      </c>
      <c r="O56" s="995"/>
      <c r="BD56" s="126"/>
      <c r="BE56" s="136"/>
      <c r="BF56" s="136"/>
      <c r="BG56" s="136"/>
      <c r="BH56" s="136"/>
      <c r="BN56" s="86"/>
      <c r="BO56" s="1091"/>
      <c r="BP56" s="177"/>
      <c r="BQ56" s="177"/>
      <c r="BR56" s="178"/>
      <c r="BS56" s="177"/>
      <c r="BT56" s="177"/>
      <c r="BU56" s="177"/>
      <c r="BV56" s="76"/>
      <c r="BW56" s="177"/>
      <c r="CA56" s="177"/>
      <c r="CB56" s="177"/>
      <c r="CC56" s="177"/>
      <c r="CD56" s="177"/>
      <c r="CE56" s="177"/>
      <c r="CF56" s="177"/>
      <c r="CG56" s="177"/>
      <c r="CH56" s="177"/>
      <c r="CI56" s="177"/>
      <c r="CJ56" s="177"/>
      <c r="CK56" s="177"/>
      <c r="CL56" s="178"/>
      <c r="CM56" s="107"/>
      <c r="CN56" s="107"/>
      <c r="CO56" s="107"/>
      <c r="CQ56" s="78"/>
      <c r="CR56" s="78"/>
      <c r="CS56" s="78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  <c r="EK56" s="78"/>
      <c r="EL56" s="78"/>
    </row>
    <row r="57" spans="2:142" ht="45.75" customHeight="1" thickBot="1" x14ac:dyDescent="0.3">
      <c r="B57" s="406"/>
      <c r="C57" s="406"/>
      <c r="D57" s="407"/>
      <c r="E57" s="407"/>
      <c r="F57" s="407"/>
      <c r="G57" s="998"/>
      <c r="H57"/>
      <c r="I57"/>
      <c r="J57"/>
      <c r="K57"/>
      <c r="L57"/>
      <c r="M57"/>
      <c r="N57"/>
      <c r="O57" s="995"/>
      <c r="BD57" s="126"/>
      <c r="BE57" s="136"/>
      <c r="BF57" s="136"/>
      <c r="BG57" s="136"/>
      <c r="BH57" s="136"/>
      <c r="BI57" s="136"/>
      <c r="BK57" s="136"/>
      <c r="BL57" s="136"/>
      <c r="BM57" s="402"/>
      <c r="BN57" s="188"/>
      <c r="BO57" s="1095" t="s">
        <v>128</v>
      </c>
      <c r="BP57" s="746" t="s">
        <v>125</v>
      </c>
      <c r="BQ57" s="190"/>
      <c r="BR57" s="191"/>
      <c r="BS57" s="191"/>
      <c r="BT57" s="191"/>
      <c r="BU57" s="191"/>
      <c r="BV57" s="191"/>
      <c r="BW57" s="191"/>
      <c r="BX57" s="191"/>
      <c r="BY57" s="191"/>
      <c r="BZ57" s="191"/>
      <c r="CA57" s="191"/>
      <c r="CB57" s="758">
        <f>SUM(CB41:CB56)</f>
        <v>1</v>
      </c>
      <c r="CC57" s="759">
        <f t="shared" ref="CC57:CR57" si="0">SUM(CC41:CC56)</f>
        <v>0</v>
      </c>
      <c r="CD57" s="759">
        <f t="shared" si="0"/>
        <v>0</v>
      </c>
      <c r="CE57" s="759">
        <f t="shared" si="0"/>
        <v>0</v>
      </c>
      <c r="CF57" s="759">
        <f t="shared" si="0"/>
        <v>0</v>
      </c>
      <c r="CG57" s="759">
        <f t="shared" si="0"/>
        <v>0</v>
      </c>
      <c r="CH57" s="759">
        <f t="shared" si="0"/>
        <v>0</v>
      </c>
      <c r="CI57" s="759">
        <f t="shared" si="0"/>
        <v>0</v>
      </c>
      <c r="CJ57" s="759">
        <f t="shared" si="0"/>
        <v>0</v>
      </c>
      <c r="CK57" s="759">
        <f t="shared" si="0"/>
        <v>0</v>
      </c>
      <c r="CL57" s="759">
        <f t="shared" si="0"/>
        <v>11</v>
      </c>
      <c r="CM57" s="759">
        <f t="shared" si="0"/>
        <v>0</v>
      </c>
      <c r="CN57" s="759">
        <f t="shared" si="0"/>
        <v>0</v>
      </c>
      <c r="CO57" s="759">
        <f t="shared" si="0"/>
        <v>0</v>
      </c>
      <c r="CP57" s="759">
        <f t="shared" si="0"/>
        <v>0</v>
      </c>
      <c r="CQ57" s="759">
        <f t="shared" si="0"/>
        <v>0</v>
      </c>
      <c r="CR57" s="760">
        <f t="shared" si="0"/>
        <v>0</v>
      </c>
      <c r="CS57" s="191"/>
      <c r="CT57" s="191"/>
      <c r="CU57" s="192"/>
      <c r="CV57" s="192"/>
      <c r="CW57" s="192"/>
      <c r="CX57" s="192"/>
      <c r="CY57" s="192"/>
      <c r="CZ57" s="192"/>
      <c r="DA57" s="193"/>
      <c r="DB57" s="89"/>
      <c r="DC57" s="78"/>
      <c r="DD57" s="78"/>
      <c r="EK57" s="78"/>
      <c r="EL57" s="78"/>
    </row>
    <row r="58" spans="2:142" ht="45.75" customHeight="1" thickBot="1" x14ac:dyDescent="0.3">
      <c r="G58" s="998"/>
      <c r="H58"/>
      <c r="I58"/>
      <c r="J58"/>
      <c r="K58"/>
      <c r="L58"/>
      <c r="M58"/>
      <c r="N58"/>
      <c r="O58" s="995"/>
      <c r="BD58" s="136"/>
      <c r="BE58" s="136"/>
      <c r="BF58" s="136"/>
      <c r="BG58" s="136"/>
      <c r="BH58" s="136"/>
      <c r="BI58" s="136"/>
      <c r="BJ58" s="136"/>
      <c r="BK58" s="136"/>
      <c r="BL58" s="968">
        <v>4</v>
      </c>
      <c r="BM58" s="1762" t="b">
        <f>AND(BO58&gt;=10,$BB$142&gt;=10,$BA$142&gt;=10,$BB$166&gt;=10,$BA$166&gt;=10,$BA$195&gt;=10,$BB$195&gt;=10)</f>
        <v>1</v>
      </c>
      <c r="BN58" s="84" t="str">
        <f>IF(BM58=TRUE,"O K","OVERLOAD")</f>
        <v>O K</v>
      </c>
      <c r="BO58" s="982">
        <f>+$E$22/(BQ27/2)</f>
        <v>67.001675041876041</v>
      </c>
      <c r="BP58" s="194"/>
      <c r="BQ58" s="107"/>
      <c r="BR58" s="108"/>
      <c r="BS58" s="107"/>
      <c r="BT58" s="107"/>
      <c r="BU58" s="107"/>
      <c r="BV58" s="108"/>
      <c r="BW58" s="107"/>
      <c r="BX58" s="107"/>
      <c r="BY58" s="107"/>
      <c r="BZ58" s="107"/>
      <c r="CA58" s="107"/>
      <c r="CB58" s="107"/>
      <c r="CC58" s="107"/>
      <c r="CD58" s="107"/>
      <c r="CE58" s="107"/>
      <c r="CF58" s="107"/>
      <c r="CG58" s="107"/>
      <c r="CH58" s="107"/>
      <c r="CI58" s="107"/>
      <c r="CJ58" s="107"/>
      <c r="CK58" s="107"/>
      <c r="CL58" s="107"/>
      <c r="CM58" s="107"/>
      <c r="CN58" s="107"/>
      <c r="CO58" s="107"/>
      <c r="CP58" s="107"/>
      <c r="CQ58" s="107"/>
      <c r="CR58" s="107"/>
      <c r="CS58" s="78"/>
      <c r="CT58" s="78"/>
      <c r="CU58" s="78"/>
      <c r="CV58" s="78"/>
      <c r="CW58" s="78"/>
      <c r="CX58" s="78"/>
      <c r="CY58" s="78"/>
      <c r="CZ58" s="78"/>
      <c r="DA58" s="78"/>
      <c r="DB58" s="78"/>
      <c r="DC58" s="78"/>
      <c r="DD58" s="78"/>
      <c r="EK58" s="78"/>
      <c r="EL58" s="78"/>
    </row>
    <row r="59" spans="2:142" ht="20" hidden="1" x14ac:dyDescent="0.2">
      <c r="B59" s="408"/>
      <c r="C59" s="408"/>
      <c r="G59" s="998"/>
      <c r="H59"/>
      <c r="I59"/>
      <c r="J59"/>
      <c r="K59"/>
      <c r="L59"/>
      <c r="M59"/>
      <c r="N59"/>
      <c r="O59" s="995"/>
      <c r="U59" s="73"/>
      <c r="V59" s="73"/>
      <c r="W59" s="73"/>
      <c r="X59" s="73"/>
      <c r="Y59" s="73"/>
      <c r="Z59" s="73"/>
      <c r="AA59" s="73"/>
      <c r="AF59" s="73"/>
      <c r="AG59" s="73"/>
      <c r="AH59" s="73"/>
      <c r="AI59" s="73"/>
      <c r="AJ59" s="73"/>
      <c r="AK59" s="73"/>
      <c r="AL59" s="73"/>
      <c r="AM59" s="73"/>
      <c r="AN59" s="73"/>
      <c r="AO59" s="73"/>
      <c r="AP59" s="73"/>
      <c r="AQ59" s="73"/>
      <c r="AR59" s="73"/>
      <c r="AS59" s="73"/>
      <c r="AT59" s="73"/>
      <c r="AU59" s="73"/>
      <c r="AV59" s="73"/>
      <c r="AW59" s="73"/>
      <c r="AX59" s="73"/>
      <c r="AY59" s="73"/>
      <c r="AZ59" s="73"/>
      <c r="BA59" s="73"/>
      <c r="BB59" s="73"/>
      <c r="BC59" s="126"/>
      <c r="BD59" s="136"/>
      <c r="BE59" s="136"/>
      <c r="BF59" s="136"/>
      <c r="BG59" s="136"/>
      <c r="BH59" s="136"/>
      <c r="BI59" s="136"/>
      <c r="BJ59" s="136"/>
      <c r="BK59" s="136"/>
      <c r="BL59" s="136"/>
      <c r="BM59" s="402"/>
      <c r="BN59" s="188"/>
      <c r="BO59" s="1091"/>
      <c r="BP59" s="76"/>
      <c r="BQ59" s="195" t="b">
        <f>+BL224</f>
        <v>0</v>
      </c>
      <c r="BR59" s="195" t="b">
        <f>+BL225</f>
        <v>0</v>
      </c>
      <c r="BS59" s="195" t="b">
        <f>+BL226</f>
        <v>0</v>
      </c>
      <c r="BT59" s="195" t="b">
        <f>+BL227</f>
        <v>0</v>
      </c>
      <c r="BU59" s="195" t="b">
        <f>+BL228</f>
        <v>0</v>
      </c>
      <c r="BV59" s="195" t="b">
        <f>+BL229</f>
        <v>0</v>
      </c>
      <c r="BW59" s="195" t="b">
        <f>+BL230</f>
        <v>0</v>
      </c>
      <c r="BX59" s="195" t="b">
        <f>+BL231</f>
        <v>0</v>
      </c>
      <c r="BY59" s="195" t="b">
        <f>+BL232</f>
        <v>0</v>
      </c>
      <c r="BZ59" s="195" t="b">
        <f>+BL233</f>
        <v>0</v>
      </c>
      <c r="CA59" s="195" t="b">
        <f>+BL234</f>
        <v>0</v>
      </c>
      <c r="CB59" s="195" t="b">
        <f>+BL235</f>
        <v>0</v>
      </c>
      <c r="CC59" s="195" t="b">
        <f>+BL236</f>
        <v>0</v>
      </c>
      <c r="CD59" s="195" t="b">
        <f>+BL237</f>
        <v>0</v>
      </c>
      <c r="CE59" s="195" t="b">
        <f>+BL238</f>
        <v>0</v>
      </c>
      <c r="CF59" s="195" t="b">
        <f>+BL239</f>
        <v>0</v>
      </c>
      <c r="CG59" s="195">
        <f>+BL240</f>
        <v>17</v>
      </c>
      <c r="CH59" s="195" t="b">
        <f>+BL241</f>
        <v>0</v>
      </c>
      <c r="CI59" s="195" t="b">
        <f>+BL242</f>
        <v>0</v>
      </c>
      <c r="CJ59" s="195" t="b">
        <f>+BL243</f>
        <v>0</v>
      </c>
      <c r="CK59" s="195" t="b">
        <f>+BL244</f>
        <v>0</v>
      </c>
      <c r="CL59" s="195" t="b">
        <f>+BL245</f>
        <v>0</v>
      </c>
      <c r="CM59" s="195" t="b">
        <f>+BL246</f>
        <v>0</v>
      </c>
      <c r="CN59" s="195" t="b">
        <f>+BL247</f>
        <v>0</v>
      </c>
      <c r="CO59" s="195" t="b">
        <f>+BL248</f>
        <v>0</v>
      </c>
      <c r="CP59" s="195" t="b">
        <f>+BL249</f>
        <v>0</v>
      </c>
      <c r="CQ59" s="195" t="b">
        <f>+BL250</f>
        <v>0</v>
      </c>
      <c r="CR59" s="195" t="b">
        <f>+BL251</f>
        <v>0</v>
      </c>
      <c r="CS59" s="195" t="b">
        <f>+BL252</f>
        <v>0</v>
      </c>
      <c r="CT59" s="195" t="b">
        <f>+BL253</f>
        <v>0</v>
      </c>
      <c r="CU59" s="195" t="b">
        <f>+BL254</f>
        <v>0</v>
      </c>
      <c r="CV59" s="195" t="b">
        <f>+BL255</f>
        <v>0</v>
      </c>
      <c r="CW59" s="195" t="b">
        <f>+BL256</f>
        <v>0</v>
      </c>
      <c r="CX59" s="195" t="b">
        <f>+BL257</f>
        <v>0</v>
      </c>
      <c r="CY59" s="195" t="b">
        <f>+BL258</f>
        <v>0</v>
      </c>
      <c r="CZ59" s="195" t="b">
        <f>+BL259</f>
        <v>0</v>
      </c>
      <c r="DA59" s="195" t="b">
        <f>+BL260</f>
        <v>0</v>
      </c>
      <c r="DB59" s="196"/>
      <c r="DC59" s="78"/>
      <c r="DD59" s="78"/>
      <c r="EK59" s="78"/>
      <c r="EL59" s="78"/>
    </row>
    <row r="60" spans="2:142" ht="45.75" hidden="1" customHeight="1" x14ac:dyDescent="0.2">
      <c r="E60" s="208"/>
      <c r="F60" s="208"/>
      <c r="G60" s="998"/>
      <c r="H60"/>
      <c r="I60"/>
      <c r="J60"/>
      <c r="K60"/>
      <c r="L60"/>
      <c r="M60"/>
      <c r="N60"/>
      <c r="O60" s="995"/>
      <c r="BD60" s="136"/>
      <c r="BE60" s="136"/>
      <c r="BF60" s="136"/>
      <c r="BG60" s="136"/>
      <c r="BH60" s="136"/>
      <c r="BI60" s="136"/>
      <c r="BJ60" s="136"/>
      <c r="BK60" s="136"/>
      <c r="BL60" s="136"/>
      <c r="BM60" s="402"/>
      <c r="BN60" s="188"/>
      <c r="BO60" s="1091"/>
      <c r="BP60" s="78"/>
      <c r="BQ60" s="196" t="b">
        <f t="shared" ref="BQ60:DA60" si="1">+BQ59</f>
        <v>0</v>
      </c>
      <c r="BR60" s="196" t="b">
        <f t="shared" si="1"/>
        <v>0</v>
      </c>
      <c r="BS60" s="196" t="b">
        <f t="shared" si="1"/>
        <v>0</v>
      </c>
      <c r="BT60" s="196" t="b">
        <f t="shared" si="1"/>
        <v>0</v>
      </c>
      <c r="BU60" s="196" t="b">
        <f t="shared" si="1"/>
        <v>0</v>
      </c>
      <c r="BV60" s="196" t="b">
        <f t="shared" si="1"/>
        <v>0</v>
      </c>
      <c r="BW60" s="196" t="b">
        <f t="shared" si="1"/>
        <v>0</v>
      </c>
      <c r="BX60" s="196" t="b">
        <f t="shared" si="1"/>
        <v>0</v>
      </c>
      <c r="BY60" s="196" t="b">
        <f t="shared" si="1"/>
        <v>0</v>
      </c>
      <c r="BZ60" s="196" t="b">
        <f t="shared" si="1"/>
        <v>0</v>
      </c>
      <c r="CA60" s="196" t="b">
        <f t="shared" si="1"/>
        <v>0</v>
      </c>
      <c r="CB60" s="196" t="b">
        <f t="shared" si="1"/>
        <v>0</v>
      </c>
      <c r="CC60" s="196" t="b">
        <f t="shared" si="1"/>
        <v>0</v>
      </c>
      <c r="CD60" s="196" t="b">
        <f t="shared" si="1"/>
        <v>0</v>
      </c>
      <c r="CE60" s="196" t="b">
        <f t="shared" si="1"/>
        <v>0</v>
      </c>
      <c r="CF60" s="196" t="b">
        <f t="shared" si="1"/>
        <v>0</v>
      </c>
      <c r="CG60" s="196">
        <f t="shared" si="1"/>
        <v>17</v>
      </c>
      <c r="CH60" s="196" t="b">
        <f t="shared" si="1"/>
        <v>0</v>
      </c>
      <c r="CI60" s="196" t="b">
        <f t="shared" si="1"/>
        <v>0</v>
      </c>
      <c r="CJ60" s="196" t="b">
        <f t="shared" si="1"/>
        <v>0</v>
      </c>
      <c r="CK60" s="196" t="b">
        <f t="shared" si="1"/>
        <v>0</v>
      </c>
      <c r="CL60" s="196" t="b">
        <f t="shared" si="1"/>
        <v>0</v>
      </c>
      <c r="CM60" s="196" t="b">
        <f t="shared" si="1"/>
        <v>0</v>
      </c>
      <c r="CN60" s="196" t="b">
        <f t="shared" si="1"/>
        <v>0</v>
      </c>
      <c r="CO60" s="196" t="b">
        <f t="shared" si="1"/>
        <v>0</v>
      </c>
      <c r="CP60" s="196" t="b">
        <f t="shared" si="1"/>
        <v>0</v>
      </c>
      <c r="CQ60" s="196" t="b">
        <f t="shared" si="1"/>
        <v>0</v>
      </c>
      <c r="CR60" s="196" t="b">
        <f t="shared" si="1"/>
        <v>0</v>
      </c>
      <c r="CS60" s="196" t="b">
        <f t="shared" si="1"/>
        <v>0</v>
      </c>
      <c r="CT60" s="196" t="b">
        <f t="shared" si="1"/>
        <v>0</v>
      </c>
      <c r="CU60" s="196" t="b">
        <f t="shared" si="1"/>
        <v>0</v>
      </c>
      <c r="CV60" s="196" t="b">
        <f t="shared" si="1"/>
        <v>0</v>
      </c>
      <c r="CW60" s="196" t="b">
        <f t="shared" si="1"/>
        <v>0</v>
      </c>
      <c r="CX60" s="196" t="b">
        <f t="shared" si="1"/>
        <v>0</v>
      </c>
      <c r="CY60" s="196" t="b">
        <f t="shared" si="1"/>
        <v>0</v>
      </c>
      <c r="CZ60" s="196" t="b">
        <f t="shared" si="1"/>
        <v>0</v>
      </c>
      <c r="DA60" s="196" t="b">
        <f t="shared" si="1"/>
        <v>0</v>
      </c>
      <c r="DB60" s="196"/>
      <c r="DC60" s="78"/>
      <c r="DD60" s="78"/>
      <c r="EK60" s="78"/>
      <c r="EL60" s="78"/>
    </row>
    <row r="61" spans="2:142" ht="16" customHeight="1" thickBot="1" x14ac:dyDescent="0.25">
      <c r="E61" s="208"/>
      <c r="F61" s="208"/>
      <c r="G61" s="998"/>
      <c r="H61"/>
      <c r="I61"/>
      <c r="J61"/>
      <c r="K61"/>
      <c r="L61"/>
      <c r="M61"/>
      <c r="N61"/>
      <c r="O61" s="995"/>
      <c r="V61" s="1098"/>
      <c r="W61" s="1098"/>
      <c r="X61" s="1098"/>
      <c r="Y61" s="1098"/>
      <c r="Z61" s="1098"/>
      <c r="AA61" s="1098"/>
      <c r="AF61" s="401"/>
      <c r="AG61" s="401"/>
      <c r="AH61" s="401"/>
      <c r="AI61" s="401"/>
      <c r="AJ61" s="401"/>
      <c r="AK61" s="401"/>
      <c r="AL61" s="401"/>
      <c r="AM61" s="401"/>
      <c r="AN61" s="401"/>
      <c r="AO61" s="401"/>
      <c r="AP61" s="401"/>
      <c r="AQ61" s="401"/>
      <c r="AR61" s="401"/>
      <c r="AS61" s="401"/>
      <c r="AT61" s="401"/>
      <c r="AU61" s="401"/>
      <c r="AV61" s="401"/>
      <c r="AW61" s="401"/>
      <c r="AX61" s="401"/>
      <c r="AY61" s="401"/>
      <c r="AZ61" s="401"/>
      <c r="BA61" s="401"/>
      <c r="BB61" s="401"/>
      <c r="BC61" s="143"/>
      <c r="BD61" s="136"/>
      <c r="BE61" s="136"/>
      <c r="BF61" s="136"/>
      <c r="BG61" s="136"/>
      <c r="BH61" s="136"/>
      <c r="BI61" s="136"/>
      <c r="BJ61" s="136"/>
      <c r="BK61" s="136"/>
      <c r="BL61" s="136"/>
      <c r="BM61" s="402"/>
      <c r="BN61" s="188"/>
      <c r="BO61" s="1091"/>
      <c r="BP61" s="78"/>
      <c r="BQ61" s="196"/>
      <c r="BR61" s="196"/>
      <c r="BS61" s="196"/>
      <c r="BT61" s="196"/>
      <c r="BU61" s="196"/>
      <c r="BV61" s="196"/>
      <c r="BW61" s="196"/>
      <c r="BX61" s="196"/>
      <c r="BY61" s="196"/>
      <c r="BZ61" s="196"/>
      <c r="CA61" s="196"/>
      <c r="CB61" s="196"/>
      <c r="CC61" s="196"/>
      <c r="CD61" s="196"/>
      <c r="CE61" s="196"/>
      <c r="CF61" s="196"/>
      <c r="CG61" s="196"/>
      <c r="CH61" s="196"/>
      <c r="CI61" s="196"/>
      <c r="CJ61" s="196"/>
      <c r="CK61" s="196"/>
      <c r="CL61" s="196"/>
      <c r="CM61" s="196"/>
      <c r="CN61" s="196"/>
      <c r="CO61" s="196"/>
      <c r="CP61" s="196"/>
      <c r="CQ61" s="196"/>
      <c r="CR61" s="196"/>
      <c r="CS61" s="196"/>
      <c r="CT61" s="196"/>
      <c r="CU61" s="196"/>
      <c r="CV61" s="196"/>
      <c r="CW61" s="196"/>
      <c r="CX61" s="196"/>
      <c r="CY61" s="196"/>
      <c r="CZ61" s="196"/>
      <c r="DA61" s="196"/>
      <c r="DB61" s="196"/>
      <c r="DC61" s="78"/>
      <c r="DD61" s="78"/>
      <c r="EK61" s="78"/>
      <c r="EL61" s="78"/>
    </row>
    <row r="62" spans="2:142" ht="45.75" customHeight="1" thickBot="1" x14ac:dyDescent="0.3">
      <c r="E62" s="208"/>
      <c r="F62" s="208"/>
      <c r="G62" s="998"/>
      <c r="H62"/>
      <c r="I62"/>
      <c r="J62"/>
      <c r="K62"/>
      <c r="L62"/>
      <c r="M62"/>
      <c r="N62"/>
      <c r="O62" s="995"/>
      <c r="BD62" s="136"/>
      <c r="BE62" s="136"/>
      <c r="BF62" s="136"/>
      <c r="BG62" s="136"/>
      <c r="BH62" s="136"/>
      <c r="BI62" s="136"/>
      <c r="BJ62" s="136"/>
      <c r="BK62" s="136"/>
      <c r="BL62" s="136"/>
      <c r="BM62" s="402"/>
      <c r="BN62" s="188"/>
      <c r="BO62" s="1095" t="s">
        <v>128</v>
      </c>
      <c r="BP62" s="197" t="s">
        <v>129</v>
      </c>
      <c r="BQ62" s="748" t="str">
        <f>IF(BQ60=1,17,"")</f>
        <v/>
      </c>
      <c r="BR62" s="749" t="str">
        <f>IF(BR60=2,16,"")</f>
        <v/>
      </c>
      <c r="BS62" s="749" t="str">
        <f>IF(BS60=3,15,"")</f>
        <v/>
      </c>
      <c r="BT62" s="749" t="str">
        <f>IF(BT60=4,14,"")</f>
        <v/>
      </c>
      <c r="BU62" s="749" t="str">
        <f>IF(BU60=5,13,"")</f>
        <v/>
      </c>
      <c r="BV62" s="749" t="str">
        <f>IF(BV60=6,12,"")</f>
        <v/>
      </c>
      <c r="BW62" s="749" t="str">
        <f>IF(BW60=7,11,"")</f>
        <v/>
      </c>
      <c r="BX62" s="749" t="str">
        <f>IF(BX60=8,10,"")</f>
        <v/>
      </c>
      <c r="BY62" s="749" t="str">
        <f>IF(BY60=9,9,"")</f>
        <v/>
      </c>
      <c r="BZ62" s="749" t="str">
        <f>IF(BZ60=10,8,"")</f>
        <v/>
      </c>
      <c r="CA62" s="749" t="str">
        <f>IF(CA60=11,7,"")</f>
        <v/>
      </c>
      <c r="CB62" s="928" t="str">
        <f>IF(CB60=12,1,"")</f>
        <v/>
      </c>
      <c r="CC62" s="747" t="str">
        <f>IF(CC60=13,2,"")</f>
        <v/>
      </c>
      <c r="CD62" s="747" t="str">
        <f>IF(CD60=14,3,"")</f>
        <v/>
      </c>
      <c r="CE62" s="747" t="str">
        <f>IF(CE60=15,4,"")</f>
        <v/>
      </c>
      <c r="CF62" s="747" t="str">
        <f>IF(CF60=16,5,"")</f>
        <v/>
      </c>
      <c r="CG62" s="747">
        <f>IF(CG60=17,6,"")</f>
        <v>6</v>
      </c>
      <c r="CH62" s="747" t="str">
        <f>IF(CH60=18,7,"")</f>
        <v/>
      </c>
      <c r="CI62" s="747" t="str">
        <f>IF(CI60=19,8,"")</f>
        <v/>
      </c>
      <c r="CJ62" s="747" t="str">
        <f>IF(CJ60=20,9,"")</f>
        <v/>
      </c>
      <c r="CK62" s="747" t="str">
        <f>IF(CK60=21,10,"")</f>
        <v/>
      </c>
      <c r="CL62" s="747" t="str">
        <f>IF(CL60=22,11,"")</f>
        <v/>
      </c>
      <c r="CM62" s="747" t="str">
        <f>IF(CM60=23,12,"")</f>
        <v/>
      </c>
      <c r="CN62" s="747" t="str">
        <f>IF(CN60=24,13,"")</f>
        <v/>
      </c>
      <c r="CO62" s="747" t="str">
        <f>IF(CO60=25,14,"")</f>
        <v/>
      </c>
      <c r="CP62" s="747" t="str">
        <f>IF(CP60=26,15,"")</f>
        <v/>
      </c>
      <c r="CQ62" s="747" t="str">
        <f>IF(CQ60=27,16,"")</f>
        <v/>
      </c>
      <c r="CR62" s="929" t="str">
        <f>IF(CR60=28,17,"")</f>
        <v/>
      </c>
      <c r="CS62" s="756" t="str">
        <f>IF(CS60=29,9,"")</f>
        <v/>
      </c>
      <c r="CT62" s="756" t="str">
        <f>IF(CT60=30,10,"")</f>
        <v/>
      </c>
      <c r="CU62" s="756" t="str">
        <f>IF(CU60=31,11,"")</f>
        <v/>
      </c>
      <c r="CV62" s="756" t="str">
        <f>IF(CV60=32,12,"")</f>
        <v/>
      </c>
      <c r="CW62" s="756" t="str">
        <f>IF(CW60=33,13,"")</f>
        <v/>
      </c>
      <c r="CX62" s="756" t="str">
        <f>IF(CX60=34,14,"")</f>
        <v/>
      </c>
      <c r="CY62" s="756" t="str">
        <f>IF(CY60=35,15,"")</f>
        <v/>
      </c>
      <c r="CZ62" s="756" t="str">
        <f>IF(CZ60=36,16,"")</f>
        <v/>
      </c>
      <c r="DA62" s="757" t="str">
        <f>IF(DA60=37,17,"")</f>
        <v/>
      </c>
      <c r="DB62" s="198"/>
      <c r="DC62" s="78"/>
      <c r="DD62" s="78"/>
      <c r="EK62" s="78"/>
      <c r="EL62" s="78"/>
    </row>
    <row r="63" spans="2:142" ht="45.75" customHeight="1" thickBot="1" x14ac:dyDescent="0.3">
      <c r="E63" s="208"/>
      <c r="F63" s="208"/>
      <c r="G63" s="998"/>
      <c r="H63"/>
      <c r="I63"/>
      <c r="J63"/>
      <c r="K63"/>
      <c r="L63"/>
      <c r="M63"/>
      <c r="N63"/>
      <c r="O63" s="995"/>
      <c r="BD63" s="136"/>
      <c r="BE63" s="136"/>
      <c r="BF63" s="136"/>
      <c r="BG63" s="136"/>
      <c r="BH63" s="136"/>
      <c r="BI63" s="136"/>
      <c r="BJ63" s="136"/>
      <c r="BK63" s="136"/>
      <c r="BL63" s="968">
        <v>5</v>
      </c>
      <c r="BM63" s="1762" t="b">
        <f>AND(BO63&gt;=10,$BB$142&gt;=10,$BA$142&gt;=10,$BB$166&gt;=10,$BA$166&gt;=10,$BA$195&gt;=10,$BB$195&gt;=10)</f>
        <v>1</v>
      </c>
      <c r="BN63" s="84" t="str">
        <f>IF(BM63=TRUE,"O K","OVERLOAD")</f>
        <v>O K</v>
      </c>
      <c r="BO63" s="982">
        <f>IF(SUM(BQ62:CA62)&gt;0,K85,0)+IF(SUM(CB62:CR62)&gt;0,L85,0)+IF(SUM(CS62:DA62)&gt;0,M85,0)</f>
        <v>33.50083752093802</v>
      </c>
      <c r="BP63" s="788" t="s">
        <v>185</v>
      </c>
      <c r="BQ63" s="789">
        <v>-10</v>
      </c>
      <c r="BR63" s="789">
        <v>-9</v>
      </c>
      <c r="BS63" s="789">
        <v>-8</v>
      </c>
      <c r="BT63" s="789">
        <v>-7</v>
      </c>
      <c r="BU63" s="789">
        <v>-6</v>
      </c>
      <c r="BV63" s="789">
        <v>-5</v>
      </c>
      <c r="BW63" s="789">
        <v>-4</v>
      </c>
      <c r="BX63" s="789">
        <v>-3</v>
      </c>
      <c r="BY63" s="789">
        <v>-2</v>
      </c>
      <c r="BZ63" s="789">
        <v>-1</v>
      </c>
      <c r="CA63" s="789">
        <v>0</v>
      </c>
      <c r="CB63" s="789">
        <v>1</v>
      </c>
      <c r="CC63" s="789">
        <v>2</v>
      </c>
      <c r="CD63" s="789">
        <v>3</v>
      </c>
      <c r="CE63" s="789">
        <v>4</v>
      </c>
      <c r="CF63" s="789">
        <v>5</v>
      </c>
      <c r="CG63" s="789">
        <v>6</v>
      </c>
      <c r="CH63" s="789">
        <v>7</v>
      </c>
      <c r="CI63" s="789">
        <v>8</v>
      </c>
      <c r="CJ63" s="789">
        <v>9</v>
      </c>
      <c r="CK63" s="789">
        <v>10</v>
      </c>
      <c r="CL63" s="789">
        <v>11</v>
      </c>
      <c r="CM63" s="789">
        <v>12</v>
      </c>
      <c r="CN63" s="789">
        <v>13</v>
      </c>
      <c r="CO63" s="789">
        <v>14</v>
      </c>
      <c r="CP63" s="789">
        <v>15</v>
      </c>
      <c r="CQ63" s="789">
        <v>16</v>
      </c>
      <c r="CR63" s="789">
        <v>17</v>
      </c>
      <c r="CS63" s="789">
        <v>18</v>
      </c>
      <c r="CT63" s="789">
        <v>19</v>
      </c>
      <c r="CU63" s="789">
        <v>20</v>
      </c>
      <c r="CV63" s="789">
        <v>21</v>
      </c>
      <c r="CW63" s="789">
        <v>22</v>
      </c>
      <c r="CX63" s="789">
        <v>23</v>
      </c>
      <c r="CY63" s="789">
        <v>24</v>
      </c>
      <c r="CZ63" s="789">
        <v>25</v>
      </c>
      <c r="DA63" s="791">
        <v>26</v>
      </c>
      <c r="DB63" s="198"/>
      <c r="DC63" s="78"/>
      <c r="DD63" s="78"/>
      <c r="EK63" s="78"/>
      <c r="EL63" s="78"/>
    </row>
    <row r="64" spans="2:142" ht="20" hidden="1" x14ac:dyDescent="0.2">
      <c r="G64" s="998"/>
      <c r="H64"/>
      <c r="I64"/>
      <c r="J64"/>
      <c r="K64"/>
      <c r="L64"/>
      <c r="M64"/>
      <c r="N64"/>
      <c r="O64" s="995"/>
      <c r="BD64" s="136"/>
      <c r="BE64" s="136"/>
      <c r="BF64" s="136"/>
      <c r="BG64" s="136"/>
      <c r="BH64" s="136"/>
      <c r="BI64" s="136"/>
      <c r="BJ64" s="136"/>
      <c r="BK64" s="136"/>
      <c r="BL64" s="136"/>
      <c r="BM64" s="402"/>
      <c r="BN64" s="136"/>
      <c r="BP64" s="78"/>
      <c r="BQ64" s="199">
        <v>1</v>
      </c>
      <c r="BR64" s="199">
        <v>2</v>
      </c>
      <c r="BS64" s="199">
        <v>3</v>
      </c>
      <c r="BT64" s="199">
        <v>4</v>
      </c>
      <c r="BU64" s="199">
        <v>5</v>
      </c>
      <c r="BV64" s="199">
        <v>6</v>
      </c>
      <c r="BW64" s="199">
        <v>7</v>
      </c>
      <c r="BX64" s="199">
        <v>8</v>
      </c>
      <c r="BY64" s="199">
        <v>9</v>
      </c>
      <c r="BZ64" s="199">
        <v>10</v>
      </c>
      <c r="CA64" s="199">
        <v>11</v>
      </c>
      <c r="CB64" s="199">
        <v>12</v>
      </c>
      <c r="CC64" s="199">
        <v>13</v>
      </c>
      <c r="CD64" s="199">
        <v>14</v>
      </c>
      <c r="CE64" s="199">
        <v>15</v>
      </c>
      <c r="CF64" s="199">
        <v>16</v>
      </c>
      <c r="CG64" s="199">
        <v>17</v>
      </c>
      <c r="CH64" s="199">
        <v>18</v>
      </c>
      <c r="CI64" s="199">
        <v>19</v>
      </c>
      <c r="CJ64" s="199">
        <v>20</v>
      </c>
      <c r="CK64" s="199">
        <v>21</v>
      </c>
      <c r="CL64" s="199">
        <v>22</v>
      </c>
      <c r="CM64" s="199">
        <v>23</v>
      </c>
      <c r="CN64" s="199">
        <v>24</v>
      </c>
      <c r="CO64" s="199">
        <v>25</v>
      </c>
      <c r="CP64" s="199">
        <v>26</v>
      </c>
      <c r="CQ64" s="199">
        <v>27</v>
      </c>
      <c r="CR64" s="199">
        <v>28</v>
      </c>
      <c r="CS64" s="199">
        <v>29</v>
      </c>
      <c r="CT64" s="199">
        <v>30</v>
      </c>
      <c r="CU64" s="199">
        <v>31</v>
      </c>
      <c r="CV64" s="199">
        <v>32</v>
      </c>
      <c r="CW64" s="199">
        <v>33</v>
      </c>
      <c r="CX64" s="199">
        <v>34</v>
      </c>
      <c r="CY64" s="199">
        <v>35</v>
      </c>
      <c r="CZ64" s="199">
        <v>36</v>
      </c>
      <c r="DA64" s="199">
        <v>37</v>
      </c>
      <c r="DB64" s="199"/>
      <c r="DC64" s="78"/>
      <c r="DD64" s="78"/>
      <c r="EK64" s="78"/>
      <c r="EL64" s="78"/>
    </row>
    <row r="65" spans="2:108" ht="20" hidden="1" x14ac:dyDescent="0.2">
      <c r="G65" s="998"/>
      <c r="H65"/>
      <c r="I65"/>
      <c r="J65"/>
      <c r="K65"/>
      <c r="L65"/>
      <c r="M65"/>
      <c r="N65"/>
      <c r="O65" s="995"/>
      <c r="U65" s="212"/>
      <c r="V65" s="73"/>
      <c r="AB65" s="73"/>
      <c r="AC65" s="73"/>
      <c r="AD65" s="73"/>
      <c r="AE65" s="73"/>
      <c r="AF65" s="73"/>
      <c r="AG65" s="73"/>
      <c r="AH65" s="73"/>
      <c r="AI65" s="73"/>
      <c r="AJ65" s="73"/>
      <c r="AK65" s="73"/>
      <c r="AL65" s="73"/>
      <c r="AM65" s="73"/>
      <c r="AN65" s="73"/>
      <c r="AO65" s="73"/>
      <c r="AP65" s="73"/>
      <c r="AQ65" s="73"/>
      <c r="AR65" s="73"/>
      <c r="AS65" s="73"/>
      <c r="AT65" s="73"/>
      <c r="AU65" s="73"/>
      <c r="AV65" s="73"/>
      <c r="AW65" s="73"/>
      <c r="AX65" s="73"/>
      <c r="AY65" s="73"/>
      <c r="AZ65" s="73"/>
      <c r="BA65" s="73"/>
      <c r="BB65" s="73"/>
      <c r="BC65" s="126"/>
      <c r="BE65" s="136"/>
      <c r="BF65" s="136"/>
      <c r="BG65" s="136"/>
      <c r="BH65" s="136"/>
      <c r="BI65" s="136"/>
      <c r="BJ65" s="136"/>
      <c r="BK65" s="136"/>
      <c r="BL65" s="1579" t="s">
        <v>59</v>
      </c>
      <c r="BM65" s="402"/>
      <c r="BN65" s="136"/>
      <c r="BO65" s="1091"/>
      <c r="BP65" s="78"/>
      <c r="BQ65" s="199"/>
      <c r="BR65" s="199"/>
      <c r="BS65" s="199"/>
      <c r="BT65" s="199"/>
      <c r="BU65" s="199"/>
      <c r="BV65" s="199"/>
      <c r="BW65" s="199"/>
      <c r="BX65" s="199"/>
      <c r="BY65" s="199"/>
      <c r="BZ65" s="199"/>
      <c r="CA65" s="199"/>
      <c r="CB65" s="199"/>
      <c r="CC65" s="199"/>
      <c r="CD65" s="199"/>
      <c r="CE65" s="199"/>
      <c r="CF65" s="199"/>
      <c r="CG65" s="199"/>
      <c r="CH65" s="199"/>
      <c r="CI65" s="199"/>
      <c r="CJ65" s="199"/>
      <c r="CK65" s="199"/>
      <c r="CL65" s="199"/>
      <c r="CM65" s="199"/>
      <c r="CN65" s="199"/>
      <c r="CO65" s="199"/>
      <c r="CP65" s="199"/>
      <c r="CQ65" s="199"/>
      <c r="CR65" s="199"/>
      <c r="CS65" s="199"/>
      <c r="CT65" s="199"/>
      <c r="CU65" s="199"/>
      <c r="CV65" s="199"/>
      <c r="CW65" s="199"/>
      <c r="CX65" s="199"/>
      <c r="CY65" s="199"/>
      <c r="CZ65" s="199"/>
      <c r="DA65" s="199"/>
      <c r="DB65" s="199"/>
      <c r="DD65" s="1579" t="s">
        <v>58</v>
      </c>
    </row>
    <row r="66" spans="2:108" ht="20" hidden="1" x14ac:dyDescent="0.2">
      <c r="B66" s="330"/>
      <c r="C66" s="412"/>
      <c r="D66" s="37"/>
      <c r="E66" s="37"/>
      <c r="F66" s="37"/>
      <c r="G66" s="998"/>
      <c r="H66"/>
      <c r="I66"/>
      <c r="J66"/>
      <c r="K66"/>
      <c r="L66"/>
      <c r="M66"/>
      <c r="N66"/>
      <c r="O66" s="995"/>
      <c r="U66" s="212"/>
      <c r="V66" s="73"/>
      <c r="AB66" s="73"/>
      <c r="AC66" s="73"/>
      <c r="AD66" s="73"/>
      <c r="AE66" s="73"/>
      <c r="AF66" s="73"/>
      <c r="AG66" s="73"/>
      <c r="AH66" s="73"/>
      <c r="AI66" s="73"/>
      <c r="AJ66" s="73"/>
      <c r="AK66" s="73"/>
      <c r="AL66" s="73"/>
      <c r="AM66" s="73"/>
      <c r="AN66" s="73"/>
      <c r="AO66" s="73"/>
      <c r="AP66" s="73"/>
      <c r="AQ66" s="73"/>
      <c r="AR66" s="73"/>
      <c r="AS66" s="73"/>
      <c r="AT66" s="73"/>
      <c r="AU66" s="73"/>
      <c r="AV66" s="73"/>
      <c r="AW66" s="73"/>
      <c r="AX66" s="73"/>
      <c r="AY66" s="73"/>
      <c r="AZ66" s="73"/>
      <c r="BA66" s="73"/>
      <c r="BB66" s="73"/>
      <c r="BC66" s="126"/>
      <c r="BE66" s="136"/>
      <c r="BF66" s="136"/>
      <c r="BG66" s="136"/>
      <c r="BH66" s="136"/>
      <c r="BI66" s="136"/>
      <c r="BJ66" s="136"/>
      <c r="BK66" s="136"/>
      <c r="BL66" s="1579">
        <f>-+BI224</f>
        <v>696.62427169145872</v>
      </c>
      <c r="BM66" s="402"/>
      <c r="BN66" s="136"/>
      <c r="BO66" s="1091"/>
      <c r="BP66" s="78"/>
      <c r="BQ66" s="199"/>
      <c r="BR66" s="199"/>
      <c r="BS66" s="199"/>
      <c r="BT66" s="199"/>
      <c r="BU66" s="199"/>
      <c r="BV66" s="199"/>
      <c r="BW66" s="199"/>
      <c r="BX66" s="199"/>
      <c r="BY66" s="199"/>
      <c r="BZ66" s="199"/>
      <c r="CA66" s="199"/>
      <c r="CB66" s="199"/>
      <c r="CC66" s="199"/>
      <c r="CD66" s="199"/>
      <c r="CE66" s="199"/>
      <c r="CF66" s="199"/>
      <c r="CG66" s="199"/>
      <c r="CH66" s="199"/>
      <c r="CI66" s="199"/>
      <c r="CJ66" s="199"/>
      <c r="CK66" s="199"/>
      <c r="CL66" s="199"/>
      <c r="CM66" s="199"/>
      <c r="CN66" s="199"/>
      <c r="CO66" s="199"/>
      <c r="CP66" s="199"/>
      <c r="CQ66" s="199"/>
      <c r="CR66" s="199"/>
      <c r="CS66" s="199"/>
      <c r="CT66" s="199"/>
      <c r="CU66" s="199"/>
      <c r="CV66" s="199"/>
      <c r="CW66" s="199"/>
      <c r="CX66" s="199"/>
      <c r="CY66" s="199"/>
      <c r="CZ66" s="199"/>
      <c r="DA66" s="199"/>
      <c r="DB66" s="199"/>
      <c r="DD66" s="1579">
        <f>+-BI260</f>
        <v>-851.37572830854128</v>
      </c>
    </row>
    <row r="67" spans="2:108" ht="20" hidden="1" x14ac:dyDescent="0.2">
      <c r="B67" s="330"/>
      <c r="C67" s="412"/>
      <c r="D67" s="37"/>
      <c r="E67" s="37"/>
      <c r="F67" s="37"/>
      <c r="G67" s="998"/>
      <c r="H67"/>
      <c r="I67"/>
      <c r="J67"/>
      <c r="K67"/>
      <c r="L67"/>
      <c r="M67"/>
      <c r="N67"/>
      <c r="O67" s="995"/>
      <c r="U67" s="212"/>
      <c r="V67" s="73"/>
      <c r="AB67" s="73"/>
      <c r="AC67" s="73"/>
      <c r="AD67" s="73"/>
      <c r="AE67" s="73"/>
      <c r="AF67" s="73"/>
      <c r="AG67" s="73"/>
      <c r="AH67" s="73"/>
      <c r="AI67" s="73"/>
      <c r="AJ67" s="73"/>
      <c r="AK67" s="73"/>
      <c r="AL67" s="73"/>
      <c r="AM67" s="73"/>
      <c r="AN67" s="73"/>
      <c r="AO67" s="73"/>
      <c r="AP67" s="73"/>
      <c r="AQ67" s="73"/>
      <c r="AR67" s="73"/>
      <c r="AS67" s="73"/>
      <c r="AT67" s="73"/>
      <c r="AU67" s="73"/>
      <c r="AV67" s="73"/>
      <c r="AW67" s="73"/>
      <c r="AX67" s="73"/>
      <c r="AY67" s="73"/>
      <c r="AZ67" s="73"/>
      <c r="BA67" s="73"/>
      <c r="BB67" s="73"/>
      <c r="BC67" s="126"/>
      <c r="BE67" s="136"/>
      <c r="BF67" s="136"/>
      <c r="BG67" s="136"/>
      <c r="BH67" s="136"/>
      <c r="BI67" s="136"/>
      <c r="BJ67" s="136"/>
      <c r="BK67" s="136"/>
      <c r="BL67" s="136"/>
      <c r="BM67" s="402"/>
      <c r="BN67" s="136"/>
      <c r="BO67" s="1091"/>
      <c r="BP67" s="78"/>
      <c r="BQ67" s="199"/>
      <c r="BR67" s="199"/>
      <c r="BS67" s="199"/>
      <c r="BT67" s="199"/>
      <c r="BU67" s="199"/>
      <c r="BV67" s="199"/>
      <c r="BW67" s="199"/>
      <c r="BX67" s="199"/>
      <c r="BY67" s="199"/>
      <c r="BZ67" s="199"/>
      <c r="CA67" s="199"/>
      <c r="CB67" s="199"/>
      <c r="CC67" s="199"/>
      <c r="CD67" s="199"/>
      <c r="CE67" s="199"/>
      <c r="CF67" s="199"/>
      <c r="CG67" s="199"/>
      <c r="CH67" s="199"/>
      <c r="CI67" s="199"/>
      <c r="CJ67" s="199"/>
      <c r="CK67" s="199"/>
      <c r="CL67" s="199"/>
      <c r="CM67" s="199"/>
      <c r="CN67" s="199"/>
      <c r="CO67" s="199"/>
      <c r="CP67" s="199"/>
      <c r="CQ67" s="199"/>
      <c r="CR67" s="199"/>
      <c r="CS67" s="199"/>
      <c r="CT67" s="199"/>
      <c r="CU67" s="199"/>
      <c r="CV67" s="199"/>
      <c r="CW67" s="199"/>
      <c r="CX67" s="199"/>
      <c r="CY67" s="199"/>
      <c r="CZ67" s="199"/>
      <c r="DA67" s="199"/>
      <c r="DB67" s="199"/>
    </row>
    <row r="68" spans="2:108" ht="20" hidden="1" x14ac:dyDescent="0.2">
      <c r="B68" s="330"/>
      <c r="C68" s="412"/>
      <c r="D68" s="37"/>
      <c r="E68" s="37"/>
      <c r="F68" s="37"/>
      <c r="G68" s="998"/>
      <c r="H68"/>
      <c r="I68"/>
      <c r="J68"/>
      <c r="K68"/>
      <c r="L68"/>
      <c r="M68"/>
      <c r="N68"/>
      <c r="O68" s="995"/>
      <c r="U68" s="212"/>
      <c r="V68" s="73"/>
      <c r="AB68" s="73"/>
      <c r="AC68" s="73"/>
      <c r="AD68" s="73"/>
      <c r="AE68" s="73"/>
      <c r="AF68" s="73"/>
      <c r="AG68" s="73"/>
      <c r="AH68" s="73"/>
      <c r="AI68" s="73"/>
      <c r="AJ68" s="73"/>
      <c r="AK68" s="73"/>
      <c r="AL68" s="73"/>
      <c r="AM68" s="73"/>
      <c r="AN68" s="73"/>
      <c r="AO68" s="73"/>
      <c r="AP68" s="73"/>
      <c r="AQ68" s="73"/>
      <c r="AR68" s="73"/>
      <c r="AS68" s="73"/>
      <c r="AT68" s="73"/>
      <c r="AU68" s="73"/>
      <c r="AV68" s="73"/>
      <c r="AW68" s="73"/>
      <c r="AX68" s="73"/>
      <c r="AY68" s="73"/>
      <c r="AZ68" s="73"/>
      <c r="BA68" s="73"/>
      <c r="BB68" s="73"/>
      <c r="BC68" s="126"/>
      <c r="BE68" s="136"/>
      <c r="BF68" s="136"/>
      <c r="BG68" s="136"/>
      <c r="BH68" s="136"/>
      <c r="BI68" s="136"/>
      <c r="BJ68" s="136"/>
      <c r="BK68" s="136"/>
      <c r="BL68" s="136"/>
      <c r="BM68" s="402"/>
      <c r="BN68" s="136"/>
      <c r="BO68" s="1091"/>
      <c r="BP68" s="78"/>
      <c r="BQ68" s="199"/>
      <c r="BR68" s="199"/>
      <c r="BS68" s="199"/>
      <c r="BT68" s="199"/>
      <c r="BU68" s="199"/>
      <c r="BV68" s="199"/>
      <c r="BW68" s="199"/>
      <c r="BX68" s="199"/>
      <c r="BY68" s="199"/>
      <c r="BZ68" s="199"/>
      <c r="CA68" s="199"/>
      <c r="CB68" s="199"/>
      <c r="CC68" s="199"/>
      <c r="CD68" s="199"/>
      <c r="CE68" s="199"/>
      <c r="CF68" s="199"/>
      <c r="CG68" s="199"/>
      <c r="CH68" s="199"/>
      <c r="CI68" s="199"/>
      <c r="CJ68" s="199"/>
      <c r="CK68" s="199"/>
      <c r="CL68" s="199"/>
      <c r="CM68" s="199"/>
      <c r="CN68" s="199"/>
      <c r="CO68" s="199"/>
      <c r="CP68" s="199"/>
      <c r="CQ68" s="199"/>
      <c r="CR68" s="199"/>
      <c r="CS68" s="199"/>
      <c r="CT68" s="199"/>
      <c r="CU68" s="199"/>
      <c r="CV68" s="199"/>
      <c r="CW68" s="199"/>
      <c r="CX68" s="199"/>
      <c r="CY68" s="199"/>
      <c r="CZ68" s="199"/>
      <c r="DA68" s="199"/>
      <c r="DB68" s="199"/>
    </row>
    <row r="69" spans="2:108" ht="20" hidden="1" x14ac:dyDescent="0.2">
      <c r="B69" s="330"/>
      <c r="C69" s="412"/>
      <c r="D69" s="37"/>
      <c r="E69" s="37"/>
      <c r="F69" s="37"/>
      <c r="G69" s="998"/>
      <c r="H69"/>
      <c r="I69"/>
      <c r="J69"/>
      <c r="K69"/>
      <c r="L69"/>
      <c r="M69"/>
      <c r="N69"/>
      <c r="O69" s="995"/>
      <c r="U69" s="212"/>
      <c r="V69" s="73"/>
      <c r="AB69" s="73"/>
      <c r="AC69" s="73"/>
      <c r="AD69" s="73"/>
      <c r="AE69" s="73"/>
      <c r="AF69" s="73"/>
      <c r="AG69" s="73"/>
      <c r="AH69" s="73"/>
      <c r="AI69" s="73"/>
      <c r="AJ69" s="73"/>
      <c r="AK69" s="73"/>
      <c r="AL69" s="73"/>
      <c r="AM69" s="73"/>
      <c r="AN69" s="73"/>
      <c r="AO69" s="73"/>
      <c r="AP69" s="73"/>
      <c r="AQ69" s="73"/>
      <c r="AR69" s="73"/>
      <c r="AS69" s="73"/>
      <c r="AT69" s="73"/>
      <c r="AU69" s="73"/>
      <c r="AV69" s="73"/>
      <c r="AW69" s="73"/>
      <c r="AX69" s="73"/>
      <c r="AY69" s="73"/>
      <c r="AZ69" s="73"/>
      <c r="BA69" s="73"/>
      <c r="BB69" s="73"/>
      <c r="BC69" s="126"/>
      <c r="BE69" s="136"/>
      <c r="BF69" s="136"/>
      <c r="BG69" s="136"/>
      <c r="BH69" s="136"/>
      <c r="BI69" s="136"/>
      <c r="BJ69" s="136"/>
      <c r="BK69" s="136"/>
      <c r="BL69" s="136"/>
      <c r="BM69" s="402"/>
      <c r="BN69" s="136"/>
      <c r="BO69" s="1091"/>
      <c r="BP69" s="78"/>
      <c r="BQ69" s="199"/>
      <c r="BR69" s="199"/>
      <c r="BS69" s="199"/>
      <c r="BT69" s="199"/>
      <c r="BU69" s="199"/>
      <c r="BV69" s="199"/>
      <c r="BW69" s="199"/>
      <c r="BX69" s="199"/>
      <c r="BY69" s="199"/>
      <c r="BZ69" s="199"/>
      <c r="CA69" s="199"/>
      <c r="CB69" s="199"/>
      <c r="CC69" s="199"/>
      <c r="CD69" s="199"/>
      <c r="CE69" s="199"/>
      <c r="CF69" s="199"/>
      <c r="CG69" s="199"/>
      <c r="CH69" s="199"/>
      <c r="CI69" s="199"/>
      <c r="CJ69" s="199"/>
      <c r="CK69" s="199"/>
      <c r="CL69" s="199"/>
      <c r="CM69" s="199"/>
      <c r="CN69" s="199"/>
      <c r="CO69" s="199"/>
      <c r="CP69" s="199"/>
      <c r="CQ69" s="199"/>
      <c r="CR69" s="199"/>
      <c r="CS69" s="199"/>
      <c r="CT69" s="199"/>
      <c r="CU69" s="199"/>
      <c r="CV69" s="199"/>
      <c r="CW69" s="199"/>
      <c r="CX69" s="199"/>
      <c r="CY69" s="199"/>
      <c r="CZ69" s="199"/>
      <c r="DA69" s="199"/>
      <c r="DB69" s="199"/>
    </row>
    <row r="70" spans="2:108" ht="20" hidden="1" x14ac:dyDescent="0.2">
      <c r="B70" s="330"/>
      <c r="C70" s="412"/>
      <c r="D70" s="37"/>
      <c r="E70" s="37"/>
      <c r="F70" s="37"/>
      <c r="G70" s="998"/>
      <c r="H70"/>
      <c r="I70"/>
      <c r="J70"/>
      <c r="K70"/>
      <c r="L70"/>
      <c r="M70"/>
      <c r="N70"/>
      <c r="O70" s="995"/>
      <c r="U70" s="212"/>
      <c r="V70" s="73"/>
      <c r="AB70" s="73"/>
      <c r="AC70" s="73"/>
      <c r="AD70" s="73"/>
      <c r="AE70" s="73"/>
      <c r="AF70" s="73"/>
      <c r="AG70" s="73"/>
      <c r="AH70" s="73"/>
      <c r="AI70" s="73"/>
      <c r="AJ70" s="73"/>
      <c r="AK70" s="73"/>
      <c r="AL70" s="73"/>
      <c r="AM70" s="73"/>
      <c r="AN70" s="73"/>
      <c r="AO70" s="73"/>
      <c r="AP70" s="73"/>
      <c r="AQ70" s="73"/>
      <c r="AR70" s="73"/>
      <c r="AS70" s="73"/>
      <c r="AT70" s="73"/>
      <c r="AU70" s="73"/>
      <c r="AV70" s="73"/>
      <c r="AW70" s="73"/>
      <c r="AX70" s="73"/>
      <c r="AY70" s="73"/>
      <c r="AZ70" s="73"/>
      <c r="BA70" s="73"/>
      <c r="BB70" s="73"/>
      <c r="BC70" s="126"/>
      <c r="BE70" s="136"/>
      <c r="BF70" s="136"/>
      <c r="BG70" s="136"/>
      <c r="BH70" s="136"/>
      <c r="BI70" s="136"/>
      <c r="BJ70" s="136"/>
      <c r="BK70" s="136"/>
      <c r="BL70" s="136"/>
      <c r="BM70" s="402"/>
      <c r="BN70" s="136"/>
      <c r="BO70" s="1091"/>
      <c r="BP70" s="78"/>
      <c r="BQ70" s="199"/>
      <c r="BR70" s="199"/>
      <c r="BS70" s="199"/>
      <c r="BT70" s="199"/>
      <c r="BU70" s="199"/>
      <c r="BV70" s="199"/>
      <c r="BW70" s="199"/>
      <c r="BX70" s="199"/>
      <c r="BY70" s="199"/>
      <c r="BZ70" s="199"/>
      <c r="CA70" s="199"/>
      <c r="CB70" s="199"/>
      <c r="CC70" s="199"/>
      <c r="CD70" s="199"/>
      <c r="CE70" s="199"/>
      <c r="CF70" s="199"/>
      <c r="CG70" s="199"/>
      <c r="CH70" s="199"/>
      <c r="CI70" s="199"/>
      <c r="CJ70" s="199"/>
      <c r="CK70" s="199"/>
      <c r="CL70" s="199"/>
      <c r="CM70" s="199"/>
      <c r="CN70" s="199"/>
      <c r="CO70" s="199"/>
      <c r="CP70" s="199"/>
      <c r="CQ70" s="199"/>
      <c r="CR70" s="199"/>
      <c r="CS70" s="199"/>
      <c r="CT70" s="199"/>
      <c r="CU70" s="199"/>
      <c r="CV70" s="199"/>
      <c r="CW70" s="199"/>
      <c r="CX70" s="199"/>
      <c r="CY70" s="199"/>
      <c r="CZ70" s="199"/>
      <c r="DA70" s="199"/>
      <c r="DB70" s="199"/>
    </row>
    <row r="71" spans="2:108" ht="20" hidden="1" x14ac:dyDescent="0.2">
      <c r="B71" s="330"/>
      <c r="C71" s="412"/>
      <c r="D71" s="37"/>
      <c r="E71" s="37"/>
      <c r="F71" s="37"/>
      <c r="G71" s="998"/>
      <c r="H71"/>
      <c r="I71"/>
      <c r="J71"/>
      <c r="K71"/>
      <c r="L71"/>
      <c r="M71"/>
      <c r="N71"/>
      <c r="O71" s="995"/>
      <c r="U71" s="212"/>
      <c r="V71" s="73"/>
      <c r="AB71" s="73"/>
      <c r="AC71" s="73"/>
      <c r="AD71" s="73"/>
      <c r="AE71" s="73"/>
      <c r="AF71" s="73"/>
      <c r="AG71" s="73"/>
      <c r="AH71" s="73"/>
      <c r="AI71" s="73"/>
      <c r="AJ71" s="73"/>
      <c r="AK71" s="73"/>
      <c r="AL71" s="73"/>
      <c r="AM71" s="73"/>
      <c r="AN71" s="73"/>
      <c r="AO71" s="73"/>
      <c r="AP71" s="73"/>
      <c r="AQ71" s="73"/>
      <c r="AR71" s="73"/>
      <c r="AS71" s="73"/>
      <c r="AT71" s="73"/>
      <c r="AU71" s="73"/>
      <c r="AV71" s="73"/>
      <c r="AW71" s="73"/>
      <c r="AX71" s="73"/>
      <c r="AY71" s="73"/>
      <c r="AZ71" s="73"/>
      <c r="BA71" s="73"/>
      <c r="BB71" s="73"/>
      <c r="BC71" s="126"/>
      <c r="BE71" s="136"/>
      <c r="BF71" s="136"/>
      <c r="BG71" s="136"/>
      <c r="BH71" s="136"/>
      <c r="BI71" s="136"/>
      <c r="BJ71" s="136"/>
      <c r="BK71" s="136"/>
      <c r="BL71" s="136"/>
      <c r="BM71" s="402"/>
      <c r="BN71" s="136"/>
      <c r="BO71" s="1091"/>
      <c r="BP71" s="78"/>
      <c r="BQ71" s="199"/>
      <c r="BR71" s="199"/>
      <c r="BS71" s="199"/>
      <c r="BT71" s="199"/>
      <c r="BU71" s="199"/>
      <c r="BV71" s="199"/>
      <c r="BW71" s="199"/>
      <c r="BX71" s="199"/>
      <c r="BY71" s="199"/>
      <c r="BZ71" s="199"/>
      <c r="CA71" s="199"/>
      <c r="CB71" s="199"/>
      <c r="CC71" s="199"/>
      <c r="CD71" s="199"/>
      <c r="CE71" s="199"/>
      <c r="CF71" s="199"/>
      <c r="CG71" s="199"/>
      <c r="CH71" s="199"/>
      <c r="CI71" s="199"/>
      <c r="CJ71" s="199"/>
      <c r="CK71" s="199"/>
      <c r="CL71" s="199"/>
      <c r="CM71" s="199"/>
      <c r="CN71" s="199"/>
      <c r="CO71" s="199"/>
      <c r="CP71" s="199"/>
      <c r="CQ71" s="199"/>
      <c r="CR71" s="199"/>
      <c r="CS71" s="199"/>
      <c r="CT71" s="199"/>
      <c r="CU71" s="199"/>
      <c r="CV71" s="199"/>
      <c r="CW71" s="199"/>
      <c r="CX71" s="199"/>
      <c r="CY71" s="199"/>
      <c r="CZ71" s="199"/>
      <c r="DA71" s="199"/>
      <c r="DB71" s="199"/>
    </row>
    <row r="72" spans="2:108" ht="20" hidden="1" x14ac:dyDescent="0.2">
      <c r="B72" s="330"/>
      <c r="C72" s="412"/>
      <c r="D72" s="37"/>
      <c r="E72" s="37"/>
      <c r="F72" s="37"/>
      <c r="G72" s="998"/>
      <c r="H72"/>
      <c r="I72"/>
      <c r="J72"/>
      <c r="K72"/>
      <c r="L72"/>
      <c r="M72"/>
      <c r="N72"/>
      <c r="O72" s="995"/>
      <c r="U72" s="212"/>
      <c r="V72" s="73"/>
      <c r="AB72" s="73"/>
      <c r="AC72" s="73"/>
      <c r="AD72" s="73"/>
      <c r="AE72" s="73"/>
      <c r="AF72" s="73"/>
      <c r="AG72" s="73"/>
      <c r="AH72" s="73"/>
      <c r="AI72" s="73"/>
      <c r="AJ72" s="73"/>
      <c r="AK72" s="73"/>
      <c r="AL72" s="73"/>
      <c r="AM72" s="73"/>
      <c r="AN72" s="73"/>
      <c r="AO72" s="73"/>
      <c r="AP72" s="73"/>
      <c r="AQ72" s="73"/>
      <c r="AR72" s="73"/>
      <c r="AS72" s="73"/>
      <c r="AT72" s="73"/>
      <c r="AU72" s="73"/>
      <c r="AV72" s="73"/>
      <c r="AW72" s="73"/>
      <c r="AX72" s="73"/>
      <c r="AY72" s="73"/>
      <c r="AZ72" s="73"/>
      <c r="BA72" s="73"/>
      <c r="BB72" s="73"/>
      <c r="BC72" s="126"/>
      <c r="BE72" s="136"/>
      <c r="BF72" s="136"/>
      <c r="BG72" s="136"/>
      <c r="BH72" s="136"/>
      <c r="BI72" s="136"/>
      <c r="BJ72" s="136"/>
      <c r="BK72" s="136"/>
      <c r="BL72" s="136"/>
      <c r="BM72" s="402"/>
      <c r="BN72" s="136"/>
      <c r="BO72" s="1091"/>
      <c r="BP72" s="78"/>
      <c r="BQ72" s="199"/>
      <c r="BR72" s="199"/>
      <c r="BS72" s="199"/>
      <c r="BT72" s="199"/>
      <c r="BU72" s="199"/>
      <c r="BV72" s="199"/>
      <c r="BW72" s="199"/>
      <c r="BX72" s="199"/>
      <c r="BY72" s="199"/>
      <c r="BZ72" s="199"/>
      <c r="CA72" s="199"/>
      <c r="CB72" s="199"/>
      <c r="CC72" s="199"/>
      <c r="CD72" s="199"/>
      <c r="CE72" s="199"/>
      <c r="CF72" s="199"/>
      <c r="CG72" s="199"/>
      <c r="CH72" s="199"/>
      <c r="CI72" s="199"/>
      <c r="CJ72" s="199"/>
      <c r="CK72" s="199"/>
      <c r="CL72" s="199"/>
      <c r="CM72" s="199"/>
      <c r="CN72" s="199"/>
      <c r="CO72" s="199"/>
      <c r="CP72" s="199"/>
      <c r="CQ72" s="199"/>
      <c r="CR72" s="199"/>
      <c r="CS72" s="199"/>
      <c r="CT72" s="199"/>
      <c r="CU72" s="199"/>
      <c r="CV72" s="199"/>
      <c r="CW72" s="199"/>
      <c r="CX72" s="199"/>
      <c r="CY72" s="199"/>
      <c r="CZ72" s="199"/>
      <c r="DA72" s="199"/>
      <c r="DB72" s="199"/>
    </row>
    <row r="73" spans="2:108" ht="20" hidden="1" x14ac:dyDescent="0.2">
      <c r="B73" s="330"/>
      <c r="C73" s="412"/>
      <c r="D73" s="37"/>
      <c r="E73" s="37"/>
      <c r="F73" s="37"/>
      <c r="G73" s="998"/>
      <c r="H73"/>
      <c r="I73"/>
      <c r="J73"/>
      <c r="K73"/>
      <c r="L73"/>
      <c r="M73"/>
      <c r="N73"/>
      <c r="O73" s="995"/>
      <c r="U73" s="212"/>
      <c r="V73" s="73"/>
      <c r="AB73" s="73"/>
      <c r="AC73" s="73"/>
      <c r="AD73" s="73"/>
      <c r="AE73" s="73"/>
      <c r="AF73" s="73"/>
      <c r="AG73" s="73"/>
      <c r="AH73" s="73"/>
      <c r="AI73" s="73"/>
      <c r="AJ73" s="73"/>
      <c r="AK73" s="73"/>
      <c r="AL73" s="73"/>
      <c r="AM73" s="73"/>
      <c r="AN73" s="73"/>
      <c r="AO73" s="73"/>
      <c r="AP73" s="73"/>
      <c r="AQ73" s="73"/>
      <c r="AR73" s="73"/>
      <c r="AS73" s="73"/>
      <c r="AT73" s="73"/>
      <c r="AU73" s="73"/>
      <c r="AV73" s="73"/>
      <c r="AW73" s="73"/>
      <c r="AX73" s="73"/>
      <c r="AY73" s="73"/>
      <c r="AZ73" s="73"/>
      <c r="BA73" s="73"/>
      <c r="BB73" s="73"/>
      <c r="BC73" s="126"/>
      <c r="BE73" s="136"/>
      <c r="BF73" s="136"/>
      <c r="BG73" s="136"/>
      <c r="BH73" s="136"/>
      <c r="BI73" s="136"/>
      <c r="BJ73" s="136"/>
      <c r="BK73" s="136"/>
      <c r="BL73" s="136"/>
      <c r="BM73" s="402"/>
      <c r="BN73" s="136"/>
      <c r="BO73" s="1091"/>
      <c r="BP73" s="78"/>
      <c r="BQ73" s="199"/>
      <c r="BR73" s="199"/>
      <c r="BS73" s="199"/>
      <c r="BT73" s="199"/>
      <c r="BU73" s="199"/>
      <c r="BV73" s="199"/>
      <c r="BW73" s="199"/>
      <c r="BX73" s="199"/>
      <c r="BY73" s="199"/>
      <c r="BZ73" s="199"/>
      <c r="CA73" s="199"/>
      <c r="CB73" s="199"/>
      <c r="CC73" s="199"/>
      <c r="CD73" s="199"/>
      <c r="CE73" s="199"/>
      <c r="CF73" s="199"/>
      <c r="CG73" s="199"/>
      <c r="CH73" s="199"/>
      <c r="CI73" s="199"/>
      <c r="CJ73" s="199"/>
      <c r="CK73" s="199"/>
      <c r="CL73" s="199"/>
      <c r="CM73" s="199"/>
      <c r="CN73" s="199"/>
      <c r="CO73" s="199"/>
      <c r="CP73" s="199"/>
      <c r="CQ73" s="199"/>
      <c r="CR73" s="199"/>
      <c r="CS73" s="199"/>
      <c r="CT73" s="199"/>
      <c r="CU73" s="199"/>
      <c r="CV73" s="199"/>
      <c r="CW73" s="199"/>
      <c r="CX73" s="199"/>
      <c r="CY73" s="199"/>
      <c r="CZ73" s="199"/>
      <c r="DA73" s="199"/>
      <c r="DB73" s="199"/>
    </row>
    <row r="74" spans="2:108" ht="20" hidden="1" x14ac:dyDescent="0.2">
      <c r="B74" s="330"/>
      <c r="C74" s="412"/>
      <c r="D74" s="37"/>
      <c r="E74" s="37"/>
      <c r="F74" s="37"/>
      <c r="G74" s="998"/>
      <c r="H74"/>
      <c r="I74"/>
      <c r="J74"/>
      <c r="K74"/>
      <c r="L74"/>
      <c r="M74"/>
      <c r="N74"/>
      <c r="O74" s="995"/>
      <c r="U74" s="212"/>
      <c r="V74" s="73"/>
      <c r="AB74" s="73"/>
      <c r="AC74" s="73"/>
      <c r="AD74" s="73"/>
      <c r="AE74" s="73"/>
      <c r="AF74" s="73"/>
      <c r="AG74" s="73"/>
      <c r="AH74" s="73"/>
      <c r="AI74" s="73"/>
      <c r="AJ74" s="73"/>
      <c r="AK74" s="73"/>
      <c r="AL74" s="73"/>
      <c r="AM74" s="73"/>
      <c r="AN74" s="73"/>
      <c r="AO74" s="73"/>
      <c r="AP74" s="73"/>
      <c r="AQ74" s="73"/>
      <c r="AR74" s="73"/>
      <c r="AS74" s="73"/>
      <c r="AT74" s="73"/>
      <c r="AU74" s="73"/>
      <c r="AV74" s="73"/>
      <c r="AW74" s="73"/>
      <c r="AX74" s="73"/>
      <c r="AY74" s="73"/>
      <c r="AZ74" s="73"/>
      <c r="BA74" s="73"/>
      <c r="BB74" s="73"/>
      <c r="BC74" s="126"/>
      <c r="BE74" s="136"/>
      <c r="BF74" s="136"/>
      <c r="BG74" s="136"/>
      <c r="BH74" s="136"/>
      <c r="BI74" s="136"/>
      <c r="BJ74" s="136"/>
      <c r="BK74" s="136"/>
      <c r="BL74" s="136"/>
      <c r="BM74" s="402"/>
      <c r="BN74" s="136"/>
      <c r="BO74" s="1091"/>
      <c r="BP74" s="78"/>
      <c r="BQ74" s="199"/>
      <c r="BR74" s="199"/>
      <c r="BS74" s="199"/>
      <c r="BT74" s="199"/>
      <c r="BU74" s="199"/>
      <c r="BV74" s="199"/>
      <c r="BW74" s="199"/>
      <c r="BX74" s="199"/>
      <c r="BY74" s="199"/>
      <c r="BZ74" s="199"/>
      <c r="CA74" s="199"/>
      <c r="CB74" s="199"/>
      <c r="CC74" s="199"/>
      <c r="CD74" s="199"/>
      <c r="CE74" s="199"/>
      <c r="CF74" s="199"/>
      <c r="CG74" s="199"/>
      <c r="CH74" s="199"/>
      <c r="CI74" s="199"/>
      <c r="CJ74" s="199"/>
      <c r="CK74" s="199"/>
      <c r="CL74" s="199"/>
      <c r="CM74" s="199"/>
      <c r="CN74" s="199"/>
      <c r="CO74" s="199"/>
      <c r="CP74" s="199"/>
      <c r="CQ74" s="199"/>
      <c r="CR74" s="199"/>
      <c r="CS74" s="199"/>
      <c r="CT74" s="199"/>
      <c r="CU74" s="199"/>
      <c r="CV74" s="199"/>
      <c r="CW74" s="199"/>
      <c r="CX74" s="199"/>
      <c r="CY74" s="199"/>
      <c r="CZ74" s="199"/>
      <c r="DA74" s="199"/>
      <c r="DB74" s="199"/>
    </row>
    <row r="75" spans="2:108" ht="20" hidden="1" x14ac:dyDescent="0.2">
      <c r="B75" s="330"/>
      <c r="C75" s="412"/>
      <c r="D75" s="37"/>
      <c r="E75" s="37"/>
      <c r="F75" s="37"/>
      <c r="G75" s="998"/>
      <c r="H75"/>
      <c r="I75"/>
      <c r="J75"/>
      <c r="K75"/>
      <c r="L75"/>
      <c r="M75"/>
      <c r="N75"/>
      <c r="O75" s="995"/>
      <c r="U75" s="212"/>
      <c r="V75" s="73"/>
      <c r="AB75" s="73"/>
      <c r="AC75" s="73"/>
      <c r="AD75" s="73"/>
      <c r="AE75" s="73"/>
      <c r="AF75" s="73"/>
      <c r="AG75" s="73"/>
      <c r="AH75" s="73"/>
      <c r="AI75" s="73"/>
      <c r="AJ75" s="73"/>
      <c r="AK75" s="73"/>
      <c r="AL75" s="73"/>
      <c r="AM75" s="73"/>
      <c r="AN75" s="73"/>
      <c r="AO75" s="73"/>
      <c r="AP75" s="73"/>
      <c r="AQ75" s="73"/>
      <c r="AR75" s="73"/>
      <c r="AS75" s="73"/>
      <c r="AT75" s="73"/>
      <c r="AU75" s="73"/>
      <c r="AV75" s="73"/>
      <c r="AW75" s="73"/>
      <c r="AX75" s="73"/>
      <c r="AY75" s="73"/>
      <c r="AZ75" s="73"/>
      <c r="BA75" s="73"/>
      <c r="BB75" s="73"/>
      <c r="BC75" s="126"/>
      <c r="BE75" s="136"/>
      <c r="BF75" s="136"/>
      <c r="BG75" s="136"/>
      <c r="BH75" s="136"/>
      <c r="BI75" s="136"/>
      <c r="BJ75" s="136"/>
      <c r="BK75" s="136"/>
      <c r="BL75" s="136"/>
      <c r="BM75" s="402"/>
      <c r="BN75" s="136"/>
      <c r="BO75" s="1091"/>
      <c r="BP75" s="78"/>
      <c r="BQ75" s="199"/>
      <c r="BR75" s="199"/>
      <c r="BS75" s="199"/>
      <c r="BT75" s="199"/>
      <c r="BU75" s="199"/>
      <c r="BV75" s="199"/>
      <c r="BW75" s="199"/>
      <c r="BX75" s="199"/>
      <c r="BY75" s="199"/>
      <c r="BZ75" s="199"/>
      <c r="CA75" s="199"/>
      <c r="CB75" s="199"/>
      <c r="CC75" s="199"/>
      <c r="CD75" s="199"/>
      <c r="CE75" s="199"/>
      <c r="CF75" s="199"/>
      <c r="CG75" s="199"/>
      <c r="CH75" s="199"/>
      <c r="CI75" s="199"/>
      <c r="CJ75" s="199"/>
      <c r="CK75" s="199"/>
      <c r="CL75" s="199"/>
      <c r="CM75" s="199"/>
      <c r="CN75" s="199"/>
      <c r="CO75" s="199"/>
      <c r="CP75" s="199"/>
      <c r="CQ75" s="199"/>
      <c r="CR75" s="199"/>
      <c r="CS75" s="199"/>
      <c r="CT75" s="199"/>
      <c r="CU75" s="199"/>
      <c r="CV75" s="199"/>
      <c r="CW75" s="199"/>
      <c r="CX75" s="199"/>
      <c r="CY75" s="199"/>
      <c r="CZ75" s="199"/>
      <c r="DA75" s="199"/>
      <c r="DB75" s="199"/>
    </row>
    <row r="76" spans="2:108" ht="20" hidden="1" x14ac:dyDescent="0.2">
      <c r="B76" s="330"/>
      <c r="C76" s="412"/>
      <c r="D76" s="37"/>
      <c r="E76" s="37"/>
      <c r="F76" s="37"/>
      <c r="G76" s="998"/>
      <c r="H76"/>
      <c r="I76"/>
      <c r="J76"/>
      <c r="K76"/>
      <c r="L76"/>
      <c r="M76"/>
      <c r="N76"/>
      <c r="O76" s="995"/>
      <c r="U76" s="212"/>
      <c r="V76" s="73"/>
      <c r="AB76" s="73"/>
      <c r="AC76" s="73"/>
      <c r="AD76" s="73"/>
      <c r="AE76" s="73"/>
      <c r="AF76" s="73"/>
      <c r="AG76" s="73"/>
      <c r="AH76" s="73"/>
      <c r="AI76" s="73"/>
      <c r="AJ76" s="73"/>
      <c r="AK76" s="73"/>
      <c r="AL76" s="73"/>
      <c r="AM76" s="73"/>
      <c r="AN76" s="73"/>
      <c r="AO76" s="73"/>
      <c r="AP76" s="73"/>
      <c r="AQ76" s="73"/>
      <c r="AR76" s="73"/>
      <c r="AS76" s="73"/>
      <c r="AT76" s="73"/>
      <c r="AU76" s="73"/>
      <c r="AV76" s="73"/>
      <c r="AW76" s="73"/>
      <c r="AX76" s="73"/>
      <c r="AY76" s="73"/>
      <c r="AZ76" s="73"/>
      <c r="BA76" s="73"/>
      <c r="BB76" s="73"/>
      <c r="BC76" s="126"/>
      <c r="BE76" s="136"/>
      <c r="BF76" s="136"/>
      <c r="BG76" s="136"/>
      <c r="BH76" s="136"/>
      <c r="BI76" s="136"/>
      <c r="BJ76" s="136"/>
      <c r="BK76" s="136"/>
      <c r="BL76" s="136"/>
      <c r="BM76" s="402"/>
      <c r="BN76" s="136"/>
      <c r="BO76" s="1091"/>
      <c r="BP76" s="78"/>
      <c r="BQ76" s="199"/>
      <c r="BR76" s="199"/>
      <c r="BS76" s="199"/>
      <c r="BT76" s="199"/>
      <c r="BU76" s="199"/>
      <c r="BV76" s="199"/>
      <c r="BW76" s="199"/>
      <c r="BX76" s="199"/>
      <c r="BY76" s="199"/>
      <c r="BZ76" s="199"/>
      <c r="CA76" s="199"/>
      <c r="CB76" s="199"/>
      <c r="CC76" s="199"/>
      <c r="CD76" s="199"/>
      <c r="CE76" s="199"/>
      <c r="CF76" s="199"/>
      <c r="CG76" s="199"/>
      <c r="CH76" s="199"/>
      <c r="CI76" s="199"/>
      <c r="CJ76" s="199"/>
      <c r="CK76" s="199"/>
      <c r="CL76" s="199"/>
      <c r="CM76" s="199"/>
      <c r="CN76" s="199"/>
      <c r="CO76" s="199"/>
      <c r="CP76" s="199"/>
      <c r="CQ76" s="199"/>
      <c r="CR76" s="199"/>
      <c r="CS76" s="199"/>
      <c r="CT76" s="199"/>
      <c r="CU76" s="199"/>
      <c r="CV76" s="199"/>
      <c r="CW76" s="199"/>
      <c r="CX76" s="199"/>
      <c r="CY76" s="199"/>
      <c r="CZ76" s="199"/>
      <c r="DA76" s="199"/>
      <c r="DB76" s="199"/>
    </row>
    <row r="77" spans="2:108" ht="20" hidden="1" x14ac:dyDescent="0.2">
      <c r="B77" s="330"/>
      <c r="C77" s="412"/>
      <c r="D77" s="37"/>
      <c r="E77" s="37"/>
      <c r="F77" s="37"/>
      <c r="G77" s="998"/>
      <c r="H77"/>
      <c r="I77"/>
      <c r="J77"/>
      <c r="K77"/>
      <c r="L77"/>
      <c r="M77"/>
      <c r="N77"/>
      <c r="O77" s="995"/>
      <c r="U77" s="212"/>
      <c r="V77" s="73"/>
      <c r="AB77" s="73"/>
      <c r="AC77" s="73"/>
      <c r="AD77" s="73"/>
      <c r="AE77" s="73"/>
      <c r="AF77" s="73"/>
      <c r="AG77" s="73"/>
      <c r="AH77" s="73"/>
      <c r="AI77" s="73"/>
      <c r="AJ77" s="73"/>
      <c r="AK77" s="73"/>
      <c r="AL77" s="73"/>
      <c r="AM77" s="73"/>
      <c r="AN77" s="73"/>
      <c r="AO77" s="73"/>
      <c r="AP77" s="73"/>
      <c r="AQ77" s="73"/>
      <c r="AR77" s="73"/>
      <c r="AS77" s="73"/>
      <c r="AT77" s="73"/>
      <c r="AU77" s="73"/>
      <c r="AV77" s="73"/>
      <c r="AW77" s="73"/>
      <c r="AX77" s="73"/>
      <c r="AY77" s="73"/>
      <c r="AZ77" s="73"/>
      <c r="BA77" s="73"/>
      <c r="BB77" s="73"/>
      <c r="BC77" s="126"/>
      <c r="BE77" s="136"/>
      <c r="BF77" s="136"/>
      <c r="BG77" s="136"/>
      <c r="BH77" s="136"/>
      <c r="BI77" s="136"/>
      <c r="BJ77" s="136"/>
      <c r="BK77" s="136"/>
      <c r="BL77" s="136"/>
      <c r="BM77" s="402"/>
      <c r="BN77" s="136"/>
      <c r="BO77" s="1091"/>
      <c r="BP77" s="78"/>
      <c r="BQ77" s="199"/>
      <c r="BR77" s="199"/>
      <c r="BS77" s="199"/>
      <c r="BT77" s="199"/>
      <c r="BU77" s="199"/>
      <c r="BV77" s="199"/>
      <c r="BW77" s="199"/>
      <c r="BX77" s="199"/>
      <c r="BY77" s="199"/>
      <c r="BZ77" s="199"/>
      <c r="CA77" s="199"/>
      <c r="CB77" s="199"/>
      <c r="CC77" s="199"/>
      <c r="CD77" s="199"/>
      <c r="CE77" s="199"/>
      <c r="CF77" s="199"/>
      <c r="CG77" s="199"/>
      <c r="CH77" s="199"/>
      <c r="CI77" s="199"/>
      <c r="CJ77" s="199"/>
      <c r="CK77" s="199"/>
      <c r="CL77" s="199"/>
      <c r="CM77" s="199"/>
      <c r="CN77" s="199"/>
      <c r="CO77" s="199"/>
      <c r="CP77" s="199"/>
      <c r="CQ77" s="199"/>
      <c r="CR77" s="199"/>
      <c r="CS77" s="199"/>
      <c r="CT77" s="199"/>
      <c r="CU77" s="199"/>
      <c r="CV77" s="199"/>
      <c r="CW77" s="199"/>
      <c r="CX77" s="199"/>
      <c r="CY77" s="199"/>
      <c r="CZ77" s="199"/>
      <c r="DA77" s="199"/>
      <c r="DB77" s="199"/>
    </row>
    <row r="78" spans="2:108" ht="20" hidden="1" x14ac:dyDescent="0.2">
      <c r="B78" s="330"/>
      <c r="C78" s="412"/>
      <c r="D78" s="37"/>
      <c r="E78" s="37"/>
      <c r="F78" s="37"/>
      <c r="G78" s="998"/>
      <c r="H78"/>
      <c r="I78"/>
      <c r="J78"/>
      <c r="K78"/>
      <c r="L78"/>
      <c r="M78"/>
      <c r="N78"/>
      <c r="O78" s="995"/>
      <c r="U78" s="212"/>
      <c r="V78" s="73"/>
      <c r="AB78" s="73"/>
      <c r="AC78" s="73"/>
      <c r="AD78" s="73"/>
      <c r="AE78" s="73"/>
      <c r="AF78" s="73"/>
      <c r="AG78" s="73"/>
      <c r="AH78" s="73"/>
      <c r="AI78" s="73"/>
      <c r="AJ78" s="73"/>
      <c r="AK78" s="73"/>
      <c r="AL78" s="73"/>
      <c r="AM78" s="73"/>
      <c r="AN78" s="73"/>
      <c r="AO78" s="73"/>
      <c r="AP78" s="73"/>
      <c r="AQ78" s="73"/>
      <c r="AR78" s="73"/>
      <c r="AS78" s="73"/>
      <c r="AT78" s="73"/>
      <c r="AU78" s="73"/>
      <c r="AV78" s="73"/>
      <c r="AW78" s="73"/>
      <c r="AX78" s="73"/>
      <c r="AY78" s="73"/>
      <c r="AZ78" s="73"/>
      <c r="BA78" s="73"/>
      <c r="BB78" s="73"/>
      <c r="BC78" s="126"/>
      <c r="BE78" s="136"/>
      <c r="BF78" s="136"/>
      <c r="BG78" s="136"/>
      <c r="BH78" s="136"/>
      <c r="BI78" s="136"/>
      <c r="BJ78" s="136"/>
      <c r="BK78" s="136"/>
      <c r="BL78" s="136"/>
      <c r="BM78" s="402"/>
      <c r="BN78" s="136"/>
      <c r="BO78" s="1091"/>
      <c r="BP78" s="78"/>
      <c r="BQ78" s="199"/>
      <c r="BR78" s="199"/>
      <c r="BS78" s="199"/>
      <c r="BT78" s="199"/>
      <c r="BU78" s="199"/>
      <c r="BV78" s="199"/>
      <c r="BW78" s="199"/>
      <c r="BX78" s="199"/>
      <c r="BY78" s="199"/>
      <c r="BZ78" s="199"/>
      <c r="CA78" s="199"/>
      <c r="CB78" s="199"/>
      <c r="CC78" s="199"/>
      <c r="CD78" s="199"/>
      <c r="CE78" s="199"/>
      <c r="CF78" s="199"/>
      <c r="CG78" s="199"/>
      <c r="CH78" s="199"/>
      <c r="CI78" s="199"/>
      <c r="CJ78" s="199"/>
      <c r="CK78" s="199"/>
      <c r="CL78" s="199"/>
      <c r="CM78" s="199"/>
      <c r="CN78" s="199"/>
      <c r="CO78" s="199"/>
      <c r="CP78" s="199"/>
      <c r="CQ78" s="199"/>
      <c r="CR78" s="199"/>
      <c r="CS78" s="199"/>
      <c r="CT78" s="199"/>
      <c r="CU78" s="199"/>
      <c r="CV78" s="199"/>
      <c r="CW78" s="199"/>
      <c r="CX78" s="199"/>
      <c r="CY78" s="199"/>
      <c r="CZ78" s="199"/>
      <c r="DA78" s="199"/>
      <c r="DB78" s="199"/>
    </row>
    <row r="79" spans="2:108" ht="20" hidden="1" x14ac:dyDescent="0.2">
      <c r="B79" s="330"/>
      <c r="C79" s="412"/>
      <c r="D79" s="37"/>
      <c r="E79" s="37"/>
      <c r="F79" s="37"/>
      <c r="G79" s="1008"/>
      <c r="H79"/>
      <c r="I79"/>
      <c r="J79"/>
      <c r="K79"/>
      <c r="L79"/>
      <c r="M79"/>
      <c r="N79"/>
      <c r="O79" s="995"/>
      <c r="U79" s="212"/>
      <c r="V79" s="73"/>
      <c r="AB79" s="73"/>
      <c r="AC79" s="73"/>
      <c r="AD79" s="73"/>
      <c r="AE79" s="73"/>
      <c r="AF79" s="73"/>
      <c r="AG79" s="73"/>
      <c r="AH79" s="73"/>
      <c r="AI79" s="73"/>
      <c r="AJ79" s="73"/>
      <c r="AK79" s="73"/>
      <c r="AL79" s="73"/>
      <c r="AM79" s="73"/>
      <c r="AN79" s="73"/>
      <c r="AO79" s="73"/>
      <c r="AP79" s="73"/>
      <c r="AQ79" s="73"/>
      <c r="AR79" s="73"/>
      <c r="AS79" s="73"/>
      <c r="AT79" s="73"/>
      <c r="AU79" s="73"/>
      <c r="AV79" s="73"/>
      <c r="AW79" s="73"/>
      <c r="AX79" s="73"/>
      <c r="AY79" s="73"/>
      <c r="AZ79" s="73"/>
      <c r="BA79" s="73"/>
      <c r="BB79" s="73"/>
      <c r="BC79" s="126"/>
      <c r="BE79" s="136"/>
      <c r="BF79" s="136"/>
      <c r="BG79" s="136"/>
      <c r="BH79" s="136"/>
      <c r="BI79" s="136"/>
      <c r="BJ79" s="136"/>
      <c r="BK79" s="136"/>
      <c r="BL79" s="136"/>
      <c r="BM79" s="402"/>
      <c r="BN79" s="136"/>
      <c r="BO79" s="1091"/>
      <c r="BP79" s="78"/>
      <c r="BQ79" s="199"/>
      <c r="BR79" s="199"/>
      <c r="BS79" s="199"/>
      <c r="BT79" s="199"/>
      <c r="BU79" s="199"/>
      <c r="BV79" s="199"/>
      <c r="BW79" s="199"/>
      <c r="BX79" s="199"/>
      <c r="BY79" s="199"/>
      <c r="BZ79" s="199"/>
      <c r="CA79" s="199"/>
      <c r="CB79" s="199"/>
      <c r="CC79" s="199"/>
      <c r="CD79" s="199"/>
      <c r="CE79" s="199"/>
      <c r="CF79" s="199"/>
      <c r="CG79" s="199"/>
      <c r="CH79" s="199"/>
      <c r="CI79" s="199"/>
      <c r="CJ79" s="199"/>
      <c r="CK79" s="199"/>
      <c r="CL79" s="199"/>
      <c r="CM79" s="199"/>
      <c r="CN79" s="199"/>
      <c r="CO79" s="199"/>
      <c r="CP79" s="199"/>
      <c r="CQ79" s="199"/>
      <c r="CR79" s="199"/>
      <c r="CS79" s="199"/>
      <c r="CT79" s="199"/>
      <c r="CU79" s="199"/>
      <c r="CV79" s="199"/>
      <c r="CW79" s="199"/>
      <c r="CX79" s="199"/>
      <c r="CY79" s="199"/>
      <c r="CZ79" s="199"/>
      <c r="DA79" s="199"/>
      <c r="DB79" s="199"/>
    </row>
    <row r="80" spans="2:108" ht="20" hidden="1" x14ac:dyDescent="0.2">
      <c r="B80" s="330"/>
      <c r="C80" s="412"/>
      <c r="D80" s="37"/>
      <c r="E80" s="37"/>
      <c r="F80" s="37"/>
      <c r="G80" s="998"/>
      <c r="H80"/>
      <c r="I80"/>
      <c r="J80"/>
      <c r="K80"/>
      <c r="L80"/>
      <c r="M80"/>
      <c r="N80"/>
      <c r="O80" s="995"/>
      <c r="U80" s="212"/>
      <c r="V80" s="73"/>
      <c r="AB80" s="73"/>
      <c r="AC80" s="73"/>
      <c r="AD80" s="73"/>
      <c r="AE80" s="73"/>
      <c r="AF80" s="73"/>
      <c r="AG80" s="73"/>
      <c r="AH80" s="73"/>
      <c r="AI80" s="73"/>
      <c r="AJ80" s="73"/>
      <c r="AK80" s="73"/>
      <c r="AL80" s="73"/>
      <c r="AM80" s="73"/>
      <c r="AN80" s="73"/>
      <c r="AO80" s="73"/>
      <c r="AP80" s="73"/>
      <c r="AQ80" s="73"/>
      <c r="AR80" s="73"/>
      <c r="AS80" s="73"/>
      <c r="AT80" s="73"/>
      <c r="AU80" s="73"/>
      <c r="AV80" s="73"/>
      <c r="AW80" s="73"/>
      <c r="AX80" s="73"/>
      <c r="AY80" s="73"/>
      <c r="AZ80" s="73"/>
      <c r="BA80" s="73"/>
      <c r="BB80" s="73"/>
      <c r="BC80" s="126"/>
      <c r="BE80" s="136"/>
      <c r="BF80" s="136"/>
      <c r="BG80" s="136"/>
      <c r="BH80" s="136"/>
      <c r="BI80" s="136"/>
      <c r="BJ80" s="136"/>
      <c r="BK80" s="136"/>
      <c r="BL80" s="136"/>
      <c r="BM80" s="402"/>
      <c r="BN80" s="136"/>
      <c r="BO80" s="1091"/>
      <c r="BP80" s="78"/>
      <c r="BQ80" s="199"/>
      <c r="BR80" s="199"/>
      <c r="BS80" s="199"/>
      <c r="BT80" s="199"/>
      <c r="BU80" s="199"/>
      <c r="BV80" s="199"/>
      <c r="BW80" s="199"/>
      <c r="BX80" s="199"/>
      <c r="BY80" s="199"/>
      <c r="BZ80" s="199"/>
      <c r="CA80" s="199"/>
      <c r="CB80" s="199"/>
      <c r="CC80" s="199"/>
      <c r="CD80" s="199"/>
      <c r="CE80" s="199"/>
      <c r="CF80" s="199"/>
      <c r="CG80" s="199"/>
      <c r="CH80" s="199"/>
      <c r="CI80" s="199"/>
      <c r="CJ80" s="199"/>
      <c r="CK80" s="199"/>
      <c r="CL80" s="199"/>
      <c r="CM80" s="199"/>
      <c r="CN80" s="199"/>
      <c r="CO80" s="199"/>
      <c r="CP80" s="199"/>
      <c r="CQ80" s="199"/>
      <c r="CR80" s="199"/>
      <c r="CS80" s="199"/>
      <c r="CT80" s="199"/>
      <c r="CU80" s="199"/>
      <c r="CV80" s="199"/>
      <c r="CW80" s="199"/>
      <c r="CX80" s="199"/>
      <c r="CY80" s="199"/>
      <c r="CZ80" s="199"/>
      <c r="DA80" s="199"/>
      <c r="DB80" s="199"/>
    </row>
    <row r="81" spans="2:108" ht="20" hidden="1" x14ac:dyDescent="0.2">
      <c r="B81" s="330"/>
      <c r="C81" s="412"/>
      <c r="D81" s="37"/>
      <c r="E81" s="37"/>
      <c r="F81" s="37"/>
      <c r="G81" s="998"/>
      <c r="H81"/>
      <c r="I81"/>
      <c r="J81"/>
      <c r="K81"/>
      <c r="L81"/>
      <c r="M81"/>
      <c r="N81"/>
      <c r="O81" s="995"/>
      <c r="U81" s="212"/>
      <c r="V81" s="73"/>
      <c r="AB81" s="73"/>
      <c r="AC81" s="73"/>
      <c r="AD81" s="73"/>
      <c r="AE81" s="73"/>
      <c r="AF81" s="73"/>
      <c r="AG81" s="73"/>
      <c r="AH81" s="73"/>
      <c r="AI81" s="73"/>
      <c r="AJ81" s="73"/>
      <c r="AK81" s="73"/>
      <c r="AL81" s="73"/>
      <c r="AM81" s="73"/>
      <c r="AN81" s="73"/>
      <c r="AO81" s="73"/>
      <c r="AP81" s="73"/>
      <c r="AQ81" s="73"/>
      <c r="AR81" s="73"/>
      <c r="AS81" s="73"/>
      <c r="AT81" s="73"/>
      <c r="AU81" s="73"/>
      <c r="AV81" s="73"/>
      <c r="AW81" s="73"/>
      <c r="AX81" s="73"/>
      <c r="AY81" s="73"/>
      <c r="AZ81" s="73"/>
      <c r="BA81" s="73"/>
      <c r="BB81" s="73"/>
      <c r="BC81" s="126"/>
      <c r="BE81" s="136"/>
      <c r="BF81" s="136"/>
      <c r="BG81" s="136"/>
      <c r="BH81" s="136"/>
      <c r="BI81" s="136"/>
      <c r="BJ81" s="136"/>
      <c r="BK81" s="136"/>
      <c r="BL81" s="136"/>
      <c r="BM81" s="402"/>
      <c r="BN81" s="136"/>
      <c r="BO81" s="1091"/>
      <c r="BP81" s="78"/>
      <c r="BQ81" s="199"/>
      <c r="BR81" s="199"/>
      <c r="BS81" s="199"/>
      <c r="BT81" s="199"/>
      <c r="BU81" s="199"/>
      <c r="BV81" s="199"/>
      <c r="BW81" s="199"/>
      <c r="BX81" s="199"/>
      <c r="BY81" s="199"/>
      <c r="BZ81" s="199"/>
      <c r="CA81" s="199"/>
      <c r="CB81" s="199"/>
      <c r="CC81" s="199"/>
      <c r="CD81" s="199"/>
      <c r="CE81" s="199"/>
      <c r="CF81" s="199"/>
      <c r="CG81" s="199"/>
      <c r="CH81" s="199"/>
      <c r="CI81" s="199"/>
      <c r="CJ81" s="199"/>
      <c r="CK81" s="199"/>
      <c r="CL81" s="199"/>
      <c r="CM81" s="199"/>
      <c r="CN81" s="199"/>
      <c r="CO81" s="199"/>
      <c r="CP81" s="199"/>
      <c r="CQ81" s="199"/>
      <c r="CR81" s="199"/>
      <c r="CS81" s="199"/>
      <c r="CT81" s="199"/>
      <c r="CU81" s="199"/>
      <c r="CV81" s="199"/>
      <c r="CW81" s="199"/>
      <c r="CX81" s="199"/>
      <c r="CY81" s="199"/>
      <c r="CZ81" s="199"/>
      <c r="DA81" s="199"/>
      <c r="DB81" s="199"/>
    </row>
    <row r="82" spans="2:108" ht="21" hidden="1" thickBot="1" x14ac:dyDescent="0.25">
      <c r="B82" s="330"/>
      <c r="C82" s="412"/>
      <c r="D82" s="37"/>
      <c r="E82" s="37"/>
      <c r="F82" s="37"/>
      <c r="G82" s="998"/>
      <c r="H82"/>
      <c r="I82"/>
      <c r="J82"/>
      <c r="K82"/>
      <c r="L82"/>
      <c r="M82"/>
      <c r="N82"/>
      <c r="O82" s="995"/>
      <c r="U82" s="212"/>
      <c r="V82" s="73"/>
      <c r="AB82" s="73"/>
      <c r="AC82" s="73"/>
      <c r="AD82" s="73"/>
      <c r="AE82" s="73"/>
      <c r="AF82" s="73"/>
      <c r="AG82" s="73"/>
      <c r="AH82" s="73"/>
      <c r="AI82" s="73"/>
      <c r="AJ82" s="73"/>
      <c r="AK82" s="73"/>
      <c r="AL82" s="73"/>
      <c r="AM82" s="73"/>
      <c r="AN82" s="73"/>
      <c r="AO82" s="73"/>
      <c r="AP82" s="73"/>
      <c r="AQ82" s="73"/>
      <c r="AR82" s="73"/>
      <c r="AS82" s="73"/>
      <c r="AT82" s="73"/>
      <c r="AU82" s="73"/>
      <c r="AV82" s="73"/>
      <c r="AW82" s="73"/>
      <c r="AX82" s="73"/>
      <c r="AY82" s="73"/>
      <c r="AZ82" s="73"/>
      <c r="BA82" s="73"/>
      <c r="BB82" s="73"/>
      <c r="BC82" s="126"/>
      <c r="BE82" s="136"/>
      <c r="BF82" s="136"/>
      <c r="BG82" s="136"/>
      <c r="BH82" s="136"/>
      <c r="BI82" s="136"/>
      <c r="BJ82" s="136"/>
      <c r="BK82" s="136"/>
      <c r="BL82" s="136"/>
      <c r="BM82" s="402"/>
      <c r="BN82" s="136"/>
      <c r="BO82" s="1091"/>
      <c r="BP82" s="78"/>
      <c r="BQ82" s="199"/>
      <c r="BR82" s="199"/>
      <c r="BS82" s="199"/>
      <c r="BT82" s="199"/>
      <c r="BU82" s="199"/>
      <c r="BV82" s="199"/>
      <c r="BW82" s="199"/>
      <c r="BX82" s="199"/>
      <c r="BY82" s="199"/>
      <c r="BZ82" s="199"/>
      <c r="CA82" s="199"/>
      <c r="CB82" s="199"/>
      <c r="CC82" s="199"/>
      <c r="CD82" s="199"/>
      <c r="CE82" s="199"/>
      <c r="CF82" s="199"/>
      <c r="CG82" s="199"/>
      <c r="CH82" s="199"/>
      <c r="CI82" s="199"/>
      <c r="CJ82" s="199"/>
      <c r="CK82" s="199"/>
      <c r="CL82" s="199"/>
      <c r="CM82" s="199"/>
      <c r="CN82" s="199"/>
      <c r="CO82" s="199"/>
      <c r="CP82" s="199"/>
      <c r="CQ82" s="199"/>
      <c r="CR82" s="199"/>
      <c r="CS82" s="199"/>
      <c r="CT82" s="199"/>
      <c r="CU82" s="199"/>
      <c r="CV82" s="199"/>
      <c r="CW82" s="199"/>
      <c r="CX82" s="199"/>
      <c r="CY82" s="199"/>
      <c r="CZ82" s="199"/>
      <c r="DA82" s="199"/>
      <c r="DB82" s="199"/>
    </row>
    <row r="83" spans="2:108" ht="21" hidden="1" thickBot="1" x14ac:dyDescent="0.25">
      <c r="B83" s="330"/>
      <c r="C83" s="412"/>
      <c r="D83" s="37"/>
      <c r="E83" s="37"/>
      <c r="F83" s="37"/>
      <c r="G83" s="998"/>
      <c r="H83"/>
      <c r="I83"/>
      <c r="J83"/>
      <c r="K83" s="988">
        <v>5</v>
      </c>
      <c r="L83"/>
      <c r="M83" s="988">
        <v>51</v>
      </c>
      <c r="N83"/>
      <c r="O83" s="995"/>
      <c r="U83" s="212"/>
      <c r="V83" s="73"/>
      <c r="AB83" s="73"/>
      <c r="AC83" s="73"/>
      <c r="AD83" s="73"/>
      <c r="AE83" s="73"/>
      <c r="AF83" s="73"/>
      <c r="AG83" s="73"/>
      <c r="AH83" s="73"/>
      <c r="AI83" s="73"/>
      <c r="AJ83" s="73"/>
      <c r="AK83" s="73"/>
      <c r="AL83" s="73"/>
      <c r="AM83" s="73"/>
      <c r="AN83" s="73"/>
      <c r="AO83" s="73"/>
      <c r="AP83" s="73"/>
      <c r="AQ83" s="73"/>
      <c r="AR83" s="73"/>
      <c r="AS83" s="73"/>
      <c r="AT83" s="73"/>
      <c r="AU83" s="73"/>
      <c r="AV83" s="73"/>
      <c r="AW83" s="73"/>
      <c r="AX83" s="73"/>
      <c r="AY83" s="73"/>
      <c r="AZ83" s="73"/>
      <c r="BA83" s="73"/>
      <c r="BB83" s="73"/>
      <c r="BC83" s="126"/>
      <c r="BE83" s="136"/>
      <c r="BF83" s="136"/>
      <c r="BG83" s="136"/>
      <c r="BH83" s="136"/>
      <c r="BI83" s="136"/>
      <c r="BJ83" s="136"/>
      <c r="BK83" s="136"/>
      <c r="BL83" s="136"/>
      <c r="BM83" s="402"/>
      <c r="BN83" s="136"/>
      <c r="BO83" s="1091"/>
      <c r="BP83" s="78"/>
      <c r="BQ83" s="199"/>
      <c r="BR83" s="199"/>
      <c r="BS83" s="199"/>
      <c r="BT83" s="199"/>
      <c r="BU83" s="199"/>
      <c r="BV83" s="199"/>
      <c r="BW83" s="199"/>
      <c r="BX83" s="199"/>
      <c r="BY83" s="199"/>
      <c r="BZ83" s="199"/>
      <c r="CA83" s="199"/>
      <c r="CB83" s="199"/>
      <c r="CC83" s="199"/>
      <c r="CD83" s="199"/>
      <c r="CE83" s="199"/>
      <c r="CF83" s="199"/>
      <c r="CG83" s="199"/>
      <c r="CH83" s="199"/>
      <c r="CI83" s="199"/>
      <c r="CJ83" s="199"/>
      <c r="CK83" s="199"/>
      <c r="CL83" s="199"/>
      <c r="CM83" s="199"/>
      <c r="CN83" s="199"/>
      <c r="CO83" s="199"/>
      <c r="CP83" s="199"/>
      <c r="CQ83" s="199"/>
      <c r="CR83" s="199"/>
      <c r="CS83" s="199"/>
      <c r="CT83" s="199"/>
      <c r="CU83" s="199"/>
      <c r="CV83" s="199"/>
      <c r="CW83" s="199"/>
      <c r="CX83" s="199"/>
      <c r="CY83" s="199"/>
      <c r="CZ83" s="199"/>
      <c r="DA83" s="199"/>
      <c r="DB83" s="199"/>
    </row>
    <row r="84" spans="2:108" ht="64" hidden="1" thickBot="1" x14ac:dyDescent="0.25">
      <c r="B84" s="330"/>
      <c r="C84" s="412"/>
      <c r="D84" s="37"/>
      <c r="E84" s="37"/>
      <c r="F84" s="37"/>
      <c r="G84" s="998"/>
      <c r="H84"/>
      <c r="I84"/>
      <c r="J84"/>
      <c r="K84" s="969" t="s">
        <v>236</v>
      </c>
      <c r="L84" s="969" t="s">
        <v>238</v>
      </c>
      <c r="M84" s="969" t="s">
        <v>237</v>
      </c>
      <c r="N84"/>
      <c r="O84" s="995"/>
      <c r="U84" s="212"/>
      <c r="V84" s="73"/>
      <c r="AB84" s="73"/>
      <c r="AC84" s="73"/>
      <c r="AD84" s="73"/>
      <c r="AE84" s="73"/>
      <c r="AF84" s="73"/>
      <c r="AG84" s="73"/>
      <c r="AH84" s="73"/>
      <c r="AI84" s="73"/>
      <c r="AJ84" s="73"/>
      <c r="AK84" s="73"/>
      <c r="AL84" s="73"/>
      <c r="AM84" s="73"/>
      <c r="AN84" s="73"/>
      <c r="AO84" s="73"/>
      <c r="AP84" s="73"/>
      <c r="AQ84" s="73"/>
      <c r="AR84" s="73"/>
      <c r="AS84" s="73"/>
      <c r="AT84" s="73"/>
      <c r="AU84" s="73"/>
      <c r="AV84" s="73"/>
      <c r="AW84" s="73"/>
      <c r="AX84" s="73"/>
      <c r="AY84" s="73"/>
      <c r="AZ84" s="73"/>
      <c r="BA84" s="73"/>
      <c r="BB84" s="73"/>
      <c r="BC84" s="126"/>
      <c r="BE84" s="136"/>
      <c r="BF84" s="136"/>
      <c r="BG84" s="136"/>
      <c r="BH84" s="136"/>
      <c r="BI84" s="136"/>
      <c r="BJ84" s="136"/>
      <c r="BK84" s="136"/>
      <c r="BL84" s="136"/>
      <c r="BM84" s="402"/>
      <c r="BN84" s="136"/>
      <c r="BO84" s="1091"/>
      <c r="BP84" s="78"/>
      <c r="BQ84" s="199"/>
      <c r="BR84" s="199"/>
      <c r="BS84" s="199"/>
      <c r="BT84" s="199"/>
      <c r="BU84" s="199"/>
      <c r="BV84" s="199"/>
      <c r="BW84" s="199"/>
      <c r="BX84" s="199"/>
      <c r="BY84" s="199"/>
      <c r="BZ84" s="199"/>
      <c r="CA84" s="199"/>
      <c r="CB84" s="199"/>
      <c r="CC84" s="199"/>
      <c r="CD84" s="199"/>
      <c r="CE84" s="199"/>
      <c r="CF84" s="199"/>
      <c r="CG84" s="199"/>
      <c r="CH84" s="199"/>
      <c r="CI84" s="199"/>
      <c r="CJ84" s="199"/>
      <c r="CK84" s="199"/>
      <c r="CL84" s="199"/>
      <c r="CM84" s="199"/>
      <c r="CN84" s="199"/>
      <c r="CO84" s="199"/>
      <c r="CP84" s="199"/>
      <c r="CQ84" s="199"/>
      <c r="CR84" s="199"/>
      <c r="CS84" s="199"/>
      <c r="CT84" s="199"/>
      <c r="CU84" s="199"/>
      <c r="CV84" s="199"/>
      <c r="CW84" s="199"/>
      <c r="CX84" s="199"/>
      <c r="CY84" s="199"/>
      <c r="CZ84" s="199"/>
      <c r="DA84" s="199"/>
      <c r="DB84" s="199"/>
    </row>
    <row r="85" spans="2:108" ht="47.25" hidden="1" customHeight="1" thickBot="1" x14ac:dyDescent="0.3">
      <c r="B85" s="330"/>
      <c r="C85" s="412"/>
      <c r="D85" s="37"/>
      <c r="E85" s="37"/>
      <c r="F85" s="37"/>
      <c r="G85" s="998"/>
      <c r="H85"/>
      <c r="I85"/>
      <c r="J85" s="1087" t="s">
        <v>264</v>
      </c>
      <c r="K85" s="1080">
        <f>+MIN(J19:K20)</f>
        <v>33.50083752093802</v>
      </c>
      <c r="L85" s="1081">
        <f>+$E$22/(BQ27)</f>
        <v>33.50083752093802</v>
      </c>
      <c r="M85" s="1081">
        <f>+MIN(K25:L26)</f>
        <v>33.50083752093802</v>
      </c>
      <c r="N85"/>
      <c r="O85" s="995"/>
      <c r="U85" s="212"/>
      <c r="V85" s="73"/>
      <c r="AB85" s="73"/>
      <c r="AC85" s="73"/>
      <c r="AD85" s="73"/>
      <c r="AE85" s="73"/>
      <c r="AF85" s="73"/>
      <c r="AG85" s="73"/>
      <c r="AH85" s="73"/>
      <c r="AI85" s="73"/>
      <c r="AJ85" s="73"/>
      <c r="AK85" s="73"/>
      <c r="AL85" s="73"/>
      <c r="AM85" s="73"/>
      <c r="AN85" s="73"/>
      <c r="AO85" s="73"/>
      <c r="AP85" s="73"/>
      <c r="AQ85" s="73"/>
      <c r="AR85" s="73"/>
      <c r="AS85" s="73"/>
      <c r="AT85" s="73"/>
      <c r="AU85" s="73"/>
      <c r="AV85" s="73"/>
      <c r="AW85" s="73"/>
      <c r="AX85" s="73"/>
      <c r="AY85" s="73"/>
      <c r="AZ85" s="73"/>
      <c r="BA85" s="73"/>
      <c r="BB85" s="73"/>
      <c r="BC85" s="126"/>
      <c r="BE85" s="136"/>
      <c r="BF85" s="136"/>
      <c r="BG85" s="136"/>
      <c r="BH85" s="136"/>
      <c r="BI85" s="136"/>
      <c r="BJ85" s="136"/>
      <c r="BK85" s="136"/>
      <c r="BL85" s="136"/>
      <c r="BM85" s="402"/>
      <c r="BN85" s="136"/>
      <c r="BO85" s="1091"/>
      <c r="BP85" s="78"/>
      <c r="BQ85" s="199"/>
      <c r="BR85" s="199"/>
      <c r="BS85" s="199"/>
      <c r="BT85" s="199"/>
      <c r="BU85" s="199"/>
      <c r="BV85" s="199"/>
      <c r="BW85" s="199"/>
      <c r="BX85" s="199"/>
      <c r="BY85" s="199"/>
      <c r="BZ85" s="199"/>
      <c r="CA85" s="199"/>
      <c r="CB85" s="199"/>
      <c r="CC85" s="199"/>
      <c r="CD85" s="199"/>
      <c r="CE85" s="199"/>
      <c r="CF85" s="199"/>
      <c r="CG85" s="199"/>
      <c r="CH85" s="199"/>
      <c r="CI85" s="199"/>
      <c r="CJ85" s="199"/>
      <c r="CK85" s="199"/>
      <c r="CL85" s="199"/>
      <c r="CM85" s="199"/>
      <c r="CN85" s="199"/>
      <c r="CO85" s="199"/>
      <c r="CP85" s="199"/>
      <c r="CQ85" s="199"/>
      <c r="CR85" s="199"/>
      <c r="CS85" s="199"/>
      <c r="CT85" s="199"/>
      <c r="CU85" s="199"/>
      <c r="CV85" s="199"/>
      <c r="CW85" s="199"/>
      <c r="CX85" s="199"/>
      <c r="CY85" s="199"/>
      <c r="CZ85" s="199"/>
      <c r="DA85" s="199"/>
      <c r="DB85" s="199"/>
    </row>
    <row r="86" spans="2:108" ht="21" hidden="1" thickBot="1" x14ac:dyDescent="0.25">
      <c r="B86" s="330"/>
      <c r="C86" s="412"/>
      <c r="D86" s="37"/>
      <c r="E86" s="37"/>
      <c r="F86" s="37"/>
      <c r="G86" s="998"/>
      <c r="H86"/>
      <c r="I86" s="984">
        <v>6</v>
      </c>
      <c r="J86" s="984">
        <v>61</v>
      </c>
      <c r="K86" s="984">
        <v>62</v>
      </c>
      <c r="L86" s="984">
        <v>63</v>
      </c>
      <c r="M86" s="988">
        <v>64</v>
      </c>
      <c r="N86"/>
      <c r="O86" s="995"/>
      <c r="U86" s="212"/>
      <c r="V86" s="73"/>
      <c r="AB86" s="73"/>
      <c r="AC86" s="73"/>
      <c r="AD86" s="73"/>
      <c r="AE86" s="73"/>
      <c r="AF86" s="73"/>
      <c r="AG86" s="73"/>
      <c r="AH86" s="73"/>
      <c r="AI86" s="73"/>
      <c r="AJ86" s="73"/>
      <c r="AK86" s="73"/>
      <c r="AL86" s="73"/>
      <c r="AM86" s="73"/>
      <c r="AN86" s="73"/>
      <c r="AO86" s="73"/>
      <c r="AP86" s="73"/>
      <c r="AQ86" s="73"/>
      <c r="AR86" s="73"/>
      <c r="AS86" s="73"/>
      <c r="AT86" s="73"/>
      <c r="AU86" s="73"/>
      <c r="AV86" s="73"/>
      <c r="AW86" s="73"/>
      <c r="AX86" s="73"/>
      <c r="AY86" s="73"/>
      <c r="AZ86" s="73"/>
      <c r="BA86" s="73"/>
      <c r="BB86" s="73"/>
      <c r="BC86" s="126"/>
      <c r="BE86" s="136"/>
      <c r="BF86" s="136"/>
      <c r="BG86" s="136"/>
      <c r="BH86" s="136"/>
      <c r="BI86" s="136"/>
      <c r="BJ86" s="136"/>
      <c r="BK86" s="136"/>
      <c r="BL86" s="136"/>
      <c r="BM86" s="402"/>
      <c r="BN86" s="136"/>
      <c r="BO86" s="1091"/>
      <c r="BP86" s="78"/>
      <c r="BQ86" s="199"/>
      <c r="BR86" s="199"/>
      <c r="BS86" s="199"/>
      <c r="BT86" s="199"/>
      <c r="BU86" s="199"/>
      <c r="BV86" s="199"/>
      <c r="BW86" s="199"/>
      <c r="BX86" s="199"/>
      <c r="BY86" s="199"/>
      <c r="BZ86" s="199"/>
      <c r="CA86" s="199"/>
      <c r="CB86" s="199"/>
      <c r="CC86" s="199"/>
      <c r="CD86" s="199"/>
      <c r="CE86" s="199"/>
      <c r="CF86" s="199"/>
      <c r="CG86" s="199"/>
      <c r="CH86" s="199"/>
      <c r="CI86" s="199"/>
      <c r="CJ86" s="199"/>
      <c r="CK86" s="199"/>
      <c r="CL86" s="199"/>
      <c r="CM86" s="199"/>
      <c r="CN86" s="199"/>
      <c r="CO86" s="199"/>
      <c r="CP86" s="199"/>
      <c r="CQ86" s="199"/>
      <c r="CR86" s="199"/>
      <c r="CS86" s="199"/>
      <c r="CT86" s="199"/>
      <c r="CU86" s="199"/>
      <c r="CV86" s="199"/>
      <c r="CW86" s="199"/>
      <c r="CX86" s="199"/>
      <c r="CY86" s="199"/>
      <c r="CZ86" s="199"/>
      <c r="DA86" s="199"/>
      <c r="DB86" s="199"/>
    </row>
    <row r="87" spans="2:108" ht="20" hidden="1" x14ac:dyDescent="0.2">
      <c r="B87" s="330"/>
      <c r="C87" s="412"/>
      <c r="D87" s="37"/>
      <c r="E87" s="37"/>
      <c r="F87" s="37"/>
      <c r="G87" s="998"/>
      <c r="H87"/>
      <c r="I87"/>
      <c r="J87"/>
      <c r="K87"/>
      <c r="L87"/>
      <c r="M87"/>
      <c r="N87"/>
      <c r="O87" s="995"/>
      <c r="U87" s="212"/>
      <c r="V87" s="73"/>
      <c r="AB87" s="73"/>
      <c r="AC87" s="73"/>
      <c r="AD87" s="73"/>
      <c r="AE87" s="73"/>
      <c r="AF87" s="73"/>
      <c r="AG87" s="73"/>
      <c r="AH87" s="73"/>
      <c r="AI87" s="73"/>
      <c r="AJ87" s="73"/>
      <c r="AK87" s="73"/>
      <c r="AL87" s="73"/>
      <c r="AM87" s="73"/>
      <c r="AN87" s="73"/>
      <c r="AO87" s="73"/>
      <c r="AP87" s="73"/>
      <c r="AQ87" s="73"/>
      <c r="AR87" s="73"/>
      <c r="AS87" s="73"/>
      <c r="AT87" s="73"/>
      <c r="AU87" s="73"/>
      <c r="AV87" s="73"/>
      <c r="AW87" s="73"/>
      <c r="AX87" s="73"/>
      <c r="AY87" s="73"/>
      <c r="AZ87" s="73"/>
      <c r="BA87" s="73"/>
      <c r="BB87" s="73"/>
      <c r="BC87" s="126"/>
      <c r="BE87" s="136"/>
      <c r="BF87" s="136"/>
      <c r="BG87" s="136"/>
      <c r="BH87" s="136"/>
      <c r="BI87" s="136"/>
      <c r="BJ87" s="136"/>
      <c r="BK87" s="136"/>
      <c r="BL87" s="136"/>
      <c r="BM87" s="402"/>
      <c r="BN87" s="136"/>
      <c r="BO87" s="1091"/>
      <c r="BP87" s="78"/>
      <c r="BQ87" s="199"/>
      <c r="BR87" s="199"/>
      <c r="BS87" s="199"/>
      <c r="BT87" s="199"/>
      <c r="BU87" s="199"/>
      <c r="BV87" s="199"/>
      <c r="BW87" s="199"/>
      <c r="BX87" s="199"/>
      <c r="BY87" s="199"/>
      <c r="BZ87" s="199"/>
      <c r="CA87" s="199"/>
      <c r="CB87" s="199"/>
      <c r="CC87" s="199"/>
      <c r="CD87" s="199"/>
      <c r="CE87" s="199"/>
      <c r="CF87" s="199"/>
      <c r="CG87" s="199"/>
      <c r="CH87" s="199"/>
      <c r="CI87" s="199"/>
      <c r="CJ87" s="199"/>
      <c r="CK87" s="199"/>
      <c r="CL87" s="199"/>
      <c r="CM87" s="199"/>
      <c r="CN87" s="199"/>
      <c r="CO87" s="199"/>
      <c r="CP87" s="199"/>
      <c r="CQ87" s="199"/>
      <c r="CR87" s="199"/>
      <c r="CS87" s="199"/>
      <c r="CT87" s="199"/>
      <c r="CU87" s="199"/>
      <c r="CV87" s="199"/>
      <c r="CW87" s="199"/>
      <c r="CX87" s="199"/>
      <c r="CY87" s="199"/>
      <c r="CZ87" s="199"/>
      <c r="DA87" s="199"/>
      <c r="DB87" s="199"/>
    </row>
    <row r="88" spans="2:108" ht="149.25" hidden="1" customHeight="1" thickBot="1" x14ac:dyDescent="0.3">
      <c r="E88" s="397"/>
      <c r="F88" s="397"/>
      <c r="G88" s="998"/>
      <c r="H88"/>
      <c r="I88"/>
      <c r="J88"/>
      <c r="K88"/>
      <c r="L88"/>
      <c r="M88"/>
      <c r="N88"/>
      <c r="O88" s="995"/>
      <c r="BN88" s="86"/>
      <c r="BO88" s="18"/>
      <c r="BP88" s="1582"/>
      <c r="BQ88" s="89"/>
      <c r="BR88" s="89"/>
      <c r="BS88" s="89"/>
      <c r="BT88" s="89"/>
      <c r="BU88" s="89"/>
      <c r="BV88" s="89"/>
      <c r="BW88" s="89"/>
      <c r="BX88" s="89"/>
      <c r="BY88" s="89"/>
      <c r="BZ88" s="94"/>
      <c r="CA88" s="89"/>
      <c r="CB88" s="89"/>
      <c r="CC88" s="89"/>
      <c r="CD88" s="89"/>
      <c r="CE88" s="89"/>
      <c r="CF88" s="89"/>
      <c r="CG88" s="89"/>
      <c r="CH88" s="89"/>
      <c r="CI88" s="89"/>
      <c r="CJ88" s="89"/>
      <c r="CK88" s="89"/>
      <c r="CL88" s="89"/>
      <c r="CM88" s="89"/>
      <c r="CN88" s="37"/>
      <c r="CO88" s="95"/>
      <c r="CP88" s="95"/>
      <c r="CQ88" s="95"/>
      <c r="CR88" s="95"/>
      <c r="CS88" s="92"/>
      <c r="CT88" s="92"/>
      <c r="CU88" s="92"/>
      <c r="CV88" s="92"/>
      <c r="CW88" s="92"/>
      <c r="CX88" s="92"/>
      <c r="CY88" s="92"/>
      <c r="CZ88" s="92"/>
      <c r="DA88" s="92"/>
      <c r="DB88" s="92"/>
      <c r="DC88" s="17"/>
      <c r="DD88" s="78"/>
    </row>
    <row r="89" spans="2:108" ht="24" hidden="1" thickBot="1" x14ac:dyDescent="0.3">
      <c r="E89" s="397"/>
      <c r="F89" s="397"/>
      <c r="G89" s="998"/>
      <c r="H89"/>
      <c r="I89"/>
      <c r="J89"/>
      <c r="K89"/>
      <c r="L89"/>
      <c r="M89"/>
      <c r="N89"/>
      <c r="O89" s="995"/>
      <c r="BN89" s="86"/>
      <c r="BO89" s="18"/>
      <c r="BP89" s="1582">
        <v>36</v>
      </c>
      <c r="BQ89" s="89"/>
      <c r="BR89" s="89"/>
      <c r="BS89" s="89"/>
      <c r="BT89" s="89"/>
      <c r="BU89" s="89"/>
      <c r="BV89" s="89"/>
      <c r="BW89" s="89"/>
      <c r="BX89" s="89"/>
      <c r="BY89" s="89"/>
      <c r="BZ89" s="94"/>
      <c r="CA89" s="89"/>
      <c r="CB89" s="89"/>
      <c r="CC89" s="89"/>
      <c r="CD89" s="89"/>
      <c r="CE89" s="89"/>
      <c r="CF89" s="89"/>
      <c r="CG89" s="89"/>
      <c r="CH89" s="98"/>
      <c r="CI89" s="99"/>
      <c r="CJ89" s="100"/>
      <c r="CK89" s="89"/>
      <c r="CL89" s="89"/>
      <c r="CM89" s="89"/>
      <c r="CN89" s="37"/>
      <c r="CO89" s="95"/>
      <c r="CP89" s="95"/>
      <c r="CQ89" s="95"/>
      <c r="CR89" s="95"/>
      <c r="CS89" s="92"/>
      <c r="CT89" s="92"/>
      <c r="CU89" s="92"/>
      <c r="CV89" s="92"/>
      <c r="CW89" s="92"/>
      <c r="CX89" s="92"/>
      <c r="CY89" s="101" t="b">
        <f>IF(CZ59=36,35)</f>
        <v>0</v>
      </c>
      <c r="CZ89" s="102"/>
      <c r="DA89" s="103" t="b">
        <f>IF(CZ59=36,37)</f>
        <v>0</v>
      </c>
      <c r="DB89" s="92"/>
      <c r="DC89" s="17"/>
      <c r="DD89" s="78"/>
    </row>
    <row r="90" spans="2:108" ht="24" hidden="1" thickBot="1" x14ac:dyDescent="0.3">
      <c r="E90" s="397"/>
      <c r="F90" s="397"/>
      <c r="G90" s="998"/>
      <c r="H90"/>
      <c r="I90"/>
      <c r="J90"/>
      <c r="K90"/>
      <c r="L90"/>
      <c r="M90"/>
      <c r="N90"/>
      <c r="O90" s="995"/>
      <c r="BN90" s="86"/>
      <c r="BO90" s="18"/>
      <c r="BP90" s="1582">
        <v>35</v>
      </c>
      <c r="BQ90" s="89"/>
      <c r="BR90" s="89"/>
      <c r="BS90" s="89"/>
      <c r="BT90" s="89"/>
      <c r="BU90" s="89"/>
      <c r="BV90" s="89"/>
      <c r="BW90" s="89"/>
      <c r="BX90" s="89"/>
      <c r="BY90" s="89"/>
      <c r="BZ90" s="94"/>
      <c r="CA90" s="89"/>
      <c r="CB90" s="89"/>
      <c r="CC90" s="89"/>
      <c r="CD90" s="89"/>
      <c r="CE90" s="89"/>
      <c r="CF90" s="89"/>
      <c r="CG90" s="89"/>
      <c r="CH90" s="104"/>
      <c r="CI90" s="89"/>
      <c r="CJ90" s="105"/>
      <c r="CK90" s="89"/>
      <c r="CL90" s="89"/>
      <c r="CM90" s="89"/>
      <c r="CN90" s="37"/>
      <c r="CO90" s="95"/>
      <c r="CP90" s="95"/>
      <c r="CQ90" s="95"/>
      <c r="CR90" s="95"/>
      <c r="CS90" s="92"/>
      <c r="CT90" s="92"/>
      <c r="CU90" s="92"/>
      <c r="CV90" s="92"/>
      <c r="CW90" s="101" t="b">
        <f>IF(CY59=35,33)</f>
        <v>0</v>
      </c>
      <c r="CX90" s="102"/>
      <c r="CY90" s="102"/>
      <c r="CZ90" s="102"/>
      <c r="DA90" s="103" t="b">
        <f>IF(CY59=35,37)</f>
        <v>0</v>
      </c>
      <c r="DB90" s="92"/>
      <c r="DC90" s="17"/>
      <c r="DD90" s="78"/>
    </row>
    <row r="91" spans="2:108" ht="24" hidden="1" thickBot="1" x14ac:dyDescent="0.3">
      <c r="E91" s="397"/>
      <c r="F91" s="397"/>
      <c r="G91" s="998"/>
      <c r="H91"/>
      <c r="I91"/>
      <c r="J91"/>
      <c r="K91"/>
      <c r="L91"/>
      <c r="M91"/>
      <c r="N91"/>
      <c r="O91" s="995"/>
      <c r="BN91" s="86"/>
      <c r="BO91" s="18"/>
      <c r="BP91" s="1582">
        <v>34</v>
      </c>
      <c r="BQ91" s="89"/>
      <c r="BR91" s="89"/>
      <c r="BS91" s="89"/>
      <c r="BT91" s="89"/>
      <c r="BU91" s="89"/>
      <c r="BV91" s="89"/>
      <c r="BW91" s="89"/>
      <c r="BX91" s="89"/>
      <c r="BY91" s="89"/>
      <c r="BZ91" s="94"/>
      <c r="CA91" s="89"/>
      <c r="CB91" s="89"/>
      <c r="CC91" s="89"/>
      <c r="CD91" s="89"/>
      <c r="CE91" s="89"/>
      <c r="CF91" s="89"/>
      <c r="CG91" s="89"/>
      <c r="CH91" s="104"/>
      <c r="CI91" s="89"/>
      <c r="CJ91" s="105"/>
      <c r="CK91" s="89"/>
      <c r="CL91" s="89"/>
      <c r="CM91" s="89"/>
      <c r="CN91" s="37"/>
      <c r="CO91" s="95"/>
      <c r="CP91" s="95"/>
      <c r="CQ91" s="95"/>
      <c r="CR91" s="95"/>
      <c r="CS91" s="92"/>
      <c r="CT91" s="92"/>
      <c r="CU91" s="101" t="b">
        <f>IF(CX59=34,31)</f>
        <v>0</v>
      </c>
      <c r="CV91" s="102"/>
      <c r="CW91" s="102"/>
      <c r="CX91" s="102"/>
      <c r="CY91" s="102"/>
      <c r="CZ91" s="102"/>
      <c r="DA91" s="103" t="b">
        <f>IF(CX59=34,37)</f>
        <v>0</v>
      </c>
      <c r="DB91" s="92"/>
      <c r="DC91" s="17"/>
      <c r="DD91" s="78"/>
    </row>
    <row r="92" spans="2:108" ht="24" hidden="1" thickBot="1" x14ac:dyDescent="0.3">
      <c r="E92" s="397"/>
      <c r="F92" s="397"/>
      <c r="G92" s="998"/>
      <c r="H92"/>
      <c r="I92"/>
      <c r="J92"/>
      <c r="K92"/>
      <c r="L92"/>
      <c r="M92"/>
      <c r="N92"/>
      <c r="O92" s="995"/>
      <c r="BN92" s="86"/>
      <c r="BO92" s="18"/>
      <c r="BP92" s="1582">
        <v>33</v>
      </c>
      <c r="BQ92" s="89"/>
      <c r="BR92" s="89"/>
      <c r="BS92" s="89"/>
      <c r="BT92" s="89"/>
      <c r="BU92" s="89"/>
      <c r="BV92" s="89"/>
      <c r="BW92" s="89"/>
      <c r="BX92" s="89"/>
      <c r="BY92" s="89"/>
      <c r="BZ92" s="94"/>
      <c r="CA92" s="89"/>
      <c r="CB92" s="89"/>
      <c r="CC92" s="89"/>
      <c r="CD92" s="89"/>
      <c r="CE92" s="89"/>
      <c r="CF92" s="89"/>
      <c r="CG92" s="89"/>
      <c r="CH92" s="104"/>
      <c r="CI92" s="89"/>
      <c r="CJ92" s="105"/>
      <c r="CK92" s="89"/>
      <c r="CL92" s="89"/>
      <c r="CM92" s="89"/>
      <c r="CN92" s="37"/>
      <c r="CO92" s="95"/>
      <c r="CP92" s="95"/>
      <c r="CQ92" s="95"/>
      <c r="CR92" s="95"/>
      <c r="CS92" s="101" t="b">
        <f>IF(CW59=33,29)</f>
        <v>0</v>
      </c>
      <c r="CT92" s="102"/>
      <c r="CU92" s="102"/>
      <c r="CV92" s="102"/>
      <c r="CW92" s="102"/>
      <c r="CX92" s="102"/>
      <c r="CY92" s="102"/>
      <c r="CZ92" s="102"/>
      <c r="DA92" s="103" t="b">
        <f>IF(CW59=33,37)</f>
        <v>0</v>
      </c>
      <c r="DB92" s="92"/>
      <c r="DC92" s="17"/>
      <c r="DD92" s="78"/>
    </row>
    <row r="93" spans="2:108" ht="21" hidden="1" thickBot="1" x14ac:dyDescent="0.25">
      <c r="E93" s="397"/>
      <c r="F93" s="397"/>
      <c r="G93" s="998"/>
      <c r="H93"/>
      <c r="I93"/>
      <c r="J93"/>
      <c r="K93"/>
      <c r="L93"/>
      <c r="M93"/>
      <c r="N93"/>
      <c r="O93" s="995"/>
      <c r="BN93" s="86"/>
      <c r="BP93" s="1582">
        <v>32</v>
      </c>
      <c r="BQ93" s="89"/>
      <c r="BR93" s="89"/>
      <c r="BS93" s="89"/>
      <c r="BT93" s="89"/>
      <c r="BU93" s="89"/>
      <c r="BV93" s="89"/>
      <c r="BW93" s="89"/>
      <c r="BX93" s="89"/>
      <c r="BY93" s="89"/>
      <c r="BZ93" s="107"/>
      <c r="CA93" s="107"/>
      <c r="CB93" s="107"/>
      <c r="CC93" s="107"/>
      <c r="CD93" s="107"/>
      <c r="CE93" s="107"/>
      <c r="CF93" s="107"/>
      <c r="CG93" s="107"/>
      <c r="CH93" s="109"/>
      <c r="CI93" s="107"/>
      <c r="CJ93" s="110"/>
      <c r="CK93" s="107"/>
      <c r="CL93" s="107"/>
      <c r="CM93" s="107"/>
      <c r="CN93" s="108"/>
      <c r="CO93" s="78"/>
      <c r="CP93" s="78"/>
      <c r="CQ93" s="101" t="b">
        <f>IF(CV59=32,27)</f>
        <v>0</v>
      </c>
      <c r="CR93" s="111"/>
      <c r="CS93" s="111"/>
      <c r="CT93" s="111"/>
      <c r="CU93" s="111"/>
      <c r="CV93" s="111"/>
      <c r="CW93" s="111"/>
      <c r="CX93" s="111"/>
      <c r="CY93" s="111"/>
      <c r="CZ93" s="111"/>
      <c r="DA93" s="103" t="b">
        <f>IF(CV59=32,37)</f>
        <v>0</v>
      </c>
      <c r="DB93" s="78"/>
      <c r="DC93" s="78"/>
      <c r="DD93" s="78"/>
    </row>
    <row r="94" spans="2:108" ht="21" hidden="1" thickBot="1" x14ac:dyDescent="0.25">
      <c r="E94" s="397"/>
      <c r="F94" s="397"/>
      <c r="G94" s="998"/>
      <c r="H94"/>
      <c r="I94"/>
      <c r="J94"/>
      <c r="K94"/>
      <c r="L94"/>
      <c r="M94"/>
      <c r="N94"/>
      <c r="O94" s="995"/>
      <c r="BN94" s="86"/>
      <c r="BP94" s="1582">
        <v>31</v>
      </c>
      <c r="BQ94" s="107"/>
      <c r="BR94" s="107"/>
      <c r="BS94" s="107"/>
      <c r="BT94" s="107"/>
      <c r="BU94" s="107"/>
      <c r="BV94" s="108"/>
      <c r="BW94" s="107"/>
      <c r="BX94" s="107"/>
      <c r="BY94" s="107"/>
      <c r="BZ94" s="107"/>
      <c r="CA94" s="107"/>
      <c r="CB94" s="107"/>
      <c r="CC94" s="107"/>
      <c r="CD94" s="107"/>
      <c r="CE94" s="107"/>
      <c r="CF94" s="107"/>
      <c r="CG94" s="107"/>
      <c r="CH94" s="109"/>
      <c r="CI94" s="107"/>
      <c r="CJ94" s="110"/>
      <c r="CK94" s="107"/>
      <c r="CL94" s="107"/>
      <c r="CM94" s="107"/>
      <c r="CN94" s="108"/>
      <c r="CO94" s="101" t="b">
        <f>IF(CU59=31,25)</f>
        <v>0</v>
      </c>
      <c r="CP94" s="111"/>
      <c r="CQ94" s="111"/>
      <c r="CR94" s="111"/>
      <c r="CS94" s="111"/>
      <c r="CT94" s="111"/>
      <c r="CU94" s="111"/>
      <c r="CV94" s="111"/>
      <c r="CW94" s="111"/>
      <c r="CX94" s="111"/>
      <c r="CY94" s="111"/>
      <c r="CZ94" s="111"/>
      <c r="DA94" s="103" t="b">
        <f>IF(CU59=31,37)</f>
        <v>0</v>
      </c>
      <c r="DB94" s="78"/>
      <c r="DC94" s="78"/>
      <c r="DD94" s="78"/>
    </row>
    <row r="95" spans="2:108" ht="21" hidden="1" thickBot="1" x14ac:dyDescent="0.25">
      <c r="E95" s="397"/>
      <c r="F95" s="397"/>
      <c r="G95" s="998"/>
      <c r="H95"/>
      <c r="I95"/>
      <c r="J95"/>
      <c r="K95"/>
      <c r="L95"/>
      <c r="M95"/>
      <c r="N95"/>
      <c r="O95" s="995"/>
      <c r="BN95" s="86"/>
      <c r="BP95" s="1582">
        <v>30</v>
      </c>
      <c r="BQ95" s="107"/>
      <c r="BR95" s="107"/>
      <c r="BS95" s="107"/>
      <c r="BT95" s="107"/>
      <c r="BU95" s="107"/>
      <c r="BV95" s="108"/>
      <c r="BW95" s="107"/>
      <c r="BX95" s="107"/>
      <c r="BY95" s="107"/>
      <c r="BZ95" s="107"/>
      <c r="CA95" s="107"/>
      <c r="CB95" s="107"/>
      <c r="CC95" s="107"/>
      <c r="CD95" s="107"/>
      <c r="CE95" s="107"/>
      <c r="CF95" s="107"/>
      <c r="CG95" s="107"/>
      <c r="CH95" s="109"/>
      <c r="CI95" s="107"/>
      <c r="CJ95" s="110"/>
      <c r="CK95" s="107"/>
      <c r="CL95" s="107"/>
      <c r="CM95" s="101" t="b">
        <f>IF(CT59=30,23)</f>
        <v>0</v>
      </c>
      <c r="CN95" s="112"/>
      <c r="CO95" s="111"/>
      <c r="CP95" s="111"/>
      <c r="CQ95" s="111"/>
      <c r="CR95" s="111"/>
      <c r="CS95" s="111"/>
      <c r="CT95" s="111"/>
      <c r="CU95" s="111"/>
      <c r="CV95" s="111"/>
      <c r="CW95" s="111"/>
      <c r="CX95" s="111"/>
      <c r="CY95" s="111"/>
      <c r="CZ95" s="111"/>
      <c r="DA95" s="103" t="b">
        <f>IF(CT59=30,37)</f>
        <v>0</v>
      </c>
      <c r="DB95" s="78"/>
      <c r="DC95" s="78"/>
      <c r="DD95" s="78"/>
    </row>
    <row r="96" spans="2:108" ht="21" hidden="1" thickBot="1" x14ac:dyDescent="0.25">
      <c r="E96" s="397"/>
      <c r="F96" s="397"/>
      <c r="G96" s="998"/>
      <c r="H96"/>
      <c r="I96"/>
      <c r="J96"/>
      <c r="K96"/>
      <c r="L96"/>
      <c r="M96"/>
      <c r="N96"/>
      <c r="O96" s="995"/>
      <c r="BE96" s="114"/>
      <c r="BF96" s="114"/>
      <c r="BG96" s="114"/>
      <c r="BH96" s="114"/>
      <c r="BN96" s="86"/>
      <c r="BO96" s="114"/>
      <c r="BP96" s="1582">
        <v>29</v>
      </c>
      <c r="BQ96" s="78"/>
      <c r="BR96" s="78"/>
      <c r="BS96" s="78"/>
      <c r="BT96" s="78"/>
      <c r="BU96" s="78"/>
      <c r="BV96" s="78"/>
      <c r="BW96" s="78"/>
      <c r="BX96" s="78"/>
      <c r="BY96" s="78"/>
      <c r="BZ96" s="78"/>
      <c r="CA96" s="78"/>
      <c r="CB96" s="78"/>
      <c r="CC96" s="78"/>
      <c r="CD96" s="78"/>
      <c r="CE96" s="78"/>
      <c r="CF96" s="78"/>
      <c r="CG96" s="78"/>
      <c r="CH96" s="115"/>
      <c r="CI96" s="78"/>
      <c r="CJ96" s="116"/>
      <c r="CK96" s="117" t="b">
        <f>IF(CS59=29,21)</f>
        <v>0</v>
      </c>
      <c r="CL96" s="111"/>
      <c r="CM96" s="111"/>
      <c r="CN96" s="111"/>
      <c r="CO96" s="111"/>
      <c r="CP96" s="111"/>
      <c r="CQ96" s="111"/>
      <c r="CR96" s="118"/>
      <c r="CS96" s="111"/>
      <c r="CT96" s="118"/>
      <c r="CU96" s="119"/>
      <c r="CV96" s="119"/>
      <c r="CW96" s="119"/>
      <c r="CX96" s="119"/>
      <c r="CY96" s="119"/>
      <c r="CZ96" s="119"/>
      <c r="DA96" s="103" t="b">
        <f>IF(CS59=29,37)</f>
        <v>0</v>
      </c>
      <c r="DB96" s="76"/>
      <c r="DC96" s="78"/>
      <c r="DD96" s="78"/>
    </row>
    <row r="97" spans="5:108" ht="21" hidden="1" thickBot="1" x14ac:dyDescent="0.25">
      <c r="E97" s="397"/>
      <c r="F97" s="397"/>
      <c r="G97" s="998"/>
      <c r="H97"/>
      <c r="I97"/>
      <c r="J97"/>
      <c r="K97"/>
      <c r="L97"/>
      <c r="M97"/>
      <c r="N97"/>
      <c r="O97" s="995"/>
      <c r="BE97" s="114"/>
      <c r="BF97" s="114"/>
      <c r="BG97" s="114"/>
      <c r="BH97" s="114"/>
      <c r="BN97" s="86"/>
      <c r="BO97" s="114"/>
      <c r="BP97" s="1582">
        <v>28</v>
      </c>
      <c r="BQ97" s="78"/>
      <c r="BR97" s="78"/>
      <c r="BS97" s="78"/>
      <c r="BT97" s="78"/>
      <c r="BU97" s="78"/>
      <c r="BV97" s="78"/>
      <c r="BW97" s="78"/>
      <c r="BX97" s="78"/>
      <c r="BY97" s="78"/>
      <c r="BZ97" s="78"/>
      <c r="CA97" s="78"/>
      <c r="CB97" s="78"/>
      <c r="CC97" s="78"/>
      <c r="CD97" s="78"/>
      <c r="CE97" s="78"/>
      <c r="CF97" s="78"/>
      <c r="CG97" s="78"/>
      <c r="CH97" s="115"/>
      <c r="CI97" s="78"/>
      <c r="CJ97" s="116"/>
      <c r="CK97" s="120" t="b">
        <f>IF(CR59=28,21)</f>
        <v>0</v>
      </c>
      <c r="CL97" s="121"/>
      <c r="CM97" s="121"/>
      <c r="CN97" s="121"/>
      <c r="CO97" s="121"/>
      <c r="CP97" s="122"/>
      <c r="CQ97" s="121"/>
      <c r="CR97" s="121"/>
      <c r="CS97" s="121"/>
      <c r="CT97" s="122"/>
      <c r="CU97" s="123"/>
      <c r="CV97" s="123"/>
      <c r="CW97" s="123"/>
      <c r="CX97" s="123"/>
      <c r="CY97" s="124" t="b">
        <f>IF(CR59=28,35)</f>
        <v>0</v>
      </c>
      <c r="CZ97" s="76"/>
      <c r="DA97" s="76"/>
      <c r="DB97" s="76"/>
      <c r="DC97" s="78"/>
      <c r="DD97" s="78"/>
    </row>
    <row r="98" spans="5:108" ht="21" hidden="1" thickBot="1" x14ac:dyDescent="0.25">
      <c r="E98" s="397"/>
      <c r="F98" s="397"/>
      <c r="G98" s="998"/>
      <c r="H98"/>
      <c r="I98"/>
      <c r="J98"/>
      <c r="K98"/>
      <c r="L98"/>
      <c r="M98"/>
      <c r="N98"/>
      <c r="O98" s="995"/>
      <c r="BE98" s="114"/>
      <c r="BF98" s="114"/>
      <c r="BG98" s="114"/>
      <c r="BH98" s="114"/>
      <c r="BN98" s="86"/>
      <c r="BO98" s="114"/>
      <c r="BP98" s="1582">
        <v>27</v>
      </c>
      <c r="BQ98" s="78"/>
      <c r="BR98" s="78"/>
      <c r="BS98" s="78"/>
      <c r="BT98" s="78"/>
      <c r="BU98" s="78"/>
      <c r="BV98" s="78"/>
      <c r="BW98" s="78"/>
      <c r="BX98" s="78"/>
      <c r="BY98" s="78"/>
      <c r="BZ98" s="78"/>
      <c r="CA98" s="78"/>
      <c r="CB98" s="78"/>
      <c r="CC98" s="78"/>
      <c r="CD98" s="78"/>
      <c r="CE98" s="78"/>
      <c r="CF98" s="78"/>
      <c r="CG98" s="78"/>
      <c r="CH98" s="115"/>
      <c r="CI98" s="78"/>
      <c r="CJ98" s="116"/>
      <c r="CK98" s="120" t="b">
        <f>IF(CQ59=27,21)</f>
        <v>0</v>
      </c>
      <c r="CL98" s="121"/>
      <c r="CM98" s="121"/>
      <c r="CN98" s="122"/>
      <c r="CO98" s="121"/>
      <c r="CP98" s="121"/>
      <c r="CQ98" s="121"/>
      <c r="CR98" s="121"/>
      <c r="CS98" s="121"/>
      <c r="CT98" s="122"/>
      <c r="CU98" s="123"/>
      <c r="CV98" s="123"/>
      <c r="CW98" s="124" t="b">
        <f>IF(CQ59=27,33)</f>
        <v>0</v>
      </c>
      <c r="CX98" s="76"/>
      <c r="CY98" s="76"/>
      <c r="CZ98" s="76"/>
      <c r="DA98" s="76"/>
      <c r="DB98" s="76"/>
      <c r="DC98" s="78"/>
      <c r="DD98" s="78"/>
    </row>
    <row r="99" spans="5:108" ht="21" hidden="1" thickBot="1" x14ac:dyDescent="0.25">
      <c r="E99" s="397"/>
      <c r="F99" s="397"/>
      <c r="G99" s="998"/>
      <c r="H99"/>
      <c r="I99"/>
      <c r="J99"/>
      <c r="K99"/>
      <c r="L99"/>
      <c r="M99"/>
      <c r="N99"/>
      <c r="O99" s="995"/>
      <c r="BN99" s="86"/>
      <c r="BP99" s="1582">
        <v>26</v>
      </c>
      <c r="BQ99" s="78"/>
      <c r="BR99" s="78"/>
      <c r="BS99" s="78"/>
      <c r="BT99" s="78"/>
      <c r="BU99" s="78"/>
      <c r="BV99" s="78"/>
      <c r="BW99" s="78"/>
      <c r="BX99" s="78"/>
      <c r="BY99" s="78"/>
      <c r="BZ99" s="78"/>
      <c r="CA99" s="78"/>
      <c r="CB99" s="78"/>
      <c r="CC99" s="78"/>
      <c r="CD99" s="78"/>
      <c r="CE99" s="78"/>
      <c r="CF99" s="78"/>
      <c r="CG99" s="78"/>
      <c r="CH99" s="115"/>
      <c r="CI99" s="78"/>
      <c r="CJ99" s="116"/>
      <c r="CK99" s="120" t="b">
        <f>IF(CP59=26,21)</f>
        <v>0</v>
      </c>
      <c r="CL99" s="122"/>
      <c r="CM99" s="121"/>
      <c r="CN99" s="121"/>
      <c r="CO99" s="121"/>
      <c r="CP99" s="121"/>
      <c r="CQ99" s="121"/>
      <c r="CR99" s="121"/>
      <c r="CS99" s="121"/>
      <c r="CT99" s="122"/>
      <c r="CU99" s="124" t="b">
        <f>IF(CP59=26,31)</f>
        <v>0</v>
      </c>
      <c r="CV99" s="76"/>
      <c r="CW99" s="76"/>
      <c r="CX99" s="76"/>
      <c r="CY99" s="76"/>
      <c r="CZ99" s="76"/>
      <c r="DA99" s="76"/>
      <c r="DB99" s="76"/>
      <c r="DC99" s="78"/>
      <c r="DD99" s="78"/>
    </row>
    <row r="100" spans="5:108" ht="21" hidden="1" thickBot="1" x14ac:dyDescent="0.25">
      <c r="E100" s="397"/>
      <c r="F100" s="397"/>
      <c r="G100" s="998"/>
      <c r="H100"/>
      <c r="I100"/>
      <c r="J100"/>
      <c r="K100"/>
      <c r="L100"/>
      <c r="M100"/>
      <c r="N100"/>
      <c r="O100" s="995"/>
      <c r="BE100" s="126"/>
      <c r="BF100" s="126"/>
      <c r="BG100" s="126"/>
      <c r="BH100" s="126"/>
      <c r="BN100" s="86"/>
      <c r="BO100" s="126"/>
      <c r="BP100" s="1582">
        <v>25</v>
      </c>
      <c r="BQ100" s="78"/>
      <c r="BR100" s="78"/>
      <c r="BS100" s="78"/>
      <c r="BT100" s="78"/>
      <c r="BU100" s="78"/>
      <c r="BV100" s="78"/>
      <c r="BW100" s="78"/>
      <c r="BX100" s="78"/>
      <c r="BY100" s="78"/>
      <c r="BZ100" s="78"/>
      <c r="CA100" s="78"/>
      <c r="CC100" s="78"/>
      <c r="CD100" s="78"/>
      <c r="CE100" s="78"/>
      <c r="CF100" s="78"/>
      <c r="CG100" s="78"/>
      <c r="CH100" s="115"/>
      <c r="CI100" s="78"/>
      <c r="CK100" s="128" t="b">
        <f>IF(CO59=25,21)</f>
        <v>0</v>
      </c>
      <c r="CL100" s="121"/>
      <c r="CM100" s="121"/>
      <c r="CN100" s="121"/>
      <c r="CO100" s="121"/>
      <c r="CP100" s="121"/>
      <c r="CQ100" s="121"/>
      <c r="CR100" s="121"/>
      <c r="CS100" s="124" t="b">
        <f>IF(CO59=25,29)</f>
        <v>0</v>
      </c>
      <c r="CU100" s="76"/>
      <c r="CV100" s="76"/>
      <c r="CW100" s="76"/>
      <c r="CX100" s="76"/>
      <c r="CY100" s="76"/>
      <c r="CZ100" s="76"/>
      <c r="DA100" s="76"/>
      <c r="DB100" s="76"/>
      <c r="DC100" s="78"/>
      <c r="DD100" s="78"/>
    </row>
    <row r="101" spans="5:108" ht="21" hidden="1" thickBot="1" x14ac:dyDescent="0.25">
      <c r="E101" s="397"/>
      <c r="F101" s="397"/>
      <c r="G101" s="998"/>
      <c r="H101"/>
      <c r="I101"/>
      <c r="J101"/>
      <c r="K101"/>
      <c r="L101"/>
      <c r="M101"/>
      <c r="N101"/>
      <c r="O101" s="995"/>
      <c r="BE101" s="126"/>
      <c r="BF101" s="126"/>
      <c r="BG101" s="126"/>
      <c r="BH101" s="126"/>
      <c r="BN101" s="86"/>
      <c r="BO101" s="126"/>
      <c r="BP101" s="1582">
        <v>24</v>
      </c>
      <c r="BQ101" s="78"/>
      <c r="BR101" s="78"/>
      <c r="BS101" s="78"/>
      <c r="BT101" s="78"/>
      <c r="BU101" s="78"/>
      <c r="BV101" s="78"/>
      <c r="BW101" s="78"/>
      <c r="BX101" s="78"/>
      <c r="BY101" s="78"/>
      <c r="BZ101" s="78"/>
      <c r="CA101" s="78"/>
      <c r="CB101" s="117" t="b">
        <f>IF(CN59=24,12)</f>
        <v>0</v>
      </c>
      <c r="CC101" s="111"/>
      <c r="CD101" s="111"/>
      <c r="CE101" s="111"/>
      <c r="CF101" s="111"/>
      <c r="CG101" s="111"/>
      <c r="CH101" s="118"/>
      <c r="CI101" s="111"/>
      <c r="CJ101" s="129"/>
      <c r="CK101" s="111"/>
      <c r="CL101" s="111"/>
      <c r="CM101" s="111"/>
      <c r="CN101" s="111"/>
      <c r="CO101" s="111"/>
      <c r="CP101" s="111"/>
      <c r="CQ101" s="111"/>
      <c r="CR101" s="111"/>
      <c r="CS101" s="111"/>
      <c r="CT101" s="118"/>
      <c r="CU101" s="119"/>
      <c r="CV101" s="119"/>
      <c r="CW101" s="119"/>
      <c r="CX101" s="119"/>
      <c r="CY101" s="119"/>
      <c r="CZ101" s="103" t="b">
        <f>IF(CN59=24,36)</f>
        <v>0</v>
      </c>
      <c r="DA101" s="76"/>
      <c r="DB101" s="76"/>
      <c r="DC101" s="78"/>
      <c r="DD101" s="78"/>
    </row>
    <row r="102" spans="5:108" ht="21" hidden="1" thickBot="1" x14ac:dyDescent="0.25">
      <c r="E102" s="397"/>
      <c r="F102" s="397"/>
      <c r="G102" s="998"/>
      <c r="H102"/>
      <c r="I102"/>
      <c r="J102"/>
      <c r="K102"/>
      <c r="L102"/>
      <c r="M102"/>
      <c r="N102"/>
      <c r="O102" s="995"/>
      <c r="BE102" s="126"/>
      <c r="BF102" s="126"/>
      <c r="BG102" s="126"/>
      <c r="BH102" s="126"/>
      <c r="BN102" s="86"/>
      <c r="BO102" s="126"/>
      <c r="BP102" s="1582">
        <v>23</v>
      </c>
      <c r="BQ102" s="78"/>
      <c r="BR102" s="78"/>
      <c r="BS102" s="78"/>
      <c r="BT102" s="78"/>
      <c r="BU102" s="78"/>
      <c r="BV102" s="78"/>
      <c r="BW102" s="78"/>
      <c r="BX102" s="78"/>
      <c r="BY102" s="78"/>
      <c r="BZ102" s="78"/>
      <c r="CA102" s="78"/>
      <c r="CB102" s="120" t="b">
        <f>IF(CM59=23,12)</f>
        <v>0</v>
      </c>
      <c r="CC102" s="121"/>
      <c r="CD102" s="121"/>
      <c r="CE102" s="121"/>
      <c r="CF102" s="122"/>
      <c r="CG102" s="121"/>
      <c r="CH102" s="132"/>
      <c r="CI102" s="121"/>
      <c r="CJ102" s="133"/>
      <c r="CK102" s="121"/>
      <c r="CL102" s="121"/>
      <c r="CM102" s="121"/>
      <c r="CN102" s="121"/>
      <c r="CO102" s="121"/>
      <c r="CP102" s="121"/>
      <c r="CQ102" s="121"/>
      <c r="CR102" s="121"/>
      <c r="CS102" s="121"/>
      <c r="CT102" s="122"/>
      <c r="CU102" s="123"/>
      <c r="CV102" s="123"/>
      <c r="CW102" s="123"/>
      <c r="CX102" s="124" t="b">
        <f>IF(CM59=23,34)</f>
        <v>0</v>
      </c>
      <c r="CY102" s="76"/>
      <c r="CZ102" s="76"/>
      <c r="DA102" s="76"/>
      <c r="DB102" s="76"/>
      <c r="DC102" s="78"/>
      <c r="DD102" s="78"/>
    </row>
    <row r="103" spans="5:108" ht="21" hidden="1" thickBot="1" x14ac:dyDescent="0.25">
      <c r="E103" s="397"/>
      <c r="F103" s="397"/>
      <c r="G103" s="998"/>
      <c r="H103"/>
      <c r="I103"/>
      <c r="J103"/>
      <c r="K103"/>
      <c r="L103"/>
      <c r="M103"/>
      <c r="N103"/>
      <c r="O103" s="995"/>
      <c r="U103" s="114"/>
      <c r="AB103" s="114"/>
      <c r="AC103" s="114"/>
      <c r="AD103" s="114"/>
      <c r="AE103" s="114"/>
      <c r="BE103" s="126"/>
      <c r="BF103" s="126"/>
      <c r="BG103" s="126"/>
      <c r="BH103" s="126"/>
      <c r="BN103" s="86"/>
      <c r="BO103" s="126"/>
      <c r="BP103" s="1582">
        <v>22</v>
      </c>
      <c r="BQ103" s="76"/>
      <c r="BR103" s="76"/>
      <c r="BS103" s="76"/>
      <c r="BT103" s="76"/>
      <c r="BU103" s="76"/>
      <c r="BV103" s="76"/>
      <c r="BW103" s="76"/>
      <c r="BX103" s="76"/>
      <c r="BY103" s="76"/>
      <c r="BZ103" s="76"/>
      <c r="CA103" s="76"/>
      <c r="CB103" s="120" t="b">
        <f>IF(CL59=22,12)</f>
        <v>0</v>
      </c>
      <c r="CC103" s="123"/>
      <c r="CD103" s="123"/>
      <c r="CE103" s="123"/>
      <c r="CF103" s="122"/>
      <c r="CG103" s="123"/>
      <c r="CH103" s="134"/>
      <c r="CI103" s="123"/>
      <c r="CJ103" s="135"/>
      <c r="CK103" s="123"/>
      <c r="CL103" s="123"/>
      <c r="CM103" s="123"/>
      <c r="CN103" s="123"/>
      <c r="CO103" s="121"/>
      <c r="CP103" s="121"/>
      <c r="CQ103" s="122"/>
      <c r="CR103" s="121"/>
      <c r="CS103" s="121"/>
      <c r="CT103" s="121"/>
      <c r="CU103" s="121"/>
      <c r="CV103" s="124" t="b">
        <f>IF(CL59=22,32)</f>
        <v>0</v>
      </c>
      <c r="CW103" s="78"/>
      <c r="CX103" s="78"/>
      <c r="CY103" s="78"/>
      <c r="CZ103" s="78"/>
      <c r="DA103" s="78"/>
      <c r="DB103" s="78"/>
      <c r="DC103" s="78"/>
      <c r="DD103" s="78"/>
    </row>
    <row r="104" spans="5:108" ht="21" hidden="1" thickBot="1" x14ac:dyDescent="0.25">
      <c r="E104" s="397"/>
      <c r="F104" s="397"/>
      <c r="G104" s="998"/>
      <c r="H104"/>
      <c r="I104"/>
      <c r="J104"/>
      <c r="K104"/>
      <c r="L104"/>
      <c r="M104"/>
      <c r="N104"/>
      <c r="O104" s="995"/>
      <c r="BE104" s="126"/>
      <c r="BF104" s="126"/>
      <c r="BG104" s="126"/>
      <c r="BH104" s="126"/>
      <c r="BN104" s="86"/>
      <c r="BO104" s="126"/>
      <c r="BP104" s="1582">
        <v>21</v>
      </c>
      <c r="BQ104" s="78"/>
      <c r="BR104" s="78"/>
      <c r="BS104" s="78"/>
      <c r="BT104" s="78"/>
      <c r="BU104" s="78"/>
      <c r="BV104" s="78"/>
      <c r="BW104" s="78"/>
      <c r="BX104" s="78"/>
      <c r="BY104" s="78"/>
      <c r="BZ104" s="78"/>
      <c r="CA104" s="78"/>
      <c r="CB104" s="120" t="b">
        <f>IF(CK59=21,12)</f>
        <v>0</v>
      </c>
      <c r="CC104" s="121"/>
      <c r="CD104" s="121"/>
      <c r="CE104" s="121"/>
      <c r="CF104" s="121"/>
      <c r="CG104" s="121"/>
      <c r="CH104" s="132"/>
      <c r="CI104" s="121"/>
      <c r="CJ104" s="133"/>
      <c r="CK104" s="121"/>
      <c r="CL104" s="121"/>
      <c r="CM104" s="121"/>
      <c r="CN104" s="121"/>
      <c r="CO104" s="121"/>
      <c r="CP104" s="121"/>
      <c r="CQ104" s="121"/>
      <c r="CR104" s="121"/>
      <c r="CS104" s="121"/>
      <c r="CT104" s="124" t="b">
        <f>IF(CK59=21,30)</f>
        <v>0</v>
      </c>
      <c r="CU104" s="76"/>
      <c r="CV104" s="76"/>
      <c r="CW104" s="76"/>
      <c r="CX104" s="76"/>
      <c r="CY104" s="76"/>
      <c r="CZ104" s="76"/>
      <c r="DA104" s="76"/>
      <c r="DB104" s="76"/>
      <c r="DC104" s="78"/>
      <c r="DD104" s="78"/>
    </row>
    <row r="105" spans="5:108" ht="21" hidden="1" thickBot="1" x14ac:dyDescent="0.25">
      <c r="E105" s="397"/>
      <c r="F105" s="397"/>
      <c r="G105" s="998"/>
      <c r="H105"/>
      <c r="I105"/>
      <c r="J105"/>
      <c r="K105"/>
      <c r="L105"/>
      <c r="M105"/>
      <c r="N105"/>
      <c r="O105" s="995"/>
      <c r="T105" s="401"/>
      <c r="BE105" s="136"/>
      <c r="BF105" s="136"/>
      <c r="BG105" s="136"/>
      <c r="BH105" s="136"/>
      <c r="BN105" s="86"/>
      <c r="BO105" s="1091"/>
      <c r="BP105" s="1582">
        <v>20</v>
      </c>
      <c r="BQ105" s="78"/>
      <c r="BR105" s="78"/>
      <c r="BS105" s="78"/>
      <c r="BT105" s="78"/>
      <c r="BU105" s="78"/>
      <c r="BV105" s="78"/>
      <c r="BW105" s="78"/>
      <c r="BX105" s="78"/>
      <c r="CA105" s="137"/>
      <c r="CB105" s="117" t="b">
        <f>IF(CJ59=20,12)</f>
        <v>0</v>
      </c>
      <c r="CC105" s="111"/>
      <c r="CD105" s="111"/>
      <c r="CE105" s="111"/>
      <c r="CF105" s="111"/>
      <c r="CG105" s="111"/>
      <c r="CH105" s="138"/>
      <c r="CI105" s="111"/>
      <c r="CJ105" s="129"/>
      <c r="CK105" s="111"/>
      <c r="CL105" s="111"/>
      <c r="CM105" s="111"/>
      <c r="CN105" s="111"/>
      <c r="CO105" s="111"/>
      <c r="CP105" s="111"/>
      <c r="CQ105" s="111"/>
      <c r="CR105" s="103" t="b">
        <f>IF(CJ59=20,28)</f>
        <v>0</v>
      </c>
      <c r="CS105" s="137"/>
      <c r="CU105" s="76"/>
      <c r="CV105" s="76"/>
      <c r="CW105" s="76"/>
      <c r="CX105" s="76"/>
      <c r="CY105" s="76"/>
      <c r="CZ105" s="76"/>
      <c r="DA105" s="76"/>
      <c r="DB105" s="76"/>
      <c r="DC105" s="78"/>
      <c r="DD105" s="78"/>
    </row>
    <row r="106" spans="5:108" ht="21" hidden="1" thickBot="1" x14ac:dyDescent="0.25">
      <c r="E106" s="397"/>
      <c r="F106" s="397"/>
      <c r="G106" s="998"/>
      <c r="H106"/>
      <c r="I106"/>
      <c r="J106"/>
      <c r="K106"/>
      <c r="L106"/>
      <c r="M106"/>
      <c r="N106"/>
      <c r="O106" s="995"/>
      <c r="U106" s="114"/>
      <c r="AB106" s="114"/>
      <c r="AC106" s="114"/>
      <c r="AD106" s="114"/>
      <c r="AE106" s="114"/>
      <c r="BE106" s="136"/>
      <c r="BF106" s="136"/>
      <c r="BG106" s="136"/>
      <c r="BH106" s="136"/>
      <c r="BN106" s="86"/>
      <c r="BO106" s="1091"/>
      <c r="BP106" s="1582">
        <v>19</v>
      </c>
      <c r="BQ106" s="78"/>
      <c r="BR106" s="78"/>
      <c r="BS106" s="78"/>
      <c r="BT106" s="78"/>
      <c r="BU106" s="78"/>
      <c r="BV106" s="78"/>
      <c r="BW106" s="78"/>
      <c r="BX106" s="78"/>
      <c r="BZ106" s="139"/>
      <c r="CA106" s="139"/>
      <c r="CB106" s="117" t="b">
        <f>IF(CI59=19,12)</f>
        <v>0</v>
      </c>
      <c r="CC106" s="119"/>
      <c r="CD106" s="119"/>
      <c r="CE106" s="118"/>
      <c r="CF106" s="119"/>
      <c r="CG106" s="119"/>
      <c r="CH106" s="140"/>
      <c r="CI106" s="119"/>
      <c r="CJ106" s="141"/>
      <c r="CK106" s="118"/>
      <c r="CL106" s="119"/>
      <c r="CM106" s="119"/>
      <c r="CN106" s="119"/>
      <c r="CO106" s="111"/>
      <c r="CP106" s="103" t="b">
        <f>IF(CI59=19,26)</f>
        <v>0</v>
      </c>
      <c r="CQ106" s="142"/>
      <c r="CR106" s="137"/>
      <c r="CT106" s="78"/>
      <c r="CU106" s="78"/>
      <c r="CV106" s="78"/>
      <c r="CW106" s="78"/>
      <c r="CX106" s="78"/>
      <c r="CY106" s="78"/>
      <c r="CZ106" s="78"/>
      <c r="DA106" s="78"/>
      <c r="DB106" s="78"/>
      <c r="DC106" s="78"/>
      <c r="DD106" s="78"/>
    </row>
    <row r="107" spans="5:108" ht="21" hidden="1" thickBot="1" x14ac:dyDescent="0.25">
      <c r="E107" s="397"/>
      <c r="F107" s="397"/>
      <c r="G107" s="998"/>
      <c r="H107"/>
      <c r="I107"/>
      <c r="J107"/>
      <c r="K107"/>
      <c r="L107"/>
      <c r="M107"/>
      <c r="N107"/>
      <c r="O107" s="995"/>
      <c r="U107" s="114"/>
      <c r="AB107" s="114"/>
      <c r="AC107" s="114"/>
      <c r="AD107" s="114"/>
      <c r="AE107" s="114"/>
      <c r="BE107" s="136"/>
      <c r="BF107" s="136"/>
      <c r="BG107" s="136"/>
      <c r="BH107" s="136"/>
      <c r="BN107" s="86"/>
      <c r="BO107" s="1091"/>
      <c r="BP107" s="1582">
        <v>18</v>
      </c>
      <c r="BQ107" s="76"/>
      <c r="BR107" s="76"/>
      <c r="BS107" s="76"/>
      <c r="BT107" s="76"/>
      <c r="BU107" s="76"/>
      <c r="BV107" s="76"/>
      <c r="BW107" s="76"/>
      <c r="BX107" s="76"/>
      <c r="BZ107" s="117" t="b">
        <f>IF(CH59=18,10)</f>
        <v>0</v>
      </c>
      <c r="CA107" s="119"/>
      <c r="CB107" s="119"/>
      <c r="CC107" s="119"/>
      <c r="CD107" s="119"/>
      <c r="CE107" s="118"/>
      <c r="CF107" s="119"/>
      <c r="CG107" s="119"/>
      <c r="CH107" s="140"/>
      <c r="CI107" s="119"/>
      <c r="CJ107" s="141"/>
      <c r="CK107" s="118"/>
      <c r="CL107" s="119"/>
      <c r="CM107" s="119"/>
      <c r="CN107" s="119"/>
      <c r="CO107" s="111"/>
      <c r="CP107" s="103" t="b">
        <f>IF(CH59=18,26)</f>
        <v>0</v>
      </c>
      <c r="CR107" s="78"/>
      <c r="CS107" s="78"/>
      <c r="CT107" s="78"/>
      <c r="CU107" s="78"/>
      <c r="CV107" s="78"/>
      <c r="CW107" s="78"/>
      <c r="CX107" s="78"/>
      <c r="CY107" s="78"/>
      <c r="CZ107" s="78"/>
      <c r="DA107" s="78"/>
      <c r="DB107" s="78"/>
      <c r="DC107" s="78"/>
      <c r="DD107" s="78"/>
    </row>
    <row r="108" spans="5:108" ht="21" hidden="1" thickBot="1" x14ac:dyDescent="0.25">
      <c r="E108" s="397"/>
      <c r="F108" s="397"/>
      <c r="G108" s="998"/>
      <c r="H108"/>
      <c r="I108"/>
      <c r="J108"/>
      <c r="K108"/>
      <c r="L108"/>
      <c r="M108"/>
      <c r="N108"/>
      <c r="O108" s="995"/>
      <c r="U108" s="114"/>
      <c r="AB108" s="114"/>
      <c r="AC108" s="114"/>
      <c r="AD108" s="114"/>
      <c r="AE108" s="114"/>
      <c r="BE108" s="136"/>
      <c r="BF108" s="136"/>
      <c r="BG108" s="136"/>
      <c r="BH108" s="136"/>
      <c r="BN108" s="86"/>
      <c r="BO108" s="1091"/>
      <c r="BP108" s="1582">
        <v>17</v>
      </c>
      <c r="BQ108" s="76"/>
      <c r="BR108" s="76"/>
      <c r="BS108" s="76"/>
      <c r="BT108" s="76"/>
      <c r="BU108" s="76"/>
      <c r="BV108" s="76"/>
      <c r="BW108" s="76"/>
      <c r="BX108" s="117">
        <f>IF(CG59=17,8)</f>
        <v>8</v>
      </c>
      <c r="BY108" s="118"/>
      <c r="BZ108" s="118"/>
      <c r="CA108" s="119"/>
      <c r="CB108" s="119"/>
      <c r="CC108" s="119"/>
      <c r="CD108" s="119"/>
      <c r="CE108" s="119"/>
      <c r="CF108" s="119"/>
      <c r="CG108" s="119"/>
      <c r="CH108" s="140"/>
      <c r="CI108" s="119"/>
      <c r="CJ108" s="141"/>
      <c r="CK108" s="119"/>
      <c r="CL108" s="119"/>
      <c r="CM108" s="119"/>
      <c r="CN108" s="118"/>
      <c r="CO108" s="118"/>
      <c r="CP108" s="103">
        <f>IF(CG59=17,26)</f>
        <v>26</v>
      </c>
      <c r="CQ108" s="78"/>
      <c r="CR108" s="78"/>
      <c r="CS108" s="78"/>
      <c r="CT108" s="78"/>
      <c r="CU108" s="78"/>
      <c r="CV108" s="78"/>
      <c r="CW108" s="78"/>
      <c r="CX108" s="78"/>
      <c r="CY108" s="78"/>
      <c r="CZ108" s="78"/>
      <c r="DA108" s="78"/>
      <c r="DB108" s="78"/>
      <c r="DC108" s="78"/>
      <c r="DD108" s="78"/>
    </row>
    <row r="109" spans="5:108" ht="21" hidden="1" thickBot="1" x14ac:dyDescent="0.25">
      <c r="E109" s="397"/>
      <c r="F109" s="397"/>
      <c r="G109" s="998"/>
      <c r="H109"/>
      <c r="I109"/>
      <c r="J109"/>
      <c r="K109"/>
      <c r="L109"/>
      <c r="M109"/>
      <c r="N109"/>
      <c r="O109" s="995"/>
      <c r="U109" s="114"/>
      <c r="AB109" s="114"/>
      <c r="AC109" s="114"/>
      <c r="AD109" s="114"/>
      <c r="AE109" s="114"/>
      <c r="BE109" s="136"/>
      <c r="BF109" s="136"/>
      <c r="BG109" s="136"/>
      <c r="BH109" s="136"/>
      <c r="BN109" s="86"/>
      <c r="BO109" s="1091"/>
      <c r="BP109" s="1582">
        <v>16</v>
      </c>
      <c r="BQ109" s="76"/>
      <c r="BR109" s="76"/>
      <c r="BS109" s="76"/>
      <c r="BT109" s="76"/>
      <c r="BU109" s="76"/>
      <c r="BV109" s="145" t="b">
        <f>IF(CF59=16,6)</f>
        <v>0</v>
      </c>
      <c r="BW109" s="146"/>
      <c r="BX109" s="147"/>
      <c r="BY109" s="147"/>
      <c r="BZ109" s="146"/>
      <c r="CA109" s="146"/>
      <c r="CB109" s="146"/>
      <c r="CC109" s="146"/>
      <c r="CD109" s="146"/>
      <c r="CE109" s="146"/>
      <c r="CF109" s="146"/>
      <c r="CG109" s="146"/>
      <c r="CH109" s="148"/>
      <c r="CI109" s="146"/>
      <c r="CJ109" s="149"/>
      <c r="CK109" s="146"/>
      <c r="CL109" s="146"/>
      <c r="CM109" s="147"/>
      <c r="CN109" s="147"/>
      <c r="CO109" s="150"/>
      <c r="CP109" s="151" t="b">
        <f>IF(CF59=16,26)</f>
        <v>0</v>
      </c>
      <c r="CQ109" s="78"/>
      <c r="CR109" s="78"/>
      <c r="CS109" s="78"/>
      <c r="CT109" s="78"/>
      <c r="CU109" s="78"/>
      <c r="CV109" s="78"/>
      <c r="CW109" s="78"/>
      <c r="CX109" s="78"/>
      <c r="CY109" s="78"/>
      <c r="CZ109" s="78"/>
      <c r="DA109" s="78"/>
      <c r="DB109" s="78"/>
      <c r="DC109" s="78"/>
      <c r="DD109" s="78"/>
    </row>
    <row r="110" spans="5:108" ht="21" hidden="1" thickBot="1" x14ac:dyDescent="0.25">
      <c r="E110" s="397"/>
      <c r="F110" s="397"/>
      <c r="G110" s="998"/>
      <c r="H110"/>
      <c r="I110"/>
      <c r="J110"/>
      <c r="K110"/>
      <c r="L110"/>
      <c r="M110"/>
      <c r="N110"/>
      <c r="O110" s="995"/>
      <c r="U110" s="114"/>
      <c r="AB110" s="114"/>
      <c r="AC110" s="114"/>
      <c r="AD110" s="114"/>
      <c r="AE110" s="114"/>
      <c r="BE110" s="136"/>
      <c r="BF110" s="136"/>
      <c r="BG110" s="136"/>
      <c r="BH110" s="136"/>
      <c r="BN110" s="86"/>
      <c r="BO110" s="1091"/>
      <c r="BP110" s="1582">
        <v>15</v>
      </c>
      <c r="BQ110" s="76"/>
      <c r="BR110" s="76"/>
      <c r="BS110" s="76"/>
      <c r="BT110" s="117" t="b">
        <f>IF(CE59=15,4)</f>
        <v>0</v>
      </c>
      <c r="BU110" s="119"/>
      <c r="BV110" s="119"/>
      <c r="BW110" s="119"/>
      <c r="BX110" s="118"/>
      <c r="BY110" s="119"/>
      <c r="BZ110" s="119"/>
      <c r="CA110" s="118"/>
      <c r="CB110" s="119"/>
      <c r="CC110" s="119"/>
      <c r="CD110" s="119"/>
      <c r="CE110" s="119"/>
      <c r="CF110" s="119"/>
      <c r="CG110" s="119"/>
      <c r="CH110" s="140"/>
      <c r="CI110" s="118"/>
      <c r="CJ110" s="141"/>
      <c r="CK110" s="119"/>
      <c r="CL110" s="118"/>
      <c r="CM110" s="119"/>
      <c r="CN110" s="119"/>
      <c r="CO110" s="111"/>
      <c r="CP110" s="103" t="b">
        <f>IF(CE59=15,26)</f>
        <v>0</v>
      </c>
      <c r="CQ110" s="78"/>
      <c r="CR110" s="78"/>
      <c r="CS110" s="78"/>
      <c r="CT110" s="78"/>
      <c r="CU110" s="78"/>
      <c r="CV110" s="78"/>
      <c r="CW110" s="78"/>
      <c r="CX110" s="78"/>
      <c r="CY110" s="78"/>
      <c r="CZ110" s="78"/>
      <c r="DA110" s="78"/>
      <c r="DB110" s="78"/>
      <c r="DC110" s="78"/>
      <c r="DD110" s="78"/>
    </row>
    <row r="111" spans="5:108" ht="21" hidden="1" thickBot="1" x14ac:dyDescent="0.25">
      <c r="E111" s="397"/>
      <c r="F111" s="397"/>
      <c r="G111" s="998"/>
      <c r="H111"/>
      <c r="I111"/>
      <c r="J111"/>
      <c r="K111"/>
      <c r="L111"/>
      <c r="M111"/>
      <c r="N111"/>
      <c r="O111" s="995"/>
      <c r="U111" s="114"/>
      <c r="AB111" s="114"/>
      <c r="AC111" s="114"/>
      <c r="AD111" s="114"/>
      <c r="AE111" s="114"/>
      <c r="BE111" s="136"/>
      <c r="BF111" s="136"/>
      <c r="BG111" s="136"/>
      <c r="BH111" s="136"/>
      <c r="BN111" s="86"/>
      <c r="BO111" s="1091"/>
      <c r="BP111" s="1582">
        <v>14</v>
      </c>
      <c r="BQ111" s="76"/>
      <c r="BR111" s="117" t="b">
        <f>IF(CD59=14,2)</f>
        <v>0</v>
      </c>
      <c r="BS111" s="119"/>
      <c r="BT111" s="119"/>
      <c r="BU111" s="119"/>
      <c r="BV111" s="118"/>
      <c r="BW111" s="119"/>
      <c r="BX111" s="119"/>
      <c r="BY111" s="118"/>
      <c r="BZ111" s="119"/>
      <c r="CA111" s="119"/>
      <c r="CB111" s="119"/>
      <c r="CC111" s="119"/>
      <c r="CD111" s="119"/>
      <c r="CE111" s="119"/>
      <c r="CF111" s="119"/>
      <c r="CG111" s="119"/>
      <c r="CH111" s="140"/>
      <c r="CI111" s="118"/>
      <c r="CJ111" s="141"/>
      <c r="CK111" s="119"/>
      <c r="CL111" s="118"/>
      <c r="CM111" s="119"/>
      <c r="CN111" s="119"/>
      <c r="CO111" s="111"/>
      <c r="CP111" s="103" t="b">
        <f>IF(CD59=14,26)</f>
        <v>0</v>
      </c>
      <c r="CQ111" s="78"/>
      <c r="CR111" s="78"/>
      <c r="CS111" s="78"/>
      <c r="CT111" s="78"/>
      <c r="CU111" s="78"/>
      <c r="CV111" s="78"/>
      <c r="CW111" s="78"/>
      <c r="CX111" s="78"/>
      <c r="CY111" s="78"/>
      <c r="CZ111" s="78"/>
      <c r="DA111" s="78"/>
      <c r="DB111" s="78"/>
      <c r="DC111" s="78"/>
      <c r="DD111" s="78"/>
    </row>
    <row r="112" spans="5:108" ht="21" hidden="1" thickBot="1" x14ac:dyDescent="0.25">
      <c r="E112" s="397"/>
      <c r="F112" s="397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E112" s="136"/>
      <c r="BF112" s="136"/>
      <c r="BG112" s="136"/>
      <c r="BH112" s="136"/>
      <c r="BN112" s="86"/>
      <c r="BO112" s="1091"/>
      <c r="BP112" s="1582">
        <v>13</v>
      </c>
      <c r="BQ112" s="76"/>
      <c r="BR112" s="76"/>
      <c r="BS112" s="76"/>
      <c r="BU112" s="152"/>
      <c r="BV112" s="152"/>
      <c r="BW112" s="91"/>
      <c r="BX112" s="152"/>
      <c r="BY112" s="120" t="b">
        <f>IF(CC59=13,9)</f>
        <v>0</v>
      </c>
      <c r="BZ112" s="123"/>
      <c r="CA112" s="123"/>
      <c r="CB112" s="123"/>
      <c r="CC112" s="123"/>
      <c r="CD112" s="123"/>
      <c r="CE112" s="123"/>
      <c r="CF112" s="123"/>
      <c r="CG112" s="124" t="b">
        <f>IF(CC59=13,17)</f>
        <v>0</v>
      </c>
      <c r="CH112" s="153"/>
      <c r="CI112" s="91"/>
      <c r="CJ112" s="154"/>
      <c r="CK112" s="152"/>
      <c r="CM112" s="76"/>
      <c r="CN112" s="76"/>
      <c r="CO112" s="78"/>
      <c r="CP112" s="78"/>
      <c r="CQ112" s="78"/>
      <c r="CR112" s="78"/>
      <c r="CS112" s="78"/>
      <c r="CT112" s="78"/>
      <c r="CU112" s="78"/>
      <c r="CV112" s="78"/>
      <c r="CW112" s="78"/>
      <c r="CX112" s="78"/>
      <c r="CY112" s="78"/>
      <c r="CZ112" s="78"/>
      <c r="DA112" s="78"/>
      <c r="DB112" s="78"/>
      <c r="DC112" s="78"/>
      <c r="DD112" s="78"/>
    </row>
    <row r="113" spans="2:108" ht="21" hidden="1" thickBot="1" x14ac:dyDescent="0.25">
      <c r="D113" s="397"/>
      <c r="E113" s="397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E113" s="136"/>
      <c r="BF113" s="136"/>
      <c r="BG113" s="136"/>
      <c r="BH113" s="136"/>
      <c r="BN113" s="86"/>
      <c r="BO113" s="1091"/>
      <c r="BP113" s="1582">
        <v>12</v>
      </c>
      <c r="BQ113" s="76"/>
      <c r="BS113" s="139"/>
      <c r="BT113" s="139"/>
      <c r="BU113" s="142"/>
      <c r="BV113" s="139"/>
      <c r="BW113" s="117" t="b">
        <f>IF(CB59=12,7)</f>
        <v>0</v>
      </c>
      <c r="BX113" s="119"/>
      <c r="BY113" s="119"/>
      <c r="BZ113" s="119"/>
      <c r="CA113" s="119"/>
      <c r="CB113" s="119"/>
      <c r="CC113" s="119"/>
      <c r="CD113" s="119"/>
      <c r="CE113" s="119"/>
      <c r="CF113" s="119"/>
      <c r="CG113" s="103" t="b">
        <f>IF(CB59=12,17)</f>
        <v>0</v>
      </c>
      <c r="CH113" s="155"/>
      <c r="CI113" s="142"/>
      <c r="CJ113" s="156"/>
      <c r="CK113" s="139"/>
      <c r="CM113" s="76"/>
      <c r="CN113" s="76"/>
      <c r="CO113" s="78"/>
      <c r="CP113" s="78"/>
      <c r="CQ113" s="78"/>
      <c r="CR113" s="78"/>
      <c r="CS113" s="78"/>
      <c r="CT113" s="78"/>
      <c r="CU113" s="78"/>
      <c r="CV113" s="78"/>
      <c r="CW113" s="78"/>
      <c r="CX113" s="78"/>
      <c r="CY113" s="78"/>
      <c r="CZ113" s="78"/>
      <c r="DA113" s="78"/>
      <c r="DB113" s="78"/>
      <c r="DC113" s="78"/>
      <c r="DD113" s="78"/>
    </row>
    <row r="114" spans="2:108" ht="21" hidden="1" thickBot="1" x14ac:dyDescent="0.25">
      <c r="D114" s="397"/>
      <c r="E114" s="397"/>
      <c r="F114" s="397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E114" s="136"/>
      <c r="BF114" s="136"/>
      <c r="BG114" s="136"/>
      <c r="BH114" s="136"/>
      <c r="BN114" s="86"/>
      <c r="BO114" s="1091"/>
      <c r="BP114" s="1582">
        <v>11</v>
      </c>
      <c r="BR114" s="152"/>
      <c r="BS114" s="91"/>
      <c r="BT114" s="152"/>
      <c r="BU114" s="117" t="b">
        <f>IF(CA59=11,5)</f>
        <v>0</v>
      </c>
      <c r="BV114" s="119"/>
      <c r="BW114" s="119"/>
      <c r="BX114" s="119"/>
      <c r="BY114" s="119"/>
      <c r="BZ114" s="119"/>
      <c r="CA114" s="119"/>
      <c r="CB114" s="119"/>
      <c r="CC114" s="119"/>
      <c r="CD114" s="119"/>
      <c r="CE114" s="119"/>
      <c r="CF114" s="119"/>
      <c r="CG114" s="103" t="b">
        <f>IF(CA59=11,17)</f>
        <v>0</v>
      </c>
      <c r="CH114" s="153"/>
      <c r="CI114" s="91"/>
      <c r="CJ114" s="154"/>
      <c r="CL114" s="76"/>
      <c r="CM114" s="76"/>
      <c r="CN114" s="76"/>
      <c r="CO114" s="78"/>
      <c r="CP114" s="78"/>
      <c r="CQ114" s="78"/>
      <c r="CR114" s="78"/>
      <c r="CS114" s="78"/>
      <c r="CT114" s="78"/>
      <c r="CU114" s="78"/>
      <c r="CV114" s="78"/>
      <c r="CW114" s="78"/>
      <c r="CX114" s="78"/>
      <c r="CY114" s="78"/>
      <c r="CZ114" s="78"/>
      <c r="DA114" s="78"/>
      <c r="DB114" s="78"/>
      <c r="DC114" s="78"/>
      <c r="DD114" s="78"/>
    </row>
    <row r="115" spans="2:108" ht="21" hidden="1" thickBot="1" x14ac:dyDescent="0.25">
      <c r="B115" s="399"/>
      <c r="C115" s="399"/>
      <c r="D115" s="397"/>
      <c r="E115" s="397"/>
      <c r="F115" s="397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36"/>
      <c r="BF115" s="136"/>
      <c r="BG115" s="136"/>
      <c r="BH115" s="136"/>
      <c r="BN115" s="86"/>
      <c r="BO115" s="1091"/>
      <c r="BP115" s="1582">
        <v>10</v>
      </c>
      <c r="BR115" s="152"/>
      <c r="BS115" s="117" t="b">
        <f>IF(BZ59=10,3)</f>
        <v>0</v>
      </c>
      <c r="BT115" s="119"/>
      <c r="BU115" s="119"/>
      <c r="BV115" s="119"/>
      <c r="BW115" s="119"/>
      <c r="BX115" s="119"/>
      <c r="BY115" s="119"/>
      <c r="BZ115" s="119"/>
      <c r="CA115" s="119"/>
      <c r="CB115" s="119"/>
      <c r="CC115" s="119"/>
      <c r="CD115" s="119"/>
      <c r="CE115" s="119"/>
      <c r="CF115" s="119"/>
      <c r="CG115" s="103" t="b">
        <f>IF(BZ59=10,17)</f>
        <v>0</v>
      </c>
      <c r="CH115" s="153"/>
      <c r="CJ115" s="157"/>
      <c r="CK115" s="76"/>
      <c r="CL115" s="76"/>
      <c r="CM115" s="76"/>
      <c r="CN115" s="76"/>
      <c r="CO115" s="78"/>
      <c r="CP115" s="78"/>
      <c r="CQ115" s="78"/>
      <c r="CR115" s="78"/>
      <c r="CS115" s="78"/>
      <c r="CT115" s="78"/>
      <c r="CU115" s="78"/>
      <c r="CV115" s="78"/>
      <c r="CW115" s="78"/>
      <c r="CX115" s="78"/>
      <c r="CY115" s="78"/>
      <c r="CZ115" s="78"/>
      <c r="DA115" s="78"/>
      <c r="DB115" s="78"/>
      <c r="DC115" s="78"/>
      <c r="DD115" s="78"/>
    </row>
    <row r="116" spans="2:108" ht="21" hidden="1" thickBot="1" x14ac:dyDescent="0.25">
      <c r="B116" s="399"/>
      <c r="C116" s="399"/>
      <c r="D116" s="397"/>
      <c r="E116" s="397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F116" s="136"/>
      <c r="BG116" s="136"/>
      <c r="BH116" s="136"/>
      <c r="BN116" s="86"/>
      <c r="BO116" s="1091"/>
      <c r="BP116" s="1582">
        <v>9</v>
      </c>
      <c r="BQ116" s="117" t="b">
        <f>IF(BY59=9,1)</f>
        <v>0</v>
      </c>
      <c r="BR116" s="119"/>
      <c r="BS116" s="119"/>
      <c r="BT116" s="119"/>
      <c r="BU116" s="119"/>
      <c r="BV116" s="119"/>
      <c r="BW116" s="119"/>
      <c r="BX116" s="119"/>
      <c r="BY116" s="119"/>
      <c r="BZ116" s="119"/>
      <c r="CA116" s="119"/>
      <c r="CB116" s="119"/>
      <c r="CC116" s="119"/>
      <c r="CD116" s="119"/>
      <c r="CE116" s="119"/>
      <c r="CF116" s="119"/>
      <c r="CG116" s="103" t="b">
        <f>IF(BY59=9,17)</f>
        <v>0</v>
      </c>
      <c r="CH116" s="76"/>
      <c r="CI116" s="76"/>
      <c r="CJ116" s="157"/>
      <c r="CK116" s="76"/>
      <c r="CL116" s="76"/>
      <c r="CM116" s="76"/>
      <c r="CN116" s="76"/>
      <c r="CO116" s="78"/>
      <c r="CP116" s="78"/>
      <c r="CQ116" s="78"/>
      <c r="CR116" s="78"/>
      <c r="CS116" s="78"/>
      <c r="CT116" s="78"/>
      <c r="CU116" s="78"/>
      <c r="CV116" s="78"/>
      <c r="CW116" s="78"/>
      <c r="CX116" s="78"/>
      <c r="CY116" s="78"/>
      <c r="CZ116" s="78"/>
      <c r="DA116" s="78"/>
      <c r="DB116" s="78"/>
      <c r="DC116" s="78"/>
      <c r="DD116" s="78"/>
    </row>
    <row r="117" spans="2:108" ht="21" hidden="1" thickBot="1" x14ac:dyDescent="0.25">
      <c r="B117" s="401"/>
      <c r="E117" s="397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E117" s="136"/>
      <c r="BF117" s="136"/>
      <c r="BG117" s="136"/>
      <c r="BH117" s="136"/>
      <c r="BN117" s="86"/>
      <c r="BO117" s="1091"/>
      <c r="BP117" s="1582">
        <v>8</v>
      </c>
      <c r="BQ117" s="117" t="b">
        <f>IF(BX59=8,1)</f>
        <v>0</v>
      </c>
      <c r="BR117" s="119"/>
      <c r="BS117" s="118"/>
      <c r="BT117" s="119"/>
      <c r="BU117" s="119"/>
      <c r="BV117" s="119"/>
      <c r="BW117" s="119"/>
      <c r="BX117" s="119"/>
      <c r="BY117" s="119"/>
      <c r="BZ117" s="119"/>
      <c r="CA117" s="119"/>
      <c r="CB117" s="119"/>
      <c r="CC117" s="118"/>
      <c r="CD117" s="119"/>
      <c r="CE117" s="103" t="b">
        <f>IF(BX59=8,15)</f>
        <v>0</v>
      </c>
      <c r="CF117" s="76"/>
      <c r="CG117" s="76"/>
      <c r="CH117" s="158"/>
      <c r="CI117" s="76"/>
      <c r="CJ117" s="157"/>
      <c r="CK117" s="76"/>
      <c r="CL117" s="76"/>
      <c r="CM117" s="76"/>
      <c r="CN117" s="76"/>
      <c r="CO117" s="78"/>
      <c r="CP117" s="78"/>
      <c r="CQ117" s="78"/>
      <c r="CR117" s="78"/>
      <c r="CS117" s="78"/>
      <c r="CT117" s="78"/>
      <c r="CU117" s="78"/>
      <c r="CV117" s="78"/>
      <c r="CW117" s="78"/>
      <c r="CX117" s="78"/>
      <c r="CY117" s="78"/>
      <c r="CZ117" s="78"/>
      <c r="DA117" s="78"/>
      <c r="DB117" s="78"/>
      <c r="DC117" s="78"/>
      <c r="DD117" s="78"/>
    </row>
    <row r="118" spans="2:108" ht="21" hidden="1" thickBot="1" x14ac:dyDescent="0.25">
      <c r="B118" s="399"/>
      <c r="C118" s="399"/>
      <c r="D118" s="397"/>
      <c r="E118" s="397"/>
      <c r="F118" s="397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F118" s="136"/>
      <c r="BG118" s="136"/>
      <c r="BH118" s="136"/>
      <c r="BN118" s="86"/>
      <c r="BO118" s="1091"/>
      <c r="BP118" s="1582">
        <v>7</v>
      </c>
      <c r="BQ118" s="117" t="b">
        <f>IF(BW59=7,1)</f>
        <v>0</v>
      </c>
      <c r="BR118" s="118"/>
      <c r="BS118" s="119"/>
      <c r="BT118" s="119"/>
      <c r="BU118" s="119"/>
      <c r="BV118" s="119"/>
      <c r="BW118" s="119"/>
      <c r="BX118" s="119"/>
      <c r="BY118" s="119"/>
      <c r="BZ118" s="119"/>
      <c r="CA118" s="118"/>
      <c r="CB118" s="118"/>
      <c r="CC118" s="103" t="b">
        <f>IF(BW59=7,13)</f>
        <v>0</v>
      </c>
      <c r="CD118" s="76"/>
      <c r="CE118" s="76"/>
      <c r="CF118" s="76"/>
      <c r="CG118" s="76"/>
      <c r="CH118" s="158"/>
      <c r="CI118" s="76"/>
      <c r="CJ118" s="157"/>
      <c r="CK118" s="76"/>
      <c r="CL118" s="76"/>
      <c r="CM118" s="76"/>
      <c r="CN118" s="76"/>
      <c r="CO118" s="78"/>
      <c r="CP118" s="78"/>
      <c r="CQ118" s="78"/>
      <c r="CR118" s="78"/>
      <c r="CS118" s="78"/>
      <c r="CT118" s="78"/>
      <c r="CU118" s="78"/>
      <c r="CV118" s="78"/>
      <c r="CW118" s="78"/>
      <c r="CX118" s="78"/>
      <c r="CY118" s="78"/>
      <c r="CZ118" s="78"/>
      <c r="DA118" s="78"/>
      <c r="DB118" s="78"/>
      <c r="DC118" s="78"/>
      <c r="DD118" s="78"/>
    </row>
    <row r="119" spans="2:108" ht="21" hidden="1" thickBot="1" x14ac:dyDescent="0.25">
      <c r="B119" s="399"/>
      <c r="C119" s="399"/>
      <c r="D119" s="397"/>
      <c r="E119" s="397"/>
      <c r="F119" s="397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F119" s="136"/>
      <c r="BG119" s="136"/>
      <c r="BH119" s="136"/>
      <c r="BN119" s="86"/>
      <c r="BO119" s="1091"/>
      <c r="BP119" s="1582">
        <v>6</v>
      </c>
      <c r="BQ119" s="120" t="b">
        <f>IF(BV59=6,1)</f>
        <v>0</v>
      </c>
      <c r="BR119" s="123"/>
      <c r="BS119" s="123"/>
      <c r="BT119" s="123"/>
      <c r="BU119" s="123"/>
      <c r="BV119" s="123"/>
      <c r="BW119" s="123"/>
      <c r="BX119" s="123"/>
      <c r="BY119" s="123"/>
      <c r="BZ119" s="123"/>
      <c r="CA119" s="124" t="b">
        <f>IF(BV59=6,11)</f>
        <v>0</v>
      </c>
      <c r="CB119" s="76"/>
      <c r="CC119" s="76"/>
      <c r="CD119" s="76"/>
      <c r="CE119" s="76"/>
      <c r="CF119" s="76"/>
      <c r="CG119" s="76"/>
      <c r="CH119" s="158"/>
      <c r="CI119" s="76"/>
      <c r="CJ119" s="157"/>
      <c r="CK119" s="76"/>
      <c r="CL119" s="76"/>
      <c r="CM119" s="76"/>
      <c r="CN119" s="76"/>
      <c r="CO119" s="78"/>
      <c r="CP119" s="78"/>
      <c r="CQ119" s="78"/>
      <c r="CR119" s="78"/>
      <c r="CS119" s="78"/>
      <c r="CT119" s="78"/>
      <c r="CU119" s="78"/>
      <c r="CV119" s="78"/>
      <c r="CW119" s="78"/>
      <c r="CX119" s="78"/>
      <c r="CY119" s="78"/>
      <c r="CZ119" s="78"/>
      <c r="DA119" s="78"/>
      <c r="DB119" s="78"/>
      <c r="DC119" s="78"/>
      <c r="DD119" s="78"/>
    </row>
    <row r="120" spans="2:108" ht="21" hidden="1" thickBot="1" x14ac:dyDescent="0.25">
      <c r="B120" s="19"/>
      <c r="C120" s="399"/>
      <c r="D120" s="397"/>
      <c r="E120" s="19"/>
      <c r="F120" s="397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E120" s="136"/>
      <c r="BF120" s="136"/>
      <c r="BG120" s="136"/>
      <c r="BH120" s="136"/>
      <c r="BN120" s="86"/>
      <c r="BO120" s="1091"/>
      <c r="BP120" s="1582">
        <v>5</v>
      </c>
      <c r="BQ120" s="120" t="b">
        <f>IF(BU59=5,1)</f>
        <v>0</v>
      </c>
      <c r="BR120" s="122"/>
      <c r="BS120" s="123"/>
      <c r="BT120" s="123"/>
      <c r="BU120" s="123"/>
      <c r="BV120" s="123"/>
      <c r="BW120" s="123"/>
      <c r="BX120" s="122"/>
      <c r="BY120" s="124" t="b">
        <f>IF(BU59=5,9)</f>
        <v>0</v>
      </c>
      <c r="BZ120" s="76"/>
      <c r="CA120" s="76"/>
      <c r="CB120" s="76"/>
      <c r="CC120" s="76"/>
      <c r="CD120" s="76"/>
      <c r="CE120" s="76"/>
      <c r="CF120" s="76"/>
      <c r="CG120" s="76"/>
      <c r="CH120" s="158"/>
      <c r="CI120" s="76"/>
      <c r="CJ120" s="157"/>
      <c r="CK120" s="76"/>
      <c r="CL120" s="76"/>
      <c r="CM120" s="76"/>
      <c r="CN120" s="76"/>
      <c r="CO120" s="78"/>
      <c r="CP120" s="78"/>
      <c r="CQ120" s="78"/>
      <c r="CR120" s="78"/>
      <c r="CS120" s="78"/>
      <c r="CT120" s="78"/>
      <c r="CU120" s="78"/>
      <c r="CV120" s="78"/>
      <c r="CW120" s="78"/>
      <c r="CX120" s="78"/>
      <c r="CY120" s="78"/>
      <c r="CZ120" s="78"/>
      <c r="DA120" s="78"/>
      <c r="DB120" s="78"/>
      <c r="DC120" s="78"/>
      <c r="DD120" s="78"/>
    </row>
    <row r="121" spans="2:108" ht="21" hidden="1" thickBot="1" x14ac:dyDescent="0.25">
      <c r="B121" s="399"/>
      <c r="C121" s="399"/>
      <c r="D121" s="397"/>
      <c r="E121" s="397"/>
      <c r="F121" s="397"/>
      <c r="G121" s="998"/>
      <c r="H121"/>
      <c r="I121"/>
      <c r="J121"/>
      <c r="K121"/>
      <c r="L121"/>
      <c r="M121"/>
      <c r="N121"/>
      <c r="O121" s="995"/>
      <c r="U121" s="114"/>
      <c r="AB121" s="114"/>
      <c r="AC121" s="114"/>
      <c r="AD121" s="114"/>
      <c r="AE121" s="114"/>
      <c r="BF121" s="136"/>
      <c r="BG121" s="136"/>
      <c r="BH121" s="136"/>
      <c r="BN121" s="86"/>
      <c r="BO121" s="1091"/>
      <c r="BP121" s="1582">
        <v>4</v>
      </c>
      <c r="BQ121" s="120" t="b">
        <f>IF(BT59=4,1)</f>
        <v>0</v>
      </c>
      <c r="BR121" s="123"/>
      <c r="BS121" s="123"/>
      <c r="BT121" s="123"/>
      <c r="BU121" s="123"/>
      <c r="BV121" s="123"/>
      <c r="BW121" s="124" t="b">
        <f>IF(BT59=4,7)</f>
        <v>0</v>
      </c>
      <c r="BX121" s="76"/>
      <c r="BY121" s="159"/>
      <c r="BZ121" s="159"/>
      <c r="CA121" s="76"/>
      <c r="CB121" s="159"/>
      <c r="CC121" s="76"/>
      <c r="CD121" s="76"/>
      <c r="CE121" s="76"/>
      <c r="CF121" s="76"/>
      <c r="CG121" s="76"/>
      <c r="CH121" s="158"/>
      <c r="CI121" s="76"/>
      <c r="CJ121" s="157"/>
      <c r="CK121" s="76"/>
      <c r="CL121" s="76"/>
      <c r="CM121" s="76"/>
      <c r="CN121" s="76"/>
      <c r="CO121" s="78"/>
      <c r="CP121" s="78"/>
      <c r="CQ121" s="78"/>
      <c r="CR121" s="78"/>
      <c r="CS121" s="78"/>
      <c r="CT121" s="78"/>
      <c r="CU121" s="78"/>
      <c r="CV121" s="78"/>
      <c r="CW121" s="78"/>
      <c r="CX121" s="78"/>
      <c r="CY121" s="78"/>
      <c r="CZ121" s="78"/>
      <c r="DA121" s="78"/>
      <c r="DB121" s="78"/>
      <c r="DC121" s="78"/>
      <c r="DD121" s="78"/>
    </row>
    <row r="122" spans="2:108" ht="21" hidden="1" thickBot="1" x14ac:dyDescent="0.25">
      <c r="B122" s="399"/>
      <c r="C122" s="399"/>
      <c r="D122" s="397"/>
      <c r="E122" s="397"/>
      <c r="F122" s="397"/>
      <c r="G122" s="998"/>
      <c r="H122"/>
      <c r="I122"/>
      <c r="J122"/>
      <c r="K122"/>
      <c r="L122"/>
      <c r="M122"/>
      <c r="N122"/>
      <c r="O122" s="995"/>
      <c r="U122" s="114"/>
      <c r="AB122" s="114"/>
      <c r="AC122" s="114"/>
      <c r="AD122" s="114"/>
      <c r="AE122" s="114"/>
      <c r="BE122" s="136"/>
      <c r="BF122" s="136"/>
      <c r="BG122" s="136"/>
      <c r="BH122" s="136"/>
      <c r="BN122" s="86"/>
      <c r="BO122" s="1091"/>
      <c r="BP122" s="1582">
        <v>3</v>
      </c>
      <c r="BQ122" s="120" t="b">
        <f>IF(BS59=3,1)</f>
        <v>0</v>
      </c>
      <c r="BR122" s="123"/>
      <c r="BS122" s="123"/>
      <c r="BT122" s="123"/>
      <c r="BU122" s="124" t="b">
        <f>IF(BS59=3,5)</f>
        <v>0</v>
      </c>
      <c r="BV122" s="76"/>
      <c r="BW122" s="76"/>
      <c r="BX122" s="76"/>
      <c r="BY122" s="76"/>
      <c r="BZ122" s="76"/>
      <c r="CA122" s="76"/>
      <c r="CB122" s="76"/>
      <c r="CC122" s="76"/>
      <c r="CD122" s="76"/>
      <c r="CE122" s="76"/>
      <c r="CF122" s="76"/>
      <c r="CG122" s="76"/>
      <c r="CH122" s="158"/>
      <c r="CI122" s="76"/>
      <c r="CJ122" s="157"/>
      <c r="CK122" s="76"/>
      <c r="CL122" s="76"/>
      <c r="CM122" s="76"/>
      <c r="CN122" s="76"/>
      <c r="CO122" s="78"/>
      <c r="CP122" s="78"/>
      <c r="CQ122" s="78"/>
      <c r="CR122" s="78"/>
      <c r="CS122" s="78"/>
      <c r="CT122" s="78"/>
      <c r="CU122" s="78"/>
      <c r="CV122" s="78"/>
      <c r="CW122" s="78"/>
      <c r="CX122" s="78"/>
      <c r="CY122" s="78"/>
      <c r="CZ122" s="78"/>
      <c r="DA122" s="78"/>
      <c r="DB122" s="78"/>
      <c r="DC122" s="78"/>
      <c r="DD122" s="78"/>
    </row>
    <row r="123" spans="2:108" ht="20" hidden="1" x14ac:dyDescent="0.2">
      <c r="B123" s="399"/>
      <c r="C123" s="399"/>
      <c r="D123" s="397"/>
      <c r="E123" s="397"/>
      <c r="F123" s="397"/>
      <c r="G123" s="998"/>
      <c r="H123"/>
      <c r="I123"/>
      <c r="J123"/>
      <c r="K123"/>
      <c r="L123"/>
      <c r="M123"/>
      <c r="N123"/>
      <c r="O123" s="995"/>
      <c r="U123" s="114"/>
      <c r="AB123" s="114"/>
      <c r="AC123" s="114"/>
      <c r="AD123" s="114"/>
      <c r="AE123" s="114"/>
      <c r="BE123" s="136"/>
      <c r="BF123" s="136"/>
      <c r="BG123" s="136"/>
      <c r="BH123" s="136"/>
      <c r="BN123" s="86"/>
      <c r="BO123" s="1091"/>
      <c r="BP123" s="1582">
        <v>2</v>
      </c>
      <c r="BQ123" s="160" t="b">
        <f>IF(BR59=2,1)</f>
        <v>0</v>
      </c>
      <c r="BR123" s="161"/>
      <c r="BS123" s="162" t="b">
        <f>IF(BR59=2,3)</f>
        <v>0</v>
      </c>
      <c r="BT123" s="76"/>
      <c r="BU123" s="76"/>
      <c r="BV123" s="76"/>
      <c r="BW123" s="76"/>
      <c r="BX123" s="76"/>
      <c r="BY123" s="76"/>
      <c r="BZ123" s="76"/>
      <c r="CA123" s="76"/>
      <c r="CB123" s="76"/>
      <c r="CC123" s="76"/>
      <c r="CD123" s="76"/>
      <c r="CE123" s="76"/>
      <c r="CF123" s="76"/>
      <c r="CG123" s="76"/>
      <c r="CH123" s="158"/>
      <c r="CI123" s="76"/>
      <c r="CJ123" s="157"/>
      <c r="CK123" s="76"/>
      <c r="CL123" s="76"/>
      <c r="CM123" s="76"/>
      <c r="CN123" s="76"/>
      <c r="CO123" s="78"/>
      <c r="CP123" s="78"/>
      <c r="CQ123" s="78"/>
      <c r="CR123" s="78"/>
      <c r="CS123" s="78"/>
      <c r="CT123" s="78"/>
      <c r="CU123" s="78"/>
      <c r="CV123" s="78"/>
      <c r="CW123" s="78"/>
      <c r="CX123" s="78"/>
      <c r="CY123" s="78"/>
      <c r="CZ123" s="78"/>
      <c r="DA123" s="78"/>
      <c r="DB123" s="78"/>
      <c r="DC123" s="78"/>
      <c r="DD123" s="78"/>
    </row>
    <row r="124" spans="2:108" ht="54" hidden="1" customHeight="1" thickBot="1" x14ac:dyDescent="0.25">
      <c r="B124" s="399"/>
      <c r="C124" s="399"/>
      <c r="D124" s="397"/>
      <c r="E124" s="397"/>
      <c r="F124" s="397"/>
      <c r="G124" s="998"/>
      <c r="H124"/>
      <c r="I124" s="1009" t="s">
        <v>247</v>
      </c>
      <c r="J124" s="1009" t="s">
        <v>246</v>
      </c>
      <c r="K124" s="975" t="s">
        <v>248</v>
      </c>
      <c r="L124" s="976" t="s">
        <v>249</v>
      </c>
      <c r="M124" s="985" t="s">
        <v>253</v>
      </c>
      <c r="N124"/>
      <c r="O124" s="995"/>
      <c r="U124" s="114"/>
      <c r="AB124" s="114"/>
      <c r="AC124" s="114"/>
      <c r="AD124" s="114"/>
      <c r="AE124" s="114"/>
      <c r="BE124" s="136"/>
      <c r="BF124" s="136"/>
      <c r="BG124" s="136"/>
      <c r="BH124" s="136"/>
      <c r="BN124" s="86"/>
      <c r="BO124" s="1091"/>
      <c r="BP124" s="163"/>
      <c r="BQ124" s="164">
        <f>SUM(BQ89:BQ123)</f>
        <v>0</v>
      </c>
      <c r="BR124" s="164">
        <f t="shared" ref="BR124:DA124" si="2">SUM(BR89:BR123)</f>
        <v>0</v>
      </c>
      <c r="BS124" s="164">
        <f t="shared" si="2"/>
        <v>0</v>
      </c>
      <c r="BT124" s="164">
        <f t="shared" si="2"/>
        <v>0</v>
      </c>
      <c r="BU124" s="164">
        <f t="shared" si="2"/>
        <v>0</v>
      </c>
      <c r="BV124" s="164">
        <f t="shared" si="2"/>
        <v>0</v>
      </c>
      <c r="BW124" s="164">
        <f t="shared" si="2"/>
        <v>0</v>
      </c>
      <c r="BX124" s="164">
        <f t="shared" si="2"/>
        <v>8</v>
      </c>
      <c r="BY124" s="164">
        <f t="shared" si="2"/>
        <v>0</v>
      </c>
      <c r="BZ124" s="164">
        <f t="shared" si="2"/>
        <v>0</v>
      </c>
      <c r="CA124" s="164">
        <f t="shared" si="2"/>
        <v>0</v>
      </c>
      <c r="CB124" s="164">
        <f t="shared" si="2"/>
        <v>0</v>
      </c>
      <c r="CC124" s="164">
        <f t="shared" si="2"/>
        <v>0</v>
      </c>
      <c r="CD124" s="164">
        <f t="shared" si="2"/>
        <v>0</v>
      </c>
      <c r="CE124" s="164">
        <f t="shared" si="2"/>
        <v>0</v>
      </c>
      <c r="CF124" s="164">
        <f t="shared" si="2"/>
        <v>0</v>
      </c>
      <c r="CG124" s="165">
        <f t="shared" si="2"/>
        <v>0</v>
      </c>
      <c r="CH124" s="166"/>
      <c r="CI124" s="167"/>
      <c r="CJ124" s="168"/>
      <c r="CK124" s="169">
        <f t="shared" si="2"/>
        <v>0</v>
      </c>
      <c r="CL124" s="164">
        <f t="shared" si="2"/>
        <v>0</v>
      </c>
      <c r="CM124" s="164">
        <f t="shared" si="2"/>
        <v>0</v>
      </c>
      <c r="CN124" s="164">
        <f t="shared" si="2"/>
        <v>0</v>
      </c>
      <c r="CO124" s="164">
        <f t="shared" si="2"/>
        <v>0</v>
      </c>
      <c r="CP124" s="164">
        <f t="shared" si="2"/>
        <v>26</v>
      </c>
      <c r="CQ124" s="164">
        <f t="shared" si="2"/>
        <v>0</v>
      </c>
      <c r="CR124" s="164">
        <f t="shared" si="2"/>
        <v>0</v>
      </c>
      <c r="CS124" s="164">
        <f t="shared" si="2"/>
        <v>0</v>
      </c>
      <c r="CT124" s="164">
        <f t="shared" si="2"/>
        <v>0</v>
      </c>
      <c r="CU124" s="164">
        <f t="shared" si="2"/>
        <v>0</v>
      </c>
      <c r="CV124" s="164">
        <f t="shared" si="2"/>
        <v>0</v>
      </c>
      <c r="CW124" s="164">
        <f t="shared" si="2"/>
        <v>0</v>
      </c>
      <c r="CX124" s="164">
        <f t="shared" si="2"/>
        <v>0</v>
      </c>
      <c r="CY124" s="164">
        <f t="shared" si="2"/>
        <v>0</v>
      </c>
      <c r="CZ124" s="164">
        <f t="shared" si="2"/>
        <v>0</v>
      </c>
      <c r="DA124" s="164">
        <f t="shared" si="2"/>
        <v>0</v>
      </c>
      <c r="DB124" s="78"/>
      <c r="DC124" s="78"/>
      <c r="DD124" s="78"/>
    </row>
    <row r="125" spans="2:108" ht="147.75" customHeight="1" thickBot="1" x14ac:dyDescent="0.25">
      <c r="B125" s="399"/>
      <c r="C125" s="399"/>
      <c r="D125" s="397"/>
      <c r="E125" s="397"/>
      <c r="F125" s="397"/>
      <c r="G125" s="998"/>
      <c r="H125"/>
      <c r="I125" s="969" t="s">
        <v>240</v>
      </c>
      <c r="J125" s="974" t="s">
        <v>239</v>
      </c>
      <c r="K125" s="973" t="s">
        <v>128</v>
      </c>
      <c r="L125" s="977" t="s">
        <v>128</v>
      </c>
      <c r="M125" s="986" t="s">
        <v>128</v>
      </c>
      <c r="N125"/>
      <c r="O125" s="995"/>
      <c r="U125" s="114"/>
      <c r="AB125" s="114"/>
      <c r="AC125" s="114"/>
      <c r="AD125" s="114"/>
      <c r="AE125" s="114"/>
      <c r="BE125" s="136"/>
      <c r="BF125" s="136"/>
      <c r="BG125" s="136"/>
      <c r="BH125" s="136"/>
      <c r="BN125" s="86"/>
      <c r="BO125" s="1091"/>
      <c r="BP125" s="163"/>
      <c r="BQ125" s="170"/>
      <c r="BR125" s="170"/>
      <c r="BS125" s="170"/>
      <c r="BT125" s="170"/>
      <c r="BU125" s="170"/>
      <c r="BV125" s="170"/>
      <c r="BW125" s="170"/>
      <c r="BX125" s="170"/>
      <c r="BY125" s="170"/>
      <c r="BZ125" s="170"/>
      <c r="CA125" s="170"/>
      <c r="CB125" s="170"/>
      <c r="CC125" s="170"/>
      <c r="CD125" s="170"/>
      <c r="CE125" s="170"/>
      <c r="CF125" s="170"/>
      <c r="CG125" s="170"/>
      <c r="CH125" s="170"/>
      <c r="CI125" s="170"/>
      <c r="CJ125" s="170"/>
      <c r="CK125" s="171"/>
      <c r="CL125" s="170"/>
      <c r="CM125" s="170"/>
      <c r="CN125" s="170"/>
      <c r="CO125" s="170"/>
      <c r="CP125" s="170"/>
      <c r="CQ125" s="170"/>
      <c r="CR125" s="170"/>
      <c r="CS125" s="170"/>
      <c r="CT125" s="170"/>
      <c r="CU125" s="170"/>
      <c r="CV125" s="170"/>
      <c r="CW125" s="170"/>
      <c r="CX125" s="170"/>
      <c r="CY125" s="170"/>
      <c r="CZ125" s="170"/>
      <c r="DA125" s="170"/>
      <c r="DB125" s="78"/>
      <c r="DC125" s="78"/>
      <c r="DD125" s="78"/>
    </row>
    <row r="126" spans="2:108" ht="48.75" customHeight="1" thickBot="1" x14ac:dyDescent="0.3">
      <c r="B126" s="399"/>
      <c r="C126" s="399"/>
      <c r="D126" s="397"/>
      <c r="E126" s="397"/>
      <c r="F126" s="397"/>
      <c r="G126" s="998"/>
      <c r="H126" s="1087" t="s">
        <v>265</v>
      </c>
      <c r="I126" s="1080">
        <f>+MIN(K31:L32)</f>
        <v>42.830522515806784</v>
      </c>
      <c r="J126" s="1080">
        <f>+MIN(J37:K38)</f>
        <v>67.001675041876041</v>
      </c>
      <c r="K126" s="1082">
        <f>+MIN(J43:L44)</f>
        <v>67.001675041876041</v>
      </c>
      <c r="L126" s="1083">
        <f>+MIN(J49:L50)</f>
        <v>28.991109393119444</v>
      </c>
      <c r="M126" s="1084">
        <f>+MIN(J55:L56)</f>
        <v>67.001675041876041</v>
      </c>
      <c r="N126"/>
      <c r="O126" s="995"/>
      <c r="U126" s="114"/>
      <c r="AB126" s="114"/>
      <c r="AC126" s="114"/>
      <c r="AD126" s="114"/>
      <c r="AE126" s="114"/>
      <c r="BE126" s="136"/>
      <c r="BF126" s="136"/>
      <c r="BG126" s="136"/>
      <c r="BH126" s="136"/>
      <c r="BN126" s="86"/>
      <c r="BO126" s="1095" t="s">
        <v>128</v>
      </c>
      <c r="BP126" s="172" t="s">
        <v>124</v>
      </c>
      <c r="BQ126" s="750" t="str">
        <f>IF(BQ124=1,17,"")</f>
        <v/>
      </c>
      <c r="BR126" s="751" t="str">
        <f>IF(BR124=2,16,"")</f>
        <v/>
      </c>
      <c r="BS126" s="751" t="str">
        <f>IF(BS124=3,15,"")</f>
        <v/>
      </c>
      <c r="BT126" s="751" t="str">
        <f>IF(BT124=4,14,"")</f>
        <v/>
      </c>
      <c r="BU126" s="751" t="str">
        <f>IF(BU124=5,13,"")</f>
        <v/>
      </c>
      <c r="BV126" s="751" t="str">
        <f>IF(BV124=6,12,"")</f>
        <v/>
      </c>
      <c r="BW126" s="751" t="str">
        <f>IF(BW124=7,11,"")</f>
        <v/>
      </c>
      <c r="BX126" s="751">
        <f>IF(BX124=8,10,"")</f>
        <v>10</v>
      </c>
      <c r="BY126" s="751" t="str">
        <f>IF(BY124=9,9,"")</f>
        <v/>
      </c>
      <c r="BZ126" s="751" t="str">
        <f>IF(BZ124=10,8,"")</f>
        <v/>
      </c>
      <c r="CA126" s="751" t="str">
        <f>IF(CA124=11,7,"")</f>
        <v/>
      </c>
      <c r="CB126" s="752" t="str">
        <f>IF(CB124=12,"6  ADS ","")</f>
        <v/>
      </c>
      <c r="CC126" s="751" t="str">
        <f>IF(CC124=13,5,"")</f>
        <v/>
      </c>
      <c r="CD126" s="751" t="str">
        <f>IF(CD124=14,4,"")</f>
        <v/>
      </c>
      <c r="CE126" s="751" t="str">
        <f>IF(CE124=15,3,"")</f>
        <v/>
      </c>
      <c r="CF126" s="751" t="str">
        <f>IF(CF124=16,2,"")</f>
        <v/>
      </c>
      <c r="CG126" s="751" t="str">
        <f>IF(CG124=17,1,"")</f>
        <v/>
      </c>
      <c r="CH126" s="173"/>
      <c r="CI126" s="174"/>
      <c r="CJ126" s="175"/>
      <c r="CK126" s="753" t="str">
        <f>IF(CK124=21,1,"")</f>
        <v/>
      </c>
      <c r="CL126" s="753" t="str">
        <f>IF(CL124=22,2,"")</f>
        <v/>
      </c>
      <c r="CM126" s="753" t="str">
        <f>IF(CM124=23,3,"")</f>
        <v/>
      </c>
      <c r="CN126" s="753" t="str">
        <f>IF(CN124=24,4,"")</f>
        <v/>
      </c>
      <c r="CO126" s="753" t="str">
        <f>IF(CO124=25,5,"")</f>
        <v/>
      </c>
      <c r="CP126" s="754" t="str">
        <f>IF(CP124=26,"6  ADS ","")</f>
        <v xml:space="preserve">6  ADS </v>
      </c>
      <c r="CQ126" s="753" t="str">
        <f>IF(CQ124=27,7,"")</f>
        <v/>
      </c>
      <c r="CR126" s="753" t="str">
        <f>IF(CR124=28,8,"")</f>
        <v/>
      </c>
      <c r="CS126" s="753" t="str">
        <f>IF(CS124=29,9,"")</f>
        <v/>
      </c>
      <c r="CT126" s="753" t="str">
        <f>IF(CT124=30,10,"")</f>
        <v/>
      </c>
      <c r="CU126" s="753" t="str">
        <f>IF(CU124=31,11,"")</f>
        <v/>
      </c>
      <c r="CV126" s="753" t="str">
        <f>IF(CV124=32,12,"")</f>
        <v/>
      </c>
      <c r="CW126" s="753" t="str">
        <f>IF(CW124=33,13,"")</f>
        <v/>
      </c>
      <c r="CX126" s="753" t="str">
        <f>IF(CX124=34,14,"")</f>
        <v/>
      </c>
      <c r="CY126" s="753" t="str">
        <f>IF(CY124=35,15,"")</f>
        <v/>
      </c>
      <c r="CZ126" s="753" t="str">
        <f>IF(CZ124=36,16,"")</f>
        <v/>
      </c>
      <c r="DA126" s="755" t="str">
        <f>IF(DA124=37,17,"")</f>
        <v/>
      </c>
      <c r="DB126" s="340"/>
      <c r="DC126" s="78"/>
      <c r="DD126" s="78"/>
    </row>
    <row r="127" spans="2:108" ht="45.75" customHeight="1" thickBot="1" x14ac:dyDescent="0.3">
      <c r="B127" s="399"/>
      <c r="C127" s="399"/>
      <c r="D127" s="397"/>
      <c r="E127" s="397"/>
      <c r="F127" s="397"/>
      <c r="G127" s="1583"/>
      <c r="H127" s="126"/>
      <c r="I127" s="126"/>
      <c r="J127" s="126"/>
      <c r="K127" s="126"/>
      <c r="L127" s="126"/>
      <c r="M127" s="126"/>
      <c r="N127" s="126"/>
      <c r="O127" s="1584"/>
      <c r="U127" s="114"/>
      <c r="AB127" s="114"/>
      <c r="AC127" s="114"/>
      <c r="AD127" s="114"/>
      <c r="AE127" s="114"/>
      <c r="BE127" s="136"/>
      <c r="BF127" s="136"/>
      <c r="BG127" s="136"/>
      <c r="BH127" s="136"/>
      <c r="BL127" s="968">
        <v>6</v>
      </c>
      <c r="BM127" s="1762" t="b">
        <f>AND(BO127&gt;=10,$BB$142&gt;=10,$BA$142&gt;=10,$BB$166&gt;=10,$BA$166&gt;=10,$BA$195&gt;=10,$BB$195&gt;=10)</f>
        <v>1</v>
      </c>
      <c r="BN127" s="84" t="str">
        <f>IF(BM127=TRUE,"O K","OVERLOAD")</f>
        <v>O K</v>
      </c>
      <c r="BO127" s="982">
        <f>SUM(I132:M132)</f>
        <v>67.001675041876041</v>
      </c>
      <c r="BP127" s="788" t="s">
        <v>185</v>
      </c>
      <c r="BQ127" s="789">
        <v>-10</v>
      </c>
      <c r="BR127" s="789">
        <v>-9</v>
      </c>
      <c r="BS127" s="789">
        <v>-8</v>
      </c>
      <c r="BT127" s="789">
        <v>-7</v>
      </c>
      <c r="BU127" s="789">
        <v>-6</v>
      </c>
      <c r="BV127" s="789">
        <v>-5</v>
      </c>
      <c r="BW127" s="789">
        <v>-4</v>
      </c>
      <c r="BX127" s="789">
        <v>-3</v>
      </c>
      <c r="BY127" s="789">
        <v>-2</v>
      </c>
      <c r="BZ127" s="789">
        <v>-1</v>
      </c>
      <c r="CA127" s="789">
        <v>0</v>
      </c>
      <c r="CB127" s="789">
        <v>1</v>
      </c>
      <c r="CC127" s="789">
        <v>2</v>
      </c>
      <c r="CD127" s="789">
        <v>3</v>
      </c>
      <c r="CE127" s="789">
        <v>4</v>
      </c>
      <c r="CF127" s="789">
        <v>5</v>
      </c>
      <c r="CG127" s="789">
        <v>6</v>
      </c>
      <c r="CH127" s="789">
        <v>7</v>
      </c>
      <c r="CI127" s="789">
        <v>8</v>
      </c>
      <c r="CJ127" s="789">
        <v>9</v>
      </c>
      <c r="CK127" s="789">
        <v>10</v>
      </c>
      <c r="CL127" s="789">
        <v>11</v>
      </c>
      <c r="CM127" s="789">
        <v>12</v>
      </c>
      <c r="CN127" s="789">
        <v>13</v>
      </c>
      <c r="CO127" s="789">
        <v>14</v>
      </c>
      <c r="CP127" s="789">
        <v>15</v>
      </c>
      <c r="CQ127" s="789">
        <v>16</v>
      </c>
      <c r="CR127" s="789">
        <v>17</v>
      </c>
      <c r="CS127" s="789">
        <v>18</v>
      </c>
      <c r="CT127" s="789">
        <v>19</v>
      </c>
      <c r="CU127" s="789">
        <v>20</v>
      </c>
      <c r="CV127" s="789">
        <v>21</v>
      </c>
      <c r="CW127" s="789">
        <v>22</v>
      </c>
      <c r="CX127" s="789">
        <v>23</v>
      </c>
      <c r="CY127" s="789">
        <v>24</v>
      </c>
      <c r="CZ127" s="789">
        <v>25</v>
      </c>
      <c r="DA127" s="791">
        <v>26</v>
      </c>
      <c r="DB127" s="78"/>
      <c r="DC127" s="78"/>
      <c r="DD127" s="78"/>
    </row>
    <row r="128" spans="2:108" ht="31" hidden="1" thickBot="1" x14ac:dyDescent="0.25">
      <c r="B128" s="330"/>
      <c r="C128" s="412"/>
      <c r="D128" s="37"/>
      <c r="E128" s="37"/>
      <c r="F128" s="37"/>
      <c r="G128" s="998"/>
      <c r="H128" s="201"/>
      <c r="I128" s="201"/>
      <c r="J128" s="201"/>
      <c r="K128" s="201"/>
      <c r="L128" s="201"/>
      <c r="M128" s="201"/>
      <c r="N128" s="201"/>
      <c r="O128" s="1013"/>
      <c r="U128" s="212"/>
      <c r="V128" s="73"/>
      <c r="AB128" s="73"/>
      <c r="AC128" s="73"/>
      <c r="AD128" s="73"/>
      <c r="AE128" s="73"/>
      <c r="AF128" s="73"/>
      <c r="AG128" s="73"/>
      <c r="AH128" s="73"/>
      <c r="AI128" s="73"/>
      <c r="AJ128" s="73"/>
      <c r="AK128" s="73"/>
      <c r="AL128" s="73"/>
      <c r="AM128" s="73"/>
      <c r="AN128" s="73"/>
      <c r="AO128" s="73"/>
      <c r="AP128" s="73"/>
      <c r="AQ128" s="73"/>
      <c r="AR128" s="73"/>
      <c r="AS128" s="73"/>
      <c r="AT128" s="73"/>
      <c r="AU128" s="73"/>
      <c r="AV128" s="73"/>
      <c r="AW128" s="73"/>
      <c r="AX128" s="73"/>
      <c r="AY128" s="73"/>
      <c r="AZ128" s="73"/>
      <c r="BA128" s="73"/>
      <c r="BB128" s="73"/>
      <c r="BC128" s="126"/>
      <c r="BE128" s="136"/>
      <c r="BF128" s="136"/>
      <c r="BG128" s="136"/>
      <c r="BH128" s="136"/>
      <c r="BI128" s="136"/>
      <c r="BJ128" s="136"/>
      <c r="BK128" s="136"/>
      <c r="BL128" s="136"/>
      <c r="BM128" s="402"/>
      <c r="BN128" s="136"/>
      <c r="BO128" s="1091"/>
      <c r="BP128" s="78"/>
      <c r="BQ128" s="199"/>
      <c r="BR128" s="199"/>
      <c r="BS128" s="199"/>
      <c r="BT128" s="199"/>
      <c r="BU128" s="199"/>
      <c r="BV128" s="199"/>
      <c r="BW128" s="199"/>
      <c r="BX128" s="199"/>
      <c r="BY128" s="199"/>
      <c r="BZ128" s="199"/>
      <c r="CA128" s="199"/>
      <c r="CB128" s="199"/>
      <c r="CC128" s="199"/>
      <c r="CD128" s="199"/>
      <c r="CE128" s="199"/>
      <c r="CF128" s="199"/>
      <c r="CG128" s="199"/>
      <c r="CH128" s="199"/>
      <c r="CI128" s="199"/>
      <c r="CJ128" s="199"/>
      <c r="CK128" s="199"/>
      <c r="CL128" s="199"/>
      <c r="CM128" s="199"/>
      <c r="CN128" s="199"/>
      <c r="CO128" s="199"/>
      <c r="CP128" s="199"/>
      <c r="CQ128" s="199"/>
      <c r="CR128" s="199"/>
      <c r="CS128" s="199"/>
      <c r="CT128" s="199"/>
      <c r="CU128" s="199"/>
      <c r="CV128" s="199"/>
      <c r="CW128" s="199"/>
      <c r="CX128" s="199"/>
      <c r="CY128" s="199"/>
      <c r="CZ128" s="199"/>
      <c r="DA128" s="199"/>
      <c r="DB128" s="199"/>
    </row>
    <row r="129" spans="2:142" ht="51.75" customHeight="1" thickBot="1" x14ac:dyDescent="0.25">
      <c r="B129" s="408"/>
      <c r="D129" s="409" t="str">
        <f>IF(BL66&gt;0," ","change the angle of frame or of cabinets")</f>
        <v xml:space="preserve"> </v>
      </c>
      <c r="E129" s="37"/>
      <c r="F129" s="37"/>
      <c r="G129" s="998"/>
      <c r="H129"/>
      <c r="I129"/>
      <c r="J129"/>
      <c r="K129"/>
      <c r="L129"/>
      <c r="M129"/>
      <c r="N129"/>
      <c r="O129" s="995"/>
      <c r="U129" s="212"/>
      <c r="V129" s="73"/>
      <c r="AB129" s="73"/>
      <c r="AC129" s="73"/>
      <c r="AD129" s="73"/>
      <c r="AE129" s="73"/>
      <c r="AF129" s="73"/>
      <c r="AG129" s="73"/>
      <c r="AH129" s="73"/>
      <c r="AI129" s="73"/>
      <c r="AJ129" s="73"/>
      <c r="AK129" s="73"/>
      <c r="AL129" s="73"/>
      <c r="AM129" s="73"/>
      <c r="AN129" s="73"/>
      <c r="AO129" s="73"/>
      <c r="AP129" s="73"/>
      <c r="AQ129" s="73"/>
      <c r="AR129" s="73"/>
      <c r="AS129" s="73"/>
      <c r="AT129" s="73"/>
      <c r="AU129" s="73"/>
      <c r="AV129" s="73"/>
      <c r="AW129" s="73"/>
      <c r="AX129" s="73"/>
      <c r="AY129" s="73"/>
      <c r="AZ129" s="73"/>
      <c r="BA129" s="73"/>
      <c r="BB129" s="73"/>
      <c r="BC129" s="126"/>
      <c r="BE129" s="136"/>
      <c r="BF129" s="136"/>
      <c r="BG129" s="136"/>
      <c r="BH129" s="136"/>
      <c r="BI129" s="136"/>
      <c r="BJ129" s="136"/>
      <c r="BK129" s="136"/>
      <c r="BL129" s="136"/>
      <c r="BM129" s="402"/>
      <c r="BN129" s="136"/>
      <c r="BO129" s="1091"/>
      <c r="BP129" s="78"/>
      <c r="BQ129" s="199"/>
      <c r="BR129" s="199"/>
      <c r="BS129" s="199"/>
      <c r="BT129" s="199"/>
      <c r="BU129" s="199"/>
      <c r="BV129" s="199"/>
      <c r="BW129" s="199"/>
      <c r="BX129" s="199"/>
      <c r="BY129" s="199"/>
      <c r="BZ129" s="199"/>
      <c r="CA129" s="199"/>
      <c r="CB129" s="199"/>
      <c r="CC129" s="199"/>
      <c r="CD129" s="199"/>
      <c r="CE129" s="199"/>
      <c r="CF129" s="199"/>
      <c r="CG129" s="199"/>
      <c r="CH129" s="199"/>
      <c r="CI129" s="199"/>
      <c r="CJ129" s="199"/>
      <c r="CK129" s="199"/>
      <c r="CL129" s="199"/>
      <c r="CM129" s="199"/>
      <c r="CN129" s="199"/>
      <c r="CO129" s="199"/>
      <c r="CP129" s="199"/>
      <c r="CQ129" s="199"/>
      <c r="CR129" s="199"/>
      <c r="CS129" s="199"/>
      <c r="CT129" s="199"/>
      <c r="CU129" s="199"/>
      <c r="CV129" s="199"/>
      <c r="CW129" s="199"/>
      <c r="CX129" s="199"/>
      <c r="CY129" s="199"/>
      <c r="CZ129" s="199"/>
      <c r="DA129" s="199"/>
      <c r="DB129" s="199"/>
    </row>
    <row r="130" spans="2:142" ht="51.75" customHeight="1" thickBot="1" x14ac:dyDescent="0.3">
      <c r="B130" s="1846" t="s">
        <v>116</v>
      </c>
      <c r="D130" s="409" t="str">
        <f>IF(DD66&lt;0," ","change the angle of frame or of cabinets")</f>
        <v xml:space="preserve"> </v>
      </c>
      <c r="E130" s="37"/>
      <c r="F130" s="37"/>
      <c r="G130" s="998"/>
      <c r="H130"/>
      <c r="I130" s="1070" t="s">
        <v>263</v>
      </c>
      <c r="J130" s="1070" t="s">
        <v>262</v>
      </c>
      <c r="K130"/>
      <c r="L130"/>
      <c r="M130"/>
      <c r="N130"/>
      <c r="O130" s="995"/>
      <c r="U130" s="212"/>
      <c r="V130" s="73"/>
      <c r="AB130" s="73"/>
      <c r="AC130" s="73"/>
      <c r="AD130" s="73"/>
      <c r="AE130" s="73"/>
      <c r="AF130" s="73"/>
      <c r="AG130" s="73"/>
      <c r="AH130" s="73"/>
      <c r="AI130" s="73"/>
      <c r="AJ130" s="73"/>
      <c r="AK130" s="73"/>
      <c r="AL130" s="73"/>
      <c r="AM130" s="73"/>
      <c r="AN130" s="73"/>
      <c r="AO130" s="73"/>
      <c r="AP130" s="73"/>
      <c r="AQ130" s="73"/>
      <c r="AR130" s="73"/>
      <c r="AS130" s="73"/>
      <c r="AT130" s="73"/>
      <c r="AU130" s="73"/>
      <c r="AV130" s="73"/>
      <c r="AW130" s="73"/>
      <c r="AX130" s="73"/>
      <c r="AY130" s="73"/>
      <c r="AZ130" s="73"/>
      <c r="BA130" s="73"/>
      <c r="BB130" s="73"/>
      <c r="BC130" s="126"/>
      <c r="BE130" s="136"/>
      <c r="BF130" s="136"/>
      <c r="BG130" s="136"/>
      <c r="BH130" s="136"/>
      <c r="BI130" s="136"/>
      <c r="BJ130" s="136"/>
      <c r="BK130" s="136"/>
      <c r="BL130" s="136"/>
      <c r="BM130" s="402"/>
      <c r="BN130" s="136"/>
      <c r="BO130" s="1091"/>
      <c r="BP130" s="78"/>
      <c r="BQ130" s="199"/>
      <c r="BR130" s="199"/>
      <c r="BS130" s="199"/>
      <c r="BT130" s="199"/>
      <c r="BU130" s="199"/>
      <c r="BV130" s="199"/>
      <c r="BW130" s="199"/>
      <c r="BX130" s="199"/>
      <c r="BY130" s="199"/>
      <c r="BZ130" s="199"/>
      <c r="CA130" s="199"/>
      <c r="CB130" s="199"/>
      <c r="CC130" s="199"/>
      <c r="CD130" s="199"/>
      <c r="CE130" s="199"/>
      <c r="CF130" s="199"/>
      <c r="CG130" s="199"/>
      <c r="CH130" s="199"/>
      <c r="CI130" s="199"/>
      <c r="CJ130" s="199"/>
      <c r="CK130" s="199"/>
      <c r="CL130" s="199"/>
      <c r="CM130" s="199"/>
      <c r="CN130" s="199"/>
      <c r="CO130" s="199"/>
      <c r="CP130" s="199"/>
      <c r="CQ130" s="199"/>
      <c r="CR130" s="199"/>
      <c r="CS130" s="199"/>
      <c r="CT130" s="199"/>
      <c r="CU130" s="199"/>
      <c r="CV130" s="199"/>
      <c r="CW130" s="199"/>
      <c r="CX130" s="199"/>
      <c r="CY130" s="199"/>
      <c r="CZ130" s="199"/>
      <c r="DA130" s="199"/>
      <c r="DB130" s="199"/>
    </row>
    <row r="131" spans="2:142" ht="51.75" customHeight="1" thickBot="1" x14ac:dyDescent="0.3">
      <c r="B131" s="1847"/>
      <c r="C131" s="213"/>
      <c r="D131" s="409" t="str">
        <f>IF(BL66&gt;(+COS(($B$132*-1)*3.14159265358979/180)*451.5)," ","USE EXBAR AR AT THE FRONT")</f>
        <v xml:space="preserve"> </v>
      </c>
      <c r="E131" s="37"/>
      <c r="F131" s="37"/>
      <c r="G131" s="1014"/>
      <c r="H131" s="209"/>
      <c r="I131" s="1085">
        <f>COUNTIF(CK124:DA124,"&gt;0")</f>
        <v>1</v>
      </c>
      <c r="J131" s="1085">
        <f>COUNTIF(BQ124:CG124,"&gt;0")</f>
        <v>1</v>
      </c>
      <c r="K131" s="1085" t="b">
        <f>AND(IF(SUM(BQ126:CA126)&gt;0,1,0),IF(CP126="6  ADS ",1,0))</f>
        <v>1</v>
      </c>
      <c r="L131" s="1085" t="b">
        <f>AND(IF(SUM(CQ126:DA126)&gt;0,1,0),IF(CB126="6  ADS ",1,0))</f>
        <v>0</v>
      </c>
      <c r="M131" s="1085" t="b">
        <f>AND(IF(CP126="6  ADS ",1,0),IF(CB126="6  ADS ",1,0))</f>
        <v>0</v>
      </c>
      <c r="N131" s="209"/>
      <c r="O131" s="1015"/>
      <c r="U131" s="212"/>
      <c r="V131" s="73"/>
      <c r="AB131" s="73"/>
      <c r="AC131" s="73"/>
      <c r="AD131" s="73"/>
      <c r="AE131" s="73"/>
      <c r="AF131" s="73"/>
      <c r="AG131" s="73"/>
      <c r="AH131" s="73"/>
      <c r="AI131" s="73"/>
      <c r="AJ131" s="73"/>
      <c r="AK131" s="73"/>
      <c r="AL131" s="73"/>
      <c r="AM131" s="73"/>
      <c r="AN131" s="73"/>
      <c r="AO131" s="73"/>
      <c r="AP131" s="73"/>
      <c r="AQ131" s="73"/>
      <c r="AR131" s="73"/>
      <c r="AS131" s="73"/>
      <c r="AT131" s="73"/>
      <c r="AU131" s="73"/>
      <c r="AV131" s="73"/>
      <c r="AW131" s="73"/>
      <c r="AX131" s="73"/>
      <c r="AY131" s="73"/>
      <c r="AZ131" s="73"/>
      <c r="BA131" s="73"/>
      <c r="BB131" s="73"/>
      <c r="BC131" s="126"/>
      <c r="BE131" s="136"/>
      <c r="BF131" s="136"/>
      <c r="BG131" s="136"/>
      <c r="BH131" s="136"/>
      <c r="BI131" s="136"/>
      <c r="BJ131" s="136"/>
      <c r="BK131" s="136"/>
      <c r="BL131" s="136"/>
      <c r="BM131" s="402"/>
      <c r="BN131" s="136"/>
      <c r="BO131" s="1091"/>
      <c r="BP131" s="948"/>
      <c r="BQ131" s="199"/>
      <c r="BR131" s="199"/>
      <c r="BS131" s="199"/>
      <c r="BT131" s="199"/>
      <c r="BU131" s="199"/>
      <c r="BV131" s="199"/>
      <c r="BW131" s="199"/>
      <c r="BX131" s="199"/>
      <c r="BY131" s="199"/>
      <c r="BZ131" s="199"/>
      <c r="CA131" s="199"/>
      <c r="CB131" s="199"/>
      <c r="CC131" s="199"/>
      <c r="CD131" s="199"/>
      <c r="CE131" s="199"/>
      <c r="CF131" s="199"/>
      <c r="CG131" s="199"/>
      <c r="CH131" s="199"/>
      <c r="CI131" s="199"/>
      <c r="CJ131" s="199"/>
      <c r="CK131" s="199"/>
      <c r="CL131" s="199"/>
      <c r="CM131" s="199"/>
      <c r="CN131" s="199"/>
      <c r="CO131" s="199"/>
      <c r="CP131" s="199"/>
      <c r="CQ131" s="199"/>
      <c r="CR131" s="199"/>
      <c r="CS131" s="199"/>
      <c r="CT131" s="199"/>
      <c r="CU131" s="199"/>
      <c r="CV131" s="199"/>
      <c r="CW131" s="199"/>
      <c r="CX131" s="199"/>
      <c r="CY131" s="199"/>
      <c r="CZ131" s="199"/>
      <c r="DA131" s="199"/>
      <c r="DB131" s="199"/>
    </row>
    <row r="132" spans="2:142" ht="51.75" customHeight="1" thickBot="1" x14ac:dyDescent="0.3">
      <c r="B132" s="4">
        <v>0</v>
      </c>
      <c r="C132" s="213"/>
      <c r="D132" s="341" t="str">
        <f>IF(DD66&lt;-(+COS(($B$132*-1)*3.14159265358979/180)*365.5)," ","USE EXBAR AR AT THE BACK")</f>
        <v xml:space="preserve"> </v>
      </c>
      <c r="E132" s="37"/>
      <c r="F132" s="37"/>
      <c r="G132" s="1016"/>
      <c r="H132" s="1017"/>
      <c r="I132" s="1086">
        <f>IF(I131=2,I126,0)</f>
        <v>0</v>
      </c>
      <c r="J132" s="1086">
        <f>IF(J131=2,J126,0)</f>
        <v>0</v>
      </c>
      <c r="K132" s="1086">
        <f t="shared" ref="K132:M132" si="3">IF(K131=TRUE,K126,0)</f>
        <v>67.001675041876041</v>
      </c>
      <c r="L132" s="1086">
        <f t="shared" si="3"/>
        <v>0</v>
      </c>
      <c r="M132" s="1086">
        <f t="shared" si="3"/>
        <v>0</v>
      </c>
      <c r="N132" s="1017"/>
      <c r="O132" s="1018"/>
      <c r="U132" s="212"/>
      <c r="V132" s="73"/>
      <c r="AB132" s="73"/>
      <c r="AC132" s="73"/>
      <c r="AD132" s="73"/>
      <c r="AE132" s="73"/>
      <c r="AF132" s="73"/>
      <c r="AG132" s="73"/>
      <c r="AH132" s="73"/>
      <c r="AI132" s="73"/>
      <c r="AJ132" s="73"/>
      <c r="AK132" s="73"/>
      <c r="AL132" s="73"/>
      <c r="AM132" s="73"/>
      <c r="AN132" s="73"/>
      <c r="AO132" s="73"/>
      <c r="AP132" s="73"/>
      <c r="AQ132" s="73"/>
      <c r="AR132" s="73"/>
      <c r="AS132" s="73"/>
      <c r="AT132" s="73"/>
      <c r="AU132" s="73"/>
      <c r="AV132" s="73"/>
      <c r="AW132" s="73"/>
      <c r="AX132" s="73"/>
      <c r="AY132" s="73"/>
      <c r="AZ132" s="73"/>
      <c r="BA132" s="73"/>
      <c r="BB132" s="73"/>
      <c r="BC132" s="126"/>
      <c r="BE132" s="136"/>
      <c r="BF132" s="136"/>
      <c r="BG132" s="136"/>
      <c r="BH132" s="136"/>
      <c r="BI132" s="136"/>
      <c r="BJ132" s="136"/>
      <c r="BK132" s="136"/>
      <c r="BL132" s="136"/>
      <c r="BM132" s="402"/>
      <c r="BN132" s="136"/>
      <c r="BO132" s="1091"/>
      <c r="BP132" s="78"/>
      <c r="BQ132" s="199"/>
      <c r="BR132" s="199"/>
      <c r="BS132" s="199"/>
      <c r="BT132" s="199"/>
      <c r="BU132" s="199"/>
      <c r="BV132" s="199"/>
      <c r="BW132" s="199"/>
      <c r="BX132" s="199"/>
      <c r="BY132" s="199"/>
      <c r="BZ132" s="199"/>
      <c r="CA132" s="199"/>
      <c r="CB132" s="199"/>
      <c r="CC132" s="199"/>
      <c r="CD132" s="199"/>
      <c r="CE132" s="199"/>
      <c r="CF132" s="199"/>
      <c r="CG132" s="199"/>
      <c r="CH132" s="199"/>
      <c r="CI132" s="199"/>
      <c r="CJ132" s="199"/>
      <c r="CK132" s="199"/>
      <c r="CL132" s="199"/>
      <c r="CM132" s="199"/>
      <c r="CN132" s="199"/>
      <c r="CO132" s="199"/>
      <c r="CP132" s="199"/>
      <c r="CQ132" s="199"/>
      <c r="CR132" s="199"/>
      <c r="CS132" s="199"/>
      <c r="CT132" s="199"/>
      <c r="CU132" s="199"/>
      <c r="CV132" s="199"/>
      <c r="CW132" s="199"/>
      <c r="CX132" s="199"/>
      <c r="CY132" s="199"/>
      <c r="CZ132" s="199"/>
      <c r="DA132" s="199"/>
      <c r="DB132" s="199"/>
    </row>
    <row r="133" spans="2:142" ht="21" hidden="1" thickBot="1" x14ac:dyDescent="0.25">
      <c r="B133" s="713"/>
      <c r="C133" s="714"/>
      <c r="D133" s="37"/>
      <c r="E133" s="37"/>
      <c r="F133" s="37"/>
      <c r="G133" s="37"/>
      <c r="U133" s="212"/>
      <c r="V133" s="73"/>
      <c r="AB133" s="73"/>
      <c r="AC133" s="73"/>
      <c r="AD133" s="73"/>
      <c r="AE133" s="73"/>
      <c r="AF133" s="73"/>
      <c r="AG133" s="73"/>
      <c r="AH133" s="73"/>
      <c r="AI133" s="73"/>
      <c r="AJ133" s="73"/>
      <c r="AK133" s="73"/>
      <c r="AL133" s="73"/>
      <c r="AM133" s="73"/>
      <c r="AN133" s="73"/>
      <c r="AO133" s="73"/>
      <c r="AP133" s="73"/>
      <c r="AQ133" s="73"/>
      <c r="AR133" s="73"/>
      <c r="AS133" s="73"/>
      <c r="AT133" s="73"/>
      <c r="AU133" s="73"/>
      <c r="AV133" s="73"/>
      <c r="AW133" s="73"/>
      <c r="AX133" s="73"/>
      <c r="AY133" s="73"/>
      <c r="AZ133" s="73"/>
      <c r="BA133" s="73"/>
      <c r="BB133" s="73"/>
      <c r="BC133" s="126"/>
      <c r="BE133" s="136"/>
      <c r="BF133" s="136"/>
      <c r="BG133" s="136"/>
      <c r="BH133" s="136"/>
      <c r="BI133" s="136"/>
      <c r="BJ133" s="136"/>
      <c r="BK133" s="136"/>
      <c r="BL133" s="136"/>
      <c r="BM133" s="402"/>
      <c r="BN133" s="136"/>
      <c r="BO133" s="1091"/>
      <c r="BP133" s="78"/>
      <c r="BQ133" s="199"/>
      <c r="BR133" s="199"/>
      <c r="BS133" s="199"/>
      <c r="BT133" s="199"/>
      <c r="BU133" s="199"/>
      <c r="BV133" s="199"/>
      <c r="BW133" s="199"/>
      <c r="BX133" s="199"/>
      <c r="BY133" s="199"/>
      <c r="BZ133" s="199"/>
      <c r="CA133" s="199"/>
      <c r="CB133" s="199"/>
      <c r="CC133" s="199"/>
      <c r="CD133" s="199"/>
      <c r="CE133" s="199"/>
      <c r="CF133" s="199"/>
      <c r="CG133" s="199"/>
      <c r="CH133" s="199"/>
      <c r="CI133" s="199"/>
      <c r="CJ133" s="199"/>
      <c r="CK133" s="199"/>
      <c r="CL133" s="199"/>
      <c r="CM133" s="199"/>
      <c r="CN133" s="199"/>
      <c r="CO133" s="199"/>
      <c r="CP133" s="199"/>
      <c r="CQ133" s="199"/>
      <c r="CR133" s="199"/>
      <c r="CS133" s="199"/>
      <c r="CT133" s="199"/>
      <c r="CU133" s="199"/>
      <c r="CV133" s="199"/>
      <c r="CW133" s="199"/>
      <c r="CX133" s="199"/>
      <c r="CY133" s="199"/>
      <c r="CZ133" s="199"/>
      <c r="DA133" s="199"/>
      <c r="DB133" s="199"/>
    </row>
    <row r="134" spans="2:142" ht="41.25" hidden="1" customHeight="1" thickBot="1" x14ac:dyDescent="0.35">
      <c r="B134"/>
      <c r="D134" s="543"/>
      <c r="E134" s="543"/>
      <c r="F134" s="543"/>
      <c r="G134" s="543"/>
      <c r="V134" s="437"/>
      <c r="W134" s="437"/>
      <c r="X134" s="437"/>
      <c r="Y134" s="437"/>
      <c r="Z134" s="437"/>
      <c r="AA134" s="437"/>
      <c r="AB134" s="1585"/>
      <c r="AC134" s="1585"/>
      <c r="AD134" s="1585"/>
      <c r="AE134" s="1585"/>
      <c r="AF134" s="437"/>
      <c r="AG134" s="437"/>
      <c r="AH134" s="546"/>
      <c r="AI134" s="547"/>
      <c r="AJ134" s="543"/>
      <c r="AK134" s="415"/>
      <c r="AL134" s="292"/>
      <c r="AM134" s="543"/>
      <c r="AN134" s="415"/>
      <c r="AO134" s="292"/>
      <c r="AP134" s="445"/>
      <c r="AQ134" s="292"/>
      <c r="AR134" s="445"/>
      <c r="AS134" s="445"/>
      <c r="AT134" s="445"/>
      <c r="AU134" s="445"/>
      <c r="AV134" s="445"/>
      <c r="AW134" s="445"/>
      <c r="AX134" s="445"/>
      <c r="AY134" s="1586"/>
      <c r="AZ134" s="1586"/>
      <c r="BA134" s="1586"/>
      <c r="BB134" s="1586"/>
      <c r="BD134" s="545"/>
      <c r="BM134" s="214"/>
      <c r="BN134" s="214"/>
      <c r="BO134" s="214"/>
    </row>
    <row r="135" spans="2:142" ht="47.25" hidden="1" customHeight="1" thickBot="1" x14ac:dyDescent="0.35">
      <c r="B135"/>
      <c r="C135"/>
      <c r="D135" s="543"/>
      <c r="E135" s="543"/>
      <c r="F135" s="543"/>
      <c r="G135" s="543"/>
      <c r="V135" s="437"/>
      <c r="W135" s="437"/>
      <c r="X135" s="437"/>
      <c r="Y135" s="437"/>
      <c r="Z135" s="437"/>
      <c r="AA135" s="437"/>
      <c r="AB135" s="1585"/>
      <c r="AC135" s="1585"/>
      <c r="AD135" s="1585"/>
      <c r="AE135" s="1585"/>
      <c r="AF135" s="437"/>
      <c r="AG135" s="437"/>
      <c r="AH135" s="437"/>
      <c r="AI135" s="437"/>
      <c r="AJ135" s="543"/>
      <c r="AK135" s="415"/>
      <c r="AL135" s="292"/>
      <c r="AM135" s="543"/>
      <c r="AN135" s="415"/>
      <c r="AO135" s="292"/>
      <c r="AP135" s="445"/>
      <c r="AQ135" s="292"/>
      <c r="AR135" s="445"/>
      <c r="AS135" s="445"/>
      <c r="AT135" s="445"/>
      <c r="AU135" s="445"/>
      <c r="AV135" s="445"/>
      <c r="AW135" s="445"/>
      <c r="AX135" s="445"/>
      <c r="AY135" s="1586"/>
      <c r="AZ135" s="1586"/>
      <c r="BA135" s="1586"/>
      <c r="BB135" s="1586"/>
      <c r="BD135" s="545"/>
      <c r="BM135" s="214"/>
      <c r="BN135" s="214"/>
      <c r="BO135" s="214"/>
    </row>
    <row r="136" spans="2:142" ht="65" hidden="1" x14ac:dyDescent="0.3">
      <c r="B136"/>
      <c r="D136" s="543"/>
      <c r="E136" s="543"/>
      <c r="F136" s="543"/>
      <c r="G136" s="543"/>
      <c r="V136" s="437"/>
      <c r="W136" s="437"/>
      <c r="X136" s="437"/>
      <c r="Y136" s="437"/>
      <c r="Z136" s="437"/>
      <c r="AA136" s="437"/>
      <c r="AB136" s="1585"/>
      <c r="AC136" s="1585"/>
      <c r="AD136" s="1585"/>
      <c r="AE136" s="1585"/>
      <c r="AF136" s="437"/>
      <c r="AG136" s="437"/>
      <c r="AH136" s="437"/>
      <c r="AI136" s="437"/>
      <c r="AJ136" s="543"/>
      <c r="AK136" s="415"/>
      <c r="AL136" s="797" t="s">
        <v>174</v>
      </c>
      <c r="AM136" s="794"/>
      <c r="AN136" s="794"/>
      <c r="AO136" s="794"/>
      <c r="AP136" s="876" t="s">
        <v>178</v>
      </c>
      <c r="AQ136" s="292"/>
      <c r="AR136" s="445"/>
      <c r="AS136" s="445"/>
      <c r="AT136" s="445"/>
      <c r="AU136" s="445"/>
      <c r="AV136" s="445"/>
      <c r="AW136" s="445"/>
      <c r="AX136" s="445"/>
      <c r="AY136" s="1586"/>
      <c r="AZ136" s="1586"/>
      <c r="BA136" s="1586"/>
      <c r="BB136" s="1586"/>
      <c r="BD136" s="545"/>
      <c r="BM136" s="214"/>
      <c r="BN136" s="214"/>
      <c r="BO136" s="214"/>
    </row>
    <row r="137" spans="2:142" ht="12.75" customHeight="1" thickBot="1" x14ac:dyDescent="0.35">
      <c r="D137" s="543"/>
      <c r="E137" s="543"/>
      <c r="F137" s="543"/>
      <c r="G137" s="543"/>
      <c r="V137" s="437"/>
      <c r="W137" s="437"/>
      <c r="X137" s="437"/>
      <c r="Y137" s="437"/>
      <c r="Z137" s="437"/>
      <c r="AA137" s="437"/>
      <c r="AB137" s="1585"/>
      <c r="AC137" s="1585"/>
      <c r="AD137" s="1585"/>
      <c r="AE137" s="1585"/>
      <c r="AF137" s="437"/>
      <c r="AG137" s="437"/>
      <c r="AH137" s="437"/>
      <c r="AI137" s="437"/>
      <c r="AJ137" s="543"/>
      <c r="AK137" s="415"/>
      <c r="AL137" s="877" t="s">
        <v>175</v>
      </c>
      <c r="AM137" s="797" t="s">
        <v>176</v>
      </c>
      <c r="AN137" s="797" t="s">
        <v>177</v>
      </c>
      <c r="AO137" s="798" t="s">
        <v>181</v>
      </c>
      <c r="AP137" s="799" t="s">
        <v>179</v>
      </c>
      <c r="AQ137" s="292"/>
      <c r="AR137" s="445"/>
      <c r="AS137" s="445"/>
      <c r="AT137" s="445"/>
      <c r="AU137" s="445"/>
      <c r="AV137" s="445"/>
      <c r="AW137" s="445"/>
      <c r="AX137" s="445"/>
      <c r="AY137" s="1586"/>
      <c r="AZ137" s="1586"/>
      <c r="BA137" s="1586"/>
      <c r="BB137" s="1586"/>
      <c r="BD137" s="545"/>
      <c r="BM137" s="214"/>
      <c r="BN137" s="214"/>
      <c r="BO137" s="214"/>
    </row>
    <row r="138" spans="2:142" ht="77.25" customHeight="1" thickBot="1" x14ac:dyDescent="0.35">
      <c r="B138" s="345" t="s">
        <v>211</v>
      </c>
      <c r="C138" s="412"/>
      <c r="D138" s="37"/>
      <c r="E138" s="37"/>
      <c r="F138" s="37"/>
      <c r="G138" s="37"/>
      <c r="T138" s="73"/>
      <c r="AL138" s="877">
        <v>6.8623010000000004</v>
      </c>
      <c r="AM138" s="797">
        <f>+$B$132-AL138</f>
        <v>-6.8623010000000004</v>
      </c>
      <c r="AN138" s="800">
        <f>COS(AM138*3.14159265358979/180)</f>
        <v>0.99283617366519983</v>
      </c>
      <c r="AO138" s="793">
        <f>+AN138*378.71303</f>
        <v>375.99999562235405</v>
      </c>
      <c r="AP138" s="1693">
        <f>+((AP142*(AR142-31))+(AO138*31)+(AP161*31))/(AR142+31)</f>
        <v>271.12428539406164</v>
      </c>
      <c r="AQ138" s="1100" t="s">
        <v>266</v>
      </c>
      <c r="BD138" s="136"/>
      <c r="BM138" s="214"/>
      <c r="BN138" s="214"/>
      <c r="BO138" s="214"/>
      <c r="EK138" s="78"/>
      <c r="EL138" s="78"/>
    </row>
    <row r="139" spans="2:142" ht="39" customHeight="1" thickBot="1" x14ac:dyDescent="0.35">
      <c r="B139" s="27">
        <v>1</v>
      </c>
      <c r="C139" s="216"/>
      <c r="D139" s="549" t="s">
        <v>109</v>
      </c>
      <c r="E139" s="330"/>
      <c r="F139" s="330"/>
      <c r="G139" s="330"/>
      <c r="H139" s="342" t="s">
        <v>87</v>
      </c>
      <c r="I139" s="342" t="s">
        <v>88</v>
      </c>
      <c r="J139" s="342" t="s">
        <v>89</v>
      </c>
      <c r="K139"/>
      <c r="L139"/>
      <c r="M139"/>
      <c r="N139"/>
      <c r="O139"/>
      <c r="P139" s="342" t="s">
        <v>90</v>
      </c>
      <c r="Q139" s="342" t="s">
        <v>91</v>
      </c>
      <c r="R139" s="330"/>
      <c r="S139" s="342" t="s">
        <v>92</v>
      </c>
      <c r="T139" s="1588"/>
      <c r="W139" s="1850" t="s">
        <v>93</v>
      </c>
      <c r="X139" s="1850"/>
      <c r="Y139" s="1850"/>
      <c r="Z139" s="1850"/>
      <c r="AA139" s="1850"/>
      <c r="AZ139" s="415"/>
      <c r="BA139" s="1848" t="s">
        <v>52</v>
      </c>
      <c r="BB139" s="1849"/>
      <c r="BD139" s="136"/>
      <c r="BM139" s="214"/>
      <c r="BN139" s="214"/>
      <c r="BO139" s="214"/>
      <c r="EK139" s="78"/>
      <c r="EL139" s="78"/>
    </row>
    <row r="140" spans="2:142" ht="32" hidden="1" thickBot="1" x14ac:dyDescent="0.35">
      <c r="C140" s="416"/>
      <c r="D140" s="550" t="s">
        <v>13</v>
      </c>
      <c r="H140" s="356" t="s">
        <v>4</v>
      </c>
      <c r="I140" s="356" t="s">
        <v>1</v>
      </c>
      <c r="J140" s="377" t="s">
        <v>73</v>
      </c>
      <c r="K140" s="316" t="s">
        <v>2</v>
      </c>
      <c r="L140" s="316" t="s">
        <v>3</v>
      </c>
      <c r="M140" s="316" t="s">
        <v>8</v>
      </c>
      <c r="N140" s="316" t="s">
        <v>5</v>
      </c>
      <c r="O140" s="316" t="s">
        <v>6</v>
      </c>
      <c r="P140" s="316" t="s">
        <v>7</v>
      </c>
      <c r="Q140" s="316" t="s">
        <v>9</v>
      </c>
      <c r="R140" s="356" t="s">
        <v>10</v>
      </c>
      <c r="S140" s="316" t="s">
        <v>11</v>
      </c>
      <c r="T140" s="418" t="s">
        <v>12</v>
      </c>
      <c r="W140" s="356" t="s">
        <v>111</v>
      </c>
      <c r="X140" s="316" t="s">
        <v>94</v>
      </c>
      <c r="Y140" s="356" t="s">
        <v>110</v>
      </c>
      <c r="Z140" s="419" t="s">
        <v>95</v>
      </c>
      <c r="AA140" s="419" t="s">
        <v>96</v>
      </c>
      <c r="AC140" s="316" t="s">
        <v>99</v>
      </c>
      <c r="AD140" s="316"/>
      <c r="AE140" s="316"/>
      <c r="AF140" s="420"/>
      <c r="AG140" s="420"/>
      <c r="AH140" s="420"/>
      <c r="AI140" s="420"/>
      <c r="AJ140" s="420"/>
      <c r="AK140" s="420"/>
      <c r="AL140" s="420"/>
      <c r="AM140" s="420"/>
      <c r="AN140" s="420"/>
      <c r="AO140" s="420"/>
      <c r="AP140" s="420" t="s">
        <v>135</v>
      </c>
      <c r="AQ140" s="1589" t="s">
        <v>340</v>
      </c>
      <c r="AR140" s="420" t="s">
        <v>135</v>
      </c>
      <c r="AS140" s="420"/>
      <c r="AT140" s="420"/>
      <c r="AU140" s="420" t="s">
        <v>135</v>
      </c>
      <c r="AV140" s="420"/>
      <c r="AW140" s="420"/>
      <c r="AX140" s="420"/>
      <c r="AY140" s="415"/>
      <c r="AZ140" s="415"/>
      <c r="BA140" s="420"/>
      <c r="BB140" s="420"/>
      <c r="BC140" s="231"/>
      <c r="BD140" s="136"/>
      <c r="BM140" s="214"/>
      <c r="BN140" s="214"/>
      <c r="BO140" s="214"/>
      <c r="EK140" s="78"/>
      <c r="EL140" s="78"/>
    </row>
    <row r="141" spans="2:142" ht="42" customHeight="1" thickBot="1" x14ac:dyDescent="0.35">
      <c r="B141" s="421"/>
      <c r="C141" s="422"/>
      <c r="D141" s="551" t="s">
        <v>22</v>
      </c>
      <c r="E141" s="37"/>
      <c r="F141" s="330"/>
      <c r="G141" s="240"/>
      <c r="H141" s="356"/>
      <c r="I141" s="356"/>
      <c r="J141" s="377"/>
      <c r="K141" s="316"/>
      <c r="L141" s="316"/>
      <c r="M141" s="316"/>
      <c r="N141" s="316"/>
      <c r="O141" s="316"/>
      <c r="P141" s="316"/>
      <c r="Q141" s="316"/>
      <c r="R141" s="356"/>
      <c r="S141" s="316"/>
      <c r="T141" s="418"/>
      <c r="V141" s="420"/>
      <c r="W141" s="420"/>
      <c r="X141" s="420"/>
      <c r="Y141" s="420"/>
      <c r="Z141" s="420"/>
      <c r="AA141" s="420"/>
      <c r="AB141" s="420"/>
      <c r="AC141" s="423">
        <f>SUM(AC142:AC153)</f>
        <v>334.49993130661176</v>
      </c>
      <c r="AD141" s="424"/>
      <c r="AE141" s="424"/>
      <c r="AF141" s="420" t="s">
        <v>38</v>
      </c>
      <c r="AH141" s="425" t="s">
        <v>31</v>
      </c>
      <c r="AI141" s="425"/>
      <c r="AJ141" s="10" t="s">
        <v>108</v>
      </c>
      <c r="AK141" s="426" t="s">
        <v>32</v>
      </c>
      <c r="AL141" s="9" t="s">
        <v>33</v>
      </c>
      <c r="AM141" s="8" t="s">
        <v>107</v>
      </c>
      <c r="AN141" s="427" t="s">
        <v>34</v>
      </c>
      <c r="AO141" s="9" t="s">
        <v>35</v>
      </c>
      <c r="AP141" s="428" t="s">
        <v>48</v>
      </c>
      <c r="AQ141" s="367" t="s">
        <v>154</v>
      </c>
      <c r="AR141" s="428" t="s">
        <v>155</v>
      </c>
      <c r="AS141" s="420" t="s">
        <v>46</v>
      </c>
      <c r="AT141" s="420" t="s">
        <v>72</v>
      </c>
      <c r="AU141" s="428" t="s">
        <v>71</v>
      </c>
      <c r="AV141" s="553"/>
      <c r="AW141" s="1594" t="s">
        <v>41</v>
      </c>
      <c r="AX141" s="1594" t="s">
        <v>42</v>
      </c>
      <c r="AY141" s="430" t="s">
        <v>23</v>
      </c>
      <c r="AZ141" s="430" t="s">
        <v>24</v>
      </c>
      <c r="BA141" s="431" t="s">
        <v>23</v>
      </c>
      <c r="BB141" s="431" t="s">
        <v>24</v>
      </c>
      <c r="BD141" s="136"/>
      <c r="BM141" s="214"/>
      <c r="BN141" s="214"/>
      <c r="BO141" s="214"/>
      <c r="EK141" s="78"/>
      <c r="EL141" s="78"/>
    </row>
    <row r="142" spans="2:142" ht="23" thickBot="1" x14ac:dyDescent="0.35">
      <c r="B142" s="255">
        <v>1</v>
      </c>
      <c r="C142" s="715">
        <f>+(B132*-1)+D142</f>
        <v>0</v>
      </c>
      <c r="D142" s="25">
        <v>0</v>
      </c>
      <c r="E142" s="432" t="s">
        <v>80</v>
      </c>
      <c r="F142" s="258"/>
      <c r="G142" s="258"/>
      <c r="H142" s="14">
        <v>414.62658399999998</v>
      </c>
      <c r="I142" s="15">
        <v>36.220413100000002</v>
      </c>
      <c r="J142" s="342">
        <f>+I142-C142</f>
        <v>36.220413100000002</v>
      </c>
      <c r="K142" s="280"/>
      <c r="L142" s="280"/>
      <c r="M142" s="280"/>
      <c r="N142" s="280"/>
      <c r="O142" s="280"/>
      <c r="P142" s="342">
        <f>COS(J142*3.14159265358979/180)</f>
        <v>0.80674984242354264</v>
      </c>
      <c r="Q142" s="342">
        <f>+P142*H142</f>
        <v>334.49993130661176</v>
      </c>
      <c r="R142" s="377">
        <v>334.5</v>
      </c>
      <c r="S142" s="342">
        <f>+Q142</f>
        <v>334.49993130661176</v>
      </c>
      <c r="T142" s="258">
        <f t="shared" ref="T142:T153" si="4">+S142</f>
        <v>334.49993130661176</v>
      </c>
      <c r="U142" s="258"/>
      <c r="V142" s="258">
        <f t="shared" ref="V142:V153" si="5">IF(B142&lt;($B$139+1),T142,0)</f>
        <v>334.49993130661176</v>
      </c>
      <c r="W142" s="13">
        <v>36.220415500000001</v>
      </c>
      <c r="X142" s="419">
        <f>+W142+AI155</f>
        <v>36.220415500000001</v>
      </c>
      <c r="Y142" s="13">
        <v>414.6266</v>
      </c>
      <c r="Z142" s="419">
        <f>+COS(X142*3.14159265358979/180)*Y142</f>
        <v>334.49993395207258</v>
      </c>
      <c r="AA142" s="716">
        <f>+AC141-Z142</f>
        <v>-2.6454608246240241E-6</v>
      </c>
      <c r="AB142" s="280"/>
      <c r="AC142" s="514">
        <f>IF(AD142=1,AF142)</f>
        <v>334.49993130661176</v>
      </c>
      <c r="AD142" s="514">
        <f t="shared" ref="AD142:AD153" si="6">MAX(AE$142:AE$153)</f>
        <v>1</v>
      </c>
      <c r="AE142" s="514">
        <f>IF(V142=0,0,1)</f>
        <v>1</v>
      </c>
      <c r="AF142" s="437">
        <f>SUM(V142:V153)/($B$139)</f>
        <v>334.49993130661176</v>
      </c>
      <c r="AH142" s="450">
        <f>+D142+C142</f>
        <v>0</v>
      </c>
      <c r="AI142" s="717">
        <f t="shared" ref="AI142:AI153" si="7">IF(B142&lt;($B$139+1),AH142)</f>
        <v>0</v>
      </c>
      <c r="AJ142" s="11">
        <f>53.779595+AI142</f>
        <v>53.779595</v>
      </c>
      <c r="AK142" s="718">
        <f>SIN(AJ142*3.14159265358979/180)</f>
        <v>0.8067499259590819</v>
      </c>
      <c r="AL142" s="11">
        <f>+AK142*414.6266</f>
        <v>334.49997885066585</v>
      </c>
      <c r="AM142" s="11">
        <f>59.2910885-AI142</f>
        <v>59.291088500000001</v>
      </c>
      <c r="AN142" s="442">
        <f>SIN(AM142*3.14159265358979/180)</f>
        <v>0.85977285389573432</v>
      </c>
      <c r="AO142" s="11">
        <f>+AN142*479.7721</f>
        <v>412.49502763654965</v>
      </c>
      <c r="AP142" s="519">
        <f t="shared" ref="AP142:AP153" si="8">+((AF142*AQ142)+($AG$166*$AQ$166)+($AQ$195*$AG$195))/AR142</f>
        <v>225.26889728296061</v>
      </c>
      <c r="AQ142" s="382">
        <f>$C$10*B139</f>
        <v>72</v>
      </c>
      <c r="AR142" s="519">
        <f t="shared" ref="AR142:AR153" si="9">+AQ142+$AQ$195+$AQ$166+31</f>
        <v>172.8</v>
      </c>
      <c r="AS142" s="444">
        <f>+AO142+AL142</f>
        <v>746.99500648721551</v>
      </c>
      <c r="AT142" s="445">
        <f>+V142-AL142</f>
        <v>-4.7544054098125343E-5</v>
      </c>
      <c r="AU142" s="446">
        <f>+AP142-AT142</f>
        <v>225.26894482701471</v>
      </c>
      <c r="AV142" s="719"/>
      <c r="AW142" s="447">
        <f>+((AS142-AU142)/AS142)*AR142</f>
        <v>120.68924513811413</v>
      </c>
      <c r="AX142" s="447">
        <f>+(AU142/AS142)*AR142</f>
        <v>52.110754861885887</v>
      </c>
      <c r="AY142" s="1597">
        <f>2*$C$21/AW142</f>
        <v>96.114612256669716</v>
      </c>
      <c r="AZ142" s="1597">
        <f>2*$D$21/AX142</f>
        <v>222.60280110592504</v>
      </c>
      <c r="BA142" s="1598">
        <f>ABS(AY142)</f>
        <v>96.114612256669716</v>
      </c>
      <c r="BB142" s="1598">
        <f>ABS(AZ142)</f>
        <v>222.60280110592504</v>
      </c>
      <c r="BC142" s="91"/>
      <c r="BD142" s="136"/>
      <c r="BM142" s="214"/>
      <c r="BN142" s="214"/>
      <c r="BO142" s="214"/>
      <c r="EK142" s="78"/>
      <c r="EL142" s="78"/>
    </row>
    <row r="143" spans="2:142" ht="23" thickBot="1" x14ac:dyDescent="0.35">
      <c r="B143" s="277">
        <v>2</v>
      </c>
      <c r="C143" s="278"/>
      <c r="D143" s="25">
        <v>0</v>
      </c>
      <c r="E143" s="257" t="s">
        <v>80</v>
      </c>
      <c r="F143" s="258"/>
      <c r="G143" s="258"/>
      <c r="H143" s="5">
        <v>479.77208100000001</v>
      </c>
      <c r="I143" s="5">
        <v>61.416098300000002</v>
      </c>
      <c r="J143" s="258">
        <f>+I143+D143</f>
        <v>61.416098300000002</v>
      </c>
      <c r="K143" s="258">
        <f t="shared" ref="K143:K153" si="10">+J143/2</f>
        <v>30.708049150000001</v>
      </c>
      <c r="L143" s="258">
        <f t="shared" ref="L143:L153" si="11">SIN(K143*3.14159265358979/180)</f>
        <v>0.51066370850547771</v>
      </c>
      <c r="M143" s="258">
        <f t="shared" ref="M143:M153" si="12">+L143*H143</f>
        <v>245.00219012085046</v>
      </c>
      <c r="N143" s="258">
        <f t="shared" ref="N143:N153" si="13">+M143*2</f>
        <v>490.00438024170091</v>
      </c>
      <c r="O143" s="258">
        <f>+C142+(D143/2)</f>
        <v>0</v>
      </c>
      <c r="P143" s="258">
        <f t="shared" ref="P143:P153" si="14">SIN(O143*3.14159265358979/180)</f>
        <v>0</v>
      </c>
      <c r="Q143" s="258">
        <f t="shared" ref="Q143:Q153" si="15">+P143*N143</f>
        <v>0</v>
      </c>
      <c r="R143" s="258">
        <f t="shared" ref="R143:R153" si="16">+T142</f>
        <v>334.49993130661176</v>
      </c>
      <c r="S143" s="258">
        <f>+R143+Q143</f>
        <v>334.49993130661176</v>
      </c>
      <c r="T143" s="258">
        <f t="shared" si="4"/>
        <v>334.49993130661176</v>
      </c>
      <c r="U143" s="258"/>
      <c r="V143" s="258">
        <f t="shared" si="5"/>
        <v>0</v>
      </c>
      <c r="W143" s="258"/>
      <c r="X143" s="258"/>
      <c r="Y143" s="258"/>
      <c r="Z143" s="258"/>
      <c r="AA143" s="258"/>
      <c r="AB143" s="258"/>
      <c r="AC143" s="514" t="b">
        <f>IF(AD143=2,AF143)</f>
        <v>0</v>
      </c>
      <c r="AD143" s="514">
        <f t="shared" si="6"/>
        <v>1</v>
      </c>
      <c r="AE143" s="514">
        <f>IF(V143=0,0,2)</f>
        <v>0</v>
      </c>
      <c r="AF143" s="437" t="e">
        <f>SUM(V143:V153)/($B$139-B142)</f>
        <v>#DIV/0!</v>
      </c>
      <c r="AG143" s="437"/>
      <c r="AH143" s="450">
        <f>SUM(D143)+$C$142</f>
        <v>0</v>
      </c>
      <c r="AI143" s="717" t="b">
        <f t="shared" si="7"/>
        <v>0</v>
      </c>
      <c r="AJ143" s="11">
        <f t="shared" ref="AJ143:AJ153" si="17">53.779595+AI143</f>
        <v>53.779595</v>
      </c>
      <c r="AK143" s="718">
        <f>SIN(AJ143*3.14159265358979/180)</f>
        <v>0.8067499259590819</v>
      </c>
      <c r="AL143" s="11">
        <f t="shared" ref="AL143:AL153" si="18">+AK143*414.6266</f>
        <v>334.49997885066585</v>
      </c>
      <c r="AM143" s="11">
        <f t="shared" ref="AM143:AM153" si="19">59.2910885-AI143</f>
        <v>59.291088500000001</v>
      </c>
      <c r="AN143" s="442">
        <f t="shared" ref="AN143:AN153" si="20">SIN(AM143*3.14159265358979/180)</f>
        <v>0.85977285389573432</v>
      </c>
      <c r="AO143" s="11">
        <f t="shared" ref="AO143:AO153" si="21">+AN143*479.7721</f>
        <v>412.49502763654965</v>
      </c>
      <c r="AP143" s="519" t="e">
        <f t="shared" si="8"/>
        <v>#DIV/0!</v>
      </c>
      <c r="AQ143" s="382">
        <f>$C$10*($B$139-B142)</f>
        <v>0</v>
      </c>
      <c r="AR143" s="519">
        <f t="shared" si="9"/>
        <v>100.8</v>
      </c>
      <c r="AS143" s="444">
        <f t="shared" ref="AS143:AS153" si="22">+AO143+AL143</f>
        <v>746.99500648721551</v>
      </c>
      <c r="AT143" s="445">
        <f t="shared" ref="AT143:AT153" si="23">+V143-AL143</f>
        <v>-334.49997885066585</v>
      </c>
      <c r="AU143" s="446" t="e">
        <f t="shared" ref="AU143:AU153" si="24">+AP143-AT143</f>
        <v>#DIV/0!</v>
      </c>
      <c r="AV143" s="719"/>
      <c r="AW143" s="447" t="e">
        <f t="shared" ref="AW143:AW153" si="25">+((AS143-AU143)/AS143)*AR143</f>
        <v>#DIV/0!</v>
      </c>
      <c r="AX143" s="447" t="e">
        <f t="shared" ref="AX143:AX153" si="26">+(AU143/AS143)*AR143</f>
        <v>#DIV/0!</v>
      </c>
      <c r="AY143" s="1597" t="e">
        <f t="shared" ref="AY143:AY153" si="27">2*$C$21/AW143</f>
        <v>#DIV/0!</v>
      </c>
      <c r="AZ143" s="1597" t="e">
        <f t="shared" ref="AZ143:AZ153" si="28">2*$D$21/AX143</f>
        <v>#DIV/0!</v>
      </c>
      <c r="BA143" s="542" t="e">
        <f>ABS(AY143)</f>
        <v>#DIV/0!</v>
      </c>
      <c r="BB143" s="542" t="e">
        <f>ABS(AZ143)</f>
        <v>#DIV/0!</v>
      </c>
      <c r="BD143" s="136"/>
      <c r="BM143" s="214"/>
      <c r="BN143" s="214"/>
      <c r="BO143" s="214"/>
      <c r="EK143" s="78"/>
      <c r="EL143" s="78"/>
    </row>
    <row r="144" spans="2:142" ht="23" thickBot="1" x14ac:dyDescent="0.35">
      <c r="B144" s="277">
        <v>3</v>
      </c>
      <c r="C144" s="278"/>
      <c r="D144" s="25">
        <v>0</v>
      </c>
      <c r="E144" s="257" t="s">
        <v>80</v>
      </c>
      <c r="F144" s="258"/>
      <c r="G144" s="258"/>
      <c r="H144" s="5">
        <v>479.77208100000001</v>
      </c>
      <c r="I144" s="5">
        <v>61.416098300000002</v>
      </c>
      <c r="J144" s="258">
        <f t="shared" ref="J144:J153" si="29">+I144+D144</f>
        <v>61.416098300000002</v>
      </c>
      <c r="K144" s="258">
        <f t="shared" si="10"/>
        <v>30.708049150000001</v>
      </c>
      <c r="L144" s="258">
        <f t="shared" si="11"/>
        <v>0.51066370850547771</v>
      </c>
      <c r="M144" s="258">
        <f t="shared" si="12"/>
        <v>245.00219012085046</v>
      </c>
      <c r="N144" s="258">
        <f t="shared" si="13"/>
        <v>490.00438024170091</v>
      </c>
      <c r="O144" s="258">
        <f>+C142+D143+(D144/2)</f>
        <v>0</v>
      </c>
      <c r="P144" s="258">
        <f t="shared" si="14"/>
        <v>0</v>
      </c>
      <c r="Q144" s="258">
        <f t="shared" si="15"/>
        <v>0</v>
      </c>
      <c r="R144" s="258">
        <f t="shared" si="16"/>
        <v>334.49993130661176</v>
      </c>
      <c r="S144" s="258">
        <f t="shared" ref="S144:S153" si="30">+S143+Q144</f>
        <v>334.49993130661176</v>
      </c>
      <c r="T144" s="258">
        <f t="shared" si="4"/>
        <v>334.49993130661176</v>
      </c>
      <c r="U144" s="258"/>
      <c r="V144" s="258">
        <f t="shared" si="5"/>
        <v>0</v>
      </c>
      <c r="W144" s="258"/>
      <c r="X144" s="258"/>
      <c r="Y144" s="258"/>
      <c r="Z144" s="258"/>
      <c r="AA144" s="258"/>
      <c r="AB144" s="258"/>
      <c r="AC144" s="514" t="b">
        <f>IF(AD144=3,AF144)</f>
        <v>0</v>
      </c>
      <c r="AD144" s="514">
        <f t="shared" si="6"/>
        <v>1</v>
      </c>
      <c r="AE144" s="514">
        <f>IF(V144=0,0,3)</f>
        <v>0</v>
      </c>
      <c r="AF144" s="437">
        <f>SUM(V144:V153)/($B$139-B143)</f>
        <v>0</v>
      </c>
      <c r="AG144" s="437"/>
      <c r="AH144" s="450">
        <f>SUM(D143:D144)+$C$142</f>
        <v>0</v>
      </c>
      <c r="AI144" s="717" t="b">
        <f t="shared" si="7"/>
        <v>0</v>
      </c>
      <c r="AJ144" s="11">
        <f t="shared" si="17"/>
        <v>53.779595</v>
      </c>
      <c r="AK144" s="718">
        <f t="shared" ref="AK144:AK153" si="31">SIN(AJ144*3.14159265358979/180)</f>
        <v>0.8067499259590819</v>
      </c>
      <c r="AL144" s="11">
        <f t="shared" si="18"/>
        <v>334.49997885066585</v>
      </c>
      <c r="AM144" s="11">
        <f t="shared" si="19"/>
        <v>59.291088500000001</v>
      </c>
      <c r="AN144" s="442">
        <f t="shared" si="20"/>
        <v>0.85977285389573432</v>
      </c>
      <c r="AO144" s="11">
        <f t="shared" si="21"/>
        <v>412.49502763654965</v>
      </c>
      <c r="AP144" s="519">
        <f t="shared" si="8"/>
        <v>515.36355543123443</v>
      </c>
      <c r="AQ144" s="382">
        <f t="shared" ref="AQ144:AQ153" si="32">$C$10*($B$139-B143)</f>
        <v>-72</v>
      </c>
      <c r="AR144" s="519">
        <f t="shared" si="9"/>
        <v>28.799999999999997</v>
      </c>
      <c r="AS144" s="444">
        <f t="shared" si="22"/>
        <v>746.99500648721551</v>
      </c>
      <c r="AT144" s="445">
        <f t="shared" si="23"/>
        <v>-334.49997885066585</v>
      </c>
      <c r="AU144" s="446">
        <f t="shared" si="24"/>
        <v>849.86353428190023</v>
      </c>
      <c r="AV144" s="719"/>
      <c r="AW144" s="447">
        <f t="shared" si="25"/>
        <v>-3.9660420414572388</v>
      </c>
      <c r="AX144" s="447">
        <f t="shared" si="26"/>
        <v>32.76604204145724</v>
      </c>
      <c r="AY144" s="1597">
        <f t="shared" si="27"/>
        <v>-2924.8303166594328</v>
      </c>
      <c r="AZ144" s="1597">
        <f t="shared" si="28"/>
        <v>354.02506000947864</v>
      </c>
      <c r="BA144" s="542">
        <f t="shared" ref="BA144:BB153" si="33">ABS(AY144)</f>
        <v>2924.8303166594328</v>
      </c>
      <c r="BB144" s="542">
        <f t="shared" si="33"/>
        <v>354.02506000947864</v>
      </c>
      <c r="BD144" s="136"/>
      <c r="BM144" s="214"/>
      <c r="BN144" s="214"/>
      <c r="BO144" s="214"/>
      <c r="EK144" s="78"/>
      <c r="EL144" s="78"/>
    </row>
    <row r="145" spans="2:142" ht="23" thickBot="1" x14ac:dyDescent="0.35">
      <c r="B145" s="277">
        <v>4</v>
      </c>
      <c r="C145" s="278"/>
      <c r="D145" s="25">
        <v>0</v>
      </c>
      <c r="E145" s="257" t="s">
        <v>80</v>
      </c>
      <c r="F145" s="258"/>
      <c r="G145" s="258"/>
      <c r="H145" s="5">
        <v>479.77208100000001</v>
      </c>
      <c r="I145" s="5">
        <v>61.416098300000002</v>
      </c>
      <c r="J145" s="258">
        <f t="shared" si="29"/>
        <v>61.416098300000002</v>
      </c>
      <c r="K145" s="258">
        <f t="shared" si="10"/>
        <v>30.708049150000001</v>
      </c>
      <c r="L145" s="258">
        <f t="shared" si="11"/>
        <v>0.51066370850547771</v>
      </c>
      <c r="M145" s="258">
        <f t="shared" si="12"/>
        <v>245.00219012085046</v>
      </c>
      <c r="N145" s="258">
        <f t="shared" si="13"/>
        <v>490.00438024170091</v>
      </c>
      <c r="O145" s="258">
        <f>+C142+D143+D144+(D145/2)</f>
        <v>0</v>
      </c>
      <c r="P145" s="258">
        <f t="shared" si="14"/>
        <v>0</v>
      </c>
      <c r="Q145" s="258">
        <f t="shared" si="15"/>
        <v>0</v>
      </c>
      <c r="R145" s="258">
        <f t="shared" si="16"/>
        <v>334.49993130661176</v>
      </c>
      <c r="S145" s="258">
        <f t="shared" si="30"/>
        <v>334.49993130661176</v>
      </c>
      <c r="T145" s="258">
        <f t="shared" si="4"/>
        <v>334.49993130661176</v>
      </c>
      <c r="U145" s="258"/>
      <c r="V145" s="258">
        <f t="shared" si="5"/>
        <v>0</v>
      </c>
      <c r="W145" s="258"/>
      <c r="X145" s="258"/>
      <c r="Y145" s="258"/>
      <c r="Z145" s="258"/>
      <c r="AA145" s="258"/>
      <c r="AB145" s="258"/>
      <c r="AC145" s="514" t="b">
        <f>IF(AD145=4,AF145)</f>
        <v>0</v>
      </c>
      <c r="AD145" s="514">
        <f t="shared" si="6"/>
        <v>1</v>
      </c>
      <c r="AE145" s="514">
        <f>IF(V145=0,0,4)</f>
        <v>0</v>
      </c>
      <c r="AF145" s="437">
        <f>SUM(V145:V153)/($B$139-B144)</f>
        <v>0</v>
      </c>
      <c r="AG145" s="437"/>
      <c r="AH145" s="450">
        <f>SUM(D143:D145)+$C$142</f>
        <v>0</v>
      </c>
      <c r="AI145" s="717" t="b">
        <f t="shared" si="7"/>
        <v>0</v>
      </c>
      <c r="AJ145" s="11">
        <f t="shared" si="17"/>
        <v>53.779595</v>
      </c>
      <c r="AK145" s="718">
        <f t="shared" si="31"/>
        <v>0.8067499259590819</v>
      </c>
      <c r="AL145" s="11">
        <f t="shared" si="18"/>
        <v>334.49997885066585</v>
      </c>
      <c r="AM145" s="11">
        <f t="shared" si="19"/>
        <v>59.291088500000001</v>
      </c>
      <c r="AN145" s="442">
        <f t="shared" si="20"/>
        <v>0.85977285389573432</v>
      </c>
      <c r="AO145" s="11">
        <f t="shared" si="21"/>
        <v>412.49502763654965</v>
      </c>
      <c r="AP145" s="519">
        <f t="shared" si="8"/>
        <v>-343.57570362082288</v>
      </c>
      <c r="AQ145" s="382">
        <f t="shared" si="32"/>
        <v>-144</v>
      </c>
      <c r="AR145" s="519">
        <f t="shared" si="9"/>
        <v>-43.2</v>
      </c>
      <c r="AS145" s="444">
        <f t="shared" si="22"/>
        <v>746.99500648721551</v>
      </c>
      <c r="AT145" s="445">
        <f t="shared" si="23"/>
        <v>-334.49997885066585</v>
      </c>
      <c r="AU145" s="446">
        <f t="shared" si="24"/>
        <v>-9.0757247701570236</v>
      </c>
      <c r="AV145" s="719"/>
      <c r="AW145" s="447">
        <f t="shared" si="25"/>
        <v>-43.724864700119646</v>
      </c>
      <c r="AX145" s="447">
        <f t="shared" si="26"/>
        <v>0.52486470011964337</v>
      </c>
      <c r="AY145" s="1597">
        <f t="shared" si="27"/>
        <v>-265.29527488665411</v>
      </c>
      <c r="AZ145" s="1597">
        <f t="shared" si="28"/>
        <v>22100.933816573623</v>
      </c>
      <c r="BA145" s="542">
        <f t="shared" si="33"/>
        <v>265.29527488665411</v>
      </c>
      <c r="BB145" s="542">
        <f t="shared" si="33"/>
        <v>22100.933816573623</v>
      </c>
      <c r="BD145" s="136"/>
      <c r="BM145" s="214"/>
      <c r="BN145" s="214"/>
      <c r="BO145" s="214"/>
      <c r="EK145" s="78"/>
      <c r="EL145" s="78"/>
    </row>
    <row r="146" spans="2:142" ht="23" thickBot="1" x14ac:dyDescent="0.35">
      <c r="B146" s="277">
        <v>5</v>
      </c>
      <c r="C146" s="278"/>
      <c r="D146" s="25">
        <v>0</v>
      </c>
      <c r="E146" s="257" t="s">
        <v>80</v>
      </c>
      <c r="F146" s="258"/>
      <c r="G146" s="258"/>
      <c r="H146" s="5">
        <v>479.77208100000001</v>
      </c>
      <c r="I146" s="5">
        <v>61.416098300000002</v>
      </c>
      <c r="J146" s="258">
        <f t="shared" si="29"/>
        <v>61.416098300000002</v>
      </c>
      <c r="K146" s="258">
        <f t="shared" si="10"/>
        <v>30.708049150000001</v>
      </c>
      <c r="L146" s="258">
        <f t="shared" si="11"/>
        <v>0.51066370850547771</v>
      </c>
      <c r="M146" s="258">
        <f t="shared" si="12"/>
        <v>245.00219012085046</v>
      </c>
      <c r="N146" s="258">
        <f t="shared" si="13"/>
        <v>490.00438024170091</v>
      </c>
      <c r="O146" s="258">
        <f>+C142+D143+D144+D145+(D146/2)</f>
        <v>0</v>
      </c>
      <c r="P146" s="258">
        <f t="shared" si="14"/>
        <v>0</v>
      </c>
      <c r="Q146" s="258">
        <f t="shared" si="15"/>
        <v>0</v>
      </c>
      <c r="R146" s="258">
        <f t="shared" si="16"/>
        <v>334.49993130661176</v>
      </c>
      <c r="S146" s="258">
        <f t="shared" si="30"/>
        <v>334.49993130661176</v>
      </c>
      <c r="T146" s="258">
        <f t="shared" si="4"/>
        <v>334.49993130661176</v>
      </c>
      <c r="U146" s="258"/>
      <c r="V146" s="258">
        <f t="shared" si="5"/>
        <v>0</v>
      </c>
      <c r="W146" s="258"/>
      <c r="X146" s="258"/>
      <c r="Y146" s="258"/>
      <c r="Z146" s="258"/>
      <c r="AA146" s="258"/>
      <c r="AB146" s="258"/>
      <c r="AC146" s="514" t="b">
        <f>IF(AD146=5,AF146)</f>
        <v>0</v>
      </c>
      <c r="AD146" s="514">
        <f t="shared" si="6"/>
        <v>1</v>
      </c>
      <c r="AE146" s="514">
        <f>IF(V146=0,0,5)</f>
        <v>0</v>
      </c>
      <c r="AF146" s="437">
        <f>SUM(V146:V153)/($B$139-B145)</f>
        <v>0</v>
      </c>
      <c r="AG146" s="437"/>
      <c r="AH146" s="450">
        <f>SUM(D143:D146)+$C$142</f>
        <v>0</v>
      </c>
      <c r="AI146" s="717" t="b">
        <f t="shared" si="7"/>
        <v>0</v>
      </c>
      <c r="AJ146" s="11">
        <f t="shared" si="17"/>
        <v>53.779595</v>
      </c>
      <c r="AK146" s="718">
        <f t="shared" si="31"/>
        <v>0.8067499259590819</v>
      </c>
      <c r="AL146" s="11">
        <f t="shared" si="18"/>
        <v>334.49997885066585</v>
      </c>
      <c r="AM146" s="11">
        <f t="shared" si="19"/>
        <v>59.291088500000001</v>
      </c>
      <c r="AN146" s="442">
        <f t="shared" si="20"/>
        <v>0.85977285389573432</v>
      </c>
      <c r="AO146" s="11">
        <f t="shared" si="21"/>
        <v>412.49502763654965</v>
      </c>
      <c r="AP146" s="519">
        <f t="shared" si="8"/>
        <v>-128.84088885780861</v>
      </c>
      <c r="AQ146" s="382">
        <f t="shared" si="32"/>
        <v>-216</v>
      </c>
      <c r="AR146" s="519">
        <f t="shared" si="9"/>
        <v>-115.19999999999999</v>
      </c>
      <c r="AS146" s="444">
        <f t="shared" si="22"/>
        <v>746.99500648721551</v>
      </c>
      <c r="AT146" s="445">
        <f t="shared" si="23"/>
        <v>-334.49997885066585</v>
      </c>
      <c r="AU146" s="446">
        <f t="shared" si="24"/>
        <v>205.65908999285725</v>
      </c>
      <c r="AV146" s="719"/>
      <c r="AW146" s="447">
        <f t="shared" si="25"/>
        <v>-83.483687358782049</v>
      </c>
      <c r="AX146" s="447">
        <f t="shared" si="26"/>
        <v>-31.716312641217943</v>
      </c>
      <c r="AY146" s="1597">
        <f t="shared" si="27"/>
        <v>-138.94930095920998</v>
      </c>
      <c r="AZ146" s="1597">
        <f t="shared" si="28"/>
        <v>-365.74239039770504</v>
      </c>
      <c r="BA146" s="542">
        <f t="shared" si="33"/>
        <v>138.94930095920998</v>
      </c>
      <c r="BB146" s="542">
        <f t="shared" si="33"/>
        <v>365.74239039770504</v>
      </c>
      <c r="BD146" s="136"/>
      <c r="BM146" s="214"/>
      <c r="BN146" s="214"/>
      <c r="BO146" s="214"/>
      <c r="EK146" s="78"/>
      <c r="EL146" s="78"/>
    </row>
    <row r="147" spans="2:142" ht="23" thickBot="1" x14ac:dyDescent="0.35">
      <c r="B147" s="277">
        <v>6</v>
      </c>
      <c r="C147" s="278"/>
      <c r="D147" s="25">
        <v>0</v>
      </c>
      <c r="E147" s="257" t="s">
        <v>80</v>
      </c>
      <c r="F147" s="258"/>
      <c r="G147" s="258"/>
      <c r="H147" s="5">
        <v>479.77208100000001</v>
      </c>
      <c r="I147" s="5">
        <v>61.416098300000002</v>
      </c>
      <c r="J147" s="258">
        <f t="shared" si="29"/>
        <v>61.416098300000002</v>
      </c>
      <c r="K147" s="258">
        <f t="shared" si="10"/>
        <v>30.708049150000001</v>
      </c>
      <c r="L147" s="258">
        <f t="shared" si="11"/>
        <v>0.51066370850547771</v>
      </c>
      <c r="M147" s="258">
        <f t="shared" si="12"/>
        <v>245.00219012085046</v>
      </c>
      <c r="N147" s="258">
        <f t="shared" si="13"/>
        <v>490.00438024170091</v>
      </c>
      <c r="O147" s="258">
        <f>+C142+D143+D144+D145+D146+(D147/2)</f>
        <v>0</v>
      </c>
      <c r="P147" s="258">
        <f t="shared" si="14"/>
        <v>0</v>
      </c>
      <c r="Q147" s="258">
        <f t="shared" si="15"/>
        <v>0</v>
      </c>
      <c r="R147" s="258">
        <f t="shared" si="16"/>
        <v>334.49993130661176</v>
      </c>
      <c r="S147" s="258">
        <f t="shared" si="30"/>
        <v>334.49993130661176</v>
      </c>
      <c r="T147" s="258">
        <f t="shared" si="4"/>
        <v>334.49993130661176</v>
      </c>
      <c r="U147" s="258"/>
      <c r="V147" s="258">
        <f t="shared" si="5"/>
        <v>0</v>
      </c>
      <c r="W147" s="258"/>
      <c r="X147" s="258"/>
      <c r="Y147" s="258"/>
      <c r="Z147" s="258"/>
      <c r="AA147" s="258"/>
      <c r="AB147" s="258"/>
      <c r="AC147" s="514" t="b">
        <f>IF(AD147=6,AF147)</f>
        <v>0</v>
      </c>
      <c r="AD147" s="514">
        <f t="shared" si="6"/>
        <v>1</v>
      </c>
      <c r="AE147" s="514">
        <f>IF(V147=0,0,6)</f>
        <v>0</v>
      </c>
      <c r="AF147" s="437">
        <f>SUM(V147:V153)/($B$139-B146)</f>
        <v>0</v>
      </c>
      <c r="AG147" s="437"/>
      <c r="AH147" s="450">
        <f>SUM(D143:D147)+$C$142</f>
        <v>0</v>
      </c>
      <c r="AI147" s="717" t="b">
        <f t="shared" si="7"/>
        <v>0</v>
      </c>
      <c r="AJ147" s="11">
        <f t="shared" si="17"/>
        <v>53.779595</v>
      </c>
      <c r="AK147" s="718">
        <f t="shared" si="31"/>
        <v>0.8067499259590819</v>
      </c>
      <c r="AL147" s="11">
        <f t="shared" si="18"/>
        <v>334.49997885066585</v>
      </c>
      <c r="AM147" s="11">
        <f t="shared" si="19"/>
        <v>59.291088500000001</v>
      </c>
      <c r="AN147" s="442">
        <f t="shared" si="20"/>
        <v>0.85977285389573432</v>
      </c>
      <c r="AO147" s="11">
        <f t="shared" si="21"/>
        <v>412.49502763654965</v>
      </c>
      <c r="AP147" s="519">
        <f t="shared" si="8"/>
        <v>-79.286700835574521</v>
      </c>
      <c r="AQ147" s="382">
        <f t="shared" si="32"/>
        <v>-288</v>
      </c>
      <c r="AR147" s="519">
        <f t="shared" si="9"/>
        <v>-187.2</v>
      </c>
      <c r="AS147" s="444">
        <f t="shared" si="22"/>
        <v>746.99500648721551</v>
      </c>
      <c r="AT147" s="445">
        <f t="shared" si="23"/>
        <v>-334.49997885066585</v>
      </c>
      <c r="AU147" s="446">
        <f t="shared" si="24"/>
        <v>255.21327801509133</v>
      </c>
      <c r="AV147" s="719"/>
      <c r="AW147" s="447">
        <f t="shared" si="25"/>
        <v>-123.24251001744446</v>
      </c>
      <c r="AX147" s="447">
        <f t="shared" si="26"/>
        <v>-63.957489982555536</v>
      </c>
      <c r="AY147" s="1597">
        <f t="shared" si="27"/>
        <v>-94.123366996972621</v>
      </c>
      <c r="AZ147" s="1597">
        <f t="shared" si="28"/>
        <v>-181.37046971611787</v>
      </c>
      <c r="BA147" s="542">
        <f t="shared" si="33"/>
        <v>94.123366996972621</v>
      </c>
      <c r="BB147" s="542">
        <f t="shared" si="33"/>
        <v>181.37046971611787</v>
      </c>
      <c r="BD147" s="136"/>
      <c r="BM147" s="214"/>
      <c r="BN147" s="214"/>
      <c r="BO147" s="214"/>
      <c r="EK147" s="78"/>
      <c r="EL147" s="78"/>
    </row>
    <row r="148" spans="2:142" ht="21" thickBot="1" x14ac:dyDescent="0.25">
      <c r="B148" s="277">
        <v>7</v>
      </c>
      <c r="C148" s="278"/>
      <c r="D148" s="25">
        <v>0</v>
      </c>
      <c r="E148" s="257" t="s">
        <v>80</v>
      </c>
      <c r="F148" s="258"/>
      <c r="G148" s="258"/>
      <c r="H148" s="5">
        <v>479.77208100000001</v>
      </c>
      <c r="I148" s="5">
        <v>61.416098300000002</v>
      </c>
      <c r="J148" s="258">
        <f t="shared" si="29"/>
        <v>61.416098300000002</v>
      </c>
      <c r="K148" s="258">
        <f t="shared" si="10"/>
        <v>30.708049150000001</v>
      </c>
      <c r="L148" s="258">
        <f t="shared" si="11"/>
        <v>0.51066370850547771</v>
      </c>
      <c r="M148" s="258">
        <f t="shared" si="12"/>
        <v>245.00219012085046</v>
      </c>
      <c r="N148" s="258">
        <f t="shared" si="13"/>
        <v>490.00438024170091</v>
      </c>
      <c r="O148" s="258">
        <f>+C142+D143+D144+D145+D146+D147+(D148/2)</f>
        <v>0</v>
      </c>
      <c r="P148" s="258">
        <f t="shared" si="14"/>
        <v>0</v>
      </c>
      <c r="Q148" s="258">
        <f t="shared" si="15"/>
        <v>0</v>
      </c>
      <c r="R148" s="258">
        <f t="shared" si="16"/>
        <v>334.49993130661176</v>
      </c>
      <c r="S148" s="258">
        <f t="shared" si="30"/>
        <v>334.49993130661176</v>
      </c>
      <c r="T148" s="258">
        <f t="shared" si="4"/>
        <v>334.49993130661176</v>
      </c>
      <c r="U148" s="258"/>
      <c r="V148" s="258">
        <f t="shared" si="5"/>
        <v>0</v>
      </c>
      <c r="W148" s="258"/>
      <c r="X148" s="258"/>
      <c r="Y148" s="258"/>
      <c r="Z148" s="258"/>
      <c r="AA148" s="258"/>
      <c r="AB148" s="258"/>
      <c r="AC148" s="514" t="b">
        <f>IF(AD148=7,AF148)</f>
        <v>0</v>
      </c>
      <c r="AD148" s="514">
        <f t="shared" si="6"/>
        <v>1</v>
      </c>
      <c r="AE148" s="514">
        <f>IF(V148=0,0,7)</f>
        <v>0</v>
      </c>
      <c r="AF148" s="437">
        <f>SUM(V148:V153)/($B$139-B147)</f>
        <v>0</v>
      </c>
      <c r="AG148" s="437"/>
      <c r="AH148" s="450">
        <f>SUM(D143:D148)+$C$142</f>
        <v>0</v>
      </c>
      <c r="AI148" s="717" t="b">
        <f t="shared" si="7"/>
        <v>0</v>
      </c>
      <c r="AJ148" s="11">
        <f t="shared" si="17"/>
        <v>53.779595</v>
      </c>
      <c r="AK148" s="718">
        <f t="shared" si="31"/>
        <v>0.8067499259590819</v>
      </c>
      <c r="AL148" s="11">
        <f t="shared" si="18"/>
        <v>334.49997885066585</v>
      </c>
      <c r="AM148" s="11">
        <f t="shared" si="19"/>
        <v>59.291088500000001</v>
      </c>
      <c r="AN148" s="442">
        <f t="shared" si="20"/>
        <v>0.85977285389573432</v>
      </c>
      <c r="AO148" s="11">
        <f t="shared" si="21"/>
        <v>412.49502763654965</v>
      </c>
      <c r="AP148" s="519">
        <f t="shared" si="8"/>
        <v>-57.262617270137156</v>
      </c>
      <c r="AQ148" s="382">
        <f t="shared" si="32"/>
        <v>-360</v>
      </c>
      <c r="AR148" s="519">
        <f t="shared" si="9"/>
        <v>-259.2</v>
      </c>
      <c r="AS148" s="444">
        <f t="shared" si="22"/>
        <v>746.99500648721551</v>
      </c>
      <c r="AT148" s="445">
        <f t="shared" si="23"/>
        <v>-334.49997885066585</v>
      </c>
      <c r="AU148" s="446">
        <f t="shared" si="24"/>
        <v>277.23736158052873</v>
      </c>
      <c r="AV148" s="719"/>
      <c r="AW148" s="447">
        <f t="shared" si="25"/>
        <v>-163.00133267610684</v>
      </c>
      <c r="AX148" s="447">
        <f t="shared" si="26"/>
        <v>-96.198667323893133</v>
      </c>
      <c r="AY148" s="1597">
        <f t="shared" si="27"/>
        <v>-71.165062331422021</v>
      </c>
      <c r="AZ148" s="1597">
        <f t="shared" si="28"/>
        <v>-120.58379105132235</v>
      </c>
      <c r="BA148" s="542">
        <f t="shared" si="33"/>
        <v>71.165062331422021</v>
      </c>
      <c r="BB148" s="542">
        <f t="shared" si="33"/>
        <v>120.58379105132235</v>
      </c>
      <c r="BD148" s="136"/>
      <c r="BF148" s="35"/>
      <c r="EK148" s="78"/>
      <c r="EL148" s="78"/>
    </row>
    <row r="149" spans="2:142" ht="21" thickBot="1" x14ac:dyDescent="0.25">
      <c r="B149" s="277">
        <v>8</v>
      </c>
      <c r="C149" s="278"/>
      <c r="D149" s="25">
        <v>0</v>
      </c>
      <c r="E149" s="257" t="s">
        <v>80</v>
      </c>
      <c r="F149" s="258"/>
      <c r="G149" s="258"/>
      <c r="H149" s="5">
        <v>479.77208100000001</v>
      </c>
      <c r="I149" s="5">
        <v>61.416098300000002</v>
      </c>
      <c r="J149" s="258">
        <f t="shared" si="29"/>
        <v>61.416098300000002</v>
      </c>
      <c r="K149" s="258">
        <f t="shared" si="10"/>
        <v>30.708049150000001</v>
      </c>
      <c r="L149" s="258">
        <f t="shared" si="11"/>
        <v>0.51066370850547771</v>
      </c>
      <c r="M149" s="258">
        <f t="shared" si="12"/>
        <v>245.00219012085046</v>
      </c>
      <c r="N149" s="258">
        <f t="shared" si="13"/>
        <v>490.00438024170091</v>
      </c>
      <c r="O149" s="258">
        <f>+C142+D143+D144+D145+D146+D147+D148+(D149/2)</f>
        <v>0</v>
      </c>
      <c r="P149" s="258">
        <f t="shared" si="14"/>
        <v>0</v>
      </c>
      <c r="Q149" s="258">
        <f t="shared" si="15"/>
        <v>0</v>
      </c>
      <c r="R149" s="258">
        <f t="shared" si="16"/>
        <v>334.49993130661176</v>
      </c>
      <c r="S149" s="258">
        <f t="shared" si="30"/>
        <v>334.49993130661176</v>
      </c>
      <c r="T149" s="258">
        <f t="shared" si="4"/>
        <v>334.49993130661176</v>
      </c>
      <c r="U149" s="258"/>
      <c r="V149" s="258">
        <f t="shared" si="5"/>
        <v>0</v>
      </c>
      <c r="W149" s="258"/>
      <c r="X149" s="258"/>
      <c r="Y149" s="258"/>
      <c r="Z149" s="258"/>
      <c r="AA149" s="258"/>
      <c r="AB149" s="258"/>
      <c r="AC149" s="514" t="b">
        <f>IF(AD149=8,AF149)</f>
        <v>0</v>
      </c>
      <c r="AD149" s="514">
        <f t="shared" si="6"/>
        <v>1</v>
      </c>
      <c r="AE149" s="514">
        <f>IF(V149=0,0,8)</f>
        <v>0</v>
      </c>
      <c r="AF149" s="437">
        <f>SUM(V149:V153)/($B$139-B148)</f>
        <v>0</v>
      </c>
      <c r="AG149" s="437"/>
      <c r="AH149" s="450">
        <f>SUM(D143:D149)+$C$142</f>
        <v>0</v>
      </c>
      <c r="AI149" s="717" t="b">
        <f t="shared" si="7"/>
        <v>0</v>
      </c>
      <c r="AJ149" s="11">
        <f t="shared" si="17"/>
        <v>53.779595</v>
      </c>
      <c r="AK149" s="718">
        <f t="shared" si="31"/>
        <v>0.8067499259590819</v>
      </c>
      <c r="AL149" s="11">
        <f t="shared" si="18"/>
        <v>334.49997885066585</v>
      </c>
      <c r="AM149" s="11">
        <f t="shared" si="19"/>
        <v>59.291088500000001</v>
      </c>
      <c r="AN149" s="442">
        <f t="shared" si="20"/>
        <v>0.85977285389573432</v>
      </c>
      <c r="AO149" s="11">
        <f t="shared" si="21"/>
        <v>412.49502763654965</v>
      </c>
      <c r="AP149" s="519">
        <f t="shared" si="8"/>
        <v>-44.814222211411689</v>
      </c>
      <c r="AQ149" s="382">
        <f t="shared" si="32"/>
        <v>-432</v>
      </c>
      <c r="AR149" s="519">
        <f t="shared" si="9"/>
        <v>-331.2</v>
      </c>
      <c r="AS149" s="444">
        <f t="shared" si="22"/>
        <v>746.99500648721551</v>
      </c>
      <c r="AT149" s="445">
        <f t="shared" si="23"/>
        <v>-334.49997885066585</v>
      </c>
      <c r="AU149" s="446">
        <f t="shared" si="24"/>
        <v>289.68575663925418</v>
      </c>
      <c r="AV149" s="719"/>
      <c r="AW149" s="447">
        <f t="shared" si="25"/>
        <v>-202.76015533476925</v>
      </c>
      <c r="AX149" s="447">
        <f t="shared" si="26"/>
        <v>-128.43984466523074</v>
      </c>
      <c r="AY149" s="1597">
        <f t="shared" si="27"/>
        <v>-57.210451337678748</v>
      </c>
      <c r="AZ149" s="1597">
        <f t="shared" si="28"/>
        <v>-90.314652981982107</v>
      </c>
      <c r="BA149" s="542">
        <f t="shared" si="33"/>
        <v>57.210451337678748</v>
      </c>
      <c r="BB149" s="542">
        <f t="shared" si="33"/>
        <v>90.314652981982107</v>
      </c>
      <c r="BD149" s="136"/>
      <c r="BF149" s="35"/>
      <c r="EK149" s="78"/>
      <c r="EL149" s="78"/>
    </row>
    <row r="150" spans="2:142" ht="21" thickBot="1" x14ac:dyDescent="0.25">
      <c r="B150" s="277">
        <v>9</v>
      </c>
      <c r="C150" s="278"/>
      <c r="D150" s="25">
        <v>0</v>
      </c>
      <c r="E150" s="257" t="s">
        <v>80</v>
      </c>
      <c r="F150" s="258"/>
      <c r="G150" s="258"/>
      <c r="H150" s="5">
        <v>479.77208100000001</v>
      </c>
      <c r="I150" s="5">
        <v>61.416098300000002</v>
      </c>
      <c r="J150" s="258">
        <f t="shared" si="29"/>
        <v>61.416098300000002</v>
      </c>
      <c r="K150" s="258">
        <f t="shared" si="10"/>
        <v>30.708049150000001</v>
      </c>
      <c r="L150" s="258">
        <f t="shared" si="11"/>
        <v>0.51066370850547771</v>
      </c>
      <c r="M150" s="258">
        <f t="shared" si="12"/>
        <v>245.00219012085046</v>
      </c>
      <c r="N150" s="258">
        <f t="shared" si="13"/>
        <v>490.00438024170091</v>
      </c>
      <c r="O150" s="258">
        <f>+C142+D143+D144+D145+D146+D147+D148+D149+(D150/2)</f>
        <v>0</v>
      </c>
      <c r="P150" s="258">
        <f t="shared" si="14"/>
        <v>0</v>
      </c>
      <c r="Q150" s="258">
        <f t="shared" si="15"/>
        <v>0</v>
      </c>
      <c r="R150" s="258">
        <f t="shared" si="16"/>
        <v>334.49993130661176</v>
      </c>
      <c r="S150" s="258">
        <f t="shared" si="30"/>
        <v>334.49993130661176</v>
      </c>
      <c r="T150" s="258">
        <f t="shared" si="4"/>
        <v>334.49993130661176</v>
      </c>
      <c r="U150" s="258"/>
      <c r="V150" s="258">
        <f t="shared" si="5"/>
        <v>0</v>
      </c>
      <c r="W150" s="258"/>
      <c r="X150" s="258"/>
      <c r="Y150" s="258"/>
      <c r="Z150" s="258"/>
      <c r="AA150" s="258"/>
      <c r="AB150" s="258"/>
      <c r="AC150" s="514" t="b">
        <f>IF(AD150=9,AF150)</f>
        <v>0</v>
      </c>
      <c r="AD150" s="514">
        <f t="shared" si="6"/>
        <v>1</v>
      </c>
      <c r="AE150" s="514">
        <f>IF(V150=0,0,9)</f>
        <v>0</v>
      </c>
      <c r="AF150" s="437">
        <f>SUM(V150:V153)/($B$139-B149)</f>
        <v>0</v>
      </c>
      <c r="AG150" s="437"/>
      <c r="AH150" s="450">
        <f>SUM(D143:D150)+$C$142</f>
        <v>0</v>
      </c>
      <c r="AI150" s="717" t="b">
        <f t="shared" si="7"/>
        <v>0</v>
      </c>
      <c r="AJ150" s="11">
        <f t="shared" si="17"/>
        <v>53.779595</v>
      </c>
      <c r="AK150" s="718">
        <f t="shared" si="31"/>
        <v>0.8067499259590819</v>
      </c>
      <c r="AL150" s="11">
        <f t="shared" si="18"/>
        <v>334.49997885066585</v>
      </c>
      <c r="AM150" s="11">
        <f t="shared" si="19"/>
        <v>59.291088500000001</v>
      </c>
      <c r="AN150" s="442">
        <f t="shared" si="20"/>
        <v>0.85977285389573432</v>
      </c>
      <c r="AO150" s="11">
        <f t="shared" si="21"/>
        <v>412.49502763654965</v>
      </c>
      <c r="AP150" s="519">
        <f t="shared" si="8"/>
        <v>-36.811682530802457</v>
      </c>
      <c r="AQ150" s="382">
        <f t="shared" si="32"/>
        <v>-504</v>
      </c>
      <c r="AR150" s="519">
        <f t="shared" si="9"/>
        <v>-403.2</v>
      </c>
      <c r="AS150" s="444">
        <f t="shared" si="22"/>
        <v>746.99500648721551</v>
      </c>
      <c r="AT150" s="445">
        <f t="shared" si="23"/>
        <v>-334.49997885066585</v>
      </c>
      <c r="AU150" s="446">
        <f t="shared" si="24"/>
        <v>297.68829631986341</v>
      </c>
      <c r="AV150" s="719"/>
      <c r="AW150" s="447">
        <f t="shared" si="25"/>
        <v>-242.51897799343163</v>
      </c>
      <c r="AX150" s="447">
        <f t="shared" si="26"/>
        <v>-160.68102200656833</v>
      </c>
      <c r="AY150" s="1597">
        <f t="shared" si="27"/>
        <v>-47.831308279363498</v>
      </c>
      <c r="AZ150" s="1597">
        <f t="shared" si="28"/>
        <v>-72.192719806859429</v>
      </c>
      <c r="BA150" s="542">
        <f t="shared" si="33"/>
        <v>47.831308279363498</v>
      </c>
      <c r="BB150" s="542">
        <f t="shared" si="33"/>
        <v>72.192719806859429</v>
      </c>
      <c r="BD150" s="136"/>
      <c r="BF150" s="35"/>
      <c r="EK150" s="78"/>
      <c r="EL150" s="78"/>
    </row>
    <row r="151" spans="2:142" ht="21" thickBot="1" x14ac:dyDescent="0.25">
      <c r="B151" s="277">
        <v>10</v>
      </c>
      <c r="C151" s="278"/>
      <c r="D151" s="25">
        <v>0</v>
      </c>
      <c r="E151" s="257" t="s">
        <v>80</v>
      </c>
      <c r="F151" s="258"/>
      <c r="G151" s="258"/>
      <c r="H151" s="5">
        <v>479.77208100000001</v>
      </c>
      <c r="I151" s="5">
        <v>61.416098300000002</v>
      </c>
      <c r="J151" s="258">
        <f t="shared" si="29"/>
        <v>61.416098300000002</v>
      </c>
      <c r="K151" s="258">
        <f t="shared" si="10"/>
        <v>30.708049150000001</v>
      </c>
      <c r="L151" s="258">
        <f t="shared" si="11"/>
        <v>0.51066370850547771</v>
      </c>
      <c r="M151" s="258">
        <f>+L151*H151</f>
        <v>245.00219012085046</v>
      </c>
      <c r="N151" s="258">
        <f t="shared" si="13"/>
        <v>490.00438024170091</v>
      </c>
      <c r="O151" s="258">
        <f>+C142+D143+D144+D145+D146+D147+D148+D149+D150+(D151/2)</f>
        <v>0</v>
      </c>
      <c r="P151" s="258">
        <f t="shared" si="14"/>
        <v>0</v>
      </c>
      <c r="Q151" s="258">
        <f t="shared" si="15"/>
        <v>0</v>
      </c>
      <c r="R151" s="258">
        <f t="shared" si="16"/>
        <v>334.49993130661176</v>
      </c>
      <c r="S151" s="258">
        <f t="shared" si="30"/>
        <v>334.49993130661176</v>
      </c>
      <c r="T151" s="258">
        <f t="shared" si="4"/>
        <v>334.49993130661176</v>
      </c>
      <c r="U151" s="258"/>
      <c r="V151" s="258">
        <f t="shared" si="5"/>
        <v>0</v>
      </c>
      <c r="W151" s="258"/>
      <c r="X151" s="258"/>
      <c r="Y151" s="258"/>
      <c r="Z151" s="258"/>
      <c r="AA151" s="258"/>
      <c r="AB151" s="258"/>
      <c r="AC151" s="514" t="b">
        <f>IF(AD151=10,AF151)</f>
        <v>0</v>
      </c>
      <c r="AD151" s="514">
        <f t="shared" si="6"/>
        <v>1</v>
      </c>
      <c r="AE151" s="514">
        <f>IF(V151=0,0,10)</f>
        <v>0</v>
      </c>
      <c r="AF151" s="437">
        <f>SUM(V151:V153)/($B$139-B150)</f>
        <v>0</v>
      </c>
      <c r="AG151" s="437"/>
      <c r="AH151" s="450">
        <f>SUM(D143:D151)+$C$142</f>
        <v>0</v>
      </c>
      <c r="AI151" s="717" t="b">
        <f t="shared" si="7"/>
        <v>0</v>
      </c>
      <c r="AJ151" s="11">
        <f t="shared" si="17"/>
        <v>53.779595</v>
      </c>
      <c r="AK151" s="718">
        <f t="shared" si="31"/>
        <v>0.8067499259590819</v>
      </c>
      <c r="AL151" s="11">
        <f t="shared" si="18"/>
        <v>334.49997885066585</v>
      </c>
      <c r="AM151" s="11">
        <f t="shared" si="19"/>
        <v>59.291088500000001</v>
      </c>
      <c r="AN151" s="442">
        <f t="shared" si="20"/>
        <v>0.85977285389573432</v>
      </c>
      <c r="AO151" s="11">
        <f t="shared" si="21"/>
        <v>412.49502763654965</v>
      </c>
      <c r="AP151" s="519">
        <f t="shared" si="8"/>
        <v>-31.234154874620263</v>
      </c>
      <c r="AQ151" s="382">
        <f t="shared" si="32"/>
        <v>-576</v>
      </c>
      <c r="AR151" s="519">
        <f t="shared" si="9"/>
        <v>-475.20000000000005</v>
      </c>
      <c r="AS151" s="444">
        <f t="shared" si="22"/>
        <v>746.99500648721551</v>
      </c>
      <c r="AT151" s="445">
        <f t="shared" si="23"/>
        <v>-334.49997885066585</v>
      </c>
      <c r="AU151" s="446">
        <f t="shared" si="24"/>
        <v>303.26582397604557</v>
      </c>
      <c r="AV151" s="719"/>
      <c r="AW151" s="447">
        <f t="shared" si="25"/>
        <v>-282.27780065209413</v>
      </c>
      <c r="AX151" s="447">
        <f t="shared" si="26"/>
        <v>-192.92219934790592</v>
      </c>
      <c r="AY151" s="1597">
        <f t="shared" si="27"/>
        <v>-41.094269450883736</v>
      </c>
      <c r="AZ151" s="1597">
        <f t="shared" si="28"/>
        <v>-60.127865218253916</v>
      </c>
      <c r="BA151" s="542">
        <f t="shared" si="33"/>
        <v>41.094269450883736</v>
      </c>
      <c r="BB151" s="542">
        <f t="shared" si="33"/>
        <v>60.127865218253916</v>
      </c>
      <c r="BD151" s="136"/>
      <c r="BF151" s="35"/>
      <c r="EK151" s="78"/>
      <c r="EL151" s="78"/>
    </row>
    <row r="152" spans="2:142" ht="21" hidden="1" thickBot="1" x14ac:dyDescent="0.25">
      <c r="B152" s="277">
        <v>11</v>
      </c>
      <c r="C152" s="278"/>
      <c r="D152" s="25">
        <v>0</v>
      </c>
      <c r="E152" s="257" t="s">
        <v>80</v>
      </c>
      <c r="F152" s="258"/>
      <c r="G152" s="258"/>
      <c r="H152" s="5">
        <v>479.77208100000001</v>
      </c>
      <c r="I152" s="5">
        <v>61.416098300000002</v>
      </c>
      <c r="J152" s="258">
        <f t="shared" si="29"/>
        <v>61.416098300000002</v>
      </c>
      <c r="K152" s="258">
        <f t="shared" si="10"/>
        <v>30.708049150000001</v>
      </c>
      <c r="L152" s="258">
        <f t="shared" si="11"/>
        <v>0.51066370850547771</v>
      </c>
      <c r="M152" s="258">
        <f t="shared" si="12"/>
        <v>245.00219012085046</v>
      </c>
      <c r="N152" s="258">
        <f t="shared" si="13"/>
        <v>490.00438024170091</v>
      </c>
      <c r="O152" s="258">
        <f>+C142+D143+D144+D145+D146+D147+D148+D149+D150+D151+(D152/2)</f>
        <v>0</v>
      </c>
      <c r="P152" s="258">
        <f t="shared" si="14"/>
        <v>0</v>
      </c>
      <c r="Q152" s="258">
        <f t="shared" si="15"/>
        <v>0</v>
      </c>
      <c r="R152" s="258">
        <f t="shared" si="16"/>
        <v>334.49993130661176</v>
      </c>
      <c r="S152" s="258">
        <f t="shared" si="30"/>
        <v>334.49993130661176</v>
      </c>
      <c r="T152" s="258">
        <f t="shared" si="4"/>
        <v>334.49993130661176</v>
      </c>
      <c r="U152" s="258"/>
      <c r="V152" s="258">
        <f t="shared" si="5"/>
        <v>0</v>
      </c>
      <c r="W152" s="258"/>
      <c r="X152" s="258"/>
      <c r="Y152" s="258"/>
      <c r="Z152" s="258"/>
      <c r="AA152" s="258"/>
      <c r="AB152" s="258"/>
      <c r="AC152" s="514" t="b">
        <f>IF(AD152=11,AF152)</f>
        <v>0</v>
      </c>
      <c r="AD152" s="514">
        <f t="shared" si="6"/>
        <v>1</v>
      </c>
      <c r="AE152" s="514">
        <f>IF(V152=0,0,11)</f>
        <v>0</v>
      </c>
      <c r="AF152" s="437">
        <f>SUM(V152:V153)/($B$139-B151)</f>
        <v>0</v>
      </c>
      <c r="AG152" s="437"/>
      <c r="AH152" s="450">
        <f>SUM(D143:D152)+$C$142</f>
        <v>0</v>
      </c>
      <c r="AI152" s="717" t="b">
        <f t="shared" si="7"/>
        <v>0</v>
      </c>
      <c r="AJ152" s="11">
        <f t="shared" si="17"/>
        <v>53.779595</v>
      </c>
      <c r="AK152" s="718">
        <f t="shared" si="31"/>
        <v>0.8067499259590819</v>
      </c>
      <c r="AL152" s="11">
        <f t="shared" si="18"/>
        <v>334.49997885066585</v>
      </c>
      <c r="AM152" s="11">
        <f t="shared" si="19"/>
        <v>59.291088500000001</v>
      </c>
      <c r="AN152" s="442">
        <f t="shared" si="20"/>
        <v>0.85977285389573432</v>
      </c>
      <c r="AO152" s="11">
        <f t="shared" si="21"/>
        <v>412.49502763654965</v>
      </c>
      <c r="AP152" s="519">
        <f t="shared" si="8"/>
        <v>-27.124397654275491</v>
      </c>
      <c r="AQ152" s="382">
        <f t="shared" si="32"/>
        <v>-648</v>
      </c>
      <c r="AR152" s="519">
        <f t="shared" si="9"/>
        <v>-547.20000000000005</v>
      </c>
      <c r="AS152" s="444">
        <f t="shared" si="22"/>
        <v>746.99500648721551</v>
      </c>
      <c r="AT152" s="445">
        <f t="shared" si="23"/>
        <v>-334.49997885066585</v>
      </c>
      <c r="AU152" s="446">
        <f t="shared" si="24"/>
        <v>307.37558119639039</v>
      </c>
      <c r="AV152" s="719"/>
      <c r="AW152" s="447">
        <f t="shared" si="25"/>
        <v>-322.03662331075645</v>
      </c>
      <c r="AX152" s="447">
        <f t="shared" si="26"/>
        <v>-225.16337668924353</v>
      </c>
      <c r="AY152" s="1597">
        <f t="shared" si="27"/>
        <v>-36.0207478290639</v>
      </c>
      <c r="AZ152" s="1597">
        <f t="shared" si="28"/>
        <v>-51.518147269613912</v>
      </c>
      <c r="BA152" s="542">
        <f t="shared" si="33"/>
        <v>36.0207478290639</v>
      </c>
      <c r="BB152" s="542">
        <f t="shared" si="33"/>
        <v>51.518147269613912</v>
      </c>
      <c r="BD152" s="136"/>
      <c r="BF152" s="35"/>
      <c r="EK152" s="78"/>
      <c r="EL152" s="78"/>
    </row>
    <row r="153" spans="2:142" ht="21" hidden="1" thickBot="1" x14ac:dyDescent="0.25">
      <c r="B153" s="277">
        <v>12</v>
      </c>
      <c r="C153" s="278"/>
      <c r="D153" s="25">
        <v>0</v>
      </c>
      <c r="E153" s="257" t="s">
        <v>80</v>
      </c>
      <c r="F153" s="258"/>
      <c r="G153" s="258"/>
      <c r="H153" s="5">
        <v>479.77208100000001</v>
      </c>
      <c r="I153" s="5">
        <v>61.416098300000002</v>
      </c>
      <c r="J153" s="258">
        <f t="shared" si="29"/>
        <v>61.416098300000002</v>
      </c>
      <c r="K153" s="258">
        <f t="shared" si="10"/>
        <v>30.708049150000001</v>
      </c>
      <c r="L153" s="258">
        <f t="shared" si="11"/>
        <v>0.51066370850547771</v>
      </c>
      <c r="M153" s="258">
        <f t="shared" si="12"/>
        <v>245.00219012085046</v>
      </c>
      <c r="N153" s="258">
        <f t="shared" si="13"/>
        <v>490.00438024170091</v>
      </c>
      <c r="O153" s="258">
        <f>+C142+D143+D144+D145+D146+D147+D148+D149+D150+D151+D152+(D153/2)</f>
        <v>0</v>
      </c>
      <c r="P153" s="258">
        <f t="shared" si="14"/>
        <v>0</v>
      </c>
      <c r="Q153" s="258">
        <f t="shared" si="15"/>
        <v>0</v>
      </c>
      <c r="R153" s="258">
        <f t="shared" si="16"/>
        <v>334.49993130661176</v>
      </c>
      <c r="S153" s="258">
        <f t="shared" si="30"/>
        <v>334.49993130661176</v>
      </c>
      <c r="T153" s="258">
        <f t="shared" si="4"/>
        <v>334.49993130661176</v>
      </c>
      <c r="U153" s="258"/>
      <c r="V153" s="258">
        <f t="shared" si="5"/>
        <v>0</v>
      </c>
      <c r="W153" s="258"/>
      <c r="X153" s="258"/>
      <c r="Y153" s="258"/>
      <c r="Z153" s="258"/>
      <c r="AA153" s="258"/>
      <c r="AB153" s="258"/>
      <c r="AC153" s="514" t="b">
        <f>IF(AD153=12,AF153)</f>
        <v>0</v>
      </c>
      <c r="AD153" s="514">
        <f t="shared" si="6"/>
        <v>1</v>
      </c>
      <c r="AE153" s="514">
        <f>IF(V153=0,0,12)</f>
        <v>0</v>
      </c>
      <c r="AF153" s="437">
        <f>SUM(V153)/($B$139-B152)</f>
        <v>0</v>
      </c>
      <c r="AG153" s="437"/>
      <c r="AH153" s="450">
        <f>SUM(D143:D153)+$C$142</f>
        <v>0</v>
      </c>
      <c r="AI153" s="717" t="b">
        <f t="shared" si="7"/>
        <v>0</v>
      </c>
      <c r="AJ153" s="11">
        <f t="shared" si="17"/>
        <v>53.779595</v>
      </c>
      <c r="AK153" s="718">
        <f t="shared" si="31"/>
        <v>0.8067499259590819</v>
      </c>
      <c r="AL153" s="11">
        <f t="shared" si="18"/>
        <v>334.49997885066585</v>
      </c>
      <c r="AM153" s="11">
        <f t="shared" si="19"/>
        <v>59.291088500000001</v>
      </c>
      <c r="AN153" s="442">
        <f t="shared" si="20"/>
        <v>0.85977285389573432</v>
      </c>
      <c r="AO153" s="11">
        <f t="shared" si="21"/>
        <v>412.49502763654965</v>
      </c>
      <c r="AP153" s="519">
        <f t="shared" si="8"/>
        <v>-23.970397927034156</v>
      </c>
      <c r="AQ153" s="382">
        <f t="shared" si="32"/>
        <v>-720</v>
      </c>
      <c r="AR153" s="519">
        <f t="shared" si="9"/>
        <v>-619.20000000000005</v>
      </c>
      <c r="AS153" s="444">
        <f t="shared" si="22"/>
        <v>746.99500648721551</v>
      </c>
      <c r="AT153" s="445">
        <f t="shared" si="23"/>
        <v>-334.49997885066585</v>
      </c>
      <c r="AU153" s="446">
        <f t="shared" si="24"/>
        <v>310.52958092363167</v>
      </c>
      <c r="AV153" s="719"/>
      <c r="AW153" s="447">
        <f t="shared" si="25"/>
        <v>-361.79544596941895</v>
      </c>
      <c r="AX153" s="447">
        <f t="shared" si="26"/>
        <v>-257.4045540305811</v>
      </c>
      <c r="AY153" s="1597">
        <f t="shared" si="27"/>
        <v>-32.062316232085742</v>
      </c>
      <c r="AZ153" s="1597">
        <f t="shared" si="28"/>
        <v>-45.065247752461502</v>
      </c>
      <c r="BA153" s="542">
        <f t="shared" si="33"/>
        <v>32.062316232085742</v>
      </c>
      <c r="BB153" s="542">
        <f t="shared" si="33"/>
        <v>45.065247752461502</v>
      </c>
      <c r="BD153" s="136"/>
      <c r="BF153" s="35"/>
      <c r="EK153" s="78"/>
      <c r="EL153" s="78"/>
    </row>
    <row r="154" spans="2:142" ht="37.5" hidden="1" customHeight="1" x14ac:dyDescent="0.2">
      <c r="B154" s="720"/>
      <c r="D154" s="721"/>
      <c r="E154" s="722"/>
      <c r="F154" s="722"/>
      <c r="G154" s="722"/>
      <c r="H154" s="23"/>
      <c r="I154" s="23"/>
      <c r="J154" s="722"/>
      <c r="K154" s="722"/>
      <c r="L154" s="722"/>
      <c r="M154" s="722"/>
      <c r="N154" s="722"/>
      <c r="O154" s="722"/>
      <c r="P154" s="722"/>
      <c r="Q154" s="722"/>
      <c r="R154" s="722"/>
      <c r="S154" s="722"/>
      <c r="T154" s="722"/>
      <c r="U154" s="722"/>
      <c r="V154" s="722"/>
      <c r="W154" s="722"/>
      <c r="X154" s="722"/>
      <c r="Y154" s="722"/>
      <c r="Z154" s="722"/>
      <c r="AA154" s="722"/>
      <c r="AB154" s="722"/>
      <c r="AC154" s="514"/>
      <c r="AD154" s="514"/>
      <c r="AE154" s="514"/>
      <c r="AF154" s="437"/>
      <c r="AG154" s="437"/>
      <c r="AH154" s="450"/>
      <c r="AI154" s="717"/>
      <c r="AJ154" s="24"/>
      <c r="AK154" s="426"/>
      <c r="AL154" s="24"/>
      <c r="AM154" s="24"/>
      <c r="AN154" s="723"/>
      <c r="AO154" s="24"/>
      <c r="AP154" s="446"/>
      <c r="AQ154" s="724"/>
      <c r="AR154" s="446"/>
      <c r="AS154" s="445"/>
      <c r="AT154" s="445"/>
      <c r="AU154" s="446"/>
      <c r="AV154" s="719"/>
      <c r="AW154" s="447"/>
      <c r="AX154" s="447"/>
      <c r="AY154" s="1691"/>
      <c r="AZ154" s="1691"/>
      <c r="BA154" s="1692"/>
      <c r="BB154" s="1692"/>
      <c r="BD154" s="136"/>
      <c r="BF154" s="35"/>
      <c r="EK154" s="78"/>
      <c r="EL154" s="78"/>
    </row>
    <row r="155" spans="2:142" ht="22" hidden="1" thickBot="1" x14ac:dyDescent="0.25">
      <c r="B155" s="1923"/>
      <c r="D155" s="721"/>
      <c r="E155" s="722"/>
      <c r="F155" s="722"/>
      <c r="G155" s="722"/>
      <c r="H155" s="23"/>
      <c r="I155" s="23"/>
      <c r="J155" s="722"/>
      <c r="K155" s="722"/>
      <c r="L155" s="722"/>
      <c r="M155" s="722"/>
      <c r="N155" s="722"/>
      <c r="O155" s="722"/>
      <c r="P155" s="722"/>
      <c r="Q155" s="722"/>
      <c r="R155" s="722"/>
      <c r="S155" s="722"/>
      <c r="T155" s="722"/>
      <c r="U155" s="722"/>
      <c r="V155" s="722"/>
      <c r="W155" s="722"/>
      <c r="X155" s="722"/>
      <c r="Y155" s="722"/>
      <c r="Z155" s="722"/>
      <c r="AA155" s="722"/>
      <c r="AB155" s="722"/>
      <c r="AC155" s="514"/>
      <c r="AD155" s="514"/>
      <c r="AE155" s="514"/>
      <c r="AF155" s="437"/>
      <c r="AG155" s="437"/>
      <c r="AH155" s="554" t="s">
        <v>79</v>
      </c>
      <c r="AI155" s="555">
        <f>MAX(AI142:AI153)</f>
        <v>0</v>
      </c>
      <c r="AJ155" s="24"/>
      <c r="AK155" s="426"/>
      <c r="AL155" s="24"/>
      <c r="AM155" s="24"/>
      <c r="AN155" s="723"/>
      <c r="AO155" s="24"/>
      <c r="AP155" s="446"/>
      <c r="AQ155" s="724"/>
      <c r="AR155" s="446"/>
      <c r="AS155" s="445"/>
      <c r="AT155" s="445"/>
      <c r="AU155" s="446"/>
      <c r="AV155" s="719"/>
      <c r="AW155" s="447"/>
      <c r="AX155" s="447"/>
      <c r="AY155" s="1691"/>
      <c r="AZ155" s="1691"/>
      <c r="BA155" s="1692"/>
      <c r="BB155" s="1692"/>
      <c r="BD155" s="136"/>
      <c r="BF155" s="35"/>
      <c r="EK155" s="78"/>
      <c r="EL155" s="78"/>
    </row>
    <row r="156" spans="2:142" ht="59.25" hidden="1" customHeight="1" thickBot="1" x14ac:dyDescent="0.25">
      <c r="B156" s="1923"/>
      <c r="D156" s="721"/>
      <c r="E156" s="722"/>
      <c r="F156" s="722"/>
      <c r="G156" s="722"/>
      <c r="H156" s="23"/>
      <c r="I156" s="23"/>
      <c r="J156" s="722"/>
      <c r="K156" s="722"/>
      <c r="L156" s="722"/>
      <c r="M156" s="722"/>
      <c r="N156" s="722"/>
      <c r="O156" s="722"/>
      <c r="P156" s="722"/>
      <c r="Q156" s="722"/>
      <c r="R156" s="722"/>
      <c r="S156" s="722"/>
      <c r="T156" s="722"/>
      <c r="U156" s="722"/>
      <c r="V156" s="722"/>
      <c r="W156" s="722"/>
      <c r="X156" s="722"/>
      <c r="Y156" s="722"/>
      <c r="Z156" s="722"/>
      <c r="AA156" s="722"/>
      <c r="AB156" s="722"/>
      <c r="AC156" s="514"/>
      <c r="AD156" s="514"/>
      <c r="AE156" s="514"/>
      <c r="AF156" s="437"/>
      <c r="AG156" s="437"/>
      <c r="AH156" s="450"/>
      <c r="AI156" s="717"/>
      <c r="AJ156" s="24"/>
      <c r="AK156" s="426"/>
      <c r="AL156" s="855" t="s">
        <v>190</v>
      </c>
      <c r="AM156" s="856"/>
      <c r="AN156" s="856"/>
      <c r="AO156" s="856"/>
      <c r="AP156" s="857"/>
      <c r="AQ156" s="724"/>
      <c r="AR156" s="446"/>
      <c r="AS156" s="445"/>
      <c r="AT156" s="445"/>
      <c r="AU156" s="446"/>
      <c r="AV156" s="719"/>
      <c r="AW156" s="447"/>
      <c r="AX156" s="447"/>
      <c r="AY156" s="1691"/>
      <c r="AZ156" s="1691"/>
      <c r="BA156" s="1692"/>
      <c r="BB156" s="1692"/>
      <c r="BD156" s="136"/>
      <c r="BF156" s="35"/>
      <c r="EK156" s="78"/>
      <c r="EL156" s="78"/>
    </row>
    <row r="157" spans="2:142" ht="59.25" hidden="1" customHeight="1" thickBot="1" x14ac:dyDescent="0.25">
      <c r="B157" s="727"/>
      <c r="D157" s="721"/>
      <c r="E157" s="722"/>
      <c r="F157" s="722"/>
      <c r="G157" s="722"/>
      <c r="H157" s="23"/>
      <c r="I157" s="23"/>
      <c r="J157" s="722"/>
      <c r="K157" s="722"/>
      <c r="L157" s="722"/>
      <c r="M157" s="722"/>
      <c r="N157" s="722"/>
      <c r="O157" s="722"/>
      <c r="P157" s="722"/>
      <c r="Q157" s="722"/>
      <c r="R157" s="722"/>
      <c r="S157" s="722"/>
      <c r="T157" s="722"/>
      <c r="U157" s="722"/>
      <c r="V157" s="722"/>
      <c r="W157" s="722"/>
      <c r="X157" s="722"/>
      <c r="Y157" s="722"/>
      <c r="Z157" s="722"/>
      <c r="AA157" s="722"/>
      <c r="AB157" s="722"/>
      <c r="AC157" s="514"/>
      <c r="AD157" s="514"/>
      <c r="AE157" s="514"/>
      <c r="AF157" s="437"/>
      <c r="AG157" s="437"/>
      <c r="AH157" s="450"/>
      <c r="AI157" s="717"/>
      <c r="AJ157" s="24"/>
      <c r="AK157" s="426"/>
      <c r="AL157" s="858" t="s">
        <v>175</v>
      </c>
      <c r="AM157" s="859" t="s">
        <v>176</v>
      </c>
      <c r="AN157" s="859" t="s">
        <v>177</v>
      </c>
      <c r="AO157" s="860" t="s">
        <v>181</v>
      </c>
      <c r="AP157" s="861"/>
      <c r="AQ157" s="724"/>
      <c r="AR157" s="446"/>
      <c r="AS157" s="445"/>
      <c r="AT157" s="445"/>
      <c r="AU157" s="446"/>
      <c r="AV157" s="719"/>
      <c r="AW157" s="447"/>
      <c r="AX157" s="447"/>
      <c r="AY157" s="1691"/>
      <c r="AZ157" s="1691"/>
      <c r="BA157" s="1692"/>
      <c r="BB157" s="1692"/>
      <c r="BD157" s="136"/>
      <c r="BF157" s="35"/>
      <c r="EK157" s="78"/>
      <c r="EL157" s="78"/>
    </row>
    <row r="158" spans="2:142" ht="21" hidden="1" thickBot="1" x14ac:dyDescent="0.25">
      <c r="B158" s="720"/>
      <c r="D158" s="721"/>
      <c r="E158" s="722"/>
      <c r="F158" s="722"/>
      <c r="G158" s="722"/>
      <c r="H158" s="23"/>
      <c r="I158" s="23"/>
      <c r="J158" s="722"/>
      <c r="K158" s="722"/>
      <c r="L158" s="722"/>
      <c r="M158" s="722"/>
      <c r="N158" s="722"/>
      <c r="O158" s="722"/>
      <c r="P158" s="722"/>
      <c r="Q158" s="722"/>
      <c r="R158" s="722"/>
      <c r="S158" s="722"/>
      <c r="T158" s="722"/>
      <c r="U158" s="722"/>
      <c r="V158" s="722"/>
      <c r="W158" s="722"/>
      <c r="X158" s="722"/>
      <c r="Y158" s="722"/>
      <c r="Z158" s="722"/>
      <c r="AA158" s="722"/>
      <c r="AB158" s="722"/>
      <c r="AC158" s="514"/>
      <c r="AD158" s="514"/>
      <c r="AE158" s="514"/>
      <c r="AF158" s="437"/>
      <c r="AG158" s="437"/>
      <c r="AH158" s="450"/>
      <c r="AI158" s="717"/>
      <c r="AJ158" s="24"/>
      <c r="AK158" s="426"/>
      <c r="AL158" s="862">
        <v>6.8623010000000004</v>
      </c>
      <c r="AM158" s="863">
        <f>+(AI155*-1)-AL158</f>
        <v>-6.8623010000000004</v>
      </c>
      <c r="AN158" s="864">
        <f>COS(AM158*3.14159265358979/180)</f>
        <v>0.99283617366519983</v>
      </c>
      <c r="AO158" s="865">
        <f>+AN158*378.71303</f>
        <v>375.99999562235405</v>
      </c>
      <c r="AP158" s="866"/>
      <c r="AQ158" s="724"/>
      <c r="AR158" s="446"/>
      <c r="AS158" s="445"/>
      <c r="AT158" s="445"/>
      <c r="AU158" s="446"/>
      <c r="AV158" s="719"/>
      <c r="AW158" s="447"/>
      <c r="AX158" s="447"/>
      <c r="AY158" s="1691"/>
      <c r="AZ158" s="1691"/>
      <c r="BA158" s="1692"/>
      <c r="BB158" s="1692"/>
      <c r="BD158" s="136"/>
      <c r="BF158" s="35"/>
      <c r="EK158" s="78"/>
      <c r="EL158" s="78"/>
    </row>
    <row r="159" spans="2:142" ht="21" hidden="1" thickBot="1" x14ac:dyDescent="0.25">
      <c r="U159" s="276"/>
      <c r="AH159"/>
      <c r="AI159"/>
      <c r="AL159" s="867" t="s">
        <v>189</v>
      </c>
      <c r="AM159" s="849"/>
      <c r="AN159" s="849"/>
      <c r="AO159" s="849"/>
      <c r="AP159" s="868"/>
      <c r="BD159" s="136"/>
      <c r="EK159" s="78"/>
      <c r="EL159" s="78"/>
    </row>
    <row r="160" spans="2:142" ht="63" hidden="1" x14ac:dyDescent="0.2">
      <c r="U160" s="276"/>
      <c r="AH160" s="881"/>
      <c r="AI160" s="882"/>
      <c r="AL160" s="869"/>
      <c r="AM160" s="859" t="s">
        <v>194</v>
      </c>
      <c r="AN160" s="859" t="s">
        <v>193</v>
      </c>
      <c r="AO160" s="860" t="s">
        <v>206</v>
      </c>
      <c r="AP160" s="870" t="s">
        <v>191</v>
      </c>
      <c r="BD160" s="136"/>
      <c r="EK160" s="78"/>
      <c r="EL160" s="78"/>
    </row>
    <row r="161" spans="1:142" ht="21" thickBot="1" x14ac:dyDescent="0.25">
      <c r="U161" s="276"/>
      <c r="AH161" s="881"/>
      <c r="AI161" s="882"/>
      <c r="AL161" s="871"/>
      <c r="AM161" s="872">
        <f>+AI155</f>
        <v>0</v>
      </c>
      <c r="AN161" s="873">
        <f>SIN(AM161*3.14159265358979/180)</f>
        <v>0</v>
      </c>
      <c r="AO161" s="874">
        <f>+AN161*((+B139*491.5)+119)</f>
        <v>0</v>
      </c>
      <c r="AP161" s="875">
        <f>+AO158+AO161</f>
        <v>375.99999562235405</v>
      </c>
      <c r="BD161" s="136"/>
      <c r="EK161" s="78"/>
      <c r="EL161" s="78"/>
    </row>
    <row r="162" spans="1:142" ht="68.25" customHeight="1" thickBot="1" x14ac:dyDescent="0.25">
      <c r="B162" s="345" t="s">
        <v>118</v>
      </c>
      <c r="C162" s="454"/>
      <c r="D162" s="455"/>
      <c r="E162" s="37"/>
      <c r="F162" s="37"/>
      <c r="G162" s="37"/>
      <c r="S162" s="728" t="s">
        <v>66</v>
      </c>
      <c r="T162" s="728">
        <f>SUM(V166:V185)/B163</f>
        <v>213.83080000000001</v>
      </c>
      <c r="U162" s="212"/>
      <c r="V162" s="73"/>
      <c r="AB162" s="73"/>
      <c r="AC162" s="73"/>
      <c r="AD162" s="73"/>
      <c r="AE162" s="73"/>
      <c r="AF162" s="73"/>
      <c r="AG162" s="73"/>
      <c r="AH162" s="73"/>
      <c r="AI162" s="73"/>
      <c r="AJ162" s="73"/>
      <c r="AK162" s="73"/>
      <c r="AL162" s="73"/>
      <c r="AM162" s="73"/>
      <c r="AN162" s="73"/>
      <c r="AO162" s="73"/>
      <c r="AP162" s="73"/>
      <c r="AQ162" s="73"/>
      <c r="AR162" s="73"/>
      <c r="AS162" s="73"/>
      <c r="AT162" s="73"/>
      <c r="AU162" s="73"/>
      <c r="AV162" s="73"/>
      <c r="AW162" s="73"/>
      <c r="AX162" s="73"/>
      <c r="AY162" s="73"/>
      <c r="AZ162" s="73"/>
      <c r="BA162" s="73"/>
      <c r="BB162" s="73"/>
      <c r="BC162" s="126"/>
      <c r="BE162" s="136"/>
      <c r="BF162" s="136"/>
      <c r="BG162" s="136"/>
      <c r="BH162" s="136"/>
      <c r="BI162" s="136"/>
      <c r="BJ162" s="136"/>
      <c r="BK162" s="136"/>
      <c r="BL162" s="136"/>
      <c r="BM162" s="402"/>
      <c r="BN162" s="136"/>
      <c r="BO162" s="1091"/>
      <c r="BP162" s="78"/>
      <c r="BQ162" s="199"/>
      <c r="BR162" s="199"/>
      <c r="BS162" s="199"/>
      <c r="BT162" s="199"/>
      <c r="BU162" s="199"/>
      <c r="BV162" s="199"/>
      <c r="BW162" s="199"/>
      <c r="BX162" s="199"/>
      <c r="BY162" s="199"/>
      <c r="BZ162" s="199"/>
      <c r="CA162" s="199"/>
      <c r="CB162" s="199"/>
      <c r="CC162" s="199"/>
      <c r="CD162" s="199"/>
      <c r="CE162" s="199"/>
      <c r="CF162" s="199"/>
      <c r="CG162" s="199"/>
      <c r="CH162" s="199"/>
      <c r="CI162" s="199"/>
      <c r="CJ162" s="199"/>
      <c r="CK162" s="199"/>
      <c r="CL162" s="199"/>
      <c r="CM162" s="199"/>
      <c r="CN162" s="199"/>
      <c r="CO162" s="199"/>
      <c r="CP162" s="199"/>
      <c r="CQ162" s="199"/>
      <c r="CR162" s="199"/>
      <c r="CS162" s="199"/>
      <c r="CT162" s="199"/>
      <c r="CU162" s="199"/>
      <c r="CV162" s="199"/>
      <c r="CW162" s="199"/>
      <c r="CX162" s="199"/>
      <c r="CY162" s="199"/>
      <c r="CZ162" s="199"/>
      <c r="DA162" s="199"/>
      <c r="DB162" s="199"/>
    </row>
    <row r="163" spans="1:142" ht="37.5" customHeight="1" thickBot="1" x14ac:dyDescent="0.3">
      <c r="B163" s="27">
        <v>1</v>
      </c>
      <c r="C163" s="216"/>
      <c r="D163" s="549" t="s">
        <v>139</v>
      </c>
      <c r="E163" s="330"/>
      <c r="F163" s="330"/>
      <c r="G163" s="330"/>
      <c r="H163" s="1684"/>
      <c r="I163" s="1623"/>
      <c r="J163" s="1623"/>
      <c r="K163" s="1623"/>
      <c r="L163" s="1623"/>
      <c r="M163" s="1623"/>
      <c r="N163" s="1623"/>
      <c r="O163" s="1623"/>
      <c r="P163" s="1623"/>
      <c r="Q163" s="1623"/>
      <c r="R163" s="1623"/>
      <c r="S163" s="1624"/>
      <c r="T163" s="1625"/>
      <c r="U163" s="401"/>
      <c r="V163" s="1585"/>
      <c r="W163" s="1850" t="s">
        <v>93</v>
      </c>
      <c r="X163" s="1850"/>
      <c r="Y163" s="1850"/>
      <c r="Z163" s="1850"/>
      <c r="AA163" s="1850"/>
      <c r="AB163" s="1585"/>
      <c r="AC163" s="1585"/>
      <c r="AD163" s="1585"/>
      <c r="AE163" s="1585"/>
      <c r="AF163" s="1585"/>
      <c r="AG163" s="1585"/>
      <c r="AH163" s="1585"/>
      <c r="AI163" s="1585"/>
      <c r="AJ163" s="1585"/>
      <c r="AK163" s="1585"/>
      <c r="AL163" s="1585"/>
      <c r="AM163" s="1585"/>
      <c r="AN163" s="1585"/>
      <c r="AO163" s="1585"/>
      <c r="AP163" s="1585"/>
      <c r="AQ163" s="1589" t="s">
        <v>284</v>
      </c>
      <c r="AR163" s="1585"/>
      <c r="AS163" s="1585"/>
      <c r="AT163" s="1585"/>
      <c r="AU163" s="1585"/>
      <c r="AV163" s="1585"/>
      <c r="AW163" s="1585"/>
      <c r="AX163" s="1585"/>
      <c r="AY163" s="1585"/>
      <c r="AZ163" s="1585"/>
      <c r="BA163" s="1848" t="s">
        <v>52</v>
      </c>
      <c r="BB163" s="1849"/>
      <c r="BC163" s="218"/>
      <c r="BE163" s="136"/>
      <c r="BF163" s="136"/>
      <c r="BG163" s="136"/>
      <c r="BH163" s="136"/>
      <c r="BI163" s="136"/>
      <c r="BJ163" s="136"/>
      <c r="BK163" s="136"/>
      <c r="BL163" s="136"/>
      <c r="BM163" s="402"/>
      <c r="BN163" s="136"/>
      <c r="BO163" s="1091"/>
      <c r="BP163" s="76"/>
      <c r="BQ163" s="76"/>
      <c r="BR163" s="76"/>
      <c r="BS163" s="76"/>
      <c r="BT163" s="76"/>
      <c r="BU163" s="76"/>
      <c r="BV163" s="202"/>
      <c r="BW163" s="202"/>
      <c r="BX163" s="202"/>
      <c r="BY163" s="202"/>
      <c r="BZ163" s="202"/>
      <c r="CA163" s="202"/>
      <c r="CB163" s="202"/>
      <c r="CC163" s="202"/>
      <c r="CD163" s="202"/>
      <c r="CE163" s="202"/>
      <c r="CF163" s="202"/>
      <c r="CG163" s="202"/>
      <c r="CH163" s="202"/>
      <c r="CI163" s="202"/>
      <c r="CJ163" s="78"/>
      <c r="CK163" s="78"/>
      <c r="CL163" s="78"/>
      <c r="CM163" s="78"/>
      <c r="CN163" s="78"/>
      <c r="CO163" s="78"/>
      <c r="CP163" s="78"/>
      <c r="CQ163" s="78"/>
      <c r="CR163" s="78"/>
      <c r="CS163" s="78"/>
      <c r="CT163" s="78"/>
      <c r="CU163" s="78"/>
      <c r="CV163" s="78"/>
      <c r="CW163" s="78"/>
      <c r="CX163" s="78"/>
      <c r="CY163" s="78"/>
      <c r="CZ163" s="78"/>
      <c r="DA163" s="78"/>
      <c r="DB163" s="78"/>
      <c r="DC163" s="78"/>
      <c r="DD163" s="78"/>
    </row>
    <row r="164" spans="1:142" ht="20" hidden="1" thickBot="1" x14ac:dyDescent="0.25">
      <c r="C164" s="416"/>
      <c r="D164" s="354"/>
      <c r="H164" s="500" t="s">
        <v>4</v>
      </c>
      <c r="I164" s="500" t="s">
        <v>1</v>
      </c>
      <c r="J164" s="456" t="s">
        <v>0</v>
      </c>
      <c r="K164" s="456" t="s">
        <v>2</v>
      </c>
      <c r="L164" s="456" t="s">
        <v>3</v>
      </c>
      <c r="M164" s="456" t="s">
        <v>8</v>
      </c>
      <c r="N164" s="456" t="s">
        <v>5</v>
      </c>
      <c r="O164" s="456" t="s">
        <v>6</v>
      </c>
      <c r="P164" s="456" t="s">
        <v>7</v>
      </c>
      <c r="Q164" s="456" t="s">
        <v>9</v>
      </c>
      <c r="R164" s="1628" t="s">
        <v>10</v>
      </c>
      <c r="S164" s="456" t="s">
        <v>11</v>
      </c>
      <c r="T164" s="467" t="s">
        <v>12</v>
      </c>
      <c r="V164" s="420"/>
      <c r="W164" s="356" t="s">
        <v>140</v>
      </c>
      <c r="X164" s="316" t="s">
        <v>94</v>
      </c>
      <c r="Y164" s="356" t="s">
        <v>141</v>
      </c>
      <c r="Z164" s="419" t="s">
        <v>100</v>
      </c>
      <c r="AA164" s="419" t="s">
        <v>96</v>
      </c>
      <c r="AB164" s="420"/>
      <c r="AC164" s="457" t="s">
        <v>99</v>
      </c>
      <c r="AD164" s="457"/>
      <c r="AE164" s="457"/>
      <c r="AF164" s="420"/>
      <c r="AG164" s="420"/>
      <c r="AH164" s="420"/>
      <c r="AI164" s="420"/>
      <c r="AJ164" s="420"/>
      <c r="AK164" s="420"/>
      <c r="AL164" s="420"/>
      <c r="AM164" s="420"/>
      <c r="AN164" s="420"/>
      <c r="AO164" s="420"/>
      <c r="AP164" s="420"/>
      <c r="AQ164" s="420"/>
      <c r="AR164" s="420"/>
      <c r="AS164" s="420"/>
      <c r="AT164" s="420"/>
      <c r="AU164" s="420" t="s">
        <v>135</v>
      </c>
      <c r="AV164" s="420"/>
      <c r="AW164" s="420"/>
      <c r="AX164" s="420"/>
      <c r="AY164" s="415"/>
      <c r="AZ164" s="420"/>
      <c r="BA164" s="420"/>
      <c r="BB164" s="420"/>
      <c r="BC164" s="231"/>
      <c r="BE164" s="136"/>
      <c r="BF164" s="136"/>
      <c r="BG164" s="136"/>
      <c r="BH164" s="136"/>
      <c r="BI164" s="136"/>
      <c r="BJ164" s="136"/>
      <c r="BK164" s="136"/>
      <c r="BL164" s="136"/>
      <c r="BM164" s="402"/>
      <c r="BN164" s="136"/>
      <c r="BO164" s="1091"/>
      <c r="BP164" s="126"/>
      <c r="BQ164" s="126"/>
      <c r="BR164" s="126"/>
      <c r="BS164" s="126"/>
      <c r="BT164" s="126"/>
      <c r="BU164" s="126"/>
      <c r="BV164" s="203"/>
      <c r="BW164" s="203"/>
      <c r="BX164" s="203"/>
      <c r="BY164" s="203"/>
      <c r="BZ164" s="203"/>
      <c r="CA164" s="203"/>
      <c r="CB164" s="203"/>
      <c r="CC164" s="203"/>
      <c r="CD164" s="203"/>
      <c r="CE164" s="203"/>
      <c r="CF164" s="203"/>
      <c r="CG164" s="203"/>
      <c r="CH164" s="203"/>
      <c r="CI164" s="203"/>
    </row>
    <row r="165" spans="1:142" ht="42.75" customHeight="1" thickBot="1" x14ac:dyDescent="0.25">
      <c r="B165" s="501"/>
      <c r="C165" s="237"/>
      <c r="D165" s="502" t="s">
        <v>22</v>
      </c>
      <c r="E165" s="330"/>
      <c r="F165" s="503"/>
      <c r="G165" s="240"/>
      <c r="H165" s="469"/>
      <c r="I165" s="470"/>
      <c r="R165" s="1628"/>
      <c r="T165" s="471"/>
      <c r="V165" s="420"/>
      <c r="W165" s="420"/>
      <c r="X165" s="420"/>
      <c r="Y165" s="420"/>
      <c r="Z165" s="420"/>
      <c r="AA165" s="420"/>
      <c r="AB165" s="420"/>
      <c r="AC165" s="484">
        <f>SUM(AC166:AC185)</f>
        <v>213.83080000000001</v>
      </c>
      <c r="AD165" s="48"/>
      <c r="AE165" s="48"/>
      <c r="AF165" s="420" t="s">
        <v>38</v>
      </c>
      <c r="AG165" s="552" t="s">
        <v>101</v>
      </c>
      <c r="AH165" s="425" t="s">
        <v>31</v>
      </c>
      <c r="AI165" s="504"/>
      <c r="AJ165" s="368" t="s">
        <v>120</v>
      </c>
      <c r="AK165" s="426" t="s">
        <v>32</v>
      </c>
      <c r="AL165" s="472" t="s">
        <v>142</v>
      </c>
      <c r="AM165" s="368" t="s">
        <v>121</v>
      </c>
      <c r="AN165" s="427" t="s">
        <v>34</v>
      </c>
      <c r="AO165" s="472" t="s">
        <v>143</v>
      </c>
      <c r="AP165" s="428" t="s">
        <v>48</v>
      </c>
      <c r="AQ165" s="250" t="s">
        <v>36</v>
      </c>
      <c r="AR165" s="428" t="s">
        <v>144</v>
      </c>
      <c r="AS165" s="420" t="s">
        <v>37</v>
      </c>
      <c r="AT165" s="420" t="s">
        <v>39</v>
      </c>
      <c r="AU165" s="428" t="s">
        <v>145</v>
      </c>
      <c r="AV165" s="420"/>
      <c r="AW165" s="1594" t="s">
        <v>41</v>
      </c>
      <c r="AX165" s="1594" t="s">
        <v>42</v>
      </c>
      <c r="AY165" s="430" t="s">
        <v>23</v>
      </c>
      <c r="AZ165" s="430" t="s">
        <v>24</v>
      </c>
      <c r="BA165" s="557" t="s">
        <v>23</v>
      </c>
      <c r="BB165" s="557" t="s">
        <v>24</v>
      </c>
      <c r="BE165" s="136"/>
      <c r="BF165" s="136"/>
      <c r="BG165" s="136"/>
      <c r="BH165" s="136"/>
      <c r="BI165" s="136"/>
      <c r="BJ165" s="136"/>
      <c r="BM165" s="402"/>
      <c r="BN165" s="73"/>
      <c r="BO165" s="1091"/>
      <c r="BP165" s="64"/>
      <c r="BS165" s="126"/>
      <c r="BT165" s="126"/>
      <c r="BU165" s="126"/>
      <c r="BV165" s="203"/>
      <c r="BW165" s="203"/>
      <c r="BX165" s="203"/>
      <c r="BY165" s="203"/>
      <c r="BZ165" s="203"/>
      <c r="CA165" s="203"/>
      <c r="CB165" s="203"/>
      <c r="CC165" s="203"/>
      <c r="CD165" s="203"/>
      <c r="CE165" s="203"/>
      <c r="CF165" s="203"/>
      <c r="CG165" s="203"/>
      <c r="CH165" s="203"/>
      <c r="CI165" s="203"/>
      <c r="CR165" s="64"/>
    </row>
    <row r="166" spans="1:142" ht="21" customHeight="1" thickBot="1" x14ac:dyDescent="0.25">
      <c r="B166" s="255">
        <v>1</v>
      </c>
      <c r="C166" s="715">
        <f>+D166+AI155</f>
        <v>0</v>
      </c>
      <c r="D166" s="25">
        <v>0</v>
      </c>
      <c r="E166" s="257" t="s">
        <v>119</v>
      </c>
      <c r="F166" s="258"/>
      <c r="G166" s="258">
        <f>+D166</f>
        <v>0</v>
      </c>
      <c r="H166" s="506">
        <v>279.06049999999999</v>
      </c>
      <c r="I166" s="507">
        <v>79.962900599999998</v>
      </c>
      <c r="J166" s="508">
        <f>+I166-C166</f>
        <v>79.962900599999998</v>
      </c>
      <c r="K166" s="508">
        <f>+J166/2</f>
        <v>39.981450299999999</v>
      </c>
      <c r="L166" s="508">
        <f t="shared" ref="L166:L185" si="34">SIN(K166*3.14159265358979/180)</f>
        <v>0.64253956655634092</v>
      </c>
      <c r="M166" s="508">
        <f t="shared" ref="M166:M185" si="35">+L166*H166</f>
        <v>179.30741271299578</v>
      </c>
      <c r="N166" s="508">
        <f t="shared" ref="N166:N185" si="36">+M166*2</f>
        <v>358.61482542599157</v>
      </c>
      <c r="O166" s="508">
        <f>+C166/2</f>
        <v>0</v>
      </c>
      <c r="P166" s="508">
        <f t="shared" ref="P166:P185" si="37">SIN(O166*3.14159265358979/180)</f>
        <v>0</v>
      </c>
      <c r="Q166" s="508">
        <f t="shared" ref="Q166:Q185" si="38">+P166*N166</f>
        <v>0</v>
      </c>
      <c r="R166" s="509">
        <v>213.83080000000001</v>
      </c>
      <c r="S166" s="508">
        <f>+R166+Q166</f>
        <v>213.83080000000001</v>
      </c>
      <c r="T166" s="510">
        <f t="shared" ref="T166:T185" si="39">+S166</f>
        <v>213.83080000000001</v>
      </c>
      <c r="U166" s="456"/>
      <c r="V166" s="511">
        <f t="shared" ref="V166:V185" si="40">IF(B166&lt;($B$163+1),T166,0)</f>
        <v>213.83080000000001</v>
      </c>
      <c r="W166" s="512">
        <v>39.981450000000002</v>
      </c>
      <c r="X166" s="511">
        <f>+W166+AI188</f>
        <v>39.981450000000002</v>
      </c>
      <c r="Y166" s="512">
        <v>279.06049999999999</v>
      </c>
      <c r="Z166" s="419">
        <f>+COS(X166*3.14159265358979/180)*Y166</f>
        <v>213.83080883710866</v>
      </c>
      <c r="AA166" s="513">
        <f>+AC165-Z166</f>
        <v>-8.8371086519600794E-6</v>
      </c>
      <c r="AB166" s="1595" t="str">
        <f>IF(AZ166&lt;0,"use the locking pin"," ")</f>
        <v xml:space="preserve"> </v>
      </c>
      <c r="AC166" s="514">
        <f>IF(AD166=1,AF166)</f>
        <v>213.83080000000001</v>
      </c>
      <c r="AD166" s="514">
        <f t="shared" ref="AD166:AD185" si="41">MAX(AE$166:AE$185)</f>
        <v>1</v>
      </c>
      <c r="AE166" s="514">
        <f>IF(V166=0,0,1)</f>
        <v>1</v>
      </c>
      <c r="AF166" s="511">
        <f>SUM(V166:V185)/($B$163)</f>
        <v>213.83080000000001</v>
      </c>
      <c r="AG166" s="437">
        <f>+AA142+$AF$166</f>
        <v>213.83079735453919</v>
      </c>
      <c r="AH166" s="515">
        <f>C166</f>
        <v>0</v>
      </c>
      <c r="AI166" s="516">
        <f>IF(B166&lt;($B$163+1),AH166)</f>
        <v>0</v>
      </c>
      <c r="AJ166" s="287">
        <f>66.2555484-AH166</f>
        <v>66.255548399999995</v>
      </c>
      <c r="AK166" s="517">
        <f t="shared" ref="AK166:AK185" si="42">SIN(AJ166*3.14159265358979/180)</f>
        <v>0.91535047595051022</v>
      </c>
      <c r="AL166" s="289">
        <f>+AK166*304.3209</f>
        <v>278.56028065668761</v>
      </c>
      <c r="AM166" s="287">
        <f>50.0185497+AH166</f>
        <v>50.018549700000001</v>
      </c>
      <c r="AN166" s="518">
        <f>SIN(AM166*3.14159265358979/180)</f>
        <v>0.76625250760411079</v>
      </c>
      <c r="AO166" s="291">
        <f>+AN166*279.0605</f>
        <v>213.83080789825695</v>
      </c>
      <c r="AP166" s="519">
        <f t="shared" ref="AP166:AP185" si="43">+((AF166*AQ166)+($AQ$195*($AF$195+$AA$166)))/AR166</f>
        <v>212.64284500104179</v>
      </c>
      <c r="AQ166" s="1670">
        <f>$C$13*B163</f>
        <v>40.5</v>
      </c>
      <c r="AR166" s="519">
        <f>+AQ166+$AQ$195</f>
        <v>69.8</v>
      </c>
      <c r="AS166" s="520">
        <f>+AO166+AL166</f>
        <v>492.39108855494453</v>
      </c>
      <c r="AT166" s="521">
        <f>+V166-AO166</f>
        <v>-7.8982569391428115E-6</v>
      </c>
      <c r="AU166" s="522">
        <f>+AP166-AT166</f>
        <v>212.64285289929873</v>
      </c>
      <c r="AV166" s="521"/>
      <c r="AW166" s="523">
        <f>+((AS166-AU166)/AS166)*AR166</f>
        <v>39.656336807535816</v>
      </c>
      <c r="AX166" s="523">
        <f>+(AU166/AS166)*AR166</f>
        <v>30.143663192464178</v>
      </c>
      <c r="AY166" s="1597">
        <f t="shared" ref="AY166:AY185" si="44">2*$C$20/AW166</f>
        <v>292.51315007481162</v>
      </c>
      <c r="AZ166" s="1597">
        <f t="shared" ref="AZ166:AZ185" si="45">$D$20/AX166</f>
        <v>331.74468332369003</v>
      </c>
      <c r="BA166" s="542">
        <f>ABS(AY166)</f>
        <v>292.51315007481162</v>
      </c>
      <c r="BB166" s="542">
        <f>ABS(AZ166)</f>
        <v>331.74468332369003</v>
      </c>
      <c r="BC166" s="91"/>
      <c r="BM166" s="402"/>
      <c r="BN166" s="73"/>
      <c r="BO166" s="1091"/>
      <c r="BP166" s="64"/>
      <c r="BS166" s="126"/>
      <c r="BT166" s="126"/>
      <c r="BU166" s="126"/>
      <c r="BV166" s="203"/>
      <c r="BW166" s="203"/>
      <c r="BX166" s="203"/>
      <c r="BY166" s="203"/>
      <c r="BZ166" s="203"/>
      <c r="CA166" s="203"/>
      <c r="CB166" s="203"/>
      <c r="CC166" s="203"/>
      <c r="CD166" s="203"/>
      <c r="CE166" s="203"/>
      <c r="CF166" s="203"/>
      <c r="CG166" s="203"/>
      <c r="CH166" s="203"/>
      <c r="CI166" s="203"/>
      <c r="CP166" s="212"/>
      <c r="CR166" s="64"/>
    </row>
    <row r="167" spans="1:142" ht="21" customHeight="1" thickBot="1" x14ac:dyDescent="0.25">
      <c r="B167" s="277">
        <v>2</v>
      </c>
      <c r="C167" s="278"/>
      <c r="D167" s="25">
        <v>0</v>
      </c>
      <c r="E167" s="279" t="s">
        <v>130</v>
      </c>
      <c r="F167" s="258"/>
      <c r="G167" s="258">
        <f>+D167+BC167</f>
        <v>0</v>
      </c>
      <c r="H167" s="506">
        <v>279.06049999999999</v>
      </c>
      <c r="I167" s="507">
        <v>79.962900599999998</v>
      </c>
      <c r="J167" s="474">
        <f t="shared" ref="J167:J185" si="46">+I167-D167</f>
        <v>79.962900599999998</v>
      </c>
      <c r="K167" s="474">
        <f t="shared" ref="K167:K185" si="47">+J167/2</f>
        <v>39.981450299999999</v>
      </c>
      <c r="L167" s="474">
        <f t="shared" si="34"/>
        <v>0.64253956655634092</v>
      </c>
      <c r="M167" s="474">
        <f t="shared" si="35"/>
        <v>179.30741271299578</v>
      </c>
      <c r="N167" s="474">
        <f t="shared" si="36"/>
        <v>358.61482542599157</v>
      </c>
      <c r="O167" s="474">
        <f>+C166+(D167/2)</f>
        <v>0</v>
      </c>
      <c r="P167" s="474">
        <f t="shared" si="37"/>
        <v>0</v>
      </c>
      <c r="Q167" s="474">
        <f t="shared" si="38"/>
        <v>0</v>
      </c>
      <c r="R167" s="474">
        <f t="shared" ref="R167:R185" si="48">+T166</f>
        <v>213.83080000000001</v>
      </c>
      <c r="S167" s="474">
        <f>+R167+Q167</f>
        <v>213.83080000000001</v>
      </c>
      <c r="T167" s="476">
        <f t="shared" si="39"/>
        <v>213.83080000000001</v>
      </c>
      <c r="V167" s="437">
        <f t="shared" si="40"/>
        <v>0</v>
      </c>
      <c r="W167" s="437"/>
      <c r="X167" s="437"/>
      <c r="Y167" s="437"/>
      <c r="Z167" s="437"/>
      <c r="AA167" s="437"/>
      <c r="AB167" s="1595" t="e">
        <f t="shared" ref="AB167:AB185" si="49">IF(AZ167&lt;0,"use the locking pin"," ")</f>
        <v>#DIV/0!</v>
      </c>
      <c r="AC167" s="514" t="b">
        <f>IF(AD167=2,AF167)</f>
        <v>0</v>
      </c>
      <c r="AD167" s="514">
        <f t="shared" si="41"/>
        <v>1</v>
      </c>
      <c r="AE167" s="514">
        <f>IF(V167=0,0,2)</f>
        <v>0</v>
      </c>
      <c r="AF167" s="437" t="e">
        <f>SUM(V167:V185)/($B$163-B166)</f>
        <v>#DIV/0!</v>
      </c>
      <c r="AG167" s="437"/>
      <c r="AH167" s="450">
        <f>SUM(D167)+$C$166</f>
        <v>0</v>
      </c>
      <c r="AI167" s="516" t="b">
        <f t="shared" ref="AI167:AI185" si="50">IF(B167&lt;($B$163+1),AH167)</f>
        <v>0</v>
      </c>
      <c r="AJ167" s="287">
        <f t="shared" ref="AJ167:AJ185" si="51">66.2555484-AH167</f>
        <v>66.255548399999995</v>
      </c>
      <c r="AK167" s="441">
        <f t="shared" si="42"/>
        <v>0.91535047595051022</v>
      </c>
      <c r="AL167" s="289">
        <f t="shared" ref="AL167:AL185" si="52">+AK167*304.3209</f>
        <v>278.56028065668761</v>
      </c>
      <c r="AM167" s="287">
        <f t="shared" ref="AM167:AM185" si="53">50.0185497+AH167</f>
        <v>50.018549700000001</v>
      </c>
      <c r="AN167" s="442">
        <f t="shared" ref="AN167:AN185" si="54">SIN(AM167*3.14159265358979/180)</f>
        <v>0.76625250760411079</v>
      </c>
      <c r="AO167" s="291">
        <f t="shared" ref="AO167:AO185" si="55">+AN167*279.0605</f>
        <v>213.83080789825695</v>
      </c>
      <c r="AP167" s="519" t="e">
        <f t="shared" si="43"/>
        <v>#DIV/0!</v>
      </c>
      <c r="AQ167" s="1639">
        <f>$C$13*($B$163-B166)</f>
        <v>0</v>
      </c>
      <c r="AR167" s="519">
        <f t="shared" ref="AR167:AR185" si="56">+AQ167+$AQ$195</f>
        <v>29.3</v>
      </c>
      <c r="AS167" s="444">
        <f t="shared" ref="AS167:AS185" si="57">+AO167+AL167</f>
        <v>492.39108855494453</v>
      </c>
      <c r="AT167" s="445">
        <f>+V167-AO167</f>
        <v>-213.83080789825695</v>
      </c>
      <c r="AU167" s="446" t="e">
        <f t="shared" ref="AU167:AU185" si="58">+AP167-AT167</f>
        <v>#DIV/0!</v>
      </c>
      <c r="AV167" s="445"/>
      <c r="AW167" s="447" t="e">
        <f t="shared" ref="AW167:AW185" si="59">+((AS167-AU167)/AS167)*AR167</f>
        <v>#DIV/0!</v>
      </c>
      <c r="AX167" s="447" t="e">
        <f t="shared" ref="AX167:AX185" si="60">+(AU167/AS167)*AR167</f>
        <v>#DIV/0!</v>
      </c>
      <c r="AY167" s="1597" t="e">
        <f t="shared" si="44"/>
        <v>#DIV/0!</v>
      </c>
      <c r="AZ167" s="1597" t="e">
        <f t="shared" si="45"/>
        <v>#DIV/0!</v>
      </c>
      <c r="BA167" s="542" t="e">
        <f t="shared" ref="BA167:BB185" si="61">ABS(AY167)</f>
        <v>#DIV/0!</v>
      </c>
      <c r="BB167" s="542" t="e">
        <f t="shared" si="61"/>
        <v>#DIV/0!</v>
      </c>
      <c r="BM167" s="402"/>
      <c r="BN167" s="136"/>
      <c r="BO167" s="1091"/>
      <c r="BP167" s="126"/>
      <c r="BQ167" s="126"/>
      <c r="BR167" s="126"/>
      <c r="BS167" s="126"/>
      <c r="BT167" s="126"/>
      <c r="BU167" s="126"/>
      <c r="BV167" s="203"/>
      <c r="BW167" s="203"/>
      <c r="BX167" s="203"/>
      <c r="BY167" s="203"/>
      <c r="BZ167" s="203"/>
      <c r="CA167" s="203"/>
      <c r="CB167" s="203"/>
      <c r="CC167" s="203"/>
      <c r="CD167" s="203"/>
      <c r="CE167" s="203"/>
      <c r="CF167" s="203"/>
      <c r="CG167" s="203"/>
      <c r="CH167" s="203"/>
      <c r="CI167" s="203"/>
    </row>
    <row r="168" spans="1:142" ht="21" customHeight="1" thickBot="1" x14ac:dyDescent="0.35">
      <c r="B168" s="277">
        <v>3</v>
      </c>
      <c r="C168" s="278"/>
      <c r="D168" s="25">
        <v>0</v>
      </c>
      <c r="E168" s="279" t="s">
        <v>130</v>
      </c>
      <c r="F168" s="258"/>
      <c r="G168" s="258">
        <f>+D168+BC168</f>
        <v>0</v>
      </c>
      <c r="H168" s="506">
        <v>279.06049999999999</v>
      </c>
      <c r="I168" s="507">
        <v>79.962900599999998</v>
      </c>
      <c r="J168" s="474">
        <f t="shared" si="46"/>
        <v>79.962900599999998</v>
      </c>
      <c r="K168" s="474">
        <f t="shared" si="47"/>
        <v>39.981450299999999</v>
      </c>
      <c r="L168" s="474">
        <f t="shared" si="34"/>
        <v>0.64253956655634092</v>
      </c>
      <c r="M168" s="474">
        <f t="shared" si="35"/>
        <v>179.30741271299578</v>
      </c>
      <c r="N168" s="474">
        <f t="shared" si="36"/>
        <v>358.61482542599157</v>
      </c>
      <c r="O168" s="474">
        <f>+C166+D167+(D168/2)</f>
        <v>0</v>
      </c>
      <c r="P168" s="474">
        <f t="shared" si="37"/>
        <v>0</v>
      </c>
      <c r="Q168" s="474">
        <f t="shared" si="38"/>
        <v>0</v>
      </c>
      <c r="R168" s="474">
        <f t="shared" si="48"/>
        <v>213.83080000000001</v>
      </c>
      <c r="S168" s="474">
        <f t="shared" ref="S168:S185" si="62">+S167+Q168</f>
        <v>213.83080000000001</v>
      </c>
      <c r="T168" s="476">
        <f t="shared" si="39"/>
        <v>213.83080000000001</v>
      </c>
      <c r="V168" s="437">
        <f t="shared" si="40"/>
        <v>0</v>
      </c>
      <c r="W168" s="437"/>
      <c r="X168" s="437"/>
      <c r="Y168" s="437"/>
      <c r="Z168" s="437"/>
      <c r="AA168" s="437"/>
      <c r="AB168" s="1595" t="str">
        <f t="shared" si="49"/>
        <v xml:space="preserve"> </v>
      </c>
      <c r="AC168" s="514" t="b">
        <f>IF(AD168=3,AF168)</f>
        <v>0</v>
      </c>
      <c r="AD168" s="514">
        <f t="shared" si="41"/>
        <v>1</v>
      </c>
      <c r="AE168" s="514">
        <f>IF(V168=0,0,3)</f>
        <v>0</v>
      </c>
      <c r="AF168" s="437">
        <f>SUM(V168:V185)/($B$163-B167)</f>
        <v>0</v>
      </c>
      <c r="AG168" s="437"/>
      <c r="AH168" s="450">
        <f>SUM(D167:D168)+$C$166</f>
        <v>0</v>
      </c>
      <c r="AI168" s="516" t="b">
        <f t="shared" si="50"/>
        <v>0</v>
      </c>
      <c r="AJ168" s="287">
        <f t="shared" si="51"/>
        <v>66.255548399999995</v>
      </c>
      <c r="AK168" s="441">
        <f t="shared" si="42"/>
        <v>0.91535047595051022</v>
      </c>
      <c r="AL168" s="289">
        <f t="shared" si="52"/>
        <v>278.56028065668761</v>
      </c>
      <c r="AM168" s="287">
        <f t="shared" si="53"/>
        <v>50.018549700000001</v>
      </c>
      <c r="AN168" s="442">
        <f t="shared" si="54"/>
        <v>0.76625250760411079</v>
      </c>
      <c r="AO168" s="291">
        <f t="shared" si="55"/>
        <v>213.83080789825695</v>
      </c>
      <c r="AP168" s="519">
        <f t="shared" si="43"/>
        <v>-551.99314116720689</v>
      </c>
      <c r="AQ168" s="1639">
        <f t="shared" ref="AQ168:AQ185" si="63">$C$13*($B$163-B167)</f>
        <v>-40.5</v>
      </c>
      <c r="AR168" s="519">
        <f t="shared" si="56"/>
        <v>-11.2</v>
      </c>
      <c r="AS168" s="444">
        <f t="shared" si="57"/>
        <v>492.39108855494453</v>
      </c>
      <c r="AT168" s="445">
        <f>+V168-AO168</f>
        <v>-213.83080789825695</v>
      </c>
      <c r="AU168" s="446">
        <f t="shared" si="58"/>
        <v>-338.16233326894996</v>
      </c>
      <c r="AV168" s="445"/>
      <c r="AW168" s="447">
        <f t="shared" si="59"/>
        <v>-18.891890086247187</v>
      </c>
      <c r="AX168" s="447">
        <f t="shared" si="60"/>
        <v>7.691890086247188</v>
      </c>
      <c r="AY168" s="1597">
        <f t="shared" si="44"/>
        <v>-614.02008729896772</v>
      </c>
      <c r="AZ168" s="1597">
        <f t="shared" si="45"/>
        <v>1300.0705792558874</v>
      </c>
      <c r="BA168" s="542">
        <f t="shared" si="61"/>
        <v>614.02008729896772</v>
      </c>
      <c r="BB168" s="542">
        <f t="shared" si="61"/>
        <v>1300.0705792558874</v>
      </c>
      <c r="BM168" s="214"/>
      <c r="BN168" s="214"/>
      <c r="BO168" s="214"/>
      <c r="BP168" s="126"/>
      <c r="BQ168" s="126"/>
      <c r="BR168" s="126"/>
      <c r="BS168" s="126"/>
      <c r="BT168" s="126"/>
      <c r="BU168" s="126"/>
      <c r="BV168" s="203"/>
      <c r="BW168" s="203"/>
      <c r="BX168" s="203"/>
      <c r="BY168" s="203"/>
      <c r="BZ168" s="203"/>
      <c r="CA168" s="203"/>
      <c r="CB168" s="203"/>
      <c r="CC168" s="203"/>
      <c r="CD168" s="203"/>
      <c r="CE168" s="203"/>
      <c r="CF168" s="203"/>
      <c r="CG168" s="203"/>
      <c r="CH168" s="203"/>
      <c r="CI168" s="203"/>
    </row>
    <row r="169" spans="1:142" ht="21" customHeight="1" thickBot="1" x14ac:dyDescent="0.35">
      <c r="B169" s="277">
        <v>4</v>
      </c>
      <c r="C169" s="278"/>
      <c r="D169" s="25">
        <v>0</v>
      </c>
      <c r="E169" s="279" t="s">
        <v>130</v>
      </c>
      <c r="F169" s="258"/>
      <c r="G169" s="258">
        <f>+D169+BC169</f>
        <v>0</v>
      </c>
      <c r="H169" s="506">
        <v>279.06049999999999</v>
      </c>
      <c r="I169" s="507">
        <v>79.962900599999998</v>
      </c>
      <c r="J169" s="474">
        <f t="shared" si="46"/>
        <v>79.962900599999998</v>
      </c>
      <c r="K169" s="474">
        <f t="shared" si="47"/>
        <v>39.981450299999999</v>
      </c>
      <c r="L169" s="474">
        <f t="shared" si="34"/>
        <v>0.64253956655634092</v>
      </c>
      <c r="M169" s="474">
        <f t="shared" si="35"/>
        <v>179.30741271299578</v>
      </c>
      <c r="N169" s="474">
        <f t="shared" si="36"/>
        <v>358.61482542599157</v>
      </c>
      <c r="O169" s="474">
        <f>+C166+D167+D168+(D169/2)</f>
        <v>0</v>
      </c>
      <c r="P169" s="474">
        <f t="shared" si="37"/>
        <v>0</v>
      </c>
      <c r="Q169" s="474">
        <f t="shared" si="38"/>
        <v>0</v>
      </c>
      <c r="R169" s="474">
        <f t="shared" si="48"/>
        <v>213.83080000000001</v>
      </c>
      <c r="S169" s="474">
        <f t="shared" si="62"/>
        <v>213.83080000000001</v>
      </c>
      <c r="T169" s="476">
        <f t="shared" si="39"/>
        <v>213.83080000000001</v>
      </c>
      <c r="V169" s="437">
        <f t="shared" si="40"/>
        <v>0</v>
      </c>
      <c r="W169" s="437"/>
      <c r="X169" s="437"/>
      <c r="Y169" s="437"/>
      <c r="Z169" s="437"/>
      <c r="AA169" s="437"/>
      <c r="AB169" s="1595" t="str">
        <f t="shared" si="49"/>
        <v>use the locking pin</v>
      </c>
      <c r="AC169" s="514" t="b">
        <f>IF(AD169=4,AF169)</f>
        <v>0</v>
      </c>
      <c r="AD169" s="514">
        <f t="shared" si="41"/>
        <v>1</v>
      </c>
      <c r="AE169" s="514">
        <f>IF(V169=0,0,4)</f>
        <v>0</v>
      </c>
      <c r="AF169" s="437">
        <f>SUM(V169:V185)/($B$163-B168)</f>
        <v>0</v>
      </c>
      <c r="AG169" s="437"/>
      <c r="AH169" s="450">
        <f>SUM(D167:D169)+$C$166</f>
        <v>0</v>
      </c>
      <c r="AI169" s="516" t="b">
        <f t="shared" si="50"/>
        <v>0</v>
      </c>
      <c r="AJ169" s="287">
        <f t="shared" si="51"/>
        <v>66.255548399999995</v>
      </c>
      <c r="AK169" s="441">
        <f t="shared" si="42"/>
        <v>0.91535047595051022</v>
      </c>
      <c r="AL169" s="289">
        <f t="shared" si="52"/>
        <v>278.56028065668761</v>
      </c>
      <c r="AM169" s="287">
        <f t="shared" si="53"/>
        <v>50.018549700000001</v>
      </c>
      <c r="AN169" s="442">
        <f t="shared" si="54"/>
        <v>0.76625250760411079</v>
      </c>
      <c r="AO169" s="291">
        <f t="shared" si="55"/>
        <v>213.83080789825695</v>
      </c>
      <c r="AP169" s="519">
        <f t="shared" si="43"/>
        <v>-119.58071916968504</v>
      </c>
      <c r="AQ169" s="1639">
        <f t="shared" si="63"/>
        <v>-81</v>
      </c>
      <c r="AR169" s="519">
        <f t="shared" si="56"/>
        <v>-51.7</v>
      </c>
      <c r="AS169" s="444">
        <f t="shared" si="57"/>
        <v>492.39108855494453</v>
      </c>
      <c r="AT169" s="445">
        <f>+V169-AO169</f>
        <v>-213.83080789825695</v>
      </c>
      <c r="AU169" s="446">
        <f t="shared" si="58"/>
        <v>94.25008872857191</v>
      </c>
      <c r="AV169" s="445"/>
      <c r="AW169" s="447">
        <f t="shared" si="59"/>
        <v>-41.803944404096519</v>
      </c>
      <c r="AX169" s="447">
        <f t="shared" si="60"/>
        <v>-9.896055595903487</v>
      </c>
      <c r="AY169" s="1597">
        <f t="shared" si="44"/>
        <v>-277.48577712832463</v>
      </c>
      <c r="AZ169" s="1597">
        <f t="shared" si="45"/>
        <v>-1010.5036196582748</v>
      </c>
      <c r="BA169" s="542">
        <f t="shared" si="61"/>
        <v>277.48577712832463</v>
      </c>
      <c r="BB169" s="542">
        <f t="shared" si="61"/>
        <v>1010.5036196582748</v>
      </c>
      <c r="BM169" s="214"/>
      <c r="BN169" s="214"/>
      <c r="BO169" s="214"/>
      <c r="BP169" s="126"/>
      <c r="BQ169" s="126"/>
      <c r="BR169" s="126"/>
      <c r="BS169" s="126"/>
      <c r="BT169" s="126"/>
      <c r="BU169" s="126"/>
      <c r="BV169" s="203"/>
      <c r="BW169" s="203"/>
      <c r="BX169" s="203"/>
      <c r="BY169" s="203"/>
      <c r="BZ169" s="203"/>
      <c r="CA169" s="203"/>
      <c r="CB169" s="203"/>
      <c r="CC169" s="203"/>
      <c r="CD169" s="203"/>
      <c r="CE169" s="203"/>
      <c r="CF169" s="203"/>
      <c r="CG169" s="203"/>
      <c r="CH169" s="203"/>
      <c r="CI169" s="203"/>
    </row>
    <row r="170" spans="1:142" ht="21" customHeight="1" thickBot="1" x14ac:dyDescent="0.35">
      <c r="B170" s="277">
        <v>5</v>
      </c>
      <c r="C170" s="278"/>
      <c r="D170" s="25">
        <v>0</v>
      </c>
      <c r="E170" s="279" t="s">
        <v>130</v>
      </c>
      <c r="F170" s="258"/>
      <c r="G170" s="258">
        <f>+D170+BC170</f>
        <v>0</v>
      </c>
      <c r="H170" s="506">
        <v>279.06049999999999</v>
      </c>
      <c r="I170" s="507">
        <v>79.962900599999998</v>
      </c>
      <c r="J170" s="474">
        <f t="shared" si="46"/>
        <v>79.962900599999998</v>
      </c>
      <c r="K170" s="474">
        <f t="shared" si="47"/>
        <v>39.981450299999999</v>
      </c>
      <c r="L170" s="474">
        <f t="shared" si="34"/>
        <v>0.64253956655634092</v>
      </c>
      <c r="M170" s="474">
        <f t="shared" si="35"/>
        <v>179.30741271299578</v>
      </c>
      <c r="N170" s="474">
        <f t="shared" si="36"/>
        <v>358.61482542599157</v>
      </c>
      <c r="O170" s="474">
        <f>+C166+D167+D168+D169+(D170/2)</f>
        <v>0</v>
      </c>
      <c r="P170" s="474">
        <f t="shared" si="37"/>
        <v>0</v>
      </c>
      <c r="Q170" s="474">
        <f t="shared" si="38"/>
        <v>0</v>
      </c>
      <c r="R170" s="474">
        <f t="shared" si="48"/>
        <v>213.83080000000001</v>
      </c>
      <c r="S170" s="474">
        <f t="shared" si="62"/>
        <v>213.83080000000001</v>
      </c>
      <c r="T170" s="476">
        <f t="shared" si="39"/>
        <v>213.83080000000001</v>
      </c>
      <c r="V170" s="437">
        <f t="shared" si="40"/>
        <v>0</v>
      </c>
      <c r="W170" s="437"/>
      <c r="X170" s="437"/>
      <c r="Y170" s="437"/>
      <c r="Z170" s="437"/>
      <c r="AA170" s="437"/>
      <c r="AB170" s="1595" t="str">
        <f t="shared" si="49"/>
        <v>use the locking pin</v>
      </c>
      <c r="AC170" s="514" t="b">
        <f>IF(AD170=5,AF170)</f>
        <v>0</v>
      </c>
      <c r="AD170" s="514">
        <f t="shared" si="41"/>
        <v>1</v>
      </c>
      <c r="AE170" s="514">
        <f>IF(V170=0,0,5)</f>
        <v>0</v>
      </c>
      <c r="AF170" s="437">
        <f>SUM(V170:V185)/($B$163-B169)</f>
        <v>0</v>
      </c>
      <c r="AG170" s="437"/>
      <c r="AH170" s="450">
        <f>SUM(D167:D170)+$C$166</f>
        <v>0</v>
      </c>
      <c r="AI170" s="516" t="b">
        <f t="shared" si="50"/>
        <v>0</v>
      </c>
      <c r="AJ170" s="287">
        <f t="shared" si="51"/>
        <v>66.255548399999995</v>
      </c>
      <c r="AK170" s="441">
        <f t="shared" si="42"/>
        <v>0.91535047595051022</v>
      </c>
      <c r="AL170" s="289">
        <f t="shared" si="52"/>
        <v>278.56028065668761</v>
      </c>
      <c r="AM170" s="287">
        <f t="shared" si="53"/>
        <v>50.018549700000001</v>
      </c>
      <c r="AN170" s="442">
        <f t="shared" si="54"/>
        <v>0.76625250760411079</v>
      </c>
      <c r="AO170" s="291">
        <f t="shared" si="55"/>
        <v>213.83080789825695</v>
      </c>
      <c r="AP170" s="519">
        <f t="shared" si="43"/>
        <v>-67.05339675783857</v>
      </c>
      <c r="AQ170" s="1639">
        <f t="shared" si="63"/>
        <v>-121.5</v>
      </c>
      <c r="AR170" s="519">
        <f t="shared" si="56"/>
        <v>-92.2</v>
      </c>
      <c r="AS170" s="444">
        <f t="shared" si="57"/>
        <v>492.39108855494453</v>
      </c>
      <c r="AT170" s="445">
        <f t="shared" ref="AT170:AT185" si="64">+V170-AO170</f>
        <v>-213.83080789825695</v>
      </c>
      <c r="AU170" s="446">
        <f t="shared" si="58"/>
        <v>146.77741114041839</v>
      </c>
      <c r="AV170" s="445"/>
      <c r="AW170" s="447">
        <f t="shared" si="59"/>
        <v>-64.715998721945837</v>
      </c>
      <c r="AX170" s="447">
        <f t="shared" si="60"/>
        <v>-27.484001278054166</v>
      </c>
      <c r="AY170" s="1597">
        <f t="shared" si="44"/>
        <v>-179.24470345949132</v>
      </c>
      <c r="AZ170" s="1597">
        <f t="shared" si="45"/>
        <v>-363.84804013180383</v>
      </c>
      <c r="BA170" s="542">
        <f t="shared" si="61"/>
        <v>179.24470345949132</v>
      </c>
      <c r="BB170" s="542">
        <f t="shared" si="61"/>
        <v>363.84804013180383</v>
      </c>
      <c r="BM170" s="214"/>
      <c r="BN170" s="214"/>
      <c r="BO170" s="214"/>
      <c r="BP170" s="126"/>
      <c r="BQ170" s="126"/>
      <c r="BR170" s="126"/>
      <c r="BS170" s="126"/>
      <c r="BT170" s="126"/>
      <c r="BU170" s="126"/>
      <c r="BV170" s="203"/>
      <c r="BW170" s="203"/>
      <c r="BX170" s="203"/>
      <c r="BY170" s="203"/>
      <c r="BZ170" s="203"/>
      <c r="CA170" s="203"/>
      <c r="CB170" s="203"/>
      <c r="CC170" s="203"/>
      <c r="CD170" s="203"/>
      <c r="CE170" s="203"/>
      <c r="CF170" s="203"/>
      <c r="CG170" s="203"/>
      <c r="CH170" s="203"/>
      <c r="CI170" s="203"/>
    </row>
    <row r="171" spans="1:142" ht="21" customHeight="1" thickBot="1" x14ac:dyDescent="0.35">
      <c r="B171" s="277">
        <v>6</v>
      </c>
      <c r="C171" s="278"/>
      <c r="D171" s="25">
        <v>0</v>
      </c>
      <c r="E171" s="279" t="s">
        <v>130</v>
      </c>
      <c r="F171" s="258"/>
      <c r="G171" s="258">
        <f t="shared" ref="G171:G185" si="65">+D171+BC171</f>
        <v>0</v>
      </c>
      <c r="H171" s="506">
        <v>279.06049999999999</v>
      </c>
      <c r="I171" s="507">
        <v>79.962900599999998</v>
      </c>
      <c r="J171" s="474">
        <f t="shared" si="46"/>
        <v>79.962900599999998</v>
      </c>
      <c r="K171" s="474">
        <f t="shared" si="47"/>
        <v>39.981450299999999</v>
      </c>
      <c r="L171" s="474">
        <f t="shared" si="34"/>
        <v>0.64253956655634092</v>
      </c>
      <c r="M171" s="474">
        <f t="shared" si="35"/>
        <v>179.30741271299578</v>
      </c>
      <c r="N171" s="474">
        <f t="shared" si="36"/>
        <v>358.61482542599157</v>
      </c>
      <c r="O171" s="474">
        <f>+C166+D167+D168+D169+D170+(D171/2)</f>
        <v>0</v>
      </c>
      <c r="P171" s="474">
        <f t="shared" si="37"/>
        <v>0</v>
      </c>
      <c r="Q171" s="474">
        <f t="shared" si="38"/>
        <v>0</v>
      </c>
      <c r="R171" s="474">
        <f t="shared" si="48"/>
        <v>213.83080000000001</v>
      </c>
      <c r="S171" s="474">
        <f t="shared" si="62"/>
        <v>213.83080000000001</v>
      </c>
      <c r="T171" s="476">
        <f t="shared" si="39"/>
        <v>213.83080000000001</v>
      </c>
      <c r="V171" s="437">
        <f t="shared" si="40"/>
        <v>0</v>
      </c>
      <c r="W171" s="437"/>
      <c r="X171" s="437"/>
      <c r="Y171" s="437"/>
      <c r="Z171" s="437"/>
      <c r="AA171" s="437"/>
      <c r="AB171" s="1595" t="str">
        <f t="shared" si="49"/>
        <v>use the locking pin</v>
      </c>
      <c r="AC171" s="514" t="b">
        <f>IF(AD171=6,AF171)</f>
        <v>0</v>
      </c>
      <c r="AD171" s="514">
        <f t="shared" si="41"/>
        <v>1</v>
      </c>
      <c r="AE171" s="514">
        <f>IF(V171=0,0,6)</f>
        <v>0</v>
      </c>
      <c r="AF171" s="437">
        <f>SUM(V171:V185)/($B$163-B170)</f>
        <v>0</v>
      </c>
      <c r="AG171" s="437"/>
      <c r="AH171" s="450">
        <f>SUM(D167:D171)+$C$166</f>
        <v>0</v>
      </c>
      <c r="AI171" s="516" t="b">
        <f t="shared" si="50"/>
        <v>0</v>
      </c>
      <c r="AJ171" s="287">
        <f t="shared" si="51"/>
        <v>66.255548399999995</v>
      </c>
      <c r="AK171" s="441">
        <f t="shared" si="42"/>
        <v>0.91535047595051022</v>
      </c>
      <c r="AL171" s="289">
        <f t="shared" si="52"/>
        <v>278.56028065668761</v>
      </c>
      <c r="AM171" s="287">
        <f t="shared" si="53"/>
        <v>50.018549700000001</v>
      </c>
      <c r="AN171" s="442">
        <f t="shared" si="54"/>
        <v>0.76625250760411079</v>
      </c>
      <c r="AO171" s="291">
        <f t="shared" si="55"/>
        <v>213.83080789825695</v>
      </c>
      <c r="AP171" s="519">
        <f t="shared" si="43"/>
        <v>-46.588720279372396</v>
      </c>
      <c r="AQ171" s="1639">
        <f t="shared" si="63"/>
        <v>-162</v>
      </c>
      <c r="AR171" s="519">
        <f t="shared" si="56"/>
        <v>-132.69999999999999</v>
      </c>
      <c r="AS171" s="444">
        <f t="shared" si="57"/>
        <v>492.39108855494453</v>
      </c>
      <c r="AT171" s="445">
        <f t="shared" si="64"/>
        <v>-213.83080789825695</v>
      </c>
      <c r="AU171" s="446">
        <f t="shared" si="58"/>
        <v>167.24208761888457</v>
      </c>
      <c r="AV171" s="445"/>
      <c r="AW171" s="447">
        <f t="shared" si="59"/>
        <v>-87.628053039795148</v>
      </c>
      <c r="AX171" s="447">
        <f t="shared" si="60"/>
        <v>-45.071946960204833</v>
      </c>
      <c r="AY171" s="1597">
        <f t="shared" si="44"/>
        <v>-132.37769866611106</v>
      </c>
      <c r="AZ171" s="1597">
        <f t="shared" si="45"/>
        <v>-221.86749573585658</v>
      </c>
      <c r="BA171" s="542">
        <f t="shared" si="61"/>
        <v>132.37769866611106</v>
      </c>
      <c r="BB171" s="542">
        <f t="shared" si="61"/>
        <v>221.86749573585658</v>
      </c>
      <c r="BM171" s="214"/>
      <c r="BN171" s="214"/>
      <c r="BO171" s="214"/>
      <c r="CI171" s="236"/>
      <c r="CJ171" s="236"/>
      <c r="CK171" s="236"/>
      <c r="CL171" s="236"/>
      <c r="CM171" s="236"/>
      <c r="CN171" s="236"/>
    </row>
    <row r="172" spans="1:142" ht="21" customHeight="1" thickBot="1" x14ac:dyDescent="0.35">
      <c r="B172" s="277">
        <v>7</v>
      </c>
      <c r="C172" s="278"/>
      <c r="D172" s="25">
        <v>0</v>
      </c>
      <c r="E172" s="279" t="s">
        <v>130</v>
      </c>
      <c r="F172" s="258"/>
      <c r="G172" s="258">
        <f t="shared" si="65"/>
        <v>0</v>
      </c>
      <c r="H172" s="506">
        <v>279.06049999999999</v>
      </c>
      <c r="I172" s="507">
        <v>79.962900599999998</v>
      </c>
      <c r="J172" s="474">
        <f t="shared" si="46"/>
        <v>79.962900599999998</v>
      </c>
      <c r="K172" s="474">
        <f t="shared" si="47"/>
        <v>39.981450299999999</v>
      </c>
      <c r="L172" s="474">
        <f t="shared" si="34"/>
        <v>0.64253956655634092</v>
      </c>
      <c r="M172" s="474">
        <f t="shared" si="35"/>
        <v>179.30741271299578</v>
      </c>
      <c r="N172" s="474">
        <f t="shared" si="36"/>
        <v>358.61482542599157</v>
      </c>
      <c r="O172" s="474">
        <f>+C166+D167+D168+D169+D170+D171+(D172/2)</f>
        <v>0</v>
      </c>
      <c r="P172" s="474">
        <f t="shared" si="37"/>
        <v>0</v>
      </c>
      <c r="Q172" s="474">
        <f t="shared" si="38"/>
        <v>0</v>
      </c>
      <c r="R172" s="474">
        <f t="shared" si="48"/>
        <v>213.83080000000001</v>
      </c>
      <c r="S172" s="474">
        <f t="shared" si="62"/>
        <v>213.83080000000001</v>
      </c>
      <c r="T172" s="476">
        <f t="shared" si="39"/>
        <v>213.83080000000001</v>
      </c>
      <c r="V172" s="437">
        <f t="shared" si="40"/>
        <v>0</v>
      </c>
      <c r="W172" s="437"/>
      <c r="X172" s="437"/>
      <c r="Y172" s="437"/>
      <c r="Z172" s="437"/>
      <c r="AA172" s="437"/>
      <c r="AB172" s="1595" t="str">
        <f t="shared" si="49"/>
        <v>use the locking pin</v>
      </c>
      <c r="AC172" s="514" t="b">
        <f>IF(AD172=7,AF172)</f>
        <v>0</v>
      </c>
      <c r="AD172" s="514">
        <f t="shared" si="41"/>
        <v>1</v>
      </c>
      <c r="AE172" s="514">
        <f>IF(V172=0,0,7)</f>
        <v>0</v>
      </c>
      <c r="AF172" s="437">
        <f>SUM(V172:V185)/($B$163-B171)</f>
        <v>0</v>
      </c>
      <c r="AG172" s="437"/>
      <c r="AH172" s="450">
        <f>SUM(D167:D172)+$C$166</f>
        <v>0</v>
      </c>
      <c r="AI172" s="516" t="b">
        <f t="shared" si="50"/>
        <v>0</v>
      </c>
      <c r="AJ172" s="287">
        <f t="shared" si="51"/>
        <v>66.255548399999995</v>
      </c>
      <c r="AK172" s="441">
        <f t="shared" si="42"/>
        <v>0.91535047595051022</v>
      </c>
      <c r="AL172" s="289">
        <f t="shared" si="52"/>
        <v>278.56028065668761</v>
      </c>
      <c r="AM172" s="287">
        <f t="shared" si="53"/>
        <v>50.018549700000001</v>
      </c>
      <c r="AN172" s="442">
        <f t="shared" si="54"/>
        <v>0.76625250760411079</v>
      </c>
      <c r="AO172" s="291">
        <f t="shared" si="55"/>
        <v>213.83080789825695</v>
      </c>
      <c r="AP172" s="519">
        <f t="shared" si="43"/>
        <v>-35.694706588179656</v>
      </c>
      <c r="AQ172" s="1639">
        <f t="shared" si="63"/>
        <v>-202.5</v>
      </c>
      <c r="AR172" s="519">
        <f t="shared" si="56"/>
        <v>-173.2</v>
      </c>
      <c r="AS172" s="444">
        <f t="shared" si="57"/>
        <v>492.39108855494453</v>
      </c>
      <c r="AT172" s="445">
        <f t="shared" si="64"/>
        <v>-213.83080789825695</v>
      </c>
      <c r="AU172" s="446">
        <f t="shared" si="58"/>
        <v>178.13610131007729</v>
      </c>
      <c r="AV172" s="445"/>
      <c r="AW172" s="447">
        <f t="shared" si="59"/>
        <v>-110.54010735764449</v>
      </c>
      <c r="AX172" s="447">
        <f t="shared" si="60"/>
        <v>-62.659892642355501</v>
      </c>
      <c r="AY172" s="1597">
        <f t="shared" si="44"/>
        <v>-104.93928653849632</v>
      </c>
      <c r="AZ172" s="1597">
        <f t="shared" si="45"/>
        <v>-159.59171933276522</v>
      </c>
      <c r="BA172" s="542">
        <f t="shared" si="61"/>
        <v>104.93928653849632</v>
      </c>
      <c r="BB172" s="542">
        <f t="shared" si="61"/>
        <v>159.59171933276522</v>
      </c>
      <c r="BM172" s="214"/>
      <c r="BN172" s="214"/>
      <c r="BO172" s="214"/>
    </row>
    <row r="173" spans="1:142" ht="21" customHeight="1" thickBot="1" x14ac:dyDescent="0.35">
      <c r="B173" s="277">
        <v>8</v>
      </c>
      <c r="C173" s="278"/>
      <c r="D173" s="25">
        <v>0</v>
      </c>
      <c r="E173" s="279" t="s">
        <v>130</v>
      </c>
      <c r="F173" s="258"/>
      <c r="G173" s="258">
        <f t="shared" si="65"/>
        <v>0</v>
      </c>
      <c r="H173" s="506">
        <v>279.06049999999999</v>
      </c>
      <c r="I173" s="507">
        <v>79.962900599999998</v>
      </c>
      <c r="J173" s="474">
        <f t="shared" si="46"/>
        <v>79.962900599999998</v>
      </c>
      <c r="K173" s="474">
        <f t="shared" si="47"/>
        <v>39.981450299999999</v>
      </c>
      <c r="L173" s="474">
        <f t="shared" si="34"/>
        <v>0.64253956655634092</v>
      </c>
      <c r="M173" s="474">
        <f t="shared" si="35"/>
        <v>179.30741271299578</v>
      </c>
      <c r="N173" s="474">
        <f t="shared" si="36"/>
        <v>358.61482542599157</v>
      </c>
      <c r="O173" s="474">
        <f>+C166+D167+D168+D169+D170+D171+D172+(D173/2)</f>
        <v>0</v>
      </c>
      <c r="P173" s="474">
        <f t="shared" si="37"/>
        <v>0</v>
      </c>
      <c r="Q173" s="474">
        <f t="shared" si="38"/>
        <v>0</v>
      </c>
      <c r="R173" s="474">
        <f t="shared" si="48"/>
        <v>213.83080000000001</v>
      </c>
      <c r="S173" s="474">
        <f t="shared" si="62"/>
        <v>213.83080000000001</v>
      </c>
      <c r="T173" s="476">
        <f t="shared" si="39"/>
        <v>213.83080000000001</v>
      </c>
      <c r="V173" s="437">
        <f t="shared" si="40"/>
        <v>0</v>
      </c>
      <c r="W173" s="437"/>
      <c r="X173" s="437"/>
      <c r="Y173" s="437"/>
      <c r="Z173" s="437"/>
      <c r="AA173" s="437"/>
      <c r="AB173" s="1595" t="str">
        <f t="shared" si="49"/>
        <v>use the locking pin</v>
      </c>
      <c r="AC173" s="514" t="b">
        <f>IF(AD173=8,AF173)</f>
        <v>0</v>
      </c>
      <c r="AD173" s="514">
        <f t="shared" si="41"/>
        <v>1</v>
      </c>
      <c r="AE173" s="514">
        <f>IF(V173=0,0,8)</f>
        <v>0</v>
      </c>
      <c r="AF173" s="437">
        <f>SUM(V173:V185)/($B$163-B172)</f>
        <v>0</v>
      </c>
      <c r="AG173" s="437"/>
      <c r="AH173" s="450">
        <f>SUM(D167:D173)+$C$166</f>
        <v>0</v>
      </c>
      <c r="AI173" s="516" t="b">
        <f t="shared" si="50"/>
        <v>0</v>
      </c>
      <c r="AJ173" s="287">
        <f t="shared" si="51"/>
        <v>66.255548399999995</v>
      </c>
      <c r="AK173" s="441">
        <f t="shared" si="42"/>
        <v>0.91535047595051022</v>
      </c>
      <c r="AL173" s="289">
        <f t="shared" si="52"/>
        <v>278.56028065668761</v>
      </c>
      <c r="AM173" s="287">
        <f t="shared" si="53"/>
        <v>50.018549700000001</v>
      </c>
      <c r="AN173" s="442">
        <f t="shared" si="54"/>
        <v>0.76625250760411079</v>
      </c>
      <c r="AO173" s="291">
        <f t="shared" si="55"/>
        <v>213.83080789825695</v>
      </c>
      <c r="AP173" s="519">
        <f t="shared" si="43"/>
        <v>-28.929916617092733</v>
      </c>
      <c r="AQ173" s="1639">
        <f t="shared" si="63"/>
        <v>-243</v>
      </c>
      <c r="AR173" s="519">
        <f t="shared" si="56"/>
        <v>-213.7</v>
      </c>
      <c r="AS173" s="444">
        <f t="shared" si="57"/>
        <v>492.39108855494453</v>
      </c>
      <c r="AT173" s="445">
        <f t="shared" si="64"/>
        <v>-213.83080789825695</v>
      </c>
      <c r="AU173" s="446">
        <f t="shared" si="58"/>
        <v>184.90089128116421</v>
      </c>
      <c r="AV173" s="445"/>
      <c r="AW173" s="447">
        <f t="shared" si="59"/>
        <v>-133.45216167549381</v>
      </c>
      <c r="AX173" s="447">
        <f t="shared" si="60"/>
        <v>-80.247838324506176</v>
      </c>
      <c r="AY173" s="1597">
        <f t="shared" si="44"/>
        <v>-86.922533545817714</v>
      </c>
      <c r="AZ173" s="1597">
        <f t="shared" si="45"/>
        <v>-124.61394859711989</v>
      </c>
      <c r="BA173" s="542">
        <f t="shared" si="61"/>
        <v>86.922533545817714</v>
      </c>
      <c r="BB173" s="542">
        <f t="shared" si="61"/>
        <v>124.61394859711989</v>
      </c>
      <c r="BM173" s="214"/>
      <c r="BN173" s="214"/>
      <c r="BO173" s="214"/>
    </row>
    <row r="174" spans="1:142" ht="21" customHeight="1" thickBot="1" x14ac:dyDescent="0.35">
      <c r="B174" s="277">
        <v>9</v>
      </c>
      <c r="C174" s="278"/>
      <c r="D174" s="25">
        <v>0</v>
      </c>
      <c r="E174" s="279" t="s">
        <v>130</v>
      </c>
      <c r="F174" s="258"/>
      <c r="G174" s="258">
        <f t="shared" si="65"/>
        <v>0</v>
      </c>
      <c r="H174" s="506">
        <v>279.06049999999999</v>
      </c>
      <c r="I174" s="507">
        <v>79.962900599999998</v>
      </c>
      <c r="J174" s="474">
        <f t="shared" si="46"/>
        <v>79.962900599999998</v>
      </c>
      <c r="K174" s="474">
        <f t="shared" si="47"/>
        <v>39.981450299999999</v>
      </c>
      <c r="L174" s="474">
        <f t="shared" si="34"/>
        <v>0.64253956655634092</v>
      </c>
      <c r="M174" s="474">
        <f t="shared" si="35"/>
        <v>179.30741271299578</v>
      </c>
      <c r="N174" s="474">
        <f t="shared" si="36"/>
        <v>358.61482542599157</v>
      </c>
      <c r="O174" s="474">
        <f>+C166+D167+D168+D169+D170+D171+D172+D173+(D174/2)</f>
        <v>0</v>
      </c>
      <c r="P174" s="474">
        <f t="shared" si="37"/>
        <v>0</v>
      </c>
      <c r="Q174" s="474">
        <f t="shared" si="38"/>
        <v>0</v>
      </c>
      <c r="R174" s="474">
        <f t="shared" si="48"/>
        <v>213.83080000000001</v>
      </c>
      <c r="S174" s="474">
        <f t="shared" si="62"/>
        <v>213.83080000000001</v>
      </c>
      <c r="T174" s="476">
        <f t="shared" si="39"/>
        <v>213.83080000000001</v>
      </c>
      <c r="V174" s="437">
        <f t="shared" si="40"/>
        <v>0</v>
      </c>
      <c r="W174" s="437"/>
      <c r="X174" s="437"/>
      <c r="Y174" s="437"/>
      <c r="Z174" s="437"/>
      <c r="AA174" s="437"/>
      <c r="AB174" s="1595" t="str">
        <f t="shared" si="49"/>
        <v>use the locking pin</v>
      </c>
      <c r="AC174" s="514" t="b">
        <f>IF(AD174=9,AF174)</f>
        <v>0</v>
      </c>
      <c r="AD174" s="514">
        <f t="shared" si="41"/>
        <v>1</v>
      </c>
      <c r="AE174" s="514">
        <f>IF(V174=0,0,9)</f>
        <v>0</v>
      </c>
      <c r="AF174" s="437">
        <f>SUM(V174:V185)/($B$163-B173)</f>
        <v>0</v>
      </c>
      <c r="AG174" s="437"/>
      <c r="AH174" s="450">
        <f>SUM(D167:D174)+$C$166</f>
        <v>0</v>
      </c>
      <c r="AI174" s="516" t="b">
        <f t="shared" si="50"/>
        <v>0</v>
      </c>
      <c r="AJ174" s="287">
        <f t="shared" si="51"/>
        <v>66.255548399999995</v>
      </c>
      <c r="AK174" s="441">
        <f t="shared" si="42"/>
        <v>0.91535047595051022</v>
      </c>
      <c r="AL174" s="289">
        <f t="shared" si="52"/>
        <v>278.56028065668761</v>
      </c>
      <c r="AM174" s="287">
        <f t="shared" si="53"/>
        <v>50.018549700000001</v>
      </c>
      <c r="AN174" s="442">
        <f t="shared" si="54"/>
        <v>0.76625250760411079</v>
      </c>
      <c r="AO174" s="291">
        <f t="shared" si="55"/>
        <v>213.83080789825695</v>
      </c>
      <c r="AP174" s="519">
        <f t="shared" si="43"/>
        <v>-24.320704882268753</v>
      </c>
      <c r="AQ174" s="1639">
        <f t="shared" si="63"/>
        <v>-283.5</v>
      </c>
      <c r="AR174" s="519">
        <f t="shared" si="56"/>
        <v>-254.2</v>
      </c>
      <c r="AS174" s="444">
        <f t="shared" si="57"/>
        <v>492.39108855494453</v>
      </c>
      <c r="AT174" s="445">
        <f t="shared" si="64"/>
        <v>-213.83080789825695</v>
      </c>
      <c r="AU174" s="446">
        <f t="shared" si="58"/>
        <v>189.51010301598819</v>
      </c>
      <c r="AV174" s="445"/>
      <c r="AW174" s="447">
        <f t="shared" si="59"/>
        <v>-156.36421599334315</v>
      </c>
      <c r="AX174" s="447">
        <f t="shared" si="60"/>
        <v>-97.835784006656851</v>
      </c>
      <c r="AY174" s="1597">
        <f t="shared" si="44"/>
        <v>-74.185771509856465</v>
      </c>
      <c r="AZ174" s="1597">
        <f t="shared" si="45"/>
        <v>-102.21209040773455</v>
      </c>
      <c r="BA174" s="542">
        <f t="shared" si="61"/>
        <v>74.185771509856465</v>
      </c>
      <c r="BB174" s="542">
        <f t="shared" si="61"/>
        <v>102.21209040773455</v>
      </c>
      <c r="BM174" s="214"/>
      <c r="BN174" s="214"/>
      <c r="BO174" s="214"/>
    </row>
    <row r="175" spans="1:142" ht="21" customHeight="1" thickBot="1" x14ac:dyDescent="0.35">
      <c r="B175" s="277">
        <v>10</v>
      </c>
      <c r="C175" s="278"/>
      <c r="D175" s="25">
        <v>0</v>
      </c>
      <c r="E175" s="279" t="s">
        <v>130</v>
      </c>
      <c r="F175" s="258"/>
      <c r="G175" s="258">
        <f t="shared" si="65"/>
        <v>0</v>
      </c>
      <c r="H175" s="506">
        <v>279.06049999999999</v>
      </c>
      <c r="I175" s="507">
        <v>79.962900599999998</v>
      </c>
      <c r="J175" s="474">
        <f t="shared" si="46"/>
        <v>79.962900599999998</v>
      </c>
      <c r="K175" s="474">
        <f t="shared" si="47"/>
        <v>39.981450299999999</v>
      </c>
      <c r="L175" s="474">
        <f t="shared" si="34"/>
        <v>0.64253956655634092</v>
      </c>
      <c r="M175" s="474">
        <f t="shared" si="35"/>
        <v>179.30741271299578</v>
      </c>
      <c r="N175" s="474">
        <f t="shared" si="36"/>
        <v>358.61482542599157</v>
      </c>
      <c r="O175" s="474">
        <f>+C166+D167+D168+D169+D170+D171+D172+D173+D174+(D175/2)</f>
        <v>0</v>
      </c>
      <c r="P175" s="474">
        <f t="shared" si="37"/>
        <v>0</v>
      </c>
      <c r="Q175" s="474">
        <f t="shared" si="38"/>
        <v>0</v>
      </c>
      <c r="R175" s="474">
        <f t="shared" si="48"/>
        <v>213.83080000000001</v>
      </c>
      <c r="S175" s="474">
        <f t="shared" si="62"/>
        <v>213.83080000000001</v>
      </c>
      <c r="T175" s="476">
        <f t="shared" si="39"/>
        <v>213.83080000000001</v>
      </c>
      <c r="V175" s="437">
        <f t="shared" si="40"/>
        <v>0</v>
      </c>
      <c r="W175" s="437"/>
      <c r="X175" s="437"/>
      <c r="Y175" s="437"/>
      <c r="Z175" s="437"/>
      <c r="AA175" s="437"/>
      <c r="AB175" s="1595" t="str">
        <f t="shared" si="49"/>
        <v>use the locking pin</v>
      </c>
      <c r="AC175" s="514" t="b">
        <f>IF(AD175=10,AF175)</f>
        <v>0</v>
      </c>
      <c r="AD175" s="514">
        <f t="shared" si="41"/>
        <v>1</v>
      </c>
      <c r="AE175" s="514">
        <f>IF(V175=0,0,10)</f>
        <v>0</v>
      </c>
      <c r="AF175" s="437">
        <f>SUM(V175:V185)/($B$163-B174)</f>
        <v>0</v>
      </c>
      <c r="AG175" s="437"/>
      <c r="AH175" s="450">
        <f>SUM(D167:D175)+$C$166</f>
        <v>0</v>
      </c>
      <c r="AI175" s="516" t="b">
        <f t="shared" si="50"/>
        <v>0</v>
      </c>
      <c r="AJ175" s="287">
        <f t="shared" si="51"/>
        <v>66.255548399999995</v>
      </c>
      <c r="AK175" s="441">
        <f t="shared" si="42"/>
        <v>0.91535047595051022</v>
      </c>
      <c r="AL175" s="289">
        <f t="shared" si="52"/>
        <v>278.56028065668761</v>
      </c>
      <c r="AM175" s="287">
        <f t="shared" si="53"/>
        <v>50.018549700000001</v>
      </c>
      <c r="AN175" s="442">
        <f t="shared" si="54"/>
        <v>0.76625250760411079</v>
      </c>
      <c r="AO175" s="291">
        <f t="shared" si="55"/>
        <v>213.83080789825695</v>
      </c>
      <c r="AP175" s="519">
        <f t="shared" si="43"/>
        <v>-20.978361659561305</v>
      </c>
      <c r="AQ175" s="1639">
        <f t="shared" si="63"/>
        <v>-324</v>
      </c>
      <c r="AR175" s="519">
        <f t="shared" si="56"/>
        <v>-294.7</v>
      </c>
      <c r="AS175" s="444">
        <f t="shared" si="57"/>
        <v>492.39108855494453</v>
      </c>
      <c r="AT175" s="445">
        <f t="shared" si="64"/>
        <v>-213.83080789825695</v>
      </c>
      <c r="AU175" s="446">
        <f t="shared" si="58"/>
        <v>192.85244623869565</v>
      </c>
      <c r="AV175" s="445"/>
      <c r="AW175" s="447">
        <f t="shared" si="59"/>
        <v>-179.27627031119249</v>
      </c>
      <c r="AX175" s="447">
        <f t="shared" si="60"/>
        <v>-115.42372968880753</v>
      </c>
      <c r="AY175" s="1597">
        <f t="shared" si="44"/>
        <v>-64.704603570034195</v>
      </c>
      <c r="AZ175" s="1597">
        <f t="shared" si="45"/>
        <v>-86.637297434079414</v>
      </c>
      <c r="BA175" s="542">
        <f t="shared" si="61"/>
        <v>64.704603570034195</v>
      </c>
      <c r="BB175" s="542">
        <f t="shared" si="61"/>
        <v>86.637297434079414</v>
      </c>
      <c r="BM175" s="214"/>
      <c r="BN175" s="214"/>
      <c r="BO175" s="214"/>
    </row>
    <row r="176" spans="1:142" ht="21" customHeight="1" thickBot="1" x14ac:dyDescent="0.35">
      <c r="A176" s="296"/>
      <c r="B176" s="277">
        <v>11</v>
      </c>
      <c r="C176" s="278"/>
      <c r="D176" s="25">
        <v>0</v>
      </c>
      <c r="E176" s="279" t="s">
        <v>130</v>
      </c>
      <c r="F176" s="258"/>
      <c r="G176" s="258">
        <f t="shared" si="65"/>
        <v>0</v>
      </c>
      <c r="H176" s="506">
        <v>279.06049999999999</v>
      </c>
      <c r="I176" s="507">
        <v>79.962900599999998</v>
      </c>
      <c r="J176" s="474">
        <f t="shared" si="46"/>
        <v>79.962900599999998</v>
      </c>
      <c r="K176" s="474">
        <f t="shared" si="47"/>
        <v>39.981450299999999</v>
      </c>
      <c r="L176" s="474">
        <f t="shared" si="34"/>
        <v>0.64253956655634092</v>
      </c>
      <c r="M176" s="474">
        <f t="shared" si="35"/>
        <v>179.30741271299578</v>
      </c>
      <c r="N176" s="474">
        <f t="shared" si="36"/>
        <v>358.61482542599157</v>
      </c>
      <c r="O176" s="474">
        <f>+C166+D167+D168+D169+D170+D171+D172+D173+D174+D175+(D176/2)</f>
        <v>0</v>
      </c>
      <c r="P176" s="474">
        <f t="shared" si="37"/>
        <v>0</v>
      </c>
      <c r="Q176" s="474">
        <f t="shared" si="38"/>
        <v>0</v>
      </c>
      <c r="R176" s="474">
        <f t="shared" si="48"/>
        <v>213.83080000000001</v>
      </c>
      <c r="S176" s="474">
        <f t="shared" si="62"/>
        <v>213.83080000000001</v>
      </c>
      <c r="T176" s="476">
        <f t="shared" si="39"/>
        <v>213.83080000000001</v>
      </c>
      <c r="V176" s="437">
        <f t="shared" si="40"/>
        <v>0</v>
      </c>
      <c r="W176" s="437"/>
      <c r="X176" s="437"/>
      <c r="Y176" s="437"/>
      <c r="Z176" s="437"/>
      <c r="AA176" s="437"/>
      <c r="AB176" s="1595" t="str">
        <f t="shared" si="49"/>
        <v>use the locking pin</v>
      </c>
      <c r="AC176" s="514" t="b">
        <f>IF(AD176=11,AF176)</f>
        <v>0</v>
      </c>
      <c r="AD176" s="514">
        <f t="shared" si="41"/>
        <v>1</v>
      </c>
      <c r="AE176" s="514">
        <f>IF(V176=0,0,11)</f>
        <v>0</v>
      </c>
      <c r="AF176" s="437">
        <f>SUM(V176:V185)/($B$163-B175)</f>
        <v>0</v>
      </c>
      <c r="AG176" s="437"/>
      <c r="AH176" s="450">
        <f>SUM(D167:D176)+$C$166</f>
        <v>0</v>
      </c>
      <c r="AI176" s="516" t="b">
        <f t="shared" si="50"/>
        <v>0</v>
      </c>
      <c r="AJ176" s="287">
        <f t="shared" si="51"/>
        <v>66.255548399999995</v>
      </c>
      <c r="AK176" s="441">
        <f t="shared" si="42"/>
        <v>0.91535047595051022</v>
      </c>
      <c r="AL176" s="289">
        <f t="shared" si="52"/>
        <v>278.56028065668761</v>
      </c>
      <c r="AM176" s="287">
        <f t="shared" si="53"/>
        <v>50.018549700000001</v>
      </c>
      <c r="AN176" s="442">
        <f t="shared" si="54"/>
        <v>0.76625250760411079</v>
      </c>
      <c r="AO176" s="291">
        <f t="shared" si="55"/>
        <v>213.83080789825695</v>
      </c>
      <c r="AP176" s="519">
        <f t="shared" si="43"/>
        <v>-18.443684907734834</v>
      </c>
      <c r="AQ176" s="1639">
        <f t="shared" si="63"/>
        <v>-364.5</v>
      </c>
      <c r="AR176" s="519">
        <f t="shared" si="56"/>
        <v>-335.2</v>
      </c>
      <c r="AS176" s="444">
        <f t="shared" si="57"/>
        <v>492.39108855494453</v>
      </c>
      <c r="AT176" s="445">
        <f t="shared" si="64"/>
        <v>-213.83080789825695</v>
      </c>
      <c r="AU176" s="446">
        <f t="shared" si="58"/>
        <v>195.38712299052213</v>
      </c>
      <c r="AV176" s="445"/>
      <c r="AW176" s="447">
        <f t="shared" si="59"/>
        <v>-202.1883246290418</v>
      </c>
      <c r="AX176" s="447">
        <f t="shared" si="60"/>
        <v>-133.01167537095819</v>
      </c>
      <c r="AY176" s="1597">
        <f t="shared" si="44"/>
        <v>-57.372254413219501</v>
      </c>
      <c r="AZ176" s="1597">
        <f t="shared" si="45"/>
        <v>-75.181370147476571</v>
      </c>
      <c r="BA176" s="542">
        <f t="shared" si="61"/>
        <v>57.372254413219501</v>
      </c>
      <c r="BB176" s="542">
        <f t="shared" si="61"/>
        <v>75.181370147476571</v>
      </c>
      <c r="BM176" s="214"/>
      <c r="BN176" s="214"/>
      <c r="BO176" s="214"/>
    </row>
    <row r="177" spans="1:129" ht="21" customHeight="1" thickBot="1" x14ac:dyDescent="0.35">
      <c r="A177" s="296"/>
      <c r="B177" s="277">
        <v>12</v>
      </c>
      <c r="C177" s="278"/>
      <c r="D177" s="25">
        <v>0</v>
      </c>
      <c r="E177" s="279" t="s">
        <v>130</v>
      </c>
      <c r="F177" s="258"/>
      <c r="G177" s="258">
        <f t="shared" si="65"/>
        <v>0</v>
      </c>
      <c r="H177" s="506">
        <v>279.06049999999999</v>
      </c>
      <c r="I177" s="507">
        <v>79.962900599999998</v>
      </c>
      <c r="J177" s="474">
        <f t="shared" si="46"/>
        <v>79.962900599999998</v>
      </c>
      <c r="K177" s="474">
        <f t="shared" si="47"/>
        <v>39.981450299999999</v>
      </c>
      <c r="L177" s="474">
        <f t="shared" si="34"/>
        <v>0.64253956655634092</v>
      </c>
      <c r="M177" s="474">
        <f t="shared" si="35"/>
        <v>179.30741271299578</v>
      </c>
      <c r="N177" s="474">
        <f t="shared" si="36"/>
        <v>358.61482542599157</v>
      </c>
      <c r="O177" s="474">
        <f>+C166+D167+D168+D169+D170+D171+D172+D173+D174+D175+D176+(D177/2)</f>
        <v>0</v>
      </c>
      <c r="P177" s="474">
        <f t="shared" si="37"/>
        <v>0</v>
      </c>
      <c r="Q177" s="474">
        <f t="shared" si="38"/>
        <v>0</v>
      </c>
      <c r="R177" s="474">
        <f t="shared" si="48"/>
        <v>213.83080000000001</v>
      </c>
      <c r="S177" s="474">
        <f t="shared" si="62"/>
        <v>213.83080000000001</v>
      </c>
      <c r="T177" s="476">
        <f t="shared" si="39"/>
        <v>213.83080000000001</v>
      </c>
      <c r="V177" s="437">
        <f t="shared" si="40"/>
        <v>0</v>
      </c>
      <c r="W177" s="437"/>
      <c r="X177" s="437"/>
      <c r="Y177" s="437"/>
      <c r="Z177" s="437"/>
      <c r="AA177" s="437"/>
      <c r="AB177" s="1595" t="str">
        <f t="shared" si="49"/>
        <v>use the locking pin</v>
      </c>
      <c r="AC177" s="514" t="b">
        <f>IF(AD177=12,AF177)</f>
        <v>0</v>
      </c>
      <c r="AD177" s="514">
        <f t="shared" si="41"/>
        <v>1</v>
      </c>
      <c r="AE177" s="514">
        <f>IF(V177=0,0,12)</f>
        <v>0</v>
      </c>
      <c r="AF177" s="437">
        <f>SUM(V177:V185)/($B$163-B176)</f>
        <v>0</v>
      </c>
      <c r="AG177" s="437"/>
      <c r="AH177" s="450">
        <f>SUM(D167:D177)+$C$166</f>
        <v>0</v>
      </c>
      <c r="AI177" s="516" t="b">
        <f t="shared" si="50"/>
        <v>0</v>
      </c>
      <c r="AJ177" s="287">
        <f t="shared" si="51"/>
        <v>66.255548399999995</v>
      </c>
      <c r="AK177" s="441">
        <f t="shared" si="42"/>
        <v>0.91535047595051022</v>
      </c>
      <c r="AL177" s="289">
        <f t="shared" si="52"/>
        <v>278.56028065668761</v>
      </c>
      <c r="AM177" s="287">
        <f t="shared" si="53"/>
        <v>50.018549700000001</v>
      </c>
      <c r="AN177" s="442">
        <f t="shared" si="54"/>
        <v>0.76625250760411079</v>
      </c>
      <c r="AO177" s="291">
        <f t="shared" si="55"/>
        <v>213.83080789825695</v>
      </c>
      <c r="AP177" s="519">
        <f t="shared" si="43"/>
        <v>-16.455478256781252</v>
      </c>
      <c r="AQ177" s="1639">
        <f t="shared" si="63"/>
        <v>-405</v>
      </c>
      <c r="AR177" s="519">
        <f t="shared" si="56"/>
        <v>-375.7</v>
      </c>
      <c r="AS177" s="444">
        <f t="shared" si="57"/>
        <v>492.39108855494453</v>
      </c>
      <c r="AT177" s="445">
        <f t="shared" si="64"/>
        <v>-213.83080789825695</v>
      </c>
      <c r="AU177" s="446">
        <f t="shared" si="58"/>
        <v>197.3753296414757</v>
      </c>
      <c r="AV177" s="445"/>
      <c r="AW177" s="447">
        <f t="shared" si="59"/>
        <v>-225.10037894689114</v>
      </c>
      <c r="AX177" s="447">
        <f t="shared" si="60"/>
        <v>-150.59962105310888</v>
      </c>
      <c r="AY177" s="1597">
        <f t="shared" si="44"/>
        <v>-51.53256540157507</v>
      </c>
      <c r="AZ177" s="1597">
        <f t="shared" si="45"/>
        <v>-66.401229498934171</v>
      </c>
      <c r="BA177" s="542">
        <f t="shared" si="61"/>
        <v>51.53256540157507</v>
      </c>
      <c r="BB177" s="542">
        <f t="shared" si="61"/>
        <v>66.401229498934171</v>
      </c>
      <c r="BM177" s="214"/>
      <c r="BN177" s="214"/>
      <c r="BO177" s="214"/>
    </row>
    <row r="178" spans="1:129" ht="21" customHeight="1" thickBot="1" x14ac:dyDescent="0.35">
      <c r="B178" s="277">
        <v>13</v>
      </c>
      <c r="C178" s="278"/>
      <c r="D178" s="25">
        <v>0</v>
      </c>
      <c r="E178" s="279" t="s">
        <v>130</v>
      </c>
      <c r="F178" s="258"/>
      <c r="G178" s="258">
        <f t="shared" si="65"/>
        <v>0</v>
      </c>
      <c r="H178" s="506">
        <v>279.06049999999999</v>
      </c>
      <c r="I178" s="507">
        <v>79.962900599999998</v>
      </c>
      <c r="J178" s="474">
        <f t="shared" si="46"/>
        <v>79.962900599999998</v>
      </c>
      <c r="K178" s="474">
        <f t="shared" si="47"/>
        <v>39.981450299999999</v>
      </c>
      <c r="L178" s="474">
        <f t="shared" si="34"/>
        <v>0.64253956655634092</v>
      </c>
      <c r="M178" s="474">
        <f t="shared" si="35"/>
        <v>179.30741271299578</v>
      </c>
      <c r="N178" s="474">
        <f t="shared" si="36"/>
        <v>358.61482542599157</v>
      </c>
      <c r="O178" s="474">
        <f>+C166+D167+D168+D169+D170+D171+D172+D173+D174+D175+D176+D177+(D178/2)</f>
        <v>0</v>
      </c>
      <c r="P178" s="474">
        <f t="shared" si="37"/>
        <v>0</v>
      </c>
      <c r="Q178" s="474">
        <f t="shared" si="38"/>
        <v>0</v>
      </c>
      <c r="R178" s="474">
        <f t="shared" si="48"/>
        <v>213.83080000000001</v>
      </c>
      <c r="S178" s="474">
        <f t="shared" si="62"/>
        <v>213.83080000000001</v>
      </c>
      <c r="T178" s="476">
        <f t="shared" si="39"/>
        <v>213.83080000000001</v>
      </c>
      <c r="V178" s="437">
        <f t="shared" si="40"/>
        <v>0</v>
      </c>
      <c r="W178" s="437"/>
      <c r="X178" s="437"/>
      <c r="Y178" s="437"/>
      <c r="Z178" s="437"/>
      <c r="AA178" s="437"/>
      <c r="AB178" s="1595" t="str">
        <f t="shared" si="49"/>
        <v>use the locking pin</v>
      </c>
      <c r="AC178" s="514" t="b">
        <f>IF(AD178=13,AF178)</f>
        <v>0</v>
      </c>
      <c r="AD178" s="514">
        <f t="shared" si="41"/>
        <v>1</v>
      </c>
      <c r="AE178" s="514">
        <f>IF(V178=0,0,13)</f>
        <v>0</v>
      </c>
      <c r="AF178" s="437">
        <f>SUM(V178:V185)/($B$163-B177)</f>
        <v>0</v>
      </c>
      <c r="AG178" s="437"/>
      <c r="AH178" s="450">
        <f>SUM(D167:D178)+$C$166</f>
        <v>0</v>
      </c>
      <c r="AI178" s="516" t="b">
        <f t="shared" si="50"/>
        <v>0</v>
      </c>
      <c r="AJ178" s="287">
        <f t="shared" si="51"/>
        <v>66.255548399999995</v>
      </c>
      <c r="AK178" s="441">
        <f t="shared" si="42"/>
        <v>0.91535047595051022</v>
      </c>
      <c r="AL178" s="289">
        <f t="shared" si="52"/>
        <v>278.56028065668761</v>
      </c>
      <c r="AM178" s="287">
        <f t="shared" si="53"/>
        <v>50.018549700000001</v>
      </c>
      <c r="AN178" s="442">
        <f t="shared" si="54"/>
        <v>0.76625250760411079</v>
      </c>
      <c r="AO178" s="291">
        <f t="shared" si="55"/>
        <v>213.83080789825695</v>
      </c>
      <c r="AP178" s="519">
        <f t="shared" si="43"/>
        <v>-14.854212352409219</v>
      </c>
      <c r="AQ178" s="1639">
        <f t="shared" si="63"/>
        <v>-445.5</v>
      </c>
      <c r="AR178" s="519">
        <f t="shared" si="56"/>
        <v>-416.2</v>
      </c>
      <c r="AS178" s="444">
        <f t="shared" si="57"/>
        <v>492.39108855494453</v>
      </c>
      <c r="AT178" s="445">
        <f t="shared" si="64"/>
        <v>-213.83080789825695</v>
      </c>
      <c r="AU178" s="446">
        <f t="shared" si="58"/>
        <v>198.97659554584774</v>
      </c>
      <c r="AV178" s="445"/>
      <c r="AW178" s="447">
        <f t="shared" si="59"/>
        <v>-248.01243326474042</v>
      </c>
      <c r="AX178" s="447">
        <f t="shared" si="60"/>
        <v>-168.18756673525954</v>
      </c>
      <c r="AY178" s="1597">
        <f t="shared" si="44"/>
        <v>-46.771848682350537</v>
      </c>
      <c r="AZ178" s="1597">
        <f t="shared" si="45"/>
        <v>-59.45742716963607</v>
      </c>
      <c r="BA178" s="542">
        <f t="shared" si="61"/>
        <v>46.771848682350537</v>
      </c>
      <c r="BB178" s="542">
        <f t="shared" si="61"/>
        <v>59.45742716963607</v>
      </c>
      <c r="BM178" s="214"/>
      <c r="BN178" s="214"/>
      <c r="BO178" s="214"/>
      <c r="DE178" s="126"/>
    </row>
    <row r="179" spans="1:129" ht="21" customHeight="1" thickBot="1" x14ac:dyDescent="0.35">
      <c r="B179" s="277">
        <v>14</v>
      </c>
      <c r="C179" s="278"/>
      <c r="D179" s="25">
        <v>0</v>
      </c>
      <c r="E179" s="279" t="s">
        <v>130</v>
      </c>
      <c r="F179" s="258"/>
      <c r="G179" s="258">
        <f t="shared" si="65"/>
        <v>0</v>
      </c>
      <c r="H179" s="506">
        <v>279.06049999999999</v>
      </c>
      <c r="I179" s="507">
        <v>79.962900599999998</v>
      </c>
      <c r="J179" s="474">
        <f t="shared" si="46"/>
        <v>79.962900599999998</v>
      </c>
      <c r="K179" s="474">
        <f t="shared" si="47"/>
        <v>39.981450299999999</v>
      </c>
      <c r="L179" s="474">
        <f t="shared" si="34"/>
        <v>0.64253956655634092</v>
      </c>
      <c r="M179" s="474">
        <f t="shared" si="35"/>
        <v>179.30741271299578</v>
      </c>
      <c r="N179" s="474">
        <f t="shared" si="36"/>
        <v>358.61482542599157</v>
      </c>
      <c r="O179" s="474">
        <f>+C166+D167+D168+D169+D170+D171+D172+D173+D174+D175+D176+D177+D178+(D179/2)</f>
        <v>0</v>
      </c>
      <c r="P179" s="474">
        <f t="shared" si="37"/>
        <v>0</v>
      </c>
      <c r="Q179" s="474">
        <f t="shared" si="38"/>
        <v>0</v>
      </c>
      <c r="R179" s="474">
        <f t="shared" si="48"/>
        <v>213.83080000000001</v>
      </c>
      <c r="S179" s="474">
        <f t="shared" si="62"/>
        <v>213.83080000000001</v>
      </c>
      <c r="T179" s="476">
        <f t="shared" si="39"/>
        <v>213.83080000000001</v>
      </c>
      <c r="V179" s="437">
        <f t="shared" si="40"/>
        <v>0</v>
      </c>
      <c r="W179" s="437"/>
      <c r="X179" s="437"/>
      <c r="Y179" s="437"/>
      <c r="Z179" s="437"/>
      <c r="AA179" s="437"/>
      <c r="AB179" s="1595" t="str">
        <f t="shared" si="49"/>
        <v>use the locking pin</v>
      </c>
      <c r="AC179" s="514" t="b">
        <f>IF(AD179=14,AF179)</f>
        <v>0</v>
      </c>
      <c r="AD179" s="514">
        <f t="shared" si="41"/>
        <v>1</v>
      </c>
      <c r="AE179" s="514">
        <f>IF(V179=0,0,14)</f>
        <v>0</v>
      </c>
      <c r="AF179" s="437">
        <f>SUM(V179:V185)/($B$163-B178)</f>
        <v>0</v>
      </c>
      <c r="AG179" s="437"/>
      <c r="AH179" s="450">
        <f>SUM(D167:D179)+$C$166</f>
        <v>0</v>
      </c>
      <c r="AI179" s="516" t="b">
        <f t="shared" si="50"/>
        <v>0</v>
      </c>
      <c r="AJ179" s="287">
        <f t="shared" si="51"/>
        <v>66.255548399999995</v>
      </c>
      <c r="AK179" s="441">
        <f t="shared" si="42"/>
        <v>0.91535047595051022</v>
      </c>
      <c r="AL179" s="289">
        <f t="shared" si="52"/>
        <v>278.56028065668761</v>
      </c>
      <c r="AM179" s="287">
        <f t="shared" si="53"/>
        <v>50.018549700000001</v>
      </c>
      <c r="AN179" s="442">
        <f t="shared" si="54"/>
        <v>0.76625250760411079</v>
      </c>
      <c r="AO179" s="291">
        <f t="shared" si="55"/>
        <v>213.83080789825695</v>
      </c>
      <c r="AP179" s="519">
        <f t="shared" si="43"/>
        <v>-13.53694587491289</v>
      </c>
      <c r="AQ179" s="1639">
        <f t="shared" si="63"/>
        <v>-486</v>
      </c>
      <c r="AR179" s="519">
        <f t="shared" si="56"/>
        <v>-456.7</v>
      </c>
      <c r="AS179" s="444">
        <f t="shared" si="57"/>
        <v>492.39108855494453</v>
      </c>
      <c r="AT179" s="445">
        <f t="shared" si="64"/>
        <v>-213.83080789825695</v>
      </c>
      <c r="AU179" s="446">
        <f t="shared" si="58"/>
        <v>200.29386202334405</v>
      </c>
      <c r="AV179" s="445"/>
      <c r="AW179" s="447">
        <f t="shared" si="59"/>
        <v>-270.92448758258979</v>
      </c>
      <c r="AX179" s="447">
        <f t="shared" si="60"/>
        <v>-185.7755124174102</v>
      </c>
      <c r="AY179" s="1597">
        <f t="shared" si="44"/>
        <v>-42.81635854885139</v>
      </c>
      <c r="AZ179" s="1597">
        <f t="shared" si="45"/>
        <v>-53.828407575759897</v>
      </c>
      <c r="BA179" s="542">
        <f t="shared" si="61"/>
        <v>42.81635854885139</v>
      </c>
      <c r="BB179" s="542">
        <f t="shared" si="61"/>
        <v>53.828407575759897</v>
      </c>
      <c r="BM179" s="214"/>
      <c r="BN179" s="214"/>
      <c r="BO179" s="214"/>
      <c r="DE179" s="126"/>
    </row>
    <row r="180" spans="1:129" ht="21" customHeight="1" thickBot="1" x14ac:dyDescent="0.35">
      <c r="B180" s="277">
        <v>15</v>
      </c>
      <c r="C180" s="278"/>
      <c r="D180" s="25">
        <v>0</v>
      </c>
      <c r="E180" s="279" t="s">
        <v>130</v>
      </c>
      <c r="F180" s="258"/>
      <c r="G180" s="258">
        <f t="shared" si="65"/>
        <v>0</v>
      </c>
      <c r="H180" s="506">
        <v>279.06049999999999</v>
      </c>
      <c r="I180" s="507">
        <v>79.962900599999998</v>
      </c>
      <c r="J180" s="474">
        <f t="shared" si="46"/>
        <v>79.962900599999998</v>
      </c>
      <c r="K180" s="474">
        <f t="shared" si="47"/>
        <v>39.981450299999999</v>
      </c>
      <c r="L180" s="474">
        <f t="shared" si="34"/>
        <v>0.64253956655634092</v>
      </c>
      <c r="M180" s="474">
        <f t="shared" si="35"/>
        <v>179.30741271299578</v>
      </c>
      <c r="N180" s="474">
        <f t="shared" si="36"/>
        <v>358.61482542599157</v>
      </c>
      <c r="O180" s="474">
        <f>+C166+D167+D168+D169+D170+D171+D172+D173+D174+D175+D176+D177+D178+D179+(D180/2)</f>
        <v>0</v>
      </c>
      <c r="P180" s="474">
        <f t="shared" si="37"/>
        <v>0</v>
      </c>
      <c r="Q180" s="474">
        <f t="shared" si="38"/>
        <v>0</v>
      </c>
      <c r="R180" s="474">
        <f t="shared" si="48"/>
        <v>213.83080000000001</v>
      </c>
      <c r="S180" s="474">
        <f t="shared" si="62"/>
        <v>213.83080000000001</v>
      </c>
      <c r="T180" s="476">
        <f t="shared" si="39"/>
        <v>213.83080000000001</v>
      </c>
      <c r="V180" s="437">
        <f t="shared" si="40"/>
        <v>0</v>
      </c>
      <c r="W180" s="437"/>
      <c r="X180" s="437"/>
      <c r="Y180" s="437"/>
      <c r="Z180" s="437"/>
      <c r="AA180" s="437"/>
      <c r="AB180" s="1595" t="str">
        <f t="shared" si="49"/>
        <v>use the locking pin</v>
      </c>
      <c r="AC180" s="514" t="b">
        <f>IF(AD180=15,AF180)</f>
        <v>0</v>
      </c>
      <c r="AD180" s="514">
        <f t="shared" si="41"/>
        <v>1</v>
      </c>
      <c r="AE180" s="514">
        <f>IF(V180=0,0,15)</f>
        <v>0</v>
      </c>
      <c r="AF180" s="437">
        <f>SUM(V180:V185)/($B$163-B179)</f>
        <v>0</v>
      </c>
      <c r="AG180" s="437"/>
      <c r="AH180" s="450">
        <f>SUM(D167:D180)+$C$166</f>
        <v>0</v>
      </c>
      <c r="AI180" s="516" t="b">
        <f t="shared" si="50"/>
        <v>0</v>
      </c>
      <c r="AJ180" s="287">
        <f t="shared" si="51"/>
        <v>66.255548399999995</v>
      </c>
      <c r="AK180" s="441">
        <f t="shared" si="42"/>
        <v>0.91535047595051022</v>
      </c>
      <c r="AL180" s="289">
        <f t="shared" si="52"/>
        <v>278.56028065668761</v>
      </c>
      <c r="AM180" s="287">
        <f t="shared" si="53"/>
        <v>50.018549700000001</v>
      </c>
      <c r="AN180" s="442">
        <f t="shared" si="54"/>
        <v>0.76625250760411079</v>
      </c>
      <c r="AO180" s="291">
        <f t="shared" si="55"/>
        <v>213.83080789825695</v>
      </c>
      <c r="AP180" s="519">
        <f t="shared" si="43"/>
        <v>-12.434278320741587</v>
      </c>
      <c r="AQ180" s="1639">
        <f t="shared" si="63"/>
        <v>-526.5</v>
      </c>
      <c r="AR180" s="519">
        <f t="shared" si="56"/>
        <v>-497.2</v>
      </c>
      <c r="AS180" s="444">
        <f t="shared" si="57"/>
        <v>492.39108855494453</v>
      </c>
      <c r="AT180" s="445">
        <f t="shared" si="64"/>
        <v>-213.83080789825695</v>
      </c>
      <c r="AU180" s="446">
        <f t="shared" si="58"/>
        <v>201.39652957751537</v>
      </c>
      <c r="AV180" s="445"/>
      <c r="AW180" s="447">
        <f t="shared" si="59"/>
        <v>-293.8365419004391</v>
      </c>
      <c r="AX180" s="447">
        <f t="shared" si="60"/>
        <v>-203.36345809956089</v>
      </c>
      <c r="AY180" s="1597">
        <f t="shared" si="44"/>
        <v>-39.477731139139387</v>
      </c>
      <c r="AZ180" s="1597">
        <f t="shared" si="45"/>
        <v>-49.173042656976691</v>
      </c>
      <c r="BA180" s="542">
        <f t="shared" si="61"/>
        <v>39.477731139139387</v>
      </c>
      <c r="BB180" s="542">
        <f t="shared" si="61"/>
        <v>49.173042656976691</v>
      </c>
      <c r="BM180" s="214"/>
      <c r="BN180" s="214"/>
      <c r="BO180" s="214"/>
      <c r="DE180" s="126"/>
    </row>
    <row r="181" spans="1:129" ht="21" customHeight="1" thickBot="1" x14ac:dyDescent="0.35">
      <c r="B181" s="277">
        <v>16</v>
      </c>
      <c r="C181" s="278"/>
      <c r="D181" s="25">
        <v>0</v>
      </c>
      <c r="E181" s="279" t="s">
        <v>130</v>
      </c>
      <c r="F181" s="258"/>
      <c r="G181" s="258">
        <f t="shared" si="65"/>
        <v>0</v>
      </c>
      <c r="H181" s="506">
        <v>279.06049999999999</v>
      </c>
      <c r="I181" s="507">
        <v>79.962900599999998</v>
      </c>
      <c r="J181" s="474">
        <f t="shared" si="46"/>
        <v>79.962900599999998</v>
      </c>
      <c r="K181" s="474">
        <f t="shared" si="47"/>
        <v>39.981450299999999</v>
      </c>
      <c r="L181" s="474">
        <f t="shared" si="34"/>
        <v>0.64253956655634092</v>
      </c>
      <c r="M181" s="474">
        <f t="shared" si="35"/>
        <v>179.30741271299578</v>
      </c>
      <c r="N181" s="474">
        <f t="shared" si="36"/>
        <v>358.61482542599157</v>
      </c>
      <c r="O181" s="474">
        <f>+C166+D167+D168+D169+D170+D171+D172+D173+D174+D175+D176+D177+D178+D179+D180+(D181/2)</f>
        <v>0</v>
      </c>
      <c r="P181" s="474">
        <f t="shared" si="37"/>
        <v>0</v>
      </c>
      <c r="Q181" s="474">
        <f t="shared" si="38"/>
        <v>0</v>
      </c>
      <c r="R181" s="474">
        <f t="shared" si="48"/>
        <v>213.83080000000001</v>
      </c>
      <c r="S181" s="474">
        <f t="shared" si="62"/>
        <v>213.83080000000001</v>
      </c>
      <c r="T181" s="476">
        <f t="shared" si="39"/>
        <v>213.83080000000001</v>
      </c>
      <c r="V181" s="437">
        <f t="shared" si="40"/>
        <v>0</v>
      </c>
      <c r="W181" s="437"/>
      <c r="X181" s="437"/>
      <c r="Y181" s="437"/>
      <c r="Z181" s="437"/>
      <c r="AA181" s="437"/>
      <c r="AB181" s="1595" t="str">
        <f t="shared" si="49"/>
        <v>use the locking pin</v>
      </c>
      <c r="AC181" s="514" t="b">
        <f>IF(AD181=16,AF181)</f>
        <v>0</v>
      </c>
      <c r="AD181" s="514">
        <f t="shared" si="41"/>
        <v>1</v>
      </c>
      <c r="AE181" s="514">
        <f>IF(V181=0,0,16)</f>
        <v>0</v>
      </c>
      <c r="AF181" s="437">
        <f>SUM(V181:V185)/($B$163-B180)</f>
        <v>0</v>
      </c>
      <c r="AG181" s="437"/>
      <c r="AH181" s="450">
        <f>SUM(D167:D181)+$C$166</f>
        <v>0</v>
      </c>
      <c r="AI181" s="516" t="b">
        <f t="shared" si="50"/>
        <v>0</v>
      </c>
      <c r="AJ181" s="287">
        <f t="shared" si="51"/>
        <v>66.255548399999995</v>
      </c>
      <c r="AK181" s="441">
        <f t="shared" si="42"/>
        <v>0.91535047595051022</v>
      </c>
      <c r="AL181" s="289">
        <f t="shared" si="52"/>
        <v>278.56028065668761</v>
      </c>
      <c r="AM181" s="287">
        <f t="shared" si="53"/>
        <v>50.018549700000001</v>
      </c>
      <c r="AN181" s="442">
        <f t="shared" si="54"/>
        <v>0.76625250760411079</v>
      </c>
      <c r="AO181" s="291">
        <f t="shared" si="55"/>
        <v>213.83080789825695</v>
      </c>
      <c r="AP181" s="519">
        <f t="shared" si="43"/>
        <v>-11.497718395151043</v>
      </c>
      <c r="AQ181" s="1639">
        <f t="shared" si="63"/>
        <v>-567</v>
      </c>
      <c r="AR181" s="519">
        <f t="shared" si="56"/>
        <v>-537.70000000000005</v>
      </c>
      <c r="AS181" s="444">
        <f t="shared" si="57"/>
        <v>492.39108855494453</v>
      </c>
      <c r="AT181" s="445">
        <f t="shared" si="64"/>
        <v>-213.83080789825695</v>
      </c>
      <c r="AU181" s="446">
        <f t="shared" si="58"/>
        <v>202.3330895031059</v>
      </c>
      <c r="AV181" s="445"/>
      <c r="AW181" s="447">
        <f t="shared" si="59"/>
        <v>-316.74859621828847</v>
      </c>
      <c r="AX181" s="447">
        <f t="shared" si="60"/>
        <v>-220.95140378171158</v>
      </c>
      <c r="AY181" s="1597">
        <f t="shared" si="44"/>
        <v>-36.622103897205015</v>
      </c>
      <c r="AZ181" s="1597">
        <f t="shared" si="45"/>
        <v>-45.258820848585678</v>
      </c>
      <c r="BA181" s="542">
        <f t="shared" si="61"/>
        <v>36.622103897205015</v>
      </c>
      <c r="BB181" s="542">
        <f t="shared" si="61"/>
        <v>45.258820848585678</v>
      </c>
      <c r="BM181" s="214"/>
      <c r="BN181" s="214"/>
      <c r="BO181" s="214"/>
      <c r="DE181" s="126"/>
    </row>
    <row r="182" spans="1:129" ht="21" customHeight="1" thickBot="1" x14ac:dyDescent="0.35">
      <c r="B182" s="277">
        <v>17</v>
      </c>
      <c r="C182" s="278"/>
      <c r="D182" s="25">
        <v>0</v>
      </c>
      <c r="E182" s="279" t="s">
        <v>130</v>
      </c>
      <c r="F182" s="258"/>
      <c r="G182" s="258">
        <f t="shared" si="65"/>
        <v>0</v>
      </c>
      <c r="H182" s="506">
        <v>279.06049999999999</v>
      </c>
      <c r="I182" s="507">
        <v>79.962900599999998</v>
      </c>
      <c r="J182" s="474">
        <f t="shared" si="46"/>
        <v>79.962900599999998</v>
      </c>
      <c r="K182" s="474">
        <f t="shared" si="47"/>
        <v>39.981450299999999</v>
      </c>
      <c r="L182" s="474">
        <f t="shared" si="34"/>
        <v>0.64253956655634092</v>
      </c>
      <c r="M182" s="474">
        <f t="shared" si="35"/>
        <v>179.30741271299578</v>
      </c>
      <c r="N182" s="474">
        <f t="shared" si="36"/>
        <v>358.61482542599157</v>
      </c>
      <c r="O182" s="474">
        <f>+C166+D167+D168+D169+D170+D171+D172+D173+D174+D175+D176+D177+D178+D179+D180+D181+(D182/2)</f>
        <v>0</v>
      </c>
      <c r="P182" s="474">
        <f t="shared" si="37"/>
        <v>0</v>
      </c>
      <c r="Q182" s="474">
        <f t="shared" si="38"/>
        <v>0</v>
      </c>
      <c r="R182" s="474">
        <f t="shared" si="48"/>
        <v>213.83080000000001</v>
      </c>
      <c r="S182" s="474">
        <f t="shared" si="62"/>
        <v>213.83080000000001</v>
      </c>
      <c r="T182" s="476">
        <f t="shared" si="39"/>
        <v>213.83080000000001</v>
      </c>
      <c r="V182" s="437">
        <f t="shared" si="40"/>
        <v>0</v>
      </c>
      <c r="W182" s="437"/>
      <c r="X182" s="437"/>
      <c r="Y182" s="437"/>
      <c r="Z182" s="437"/>
      <c r="AA182" s="437"/>
      <c r="AB182" s="1595" t="str">
        <f t="shared" si="49"/>
        <v>use the locking pin</v>
      </c>
      <c r="AC182" s="514" t="b">
        <f>IF(AD182=17,AF182)</f>
        <v>0</v>
      </c>
      <c r="AD182" s="514">
        <f t="shared" si="41"/>
        <v>1</v>
      </c>
      <c r="AE182" s="514">
        <f>IF(V182=0,0,17)</f>
        <v>0</v>
      </c>
      <c r="AF182" s="437">
        <f>SUM(V182:V185)/($B$163-B181)</f>
        <v>0</v>
      </c>
      <c r="AG182" s="437"/>
      <c r="AH182" s="450">
        <f>SUM(D167:D182)+$C$166</f>
        <v>0</v>
      </c>
      <c r="AI182" s="516" t="b">
        <f t="shared" si="50"/>
        <v>0</v>
      </c>
      <c r="AJ182" s="287">
        <f t="shared" si="51"/>
        <v>66.255548399999995</v>
      </c>
      <c r="AK182" s="441">
        <f t="shared" si="42"/>
        <v>0.91535047595051022</v>
      </c>
      <c r="AL182" s="289">
        <f t="shared" si="52"/>
        <v>278.56028065668761</v>
      </c>
      <c r="AM182" s="287">
        <f t="shared" si="53"/>
        <v>50.018549700000001</v>
      </c>
      <c r="AN182" s="442">
        <f t="shared" si="54"/>
        <v>0.76625250760411079</v>
      </c>
      <c r="AO182" s="291">
        <f t="shared" si="55"/>
        <v>213.83080789825695</v>
      </c>
      <c r="AP182" s="519">
        <f t="shared" si="43"/>
        <v>-10.692361087984635</v>
      </c>
      <c r="AQ182" s="1639">
        <f t="shared" si="63"/>
        <v>-607.5</v>
      </c>
      <c r="AR182" s="519">
        <f t="shared" si="56"/>
        <v>-578.20000000000005</v>
      </c>
      <c r="AS182" s="444">
        <f t="shared" si="57"/>
        <v>492.39108855494453</v>
      </c>
      <c r="AT182" s="445">
        <f t="shared" si="64"/>
        <v>-213.83080789825695</v>
      </c>
      <c r="AU182" s="446">
        <f t="shared" si="58"/>
        <v>203.13844681027231</v>
      </c>
      <c r="AV182" s="445"/>
      <c r="AW182" s="447">
        <f t="shared" si="59"/>
        <v>-339.66065053613784</v>
      </c>
      <c r="AX182" s="447">
        <f t="shared" si="60"/>
        <v>-238.53934946386227</v>
      </c>
      <c r="AY182" s="1597">
        <f t="shared" si="44"/>
        <v>-34.151733448340167</v>
      </c>
      <c r="AZ182" s="1597">
        <f t="shared" si="45"/>
        <v>-41.921804609913885</v>
      </c>
      <c r="BA182" s="542">
        <f t="shared" si="61"/>
        <v>34.151733448340167</v>
      </c>
      <c r="BB182" s="542">
        <f t="shared" si="61"/>
        <v>41.921804609913885</v>
      </c>
      <c r="BD182" s="136"/>
      <c r="BM182" s="214"/>
      <c r="BN182" s="214"/>
      <c r="BO182" s="214"/>
      <c r="DF182" s="126"/>
      <c r="DG182" s="126"/>
      <c r="DH182" s="126"/>
      <c r="DI182" s="126"/>
      <c r="DJ182" s="126"/>
      <c r="DK182" s="126"/>
      <c r="DL182" s="203"/>
      <c r="DM182" s="203"/>
      <c r="DN182" s="203"/>
      <c r="DO182" s="203"/>
      <c r="DP182" s="203"/>
      <c r="DQ182" s="203"/>
      <c r="DR182" s="203"/>
      <c r="DS182" s="203"/>
      <c r="DT182" s="203"/>
      <c r="DU182" s="203"/>
      <c r="DV182" s="203"/>
      <c r="DW182" s="203"/>
      <c r="DX182" s="203"/>
      <c r="DY182" s="203"/>
    </row>
    <row r="183" spans="1:129" ht="21" customHeight="1" thickBot="1" x14ac:dyDescent="0.35">
      <c r="B183" s="277">
        <v>18</v>
      </c>
      <c r="C183" s="278"/>
      <c r="D183" s="25">
        <v>0</v>
      </c>
      <c r="E183" s="279" t="s">
        <v>130</v>
      </c>
      <c r="F183" s="258"/>
      <c r="G183" s="258">
        <f t="shared" si="65"/>
        <v>0</v>
      </c>
      <c r="H183" s="506">
        <v>279.06049999999999</v>
      </c>
      <c r="I183" s="507">
        <v>79.962900599999998</v>
      </c>
      <c r="J183" s="474">
        <f t="shared" si="46"/>
        <v>79.962900599999998</v>
      </c>
      <c r="K183" s="474">
        <f t="shared" si="47"/>
        <v>39.981450299999999</v>
      </c>
      <c r="L183" s="474">
        <f t="shared" si="34"/>
        <v>0.64253956655634092</v>
      </c>
      <c r="M183" s="474">
        <f t="shared" si="35"/>
        <v>179.30741271299578</v>
      </c>
      <c r="N183" s="474">
        <f t="shared" si="36"/>
        <v>358.61482542599157</v>
      </c>
      <c r="O183" s="474">
        <f>+C166+D167+D168+D169+D170+D171+D172+D173+D174+D175+D176+D177+D178+D179+D180+D181+D182+(D183/2)</f>
        <v>0</v>
      </c>
      <c r="P183" s="474">
        <f t="shared" si="37"/>
        <v>0</v>
      </c>
      <c r="Q183" s="474">
        <f t="shared" si="38"/>
        <v>0</v>
      </c>
      <c r="R183" s="474">
        <f t="shared" si="48"/>
        <v>213.83080000000001</v>
      </c>
      <c r="S183" s="474">
        <f t="shared" si="62"/>
        <v>213.83080000000001</v>
      </c>
      <c r="T183" s="476">
        <f t="shared" si="39"/>
        <v>213.83080000000001</v>
      </c>
      <c r="V183" s="437">
        <f t="shared" si="40"/>
        <v>0</v>
      </c>
      <c r="W183" s="437"/>
      <c r="X183" s="437"/>
      <c r="Y183" s="437"/>
      <c r="Z183" s="437"/>
      <c r="AA183" s="437"/>
      <c r="AB183" s="1595" t="str">
        <f t="shared" si="49"/>
        <v>use the locking pin</v>
      </c>
      <c r="AC183" s="514" t="b">
        <f>IF(AD183=18,AF183)</f>
        <v>0</v>
      </c>
      <c r="AD183" s="514">
        <f t="shared" si="41"/>
        <v>1</v>
      </c>
      <c r="AE183" s="514">
        <f>IF(V183=0,0,18)</f>
        <v>0</v>
      </c>
      <c r="AF183" s="437">
        <f>SUM(V183:V185)/($B$163-B182)</f>
        <v>0</v>
      </c>
      <c r="AG183" s="437"/>
      <c r="AH183" s="450">
        <f>SUM(D167:D183)+$C$166</f>
        <v>0</v>
      </c>
      <c r="AI183" s="516" t="b">
        <f t="shared" si="50"/>
        <v>0</v>
      </c>
      <c r="AJ183" s="287">
        <f t="shared" si="51"/>
        <v>66.255548399999995</v>
      </c>
      <c r="AK183" s="441">
        <f t="shared" si="42"/>
        <v>0.91535047595051022</v>
      </c>
      <c r="AL183" s="289">
        <f t="shared" si="52"/>
        <v>278.56028065668761</v>
      </c>
      <c r="AM183" s="287">
        <f t="shared" si="53"/>
        <v>50.018549700000001</v>
      </c>
      <c r="AN183" s="442">
        <f t="shared" si="54"/>
        <v>0.76625250760411079</v>
      </c>
      <c r="AO183" s="291">
        <f t="shared" si="55"/>
        <v>213.83080789825695</v>
      </c>
      <c r="AP183" s="519">
        <f t="shared" si="43"/>
        <v>-9.9924408939271316</v>
      </c>
      <c r="AQ183" s="1639">
        <f t="shared" si="63"/>
        <v>-648</v>
      </c>
      <c r="AR183" s="519">
        <f t="shared" si="56"/>
        <v>-618.70000000000005</v>
      </c>
      <c r="AS183" s="444">
        <f t="shared" si="57"/>
        <v>492.39108855494453</v>
      </c>
      <c r="AT183" s="445">
        <f t="shared" si="64"/>
        <v>-213.83080789825695</v>
      </c>
      <c r="AU183" s="446">
        <f t="shared" si="58"/>
        <v>203.83836700432983</v>
      </c>
      <c r="AV183" s="445"/>
      <c r="AW183" s="447">
        <f t="shared" si="59"/>
        <v>-362.57270485398715</v>
      </c>
      <c r="AX183" s="447">
        <f t="shared" si="60"/>
        <v>-256.12729514601295</v>
      </c>
      <c r="AY183" s="1597">
        <f t="shared" si="44"/>
        <v>-31.993583203323247</v>
      </c>
      <c r="AZ183" s="1597">
        <f t="shared" si="45"/>
        <v>-39.04308595575182</v>
      </c>
      <c r="BA183" s="542">
        <f t="shared" si="61"/>
        <v>31.993583203323247</v>
      </c>
      <c r="BB183" s="542">
        <f t="shared" si="61"/>
        <v>39.04308595575182</v>
      </c>
      <c r="BD183" s="458"/>
      <c r="BM183" s="214"/>
      <c r="BN183" s="214"/>
      <c r="BO183" s="214"/>
      <c r="DF183" s="126"/>
      <c r="DG183" s="126"/>
      <c r="DH183" s="126"/>
      <c r="DI183" s="126"/>
      <c r="DJ183" s="126"/>
      <c r="DK183" s="126"/>
      <c r="DL183" s="203"/>
      <c r="DM183" s="203"/>
      <c r="DN183" s="203"/>
      <c r="DO183" s="203"/>
      <c r="DP183" s="203"/>
      <c r="DQ183" s="203"/>
      <c r="DR183" s="203"/>
      <c r="DS183" s="203"/>
      <c r="DT183" s="203"/>
      <c r="DU183" s="203"/>
      <c r="DV183" s="203"/>
      <c r="DW183" s="203"/>
      <c r="DX183" s="203"/>
      <c r="DY183" s="203"/>
    </row>
    <row r="184" spans="1:129" ht="21" customHeight="1" thickBot="1" x14ac:dyDescent="0.35">
      <c r="B184" s="277">
        <v>19</v>
      </c>
      <c r="C184" s="278"/>
      <c r="D184" s="25">
        <v>0</v>
      </c>
      <c r="E184" s="279" t="s">
        <v>130</v>
      </c>
      <c r="F184" s="258"/>
      <c r="G184" s="258">
        <f t="shared" si="65"/>
        <v>0</v>
      </c>
      <c r="H184" s="506">
        <v>279.06049999999999</v>
      </c>
      <c r="I184" s="507">
        <v>79.962900599999998</v>
      </c>
      <c r="J184" s="474">
        <f t="shared" si="46"/>
        <v>79.962900599999998</v>
      </c>
      <c r="K184" s="474">
        <f t="shared" si="47"/>
        <v>39.981450299999999</v>
      </c>
      <c r="L184" s="474">
        <f t="shared" si="34"/>
        <v>0.64253956655634092</v>
      </c>
      <c r="M184" s="474">
        <f t="shared" si="35"/>
        <v>179.30741271299578</v>
      </c>
      <c r="N184" s="474">
        <f t="shared" si="36"/>
        <v>358.61482542599157</v>
      </c>
      <c r="O184" s="474">
        <f>+C166+D167+D168+D169+D170+D171+D172+D173+D174+D175+D176+D177+D178+D179+D180+D181+D182+D183+(D184/2)</f>
        <v>0</v>
      </c>
      <c r="P184" s="474">
        <f t="shared" si="37"/>
        <v>0</v>
      </c>
      <c r="Q184" s="474">
        <f t="shared" si="38"/>
        <v>0</v>
      </c>
      <c r="R184" s="474">
        <f t="shared" si="48"/>
        <v>213.83080000000001</v>
      </c>
      <c r="S184" s="474">
        <f t="shared" si="62"/>
        <v>213.83080000000001</v>
      </c>
      <c r="T184" s="476">
        <f t="shared" si="39"/>
        <v>213.83080000000001</v>
      </c>
      <c r="V184" s="437">
        <f t="shared" si="40"/>
        <v>0</v>
      </c>
      <c r="W184" s="437"/>
      <c r="X184" s="437"/>
      <c r="Y184" s="437"/>
      <c r="Z184" s="437"/>
      <c r="AA184" s="437"/>
      <c r="AB184" s="1595" t="str">
        <f t="shared" si="49"/>
        <v>use the locking pin</v>
      </c>
      <c r="AC184" s="514" t="b">
        <f>IF(AD184=19,AF184)</f>
        <v>0</v>
      </c>
      <c r="AD184" s="514">
        <f t="shared" si="41"/>
        <v>1</v>
      </c>
      <c r="AE184" s="514">
        <f>IF(V184=0,0,19)</f>
        <v>0</v>
      </c>
      <c r="AF184" s="437">
        <f>SUM(V184:V185)/($B$163-B183)</f>
        <v>0</v>
      </c>
      <c r="AG184" s="437"/>
      <c r="AH184" s="450">
        <f>SUM(D167:D184)+$C$166</f>
        <v>0</v>
      </c>
      <c r="AI184" s="516" t="b">
        <f t="shared" si="50"/>
        <v>0</v>
      </c>
      <c r="AJ184" s="287">
        <f t="shared" si="51"/>
        <v>66.255548399999995</v>
      </c>
      <c r="AK184" s="441">
        <f t="shared" si="42"/>
        <v>0.91535047595051022</v>
      </c>
      <c r="AL184" s="289">
        <f t="shared" si="52"/>
        <v>278.56028065668761</v>
      </c>
      <c r="AM184" s="287">
        <f t="shared" si="53"/>
        <v>50.018549700000001</v>
      </c>
      <c r="AN184" s="442">
        <f t="shared" si="54"/>
        <v>0.76625250760411079</v>
      </c>
      <c r="AO184" s="291">
        <f t="shared" si="55"/>
        <v>213.83080789825695</v>
      </c>
      <c r="AP184" s="519">
        <f t="shared" si="43"/>
        <v>-9.3785242431321549</v>
      </c>
      <c r="AQ184" s="1639">
        <f t="shared" si="63"/>
        <v>-688.5</v>
      </c>
      <c r="AR184" s="519">
        <f t="shared" si="56"/>
        <v>-659.2</v>
      </c>
      <c r="AS184" s="444">
        <f t="shared" si="57"/>
        <v>492.39108855494453</v>
      </c>
      <c r="AT184" s="445">
        <f t="shared" si="64"/>
        <v>-213.83080789825695</v>
      </c>
      <c r="AU184" s="446">
        <f t="shared" si="58"/>
        <v>204.4522836551248</v>
      </c>
      <c r="AV184" s="445"/>
      <c r="AW184" s="447">
        <f t="shared" si="59"/>
        <v>-385.4847591718364</v>
      </c>
      <c r="AX184" s="447">
        <f t="shared" si="60"/>
        <v>-273.71524082816359</v>
      </c>
      <c r="AY184" s="1597">
        <f t="shared" si="44"/>
        <v>-30.091980873436043</v>
      </c>
      <c r="AZ184" s="1597">
        <f t="shared" si="45"/>
        <v>-36.534319279202748</v>
      </c>
      <c r="BA184" s="542">
        <f t="shared" si="61"/>
        <v>30.091980873436043</v>
      </c>
      <c r="BB184" s="542">
        <f t="shared" si="61"/>
        <v>36.534319279202748</v>
      </c>
      <c r="BD184" s="144"/>
      <c r="BM184" s="214"/>
      <c r="BN184" s="214"/>
      <c r="BO184" s="214"/>
      <c r="DF184" s="126"/>
      <c r="DG184" s="126"/>
      <c r="DH184" s="126"/>
      <c r="DI184" s="126"/>
      <c r="DJ184" s="126"/>
      <c r="DK184" s="126"/>
      <c r="DL184" s="203"/>
      <c r="DM184" s="203"/>
      <c r="DN184" s="203"/>
      <c r="DO184" s="203"/>
      <c r="DP184" s="203"/>
      <c r="DQ184" s="203"/>
      <c r="DR184" s="203"/>
      <c r="DS184" s="203"/>
      <c r="DT184" s="203"/>
      <c r="DU184" s="203"/>
      <c r="DV184" s="203"/>
      <c r="DW184" s="203"/>
      <c r="DX184" s="203"/>
      <c r="DY184" s="203"/>
    </row>
    <row r="185" spans="1:129" ht="21" customHeight="1" thickBot="1" x14ac:dyDescent="0.35">
      <c r="B185" s="277">
        <v>20</v>
      </c>
      <c r="C185" s="278"/>
      <c r="D185" s="25">
        <v>0</v>
      </c>
      <c r="E185" s="279" t="s">
        <v>130</v>
      </c>
      <c r="F185" s="258"/>
      <c r="G185" s="258">
        <f t="shared" si="65"/>
        <v>0</v>
      </c>
      <c r="H185" s="506">
        <v>279.06049999999999</v>
      </c>
      <c r="I185" s="507">
        <v>79.962900599999998</v>
      </c>
      <c r="J185" s="474">
        <f t="shared" si="46"/>
        <v>79.962900599999998</v>
      </c>
      <c r="K185" s="474">
        <f t="shared" si="47"/>
        <v>39.981450299999999</v>
      </c>
      <c r="L185" s="474">
        <f t="shared" si="34"/>
        <v>0.64253956655634092</v>
      </c>
      <c r="M185" s="474">
        <f t="shared" si="35"/>
        <v>179.30741271299578</v>
      </c>
      <c r="N185" s="474">
        <f t="shared" si="36"/>
        <v>358.61482542599157</v>
      </c>
      <c r="O185" s="474">
        <f>+C166+D167+D168+D169+D170+D171+D172+D173+D174+D175+D176+D177+D178+D179+D180+D181+D182+D183+D184+(D185/2)</f>
        <v>0</v>
      </c>
      <c r="P185" s="474">
        <f t="shared" si="37"/>
        <v>0</v>
      </c>
      <c r="Q185" s="474">
        <f t="shared" si="38"/>
        <v>0</v>
      </c>
      <c r="R185" s="474">
        <f t="shared" si="48"/>
        <v>213.83080000000001</v>
      </c>
      <c r="S185" s="474">
        <f t="shared" si="62"/>
        <v>213.83080000000001</v>
      </c>
      <c r="T185" s="476">
        <f t="shared" si="39"/>
        <v>213.83080000000001</v>
      </c>
      <c r="V185" s="437">
        <f t="shared" si="40"/>
        <v>0</v>
      </c>
      <c r="W185" s="437"/>
      <c r="X185" s="437"/>
      <c r="Y185" s="437"/>
      <c r="Z185" s="437"/>
      <c r="AA185" s="437"/>
      <c r="AB185" s="1595" t="str">
        <f t="shared" si="49"/>
        <v>use the locking pin</v>
      </c>
      <c r="AC185" s="514" t="b">
        <f>IF(AD185=20,AF185)</f>
        <v>0</v>
      </c>
      <c r="AD185" s="514">
        <f t="shared" si="41"/>
        <v>1</v>
      </c>
      <c r="AE185" s="514">
        <f>IF(V185=0,0,20)</f>
        <v>0</v>
      </c>
      <c r="AF185" s="437">
        <f>SUM(V185:V185)/($B$163-B184)</f>
        <v>0</v>
      </c>
      <c r="AG185" s="437"/>
      <c r="AH185" s="450">
        <f>SUM(D167:D185)+$C$166</f>
        <v>0</v>
      </c>
      <c r="AI185" s="516" t="b">
        <f t="shared" si="50"/>
        <v>0</v>
      </c>
      <c r="AJ185" s="287">
        <f t="shared" si="51"/>
        <v>66.255548399999995</v>
      </c>
      <c r="AK185" s="441">
        <f t="shared" si="42"/>
        <v>0.91535047595051022</v>
      </c>
      <c r="AL185" s="289">
        <f t="shared" si="52"/>
        <v>278.56028065668761</v>
      </c>
      <c r="AM185" s="287">
        <f t="shared" si="53"/>
        <v>50.018549700000001</v>
      </c>
      <c r="AN185" s="442">
        <f t="shared" si="54"/>
        <v>0.76625250760411079</v>
      </c>
      <c r="AO185" s="291">
        <f t="shared" si="55"/>
        <v>213.83080789825695</v>
      </c>
      <c r="AP185" s="519">
        <f t="shared" si="43"/>
        <v>-8.8356769773799009</v>
      </c>
      <c r="AQ185" s="1639">
        <f t="shared" si="63"/>
        <v>-729</v>
      </c>
      <c r="AR185" s="519">
        <f t="shared" si="56"/>
        <v>-699.7</v>
      </c>
      <c r="AS185" s="444">
        <f t="shared" si="57"/>
        <v>492.39108855494453</v>
      </c>
      <c r="AT185" s="445">
        <f t="shared" si="64"/>
        <v>-213.83080789825695</v>
      </c>
      <c r="AU185" s="446">
        <f t="shared" si="58"/>
        <v>204.99513092087705</v>
      </c>
      <c r="AV185" s="445"/>
      <c r="AW185" s="447">
        <f t="shared" si="59"/>
        <v>-408.39681348968583</v>
      </c>
      <c r="AX185" s="447">
        <f t="shared" si="60"/>
        <v>-291.30318651031428</v>
      </c>
      <c r="AY185" s="1597">
        <f t="shared" si="44"/>
        <v>-28.403747573052406</v>
      </c>
      <c r="AZ185" s="1597">
        <f t="shared" si="45"/>
        <v>-34.328495063152786</v>
      </c>
      <c r="BA185" s="542">
        <f t="shared" si="61"/>
        <v>28.403747573052406</v>
      </c>
      <c r="BB185" s="542">
        <f t="shared" si="61"/>
        <v>34.328495063152786</v>
      </c>
      <c r="BD185" s="144"/>
      <c r="BM185" s="214"/>
      <c r="BN185" s="214"/>
      <c r="BO185" s="214"/>
      <c r="DF185" s="126"/>
      <c r="DG185" s="126"/>
      <c r="DH185" s="126"/>
      <c r="DI185" s="126"/>
      <c r="DJ185" s="126"/>
      <c r="DK185" s="126"/>
      <c r="DL185" s="203"/>
      <c r="DM185" s="203"/>
      <c r="DN185" s="203"/>
      <c r="DO185" s="203"/>
      <c r="DP185" s="203"/>
      <c r="DQ185" s="203"/>
      <c r="DR185" s="203"/>
      <c r="DS185" s="203"/>
      <c r="DT185" s="203"/>
      <c r="DU185" s="203"/>
      <c r="DV185" s="203"/>
      <c r="DW185" s="203"/>
      <c r="DX185" s="203"/>
      <c r="DY185" s="203"/>
    </row>
    <row r="186" spans="1:129" ht="21" hidden="1" customHeight="1" x14ac:dyDescent="0.3">
      <c r="D186" s="543"/>
      <c r="E186" s="543"/>
      <c r="F186" s="543"/>
      <c r="G186" s="543"/>
      <c r="V186" s="437"/>
      <c r="W186" s="437"/>
      <c r="X186" s="437"/>
      <c r="Y186" s="437"/>
      <c r="Z186" s="437"/>
      <c r="AA186" s="437"/>
      <c r="AB186" s="1585"/>
      <c r="AC186" s="1585"/>
      <c r="AD186" s="1585"/>
      <c r="AE186" s="1585"/>
      <c r="AF186" s="437"/>
      <c r="AG186" s="437"/>
      <c r="AH186" s="437"/>
      <c r="AI186" s="437"/>
      <c r="AJ186" s="543"/>
      <c r="AK186" s="415"/>
      <c r="AL186" s="292"/>
      <c r="AM186" s="543"/>
      <c r="AN186" s="415"/>
      <c r="AO186" s="292"/>
      <c r="AP186" s="445"/>
      <c r="AQ186" s="292"/>
      <c r="AR186" s="445"/>
      <c r="AS186" s="445"/>
      <c r="AT186" s="445"/>
      <c r="AU186" s="445"/>
      <c r="AV186" s="445"/>
      <c r="AW186" s="445"/>
      <c r="AX186" s="445"/>
      <c r="AY186" s="1586"/>
      <c r="AZ186" s="1586"/>
      <c r="BA186" s="1586"/>
      <c r="BB186" s="1586"/>
      <c r="BD186" s="545"/>
      <c r="BM186" s="214"/>
      <c r="BN186" s="214"/>
      <c r="BO186" s="214"/>
    </row>
    <row r="187" spans="1:129" ht="19" hidden="1" thickBot="1" x14ac:dyDescent="0.25">
      <c r="B187" s="350"/>
      <c r="U187" s="276"/>
    </row>
    <row r="188" spans="1:129" ht="22" hidden="1" thickBot="1" x14ac:dyDescent="0.25">
      <c r="B188" s="350"/>
      <c r="AB188" s="415"/>
      <c r="AC188" s="415"/>
      <c r="AD188" s="415"/>
      <c r="AE188" s="415"/>
      <c r="AH188" s="546" t="s">
        <v>79</v>
      </c>
      <c r="AI188" s="547">
        <f>MAX(AI166:AI185)</f>
        <v>0</v>
      </c>
    </row>
    <row r="189" spans="1:129" hidden="1" x14ac:dyDescent="0.2">
      <c r="V189" s="73"/>
      <c r="W189" s="73"/>
      <c r="X189" s="73"/>
      <c r="Y189" s="73"/>
      <c r="Z189" s="73"/>
      <c r="AA189" s="73"/>
      <c r="AB189" s="73"/>
      <c r="AC189" s="73"/>
      <c r="AD189" s="73"/>
      <c r="AE189" s="73"/>
      <c r="AF189" s="73"/>
      <c r="AG189" s="73"/>
      <c r="AH189" s="73"/>
      <c r="AI189" s="73"/>
      <c r="AJ189" s="73"/>
      <c r="AK189" s="73"/>
      <c r="AL189" s="73"/>
      <c r="AM189" s="73"/>
      <c r="AN189" s="73"/>
      <c r="AO189" s="73"/>
      <c r="AP189" s="73"/>
      <c r="AQ189" s="73"/>
      <c r="AR189" s="73"/>
      <c r="AS189" s="73"/>
      <c r="AT189" s="73">
        <f>+AS142-AP142</f>
        <v>521.72610920425495</v>
      </c>
      <c r="AU189" s="73"/>
      <c r="AV189" s="73"/>
      <c r="AW189" s="73"/>
      <c r="AX189" s="73"/>
      <c r="AY189" s="73"/>
      <c r="AZ189" s="73"/>
      <c r="BA189" s="73"/>
      <c r="BB189" s="73"/>
      <c r="BC189" s="126"/>
    </row>
    <row r="190" spans="1:129" ht="19" thickBot="1" x14ac:dyDescent="0.25">
      <c r="V190" s="73"/>
      <c r="W190" s="73"/>
      <c r="X190" s="73"/>
      <c r="Y190" s="73"/>
      <c r="Z190" s="73"/>
      <c r="AA190" s="73"/>
      <c r="AB190" s="73"/>
      <c r="AC190" s="73"/>
      <c r="AD190" s="73"/>
      <c r="AE190" s="73"/>
      <c r="AF190" s="73"/>
      <c r="AG190" s="73"/>
      <c r="AH190" s="73"/>
      <c r="AI190" s="73"/>
      <c r="AJ190" s="73"/>
      <c r="AK190" s="73"/>
      <c r="AL190" s="73"/>
      <c r="AM190" s="73"/>
      <c r="AN190" s="73"/>
      <c r="AO190" s="73"/>
      <c r="AP190" s="73"/>
      <c r="AQ190" s="73"/>
      <c r="AR190" s="73"/>
      <c r="AS190" s="73"/>
      <c r="AT190" s="73"/>
      <c r="AU190" s="73"/>
      <c r="AV190" s="73"/>
      <c r="AW190" s="73"/>
      <c r="AX190" s="73"/>
      <c r="AY190" s="73"/>
      <c r="AZ190" s="73"/>
      <c r="BA190" s="73"/>
      <c r="BB190" s="73"/>
      <c r="BC190" s="126"/>
    </row>
    <row r="191" spans="1:129" ht="82.5" customHeight="1" thickBot="1" x14ac:dyDescent="0.25">
      <c r="B191" s="345" t="s">
        <v>288</v>
      </c>
      <c r="C191" s="454"/>
      <c r="D191" s="455"/>
      <c r="E191" s="37"/>
      <c r="F191" s="37"/>
      <c r="G191" s="37"/>
      <c r="H191" s="456"/>
      <c r="I191" s="456"/>
      <c r="J191" s="456"/>
      <c r="K191" s="456"/>
      <c r="L191" s="456"/>
      <c r="M191" s="456"/>
      <c r="N191" s="456"/>
      <c r="O191" s="456"/>
      <c r="P191" s="456"/>
      <c r="Q191" s="456"/>
      <c r="R191" s="456"/>
      <c r="S191" s="457" t="s">
        <v>66</v>
      </c>
      <c r="T191" s="457">
        <f>SUM(V195:V202)/B192</f>
        <v>211.0008</v>
      </c>
      <c r="U191" s="212"/>
      <c r="V191" s="73"/>
      <c r="W191" s="73"/>
      <c r="X191" s="73"/>
      <c r="Y191" s="73"/>
      <c r="Z191" s="73"/>
      <c r="AA191" s="73"/>
      <c r="AB191" s="73"/>
      <c r="AC191" s="73"/>
      <c r="AD191" s="73"/>
      <c r="AE191" s="73"/>
      <c r="AF191" s="73"/>
      <c r="AG191" s="73"/>
      <c r="AH191" s="73"/>
      <c r="AI191" s="73"/>
      <c r="AJ191" s="73"/>
      <c r="AK191" s="73"/>
      <c r="AL191" s="73"/>
      <c r="AM191" s="73"/>
      <c r="AN191" s="73"/>
      <c r="AO191" s="73"/>
      <c r="AP191" s="73"/>
      <c r="AQ191" s="73"/>
      <c r="AR191" s="73"/>
      <c r="AS191" s="73"/>
      <c r="AT191" s="73"/>
      <c r="AU191" s="73"/>
      <c r="AV191" s="73"/>
      <c r="AW191" s="73"/>
      <c r="AX191" s="73"/>
      <c r="AY191" s="73"/>
      <c r="AZ191" s="73"/>
      <c r="BA191" s="73"/>
      <c r="BB191" s="73"/>
      <c r="BC191" s="126"/>
    </row>
    <row r="192" spans="1:129" ht="54" customHeight="1" thickBot="1" x14ac:dyDescent="0.3">
      <c r="B192" s="27">
        <v>1</v>
      </c>
      <c r="C192" s="216"/>
      <c r="D192" s="549" t="s">
        <v>290</v>
      </c>
      <c r="E192" s="330"/>
      <c r="F192" s="330"/>
      <c r="G192" s="330"/>
      <c r="H192" s="1658" t="s">
        <v>291</v>
      </c>
      <c r="I192" s="1658" t="s">
        <v>292</v>
      </c>
      <c r="J192" s="1623"/>
      <c r="K192" s="1623"/>
      <c r="L192" s="1623"/>
      <c r="M192" s="1623"/>
      <c r="N192" s="1623"/>
      <c r="O192" s="1623"/>
      <c r="P192" s="1623"/>
      <c r="Q192" s="1623"/>
      <c r="R192" s="1623"/>
      <c r="S192" s="1624"/>
      <c r="T192" s="1625"/>
      <c r="U192" s="401"/>
      <c r="V192" s="1585"/>
      <c r="W192" s="1585"/>
      <c r="X192" s="1585"/>
      <c r="Y192" s="1585"/>
      <c r="Z192" s="1585"/>
      <c r="AA192" s="1585"/>
      <c r="AB192" s="1585"/>
      <c r="AC192" s="1585"/>
      <c r="AD192" s="1585"/>
      <c r="AE192" s="1585"/>
      <c r="AF192" s="1585"/>
      <c r="AG192" s="1585"/>
      <c r="AH192" s="1585"/>
      <c r="AI192" s="1585"/>
      <c r="AJ192" s="1585"/>
      <c r="AK192" s="1585"/>
      <c r="AL192" s="1585"/>
      <c r="AM192" s="1585"/>
      <c r="AN192" s="1585"/>
      <c r="AO192" s="1585"/>
      <c r="AP192" s="1585"/>
      <c r="AQ192" s="1585"/>
      <c r="AR192" s="1585"/>
      <c r="AS192" s="1585"/>
      <c r="AT192" s="1585"/>
      <c r="AU192" s="1585"/>
      <c r="AV192" s="1585"/>
      <c r="AW192" s="1585"/>
      <c r="AX192" s="1585"/>
      <c r="AY192" s="1585"/>
      <c r="AZ192" s="1585"/>
      <c r="BA192" s="1848" t="s">
        <v>52</v>
      </c>
      <c r="BB192" s="1849"/>
      <c r="BC192" s="218"/>
      <c r="BP192" s="305"/>
      <c r="BQ192" s="305"/>
      <c r="BR192" s="305"/>
      <c r="BS192" s="305"/>
      <c r="BT192" s="305"/>
      <c r="BU192" s="305"/>
      <c r="BV192" s="1818"/>
      <c r="BW192" s="1818"/>
      <c r="BX192" s="1818"/>
      <c r="BY192" s="126"/>
    </row>
    <row r="193" spans="2:109" ht="45" hidden="1" thickBot="1" x14ac:dyDescent="0.3">
      <c r="C193" s="416"/>
      <c r="D193" s="354"/>
      <c r="H193" s="1626" t="s">
        <v>4</v>
      </c>
      <c r="I193" s="1627" t="s">
        <v>1</v>
      </c>
      <c r="J193" s="456" t="s">
        <v>0</v>
      </c>
      <c r="K193" s="456" t="s">
        <v>2</v>
      </c>
      <c r="L193" s="456" t="s">
        <v>3</v>
      </c>
      <c r="M193" s="456" t="s">
        <v>8</v>
      </c>
      <c r="N193" s="456" t="s">
        <v>5</v>
      </c>
      <c r="O193" s="456" t="s">
        <v>6</v>
      </c>
      <c r="P193" s="456" t="s">
        <v>7</v>
      </c>
      <c r="Q193" s="456" t="s">
        <v>9</v>
      </c>
      <c r="R193" s="1628" t="s">
        <v>10</v>
      </c>
      <c r="S193" s="456" t="s">
        <v>11</v>
      </c>
      <c r="T193" s="467" t="s">
        <v>12</v>
      </c>
      <c r="V193" s="420"/>
      <c r="W193" s="420"/>
      <c r="X193" s="420"/>
      <c r="Y193" s="420"/>
      <c r="Z193" s="420"/>
      <c r="AA193" s="420"/>
      <c r="AB193" s="420"/>
      <c r="AC193" s="420"/>
      <c r="AD193" s="420"/>
      <c r="AE193" s="420"/>
      <c r="AF193" s="420"/>
      <c r="AG193" s="420"/>
      <c r="AH193" s="420"/>
      <c r="AI193" s="420"/>
      <c r="AJ193" s="1589" t="s">
        <v>295</v>
      </c>
      <c r="AK193" s="420"/>
      <c r="AL193" s="1589" t="s">
        <v>296</v>
      </c>
      <c r="AM193" s="1589" t="s">
        <v>297</v>
      </c>
      <c r="AN193" s="420"/>
      <c r="AO193" s="1589" t="s">
        <v>298</v>
      </c>
      <c r="AP193" s="420"/>
      <c r="AQ193" s="1589" t="s">
        <v>321</v>
      </c>
      <c r="AR193" s="420"/>
      <c r="AS193" s="420"/>
      <c r="AT193" s="420"/>
      <c r="AU193" s="420"/>
      <c r="AV193" s="420"/>
      <c r="AW193" s="420"/>
      <c r="AX193" s="420"/>
      <c r="AY193" s="415"/>
      <c r="AZ193" s="420"/>
      <c r="BA193" s="420"/>
      <c r="BB193" s="420"/>
      <c r="BC193" s="231"/>
      <c r="BV193" s="306"/>
      <c r="CI193" s="306"/>
    </row>
    <row r="194" spans="2:109" ht="43.5" customHeight="1" thickBot="1" x14ac:dyDescent="0.25">
      <c r="B194" s="421"/>
      <c r="C194" s="422"/>
      <c r="D194" s="551" t="s">
        <v>22</v>
      </c>
      <c r="E194" s="330"/>
      <c r="F194" s="729" t="s">
        <v>45</v>
      </c>
      <c r="G194" s="240"/>
      <c r="H194" s="1659"/>
      <c r="I194" s="1660"/>
      <c r="R194" s="73"/>
      <c r="T194" s="471"/>
      <c r="V194" s="420"/>
      <c r="W194" s="420"/>
      <c r="X194" s="420"/>
      <c r="Y194" s="420"/>
      <c r="Z194" s="420"/>
      <c r="AA194" s="420"/>
      <c r="AB194" s="420"/>
      <c r="AC194" s="420"/>
      <c r="AD194" s="420"/>
      <c r="AE194" s="420"/>
      <c r="AF194" s="420" t="s">
        <v>38</v>
      </c>
      <c r="AG194" s="552" t="s">
        <v>102</v>
      </c>
      <c r="AH194" s="425" t="s">
        <v>31</v>
      </c>
      <c r="AI194" s="425"/>
      <c r="AJ194" s="1630" t="s">
        <v>301</v>
      </c>
      <c r="AK194" s="426" t="s">
        <v>32</v>
      </c>
      <c r="AL194" s="1631" t="s">
        <v>33</v>
      </c>
      <c r="AM194" s="1630" t="s">
        <v>302</v>
      </c>
      <c r="AN194" s="427" t="s">
        <v>34</v>
      </c>
      <c r="AO194" s="1630" t="s">
        <v>35</v>
      </c>
      <c r="AP194" s="427"/>
      <c r="AQ194" s="473" t="s">
        <v>36</v>
      </c>
      <c r="AR194" s="420"/>
      <c r="AS194" s="420" t="s">
        <v>37</v>
      </c>
      <c r="AT194" s="420" t="s">
        <v>39</v>
      </c>
      <c r="AU194" s="420"/>
      <c r="AV194" s="420" t="s">
        <v>40</v>
      </c>
      <c r="AW194" s="1594" t="s">
        <v>41</v>
      </c>
      <c r="AX194" s="1594" t="s">
        <v>42</v>
      </c>
      <c r="AY194" s="430" t="s">
        <v>23</v>
      </c>
      <c r="AZ194" s="430" t="s">
        <v>24</v>
      </c>
      <c r="BA194" s="431" t="s">
        <v>23</v>
      </c>
      <c r="BB194" s="431" t="s">
        <v>24</v>
      </c>
      <c r="BP194" s="307"/>
      <c r="BQ194" s="307"/>
      <c r="BR194" s="307"/>
      <c r="BS194" s="307"/>
      <c r="BT194" s="307"/>
      <c r="BU194" s="307"/>
      <c r="BV194" s="1819"/>
      <c r="BW194" s="1819"/>
      <c r="CH194" s="1813"/>
      <c r="CI194" s="1813"/>
    </row>
    <row r="195" spans="2:109" ht="21" customHeight="1" thickBot="1" x14ac:dyDescent="0.25">
      <c r="B195" s="255">
        <v>1</v>
      </c>
      <c r="C195" s="256">
        <f>+D195+AI188</f>
        <v>0</v>
      </c>
      <c r="D195" s="25">
        <v>0</v>
      </c>
      <c r="E195" s="257" t="s">
        <v>337</v>
      </c>
      <c r="F195" s="258"/>
      <c r="G195" s="258">
        <f>+D195</f>
        <v>0</v>
      </c>
      <c r="H195" s="1632">
        <v>251.073172</v>
      </c>
      <c r="I195" s="1633">
        <v>65.636175100000003</v>
      </c>
      <c r="J195" s="474">
        <f>+I195-C195</f>
        <v>65.636175100000003</v>
      </c>
      <c r="K195" s="474">
        <f>+J195/2</f>
        <v>32.818087550000001</v>
      </c>
      <c r="L195" s="474">
        <f t="shared" ref="L195:L220" si="66">SIN(K195*3.14159265358979/180)</f>
        <v>0.54197353948789428</v>
      </c>
      <c r="M195" s="474">
        <f t="shared" ref="M195:M220" si="67">+L195*H195</f>
        <v>136.07501569929286</v>
      </c>
      <c r="N195" s="474">
        <f t="shared" ref="N195:N220" si="68">+M195*2</f>
        <v>272.15003139858572</v>
      </c>
      <c r="O195" s="474">
        <f>+C195/2</f>
        <v>0</v>
      </c>
      <c r="P195" s="474">
        <f t="shared" ref="P195:P220" si="69">SIN(O195*3.14159265358979/180)</f>
        <v>0</v>
      </c>
      <c r="Q195" s="474">
        <f t="shared" ref="Q195:Q220" si="70">+P195*N195</f>
        <v>0</v>
      </c>
      <c r="R195" s="1634">
        <v>211.0008</v>
      </c>
      <c r="S195" s="474">
        <f>+R195+Q195</f>
        <v>211.0008</v>
      </c>
      <c r="T195" s="476">
        <f t="shared" ref="T195:T220" si="71">+S195</f>
        <v>211.0008</v>
      </c>
      <c r="V195" s="1635">
        <f t="shared" ref="V195:V220" si="72">IF(B195&lt;($B$192+1),T195,0)</f>
        <v>211.0008</v>
      </c>
      <c r="W195" s="437"/>
      <c r="X195" s="437"/>
      <c r="Y195" s="437"/>
      <c r="Z195" s="437"/>
      <c r="AA195" s="437"/>
      <c r="AB195" s="258" t="str">
        <f t="shared" ref="AB195:AB220" si="73">IF(AZ195&lt;0,"use the locking pin"," ")</f>
        <v xml:space="preserve"> </v>
      </c>
      <c r="AC195" s="1636"/>
      <c r="AD195" s="1636"/>
      <c r="AE195" s="1636"/>
      <c r="AF195" s="1637">
        <f>SUM(V195:V220)/($B$192)</f>
        <v>211.0008</v>
      </c>
      <c r="AG195" s="1638">
        <f>+AF195+AA142+AA166</f>
        <v>211.00078851743052</v>
      </c>
      <c r="AH195" s="450">
        <f>C195</f>
        <v>0</v>
      </c>
      <c r="AI195" s="1639"/>
      <c r="AJ195" s="718">
        <f>75.4990086-AH195</f>
        <v>75.499008599999996</v>
      </c>
      <c r="AK195" s="1639">
        <f t="shared" ref="AK195:AK220" si="74">SIN(AJ195*3.14159265358979/180)</f>
        <v>0.96814330785934066</v>
      </c>
      <c r="AL195" s="1639">
        <f>+AK195*290.642868</f>
        <v>281.38394763124575</v>
      </c>
      <c r="AM195" s="1640">
        <f>57.1819124+AH195</f>
        <v>57.181912400000002</v>
      </c>
      <c r="AN195" s="1639">
        <f>SIN(AM195*3.14159265358979/180)</f>
        <v>0.84039555073787342</v>
      </c>
      <c r="AO195" s="1641">
        <f>+AN195*251.073172</f>
        <v>211.00077665844481</v>
      </c>
      <c r="AP195" s="439"/>
      <c r="AQ195" s="444">
        <f>$C$16*B192</f>
        <v>29.3</v>
      </c>
      <c r="AR195" s="444"/>
      <c r="AS195" s="445">
        <f>+AO195+AL195</f>
        <v>492.38472428969055</v>
      </c>
      <c r="AT195" s="445">
        <f>+V195-AO195</f>
        <v>2.3341555191791485E-5</v>
      </c>
      <c r="AU195" s="445"/>
      <c r="AV195" s="447">
        <f>+AF195-AT195</f>
        <v>211.00077665844481</v>
      </c>
      <c r="AW195" s="447">
        <f>+((AS195-AV195)/AS195)*AQ195</f>
        <v>16.744121535226355</v>
      </c>
      <c r="AX195" s="1597">
        <f>+(AV195/AS195)*AQ195</f>
        <v>12.555878464773642</v>
      </c>
      <c r="AY195" s="1597">
        <f t="shared" ref="AY195:AY220" si="75">2*$C$20/AW195</f>
        <v>692.78044689271212</v>
      </c>
      <c r="AZ195" s="1642">
        <f t="shared" ref="AZ195:AZ220" si="76">$D$20/AX195</f>
        <v>796.43969381000863</v>
      </c>
      <c r="BA195" s="274">
        <f>ABS(AY195)</f>
        <v>692.78044689271212</v>
      </c>
      <c r="BB195" s="275">
        <f>ABS(AZ195)</f>
        <v>796.43969381000863</v>
      </c>
      <c r="BC195" s="91"/>
    </row>
    <row r="196" spans="2:109" ht="21" customHeight="1" thickBot="1" x14ac:dyDescent="0.25">
      <c r="B196" s="277">
        <v>2</v>
      </c>
      <c r="C196" s="278"/>
      <c r="D196" s="25">
        <v>0.5</v>
      </c>
      <c r="E196" s="257" t="s">
        <v>305</v>
      </c>
      <c r="F196" s="258"/>
      <c r="G196" s="258">
        <f>+D196+BC196</f>
        <v>0.5</v>
      </c>
      <c r="H196" s="1632">
        <v>251.073172</v>
      </c>
      <c r="I196" s="1633">
        <v>65.636175100000003</v>
      </c>
      <c r="J196" s="474">
        <f t="shared" ref="J196:J220" si="77">+I196-D196</f>
        <v>65.136175100000003</v>
      </c>
      <c r="K196" s="474">
        <f t="shared" ref="K196:K220" si="78">+J196/2</f>
        <v>32.568087550000001</v>
      </c>
      <c r="L196" s="474">
        <f t="shared" si="66"/>
        <v>0.53830147457895938</v>
      </c>
      <c r="M196" s="474">
        <f t="shared" si="67"/>
        <v>135.15305871481669</v>
      </c>
      <c r="N196" s="474">
        <f t="shared" si="68"/>
        <v>270.30611742963339</v>
      </c>
      <c r="O196" s="474">
        <f>+C195+(D196/2)</f>
        <v>0.25</v>
      </c>
      <c r="P196" s="474">
        <f t="shared" si="69"/>
        <v>4.3633092847465667E-3</v>
      </c>
      <c r="Q196" s="474">
        <f t="shared" si="70"/>
        <v>1.1794291919045152</v>
      </c>
      <c r="R196" s="474">
        <f t="shared" ref="R196:R220" si="79">+T195</f>
        <v>211.0008</v>
      </c>
      <c r="S196" s="474">
        <f>+R196+Q196</f>
        <v>212.18022919190452</v>
      </c>
      <c r="T196" s="476">
        <f t="shared" si="71"/>
        <v>212.18022919190452</v>
      </c>
      <c r="V196" s="1635">
        <f t="shared" si="72"/>
        <v>0</v>
      </c>
      <c r="W196" s="437"/>
      <c r="X196" s="437"/>
      <c r="Y196" s="437"/>
      <c r="Z196" s="437"/>
      <c r="AA196" s="437"/>
      <c r="AB196" s="280" t="e">
        <f t="shared" si="73"/>
        <v>#DIV/0!</v>
      </c>
      <c r="AC196" s="1636"/>
      <c r="AD196" s="1636"/>
      <c r="AE196" s="1636"/>
      <c r="AF196" s="1637" t="e">
        <f>SUM(V196:V220)/($B$192-B195)</f>
        <v>#DIV/0!</v>
      </c>
      <c r="AG196" s="1638"/>
      <c r="AH196" s="450">
        <f>SUM(D196)+$C$195</f>
        <v>0.5</v>
      </c>
      <c r="AI196" s="1639"/>
      <c r="AJ196" s="718">
        <f t="shared" ref="AJ196:AJ220" si="80">75.4990086-AH196</f>
        <v>74.999008599999996</v>
      </c>
      <c r="AK196" s="1639">
        <f t="shared" si="74"/>
        <v>0.96592134774826766</v>
      </c>
      <c r="AL196" s="1639">
        <f t="shared" ref="AL196:AL220" si="81">+AK196*290.642868</f>
        <v>280.73815077198185</v>
      </c>
      <c r="AM196" s="1640">
        <f t="shared" ref="AM196:AM220" si="82">57.1819124+AH196</f>
        <v>57.681912400000002</v>
      </c>
      <c r="AN196" s="1639">
        <f t="shared" ref="AN196:AN220" si="83">SIN(AM196*3.14159265358979/180)</f>
        <v>0.84509310238833768</v>
      </c>
      <c r="AO196" s="1641">
        <f t="shared" ref="AO196:AO220" si="84">+AN196*251.073172</f>
        <v>212.18020585196072</v>
      </c>
      <c r="AP196" s="287"/>
      <c r="AQ196" s="444">
        <f>$C$16*($B$192-B195)</f>
        <v>0</v>
      </c>
      <c r="AR196" s="444"/>
      <c r="AS196" s="445">
        <f t="shared" ref="AS196:AS220" si="85">+AO196+AL196</f>
        <v>492.9183566239426</v>
      </c>
      <c r="AT196" s="445">
        <f>+V196-AO196</f>
        <v>-212.18020585196072</v>
      </c>
      <c r="AU196" s="445"/>
      <c r="AV196" s="447" t="e">
        <f>+AF196-AT196</f>
        <v>#DIV/0!</v>
      </c>
      <c r="AW196" s="447" t="e">
        <f t="shared" ref="AW196:AW220" si="86">+((AS196-AV196)/AS196)*AQ196</f>
        <v>#DIV/0!</v>
      </c>
      <c r="AX196" s="1597" t="e">
        <f t="shared" ref="AX196:AX220" si="87">+(AV196/AS196)*AQ196</f>
        <v>#DIV/0!</v>
      </c>
      <c r="AY196" s="1597" t="e">
        <f t="shared" si="75"/>
        <v>#DIV/0!</v>
      </c>
      <c r="AZ196" s="1642" t="e">
        <f t="shared" si="76"/>
        <v>#DIV/0!</v>
      </c>
      <c r="BA196" s="274" t="e">
        <f t="shared" ref="BA196:BB211" si="88">ABS(AY196)</f>
        <v>#DIV/0!</v>
      </c>
      <c r="BB196" s="294" t="e">
        <f t="shared" si="88"/>
        <v>#DIV/0!</v>
      </c>
    </row>
    <row r="197" spans="2:109" ht="21" customHeight="1" thickBot="1" x14ac:dyDescent="0.25">
      <c r="B197" s="277">
        <v>3</v>
      </c>
      <c r="C197" s="278"/>
      <c r="D197" s="25">
        <v>0.5</v>
      </c>
      <c r="E197" s="257" t="s">
        <v>305</v>
      </c>
      <c r="F197" s="258"/>
      <c r="G197" s="258">
        <f t="shared" ref="G197:G220" si="89">+D197+BC197</f>
        <v>0.5</v>
      </c>
      <c r="H197" s="1632">
        <v>251.073172</v>
      </c>
      <c r="I197" s="1633">
        <v>65.636175100000003</v>
      </c>
      <c r="J197" s="474">
        <f t="shared" si="77"/>
        <v>65.136175100000003</v>
      </c>
      <c r="K197" s="474">
        <f t="shared" si="78"/>
        <v>32.568087550000001</v>
      </c>
      <c r="L197" s="474">
        <f t="shared" si="66"/>
        <v>0.53830147457895938</v>
      </c>
      <c r="M197" s="474">
        <f t="shared" si="67"/>
        <v>135.15305871481669</v>
      </c>
      <c r="N197" s="474">
        <f t="shared" si="68"/>
        <v>270.30611742963339</v>
      </c>
      <c r="O197" s="474">
        <f>+C195+D196+(D197/2)</f>
        <v>0.75</v>
      </c>
      <c r="P197" s="474">
        <f t="shared" si="69"/>
        <v>1.3089595571344427E-2</v>
      </c>
      <c r="Q197" s="474">
        <f t="shared" si="70"/>
        <v>3.538197757614236</v>
      </c>
      <c r="R197" s="474">
        <f t="shared" si="79"/>
        <v>212.18022919190452</v>
      </c>
      <c r="S197" s="474">
        <f t="shared" ref="S197:S220" si="90">+S196+Q197</f>
        <v>215.71842694951874</v>
      </c>
      <c r="T197" s="476">
        <f t="shared" si="71"/>
        <v>215.71842694951874</v>
      </c>
      <c r="V197" s="1635">
        <f t="shared" si="72"/>
        <v>0</v>
      </c>
      <c r="W197" s="437"/>
      <c r="X197" s="437"/>
      <c r="Y197" s="437"/>
      <c r="Z197" s="437"/>
      <c r="AA197" s="437"/>
      <c r="AB197" s="295" t="str">
        <f t="shared" si="73"/>
        <v>use the locking pin</v>
      </c>
      <c r="AC197" s="1636"/>
      <c r="AD197" s="1636"/>
      <c r="AE197" s="1636"/>
      <c r="AF197" s="1637">
        <f>SUM(V197:V220)/($B$192-B196)</f>
        <v>0</v>
      </c>
      <c r="AG197" s="1638"/>
      <c r="AH197" s="450">
        <f>SUM(D196:D197)+$C$195</f>
        <v>1</v>
      </c>
      <c r="AI197" s="1639"/>
      <c r="AJ197" s="718">
        <f t="shared" si="80"/>
        <v>74.499008599999996</v>
      </c>
      <c r="AK197" s="1639">
        <f t="shared" si="74"/>
        <v>0.96362582898684701</v>
      </c>
      <c r="AL197" s="1639">
        <f t="shared" si="81"/>
        <v>280.07097461561477</v>
      </c>
      <c r="AM197" s="1640">
        <f t="shared" si="82"/>
        <v>58.181912400000002</v>
      </c>
      <c r="AN197" s="1639">
        <f t="shared" si="83"/>
        <v>0.84972629692714396</v>
      </c>
      <c r="AO197" s="1641">
        <f t="shared" si="84"/>
        <v>213.34347670131189</v>
      </c>
      <c r="AP197" s="287"/>
      <c r="AQ197" s="444">
        <f t="shared" ref="AQ197:AQ220" si="91">$C$16*($B$192-B196)</f>
        <v>-29.3</v>
      </c>
      <c r="AR197" s="444"/>
      <c r="AS197" s="445">
        <f t="shared" si="85"/>
        <v>493.41445131692666</v>
      </c>
      <c r="AT197" s="445">
        <f>+V197-AO197</f>
        <v>-213.34347670131189</v>
      </c>
      <c r="AU197" s="445"/>
      <c r="AV197" s="447">
        <f>+AF197-AT197</f>
        <v>213.34347670131189</v>
      </c>
      <c r="AW197" s="447">
        <f t="shared" si="86"/>
        <v>-16.631210404023289</v>
      </c>
      <c r="AX197" s="1597">
        <f t="shared" si="87"/>
        <v>-12.668789595976712</v>
      </c>
      <c r="AY197" s="1597">
        <f t="shared" si="75"/>
        <v>-697.4838101497304</v>
      </c>
      <c r="AZ197" s="1642">
        <f t="shared" si="76"/>
        <v>-789.34139084413778</v>
      </c>
      <c r="BA197" s="274">
        <f t="shared" si="88"/>
        <v>697.4838101497304</v>
      </c>
      <c r="BB197" s="275">
        <f t="shared" si="88"/>
        <v>789.34139084413778</v>
      </c>
    </row>
    <row r="198" spans="2:109" ht="21" customHeight="1" thickBot="1" x14ac:dyDescent="0.25">
      <c r="B198" s="277">
        <v>4</v>
      </c>
      <c r="C198" s="278"/>
      <c r="D198" s="25">
        <v>0.5</v>
      </c>
      <c r="E198" s="257" t="s">
        <v>305</v>
      </c>
      <c r="F198" s="258"/>
      <c r="G198" s="258">
        <f t="shared" si="89"/>
        <v>0.5</v>
      </c>
      <c r="H198" s="1632">
        <v>251.073172</v>
      </c>
      <c r="I198" s="1633">
        <v>65.636175100000003</v>
      </c>
      <c r="J198" s="474">
        <f t="shared" si="77"/>
        <v>65.136175100000003</v>
      </c>
      <c r="K198" s="474">
        <f t="shared" si="78"/>
        <v>32.568087550000001</v>
      </c>
      <c r="L198" s="474">
        <f t="shared" si="66"/>
        <v>0.53830147457895938</v>
      </c>
      <c r="M198" s="474">
        <f t="shared" si="67"/>
        <v>135.15305871481669</v>
      </c>
      <c r="N198" s="474">
        <f t="shared" si="68"/>
        <v>270.30611742963339</v>
      </c>
      <c r="O198" s="474">
        <f>+C195+D196+D197+(D198/2)</f>
        <v>1.25</v>
      </c>
      <c r="P198" s="474">
        <f t="shared" si="69"/>
        <v>2.18148850345611E-2</v>
      </c>
      <c r="Q198" s="474">
        <f t="shared" si="70"/>
        <v>5.8966968758660245</v>
      </c>
      <c r="R198" s="474">
        <f t="shared" si="79"/>
        <v>215.71842694951874</v>
      </c>
      <c r="S198" s="474">
        <f t="shared" si="90"/>
        <v>221.61512382538476</v>
      </c>
      <c r="T198" s="476">
        <f t="shared" si="71"/>
        <v>221.61512382538476</v>
      </c>
      <c r="V198" s="1635">
        <f t="shared" si="72"/>
        <v>0</v>
      </c>
      <c r="W198" s="437"/>
      <c r="X198" s="437"/>
      <c r="Y198" s="437"/>
      <c r="Z198" s="437"/>
      <c r="AA198" s="437"/>
      <c r="AB198" s="295" t="str">
        <f t="shared" si="73"/>
        <v>use the locking pin</v>
      </c>
      <c r="AC198" s="1636"/>
      <c r="AD198" s="1636"/>
      <c r="AE198" s="1636"/>
      <c r="AF198" s="1637">
        <f>SUM(V198:V220)/($B$192-B197)</f>
        <v>0</v>
      </c>
      <c r="AG198" s="1638"/>
      <c r="AH198" s="450">
        <f>SUM(D196:D198)+$C$195</f>
        <v>1.5</v>
      </c>
      <c r="AI198" s="1639"/>
      <c r="AJ198" s="718">
        <f t="shared" si="80"/>
        <v>73.999008599999996</v>
      </c>
      <c r="AK198" s="1639">
        <f t="shared" si="74"/>
        <v>0.96125692638771998</v>
      </c>
      <c r="AL198" s="1639">
        <f t="shared" si="81"/>
        <v>279.38246997019183</v>
      </c>
      <c r="AM198" s="1640">
        <f t="shared" si="82"/>
        <v>58.681912400000002</v>
      </c>
      <c r="AN198" s="1639">
        <f t="shared" si="83"/>
        <v>0.85429478151859028</v>
      </c>
      <c r="AO198" s="1641">
        <f t="shared" si="84"/>
        <v>214.49050061891944</v>
      </c>
      <c r="AP198" s="287"/>
      <c r="AQ198" s="444">
        <f t="shared" si="91"/>
        <v>-58.6</v>
      </c>
      <c r="AR198" s="444"/>
      <c r="AS198" s="445">
        <f t="shared" si="85"/>
        <v>493.87297058911128</v>
      </c>
      <c r="AT198" s="445">
        <f>+V198-AO198</f>
        <v>-214.49050061891944</v>
      </c>
      <c r="AU198" s="445"/>
      <c r="AV198" s="447">
        <f t="shared" ref="AV198:AV220" si="92">+AF198-AT198</f>
        <v>214.49050061891944</v>
      </c>
      <c r="AW198" s="447">
        <f t="shared" si="86"/>
        <v>-33.149845638898384</v>
      </c>
      <c r="AX198" s="1597">
        <f t="shared" si="87"/>
        <v>-25.450154361101614</v>
      </c>
      <c r="AY198" s="1597">
        <f t="shared" si="75"/>
        <v>-349.92621463034612</v>
      </c>
      <c r="AZ198" s="1642">
        <f t="shared" si="76"/>
        <v>-392.92492525248275</v>
      </c>
      <c r="BA198" s="274">
        <f t="shared" si="88"/>
        <v>349.92621463034612</v>
      </c>
      <c r="BB198" s="275">
        <f t="shared" si="88"/>
        <v>392.92492525248275</v>
      </c>
    </row>
    <row r="199" spans="2:109" ht="21" customHeight="1" thickBot="1" x14ac:dyDescent="0.25">
      <c r="B199" s="277">
        <v>5</v>
      </c>
      <c r="C199" s="278"/>
      <c r="D199" s="25">
        <v>0.5</v>
      </c>
      <c r="E199" s="257" t="s">
        <v>305</v>
      </c>
      <c r="F199" s="258"/>
      <c r="G199" s="258">
        <f>+D199+BC199</f>
        <v>0.5</v>
      </c>
      <c r="H199" s="1632">
        <v>251.073172</v>
      </c>
      <c r="I199" s="1633">
        <v>65.636175100000003</v>
      </c>
      <c r="J199" s="474">
        <f t="shared" si="77"/>
        <v>65.136175100000003</v>
      </c>
      <c r="K199" s="474">
        <f t="shared" si="78"/>
        <v>32.568087550000001</v>
      </c>
      <c r="L199" s="474">
        <f t="shared" si="66"/>
        <v>0.53830147457895938</v>
      </c>
      <c r="M199" s="474">
        <f t="shared" si="67"/>
        <v>135.15305871481669</v>
      </c>
      <c r="N199" s="474">
        <f t="shared" si="68"/>
        <v>270.30611742963339</v>
      </c>
      <c r="O199" s="474">
        <f>+C195+D196+D197+D198+(D199/2)</f>
        <v>1.75</v>
      </c>
      <c r="P199" s="474">
        <f t="shared" si="69"/>
        <v>3.0538513209822628E-2</v>
      </c>
      <c r="Q199" s="474">
        <f t="shared" si="70"/>
        <v>8.254746937820725</v>
      </c>
      <c r="R199" s="474">
        <f t="shared" si="79"/>
        <v>221.61512382538476</v>
      </c>
      <c r="S199" s="474">
        <f t="shared" si="90"/>
        <v>229.86987076320548</v>
      </c>
      <c r="T199" s="476">
        <f t="shared" si="71"/>
        <v>229.86987076320548</v>
      </c>
      <c r="V199" s="1635">
        <f t="shared" si="72"/>
        <v>0</v>
      </c>
      <c r="W199" s="437"/>
      <c r="X199" s="437"/>
      <c r="Y199" s="437"/>
      <c r="Z199" s="437"/>
      <c r="AA199" s="437"/>
      <c r="AB199" s="295" t="str">
        <f t="shared" si="73"/>
        <v>use the locking pin</v>
      </c>
      <c r="AC199" s="1636"/>
      <c r="AD199" s="1636"/>
      <c r="AE199" s="1636"/>
      <c r="AF199" s="1637">
        <f>SUM(V199:V220)/($B$192-B198)</f>
        <v>0</v>
      </c>
      <c r="AG199" s="1638"/>
      <c r="AH199" s="450">
        <f>SUM(D196:D199)+$C$195</f>
        <v>2</v>
      </c>
      <c r="AI199" s="1639"/>
      <c r="AJ199" s="718">
        <f t="shared" si="80"/>
        <v>73.499008599999996</v>
      </c>
      <c r="AK199" s="1639">
        <f t="shared" si="74"/>
        <v>0.95881482035199095</v>
      </c>
      <c r="AL199" s="1639">
        <f t="shared" si="81"/>
        <v>278.67268926800745</v>
      </c>
      <c r="AM199" s="1640">
        <f t="shared" si="82"/>
        <v>59.181912400000002</v>
      </c>
      <c r="AN199" s="1639">
        <f t="shared" si="83"/>
        <v>0.85879820825488717</v>
      </c>
      <c r="AO199" s="1641">
        <f t="shared" si="84"/>
        <v>215.62119025447112</v>
      </c>
      <c r="AP199" s="287"/>
      <c r="AQ199" s="444">
        <f t="shared" si="91"/>
        <v>-87.9</v>
      </c>
      <c r="AR199" s="444"/>
      <c r="AS199" s="445">
        <f t="shared" si="85"/>
        <v>494.29387952247856</v>
      </c>
      <c r="AT199" s="445">
        <f t="shared" ref="AT199:AT220" si="93">+V199-AO199</f>
        <v>-215.62119025447112</v>
      </c>
      <c r="AU199" s="445"/>
      <c r="AV199" s="447">
        <f t="shared" si="92"/>
        <v>215.62119025447112</v>
      </c>
      <c r="AW199" s="447">
        <f t="shared" si="86"/>
        <v>-49.556206138587044</v>
      </c>
      <c r="AX199" s="1597">
        <f t="shared" si="87"/>
        <v>-38.343793861412962</v>
      </c>
      <c r="AY199" s="1597">
        <f t="shared" si="75"/>
        <v>-234.07764443387518</v>
      </c>
      <c r="AZ199" s="1642">
        <f t="shared" si="76"/>
        <v>-260.79839767925097</v>
      </c>
      <c r="BA199" s="274">
        <f t="shared" si="88"/>
        <v>234.07764443387518</v>
      </c>
      <c r="BB199" s="275">
        <f t="shared" si="88"/>
        <v>260.79839767925097</v>
      </c>
      <c r="DE199" s="305"/>
    </row>
    <row r="200" spans="2:109" ht="21" customHeight="1" thickBot="1" x14ac:dyDescent="0.25">
      <c r="B200" s="277">
        <v>6</v>
      </c>
      <c r="C200" s="278"/>
      <c r="D200" s="25">
        <v>0.5</v>
      </c>
      <c r="E200" s="257" t="s">
        <v>305</v>
      </c>
      <c r="F200" s="258"/>
      <c r="G200" s="258">
        <f t="shared" si="89"/>
        <v>0.5</v>
      </c>
      <c r="H200" s="1632">
        <v>251.073172</v>
      </c>
      <c r="I200" s="1633">
        <v>65.636175100000003</v>
      </c>
      <c r="J200" s="474">
        <f t="shared" si="77"/>
        <v>65.136175100000003</v>
      </c>
      <c r="K200" s="474">
        <f t="shared" si="78"/>
        <v>32.568087550000001</v>
      </c>
      <c r="L200" s="474">
        <f t="shared" si="66"/>
        <v>0.53830147457895938</v>
      </c>
      <c r="M200" s="474">
        <f t="shared" si="67"/>
        <v>135.15305871481669</v>
      </c>
      <c r="N200" s="474">
        <f t="shared" si="68"/>
        <v>270.30611742963339</v>
      </c>
      <c r="O200" s="474">
        <f>+C195+D196+D197+D198+D199+(D200/2)</f>
        <v>2.25</v>
      </c>
      <c r="P200" s="474">
        <f t="shared" si="69"/>
        <v>3.9259815759068568E-2</v>
      </c>
      <c r="Q200" s="474">
        <f t="shared" si="70"/>
        <v>10.61216836883656</v>
      </c>
      <c r="R200" s="474">
        <f t="shared" si="79"/>
        <v>229.86987076320548</v>
      </c>
      <c r="S200" s="474">
        <f t="shared" si="90"/>
        <v>240.48203913204205</v>
      </c>
      <c r="T200" s="476">
        <f t="shared" si="71"/>
        <v>240.48203913204205</v>
      </c>
      <c r="V200" s="1635">
        <f t="shared" si="72"/>
        <v>0</v>
      </c>
      <c r="W200" s="437"/>
      <c r="X200" s="437"/>
      <c r="Y200" s="437"/>
      <c r="Z200" s="437"/>
      <c r="AA200" s="437"/>
      <c r="AB200" s="295" t="str">
        <f t="shared" si="73"/>
        <v>use the locking pin</v>
      </c>
      <c r="AC200" s="1636"/>
      <c r="AD200" s="1636"/>
      <c r="AE200" s="1636"/>
      <c r="AF200" s="1637">
        <f>SUM(V200:V220)/($B$192-B199)</f>
        <v>0</v>
      </c>
      <c r="AG200" s="1638"/>
      <c r="AH200" s="450">
        <f>SUM(D196:D200)+$C$195</f>
        <v>2.5</v>
      </c>
      <c r="AI200" s="1639"/>
      <c r="AJ200" s="718">
        <f t="shared" si="80"/>
        <v>72.999008599999996</v>
      </c>
      <c r="AK200" s="1639">
        <f t="shared" si="74"/>
        <v>0.95629969685548954</v>
      </c>
      <c r="AL200" s="1639">
        <f t="shared" si="81"/>
        <v>277.94168656161008</v>
      </c>
      <c r="AM200" s="1640">
        <f t="shared" si="82"/>
        <v>59.681912400000002</v>
      </c>
      <c r="AN200" s="1639">
        <f t="shared" si="83"/>
        <v>0.86323623418265283</v>
      </c>
      <c r="AO200" s="1641">
        <f t="shared" si="84"/>
        <v>216.73545950157347</v>
      </c>
      <c r="AP200" s="287"/>
      <c r="AQ200" s="444">
        <f t="shared" si="91"/>
        <v>-117.2</v>
      </c>
      <c r="AR200" s="444"/>
      <c r="AS200" s="445">
        <f t="shared" si="85"/>
        <v>494.67714606318356</v>
      </c>
      <c r="AT200" s="445">
        <f t="shared" si="93"/>
        <v>-216.73545950157347</v>
      </c>
      <c r="AU200" s="445"/>
      <c r="AV200" s="447">
        <f t="shared" si="92"/>
        <v>216.73545950157347</v>
      </c>
      <c r="AW200" s="447">
        <f t="shared" si="86"/>
        <v>-65.85055712450486</v>
      </c>
      <c r="AX200" s="1597">
        <f t="shared" si="87"/>
        <v>-51.349442875495143</v>
      </c>
      <c r="AY200" s="1597">
        <f t="shared" si="75"/>
        <v>-176.1564443269275</v>
      </c>
      <c r="AZ200" s="1642">
        <f t="shared" si="76"/>
        <v>-194.74407977992252</v>
      </c>
      <c r="BA200" s="274">
        <f t="shared" si="88"/>
        <v>176.1564443269275</v>
      </c>
      <c r="BB200" s="275">
        <f t="shared" si="88"/>
        <v>194.74407977992252</v>
      </c>
    </row>
    <row r="201" spans="2:109" ht="21" customHeight="1" thickBot="1" x14ac:dyDescent="0.25">
      <c r="B201" s="277">
        <v>7</v>
      </c>
      <c r="C201" s="278"/>
      <c r="D201" s="25">
        <v>0.5</v>
      </c>
      <c r="E201" s="257" t="s">
        <v>305</v>
      </c>
      <c r="F201" s="258"/>
      <c r="G201" s="258">
        <f t="shared" si="89"/>
        <v>0.5</v>
      </c>
      <c r="H201" s="1632">
        <v>251.073172</v>
      </c>
      <c r="I201" s="1633">
        <v>65.636175100000003</v>
      </c>
      <c r="J201" s="474">
        <f t="shared" si="77"/>
        <v>65.136175100000003</v>
      </c>
      <c r="K201" s="474">
        <f t="shared" si="78"/>
        <v>32.568087550000001</v>
      </c>
      <c r="L201" s="474">
        <f t="shared" si="66"/>
        <v>0.53830147457895938</v>
      </c>
      <c r="M201" s="474">
        <f t="shared" si="67"/>
        <v>135.15305871481669</v>
      </c>
      <c r="N201" s="474">
        <f t="shared" si="68"/>
        <v>270.30611742963339</v>
      </c>
      <c r="O201" s="474">
        <f>+C195+D196+D197+D198+D199+D200+(D201/2)</f>
        <v>2.75</v>
      </c>
      <c r="P201" s="474">
        <f t="shared" si="69"/>
        <v>4.79781285213439E-2</v>
      </c>
      <c r="Q201" s="474">
        <f t="shared" si="70"/>
        <v>12.968781642144426</v>
      </c>
      <c r="R201" s="474">
        <f t="shared" si="79"/>
        <v>240.48203913204205</v>
      </c>
      <c r="S201" s="474">
        <f t="shared" si="90"/>
        <v>253.45082077418647</v>
      </c>
      <c r="T201" s="476">
        <f t="shared" si="71"/>
        <v>253.45082077418647</v>
      </c>
      <c r="V201" s="1635">
        <f t="shared" si="72"/>
        <v>0</v>
      </c>
      <c r="W201" s="437"/>
      <c r="X201" s="437"/>
      <c r="Y201" s="437"/>
      <c r="Z201" s="437"/>
      <c r="AA201" s="437"/>
      <c r="AB201" s="295" t="str">
        <f t="shared" si="73"/>
        <v>use the locking pin</v>
      </c>
      <c r="AC201" s="1636"/>
      <c r="AD201" s="1636"/>
      <c r="AE201" s="1636"/>
      <c r="AF201" s="1637">
        <f>SUM(V201:V220)/($B$192-B200)</f>
        <v>0</v>
      </c>
      <c r="AG201" s="1638"/>
      <c r="AH201" s="450">
        <f>SUM(D196:D201)+$C$195</f>
        <v>3</v>
      </c>
      <c r="AI201" s="1639"/>
      <c r="AJ201" s="718">
        <f t="shared" si="80"/>
        <v>72.499008599999996</v>
      </c>
      <c r="AK201" s="1639">
        <f t="shared" si="74"/>
        <v>0.95371174743460796</v>
      </c>
      <c r="AL201" s="1639">
        <f t="shared" si="81"/>
        <v>277.18951751968609</v>
      </c>
      <c r="AM201" s="1640">
        <f t="shared" si="82"/>
        <v>60.181912400000002</v>
      </c>
      <c r="AN201" s="1639">
        <f t="shared" si="83"/>
        <v>0.86760852132903066</v>
      </c>
      <c r="AO201" s="1641">
        <f t="shared" si="84"/>
        <v>217.83322350430939</v>
      </c>
      <c r="AP201" s="287"/>
      <c r="AQ201" s="444">
        <f t="shared" si="91"/>
        <v>-146.5</v>
      </c>
      <c r="AR201" s="444"/>
      <c r="AS201" s="445">
        <f t="shared" si="85"/>
        <v>495.02274102399548</v>
      </c>
      <c r="AT201" s="445">
        <f t="shared" si="93"/>
        <v>-217.83322350430939</v>
      </c>
      <c r="AU201" s="445"/>
      <c r="AV201" s="447">
        <f t="shared" si="92"/>
        <v>217.83322350430939</v>
      </c>
      <c r="AW201" s="447">
        <f t="shared" si="86"/>
        <v>-82.033128887437499</v>
      </c>
      <c r="AX201" s="1597">
        <f t="shared" si="87"/>
        <v>-64.466871112562501</v>
      </c>
      <c r="AY201" s="1597">
        <f t="shared" si="75"/>
        <v>-141.40628496466402</v>
      </c>
      <c r="AZ201" s="1642">
        <f t="shared" si="76"/>
        <v>-155.11843257507383</v>
      </c>
      <c r="BA201" s="274">
        <f t="shared" si="88"/>
        <v>141.40628496466402</v>
      </c>
      <c r="BB201" s="275">
        <f t="shared" si="88"/>
        <v>155.11843257507383</v>
      </c>
      <c r="DE201" s="307"/>
    </row>
    <row r="202" spans="2:109" ht="21" customHeight="1" thickBot="1" x14ac:dyDescent="0.25">
      <c r="B202" s="277">
        <v>8</v>
      </c>
      <c r="C202" s="278"/>
      <c r="D202" s="25">
        <v>0.5</v>
      </c>
      <c r="E202" s="257" t="s">
        <v>305</v>
      </c>
      <c r="F202" s="258"/>
      <c r="G202" s="258">
        <f t="shared" si="89"/>
        <v>0.5</v>
      </c>
      <c r="H202" s="1632">
        <v>251.073172</v>
      </c>
      <c r="I202" s="1633">
        <v>65.636175100000003</v>
      </c>
      <c r="J202" s="474">
        <f t="shared" si="77"/>
        <v>65.136175100000003</v>
      </c>
      <c r="K202" s="474">
        <f t="shared" si="78"/>
        <v>32.568087550000001</v>
      </c>
      <c r="L202" s="474">
        <f t="shared" si="66"/>
        <v>0.53830147457895938</v>
      </c>
      <c r="M202" s="474">
        <f t="shared" si="67"/>
        <v>135.15305871481669</v>
      </c>
      <c r="N202" s="474">
        <f t="shared" si="68"/>
        <v>270.30611742963339</v>
      </c>
      <c r="O202" s="474">
        <f>+C195+D196+D197+D198+D199+D200+D201+(D202/2)</f>
        <v>3.25</v>
      </c>
      <c r="P202" s="474">
        <f t="shared" si="69"/>
        <v>5.6692787563377457E-2</v>
      </c>
      <c r="Q202" s="474">
        <f t="shared" si="70"/>
        <v>15.324407292519567</v>
      </c>
      <c r="R202" s="474">
        <f t="shared" si="79"/>
        <v>253.45082077418647</v>
      </c>
      <c r="S202" s="474">
        <f t="shared" si="90"/>
        <v>268.77522806670606</v>
      </c>
      <c r="T202" s="476">
        <f t="shared" si="71"/>
        <v>268.77522806670606</v>
      </c>
      <c r="V202" s="1635">
        <f t="shared" si="72"/>
        <v>0</v>
      </c>
      <c r="W202" s="437"/>
      <c r="X202" s="437"/>
      <c r="Y202" s="437"/>
      <c r="Z202" s="437"/>
      <c r="AA202" s="437"/>
      <c r="AB202" s="295" t="str">
        <f t="shared" si="73"/>
        <v>use the locking pin</v>
      </c>
      <c r="AC202" s="1636"/>
      <c r="AD202" s="1636"/>
      <c r="AE202" s="1636"/>
      <c r="AF202" s="1637">
        <f>SUM(V202:V220)/($B$192-B201)</f>
        <v>0</v>
      </c>
      <c r="AG202" s="1638"/>
      <c r="AH202" s="450">
        <f>SUM(D196:D202)+$C$195</f>
        <v>3.5</v>
      </c>
      <c r="AI202" s="1639"/>
      <c r="AJ202" s="718">
        <f t="shared" si="80"/>
        <v>71.999008599999996</v>
      </c>
      <c r="AK202" s="1639">
        <f t="shared" si="74"/>
        <v>0.95105116917171384</v>
      </c>
      <c r="AL202" s="1639">
        <f t="shared" si="81"/>
        <v>276.41623942282013</v>
      </c>
      <c r="AM202" s="1640">
        <f t="shared" si="82"/>
        <v>60.681912400000002</v>
      </c>
      <c r="AN202" s="1639">
        <f t="shared" si="83"/>
        <v>0.87191473672742625</v>
      </c>
      <c r="AO202" s="1641">
        <f t="shared" si="84"/>
        <v>218.91439866369981</v>
      </c>
      <c r="AP202" s="287"/>
      <c r="AQ202" s="444">
        <f t="shared" si="91"/>
        <v>-175.8</v>
      </c>
      <c r="AR202" s="444"/>
      <c r="AS202" s="445">
        <f t="shared" si="85"/>
        <v>495.33063808651991</v>
      </c>
      <c r="AT202" s="445">
        <f t="shared" si="93"/>
        <v>-218.91439866369981</v>
      </c>
      <c r="AU202" s="445"/>
      <c r="AV202" s="447">
        <f t="shared" si="92"/>
        <v>218.91439866369981</v>
      </c>
      <c r="AW202" s="447">
        <f t="shared" si="86"/>
        <v>-98.104117036353841</v>
      </c>
      <c r="AX202" s="1597">
        <f t="shared" si="87"/>
        <v>-77.69588296364617</v>
      </c>
      <c r="AY202" s="1597">
        <f t="shared" si="75"/>
        <v>-118.24172471478907</v>
      </c>
      <c r="AZ202" s="1642">
        <f t="shared" si="76"/>
        <v>-128.70694840650683</v>
      </c>
      <c r="BA202" s="274">
        <f t="shared" si="88"/>
        <v>118.24172471478907</v>
      </c>
      <c r="BB202" s="275">
        <f t="shared" si="88"/>
        <v>128.70694840650683</v>
      </c>
    </row>
    <row r="203" spans="2:109" ht="19" thickBot="1" x14ac:dyDescent="0.25">
      <c r="B203" s="277">
        <v>9</v>
      </c>
      <c r="C203" s="278"/>
      <c r="D203" s="25">
        <v>0.5</v>
      </c>
      <c r="E203" s="257" t="s">
        <v>305</v>
      </c>
      <c r="F203" s="258"/>
      <c r="G203" s="258">
        <f t="shared" si="89"/>
        <v>0.5</v>
      </c>
      <c r="H203" s="1632">
        <v>251.073172</v>
      </c>
      <c r="I203" s="1633">
        <v>65.636175100000003</v>
      </c>
      <c r="J203" s="474">
        <f t="shared" si="77"/>
        <v>65.136175100000003</v>
      </c>
      <c r="K203" s="474">
        <f t="shared" si="78"/>
        <v>32.568087550000001</v>
      </c>
      <c r="L203" s="474">
        <f t="shared" si="66"/>
        <v>0.53830147457895938</v>
      </c>
      <c r="M203" s="474">
        <f t="shared" si="67"/>
        <v>135.15305871481669</v>
      </c>
      <c r="N203" s="474">
        <f t="shared" si="68"/>
        <v>270.30611742963339</v>
      </c>
      <c r="O203" s="474">
        <f>+C195+D196+D197+D198+D199+D200+D201+D202+(D203/2)</f>
        <v>3.75</v>
      </c>
      <c r="P203" s="474">
        <f t="shared" si="69"/>
        <v>6.5403129230143006E-2</v>
      </c>
      <c r="Q203" s="474">
        <f t="shared" si="70"/>
        <v>17.678865929948522</v>
      </c>
      <c r="R203" s="474">
        <f t="shared" si="79"/>
        <v>268.77522806670606</v>
      </c>
      <c r="S203" s="474">
        <f t="shared" si="90"/>
        <v>286.45409399665459</v>
      </c>
      <c r="T203" s="476">
        <f t="shared" si="71"/>
        <v>286.45409399665459</v>
      </c>
      <c r="V203" s="1635">
        <f t="shared" si="72"/>
        <v>0</v>
      </c>
      <c r="W203" s="437"/>
      <c r="X203" s="437"/>
      <c r="Y203" s="437"/>
      <c r="Z203" s="437"/>
      <c r="AA203" s="437"/>
      <c r="AB203" s="295" t="str">
        <f t="shared" si="73"/>
        <v>use the locking pin</v>
      </c>
      <c r="AC203" s="1636"/>
      <c r="AD203" s="1636"/>
      <c r="AE203" s="1636"/>
      <c r="AF203" s="1637">
        <f>SUM(V203:V220)/($B$192-B202)</f>
        <v>0</v>
      </c>
      <c r="AG203" s="1638"/>
      <c r="AH203" s="450">
        <f>SUM(D196:D203)+$C$195</f>
        <v>4</v>
      </c>
      <c r="AI203" s="1639"/>
      <c r="AJ203" s="718">
        <f t="shared" si="80"/>
        <v>71.499008599999996</v>
      </c>
      <c r="AK203" s="1639">
        <f t="shared" si="74"/>
        <v>0.94831816468014318</v>
      </c>
      <c r="AL203" s="1639">
        <f t="shared" si="81"/>
        <v>275.62191115913316</v>
      </c>
      <c r="AM203" s="1640">
        <f t="shared" si="82"/>
        <v>61.181912400000002</v>
      </c>
      <c r="AN203" s="1639">
        <f t="shared" si="83"/>
        <v>0.87615455244286489</v>
      </c>
      <c r="AO203" s="1641">
        <f t="shared" si="84"/>
        <v>219.97890264407044</v>
      </c>
      <c r="AP203" s="287"/>
      <c r="AQ203" s="444">
        <f t="shared" si="91"/>
        <v>-205.1</v>
      </c>
      <c r="AR203" s="444"/>
      <c r="AS203" s="445">
        <f t="shared" si="85"/>
        <v>495.60081380320361</v>
      </c>
      <c r="AT203" s="445">
        <f t="shared" si="93"/>
        <v>-219.97890264407044</v>
      </c>
      <c r="AU203" s="445"/>
      <c r="AV203" s="447">
        <f t="shared" si="92"/>
        <v>219.97890264407044</v>
      </c>
      <c r="AW203" s="447">
        <f t="shared" si="86"/>
        <v>-114.06368271458393</v>
      </c>
      <c r="AX203" s="1597">
        <f t="shared" si="87"/>
        <v>-91.036317285416061</v>
      </c>
      <c r="AY203" s="1597">
        <f t="shared" si="75"/>
        <v>-101.69757563435964</v>
      </c>
      <c r="AZ203" s="1642">
        <f t="shared" si="76"/>
        <v>-109.84627122654918</v>
      </c>
      <c r="BA203" s="274">
        <f t="shared" si="88"/>
        <v>101.69757563435964</v>
      </c>
      <c r="BB203" s="275">
        <f t="shared" si="88"/>
        <v>109.84627122654918</v>
      </c>
      <c r="BD203" s="545"/>
      <c r="BQ203" s="236"/>
      <c r="BR203" s="236"/>
      <c r="BS203" s="236"/>
      <c r="BT203" s="236"/>
      <c r="BU203" s="236"/>
      <c r="BV203" s="236"/>
      <c r="CA203" s="236"/>
      <c r="CB203" s="236"/>
      <c r="CC203" s="236"/>
      <c r="CD203" s="236"/>
      <c r="CI203" s="236"/>
      <c r="CJ203" s="236"/>
      <c r="CK203" s="236"/>
      <c r="CL203" s="236"/>
      <c r="CM203" s="236"/>
      <c r="CN203" s="236"/>
      <c r="DE203" s="126"/>
    </row>
    <row r="204" spans="2:109" ht="19" thickBot="1" x14ac:dyDescent="0.25">
      <c r="B204" s="277">
        <v>10</v>
      </c>
      <c r="C204" s="278"/>
      <c r="D204" s="25">
        <v>0.5</v>
      </c>
      <c r="E204" s="257" t="s">
        <v>305</v>
      </c>
      <c r="F204" s="258"/>
      <c r="G204" s="258">
        <f t="shared" si="89"/>
        <v>0.5</v>
      </c>
      <c r="H204" s="1632">
        <v>251.073172</v>
      </c>
      <c r="I204" s="1633">
        <v>65.636175100000003</v>
      </c>
      <c r="J204" s="474">
        <f t="shared" si="77"/>
        <v>65.136175100000003</v>
      </c>
      <c r="K204" s="474">
        <f t="shared" si="78"/>
        <v>32.568087550000001</v>
      </c>
      <c r="L204" s="474">
        <f t="shared" si="66"/>
        <v>0.53830147457895938</v>
      </c>
      <c r="M204" s="474">
        <f t="shared" si="67"/>
        <v>135.15305871481669</v>
      </c>
      <c r="N204" s="474">
        <f t="shared" si="68"/>
        <v>270.30611742963339</v>
      </c>
      <c r="O204" s="474">
        <f>+C195+D196+D197+D198+D199+D200+D201+D202+D203+(D204/2)</f>
        <v>4.25</v>
      </c>
      <c r="P204" s="474">
        <f t="shared" si="69"/>
        <v>7.4108490195399154E-2</v>
      </c>
      <c r="Q204" s="474">
        <f t="shared" si="70"/>
        <v>20.031978253290397</v>
      </c>
      <c r="R204" s="474">
        <f t="shared" si="79"/>
        <v>286.45409399665459</v>
      </c>
      <c r="S204" s="474">
        <f t="shared" si="90"/>
        <v>306.48607224994498</v>
      </c>
      <c r="T204" s="476">
        <f t="shared" si="71"/>
        <v>306.48607224994498</v>
      </c>
      <c r="V204" s="1635">
        <f t="shared" si="72"/>
        <v>0</v>
      </c>
      <c r="W204" s="437"/>
      <c r="X204" s="437"/>
      <c r="Y204" s="437"/>
      <c r="Z204" s="437"/>
      <c r="AA204" s="437"/>
      <c r="AB204" s="295" t="str">
        <f t="shared" si="73"/>
        <v>use the locking pin</v>
      </c>
      <c r="AC204" s="1636"/>
      <c r="AD204" s="1636"/>
      <c r="AE204" s="1636"/>
      <c r="AF204" s="1637">
        <f>SUM(V204:V220)/($B$192-B203)</f>
        <v>0</v>
      </c>
      <c r="AG204" s="1638"/>
      <c r="AH204" s="450">
        <f>SUM(D196:D204)+$C$195</f>
        <v>4.5</v>
      </c>
      <c r="AI204" s="1639"/>
      <c r="AJ204" s="718">
        <f t="shared" si="80"/>
        <v>70.999008599999996</v>
      </c>
      <c r="AK204" s="1639">
        <f t="shared" si="74"/>
        <v>0.94551294208876902</v>
      </c>
      <c r="AL204" s="1639">
        <f t="shared" si="81"/>
        <v>274.80659321979778</v>
      </c>
      <c r="AM204" s="1640">
        <f t="shared" si="82"/>
        <v>61.681912400000002</v>
      </c>
      <c r="AN204" s="1639">
        <f t="shared" si="83"/>
        <v>0.88032764559696475</v>
      </c>
      <c r="AO204" s="1641">
        <f t="shared" si="84"/>
        <v>221.02665437932177</v>
      </c>
      <c r="AP204" s="287"/>
      <c r="AQ204" s="444">
        <f t="shared" si="91"/>
        <v>-234.4</v>
      </c>
      <c r="AR204" s="444"/>
      <c r="AS204" s="445">
        <f t="shared" si="85"/>
        <v>495.83324759911955</v>
      </c>
      <c r="AT204" s="445">
        <f t="shared" si="93"/>
        <v>-221.02665437932177</v>
      </c>
      <c r="AU204" s="445"/>
      <c r="AV204" s="447">
        <f t="shared" si="92"/>
        <v>221.02665437932177</v>
      </c>
      <c r="AW204" s="447">
        <f t="shared" si="86"/>
        <v>-129.91195278377089</v>
      </c>
      <c r="AX204" s="1597">
        <f t="shared" si="87"/>
        <v>-104.48804721622912</v>
      </c>
      <c r="AY204" s="1597">
        <f t="shared" si="75"/>
        <v>-89.291244965791307</v>
      </c>
      <c r="AZ204" s="1642">
        <f t="shared" si="76"/>
        <v>-95.704726678505637</v>
      </c>
      <c r="BA204" s="274">
        <f t="shared" si="88"/>
        <v>89.291244965791307</v>
      </c>
      <c r="BB204" s="275">
        <f t="shared" si="88"/>
        <v>95.704726678505637</v>
      </c>
      <c r="BD204" s="545"/>
      <c r="DE204" s="126"/>
    </row>
    <row r="205" spans="2:109" ht="19" thickBot="1" x14ac:dyDescent="0.25">
      <c r="B205" s="277">
        <v>11</v>
      </c>
      <c r="C205" s="278"/>
      <c r="D205" s="25">
        <v>0.5</v>
      </c>
      <c r="E205" s="257" t="s">
        <v>305</v>
      </c>
      <c r="F205" s="258"/>
      <c r="G205" s="258">
        <f t="shared" si="89"/>
        <v>0.5</v>
      </c>
      <c r="H205" s="1632">
        <v>251.073172</v>
      </c>
      <c r="I205" s="1633">
        <v>65.636175100000003</v>
      </c>
      <c r="J205" s="474">
        <f t="shared" si="77"/>
        <v>65.136175100000003</v>
      </c>
      <c r="K205" s="474">
        <f t="shared" si="78"/>
        <v>32.568087550000001</v>
      </c>
      <c r="L205" s="474">
        <f t="shared" si="66"/>
        <v>0.53830147457895938</v>
      </c>
      <c r="M205" s="474">
        <f t="shared" si="67"/>
        <v>135.15305871481669</v>
      </c>
      <c r="N205" s="474">
        <f t="shared" si="68"/>
        <v>270.30611742963339</v>
      </c>
      <c r="O205" s="474">
        <f>+C195+D196+D197+D198+D199+D200+D201+D202+D203+D204+(D205/2)</f>
        <v>4.75</v>
      </c>
      <c r="P205" s="474">
        <f t="shared" si="69"/>
        <v>8.280820751220426E-2</v>
      </c>
      <c r="Q205" s="474">
        <f t="shared" si="70"/>
        <v>22.383565063931336</v>
      </c>
      <c r="R205" s="474">
        <f t="shared" si="79"/>
        <v>306.48607224994498</v>
      </c>
      <c r="S205" s="474">
        <f t="shared" si="90"/>
        <v>328.8696373138763</v>
      </c>
      <c r="T205" s="476">
        <f t="shared" si="71"/>
        <v>328.8696373138763</v>
      </c>
      <c r="V205" s="1635">
        <f t="shared" si="72"/>
        <v>0</v>
      </c>
      <c r="W205" s="437"/>
      <c r="X205" s="437"/>
      <c r="Y205" s="437"/>
      <c r="Z205" s="437"/>
      <c r="AA205" s="437"/>
      <c r="AB205" s="295" t="str">
        <f t="shared" si="73"/>
        <v>use the locking pin</v>
      </c>
      <c r="AC205" s="1636"/>
      <c r="AD205" s="1636"/>
      <c r="AE205" s="1636"/>
      <c r="AF205" s="1637">
        <f>SUM(V205:V220)/($B$192-B204)</f>
        <v>0</v>
      </c>
      <c r="AG205" s="1638"/>
      <c r="AH205" s="450">
        <f>SUM(D196:D205)+$C$195</f>
        <v>5</v>
      </c>
      <c r="AI205" s="1639"/>
      <c r="AJ205" s="718">
        <f t="shared" si="80"/>
        <v>70.499008599999996</v>
      </c>
      <c r="AK205" s="1639">
        <f t="shared" si="74"/>
        <v>0.94263571502615251</v>
      </c>
      <c r="AL205" s="1639">
        <f t="shared" si="81"/>
        <v>273.97034769443167</v>
      </c>
      <c r="AM205" s="1640">
        <f t="shared" si="82"/>
        <v>62.181912400000002</v>
      </c>
      <c r="AN205" s="1639">
        <f t="shared" si="83"/>
        <v>0.88443369839252528</v>
      </c>
      <c r="AO205" s="1641">
        <f t="shared" si="84"/>
        <v>222.05757407910264</v>
      </c>
      <c r="AP205" s="287"/>
      <c r="AQ205" s="444">
        <f t="shared" si="91"/>
        <v>-263.7</v>
      </c>
      <c r="AR205" s="444"/>
      <c r="AS205" s="445">
        <f t="shared" si="85"/>
        <v>496.02792177353433</v>
      </c>
      <c r="AT205" s="445">
        <f t="shared" si="93"/>
        <v>-222.05757407910264</v>
      </c>
      <c r="AU205" s="445"/>
      <c r="AV205" s="447">
        <f t="shared" si="92"/>
        <v>222.05757407910264</v>
      </c>
      <c r="AW205" s="447">
        <f t="shared" si="86"/>
        <v>-145.64901997594831</v>
      </c>
      <c r="AX205" s="1597">
        <f t="shared" si="87"/>
        <v>-118.05098002405165</v>
      </c>
      <c r="AY205" s="1597">
        <f t="shared" si="75"/>
        <v>-79.643515637218584</v>
      </c>
      <c r="AZ205" s="1642">
        <f t="shared" si="76"/>
        <v>-84.70916546362092</v>
      </c>
      <c r="BA205" s="274">
        <f t="shared" si="88"/>
        <v>79.643515637218584</v>
      </c>
      <c r="BB205" s="275">
        <f t="shared" si="88"/>
        <v>84.70916546362092</v>
      </c>
      <c r="BD205" s="545"/>
      <c r="DE205" s="126"/>
    </row>
    <row r="206" spans="2:109" ht="19" thickBot="1" x14ac:dyDescent="0.25">
      <c r="B206" s="277">
        <v>12</v>
      </c>
      <c r="C206" s="278"/>
      <c r="D206" s="25">
        <v>0.5</v>
      </c>
      <c r="E206" s="257" t="s">
        <v>305</v>
      </c>
      <c r="F206" s="258"/>
      <c r="G206" s="258">
        <f t="shared" si="89"/>
        <v>0.5</v>
      </c>
      <c r="H206" s="1632">
        <v>251.073172</v>
      </c>
      <c r="I206" s="1633">
        <v>65.636175100000003</v>
      </c>
      <c r="J206" s="474">
        <f t="shared" si="77"/>
        <v>65.136175100000003</v>
      </c>
      <c r="K206" s="474">
        <f t="shared" si="78"/>
        <v>32.568087550000001</v>
      </c>
      <c r="L206" s="474">
        <f t="shared" si="66"/>
        <v>0.53830147457895938</v>
      </c>
      <c r="M206" s="474">
        <f t="shared" si="67"/>
        <v>135.15305871481669</v>
      </c>
      <c r="N206" s="474">
        <f t="shared" si="68"/>
        <v>270.30611742963339</v>
      </c>
      <c r="O206" s="474">
        <f>+C195+D196+D197+D198+D199+D200+D201+D202+D203+D204+D205+(D206/2)</f>
        <v>5.25</v>
      </c>
      <c r="P206" s="474">
        <f t="shared" si="69"/>
        <v>9.1501618663402284E-2</v>
      </c>
      <c r="Q206" s="474">
        <f t="shared" si="70"/>
        <v>24.733447279431154</v>
      </c>
      <c r="R206" s="474">
        <f t="shared" si="79"/>
        <v>328.8696373138763</v>
      </c>
      <c r="S206" s="474">
        <f t="shared" si="90"/>
        <v>353.60308459330747</v>
      </c>
      <c r="T206" s="476">
        <f t="shared" si="71"/>
        <v>353.60308459330747</v>
      </c>
      <c r="V206" s="1635">
        <f t="shared" si="72"/>
        <v>0</v>
      </c>
      <c r="W206" s="437"/>
      <c r="X206" s="437"/>
      <c r="Y206" s="437"/>
      <c r="Z206" s="437"/>
      <c r="AA206" s="437"/>
      <c r="AB206" s="295" t="str">
        <f t="shared" si="73"/>
        <v>use the locking pin</v>
      </c>
      <c r="AC206" s="1636"/>
      <c r="AD206" s="1636"/>
      <c r="AE206" s="1636"/>
      <c r="AF206" s="1637">
        <f>SUM(V206:V220)/($B$192-B205)</f>
        <v>0</v>
      </c>
      <c r="AG206" s="1638"/>
      <c r="AH206" s="450">
        <f>SUM(D196:D206)+$C$195</f>
        <v>5.5</v>
      </c>
      <c r="AI206" s="1639"/>
      <c r="AJ206" s="718">
        <f t="shared" si="80"/>
        <v>69.999008599999996</v>
      </c>
      <c r="AK206" s="1639">
        <f t="shared" si="74"/>
        <v>0.93968670260427423</v>
      </c>
      <c r="AL206" s="1639">
        <f t="shared" si="81"/>
        <v>273.11323826636936</v>
      </c>
      <c r="AM206" s="1640">
        <f t="shared" si="82"/>
        <v>62.681912400000002</v>
      </c>
      <c r="AN206" s="1639">
        <f t="shared" si="83"/>
        <v>0.88847239813772905</v>
      </c>
      <c r="AO206" s="1641">
        <f t="shared" si="84"/>
        <v>223.07158323488653</v>
      </c>
      <c r="AP206" s="287"/>
      <c r="AQ206" s="444">
        <f t="shared" si="91"/>
        <v>-293</v>
      </c>
      <c r="AR206" s="444"/>
      <c r="AS206" s="445">
        <f t="shared" si="85"/>
        <v>496.1848215012559</v>
      </c>
      <c r="AT206" s="445">
        <f t="shared" si="93"/>
        <v>-223.07158323488653</v>
      </c>
      <c r="AU206" s="445"/>
      <c r="AV206" s="447">
        <f t="shared" si="92"/>
        <v>223.07158323488653</v>
      </c>
      <c r="AW206" s="447">
        <f t="shared" si="86"/>
        <v>-161.27494301403911</v>
      </c>
      <c r="AX206" s="1597">
        <f t="shared" si="87"/>
        <v>-131.72505698596086</v>
      </c>
      <c r="AY206" s="1597">
        <f t="shared" si="75"/>
        <v>-71.926858464245186</v>
      </c>
      <c r="AZ206" s="1642">
        <f t="shared" si="76"/>
        <v>-75.915700693648517</v>
      </c>
      <c r="BA206" s="274">
        <f t="shared" si="88"/>
        <v>71.926858464245186</v>
      </c>
      <c r="BB206" s="275">
        <f t="shared" si="88"/>
        <v>75.915700693648517</v>
      </c>
      <c r="BD206" s="545"/>
      <c r="DE206" s="211"/>
    </row>
    <row r="207" spans="2:109" ht="19" thickBot="1" x14ac:dyDescent="0.25">
      <c r="B207" s="277">
        <v>13</v>
      </c>
      <c r="C207" s="278"/>
      <c r="D207" s="25">
        <v>0.5</v>
      </c>
      <c r="E207" s="257" t="s">
        <v>305</v>
      </c>
      <c r="F207" s="258"/>
      <c r="G207" s="258">
        <f t="shared" si="89"/>
        <v>0.5</v>
      </c>
      <c r="H207" s="1632">
        <v>251.073172</v>
      </c>
      <c r="I207" s="1633">
        <v>65.636175100000003</v>
      </c>
      <c r="J207" s="474">
        <f t="shared" si="77"/>
        <v>65.136175100000003</v>
      </c>
      <c r="K207" s="474">
        <f t="shared" si="78"/>
        <v>32.568087550000001</v>
      </c>
      <c r="L207" s="474">
        <f t="shared" si="66"/>
        <v>0.53830147457895938</v>
      </c>
      <c r="M207" s="474">
        <f t="shared" si="67"/>
        <v>135.15305871481669</v>
      </c>
      <c r="N207" s="474">
        <f t="shared" si="68"/>
        <v>270.30611742963339</v>
      </c>
      <c r="O207" s="474">
        <f>+C195+D196+D197+D198+D199+D200+D201+D202+D203+D204+D205+D206+(D207/2)</f>
        <v>5.75</v>
      </c>
      <c r="P207" s="474">
        <f t="shared" si="69"/>
        <v>0.10018806161207618</v>
      </c>
      <c r="Q207" s="474">
        <f t="shared" si="70"/>
        <v>27.081445947161207</v>
      </c>
      <c r="R207" s="474">
        <f t="shared" si="79"/>
        <v>353.60308459330747</v>
      </c>
      <c r="S207" s="474">
        <f t="shared" si="90"/>
        <v>380.6845305404687</v>
      </c>
      <c r="T207" s="476">
        <f t="shared" si="71"/>
        <v>380.6845305404687</v>
      </c>
      <c r="V207" s="1635">
        <f t="shared" si="72"/>
        <v>0</v>
      </c>
      <c r="W207" s="437"/>
      <c r="X207" s="437"/>
      <c r="Y207" s="437"/>
      <c r="Z207" s="437"/>
      <c r="AA207" s="437"/>
      <c r="AB207" s="295" t="str">
        <f t="shared" si="73"/>
        <v>use the locking pin</v>
      </c>
      <c r="AC207" s="1636"/>
      <c r="AD207" s="1636"/>
      <c r="AE207" s="1636"/>
      <c r="AF207" s="1637">
        <f>SUM(V207:V220)/($B$192-B206)</f>
        <v>0</v>
      </c>
      <c r="AG207" s="1638"/>
      <c r="AH207" s="450">
        <f>SUM(D196:D207)+$C$195</f>
        <v>6</v>
      </c>
      <c r="AI207" s="1639"/>
      <c r="AJ207" s="718">
        <f t="shared" si="80"/>
        <v>69.499008599999996</v>
      </c>
      <c r="AK207" s="1639">
        <f t="shared" si="74"/>
        <v>0.93666612940184768</v>
      </c>
      <c r="AL207" s="1639">
        <f t="shared" si="81"/>
        <v>272.23533020781213</v>
      </c>
      <c r="AM207" s="1640">
        <f t="shared" si="82"/>
        <v>63.181912400000002</v>
      </c>
      <c r="AN207" s="1639">
        <f t="shared" si="83"/>
        <v>0.8924434372699539</v>
      </c>
      <c r="AO207" s="1641">
        <f t="shared" si="84"/>
        <v>224.06860462595034</v>
      </c>
      <c r="AP207" s="287"/>
      <c r="AQ207" s="444">
        <f t="shared" si="91"/>
        <v>-322.3</v>
      </c>
      <c r="AR207" s="444"/>
      <c r="AS207" s="445">
        <f t="shared" si="85"/>
        <v>496.30393483376247</v>
      </c>
      <c r="AT207" s="445">
        <f t="shared" si="93"/>
        <v>-224.06860462595034</v>
      </c>
      <c r="AU207" s="445"/>
      <c r="AV207" s="447">
        <f t="shared" si="92"/>
        <v>224.06860462595034</v>
      </c>
      <c r="AW207" s="447">
        <f t="shared" si="86"/>
        <v>-176.78974670101488</v>
      </c>
      <c r="AX207" s="1597">
        <f t="shared" si="87"/>
        <v>-145.51025329898516</v>
      </c>
      <c r="AY207" s="1597">
        <f t="shared" si="75"/>
        <v>-65.614664970462385</v>
      </c>
      <c r="AZ207" s="1642">
        <f t="shared" si="76"/>
        <v>-68.723679419708247</v>
      </c>
      <c r="BA207" s="274">
        <f t="shared" si="88"/>
        <v>65.614664970462385</v>
      </c>
      <c r="BB207" s="275">
        <f t="shared" si="88"/>
        <v>68.723679419708247</v>
      </c>
      <c r="BD207" s="545"/>
      <c r="DE207" s="126"/>
    </row>
    <row r="208" spans="2:109" ht="19" thickBot="1" x14ac:dyDescent="0.25">
      <c r="B208" s="277">
        <v>14</v>
      </c>
      <c r="C208" s="278"/>
      <c r="D208" s="25">
        <v>0.5</v>
      </c>
      <c r="E208" s="257" t="s">
        <v>305</v>
      </c>
      <c r="F208" s="258"/>
      <c r="G208" s="258">
        <f t="shared" si="89"/>
        <v>0.5</v>
      </c>
      <c r="H208" s="1632">
        <v>251.073172</v>
      </c>
      <c r="I208" s="1633">
        <v>65.636175100000003</v>
      </c>
      <c r="J208" s="474">
        <f t="shared" si="77"/>
        <v>65.136175100000003</v>
      </c>
      <c r="K208" s="474">
        <f t="shared" si="78"/>
        <v>32.568087550000001</v>
      </c>
      <c r="L208" s="474">
        <f t="shared" si="66"/>
        <v>0.53830147457895938</v>
      </c>
      <c r="M208" s="474">
        <f t="shared" si="67"/>
        <v>135.15305871481669</v>
      </c>
      <c r="N208" s="474">
        <f t="shared" si="68"/>
        <v>270.30611742963339</v>
      </c>
      <c r="O208" s="474">
        <f>+C195+D196+D197+D198+D199+D200+D201+D202+D203+D204+D205+D206+D207+(D208/2)</f>
        <v>6.25</v>
      </c>
      <c r="P208" s="474">
        <f t="shared" si="69"/>
        <v>0.10886687485196446</v>
      </c>
      <c r="Q208" s="474">
        <f t="shared" si="70"/>
        <v>29.427382257932308</v>
      </c>
      <c r="R208" s="474">
        <f t="shared" si="79"/>
        <v>380.6845305404687</v>
      </c>
      <c r="S208" s="474">
        <f t="shared" si="90"/>
        <v>410.11191279840102</v>
      </c>
      <c r="T208" s="476">
        <f t="shared" si="71"/>
        <v>410.11191279840102</v>
      </c>
      <c r="V208" s="1635">
        <f t="shared" si="72"/>
        <v>0</v>
      </c>
      <c r="W208" s="437"/>
      <c r="X208" s="437"/>
      <c r="Y208" s="437"/>
      <c r="Z208" s="437"/>
      <c r="AA208" s="437"/>
      <c r="AB208" s="295" t="str">
        <f t="shared" si="73"/>
        <v>use the locking pin</v>
      </c>
      <c r="AC208" s="1636"/>
      <c r="AD208" s="1636"/>
      <c r="AE208" s="1636"/>
      <c r="AF208" s="1637">
        <f>SUM(V208:V220)/($B$192-B207)</f>
        <v>0</v>
      </c>
      <c r="AG208" s="1638"/>
      <c r="AH208" s="450">
        <f>SUM(D196:D208)+$C$195</f>
        <v>6.5</v>
      </c>
      <c r="AI208" s="1639"/>
      <c r="AJ208" s="718">
        <f t="shared" si="80"/>
        <v>68.999008599999996</v>
      </c>
      <c r="AK208" s="1639">
        <f t="shared" si="74"/>
        <v>0.9335742254472168</v>
      </c>
      <c r="AL208" s="1639">
        <f t="shared" si="81"/>
        <v>271.33669037485771</v>
      </c>
      <c r="AM208" s="1640">
        <f t="shared" si="82"/>
        <v>63.681912400000002</v>
      </c>
      <c r="AN208" s="1639">
        <f t="shared" si="83"/>
        <v>0.89634651337919524</v>
      </c>
      <c r="AO208" s="1641">
        <f t="shared" si="84"/>
        <v>225.04856232525498</v>
      </c>
      <c r="AP208" s="287"/>
      <c r="AQ208" s="444">
        <f t="shared" si="91"/>
        <v>-351.6</v>
      </c>
      <c r="AR208" s="444"/>
      <c r="AS208" s="445">
        <f t="shared" si="85"/>
        <v>496.38525270011269</v>
      </c>
      <c r="AT208" s="445">
        <f t="shared" si="93"/>
        <v>-225.04856232525498</v>
      </c>
      <c r="AU208" s="445"/>
      <c r="AV208" s="447">
        <f t="shared" si="92"/>
        <v>225.04856232525498</v>
      </c>
      <c r="AW208" s="447">
        <f t="shared" si="86"/>
        <v>-192.19342197790138</v>
      </c>
      <c r="AX208" s="1597">
        <f t="shared" si="87"/>
        <v>-159.40657802209864</v>
      </c>
      <c r="AY208" s="1597">
        <f t="shared" si="75"/>
        <v>-60.355863799197984</v>
      </c>
      <c r="AZ208" s="1642">
        <f t="shared" si="76"/>
        <v>-62.732668401009732</v>
      </c>
      <c r="BA208" s="274">
        <f t="shared" si="88"/>
        <v>60.355863799197984</v>
      </c>
      <c r="BB208" s="275">
        <f t="shared" si="88"/>
        <v>62.732668401009732</v>
      </c>
      <c r="BD208" s="545"/>
    </row>
    <row r="209" spans="2:65" ht="19" thickBot="1" x14ac:dyDescent="0.25">
      <c r="B209" s="277">
        <v>15</v>
      </c>
      <c r="C209" s="278"/>
      <c r="D209" s="25">
        <v>0.5</v>
      </c>
      <c r="E209" s="257" t="s">
        <v>305</v>
      </c>
      <c r="F209" s="258"/>
      <c r="G209" s="258">
        <f t="shared" si="89"/>
        <v>0.5</v>
      </c>
      <c r="H209" s="1632">
        <v>251.073172</v>
      </c>
      <c r="I209" s="1633">
        <v>65.636175100000003</v>
      </c>
      <c r="J209" s="474">
        <f t="shared" si="77"/>
        <v>65.136175100000003</v>
      </c>
      <c r="K209" s="474">
        <f t="shared" si="78"/>
        <v>32.568087550000001</v>
      </c>
      <c r="L209" s="474">
        <f t="shared" si="66"/>
        <v>0.53830147457895938</v>
      </c>
      <c r="M209" s="474">
        <f t="shared" si="67"/>
        <v>135.15305871481669</v>
      </c>
      <c r="N209" s="474">
        <f t="shared" si="68"/>
        <v>270.30611742963339</v>
      </c>
      <c r="O209" s="474">
        <f>+C195+D196+D197+D198+D199+D200+D201+D202+D203+D204+D205+D206+D207+D208+(D209/2)</f>
        <v>6.75</v>
      </c>
      <c r="P209" s="474">
        <f t="shared" si="69"/>
        <v>0.11753739745783752</v>
      </c>
      <c r="Q209" s="474">
        <f t="shared" si="70"/>
        <v>31.771077559611722</v>
      </c>
      <c r="R209" s="474">
        <f t="shared" si="79"/>
        <v>410.11191279840102</v>
      </c>
      <c r="S209" s="474">
        <f t="shared" si="90"/>
        <v>441.88299035801276</v>
      </c>
      <c r="T209" s="476">
        <f t="shared" si="71"/>
        <v>441.88299035801276</v>
      </c>
      <c r="V209" s="1635">
        <f t="shared" si="72"/>
        <v>0</v>
      </c>
      <c r="W209" s="437"/>
      <c r="X209" s="437"/>
      <c r="Y209" s="437"/>
      <c r="Z209" s="437"/>
      <c r="AA209" s="437"/>
      <c r="AB209" s="295" t="str">
        <f t="shared" si="73"/>
        <v>use the locking pin</v>
      </c>
      <c r="AC209" s="1636"/>
      <c r="AD209" s="1636"/>
      <c r="AE209" s="1636"/>
      <c r="AF209" s="1637">
        <f>SUM(V209:V220)/($B$192-B208)</f>
        <v>0</v>
      </c>
      <c r="AG209" s="1638"/>
      <c r="AH209" s="450">
        <f>SUM(D196:D209)+$C$195</f>
        <v>7</v>
      </c>
      <c r="AI209" s="1639"/>
      <c r="AJ209" s="718">
        <f t="shared" si="80"/>
        <v>68.499008599999996</v>
      </c>
      <c r="AK209" s="1639">
        <f t="shared" si="74"/>
        <v>0.93041122620083849</v>
      </c>
      <c r="AL209" s="1639">
        <f t="shared" si="81"/>
        <v>270.41738720240846</v>
      </c>
      <c r="AM209" s="1640">
        <f t="shared" si="82"/>
        <v>64.181912400000002</v>
      </c>
      <c r="AN209" s="1639">
        <f t="shared" si="83"/>
        <v>0.90018132923109617</v>
      </c>
      <c r="AO209" s="1641">
        <f t="shared" si="84"/>
        <v>226.01138170522765</v>
      </c>
      <c r="AP209" s="287"/>
      <c r="AQ209" s="444">
        <f t="shared" si="91"/>
        <v>-380.90000000000003</v>
      </c>
      <c r="AR209" s="444"/>
      <c r="AS209" s="445">
        <f t="shared" si="85"/>
        <v>496.42876890763614</v>
      </c>
      <c r="AT209" s="445">
        <f t="shared" si="93"/>
        <v>-226.01138170522765</v>
      </c>
      <c r="AU209" s="445"/>
      <c r="AV209" s="447">
        <f t="shared" si="92"/>
        <v>226.01138170522765</v>
      </c>
      <c r="AW209" s="447">
        <f t="shared" si="86"/>
        <v>-207.48592595076133</v>
      </c>
      <c r="AX209" s="1597">
        <f t="shared" si="87"/>
        <v>-173.41407404923868</v>
      </c>
      <c r="AY209" s="1597">
        <f t="shared" si="75"/>
        <v>-55.907406475139943</v>
      </c>
      <c r="AZ209" s="1642">
        <f t="shared" si="76"/>
        <v>-57.665446445601809</v>
      </c>
      <c r="BA209" s="274">
        <f t="shared" si="88"/>
        <v>55.907406475139943</v>
      </c>
      <c r="BB209" s="275">
        <f t="shared" si="88"/>
        <v>57.665446445601809</v>
      </c>
      <c r="BD209" s="545"/>
      <c r="BF209" s="136"/>
      <c r="BG209" s="136"/>
      <c r="BH209" s="136"/>
      <c r="BI209" s="136"/>
      <c r="BJ209" s="136"/>
      <c r="BK209" s="136"/>
      <c r="BL209" s="212"/>
      <c r="BM209"/>
    </row>
    <row r="210" spans="2:65" ht="19" thickBot="1" x14ac:dyDescent="0.25">
      <c r="B210" s="277">
        <v>16</v>
      </c>
      <c r="C210" s="278"/>
      <c r="D210" s="25">
        <v>0.5</v>
      </c>
      <c r="E210" s="257" t="s">
        <v>305</v>
      </c>
      <c r="F210" s="258"/>
      <c r="G210" s="258">
        <f t="shared" si="89"/>
        <v>0.5</v>
      </c>
      <c r="H210" s="1632">
        <v>251.073172</v>
      </c>
      <c r="I210" s="1633">
        <v>65.636175100000003</v>
      </c>
      <c r="J210" s="474">
        <f t="shared" si="77"/>
        <v>65.136175100000003</v>
      </c>
      <c r="K210" s="474">
        <f t="shared" si="78"/>
        <v>32.568087550000001</v>
      </c>
      <c r="L210" s="474">
        <f t="shared" si="66"/>
        <v>0.53830147457895938</v>
      </c>
      <c r="M210" s="474">
        <f t="shared" si="67"/>
        <v>135.15305871481669</v>
      </c>
      <c r="N210" s="474">
        <f t="shared" si="68"/>
        <v>270.30611742963339</v>
      </c>
      <c r="O210" s="474">
        <f>+C195+D196+D197+D198+D199+D200+D201+D202+D203+D204+D205+D206+D207+D208+D209+(D210/2)</f>
        <v>7.25</v>
      </c>
      <c r="P210" s="474">
        <f t="shared" si="69"/>
        <v>0.12619896913582962</v>
      </c>
      <c r="Q210" s="474">
        <f t="shared" si="70"/>
        <v>34.112353370728243</v>
      </c>
      <c r="R210" s="474">
        <f t="shared" si="79"/>
        <v>441.88299035801276</v>
      </c>
      <c r="S210" s="474">
        <f t="shared" si="90"/>
        <v>475.99534372874098</v>
      </c>
      <c r="T210" s="476">
        <f t="shared" si="71"/>
        <v>475.99534372874098</v>
      </c>
      <c r="V210" s="1635">
        <f t="shared" si="72"/>
        <v>0</v>
      </c>
      <c r="W210" s="437"/>
      <c r="X210" s="437"/>
      <c r="Y210" s="437"/>
      <c r="Z210" s="437"/>
      <c r="AA210" s="437"/>
      <c r="AB210" s="295" t="str">
        <f t="shared" si="73"/>
        <v>use the locking pin</v>
      </c>
      <c r="AC210" s="1636"/>
      <c r="AD210" s="1636"/>
      <c r="AE210" s="1636"/>
      <c r="AF210" s="1637">
        <f>SUM(V210:V220)/($B$192-B209)</f>
        <v>0</v>
      </c>
      <c r="AG210" s="1638"/>
      <c r="AH210" s="450">
        <f>SUM(D196:D210)+$C$195</f>
        <v>7.5</v>
      </c>
      <c r="AI210" s="1639"/>
      <c r="AJ210" s="718">
        <f t="shared" si="80"/>
        <v>67.999008599999996</v>
      </c>
      <c r="AK210" s="1639">
        <f t="shared" si="74"/>
        <v>0.92717737253735144</v>
      </c>
      <c r="AL210" s="1639">
        <f t="shared" si="81"/>
        <v>269.47749069896025</v>
      </c>
      <c r="AM210" s="1640">
        <f t="shared" si="82"/>
        <v>64.681912400000002</v>
      </c>
      <c r="AN210" s="1639">
        <f t="shared" si="83"/>
        <v>0.90394759278958248</v>
      </c>
      <c r="AO210" s="1641">
        <f t="shared" si="84"/>
        <v>226.9569894434448</v>
      </c>
      <c r="AP210" s="287"/>
      <c r="AQ210" s="444">
        <f t="shared" si="91"/>
        <v>-410.2</v>
      </c>
      <c r="AR210" s="444"/>
      <c r="AS210" s="445">
        <f t="shared" si="85"/>
        <v>496.43448014240505</v>
      </c>
      <c r="AT210" s="445">
        <f t="shared" si="93"/>
        <v>-226.9569894434448</v>
      </c>
      <c r="AU210" s="445"/>
      <c r="AV210" s="447">
        <f t="shared" si="92"/>
        <v>226.9569894434448</v>
      </c>
      <c r="AW210" s="447">
        <f t="shared" si="86"/>
        <v>-222.66718188673067</v>
      </c>
      <c r="AX210" s="1597">
        <f t="shared" si="87"/>
        <v>-187.53281811326931</v>
      </c>
      <c r="AY210" s="1597">
        <f t="shared" si="75"/>
        <v>-52.095687840971749</v>
      </c>
      <c r="AZ210" s="1642">
        <f t="shared" si="76"/>
        <v>-53.324000036943012</v>
      </c>
      <c r="BA210" s="274">
        <f t="shared" si="88"/>
        <v>52.095687840971749</v>
      </c>
      <c r="BB210" s="275">
        <f t="shared" si="88"/>
        <v>53.324000036943012</v>
      </c>
      <c r="BD210" s="545"/>
    </row>
    <row r="211" spans="2:65" ht="19" thickBot="1" x14ac:dyDescent="0.25">
      <c r="B211" s="277">
        <v>17</v>
      </c>
      <c r="C211" s="278"/>
      <c r="D211" s="25">
        <v>0.5</v>
      </c>
      <c r="E211" s="257" t="s">
        <v>305</v>
      </c>
      <c r="F211" s="258"/>
      <c r="G211" s="258">
        <f t="shared" si="89"/>
        <v>0.5</v>
      </c>
      <c r="H211" s="1632">
        <v>251.073172</v>
      </c>
      <c r="I211" s="1633">
        <v>65.636175100000003</v>
      </c>
      <c r="J211" s="474">
        <f t="shared" si="77"/>
        <v>65.136175100000003</v>
      </c>
      <c r="K211" s="474">
        <f t="shared" si="78"/>
        <v>32.568087550000001</v>
      </c>
      <c r="L211" s="474">
        <f t="shared" si="66"/>
        <v>0.53830147457895938</v>
      </c>
      <c r="M211" s="474">
        <f t="shared" si="67"/>
        <v>135.15305871481669</v>
      </c>
      <c r="N211" s="474">
        <f t="shared" si="68"/>
        <v>270.30611742963339</v>
      </c>
      <c r="O211" s="474">
        <f>+C195+D196+D197+D198+D199+D200+D201+D202+D203+D204+D205+D206+D207+D208+D209+D210+(D211/2)</f>
        <v>7.75</v>
      </c>
      <c r="P211" s="474">
        <f t="shared" si="69"/>
        <v>0.13485093027372286</v>
      </c>
      <c r="Q211" s="474">
        <f t="shared" si="70"/>
        <v>36.451031394064238</v>
      </c>
      <c r="R211" s="474">
        <f t="shared" si="79"/>
        <v>475.99534372874098</v>
      </c>
      <c r="S211" s="474">
        <f t="shared" si="90"/>
        <v>512.44637512280519</v>
      </c>
      <c r="T211" s="476">
        <f t="shared" si="71"/>
        <v>512.44637512280519</v>
      </c>
      <c r="V211" s="1635">
        <f t="shared" si="72"/>
        <v>0</v>
      </c>
      <c r="W211" s="437"/>
      <c r="X211" s="437"/>
      <c r="Y211" s="437"/>
      <c r="Z211" s="437"/>
      <c r="AA211" s="437"/>
      <c r="AB211" s="295" t="str">
        <f t="shared" si="73"/>
        <v>use the locking pin</v>
      </c>
      <c r="AC211" s="1636"/>
      <c r="AD211" s="1636"/>
      <c r="AE211" s="1636"/>
      <c r="AF211" s="1637">
        <f>SUM(V211:V220)/($B$192-B210)</f>
        <v>0</v>
      </c>
      <c r="AG211" s="1638"/>
      <c r="AH211" s="450">
        <f>SUM(D196:D211)+$C$195</f>
        <v>8</v>
      </c>
      <c r="AI211" s="1639"/>
      <c r="AJ211" s="718">
        <f t="shared" si="80"/>
        <v>67.499008599999996</v>
      </c>
      <c r="AK211" s="1639">
        <f t="shared" si="74"/>
        <v>0.92387291072723265</v>
      </c>
      <c r="AL211" s="1639">
        <f t="shared" si="81"/>
        <v>268.5170724412709</v>
      </c>
      <c r="AM211" s="1640">
        <f t="shared" si="82"/>
        <v>65.181912400000002</v>
      </c>
      <c r="AN211" s="1639">
        <f t="shared" si="83"/>
        <v>0.9076450172391024</v>
      </c>
      <c r="AO211" s="1641">
        <f t="shared" si="84"/>
        <v>227.88531352821613</v>
      </c>
      <c r="AP211" s="287"/>
      <c r="AQ211" s="444">
        <f t="shared" si="91"/>
        <v>-439.5</v>
      </c>
      <c r="AR211" s="444"/>
      <c r="AS211" s="445">
        <f t="shared" si="85"/>
        <v>496.402385969487</v>
      </c>
      <c r="AT211" s="445">
        <f t="shared" si="93"/>
        <v>-227.88531352821613</v>
      </c>
      <c r="AU211" s="445"/>
      <c r="AV211" s="447">
        <f t="shared" si="92"/>
        <v>227.88531352821613</v>
      </c>
      <c r="AW211" s="447">
        <f t="shared" si="86"/>
        <v>-237.73707917913319</v>
      </c>
      <c r="AX211" s="1597">
        <f t="shared" si="87"/>
        <v>-201.76292082086684</v>
      </c>
      <c r="AY211" s="1597">
        <f t="shared" si="75"/>
        <v>-48.793398320753674</v>
      </c>
      <c r="AZ211" s="1642">
        <f t="shared" si="76"/>
        <v>-49.563120712741856</v>
      </c>
      <c r="BA211" s="274">
        <f t="shared" si="88"/>
        <v>48.793398320753674</v>
      </c>
      <c r="BB211" s="275">
        <f t="shared" si="88"/>
        <v>49.563120712741856</v>
      </c>
      <c r="BD211" s="545"/>
    </row>
    <row r="212" spans="2:65" ht="19" thickBot="1" x14ac:dyDescent="0.25">
      <c r="B212" s="277">
        <v>18</v>
      </c>
      <c r="C212" s="278"/>
      <c r="D212" s="25">
        <v>0.5</v>
      </c>
      <c r="E212" s="257" t="s">
        <v>305</v>
      </c>
      <c r="F212" s="258"/>
      <c r="G212" s="258">
        <f t="shared" si="89"/>
        <v>0.5</v>
      </c>
      <c r="H212" s="1632">
        <v>251.073172</v>
      </c>
      <c r="I212" s="1633">
        <v>65.636175100000003</v>
      </c>
      <c r="J212" s="474">
        <f t="shared" si="77"/>
        <v>65.136175100000003</v>
      </c>
      <c r="K212" s="474">
        <f t="shared" si="78"/>
        <v>32.568087550000001</v>
      </c>
      <c r="L212" s="474">
        <f t="shared" si="66"/>
        <v>0.53830147457895938</v>
      </c>
      <c r="M212" s="474">
        <f t="shared" si="67"/>
        <v>135.15305871481669</v>
      </c>
      <c r="N212" s="474">
        <f t="shared" si="68"/>
        <v>270.30611742963339</v>
      </c>
      <c r="O212" s="474">
        <f>+C195+D196+D197+D198+D199+D200+D201+D202+D203+D204+D205+D206+D207+D208+D209+D210+D211+(D212/2)</f>
        <v>8.25</v>
      </c>
      <c r="P212" s="474">
        <f t="shared" si="69"/>
        <v>0.14349262199117918</v>
      </c>
      <c r="Q212" s="474">
        <f t="shared" si="70"/>
        <v>38.786933530233675</v>
      </c>
      <c r="R212" s="474">
        <f t="shared" si="79"/>
        <v>512.44637512280519</v>
      </c>
      <c r="S212" s="474">
        <f t="shared" si="90"/>
        <v>551.23330865303888</v>
      </c>
      <c r="T212" s="476">
        <f t="shared" si="71"/>
        <v>551.23330865303888</v>
      </c>
      <c r="V212" s="1635">
        <f t="shared" si="72"/>
        <v>0</v>
      </c>
      <c r="W212" s="437"/>
      <c r="X212" s="437"/>
      <c r="Y212" s="437"/>
      <c r="Z212" s="437"/>
      <c r="AA212" s="437"/>
      <c r="AB212" s="295" t="str">
        <f t="shared" si="73"/>
        <v>use the locking pin</v>
      </c>
      <c r="AC212" s="1636"/>
      <c r="AD212" s="1636"/>
      <c r="AE212" s="1636"/>
      <c r="AF212" s="1637">
        <f>SUM(V212:V220)/($B$192-B211)</f>
        <v>0</v>
      </c>
      <c r="AG212" s="1638"/>
      <c r="AH212" s="450">
        <f>SUM(D196:D212)+$C$195</f>
        <v>8.5</v>
      </c>
      <c r="AI212" s="1639"/>
      <c r="AJ212" s="718">
        <f t="shared" si="80"/>
        <v>66.999008599999996</v>
      </c>
      <c r="AK212" s="1639">
        <f t="shared" si="74"/>
        <v>0.92049809241804237</v>
      </c>
      <c r="AL212" s="1639">
        <f t="shared" si="81"/>
        <v>267.53620556890888</v>
      </c>
      <c r="AM212" s="1640">
        <f t="shared" si="82"/>
        <v>65.681912400000002</v>
      </c>
      <c r="AN212" s="1639">
        <f t="shared" si="83"/>
        <v>0.91127332100646896</v>
      </c>
      <c r="AO212" s="1641">
        <f t="shared" si="84"/>
        <v>228.79628326406839</v>
      </c>
      <c r="AP212" s="287"/>
      <c r="AQ212" s="444">
        <f t="shared" si="91"/>
        <v>-468.8</v>
      </c>
      <c r="AR212" s="444"/>
      <c r="AS212" s="445">
        <f t="shared" si="85"/>
        <v>496.33248883297728</v>
      </c>
      <c r="AT212" s="445">
        <f t="shared" si="93"/>
        <v>-228.79628326406839</v>
      </c>
      <c r="AU212" s="445"/>
      <c r="AV212" s="447">
        <f t="shared" si="92"/>
        <v>228.79628326406839</v>
      </c>
      <c r="AW212" s="447">
        <f t="shared" si="86"/>
        <v>-252.69547328164202</v>
      </c>
      <c r="AX212" s="1597">
        <f t="shared" si="87"/>
        <v>-216.10452671835802</v>
      </c>
      <c r="AY212" s="1597">
        <f t="shared" si="75"/>
        <v>-45.905056585921535</v>
      </c>
      <c r="AZ212" s="1642">
        <f t="shared" si="76"/>
        <v>-46.273903429300553</v>
      </c>
      <c r="BA212" s="274">
        <f t="shared" ref="BA212:BB220" si="94">ABS(AY212)</f>
        <v>45.905056585921535</v>
      </c>
      <c r="BB212" s="275">
        <f t="shared" si="94"/>
        <v>46.273903429300553</v>
      </c>
    </row>
    <row r="213" spans="2:65" ht="19" thickBot="1" x14ac:dyDescent="0.25">
      <c r="B213" s="277">
        <v>19</v>
      </c>
      <c r="C213" s="278"/>
      <c r="D213" s="25">
        <v>0.5</v>
      </c>
      <c r="E213" s="257" t="s">
        <v>305</v>
      </c>
      <c r="F213" s="258"/>
      <c r="G213" s="258">
        <f t="shared" si="89"/>
        <v>0.5</v>
      </c>
      <c r="H213" s="1632">
        <v>251.073172</v>
      </c>
      <c r="I213" s="1633">
        <v>65.636175100000003</v>
      </c>
      <c r="J213" s="474">
        <f t="shared" si="77"/>
        <v>65.136175100000003</v>
      </c>
      <c r="K213" s="474">
        <f t="shared" si="78"/>
        <v>32.568087550000001</v>
      </c>
      <c r="L213" s="474">
        <f t="shared" si="66"/>
        <v>0.53830147457895938</v>
      </c>
      <c r="M213" s="474">
        <f t="shared" si="67"/>
        <v>135.15305871481669</v>
      </c>
      <c r="N213" s="474">
        <f t="shared" si="68"/>
        <v>270.30611742963339</v>
      </c>
      <c r="O213" s="474">
        <f>+C195+D196+D197+D198+D199+D200+D201+D202+D203+D204+D205+D206+D207+D208+D209+D210+D211+D212+(D213/2)</f>
        <v>8.75</v>
      </c>
      <c r="P213" s="474">
        <f t="shared" si="69"/>
        <v>0.15212338618991655</v>
      </c>
      <c r="Q213" s="474">
        <f t="shared" si="70"/>
        <v>41.119881891245058</v>
      </c>
      <c r="R213" s="474">
        <f t="shared" si="79"/>
        <v>551.23330865303888</v>
      </c>
      <c r="S213" s="474">
        <f t="shared" si="90"/>
        <v>592.35319054428396</v>
      </c>
      <c r="T213" s="476">
        <f t="shared" si="71"/>
        <v>592.35319054428396</v>
      </c>
      <c r="V213" s="1635">
        <f t="shared" si="72"/>
        <v>0</v>
      </c>
      <c r="W213" s="437"/>
      <c r="X213" s="437"/>
      <c r="Y213" s="437"/>
      <c r="Z213" s="437"/>
      <c r="AA213" s="437"/>
      <c r="AB213" s="258" t="str">
        <f t="shared" si="73"/>
        <v>use the locking pin</v>
      </c>
      <c r="AC213" s="1636"/>
      <c r="AD213" s="1636"/>
      <c r="AE213" s="1636"/>
      <c r="AF213" s="1637">
        <f>SUM(V213:V220)/($B$192-B212)</f>
        <v>0</v>
      </c>
      <c r="AG213" s="1638"/>
      <c r="AH213" s="450">
        <f>SUM(D196:D213)+$C$195</f>
        <v>9</v>
      </c>
      <c r="AI213" s="1639"/>
      <c r="AJ213" s="718">
        <f t="shared" si="80"/>
        <v>66.499008599999996</v>
      </c>
      <c r="AK213" s="1639">
        <f t="shared" si="74"/>
        <v>0.91705317461526137</v>
      </c>
      <c r="AL213" s="1639">
        <f t="shared" si="81"/>
        <v>266.53496477868435</v>
      </c>
      <c r="AM213" s="1640">
        <f t="shared" si="82"/>
        <v>66.181912400000002</v>
      </c>
      <c r="AN213" s="1639">
        <f t="shared" si="83"/>
        <v>0.91483222778230289</v>
      </c>
      <c r="AO213" s="1641">
        <f t="shared" si="84"/>
        <v>229.68982927712932</v>
      </c>
      <c r="AP213" s="287"/>
      <c r="AQ213" s="444">
        <f t="shared" si="91"/>
        <v>-498.1</v>
      </c>
      <c r="AR213" s="444"/>
      <c r="AS213" s="445">
        <f t="shared" si="85"/>
        <v>496.22479405581367</v>
      </c>
      <c r="AT213" s="445">
        <f t="shared" si="93"/>
        <v>-229.68982927712932</v>
      </c>
      <c r="AU213" s="445"/>
      <c r="AV213" s="447">
        <f t="shared" si="92"/>
        <v>229.68982927712932</v>
      </c>
      <c r="AW213" s="447">
        <f t="shared" si="86"/>
        <v>-267.54218561140692</v>
      </c>
      <c r="AX213" s="1597">
        <f t="shared" si="87"/>
        <v>-230.5578143885931</v>
      </c>
      <c r="AY213" s="1597">
        <f t="shared" si="75"/>
        <v>-43.357648340544252</v>
      </c>
      <c r="AZ213" s="1642">
        <f t="shared" si="76"/>
        <v>-43.373069034847482</v>
      </c>
      <c r="BA213" s="274">
        <f t="shared" si="94"/>
        <v>43.357648340544252</v>
      </c>
      <c r="BB213" s="275">
        <f t="shared" si="94"/>
        <v>43.373069034847482</v>
      </c>
    </row>
    <row r="214" spans="2:65" ht="19" thickBot="1" x14ac:dyDescent="0.25">
      <c r="B214" s="277">
        <v>20</v>
      </c>
      <c r="C214" s="278"/>
      <c r="D214" s="25">
        <v>0.5</v>
      </c>
      <c r="E214" s="257" t="s">
        <v>305</v>
      </c>
      <c r="F214" s="258"/>
      <c r="G214" s="258">
        <f t="shared" si="89"/>
        <v>0.5</v>
      </c>
      <c r="H214" s="1632">
        <v>251.073172</v>
      </c>
      <c r="I214" s="1633">
        <v>65.636175100000003</v>
      </c>
      <c r="J214" s="474">
        <f t="shared" si="77"/>
        <v>65.136175100000003</v>
      </c>
      <c r="K214" s="474">
        <f t="shared" si="78"/>
        <v>32.568087550000001</v>
      </c>
      <c r="L214" s="474">
        <f t="shared" si="66"/>
        <v>0.53830147457895938</v>
      </c>
      <c r="M214" s="474">
        <f t="shared" si="67"/>
        <v>135.15305871481669</v>
      </c>
      <c r="N214" s="474">
        <f t="shared" si="68"/>
        <v>270.30611742963339</v>
      </c>
      <c r="O214" s="64">
        <f>+C195+D196+D197+D198+D199+D200+D201+D202+D203+D204+D205+D206+D207+D208+D209+D210+D211+D212+D213+(D214/2)</f>
        <v>9.25</v>
      </c>
      <c r="P214" s="474">
        <f t="shared" si="69"/>
        <v>0.16074256560382594</v>
      </c>
      <c r="Q214" s="474">
        <f t="shared" si="70"/>
        <v>43.449698814048325</v>
      </c>
      <c r="R214" s="474">
        <f t="shared" si="79"/>
        <v>592.35319054428396</v>
      </c>
      <c r="S214" s="474">
        <f t="shared" si="90"/>
        <v>635.80288935833232</v>
      </c>
      <c r="T214" s="476">
        <f t="shared" si="71"/>
        <v>635.80288935833232</v>
      </c>
      <c r="V214" s="1635">
        <f t="shared" si="72"/>
        <v>0</v>
      </c>
      <c r="W214" s="437"/>
      <c r="X214" s="437"/>
      <c r="Y214" s="437"/>
      <c r="Z214" s="437"/>
      <c r="AA214" s="437"/>
      <c r="AB214" s="281" t="str">
        <f t="shared" si="73"/>
        <v>use the locking pin</v>
      </c>
      <c r="AC214" s="1636"/>
      <c r="AD214" s="1636"/>
      <c r="AE214" s="1636"/>
      <c r="AF214" s="1637">
        <f>SUM(V214:V220)/($B$192-B213)</f>
        <v>0</v>
      </c>
      <c r="AG214" s="1638"/>
      <c r="AH214" s="450">
        <f>SUM(D196:D214)+$C$195</f>
        <v>9.5</v>
      </c>
      <c r="AI214" s="1639"/>
      <c r="AJ214" s="718">
        <f t="shared" si="80"/>
        <v>65.999008599999996</v>
      </c>
      <c r="AK214" s="1639">
        <f t="shared" si="74"/>
        <v>0.91353841966271765</v>
      </c>
      <c r="AL214" s="1639">
        <f t="shared" si="81"/>
        <v>265.51342631895989</v>
      </c>
      <c r="AM214" s="1640">
        <f t="shared" si="82"/>
        <v>66.681912400000002</v>
      </c>
      <c r="AN214" s="1639">
        <f t="shared" si="83"/>
        <v>0.91832146654207414</v>
      </c>
      <c r="AO214" s="1641">
        <f t="shared" si="84"/>
        <v>230.56588352041044</v>
      </c>
      <c r="AP214" s="287"/>
      <c r="AQ214" s="444">
        <f t="shared" si="91"/>
        <v>-527.4</v>
      </c>
      <c r="AR214" s="444"/>
      <c r="AS214" s="445">
        <f t="shared" si="85"/>
        <v>496.07930983937035</v>
      </c>
      <c r="AT214" s="445">
        <f t="shared" si="93"/>
        <v>-230.56588352041044</v>
      </c>
      <c r="AU214" s="445"/>
      <c r="AV214" s="447">
        <f t="shared" si="92"/>
        <v>230.56588352041044</v>
      </c>
      <c r="AW214" s="447">
        <f t="shared" si="86"/>
        <v>-282.27700342100843</v>
      </c>
      <c r="AX214" s="1597">
        <f t="shared" si="87"/>
        <v>-245.12299657899155</v>
      </c>
      <c r="AY214" s="1597">
        <f t="shared" si="75"/>
        <v>-41.094385512867717</v>
      </c>
      <c r="AZ214" s="1642">
        <f t="shared" si="76"/>
        <v>-40.795845920468231</v>
      </c>
      <c r="BA214" s="274">
        <f t="shared" si="94"/>
        <v>41.094385512867717</v>
      </c>
      <c r="BB214" s="275">
        <f t="shared" si="94"/>
        <v>40.795845920468231</v>
      </c>
    </row>
    <row r="215" spans="2:65" ht="19" thickBot="1" x14ac:dyDescent="0.25">
      <c r="B215" s="277">
        <v>21</v>
      </c>
      <c r="C215" s="1644"/>
      <c r="D215" s="25">
        <v>0.5</v>
      </c>
      <c r="E215" s="257" t="s">
        <v>305</v>
      </c>
      <c r="F215" s="258"/>
      <c r="G215" s="258">
        <f t="shared" si="89"/>
        <v>0.5</v>
      </c>
      <c r="H215" s="1632">
        <v>251.073172</v>
      </c>
      <c r="I215" s="1633">
        <v>65.636175100000003</v>
      </c>
      <c r="J215" s="474">
        <f t="shared" si="77"/>
        <v>65.136175100000003</v>
      </c>
      <c r="K215" s="474">
        <f t="shared" si="78"/>
        <v>32.568087550000001</v>
      </c>
      <c r="L215" s="474">
        <f t="shared" si="66"/>
        <v>0.53830147457895938</v>
      </c>
      <c r="M215" s="474">
        <f t="shared" si="67"/>
        <v>135.15305871481669</v>
      </c>
      <c r="N215" s="474">
        <f t="shared" si="68"/>
        <v>270.30611742963339</v>
      </c>
      <c r="O215" s="1645">
        <f>+C195+D196+D197+D198+D199+D200+D201+D202+D203+D204+D205+D206+D207+D208+D209+D210+D211+D212+D213+D214+(D215/2)</f>
        <v>9.75</v>
      </c>
      <c r="P215" s="474">
        <f t="shared" si="69"/>
        <v>0.16934950384902445</v>
      </c>
      <c r="Q215" s="474">
        <f t="shared" si="70"/>
        <v>45.776206874064556</v>
      </c>
      <c r="R215" s="474">
        <f t="shared" si="79"/>
        <v>635.80288935833232</v>
      </c>
      <c r="S215" s="474">
        <f t="shared" si="90"/>
        <v>681.57909623239686</v>
      </c>
      <c r="T215" s="476">
        <f t="shared" si="71"/>
        <v>681.57909623239686</v>
      </c>
      <c r="V215" s="1635">
        <f t="shared" si="72"/>
        <v>0</v>
      </c>
      <c r="AB215" s="281" t="str">
        <f t="shared" si="73"/>
        <v>use the locking pin</v>
      </c>
      <c r="AF215" s="1637">
        <f>SUM(V215:V220)/($B$192-B214)</f>
        <v>0</v>
      </c>
      <c r="AG215" s="1646"/>
      <c r="AH215" s="450">
        <f>SUM(D196:D215)+$C$195</f>
        <v>10</v>
      </c>
      <c r="AI215" s="1639"/>
      <c r="AJ215" s="718">
        <f t="shared" si="80"/>
        <v>65.499008599999996</v>
      </c>
      <c r="AK215" s="1639">
        <f t="shared" si="74"/>
        <v>0.90995409522260873</v>
      </c>
      <c r="AL215" s="1639">
        <f t="shared" si="81"/>
        <v>264.4716679838441</v>
      </c>
      <c r="AM215" s="1640">
        <f t="shared" si="82"/>
        <v>67.181912400000002</v>
      </c>
      <c r="AN215" s="1639">
        <f t="shared" si="83"/>
        <v>0.92174077156674206</v>
      </c>
      <c r="AO215" s="1641">
        <f t="shared" si="84"/>
        <v>231.42437927898933</v>
      </c>
      <c r="AP215" s="287"/>
      <c r="AQ215" s="444">
        <f t="shared" si="91"/>
        <v>-556.70000000000005</v>
      </c>
      <c r="AR215" s="444"/>
      <c r="AS215" s="445">
        <f t="shared" si="85"/>
        <v>495.89604726283346</v>
      </c>
      <c r="AT215" s="64">
        <f t="shared" si="93"/>
        <v>-231.42437927898933</v>
      </c>
      <c r="AU215" s="445"/>
      <c r="AV215" s="447">
        <f t="shared" si="92"/>
        <v>231.42437927898933</v>
      </c>
      <c r="AW215" s="447">
        <f t="shared" si="86"/>
        <v>-296.89967963904911</v>
      </c>
      <c r="AX215" s="1597">
        <f t="shared" si="87"/>
        <v>-259.80032036095088</v>
      </c>
      <c r="AY215" s="1597">
        <f t="shared" si="75"/>
        <v>-39.070436229848781</v>
      </c>
      <c r="AZ215" s="1642">
        <f t="shared" si="76"/>
        <v>-38.491099572574058</v>
      </c>
      <c r="BA215" s="274">
        <f t="shared" si="94"/>
        <v>39.070436229848781</v>
      </c>
      <c r="BB215" s="275">
        <f t="shared" si="94"/>
        <v>38.491099572574058</v>
      </c>
    </row>
    <row r="216" spans="2:65" ht="19" thickBot="1" x14ac:dyDescent="0.25">
      <c r="B216" s="277">
        <v>22</v>
      </c>
      <c r="C216" s="1644"/>
      <c r="D216" s="25">
        <v>0.5</v>
      </c>
      <c r="E216" s="257" t="s">
        <v>305</v>
      </c>
      <c r="F216" s="258"/>
      <c r="G216" s="258">
        <f t="shared" si="89"/>
        <v>0.5</v>
      </c>
      <c r="H216" s="1632">
        <v>251.073172</v>
      </c>
      <c r="I216" s="1633">
        <v>65.636175100000003</v>
      </c>
      <c r="J216" s="474">
        <f t="shared" si="77"/>
        <v>65.136175100000003</v>
      </c>
      <c r="K216" s="474">
        <f t="shared" si="78"/>
        <v>32.568087550000001</v>
      </c>
      <c r="L216" s="474">
        <f t="shared" si="66"/>
        <v>0.53830147457895938</v>
      </c>
      <c r="M216" s="474">
        <f t="shared" si="67"/>
        <v>135.15305871481669</v>
      </c>
      <c r="N216" s="474">
        <f t="shared" si="68"/>
        <v>270.30611742963339</v>
      </c>
      <c r="O216" s="1645">
        <f>+C195+D196+D197+D198+D199+D200+D201+D202+D203+D204+D205+D206+D207+D208+D209+D210+D211+D212+D213+D214+D215+(D216/2)</f>
        <v>10.25</v>
      </c>
      <c r="P216" s="474">
        <f t="shared" si="69"/>
        <v>0.17794354547384159</v>
      </c>
      <c r="Q216" s="474">
        <f t="shared" si="70"/>
        <v>48.099228898697532</v>
      </c>
      <c r="R216" s="474">
        <f t="shared" si="79"/>
        <v>681.57909623239686</v>
      </c>
      <c r="S216" s="474">
        <f t="shared" si="90"/>
        <v>729.67832513109443</v>
      </c>
      <c r="T216" s="476">
        <f t="shared" si="71"/>
        <v>729.67832513109443</v>
      </c>
      <c r="V216" s="1635">
        <f t="shared" si="72"/>
        <v>0</v>
      </c>
      <c r="AB216" s="281" t="str">
        <f t="shared" si="73"/>
        <v>use the locking pin</v>
      </c>
      <c r="AF216" s="1637">
        <f>SUM(V216:V220)/($B$192-B215)</f>
        <v>0</v>
      </c>
      <c r="AG216" s="1646"/>
      <c r="AH216" s="450">
        <f>SUM(D196:D216)+$C$195</f>
        <v>10.5</v>
      </c>
      <c r="AI216" s="1639"/>
      <c r="AJ216" s="718">
        <f t="shared" si="80"/>
        <v>64.999008599999996</v>
      </c>
      <c r="AK216" s="1639">
        <f t="shared" si="74"/>
        <v>0.90630047425511817</v>
      </c>
      <c r="AL216" s="1639">
        <f t="shared" si="81"/>
        <v>263.40976910726772</v>
      </c>
      <c r="AM216" s="1640">
        <f t="shared" si="82"/>
        <v>67.681912400000002</v>
      </c>
      <c r="AN216" s="1639">
        <f t="shared" si="83"/>
        <v>0.92508988246299073</v>
      </c>
      <c r="AO216" s="1641">
        <f t="shared" si="84"/>
        <v>232.26525117509024</v>
      </c>
      <c r="AP216" s="287"/>
      <c r="AQ216" s="444">
        <f t="shared" si="91"/>
        <v>-586</v>
      </c>
      <c r="AR216" s="444"/>
      <c r="AS216" s="445">
        <f t="shared" si="85"/>
        <v>495.67502028235799</v>
      </c>
      <c r="AT216" s="64">
        <f t="shared" si="93"/>
        <v>-232.26525117509024</v>
      </c>
      <c r="AU216" s="445"/>
      <c r="AV216" s="447">
        <f t="shared" si="92"/>
        <v>232.26525117509024</v>
      </c>
      <c r="AW216" s="447">
        <f t="shared" si="86"/>
        <v>-311.40993267913683</v>
      </c>
      <c r="AX216" s="1597">
        <f t="shared" si="87"/>
        <v>-274.59006732086317</v>
      </c>
      <c r="AY216" s="1597">
        <f t="shared" si="75"/>
        <v>-37.24993580070592</v>
      </c>
      <c r="AZ216" s="1642">
        <f t="shared" si="76"/>
        <v>-36.417923261276705</v>
      </c>
      <c r="BA216" s="274">
        <f t="shared" si="94"/>
        <v>37.24993580070592</v>
      </c>
      <c r="BB216" s="275">
        <f t="shared" si="94"/>
        <v>36.417923261276705</v>
      </c>
    </row>
    <row r="217" spans="2:65" ht="19" thickBot="1" x14ac:dyDescent="0.25">
      <c r="B217" s="277">
        <v>23</v>
      </c>
      <c r="C217" s="1644"/>
      <c r="D217" s="25">
        <v>0.5</v>
      </c>
      <c r="E217" s="257" t="s">
        <v>305</v>
      </c>
      <c r="F217" s="258"/>
      <c r="G217" s="258">
        <f t="shared" si="89"/>
        <v>0.5</v>
      </c>
      <c r="H217" s="1632">
        <v>251.073172</v>
      </c>
      <c r="I217" s="1633">
        <v>65.636175100000003</v>
      </c>
      <c r="J217" s="474">
        <f t="shared" si="77"/>
        <v>65.136175100000003</v>
      </c>
      <c r="K217" s="474">
        <f t="shared" si="78"/>
        <v>32.568087550000001</v>
      </c>
      <c r="L217" s="474">
        <f t="shared" si="66"/>
        <v>0.53830147457895938</v>
      </c>
      <c r="M217" s="474">
        <f t="shared" si="67"/>
        <v>135.15305871481669</v>
      </c>
      <c r="N217" s="474">
        <f t="shared" si="68"/>
        <v>270.30611742963339</v>
      </c>
      <c r="O217" s="1645">
        <f>+C195+D196+D197+D198+D199+D200+D201+D202+D203+D204+D205+D206+D207+D208+D209+D210+D211+D212+D213+D214+D215+D216+(D217/2)</f>
        <v>10.75</v>
      </c>
      <c r="P217" s="474">
        <f t="shared" si="69"/>
        <v>0.18652403600873443</v>
      </c>
      <c r="Q217" s="474">
        <f t="shared" si="70"/>
        <v>50.418587980826139</v>
      </c>
      <c r="R217" s="474">
        <f t="shared" si="79"/>
        <v>729.67832513109443</v>
      </c>
      <c r="S217" s="474">
        <f t="shared" si="90"/>
        <v>780.09691311192057</v>
      </c>
      <c r="T217" s="476">
        <f t="shared" si="71"/>
        <v>780.09691311192057</v>
      </c>
      <c r="V217" s="1635">
        <f t="shared" si="72"/>
        <v>0</v>
      </c>
      <c r="AB217" s="281" t="str">
        <f t="shared" si="73"/>
        <v>use the locking pin</v>
      </c>
      <c r="AF217" s="1637">
        <f>SUM(V217:V220)/($B$192-B216)</f>
        <v>0</v>
      </c>
      <c r="AG217" s="1646"/>
      <c r="AH217" s="450">
        <f>SUM(D196:D217)+$C$195</f>
        <v>11</v>
      </c>
      <c r="AI217" s="1639"/>
      <c r="AJ217" s="718">
        <f t="shared" si="80"/>
        <v>64.499008599999996</v>
      </c>
      <c r="AK217" s="1639">
        <f t="shared" si="74"/>
        <v>0.902577834997628</v>
      </c>
      <c r="AL217" s="1639">
        <f t="shared" si="81"/>
        <v>262.32781055694142</v>
      </c>
      <c r="AM217" s="1640">
        <f t="shared" si="82"/>
        <v>68.181912400000002</v>
      </c>
      <c r="AN217" s="1639">
        <f t="shared" si="83"/>
        <v>0.9283685441830587</v>
      </c>
      <c r="AO217" s="1641">
        <f t="shared" si="84"/>
        <v>233.08843517306269</v>
      </c>
      <c r="AP217" s="287"/>
      <c r="AQ217" s="444">
        <f t="shared" si="91"/>
        <v>-615.30000000000007</v>
      </c>
      <c r="AR217" s="444"/>
      <c r="AS217" s="445">
        <f t="shared" si="85"/>
        <v>495.41624573000411</v>
      </c>
      <c r="AT217" s="64">
        <f t="shared" si="93"/>
        <v>-233.08843517306269</v>
      </c>
      <c r="AU217" s="445"/>
      <c r="AV217" s="447">
        <f t="shared" si="92"/>
        <v>233.08843517306269</v>
      </c>
      <c r="AW217" s="447">
        <f t="shared" si="86"/>
        <v>-325.80744621695902</v>
      </c>
      <c r="AX217" s="1597">
        <f t="shared" si="87"/>
        <v>-289.49255378304105</v>
      </c>
      <c r="AY217" s="1597">
        <f t="shared" si="75"/>
        <v>-35.603851706554991</v>
      </c>
      <c r="AZ217" s="1642">
        <f t="shared" si="76"/>
        <v>-34.543202819283763</v>
      </c>
      <c r="BA217" s="274">
        <f t="shared" si="94"/>
        <v>35.603851706554991</v>
      </c>
      <c r="BB217" s="275">
        <f t="shared" si="94"/>
        <v>34.543202819283763</v>
      </c>
    </row>
    <row r="218" spans="2:65" ht="19" thickBot="1" x14ac:dyDescent="0.25">
      <c r="B218" s="277">
        <v>24</v>
      </c>
      <c r="C218" s="1647"/>
      <c r="D218" s="25">
        <v>0.5</v>
      </c>
      <c r="E218" s="257" t="s">
        <v>305</v>
      </c>
      <c r="F218" s="258"/>
      <c r="G218" s="258">
        <f t="shared" si="89"/>
        <v>0.5</v>
      </c>
      <c r="H218" s="1632">
        <v>251.073172</v>
      </c>
      <c r="I218" s="1633">
        <v>65.636175100000003</v>
      </c>
      <c r="J218" s="474">
        <f t="shared" si="77"/>
        <v>65.136175100000003</v>
      </c>
      <c r="K218" s="474">
        <f t="shared" si="78"/>
        <v>32.568087550000001</v>
      </c>
      <c r="L218" s="474">
        <f t="shared" si="66"/>
        <v>0.53830147457895938</v>
      </c>
      <c r="M218" s="474">
        <f t="shared" si="67"/>
        <v>135.15305871481669</v>
      </c>
      <c r="N218" s="474">
        <f t="shared" si="68"/>
        <v>270.30611742963339</v>
      </c>
      <c r="O218" s="1645">
        <f>+C195+D196+D197+D198+D199+D200+D201+D202+D203+D204+D205+D206+D207+D208+D209+D210+D211+D212+D213+D214+D215+D216+D217+(D218/2)</f>
        <v>11.25</v>
      </c>
      <c r="P218" s="474">
        <f t="shared" si="69"/>
        <v>0.19509032201612808</v>
      </c>
      <c r="Q218" s="474">
        <f t="shared" si="70"/>
        <v>52.734107492276507</v>
      </c>
      <c r="R218" s="474">
        <f t="shared" si="79"/>
        <v>780.09691311192057</v>
      </c>
      <c r="S218" s="474">
        <f t="shared" si="90"/>
        <v>832.83102060419708</v>
      </c>
      <c r="T218" s="476">
        <f t="shared" si="71"/>
        <v>832.83102060419708</v>
      </c>
      <c r="V218" s="1635">
        <f t="shared" si="72"/>
        <v>0</v>
      </c>
      <c r="AB218" s="281" t="str">
        <f t="shared" si="73"/>
        <v>use the locking pin</v>
      </c>
      <c r="AF218" s="1637">
        <f>SUM(V218:V220)/($B$192-B217)</f>
        <v>0</v>
      </c>
      <c r="AG218" s="1646"/>
      <c r="AH218" s="450">
        <f>SUM(D196:D218)+$C$195</f>
        <v>11.5</v>
      </c>
      <c r="AI218" s="1639"/>
      <c r="AJ218" s="718">
        <f t="shared" si="80"/>
        <v>63.999008599999996</v>
      </c>
      <c r="AK218" s="1639">
        <f t="shared" si="74"/>
        <v>0.89878646094353065</v>
      </c>
      <c r="AL218" s="1639">
        <f t="shared" si="81"/>
        <v>261.22587472819777</v>
      </c>
      <c r="AM218" s="1640">
        <f t="shared" si="82"/>
        <v>68.681912400000002</v>
      </c>
      <c r="AN218" s="1639">
        <f t="shared" si="83"/>
        <v>0.93157650704416217</v>
      </c>
      <c r="AO218" s="1641">
        <f t="shared" si="84"/>
        <v>233.89386858425814</v>
      </c>
      <c r="AP218" s="287"/>
      <c r="AQ218" s="444">
        <f t="shared" si="91"/>
        <v>-644.6</v>
      </c>
      <c r="AR218" s="444"/>
      <c r="AS218" s="445">
        <f t="shared" si="85"/>
        <v>495.11974331245591</v>
      </c>
      <c r="AT218" s="64">
        <f t="shared" si="93"/>
        <v>-233.89386858425814</v>
      </c>
      <c r="AU218" s="445"/>
      <c r="AV218" s="447">
        <f t="shared" si="92"/>
        <v>233.89386858425814</v>
      </c>
      <c r="AW218" s="447">
        <f t="shared" si="86"/>
        <v>-340.09186893509224</v>
      </c>
      <c r="AX218" s="1597">
        <f t="shared" si="87"/>
        <v>-304.50813106490773</v>
      </c>
      <c r="AY218" s="1597">
        <f t="shared" si="75"/>
        <v>-34.108430866995832</v>
      </c>
      <c r="AZ218" s="1642">
        <f t="shared" si="76"/>
        <v>-32.839845573346743</v>
      </c>
      <c r="BA218" s="274">
        <f t="shared" si="94"/>
        <v>34.108430866995832</v>
      </c>
      <c r="BB218" s="275">
        <f t="shared" si="94"/>
        <v>32.839845573346743</v>
      </c>
    </row>
    <row r="219" spans="2:65" ht="19" thickBot="1" x14ac:dyDescent="0.25">
      <c r="B219" s="277">
        <v>25</v>
      </c>
      <c r="C219" s="1648"/>
      <c r="D219" s="25">
        <v>0.5</v>
      </c>
      <c r="E219" s="257" t="s">
        <v>305</v>
      </c>
      <c r="F219" s="258"/>
      <c r="G219" s="258">
        <f t="shared" si="89"/>
        <v>0.5</v>
      </c>
      <c r="H219" s="1632">
        <v>251.073172</v>
      </c>
      <c r="I219" s="1633">
        <v>65.636175100000003</v>
      </c>
      <c r="J219" s="474">
        <f t="shared" si="77"/>
        <v>65.136175100000003</v>
      </c>
      <c r="K219" s="474">
        <f t="shared" si="78"/>
        <v>32.568087550000001</v>
      </c>
      <c r="L219" s="474">
        <f t="shared" si="66"/>
        <v>0.53830147457895938</v>
      </c>
      <c r="M219" s="474">
        <f t="shared" si="67"/>
        <v>135.15305871481669</v>
      </c>
      <c r="N219" s="474">
        <f t="shared" si="68"/>
        <v>270.30611742963339</v>
      </c>
      <c r="O219" s="1645">
        <f>+C195+D196+D197+D198+D199+D200+D201+D202+D203+D204+D205+D206+D207+D208+D209+D210+D211+D212+D213+D214+D215+D216+D217+D218+(D219/2)</f>
        <v>11.75</v>
      </c>
      <c r="P219" s="474">
        <f t="shared" si="69"/>
        <v>0.20364175114017727</v>
      </c>
      <c r="Q219" s="474">
        <f t="shared" si="70"/>
        <v>55.045611097272939</v>
      </c>
      <c r="R219" s="474">
        <f t="shared" si="79"/>
        <v>832.83102060419708</v>
      </c>
      <c r="S219" s="474">
        <f t="shared" si="90"/>
        <v>887.87663170147005</v>
      </c>
      <c r="T219" s="476">
        <f t="shared" si="71"/>
        <v>887.87663170147005</v>
      </c>
      <c r="V219" s="1635">
        <f t="shared" si="72"/>
        <v>0</v>
      </c>
      <c r="AB219" s="281" t="str">
        <f t="shared" si="73"/>
        <v>use the locking pin</v>
      </c>
      <c r="AF219" s="1637">
        <f t="shared" ref="AF219" si="95">SUM(V219:V220)/($B$192-B218)</f>
        <v>0</v>
      </c>
      <c r="AG219" s="1646"/>
      <c r="AH219" s="450">
        <f>SUM(D196:D219)+$C$195</f>
        <v>12</v>
      </c>
      <c r="AI219" s="1639"/>
      <c r="AJ219" s="718">
        <f t="shared" si="80"/>
        <v>63.499008599999996</v>
      </c>
      <c r="AK219" s="1639">
        <f t="shared" si="74"/>
        <v>0.89492664082063922</v>
      </c>
      <c r="AL219" s="1639">
        <f t="shared" si="81"/>
        <v>260.1040455377165</v>
      </c>
      <c r="AM219" s="1640">
        <f t="shared" si="82"/>
        <v>69.181912400000002</v>
      </c>
      <c r="AN219" s="1639">
        <f t="shared" si="83"/>
        <v>0.93471352674750907</v>
      </c>
      <c r="AO219" s="1641">
        <f t="shared" si="84"/>
        <v>234.68149007180395</v>
      </c>
      <c r="AP219" s="287"/>
      <c r="AQ219" s="444">
        <f t="shared" si="91"/>
        <v>-673.9</v>
      </c>
      <c r="AR219" s="444"/>
      <c r="AS219" s="445">
        <f t="shared" si="85"/>
        <v>494.78553560952048</v>
      </c>
      <c r="AT219" s="64">
        <f t="shared" si="93"/>
        <v>-234.68149007180395</v>
      </c>
      <c r="AU219" s="445"/>
      <c r="AV219" s="447">
        <f t="shared" si="92"/>
        <v>234.68149007180395</v>
      </c>
      <c r="AW219" s="447">
        <f t="shared" si="86"/>
        <v>-354.26281423513461</v>
      </c>
      <c r="AX219" s="1597">
        <f t="shared" si="87"/>
        <v>-319.63718576486531</v>
      </c>
      <c r="AY219" s="1597">
        <f t="shared" si="75"/>
        <v>-32.744051969001582</v>
      </c>
      <c r="AZ219" s="1642">
        <f t="shared" si="76"/>
        <v>-31.285471294808296</v>
      </c>
      <c r="BA219" s="274">
        <f t="shared" si="94"/>
        <v>32.744051969001582</v>
      </c>
      <c r="BB219" s="275">
        <f t="shared" si="94"/>
        <v>31.285471294808296</v>
      </c>
    </row>
    <row r="220" spans="2:65" ht="19" thickBot="1" x14ac:dyDescent="0.25">
      <c r="B220" s="277">
        <v>26</v>
      </c>
      <c r="C220" s="1648"/>
      <c r="D220" s="25">
        <v>0.5</v>
      </c>
      <c r="E220" s="257" t="s">
        <v>305</v>
      </c>
      <c r="F220" s="258"/>
      <c r="G220" s="258">
        <f t="shared" si="89"/>
        <v>0.5</v>
      </c>
      <c r="H220" s="1632">
        <v>251.073172</v>
      </c>
      <c r="I220" s="1633">
        <v>65.636175100000003</v>
      </c>
      <c r="J220" s="474">
        <f t="shared" si="77"/>
        <v>65.136175100000003</v>
      </c>
      <c r="K220" s="474">
        <f t="shared" si="78"/>
        <v>32.568087550000001</v>
      </c>
      <c r="L220" s="474">
        <f t="shared" si="66"/>
        <v>0.53830147457895938</v>
      </c>
      <c r="M220" s="474">
        <f t="shared" si="67"/>
        <v>135.15305871481669</v>
      </c>
      <c r="N220" s="474">
        <f t="shared" si="68"/>
        <v>270.30611742963339</v>
      </c>
      <c r="O220" s="1645">
        <f>+C195+D196+D197+D198+D199+D200+D201+D202+D203+D204+D205+D206+D207+D208+D209+D210+D211+D212+D213+D214+D215+D216+D217+D218+D219+(D220/2)</f>
        <v>12.25</v>
      </c>
      <c r="P220" s="474">
        <f t="shared" si="69"/>
        <v>0.21217767215644603</v>
      </c>
      <c r="Q220" s="474">
        <f t="shared" si="70"/>
        <v>57.352922765866559</v>
      </c>
      <c r="R220" s="474">
        <f t="shared" si="79"/>
        <v>887.87663170147005</v>
      </c>
      <c r="S220" s="474">
        <f t="shared" si="90"/>
        <v>945.22955446733658</v>
      </c>
      <c r="T220" s="476">
        <f t="shared" si="71"/>
        <v>945.22955446733658</v>
      </c>
      <c r="V220" s="1635">
        <f t="shared" si="72"/>
        <v>0</v>
      </c>
      <c r="AB220" s="281" t="str">
        <f t="shared" si="73"/>
        <v>use the locking pin</v>
      </c>
      <c r="AF220" s="1637">
        <f>SUM(V220)/($B$192-B219)</f>
        <v>0</v>
      </c>
      <c r="AG220" s="1646"/>
      <c r="AH220" s="450">
        <f>SUM(D196:D220)+$C$195</f>
        <v>12.5</v>
      </c>
      <c r="AI220" s="1639"/>
      <c r="AJ220" s="718">
        <f t="shared" si="80"/>
        <v>62.999008599999996</v>
      </c>
      <c r="AK220" s="1639">
        <f t="shared" si="74"/>
        <v>0.89099866856919985</v>
      </c>
      <c r="AL220" s="1639">
        <f t="shared" si="81"/>
        <v>258.9624084171337</v>
      </c>
      <c r="AM220" s="1640">
        <f t="shared" si="82"/>
        <v>69.681912400000002</v>
      </c>
      <c r="AN220" s="1639">
        <f t="shared" si="83"/>
        <v>0.93777936439690368</v>
      </c>
      <c r="AO220" s="1641">
        <f t="shared" si="84"/>
        <v>235.45123965527446</v>
      </c>
      <c r="AP220" s="287"/>
      <c r="AQ220" s="444">
        <f t="shared" si="91"/>
        <v>-703.2</v>
      </c>
      <c r="AR220" s="444"/>
      <c r="AS220" s="445">
        <f t="shared" si="85"/>
        <v>494.41364807240814</v>
      </c>
      <c r="AT220" s="64">
        <f t="shared" si="93"/>
        <v>-235.45123965527446</v>
      </c>
      <c r="AU220" s="445"/>
      <c r="AV220" s="447">
        <f t="shared" si="92"/>
        <v>235.45123965527446</v>
      </c>
      <c r="AW220" s="447">
        <f t="shared" si="86"/>
        <v>-368.31985991668876</v>
      </c>
      <c r="AX220" s="1597">
        <f t="shared" si="87"/>
        <v>-334.88014008331135</v>
      </c>
      <c r="AY220" s="1597">
        <f t="shared" si="75"/>
        <v>-31.494364715016548</v>
      </c>
      <c r="AZ220" s="1642">
        <f t="shared" si="76"/>
        <v>-29.861430413616656</v>
      </c>
      <c r="BA220" s="274">
        <f t="shared" si="94"/>
        <v>31.494364715016548</v>
      </c>
      <c r="BB220" s="275">
        <f t="shared" si="94"/>
        <v>29.861430413616656</v>
      </c>
    </row>
    <row r="223" spans="2:65" x14ac:dyDescent="0.2">
      <c r="BF223" s="1656"/>
      <c r="BG223" s="1656"/>
      <c r="BH223" s="297" t="s">
        <v>122</v>
      </c>
      <c r="BI223" s="1656"/>
      <c r="BJ223" s="1656"/>
      <c r="BK223" s="1656"/>
      <c r="BL223" s="1656"/>
      <c r="BM223" s="1656"/>
    </row>
    <row r="224" spans="2:65" ht="20" x14ac:dyDescent="0.3">
      <c r="BF224" s="298">
        <v>1</v>
      </c>
      <c r="BG224" s="1657">
        <v>-473</v>
      </c>
      <c r="BH224" s="300">
        <f>+COS(($B$132*-1)*3.14159265358979/180)*BG224</f>
        <v>-473</v>
      </c>
      <c r="BI224" s="301">
        <f t="shared" ref="BI224:BI260" si="96">+BH224-D$3</f>
        <v>-696.62427169145872</v>
      </c>
      <c r="BJ224" s="302">
        <f t="shared" ref="BJ224:BJ260" si="97">ABS(BI224)</f>
        <v>696.62427169145872</v>
      </c>
      <c r="BK224" s="303">
        <f>MIN(BJ224:BJ260)</f>
        <v>8.6242716914586879</v>
      </c>
      <c r="BL224" s="302" t="b">
        <f>IF(BK224=BJ224,BF224)</f>
        <v>0</v>
      </c>
      <c r="BM224" s="304">
        <v>1</v>
      </c>
    </row>
    <row r="225" spans="58:65" ht="20" x14ac:dyDescent="0.3">
      <c r="BF225" s="298">
        <v>2</v>
      </c>
      <c r="BG225" s="1657">
        <f>+BG224+43</f>
        <v>-430</v>
      </c>
      <c r="BH225" s="42">
        <f>+BH224+$E$2</f>
        <v>-430</v>
      </c>
      <c r="BI225" s="301">
        <f t="shared" si="96"/>
        <v>-653.62427169145872</v>
      </c>
      <c r="BJ225" s="302">
        <f t="shared" si="97"/>
        <v>653.62427169145872</v>
      </c>
      <c r="BK225" s="302">
        <f>+BK224</f>
        <v>8.6242716914586879</v>
      </c>
      <c r="BL225" s="302" t="b">
        <f t="shared" ref="BL225:BL260" si="98">IF(BK225=BJ225,BF225)</f>
        <v>0</v>
      </c>
      <c r="BM225" s="304">
        <v>2</v>
      </c>
    </row>
    <row r="226" spans="58:65" ht="20" x14ac:dyDescent="0.3">
      <c r="BF226" s="298">
        <v>3</v>
      </c>
      <c r="BG226" s="1657">
        <f t="shared" ref="BG226:BG260" si="99">+BG225+43</f>
        <v>-387</v>
      </c>
      <c r="BH226" s="42">
        <f t="shared" ref="BH226:BH260" si="100">+BH225+$E$2</f>
        <v>-387</v>
      </c>
      <c r="BI226" s="301">
        <f t="shared" si="96"/>
        <v>-610.62427169145872</v>
      </c>
      <c r="BJ226" s="302">
        <f t="shared" si="97"/>
        <v>610.62427169145872</v>
      </c>
      <c r="BK226" s="302">
        <f t="shared" ref="BK226:BK260" si="101">+BK225</f>
        <v>8.6242716914586879</v>
      </c>
      <c r="BL226" s="302" t="b">
        <f t="shared" si="98"/>
        <v>0</v>
      </c>
      <c r="BM226" s="304">
        <v>3</v>
      </c>
    </row>
    <row r="227" spans="58:65" ht="20" x14ac:dyDescent="0.3">
      <c r="BF227" s="298">
        <v>4</v>
      </c>
      <c r="BG227" s="1657">
        <f t="shared" si="99"/>
        <v>-344</v>
      </c>
      <c r="BH227" s="42">
        <f t="shared" si="100"/>
        <v>-344</v>
      </c>
      <c r="BI227" s="301">
        <f t="shared" si="96"/>
        <v>-567.62427169145872</v>
      </c>
      <c r="BJ227" s="302">
        <f t="shared" si="97"/>
        <v>567.62427169145872</v>
      </c>
      <c r="BK227" s="302">
        <f t="shared" si="101"/>
        <v>8.6242716914586879</v>
      </c>
      <c r="BL227" s="302" t="b">
        <f t="shared" si="98"/>
        <v>0</v>
      </c>
      <c r="BM227" s="304">
        <v>4</v>
      </c>
    </row>
    <row r="228" spans="58:65" ht="20" x14ac:dyDescent="0.3">
      <c r="BF228" s="298">
        <v>5</v>
      </c>
      <c r="BG228" s="1657">
        <f t="shared" si="99"/>
        <v>-301</v>
      </c>
      <c r="BH228" s="42">
        <f t="shared" si="100"/>
        <v>-301</v>
      </c>
      <c r="BI228" s="301">
        <f t="shared" si="96"/>
        <v>-524.62427169145872</v>
      </c>
      <c r="BJ228" s="302">
        <f t="shared" si="97"/>
        <v>524.62427169145872</v>
      </c>
      <c r="BK228" s="302">
        <f t="shared" si="101"/>
        <v>8.6242716914586879</v>
      </c>
      <c r="BL228" s="302" t="b">
        <f t="shared" si="98"/>
        <v>0</v>
      </c>
      <c r="BM228" s="304">
        <v>5</v>
      </c>
    </row>
    <row r="229" spans="58:65" ht="20" x14ac:dyDescent="0.3">
      <c r="BF229" s="298">
        <v>6</v>
      </c>
      <c r="BG229" s="1657">
        <f t="shared" si="99"/>
        <v>-258</v>
      </c>
      <c r="BH229" s="42">
        <f t="shared" si="100"/>
        <v>-258</v>
      </c>
      <c r="BI229" s="301">
        <f t="shared" si="96"/>
        <v>-481.62427169145872</v>
      </c>
      <c r="BJ229" s="302">
        <f t="shared" si="97"/>
        <v>481.62427169145872</v>
      </c>
      <c r="BK229" s="302">
        <f t="shared" si="101"/>
        <v>8.6242716914586879</v>
      </c>
      <c r="BL229" s="302" t="b">
        <f t="shared" si="98"/>
        <v>0</v>
      </c>
      <c r="BM229" s="304">
        <v>6</v>
      </c>
    </row>
    <row r="230" spans="58:65" ht="20" x14ac:dyDescent="0.3">
      <c r="BF230" s="298">
        <v>7</v>
      </c>
      <c r="BG230" s="1657">
        <f t="shared" si="99"/>
        <v>-215</v>
      </c>
      <c r="BH230" s="42">
        <f t="shared" si="100"/>
        <v>-215</v>
      </c>
      <c r="BI230" s="301">
        <f t="shared" si="96"/>
        <v>-438.62427169145872</v>
      </c>
      <c r="BJ230" s="302">
        <f t="shared" si="97"/>
        <v>438.62427169145872</v>
      </c>
      <c r="BK230" s="302">
        <f t="shared" si="101"/>
        <v>8.6242716914586879</v>
      </c>
      <c r="BL230" s="302" t="b">
        <f t="shared" si="98"/>
        <v>0</v>
      </c>
      <c r="BM230" s="304">
        <v>7</v>
      </c>
    </row>
    <row r="231" spans="58:65" ht="20" x14ac:dyDescent="0.3">
      <c r="BF231" s="298">
        <v>8</v>
      </c>
      <c r="BG231" s="1657">
        <f t="shared" si="99"/>
        <v>-172</v>
      </c>
      <c r="BH231" s="42">
        <f t="shared" si="100"/>
        <v>-172</v>
      </c>
      <c r="BI231" s="301">
        <f t="shared" si="96"/>
        <v>-395.62427169145872</v>
      </c>
      <c r="BJ231" s="302">
        <f t="shared" si="97"/>
        <v>395.62427169145872</v>
      </c>
      <c r="BK231" s="302">
        <f t="shared" si="101"/>
        <v>8.6242716914586879</v>
      </c>
      <c r="BL231" s="302" t="b">
        <f t="shared" si="98"/>
        <v>0</v>
      </c>
      <c r="BM231" s="304">
        <v>8</v>
      </c>
    </row>
    <row r="232" spans="58:65" ht="20" x14ac:dyDescent="0.3">
      <c r="BF232" s="298">
        <v>9</v>
      </c>
      <c r="BG232" s="1657">
        <f t="shared" si="99"/>
        <v>-129</v>
      </c>
      <c r="BH232" s="42">
        <f t="shared" si="100"/>
        <v>-129</v>
      </c>
      <c r="BI232" s="301">
        <f t="shared" si="96"/>
        <v>-352.62427169145872</v>
      </c>
      <c r="BJ232" s="302">
        <f t="shared" si="97"/>
        <v>352.62427169145872</v>
      </c>
      <c r="BK232" s="302">
        <f t="shared" si="101"/>
        <v>8.6242716914586879</v>
      </c>
      <c r="BL232" s="302" t="b">
        <f t="shared" si="98"/>
        <v>0</v>
      </c>
      <c r="BM232" s="304">
        <v>9</v>
      </c>
    </row>
    <row r="233" spans="58:65" ht="20" x14ac:dyDescent="0.3">
      <c r="BF233" s="298">
        <v>10</v>
      </c>
      <c r="BG233" s="1657">
        <f t="shared" si="99"/>
        <v>-86</v>
      </c>
      <c r="BH233" s="42">
        <f t="shared" si="100"/>
        <v>-86</v>
      </c>
      <c r="BI233" s="301">
        <f t="shared" si="96"/>
        <v>-309.62427169145872</v>
      </c>
      <c r="BJ233" s="302">
        <f t="shared" si="97"/>
        <v>309.62427169145872</v>
      </c>
      <c r="BK233" s="302">
        <f t="shared" si="101"/>
        <v>8.6242716914586879</v>
      </c>
      <c r="BL233" s="302" t="b">
        <f t="shared" si="98"/>
        <v>0</v>
      </c>
      <c r="BM233" s="304">
        <v>10</v>
      </c>
    </row>
    <row r="234" spans="58:65" ht="20" x14ac:dyDescent="0.3">
      <c r="BF234" s="298">
        <v>11</v>
      </c>
      <c r="BG234" s="1657">
        <f t="shared" si="99"/>
        <v>-43</v>
      </c>
      <c r="BH234" s="42">
        <f t="shared" si="100"/>
        <v>-43</v>
      </c>
      <c r="BI234" s="301">
        <f t="shared" si="96"/>
        <v>-266.62427169145872</v>
      </c>
      <c r="BJ234" s="302">
        <f t="shared" si="97"/>
        <v>266.62427169145872</v>
      </c>
      <c r="BK234" s="302">
        <f t="shared" si="101"/>
        <v>8.6242716914586879</v>
      </c>
      <c r="BL234" s="302" t="b">
        <f t="shared" si="98"/>
        <v>0</v>
      </c>
      <c r="BM234" s="304">
        <v>11</v>
      </c>
    </row>
    <row r="235" spans="58:65" ht="20" x14ac:dyDescent="0.3">
      <c r="BF235" s="298">
        <v>12</v>
      </c>
      <c r="BG235" s="1657">
        <f t="shared" si="99"/>
        <v>0</v>
      </c>
      <c r="BH235" s="42">
        <f t="shared" si="100"/>
        <v>0</v>
      </c>
      <c r="BI235" s="301">
        <f t="shared" si="96"/>
        <v>-223.62427169145869</v>
      </c>
      <c r="BJ235" s="302">
        <f t="shared" si="97"/>
        <v>223.62427169145869</v>
      </c>
      <c r="BK235" s="302">
        <f t="shared" si="101"/>
        <v>8.6242716914586879</v>
      </c>
      <c r="BL235" s="302" t="b">
        <f t="shared" si="98"/>
        <v>0</v>
      </c>
      <c r="BM235" s="304">
        <v>12</v>
      </c>
    </row>
    <row r="236" spans="58:65" ht="20" x14ac:dyDescent="0.3">
      <c r="BF236" s="298">
        <v>13</v>
      </c>
      <c r="BG236" s="1657">
        <f t="shared" si="99"/>
        <v>43</v>
      </c>
      <c r="BH236" s="42">
        <f t="shared" si="100"/>
        <v>43</v>
      </c>
      <c r="BI236" s="301">
        <f t="shared" si="96"/>
        <v>-180.62427169145869</v>
      </c>
      <c r="BJ236" s="302">
        <f t="shared" si="97"/>
        <v>180.62427169145869</v>
      </c>
      <c r="BK236" s="302">
        <f t="shared" si="101"/>
        <v>8.6242716914586879</v>
      </c>
      <c r="BL236" s="302" t="b">
        <f t="shared" si="98"/>
        <v>0</v>
      </c>
      <c r="BM236" s="304">
        <v>13</v>
      </c>
    </row>
    <row r="237" spans="58:65" ht="20" x14ac:dyDescent="0.3">
      <c r="BF237" s="298">
        <v>14</v>
      </c>
      <c r="BG237" s="1657">
        <f t="shared" si="99"/>
        <v>86</v>
      </c>
      <c r="BH237" s="42">
        <f t="shared" si="100"/>
        <v>86</v>
      </c>
      <c r="BI237" s="301">
        <f t="shared" si="96"/>
        <v>-137.62427169145869</v>
      </c>
      <c r="BJ237" s="302">
        <f t="shared" si="97"/>
        <v>137.62427169145869</v>
      </c>
      <c r="BK237" s="302">
        <f t="shared" si="101"/>
        <v>8.6242716914586879</v>
      </c>
      <c r="BL237" s="302" t="b">
        <f t="shared" si="98"/>
        <v>0</v>
      </c>
      <c r="BM237" s="304">
        <v>14</v>
      </c>
    </row>
    <row r="238" spans="58:65" ht="20" x14ac:dyDescent="0.3">
      <c r="BF238" s="298">
        <v>15</v>
      </c>
      <c r="BG238" s="1657">
        <f t="shared" si="99"/>
        <v>129</v>
      </c>
      <c r="BH238" s="42">
        <f t="shared" si="100"/>
        <v>129</v>
      </c>
      <c r="BI238" s="301">
        <f t="shared" si="96"/>
        <v>-94.624271691458688</v>
      </c>
      <c r="BJ238" s="302">
        <f t="shared" si="97"/>
        <v>94.624271691458688</v>
      </c>
      <c r="BK238" s="302">
        <f t="shared" si="101"/>
        <v>8.6242716914586879</v>
      </c>
      <c r="BL238" s="302" t="b">
        <f t="shared" si="98"/>
        <v>0</v>
      </c>
      <c r="BM238" s="304">
        <v>15</v>
      </c>
    </row>
    <row r="239" spans="58:65" ht="20" x14ac:dyDescent="0.3">
      <c r="BF239" s="298">
        <v>16</v>
      </c>
      <c r="BG239" s="1657">
        <f t="shared" si="99"/>
        <v>172</v>
      </c>
      <c r="BH239" s="42">
        <f t="shared" si="100"/>
        <v>172</v>
      </c>
      <c r="BI239" s="301">
        <f t="shared" si="96"/>
        <v>-51.624271691458688</v>
      </c>
      <c r="BJ239" s="302">
        <f t="shared" si="97"/>
        <v>51.624271691458688</v>
      </c>
      <c r="BK239" s="302">
        <f t="shared" si="101"/>
        <v>8.6242716914586879</v>
      </c>
      <c r="BL239" s="302" t="b">
        <f t="shared" si="98"/>
        <v>0</v>
      </c>
      <c r="BM239" s="304">
        <v>16</v>
      </c>
    </row>
    <row r="240" spans="58:65" ht="20" x14ac:dyDescent="0.3">
      <c r="BF240" s="298">
        <v>17</v>
      </c>
      <c r="BG240" s="1657">
        <f t="shared" si="99"/>
        <v>215</v>
      </c>
      <c r="BH240" s="42">
        <f t="shared" si="100"/>
        <v>215</v>
      </c>
      <c r="BI240" s="301">
        <f t="shared" si="96"/>
        <v>-8.6242716914586879</v>
      </c>
      <c r="BJ240" s="302">
        <f t="shared" si="97"/>
        <v>8.6242716914586879</v>
      </c>
      <c r="BK240" s="302">
        <f t="shared" si="101"/>
        <v>8.6242716914586879</v>
      </c>
      <c r="BL240" s="302">
        <f t="shared" si="98"/>
        <v>17</v>
      </c>
      <c r="BM240" s="304">
        <v>17</v>
      </c>
    </row>
    <row r="241" spans="58:129" ht="20" x14ac:dyDescent="0.3">
      <c r="BF241" s="298">
        <v>18</v>
      </c>
      <c r="BG241" s="1657">
        <f t="shared" si="99"/>
        <v>258</v>
      </c>
      <c r="BH241" s="42">
        <f t="shared" si="100"/>
        <v>258</v>
      </c>
      <c r="BI241" s="301">
        <f t="shared" si="96"/>
        <v>34.375728308541312</v>
      </c>
      <c r="BJ241" s="302">
        <f t="shared" si="97"/>
        <v>34.375728308541312</v>
      </c>
      <c r="BK241" s="302">
        <f t="shared" si="101"/>
        <v>8.6242716914586879</v>
      </c>
      <c r="BL241" s="302" t="b">
        <f t="shared" si="98"/>
        <v>0</v>
      </c>
      <c r="BM241" s="304">
        <v>18</v>
      </c>
    </row>
    <row r="242" spans="58:129" ht="20" x14ac:dyDescent="0.3">
      <c r="BF242" s="298">
        <v>19</v>
      </c>
      <c r="BG242" s="1657">
        <f t="shared" si="99"/>
        <v>301</v>
      </c>
      <c r="BH242" s="42">
        <f t="shared" si="100"/>
        <v>301</v>
      </c>
      <c r="BI242" s="301">
        <f t="shared" si="96"/>
        <v>77.375728308541312</v>
      </c>
      <c r="BJ242" s="302">
        <f t="shared" si="97"/>
        <v>77.375728308541312</v>
      </c>
      <c r="BK242" s="302">
        <f t="shared" si="101"/>
        <v>8.6242716914586879</v>
      </c>
      <c r="BL242" s="302" t="b">
        <f t="shared" si="98"/>
        <v>0</v>
      </c>
      <c r="BM242" s="304">
        <v>19</v>
      </c>
    </row>
    <row r="243" spans="58:129" ht="20" x14ac:dyDescent="0.3">
      <c r="BF243" s="298">
        <v>20</v>
      </c>
      <c r="BG243" s="1657">
        <f t="shared" si="99"/>
        <v>344</v>
      </c>
      <c r="BH243" s="42">
        <f t="shared" si="100"/>
        <v>344</v>
      </c>
      <c r="BI243" s="301">
        <f t="shared" si="96"/>
        <v>120.37572830854131</v>
      </c>
      <c r="BJ243" s="302">
        <f t="shared" si="97"/>
        <v>120.37572830854131</v>
      </c>
      <c r="BK243" s="302">
        <f t="shared" si="101"/>
        <v>8.6242716914586879</v>
      </c>
      <c r="BL243" s="302" t="b">
        <f t="shared" si="98"/>
        <v>0</v>
      </c>
      <c r="BM243" s="304">
        <v>20</v>
      </c>
    </row>
    <row r="244" spans="58:129" ht="20" x14ac:dyDescent="0.3">
      <c r="BF244" s="298">
        <v>21</v>
      </c>
      <c r="BG244" s="1657">
        <f t="shared" si="99"/>
        <v>387</v>
      </c>
      <c r="BH244" s="42">
        <f t="shared" si="100"/>
        <v>387</v>
      </c>
      <c r="BI244" s="301">
        <f t="shared" si="96"/>
        <v>163.37572830854131</v>
      </c>
      <c r="BJ244" s="302">
        <f t="shared" si="97"/>
        <v>163.37572830854131</v>
      </c>
      <c r="BK244" s="302">
        <f t="shared" si="101"/>
        <v>8.6242716914586879</v>
      </c>
      <c r="BL244" s="302" t="b">
        <f t="shared" si="98"/>
        <v>0</v>
      </c>
      <c r="BM244" s="304">
        <v>21</v>
      </c>
    </row>
    <row r="245" spans="58:129" ht="20" x14ac:dyDescent="0.3">
      <c r="BF245" s="298">
        <v>22</v>
      </c>
      <c r="BG245" s="1657">
        <f t="shared" si="99"/>
        <v>430</v>
      </c>
      <c r="BH245" s="42">
        <f t="shared" si="100"/>
        <v>430</v>
      </c>
      <c r="BI245" s="301">
        <f t="shared" si="96"/>
        <v>206.37572830854131</v>
      </c>
      <c r="BJ245" s="302">
        <f t="shared" si="97"/>
        <v>206.37572830854131</v>
      </c>
      <c r="BK245" s="302">
        <f t="shared" si="101"/>
        <v>8.6242716914586879</v>
      </c>
      <c r="BL245" s="302" t="b">
        <f t="shared" si="98"/>
        <v>0</v>
      </c>
      <c r="BM245" s="304">
        <v>22</v>
      </c>
      <c r="DF245" s="305"/>
      <c r="DG245" s="305"/>
      <c r="DH245" s="305"/>
      <c r="DI245" s="305"/>
      <c r="DJ245" s="305"/>
      <c r="DK245" s="305"/>
      <c r="DL245" s="1818"/>
      <c r="DM245" s="1818"/>
      <c r="DN245" s="1818"/>
      <c r="DO245" s="126"/>
    </row>
    <row r="246" spans="58:129" ht="20" x14ac:dyDescent="0.3">
      <c r="BF246" s="298">
        <v>23</v>
      </c>
      <c r="BG246" s="1657">
        <f t="shared" si="99"/>
        <v>473</v>
      </c>
      <c r="BH246" s="42">
        <f t="shared" si="100"/>
        <v>473</v>
      </c>
      <c r="BI246" s="301">
        <f t="shared" si="96"/>
        <v>249.37572830854131</v>
      </c>
      <c r="BJ246" s="302">
        <f t="shared" si="97"/>
        <v>249.37572830854131</v>
      </c>
      <c r="BK246" s="302">
        <f t="shared" si="101"/>
        <v>8.6242716914586879</v>
      </c>
      <c r="BL246" s="302" t="b">
        <f t="shared" si="98"/>
        <v>0</v>
      </c>
      <c r="BM246" s="304">
        <v>23</v>
      </c>
      <c r="DL246" s="306"/>
      <c r="DY246" s="306"/>
    </row>
    <row r="247" spans="58:129" ht="20" x14ac:dyDescent="0.3">
      <c r="BF247" s="298">
        <v>24</v>
      </c>
      <c r="BG247" s="1657">
        <f t="shared" si="99"/>
        <v>516</v>
      </c>
      <c r="BH247" s="42">
        <f t="shared" si="100"/>
        <v>516</v>
      </c>
      <c r="BI247" s="301">
        <f t="shared" si="96"/>
        <v>292.37572830854128</v>
      </c>
      <c r="BJ247" s="302">
        <f t="shared" si="97"/>
        <v>292.37572830854128</v>
      </c>
      <c r="BK247" s="302">
        <f t="shared" si="101"/>
        <v>8.6242716914586879</v>
      </c>
      <c r="BL247" s="302" t="b">
        <f t="shared" si="98"/>
        <v>0</v>
      </c>
      <c r="BM247" s="304">
        <v>24</v>
      </c>
      <c r="DF247" s="307"/>
      <c r="DG247" s="307"/>
      <c r="DH247" s="307"/>
      <c r="DI247" s="307"/>
      <c r="DJ247" s="307"/>
      <c r="DK247" s="307"/>
      <c r="DL247" s="1819"/>
      <c r="DM247" s="1819"/>
      <c r="DX247" s="1813"/>
      <c r="DY247" s="1813"/>
    </row>
    <row r="248" spans="58:129" ht="20" x14ac:dyDescent="0.3">
      <c r="BF248" s="298">
        <v>25</v>
      </c>
      <c r="BG248" s="1657">
        <f t="shared" si="99"/>
        <v>559</v>
      </c>
      <c r="BH248" s="42">
        <f t="shared" si="100"/>
        <v>559</v>
      </c>
      <c r="BI248" s="301">
        <f t="shared" si="96"/>
        <v>335.37572830854128</v>
      </c>
      <c r="BJ248" s="302">
        <f t="shared" si="97"/>
        <v>335.37572830854128</v>
      </c>
      <c r="BK248" s="302">
        <f t="shared" si="101"/>
        <v>8.6242716914586879</v>
      </c>
      <c r="BL248" s="302" t="b">
        <f t="shared" si="98"/>
        <v>0</v>
      </c>
      <c r="BM248" s="304">
        <v>25</v>
      </c>
    </row>
    <row r="249" spans="58:129" ht="20" x14ac:dyDescent="0.3">
      <c r="BF249" s="298">
        <v>26</v>
      </c>
      <c r="BG249" s="1657">
        <f t="shared" si="99"/>
        <v>602</v>
      </c>
      <c r="BH249" s="42">
        <f t="shared" si="100"/>
        <v>602</v>
      </c>
      <c r="BI249" s="301">
        <f t="shared" si="96"/>
        <v>378.37572830854128</v>
      </c>
      <c r="BJ249" s="302">
        <f t="shared" si="97"/>
        <v>378.37572830854128</v>
      </c>
      <c r="BK249" s="302">
        <f t="shared" si="101"/>
        <v>8.6242716914586879</v>
      </c>
      <c r="BL249" s="302" t="b">
        <f t="shared" si="98"/>
        <v>0</v>
      </c>
      <c r="BM249" s="304">
        <v>26</v>
      </c>
    </row>
    <row r="250" spans="58:129" ht="20" x14ac:dyDescent="0.3">
      <c r="BF250" s="298">
        <v>27</v>
      </c>
      <c r="BG250" s="1657">
        <f t="shared" si="99"/>
        <v>645</v>
      </c>
      <c r="BH250" s="42">
        <f t="shared" si="100"/>
        <v>645</v>
      </c>
      <c r="BI250" s="301">
        <f t="shared" si="96"/>
        <v>421.37572830854128</v>
      </c>
      <c r="BJ250" s="302">
        <f t="shared" si="97"/>
        <v>421.37572830854128</v>
      </c>
      <c r="BK250" s="302">
        <f t="shared" si="101"/>
        <v>8.6242716914586879</v>
      </c>
      <c r="BL250" s="302" t="b">
        <f t="shared" si="98"/>
        <v>0</v>
      </c>
      <c r="BM250" s="304">
        <v>27</v>
      </c>
    </row>
    <row r="251" spans="58:129" ht="20" x14ac:dyDescent="0.3">
      <c r="BF251" s="298">
        <v>28</v>
      </c>
      <c r="BG251" s="1657">
        <f t="shared" si="99"/>
        <v>688</v>
      </c>
      <c r="BH251" s="42">
        <f t="shared" si="100"/>
        <v>688</v>
      </c>
      <c r="BI251" s="301">
        <f t="shared" si="96"/>
        <v>464.37572830854128</v>
      </c>
      <c r="BJ251" s="302">
        <f t="shared" si="97"/>
        <v>464.37572830854128</v>
      </c>
      <c r="BK251" s="302">
        <f t="shared" si="101"/>
        <v>8.6242716914586879</v>
      </c>
      <c r="BL251" s="302" t="b">
        <f t="shared" si="98"/>
        <v>0</v>
      </c>
      <c r="BM251" s="304">
        <v>28</v>
      </c>
    </row>
    <row r="252" spans="58:129" ht="20" x14ac:dyDescent="0.3">
      <c r="BF252" s="298">
        <v>29</v>
      </c>
      <c r="BG252" s="1657">
        <f t="shared" si="99"/>
        <v>731</v>
      </c>
      <c r="BH252" s="42">
        <f t="shared" si="100"/>
        <v>731</v>
      </c>
      <c r="BI252" s="301">
        <f t="shared" si="96"/>
        <v>507.37572830854128</v>
      </c>
      <c r="BJ252" s="302">
        <f t="shared" si="97"/>
        <v>507.37572830854128</v>
      </c>
      <c r="BK252" s="302">
        <f t="shared" si="101"/>
        <v>8.6242716914586879</v>
      </c>
      <c r="BL252" s="302" t="b">
        <f t="shared" si="98"/>
        <v>0</v>
      </c>
      <c r="BM252" s="304">
        <v>29</v>
      </c>
    </row>
    <row r="253" spans="58:129" ht="20" x14ac:dyDescent="0.3">
      <c r="BF253" s="298">
        <v>30</v>
      </c>
      <c r="BG253" s="1657">
        <f t="shared" si="99"/>
        <v>774</v>
      </c>
      <c r="BH253" s="42">
        <f t="shared" si="100"/>
        <v>774</v>
      </c>
      <c r="BI253" s="301">
        <f t="shared" si="96"/>
        <v>550.37572830854128</v>
      </c>
      <c r="BJ253" s="302">
        <f t="shared" si="97"/>
        <v>550.37572830854128</v>
      </c>
      <c r="BK253" s="302">
        <f t="shared" si="101"/>
        <v>8.6242716914586879</v>
      </c>
      <c r="BL253" s="302" t="b">
        <f t="shared" si="98"/>
        <v>0</v>
      </c>
      <c r="BM253" s="304">
        <v>30</v>
      </c>
    </row>
    <row r="254" spans="58:129" ht="20" x14ac:dyDescent="0.3">
      <c r="BF254" s="298">
        <v>31</v>
      </c>
      <c r="BG254" s="1657">
        <f t="shared" si="99"/>
        <v>817</v>
      </c>
      <c r="BH254" s="42">
        <f t="shared" si="100"/>
        <v>817</v>
      </c>
      <c r="BI254" s="301">
        <f t="shared" si="96"/>
        <v>593.37572830854128</v>
      </c>
      <c r="BJ254" s="302">
        <f t="shared" si="97"/>
        <v>593.37572830854128</v>
      </c>
      <c r="BK254" s="302">
        <f t="shared" si="101"/>
        <v>8.6242716914586879</v>
      </c>
      <c r="BL254" s="302" t="b">
        <f t="shared" si="98"/>
        <v>0</v>
      </c>
      <c r="BM254" s="304">
        <v>31</v>
      </c>
    </row>
    <row r="255" spans="58:129" ht="20" x14ac:dyDescent="0.3">
      <c r="BF255" s="298">
        <v>32</v>
      </c>
      <c r="BG255" s="1657">
        <f t="shared" si="99"/>
        <v>860</v>
      </c>
      <c r="BH255" s="42">
        <f t="shared" si="100"/>
        <v>860</v>
      </c>
      <c r="BI255" s="301">
        <f t="shared" si="96"/>
        <v>636.37572830854128</v>
      </c>
      <c r="BJ255" s="302">
        <f t="shared" si="97"/>
        <v>636.37572830854128</v>
      </c>
      <c r="BK255" s="302">
        <f t="shared" si="101"/>
        <v>8.6242716914586879</v>
      </c>
      <c r="BL255" s="302" t="b">
        <f t="shared" si="98"/>
        <v>0</v>
      </c>
      <c r="BM255" s="304">
        <v>32</v>
      </c>
    </row>
    <row r="256" spans="58:129" ht="20" x14ac:dyDescent="0.3">
      <c r="BF256" s="298">
        <v>33</v>
      </c>
      <c r="BG256" s="1657">
        <f t="shared" si="99"/>
        <v>903</v>
      </c>
      <c r="BH256" s="42">
        <f t="shared" si="100"/>
        <v>903</v>
      </c>
      <c r="BI256" s="301">
        <f t="shared" si="96"/>
        <v>679.37572830854128</v>
      </c>
      <c r="BJ256" s="302">
        <f t="shared" si="97"/>
        <v>679.37572830854128</v>
      </c>
      <c r="BK256" s="302">
        <f t="shared" si="101"/>
        <v>8.6242716914586879</v>
      </c>
      <c r="BL256" s="302" t="b">
        <f t="shared" si="98"/>
        <v>0</v>
      </c>
      <c r="BM256" s="304">
        <v>33</v>
      </c>
    </row>
    <row r="257" spans="58:134" ht="20" x14ac:dyDescent="0.3">
      <c r="BF257" s="298">
        <v>34</v>
      </c>
      <c r="BG257" s="1657">
        <f t="shared" si="99"/>
        <v>946</v>
      </c>
      <c r="BH257" s="42">
        <f t="shared" si="100"/>
        <v>946</v>
      </c>
      <c r="BI257" s="301">
        <f t="shared" si="96"/>
        <v>722.37572830854128</v>
      </c>
      <c r="BJ257" s="302">
        <f t="shared" si="97"/>
        <v>722.37572830854128</v>
      </c>
      <c r="BK257" s="302">
        <f t="shared" si="101"/>
        <v>8.6242716914586879</v>
      </c>
      <c r="BL257" s="302" t="b">
        <f t="shared" si="98"/>
        <v>0</v>
      </c>
      <c r="BM257" s="304">
        <v>34</v>
      </c>
    </row>
    <row r="258" spans="58:134" ht="20" x14ac:dyDescent="0.3">
      <c r="BF258" s="298">
        <v>35</v>
      </c>
      <c r="BG258" s="1657">
        <f t="shared" si="99"/>
        <v>989</v>
      </c>
      <c r="BH258" s="42">
        <f t="shared" si="100"/>
        <v>989</v>
      </c>
      <c r="BI258" s="301">
        <f t="shared" si="96"/>
        <v>765.37572830854128</v>
      </c>
      <c r="BJ258" s="302">
        <f t="shared" si="97"/>
        <v>765.37572830854128</v>
      </c>
      <c r="BK258" s="302">
        <f t="shared" si="101"/>
        <v>8.6242716914586879</v>
      </c>
      <c r="BL258" s="302" t="b">
        <f t="shared" si="98"/>
        <v>0</v>
      </c>
      <c r="BM258" s="304">
        <v>35</v>
      </c>
    </row>
    <row r="259" spans="58:134" ht="20" x14ac:dyDescent="0.3">
      <c r="BF259" s="298">
        <v>36</v>
      </c>
      <c r="BG259" s="1657">
        <f t="shared" si="99"/>
        <v>1032</v>
      </c>
      <c r="BH259" s="42">
        <f t="shared" si="100"/>
        <v>1032</v>
      </c>
      <c r="BI259" s="301">
        <f t="shared" si="96"/>
        <v>808.37572830854128</v>
      </c>
      <c r="BJ259" s="302">
        <f t="shared" si="97"/>
        <v>808.37572830854128</v>
      </c>
      <c r="BK259" s="302">
        <f t="shared" si="101"/>
        <v>8.6242716914586879</v>
      </c>
      <c r="BL259" s="302" t="b">
        <f t="shared" si="98"/>
        <v>0</v>
      </c>
      <c r="BM259" s="304">
        <v>36</v>
      </c>
    </row>
    <row r="260" spans="58:134" ht="20" x14ac:dyDescent="0.3">
      <c r="BF260" s="298">
        <v>37</v>
      </c>
      <c r="BG260" s="1657">
        <f t="shared" si="99"/>
        <v>1075</v>
      </c>
      <c r="BH260" s="42">
        <f t="shared" si="100"/>
        <v>1075</v>
      </c>
      <c r="BI260" s="301">
        <f t="shared" si="96"/>
        <v>851.37572830854128</v>
      </c>
      <c r="BJ260" s="302">
        <f t="shared" si="97"/>
        <v>851.37572830854128</v>
      </c>
      <c r="BK260" s="302">
        <f t="shared" si="101"/>
        <v>8.6242716914586879</v>
      </c>
      <c r="BL260" s="302" t="b">
        <f t="shared" si="98"/>
        <v>0</v>
      </c>
      <c r="BM260" s="304">
        <v>37</v>
      </c>
    </row>
    <row r="264" spans="58:134" x14ac:dyDescent="0.2">
      <c r="DF264" s="126"/>
      <c r="DH264" s="126"/>
      <c r="DJ264" s="126"/>
    </row>
    <row r="265" spans="58:134" x14ac:dyDescent="0.2">
      <c r="DF265" s="126"/>
      <c r="DJ265" s="126"/>
    </row>
    <row r="266" spans="58:134" x14ac:dyDescent="0.2">
      <c r="DF266" s="126"/>
      <c r="DG266" s="311"/>
      <c r="DH266" s="311"/>
      <c r="DI266" s="311"/>
      <c r="DJ266" s="311"/>
      <c r="DK266" s="311"/>
      <c r="DL266" s="311"/>
      <c r="DM266" s="311"/>
      <c r="DN266" s="311"/>
      <c r="DO266" s="311"/>
      <c r="DP266" s="311"/>
      <c r="DQ266" s="311"/>
      <c r="DR266" s="311"/>
      <c r="DS266" s="311"/>
      <c r="DT266" s="311"/>
      <c r="DU266" s="311"/>
      <c r="DV266" s="311"/>
      <c r="DW266" s="311"/>
      <c r="DX266" s="311"/>
      <c r="DY266" s="311"/>
      <c r="DZ266" s="311"/>
      <c r="EA266" s="311"/>
      <c r="EB266" s="311"/>
      <c r="EC266" s="311"/>
      <c r="ED266" s="311"/>
    </row>
    <row r="267" spans="58:134" x14ac:dyDescent="0.2">
      <c r="DF267" s="126"/>
    </row>
    <row r="268" spans="58:134" x14ac:dyDescent="0.2">
      <c r="DF268" s="211"/>
      <c r="DG268" s="312"/>
      <c r="DH268" s="312"/>
      <c r="DI268" s="312"/>
      <c r="DJ268" s="312"/>
      <c r="DK268" s="312"/>
      <c r="DL268" s="312"/>
      <c r="DM268" s="312"/>
      <c r="DN268" s="312"/>
      <c r="DO268" s="312"/>
      <c r="DP268" s="312"/>
      <c r="DQ268" s="312"/>
      <c r="DR268" s="312"/>
      <c r="DS268" s="312"/>
      <c r="DT268" s="312"/>
      <c r="DU268" s="312"/>
      <c r="DV268" s="312"/>
      <c r="DW268" s="312"/>
      <c r="DX268" s="312"/>
      <c r="DY268" s="312"/>
      <c r="DZ268" s="312"/>
      <c r="EA268" s="312"/>
      <c r="EB268" s="312"/>
      <c r="EC268" s="312"/>
      <c r="ED268" s="312"/>
    </row>
    <row r="269" spans="58:134" x14ac:dyDescent="0.2">
      <c r="DF269" s="126"/>
      <c r="DG269" s="203"/>
      <c r="DH269" s="203"/>
      <c r="DI269" s="203"/>
      <c r="DJ269" s="203"/>
      <c r="DK269" s="203"/>
      <c r="DL269" s="203"/>
      <c r="DM269" s="203"/>
      <c r="DN269" s="203"/>
      <c r="DO269" s="203"/>
      <c r="DP269" s="203"/>
      <c r="DQ269" s="203"/>
      <c r="DR269" s="203"/>
      <c r="DS269" s="203"/>
      <c r="DT269" s="203"/>
      <c r="DU269" s="203"/>
      <c r="DV269" s="203"/>
      <c r="DW269" s="203"/>
      <c r="DX269" s="203"/>
      <c r="DY269" s="203"/>
      <c r="DZ269" s="203"/>
      <c r="EA269" s="203"/>
      <c r="EB269" s="203"/>
      <c r="EC269" s="203"/>
      <c r="ED269" s="203"/>
    </row>
    <row r="271" spans="58:134" x14ac:dyDescent="0.2">
      <c r="DG271" s="236"/>
      <c r="DH271" s="236"/>
      <c r="DI271" s="236"/>
      <c r="DJ271" s="236"/>
      <c r="DK271" s="236"/>
      <c r="DL271" s="236"/>
      <c r="DM271" s="126"/>
      <c r="DN271" s="126"/>
      <c r="DO271" s="126"/>
      <c r="DP271" s="126"/>
      <c r="DQ271" s="126"/>
      <c r="DR271" s="236"/>
      <c r="DS271" s="236"/>
      <c r="DT271" s="236"/>
      <c r="DU271" s="126"/>
      <c r="DV271" s="126"/>
      <c r="DW271" s="126"/>
      <c r="DX271" s="126"/>
      <c r="DY271" s="126"/>
      <c r="DZ271" s="126"/>
      <c r="EA271" s="126"/>
      <c r="EB271" s="126"/>
      <c r="EC271" s="126"/>
      <c r="ED271" s="126"/>
    </row>
    <row r="272" spans="58:134" x14ac:dyDescent="0.2">
      <c r="DG272" s="236"/>
      <c r="DH272" s="236"/>
      <c r="DI272" s="236"/>
      <c r="DJ272" s="236"/>
      <c r="DK272" s="236"/>
      <c r="DL272" s="236"/>
      <c r="DQ272" s="236"/>
      <c r="DR272" s="236"/>
      <c r="DS272" s="236"/>
      <c r="DT272" s="236"/>
      <c r="DY272" s="236"/>
      <c r="DZ272" s="236"/>
      <c r="EA272" s="236"/>
      <c r="EB272" s="236"/>
      <c r="EC272" s="236"/>
      <c r="ED272" s="236"/>
    </row>
    <row r="1048575" spans="5:5" ht="19" thickBot="1" x14ac:dyDescent="0.25"/>
    <row r="1048576" spans="5:5" ht="19" thickBot="1" x14ac:dyDescent="0.25">
      <c r="E1048576" s="279"/>
    </row>
  </sheetData>
  <sheetProtection algorithmName="SHA-512" hashValue="8+MdtRVy+Oo/2Y+WnNmXXmxYHYxLQqm5bukl+ubjFYp7krUifX9Ass5nUkoo41FO9FzmdTYGeiSV+ueXPlEnKg==" saltValue="yrk7MFukZLkWcj4mu5tCbg==" spinCount="100000" sheet="1" objects="1" scenarios="1" selectLockedCells="1"/>
  <protectedRanges>
    <protectedRange sqref="B132 B163 B157 B139 D142:D158 B192 D166:D185 D195:D220" name="Range1"/>
  </protectedRanges>
  <mergeCells count="25">
    <mergeCell ref="DG41:DH41"/>
    <mergeCell ref="DX247:DY247"/>
    <mergeCell ref="W139:AA139"/>
    <mergeCell ref="BA139:BB139"/>
    <mergeCell ref="B155:B156"/>
    <mergeCell ref="W163:AA163"/>
    <mergeCell ref="BA163:BB163"/>
    <mergeCell ref="BA192:BB192"/>
    <mergeCell ref="BV192:BX192"/>
    <mergeCell ref="BV194:BW194"/>
    <mergeCell ref="CH194:CI194"/>
    <mergeCell ref="DL245:DN245"/>
    <mergeCell ref="DL247:DM247"/>
    <mergeCell ref="B130:B131"/>
    <mergeCell ref="BQ34:CA35"/>
    <mergeCell ref="CS34:DA35"/>
    <mergeCell ref="CB35:CC35"/>
    <mergeCell ref="CQ35:CR35"/>
    <mergeCell ref="BQ27:BR27"/>
    <mergeCell ref="CQ28:DA29"/>
    <mergeCell ref="BQ29:BR29"/>
    <mergeCell ref="CO29:CP29"/>
    <mergeCell ref="BQ31:CA32"/>
    <mergeCell ref="CB32:CC32"/>
    <mergeCell ref="CZ32:DA32"/>
  </mergeCells>
  <conditionalFormatting sqref="B144:AP144 AR144:BB144">
    <cfRule type="expression" dxfId="174" priority="72" stopIfTrue="1">
      <formula>$B$139&lt;3</formula>
    </cfRule>
  </conditionalFormatting>
  <conditionalFormatting sqref="B145:AP145 AR145:BB145">
    <cfRule type="expression" dxfId="173" priority="71" stopIfTrue="1">
      <formula>$B$139&lt;4</formula>
    </cfRule>
  </conditionalFormatting>
  <conditionalFormatting sqref="B146:AP146 AR146:BB146">
    <cfRule type="expression" dxfId="172" priority="70" stopIfTrue="1">
      <formula>$B$139&lt;5</formula>
    </cfRule>
  </conditionalFormatting>
  <conditionalFormatting sqref="B147:AP147 AR147:BB147">
    <cfRule type="expression" dxfId="171" priority="69" stopIfTrue="1">
      <formula>$B$139&lt;6</formula>
    </cfRule>
  </conditionalFormatting>
  <conditionalFormatting sqref="B148:AP148 AR148:BB148">
    <cfRule type="expression" dxfId="170" priority="68" stopIfTrue="1">
      <formula>$B$139&lt;7</formula>
    </cfRule>
  </conditionalFormatting>
  <conditionalFormatting sqref="B149:AP149 AR149:BB149">
    <cfRule type="expression" dxfId="169" priority="67" stopIfTrue="1">
      <formula>$B$139&lt;8</formula>
    </cfRule>
  </conditionalFormatting>
  <conditionalFormatting sqref="B150:AP150 AR150:BB150">
    <cfRule type="expression" dxfId="168" priority="66" stopIfTrue="1">
      <formula>$B$139&lt;9</formula>
    </cfRule>
  </conditionalFormatting>
  <conditionalFormatting sqref="B151:AP151 AR151:BB151">
    <cfRule type="expression" dxfId="167" priority="65" stopIfTrue="1">
      <formula>$B$139&lt;10</formula>
    </cfRule>
  </conditionalFormatting>
  <conditionalFormatting sqref="B152:AP152 AR152:BB152">
    <cfRule type="expression" dxfId="166" priority="64" stopIfTrue="1">
      <formula>$B$139&lt;11</formula>
    </cfRule>
  </conditionalFormatting>
  <conditionalFormatting sqref="B153:AP153 AR153:BB153">
    <cfRule type="expression" dxfId="165" priority="63" stopIfTrue="1">
      <formula>$B$139&lt;12</formula>
    </cfRule>
  </conditionalFormatting>
  <conditionalFormatting sqref="B168:AP168 AS168:BB168">
    <cfRule type="expression" dxfId="164" priority="58" stopIfTrue="1">
      <formula>$B$163&lt;3</formula>
    </cfRule>
  </conditionalFormatting>
  <conditionalFormatting sqref="B169:AP169 AS169:BB169">
    <cfRule type="expression" dxfId="163" priority="57" stopIfTrue="1">
      <formula>$B$163&lt;4</formula>
    </cfRule>
  </conditionalFormatting>
  <conditionalFormatting sqref="B170:AP170 AS170:BB170">
    <cfRule type="expression" dxfId="162" priority="56" stopIfTrue="1">
      <formula>$B$163&lt;5</formula>
    </cfRule>
  </conditionalFormatting>
  <conditionalFormatting sqref="B171:AP171 AS171:BB171">
    <cfRule type="expression" dxfId="161" priority="55" stopIfTrue="1">
      <formula>$B$163&lt;6</formula>
    </cfRule>
  </conditionalFormatting>
  <conditionalFormatting sqref="B172:AP172 AS172:BB172">
    <cfRule type="expression" dxfId="160" priority="54" stopIfTrue="1">
      <formula>$B$163&lt;7</formula>
    </cfRule>
  </conditionalFormatting>
  <conditionalFormatting sqref="B173:AP173 AS173:BB173">
    <cfRule type="expression" dxfId="159" priority="53" stopIfTrue="1">
      <formula>$B$163&lt;8</formula>
    </cfRule>
  </conditionalFormatting>
  <conditionalFormatting sqref="B174:AP174 AS174:BB174">
    <cfRule type="expression" dxfId="158" priority="52" stopIfTrue="1">
      <formula>$B$163&lt;9</formula>
    </cfRule>
  </conditionalFormatting>
  <conditionalFormatting sqref="B175:AP175 AS175:BB175">
    <cfRule type="expression" dxfId="157" priority="51" stopIfTrue="1">
      <formula>$B$163&lt;10</formula>
    </cfRule>
  </conditionalFormatting>
  <conditionalFormatting sqref="B176:AP176 AS176:BB176">
    <cfRule type="expression" dxfId="156" priority="50" stopIfTrue="1">
      <formula>$B$163&lt;11</formula>
    </cfRule>
  </conditionalFormatting>
  <conditionalFormatting sqref="B177:AP177 AS177:BB177">
    <cfRule type="expression" dxfId="155" priority="49" stopIfTrue="1">
      <formula>$B$163&lt;12</formula>
    </cfRule>
  </conditionalFormatting>
  <conditionalFormatting sqref="B178:AP178 AS178:BB178">
    <cfRule type="expression" dxfId="154" priority="48" stopIfTrue="1">
      <formula>$B$163&lt;13</formula>
    </cfRule>
  </conditionalFormatting>
  <conditionalFormatting sqref="B179:AP179 AS179:BB179">
    <cfRule type="expression" dxfId="153" priority="47" stopIfTrue="1">
      <formula>$B$163&lt;14</formula>
    </cfRule>
  </conditionalFormatting>
  <conditionalFormatting sqref="B180:AP180 AS180:BB180">
    <cfRule type="expression" dxfId="152" priority="46" stopIfTrue="1">
      <formula>$B$163&lt;15</formula>
    </cfRule>
  </conditionalFormatting>
  <conditionalFormatting sqref="B181:AP181 AS181:BB181">
    <cfRule type="expression" dxfId="151" priority="45" stopIfTrue="1">
      <formula>$B$163&lt;16</formula>
    </cfRule>
  </conditionalFormatting>
  <conditionalFormatting sqref="B182:AP182 AS182:BB182">
    <cfRule type="expression" dxfId="150" priority="44" stopIfTrue="1">
      <formula>$B$163&lt;17</formula>
    </cfRule>
  </conditionalFormatting>
  <conditionalFormatting sqref="B183:AP183 AS183:BB183">
    <cfRule type="expression" dxfId="149" priority="43" stopIfTrue="1">
      <formula>$B$163&lt;18</formula>
    </cfRule>
  </conditionalFormatting>
  <conditionalFormatting sqref="B184:AP184 AS184:BB184">
    <cfRule type="expression" dxfId="148" priority="42" stopIfTrue="1">
      <formula>$B$163&lt;19</formula>
    </cfRule>
  </conditionalFormatting>
  <conditionalFormatting sqref="B185:AP185 AS185:BB185">
    <cfRule type="expression" dxfId="147" priority="41" stopIfTrue="1">
      <formula>$B$163&lt;20</formula>
    </cfRule>
  </conditionalFormatting>
  <conditionalFormatting sqref="B167:AQ167 AS167:BB167 AQ168:AQ185">
    <cfRule type="expression" dxfId="146" priority="59" stopIfTrue="1">
      <formula>$B$163&lt;2</formula>
    </cfRule>
  </conditionalFormatting>
  <conditionalFormatting sqref="B143:BB143 AQ144:AQ153">
    <cfRule type="expression" dxfId="145" priority="62" stopIfTrue="1">
      <formula>$B$139&lt;2</formula>
    </cfRule>
  </conditionalFormatting>
  <conditionalFormatting sqref="B196:BB196">
    <cfRule type="expression" dxfId="144" priority="25">
      <formula>$B192&lt;2</formula>
    </cfRule>
  </conditionalFormatting>
  <conditionalFormatting sqref="B197:BB197">
    <cfRule type="expression" dxfId="143" priority="24">
      <formula>$B192&lt;3</formula>
    </cfRule>
  </conditionalFormatting>
  <conditionalFormatting sqref="B198:BB198">
    <cfRule type="expression" dxfId="142" priority="23">
      <formula>$B192&lt;4</formula>
    </cfRule>
  </conditionalFormatting>
  <conditionalFormatting sqref="B199:BB199">
    <cfRule type="expression" dxfId="141" priority="22">
      <formula>$B192&lt;5</formula>
    </cfRule>
  </conditionalFormatting>
  <conditionalFormatting sqref="B200:BB200">
    <cfRule type="expression" dxfId="140" priority="21">
      <formula>$B192&lt;6</formula>
    </cfRule>
  </conditionalFormatting>
  <conditionalFormatting sqref="B201:BB201">
    <cfRule type="expression" dxfId="139" priority="20">
      <formula>$B192&lt;7</formula>
    </cfRule>
  </conditionalFormatting>
  <conditionalFormatting sqref="B202:BB202">
    <cfRule type="expression" dxfId="138" priority="19">
      <formula>$B192&lt;8</formula>
    </cfRule>
  </conditionalFormatting>
  <conditionalFormatting sqref="B203:BB203">
    <cfRule type="expression" dxfId="137" priority="18">
      <formula>$B192&lt;9</formula>
    </cfRule>
  </conditionalFormatting>
  <conditionalFormatting sqref="B204:BB204">
    <cfRule type="expression" dxfId="136" priority="17">
      <formula>$B192&lt;10</formula>
    </cfRule>
  </conditionalFormatting>
  <conditionalFormatting sqref="B205:BB205">
    <cfRule type="expression" dxfId="135" priority="16">
      <formula>$B192&lt;11</formula>
    </cfRule>
  </conditionalFormatting>
  <conditionalFormatting sqref="B206:BB206">
    <cfRule type="expression" dxfId="134" priority="15">
      <formula>$B192&lt;12</formula>
    </cfRule>
  </conditionalFormatting>
  <conditionalFormatting sqref="B207:BB207">
    <cfRule type="expression" dxfId="133" priority="14">
      <formula>$B192&lt;13</formula>
    </cfRule>
  </conditionalFormatting>
  <conditionalFormatting sqref="B208:BB208">
    <cfRule type="expression" dxfId="132" priority="13">
      <formula>$B192&lt;14</formula>
    </cfRule>
  </conditionalFormatting>
  <conditionalFormatting sqref="B209:BB209">
    <cfRule type="expression" dxfId="131" priority="12">
      <formula>$B192&lt;15</formula>
    </cfRule>
  </conditionalFormatting>
  <conditionalFormatting sqref="B210:BB210">
    <cfRule type="expression" dxfId="130" priority="11">
      <formula>$B192&lt;16</formula>
    </cfRule>
  </conditionalFormatting>
  <conditionalFormatting sqref="B211:BB211">
    <cfRule type="expression" dxfId="129" priority="10">
      <formula>$B192&lt;17</formula>
    </cfRule>
  </conditionalFormatting>
  <conditionalFormatting sqref="B212:BB212">
    <cfRule type="expression" dxfId="128" priority="9">
      <formula>$B192&lt;18</formula>
    </cfRule>
  </conditionalFormatting>
  <conditionalFormatting sqref="B213:BB213">
    <cfRule type="expression" dxfId="127" priority="8">
      <formula>$B192&lt;19</formula>
    </cfRule>
  </conditionalFormatting>
  <conditionalFormatting sqref="B214:BB214">
    <cfRule type="expression" dxfId="126" priority="7">
      <formula>$B192&lt;20</formula>
    </cfRule>
  </conditionalFormatting>
  <conditionalFormatting sqref="B215:BB215">
    <cfRule type="expression" dxfId="125" priority="6">
      <formula>$B192&lt;21</formula>
    </cfRule>
  </conditionalFormatting>
  <conditionalFormatting sqref="B216:BB216">
    <cfRule type="expression" dxfId="124" priority="5">
      <formula>$B192&lt;22</formula>
    </cfRule>
  </conditionalFormatting>
  <conditionalFormatting sqref="B217:BB217">
    <cfRule type="expression" dxfId="123" priority="4">
      <formula>$B192&lt;23</formula>
    </cfRule>
  </conditionalFormatting>
  <conditionalFormatting sqref="B218:BB218">
    <cfRule type="expression" dxfId="122" priority="3">
      <formula>$B192&lt;24</formula>
    </cfRule>
  </conditionalFormatting>
  <conditionalFormatting sqref="B219:BB219">
    <cfRule type="expression" dxfId="121" priority="2">
      <formula>$B192&lt;25</formula>
    </cfRule>
  </conditionalFormatting>
  <conditionalFormatting sqref="B220:BB220">
    <cfRule type="expression" dxfId="120" priority="1">
      <formula>$B192&lt;26</formula>
    </cfRule>
  </conditionalFormatting>
  <conditionalFormatting sqref="D129:D130">
    <cfRule type="cellIs" dxfId="119" priority="77" stopIfTrue="1" operator="equal">
      <formula>"change the angle of frame or of cabinets"</formula>
    </cfRule>
  </conditionalFormatting>
  <conditionalFormatting sqref="D131">
    <cfRule type="cellIs" dxfId="118" priority="76" stopIfTrue="1" operator="equal">
      <formula>"USE EXBAR AR AT THE FRONT"</formula>
    </cfRule>
  </conditionalFormatting>
  <conditionalFormatting sqref="D132">
    <cfRule type="cellIs" dxfId="117" priority="75" stopIfTrue="1" operator="equal">
      <formula>"USE EXBAR AR AT THE BACK"</formula>
    </cfRule>
  </conditionalFormatting>
  <conditionalFormatting sqref="D142:D153">
    <cfRule type="cellIs" dxfId="116" priority="74" stopIfTrue="1" operator="notEqual">
      <formula>0</formula>
    </cfRule>
  </conditionalFormatting>
  <conditionalFormatting sqref="D166:D185">
    <cfRule type="cellIs" dxfId="115" priority="60" operator="notEqual">
      <formula>0</formula>
    </cfRule>
  </conditionalFormatting>
  <conditionalFormatting sqref="D195:D220">
    <cfRule type="cellIs" dxfId="114" priority="27" operator="notEqual">
      <formula>0</formula>
    </cfRule>
  </conditionalFormatting>
  <conditionalFormatting sqref="E1048576">
    <cfRule type="expression" dxfId="113" priority="28">
      <formula>$B$192&lt;2</formula>
    </cfRule>
  </conditionalFormatting>
  <conditionalFormatting sqref="BA142:BB153">
    <cfRule type="cellIs" dxfId="112" priority="73" stopIfTrue="1" operator="lessThan">
      <formula>10</formula>
    </cfRule>
  </conditionalFormatting>
  <conditionalFormatting sqref="BA166:BB185">
    <cfRule type="cellIs" dxfId="111" priority="61" operator="lessThan">
      <formula>10</formula>
    </cfRule>
  </conditionalFormatting>
  <conditionalFormatting sqref="BA195:BB220">
    <cfRule type="cellIs" dxfId="110" priority="26" operator="lessThan">
      <formula>10</formula>
    </cfRule>
  </conditionalFormatting>
  <conditionalFormatting sqref="BL224:BL260">
    <cfRule type="cellIs" dxfId="109" priority="81" stopIfTrue="1" operator="equal">
      <formula>FALSE</formula>
    </cfRule>
  </conditionalFormatting>
  <conditionalFormatting sqref="BN28">
    <cfRule type="cellIs" dxfId="108" priority="37" stopIfTrue="1" operator="equal">
      <formula>"negative force at the motor"</formula>
    </cfRule>
  </conditionalFormatting>
  <conditionalFormatting sqref="BN28:BN29">
    <cfRule type="cellIs" dxfId="107" priority="36" operator="equal">
      <formula>"""OK"""</formula>
    </cfRule>
  </conditionalFormatting>
  <conditionalFormatting sqref="BN29">
    <cfRule type="cellIs" dxfId="106" priority="80" stopIfTrue="1" operator="equal">
      <formula>"overload"</formula>
    </cfRule>
  </conditionalFormatting>
  <conditionalFormatting sqref="BN31">
    <cfRule type="cellIs" dxfId="105" priority="35" stopIfTrue="1" operator="equal">
      <formula>"negative force at the motor"</formula>
    </cfRule>
  </conditionalFormatting>
  <conditionalFormatting sqref="BN31:BN32">
    <cfRule type="cellIs" dxfId="104" priority="34" operator="equal">
      <formula>"""OK"""</formula>
    </cfRule>
  </conditionalFormatting>
  <conditionalFormatting sqref="BN34">
    <cfRule type="cellIs" dxfId="103" priority="33" stopIfTrue="1" operator="equal">
      <formula>"negative force at the motor"</formula>
    </cfRule>
  </conditionalFormatting>
  <conditionalFormatting sqref="BN34:BN35">
    <cfRule type="cellIs" dxfId="102" priority="32" operator="equal">
      <formula>"""OK"""</formula>
    </cfRule>
  </conditionalFormatting>
  <conditionalFormatting sqref="BN58 BN63 BN127 BN32 BN35">
    <cfRule type="cellIs" dxfId="101" priority="79" stopIfTrue="1" operator="equal">
      <formula>"overload"</formula>
    </cfRule>
  </conditionalFormatting>
  <conditionalFormatting sqref="BN58 BN127 BN63">
    <cfRule type="cellIs" dxfId="100" priority="78" operator="equal">
      <formula>"""OK"""</formula>
    </cfRule>
  </conditionalFormatting>
  <conditionalFormatting sqref="BO57:BO58 BN58 BN127">
    <cfRule type="expression" dxfId="99" priority="38">
      <formula>$B$132&lt;&gt;0</formula>
    </cfRule>
  </conditionalFormatting>
  <conditionalFormatting sqref="BO126:BO127">
    <cfRule type="expression" dxfId="98" priority="29">
      <formula>$B$132&lt;&gt;0</formula>
    </cfRule>
  </conditionalFormatting>
  <conditionalFormatting sqref="BQ126:CG126">
    <cfRule type="expression" dxfId="97" priority="31">
      <formula>$B$132=0</formula>
    </cfRule>
  </conditionalFormatting>
  <conditionalFormatting sqref="BQ59:DB61 BV163:CI170">
    <cfRule type="cellIs" dxfId="96" priority="82" stopIfTrue="1" operator="equal">
      <formula>FALSE</formula>
    </cfRule>
  </conditionalFormatting>
  <conditionalFormatting sqref="CB57:CR57">
    <cfRule type="cellIs" dxfId="95" priority="39" operator="equal">
      <formula>0</formula>
    </cfRule>
    <cfRule type="expression" dxfId="94" priority="40">
      <formula>$B$132=0</formula>
    </cfRule>
  </conditionalFormatting>
  <conditionalFormatting sqref="CK126:DA126">
    <cfRule type="expression" dxfId="93" priority="30">
      <formula>$B$132=0</formula>
    </cfRule>
  </conditionalFormatting>
  <dataValidations count="11">
    <dataValidation type="custom" allowBlank="1" showInputMessage="1" showErrorMessage="1" sqref="D195" xr:uid="{00000000-0002-0000-1500-000000000000}">
      <formula1>OR(D195=0,D195=0.5,D195=1,D195=2,D195=2.5,D195=3,D195=4,D195=5,D195=6,D195=7,D195=8,D195=9)</formula1>
    </dataValidation>
    <dataValidation type="custom" allowBlank="1" showInputMessage="1" showErrorMessage="1" sqref="D167:D185" xr:uid="{00000000-0002-0000-1500-000001000000}">
      <formula1>OR(D167=0,D167=0.5,D167=1,D167=2,D167=2.5,D167=3,D167=4,D167=5,D167=6,D167=7,D167=8)</formula1>
    </dataValidation>
    <dataValidation type="custom" allowBlank="1" showInputMessage="1" showErrorMessage="1" sqref="D196:D220" xr:uid="{00000000-0002-0000-1500-000002000000}">
      <formula1>OR(D196=0.5,D196=1,D196=2,D196=2.5,D196=3,D196=4,D196=5,D196=6,D196=7,D196=8,D196=9,D196=10)</formula1>
    </dataValidation>
    <dataValidation type="whole" allowBlank="1" showInputMessage="1" showErrorMessage="1" sqref="D166" xr:uid="{00000000-0002-0000-1500-000003000000}">
      <formula1>-2</formula1>
      <formula2>4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63" xr:uid="{00000000-0002-0000-1500-000004000000}">
      <formula1>1</formula1>
      <formula2>20</formula2>
    </dataValidation>
    <dataValidation type="decimal" allowBlank="1" showInputMessage="1" showErrorMessage="1" sqref="B132" xr:uid="{00000000-0002-0000-1500-000005000000}">
      <formula1>-89.9</formula1>
      <formula2>89.9</formula2>
    </dataValidation>
    <dataValidation type="custom" allowBlank="1" showInputMessage="1" showErrorMessage="1" sqref="D142:D158" xr:uid="{00000000-0002-0000-1500-000006000000}">
      <formula1>OR(D142=0,D142=2.5,D142=5)</formula1>
    </dataValidation>
    <dataValidation type="decimal" allowBlank="1" showInputMessage="1" showErrorMessage="1" sqref="F142:G142 F166:G166 F195:G195" xr:uid="{00000000-0002-0000-1500-000007000000}">
      <formula1>0</formula1>
      <formula2>4</formula2>
    </dataValidation>
    <dataValidation type="decimal" allowBlank="1" showInputMessage="1" showErrorMessage="1" sqref="G143:G158 D136:D137 G196:G220 F197:F220 F144:F158 F134:G137 D134 D186 F168:F186 G167:G186" xr:uid="{00000000-0002-0000-1500-000008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39" xr:uid="{00000000-0002-0000-1500-000009000000}">
      <formula1>1</formula1>
      <formula2>10</formula2>
    </dataValidation>
    <dataValidation type="whole" allowBlank="1" showInputMessage="1" showErrorMessage="1" errorTitle="Coda Audio" error="YOU HAVE ENTERED A WRONG NUMBER OF CABINETS" promptTitle="Coda Audio" prompt="ENTER THE NUMBER OF CABINETS FROM 1 UP TO 26" sqref="B192" xr:uid="{00000000-0002-0000-1500-00000A000000}">
      <formula1>1</formula1>
      <formula2>26</formula2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>
    <tabColor theme="8" tint="0.39997558519241921"/>
  </sheetPr>
  <dimension ref="A1:EN295"/>
  <sheetViews>
    <sheetView topLeftCell="A56" zoomScale="50" zoomScaleNormal="50" workbookViewId="0">
      <selection activeCell="D140" sqref="D140"/>
    </sheetView>
  </sheetViews>
  <sheetFormatPr baseColWidth="10" defaultColWidth="9.1640625" defaultRowHeight="18" x14ac:dyDescent="0.2"/>
  <cols>
    <col min="1" max="1" width="4.5" customWidth="1"/>
    <col min="2" max="2" width="38.1640625" style="35" customWidth="1"/>
    <col min="3" max="3" width="21.83203125" style="35" hidden="1" customWidth="1"/>
    <col min="4" max="4" width="29.5" customWidth="1"/>
    <col min="5" max="5" width="61.33203125" customWidth="1"/>
    <col min="6" max="7" width="16.6640625" hidden="1" customWidth="1"/>
    <col min="8" max="9" width="11" style="64" hidden="1" customWidth="1"/>
    <col min="10" max="13" width="14.5" style="64" hidden="1" customWidth="1"/>
    <col min="14" max="20" width="11" style="64" hidden="1" customWidth="1"/>
    <col min="21" max="27" width="11.1640625" style="64" hidden="1" customWidth="1"/>
    <col min="28" max="28" width="40.5" style="64" customWidth="1"/>
    <col min="29" max="29" width="28.6640625" style="64" hidden="1" customWidth="1"/>
    <col min="30" max="31" width="12.5" style="64" hidden="1" customWidth="1"/>
    <col min="32" max="32" width="18.33203125" style="64" hidden="1" customWidth="1"/>
    <col min="33" max="33" width="17.5" style="64" hidden="1" customWidth="1"/>
    <col min="34" max="36" width="18.6640625" style="64" hidden="1" customWidth="1"/>
    <col min="37" max="48" width="13.5" style="64" hidden="1" customWidth="1"/>
    <col min="49" max="52" width="18" style="64" hidden="1" customWidth="1"/>
    <col min="53" max="54" width="14.33203125" style="64" customWidth="1"/>
    <col min="55" max="55" width="15.1640625" hidden="1" customWidth="1"/>
    <col min="56" max="56" width="9.1640625" hidden="1" customWidth="1"/>
    <col min="57" max="57" width="4.83203125" hidden="1" customWidth="1"/>
    <col min="58" max="58" width="6.83203125" hidden="1" customWidth="1"/>
    <col min="59" max="59" width="34.1640625" hidden="1" customWidth="1"/>
    <col min="60" max="60" width="17" hidden="1" customWidth="1"/>
    <col min="61" max="62" width="16.33203125" hidden="1" customWidth="1"/>
    <col min="63" max="63" width="9.33203125" hidden="1" customWidth="1"/>
    <col min="64" max="64" width="19.5" hidden="1" customWidth="1"/>
    <col min="65" max="65" width="20.33203125" style="81" hidden="1" customWidth="1"/>
    <col min="66" max="66" width="24.83203125" bestFit="1" customWidth="1"/>
    <col min="67" max="67" width="34.33203125" style="59" customWidth="1"/>
    <col min="68" max="68" width="43.6640625" customWidth="1"/>
    <col min="69" max="105" width="6.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18" width="6.5" hidden="1" customWidth="1"/>
    <col min="119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482" t="s">
        <v>104</v>
      </c>
      <c r="E1" s="482" t="s">
        <v>105</v>
      </c>
      <c r="F1" s="482" t="s">
        <v>106</v>
      </c>
      <c r="G1" s="990" t="s">
        <v>220</v>
      </c>
      <c r="H1" s="1073">
        <v>18000</v>
      </c>
      <c r="I1" s="992"/>
      <c r="J1" s="992"/>
      <c r="K1" s="992"/>
      <c r="L1" s="992"/>
      <c r="M1" s="992"/>
      <c r="N1" s="992"/>
      <c r="O1" s="993"/>
    </row>
    <row r="2" spans="2:15" ht="20" hidden="1" x14ac:dyDescent="0.2">
      <c r="B2" s="392" t="s">
        <v>26</v>
      </c>
      <c r="C2" s="39">
        <v>688</v>
      </c>
      <c r="D2" s="40">
        <f>+COS(($B$134*-1)*3.14159265358979/180)*C2</f>
        <v>688</v>
      </c>
      <c r="E2" s="41">
        <f>+COS(($B$134*-1)*3.14159265358979/180)*43</f>
        <v>43</v>
      </c>
      <c r="F2" s="42">
        <f>+COS((($B$134*-1)+72.969997)*3.14159265358979/180)*162.1867</f>
        <v>47.500013702602963</v>
      </c>
      <c r="G2" s="994" t="s">
        <v>212</v>
      </c>
      <c r="H2" s="1074">
        <v>77</v>
      </c>
      <c r="I2"/>
      <c r="J2"/>
      <c r="K2"/>
      <c r="L2"/>
      <c r="M2"/>
      <c r="N2"/>
      <c r="O2" s="995"/>
    </row>
    <row r="3" spans="2:15" ht="21" hidden="1" thickBot="1" x14ac:dyDescent="0.25">
      <c r="B3" s="38" t="s">
        <v>113</v>
      </c>
      <c r="C3" s="43">
        <f>+C9-47.5</f>
        <v>206.15946584590472</v>
      </c>
      <c r="D3" s="40">
        <f>+C9-F2</f>
        <v>206.15945214330176</v>
      </c>
      <c r="G3" s="994" t="s">
        <v>213</v>
      </c>
      <c r="H3" s="1075">
        <v>215</v>
      </c>
      <c r="I3" s="182"/>
      <c r="J3"/>
      <c r="K3"/>
      <c r="L3"/>
      <c r="M3"/>
      <c r="N3"/>
      <c r="O3" s="995"/>
    </row>
    <row r="4" spans="2:15" ht="58" hidden="1" thickBot="1" x14ac:dyDescent="0.25">
      <c r="B4" s="44" t="s">
        <v>114</v>
      </c>
      <c r="C4" s="45">
        <v>1075</v>
      </c>
      <c r="D4" s="40">
        <f>+COS(($B$134*-1)*3.14159265358979/180)*C4</f>
        <v>1075</v>
      </c>
      <c r="G4" s="996" t="s">
        <v>233</v>
      </c>
      <c r="H4" s="1076">
        <v>860</v>
      </c>
      <c r="I4" s="984">
        <v>1</v>
      </c>
      <c r="J4" s="1721" t="s">
        <v>228</v>
      </c>
      <c r="K4" s="1727"/>
      <c r="L4" s="1727"/>
      <c r="M4" s="1727"/>
      <c r="N4"/>
      <c r="O4" s="995"/>
    </row>
    <row r="5" spans="2:15" ht="38" hidden="1" x14ac:dyDescent="0.2">
      <c r="B5" s="44" t="s">
        <v>115</v>
      </c>
      <c r="C5" s="45">
        <f>+C9+425.5</f>
        <v>679.15946584590472</v>
      </c>
      <c r="D5" s="40">
        <f>+(COS(($B$134*-1)*3.14159265358979/180)*473)+$D$3</f>
        <v>679.15945214330179</v>
      </c>
      <c r="G5" s="996" t="s">
        <v>214</v>
      </c>
      <c r="H5" s="1076">
        <v>688</v>
      </c>
      <c r="I5"/>
      <c r="J5" s="961" t="s">
        <v>217</v>
      </c>
      <c r="K5" s="961" t="s">
        <v>225</v>
      </c>
      <c r="L5" s="972" t="s">
        <v>224</v>
      </c>
      <c r="M5" s="1724"/>
      <c r="N5"/>
      <c r="O5" s="995"/>
    </row>
    <row r="6" spans="2:15" ht="21" hidden="1" thickBot="1" x14ac:dyDescent="0.25">
      <c r="B6" s="73"/>
      <c r="C6" s="73"/>
      <c r="G6" s="996" t="s">
        <v>259</v>
      </c>
      <c r="H6" s="1076">
        <v>602</v>
      </c>
      <c r="I6"/>
      <c r="J6" s="963">
        <f>+H9/H8*BQ58</f>
        <v>349.48854026209256</v>
      </c>
      <c r="K6" s="963">
        <f>((H8-H9)/H8)*BQ58</f>
        <v>-240.27337143018863</v>
      </c>
      <c r="L6" s="963">
        <f>+CO58</f>
        <v>187.38483116809613</v>
      </c>
      <c r="M6" s="961" t="s">
        <v>223</v>
      </c>
      <c r="N6"/>
      <c r="O6" s="995"/>
    </row>
    <row r="7" spans="2:15" ht="106" hidden="1" thickBot="1" x14ac:dyDescent="0.25">
      <c r="B7" s="483" t="s">
        <v>18</v>
      </c>
      <c r="C7" s="394">
        <f>+C11+C14+C19+C17+30+4.5+0.5</f>
        <v>296.60000000000002</v>
      </c>
      <c r="D7" s="1573" t="s">
        <v>272</v>
      </c>
      <c r="G7" s="997" t="s">
        <v>230</v>
      </c>
      <c r="H7" s="1077">
        <f>(+SIN(($B$134*-1)*3.14159265358979/180)*H2)</f>
        <v>0</v>
      </c>
      <c r="I7"/>
      <c r="J7" s="965">
        <f>ABS($H$1/J6)</f>
        <v>51.50383467938957</v>
      </c>
      <c r="K7" s="965">
        <f>ABS($H$1/K6)</f>
        <v>74.914668624566644</v>
      </c>
      <c r="L7" s="965">
        <f>ABS($H$1/L6)</f>
        <v>96.059002683375439</v>
      </c>
      <c r="M7" s="967" t="s">
        <v>222</v>
      </c>
      <c r="N7"/>
      <c r="O7" s="995"/>
    </row>
    <row r="8" spans="2:15" ht="20" hidden="1" x14ac:dyDescent="0.2">
      <c r="B8" s="483" t="s">
        <v>19</v>
      </c>
      <c r="C8" s="483">
        <f>+AS140</f>
        <v>492.39108855494453</v>
      </c>
      <c r="G8" s="997" t="s">
        <v>229</v>
      </c>
      <c r="H8" s="1077">
        <f>(+COS(($B$134*-1)*3.14159265358979/180)*H3)</f>
        <v>215</v>
      </c>
      <c r="I8"/>
      <c r="J8" s="1733">
        <f>ABS($E$24/BQ58)</f>
        <v>73.249898210687391</v>
      </c>
      <c r="K8" s="1733"/>
      <c r="L8" s="1733">
        <f>ABS($E$24/CO58)</f>
        <v>42.692890081500195</v>
      </c>
      <c r="M8" s="1734" t="s">
        <v>350</v>
      </c>
      <c r="N8"/>
      <c r="O8" s="995"/>
    </row>
    <row r="9" spans="2:15" ht="21" hidden="1" thickBot="1" x14ac:dyDescent="0.25">
      <c r="B9" s="483" t="s">
        <v>14</v>
      </c>
      <c r="C9" s="483">
        <f>+AP136</f>
        <v>253.65946584590472</v>
      </c>
      <c r="G9" s="994" t="s">
        <v>227</v>
      </c>
      <c r="H9" s="1077">
        <f>+D2+H7</f>
        <v>688</v>
      </c>
      <c r="I9"/>
      <c r="J9" s="59"/>
      <c r="K9" s="59"/>
      <c r="L9" s="59"/>
      <c r="M9" s="59"/>
      <c r="N9"/>
      <c r="O9" s="995"/>
    </row>
    <row r="10" spans="2:15" ht="21" hidden="1" thickBot="1" x14ac:dyDescent="0.25">
      <c r="B10" s="1694" t="s">
        <v>112</v>
      </c>
      <c r="C10" s="1695">
        <v>72</v>
      </c>
      <c r="D10" s="1576" t="s">
        <v>322</v>
      </c>
      <c r="G10" s="998"/>
      <c r="H10"/>
      <c r="I10" s="984">
        <v>2</v>
      </c>
      <c r="J10" s="1721" t="s">
        <v>235</v>
      </c>
      <c r="K10" s="1721"/>
      <c r="L10" s="1738"/>
      <c r="M10" s="1738"/>
      <c r="N10"/>
      <c r="O10" s="995"/>
    </row>
    <row r="11" spans="2:15" ht="20" hidden="1" x14ac:dyDescent="0.2">
      <c r="B11" s="1696" t="s">
        <v>341</v>
      </c>
      <c r="C11" s="1697">
        <f>+(B169*C10)+31</f>
        <v>103</v>
      </c>
      <c r="G11" s="994" t="s">
        <v>226</v>
      </c>
      <c r="H11" s="1077">
        <f>+D2-H7</f>
        <v>688</v>
      </c>
      <c r="I11"/>
      <c r="J11" s="972" t="s">
        <v>218</v>
      </c>
      <c r="K11" s="961" t="s">
        <v>215</v>
      </c>
      <c r="L11" s="961" t="s">
        <v>216</v>
      </c>
      <c r="M11" s="1724"/>
      <c r="N11"/>
      <c r="O11" s="995"/>
    </row>
    <row r="12" spans="2:15" ht="21" hidden="1" thickBot="1" x14ac:dyDescent="0.25">
      <c r="B12" s="1696" t="s">
        <v>150</v>
      </c>
      <c r="C12" s="1698">
        <v>747</v>
      </c>
      <c r="D12" s="397"/>
      <c r="G12" s="998"/>
      <c r="H12" s="37"/>
      <c r="I12"/>
      <c r="J12" s="963">
        <f>(CB61)</f>
        <v>239.71916883190391</v>
      </c>
      <c r="K12" s="963">
        <f>((+H8-H11)/H8*CZ61)</f>
        <v>-125.13782856981143</v>
      </c>
      <c r="L12" s="963">
        <f>(H11/H8*CZ61)</f>
        <v>182.01865973790754</v>
      </c>
      <c r="M12" s="961" t="s">
        <v>223</v>
      </c>
      <c r="N12"/>
      <c r="O12" s="995"/>
    </row>
    <row r="13" spans="2:15" ht="21" hidden="1" thickBot="1" x14ac:dyDescent="0.25">
      <c r="B13" s="1699" t="s">
        <v>132</v>
      </c>
      <c r="C13" s="1700">
        <v>40.5</v>
      </c>
      <c r="D13" s="1576" t="s">
        <v>273</v>
      </c>
      <c r="G13" s="998"/>
      <c r="H13"/>
      <c r="I13"/>
      <c r="J13" s="965">
        <f>ABS($H$1/J12)</f>
        <v>75.087862550624706</v>
      </c>
      <c r="K13" s="965">
        <f>ABS($H$1/K12)</f>
        <v>143.84139636847084</v>
      </c>
      <c r="L13" s="965">
        <f>ABS($H$1/L12)</f>
        <v>98.890960003323698</v>
      </c>
      <c r="M13" s="967" t="s">
        <v>222</v>
      </c>
      <c r="N13"/>
      <c r="O13" s="995"/>
    </row>
    <row r="14" spans="2:15" ht="20" hidden="1" x14ac:dyDescent="0.2">
      <c r="B14" s="1701" t="s">
        <v>274</v>
      </c>
      <c r="C14" s="1702">
        <f>+(B137*C13)+31</f>
        <v>71.5</v>
      </c>
      <c r="D14" s="397"/>
      <c r="G14" s="998"/>
      <c r="H14"/>
      <c r="I14"/>
      <c r="J14" s="1733">
        <f>ABS($E$24/CB61)</f>
        <v>33.372383355833207</v>
      </c>
      <c r="K14" s="1733"/>
      <c r="L14" s="1733">
        <f>ABS($E$24/CZ61)</f>
        <v>140.64492089361593</v>
      </c>
      <c r="M14" s="1734" t="s">
        <v>350</v>
      </c>
      <c r="N14"/>
      <c r="O14" s="995"/>
    </row>
    <row r="15" spans="2:15" ht="19" hidden="1" thickBot="1" x14ac:dyDescent="0.25">
      <c r="B15" s="1701" t="s">
        <v>133</v>
      </c>
      <c r="C15" s="1703">
        <v>492.4</v>
      </c>
      <c r="D15" s="397"/>
      <c r="G15" s="998"/>
      <c r="H15"/>
      <c r="I15"/>
      <c r="J15" s="59"/>
      <c r="K15" s="59"/>
      <c r="L15" s="59"/>
      <c r="M15" s="59"/>
      <c r="N15"/>
      <c r="O15" s="995"/>
    </row>
    <row r="16" spans="2:15" ht="21" hidden="1" thickBot="1" x14ac:dyDescent="0.25">
      <c r="B16" s="1704" t="s">
        <v>275</v>
      </c>
      <c r="C16" s="1705">
        <v>29.3</v>
      </c>
      <c r="D16" s="1576" t="s">
        <v>276</v>
      </c>
      <c r="G16" s="998"/>
      <c r="H16"/>
      <c r="I16"/>
      <c r="J16" s="59"/>
      <c r="K16" s="59"/>
      <c r="L16" s="59"/>
      <c r="M16" s="59"/>
      <c r="N16"/>
      <c r="O16" s="995"/>
    </row>
    <row r="17" spans="2:15" ht="21" hidden="1" thickBot="1" x14ac:dyDescent="0.25">
      <c r="B17" s="483" t="s">
        <v>342</v>
      </c>
      <c r="C17" s="1682">
        <f>(+B193*C16)+31</f>
        <v>60.3</v>
      </c>
      <c r="D17" s="397"/>
      <c r="G17" s="998"/>
      <c r="H17"/>
      <c r="I17"/>
      <c r="J17" s="59"/>
      <c r="K17" s="59"/>
      <c r="L17" s="59"/>
      <c r="M17" s="59"/>
      <c r="N17"/>
      <c r="O17" s="995"/>
    </row>
    <row r="18" spans="2:15" ht="21" hidden="1" thickBot="1" x14ac:dyDescent="0.25">
      <c r="B18" s="1706" t="s">
        <v>343</v>
      </c>
      <c r="C18" s="1707">
        <v>25.5</v>
      </c>
      <c r="D18" s="1576" t="s">
        <v>278</v>
      </c>
      <c r="G18" s="994" t="s">
        <v>231</v>
      </c>
      <c r="H18" s="1077">
        <f>+D2+H7-BL140</f>
        <v>8.8405478566982083</v>
      </c>
      <c r="I18" s="984" t="s">
        <v>251</v>
      </c>
      <c r="J18" s="1721" t="s">
        <v>232</v>
      </c>
      <c r="K18" s="1727"/>
      <c r="L18" s="1727"/>
      <c r="M18" s="1727"/>
      <c r="N18"/>
      <c r="O18" s="995"/>
    </row>
    <row r="19" spans="2:15" ht="20" hidden="1" x14ac:dyDescent="0.2">
      <c r="B19" s="1708" t="s">
        <v>166</v>
      </c>
      <c r="C19" s="1709">
        <f>+(B229*C18)+1.3</f>
        <v>26.8</v>
      </c>
      <c r="D19" s="397"/>
      <c r="G19" s="998"/>
      <c r="H19" s="37"/>
      <c r="I19" s="999"/>
      <c r="J19" s="961" t="s">
        <v>217</v>
      </c>
      <c r="K19" s="961" t="s">
        <v>225</v>
      </c>
      <c r="L19" s="961"/>
      <c r="M19" s="1724"/>
      <c r="N19"/>
      <c r="O19" s="995"/>
    </row>
    <row r="20" spans="2:15" ht="20" hidden="1" x14ac:dyDescent="0.2">
      <c r="B20" s="1708" t="s">
        <v>207</v>
      </c>
      <c r="C20" s="1710">
        <v>492.4</v>
      </c>
      <c r="D20" s="397"/>
      <c r="G20" s="998"/>
      <c r="H20"/>
      <c r="I20"/>
      <c r="J20" s="963">
        <f>+H18/H8*BQ56</f>
        <v>12.195844159519483</v>
      </c>
      <c r="K20" s="963">
        <f>((H8-H18)/H8)*BQ56</f>
        <v>284.40415584048054</v>
      </c>
      <c r="L20" s="963"/>
      <c r="M20" s="961" t="s">
        <v>223</v>
      </c>
      <c r="N20"/>
      <c r="O20" s="995"/>
    </row>
    <row r="21" spans="2:15" ht="20" hidden="1" x14ac:dyDescent="0.2">
      <c r="B21" s="399"/>
      <c r="C21" s="399"/>
      <c r="D21" s="397"/>
      <c r="G21" s="998"/>
      <c r="H21"/>
      <c r="I21"/>
      <c r="J21" s="965">
        <f>ABS($H$1/J20)</f>
        <v>1475.9125948612648</v>
      </c>
      <c r="K21" s="965">
        <f>ABS($H$1/K20)</f>
        <v>63.290214402127162</v>
      </c>
      <c r="L21" s="965"/>
      <c r="M21" s="967" t="s">
        <v>222</v>
      </c>
      <c r="N21"/>
      <c r="O21" s="995"/>
    </row>
    <row r="22" spans="2:15" ht="20" hidden="1" x14ac:dyDescent="0.2">
      <c r="B22" s="484" t="s">
        <v>76</v>
      </c>
      <c r="C22" s="1579">
        <v>5800</v>
      </c>
      <c r="D22" s="1579">
        <v>10000</v>
      </c>
      <c r="G22" s="998"/>
      <c r="H22"/>
      <c r="I22"/>
      <c r="J22" s="1733">
        <f>ABS($E$24/BQ56)</f>
        <v>26.972353337828725</v>
      </c>
      <c r="K22" s="1733"/>
      <c r="L22" s="1733"/>
      <c r="M22" s="1734" t="s">
        <v>350</v>
      </c>
      <c r="N22"/>
      <c r="O22" s="995"/>
    </row>
    <row r="23" spans="2:15" ht="20" hidden="1" thickBot="1" x14ac:dyDescent="0.25">
      <c r="B23" s="484" t="s">
        <v>77</v>
      </c>
      <c r="C23" s="1579">
        <v>5800</v>
      </c>
      <c r="D23" s="1579">
        <v>5800</v>
      </c>
      <c r="G23" s="998"/>
      <c r="H23"/>
      <c r="I23"/>
      <c r="J23" s="59"/>
      <c r="K23" s="59"/>
      <c r="L23" s="59"/>
      <c r="M23" s="59"/>
      <c r="N23"/>
      <c r="O23" s="995"/>
    </row>
    <row r="24" spans="2:15" ht="21" hidden="1" thickBot="1" x14ac:dyDescent="0.25">
      <c r="B24" s="484" t="s">
        <v>78</v>
      </c>
      <c r="C24" s="1579">
        <v>8000</v>
      </c>
      <c r="D24" s="1579">
        <v>8000</v>
      </c>
      <c r="E24" s="49">
        <v>8000</v>
      </c>
      <c r="G24" s="994" t="s">
        <v>219</v>
      </c>
      <c r="H24" s="1077">
        <f>(+COS(($B$134*-1)*3.14159265358979/180)*(H4))</f>
        <v>860</v>
      </c>
      <c r="I24" s="984" t="s">
        <v>251</v>
      </c>
      <c r="J24" s="1721" t="s">
        <v>254</v>
      </c>
      <c r="K24" s="1727"/>
      <c r="L24" s="1727"/>
      <c r="M24" s="1727"/>
      <c r="N24"/>
      <c r="O24" s="995"/>
    </row>
    <row r="25" spans="2:15" ht="20" hidden="1" x14ac:dyDescent="0.2">
      <c r="B25" s="1579"/>
      <c r="C25" s="1579" t="s">
        <v>20</v>
      </c>
      <c r="D25" s="1579" t="s">
        <v>21</v>
      </c>
      <c r="G25" s="994" t="s">
        <v>234</v>
      </c>
      <c r="H25" s="1092">
        <f>+BL140-H24+H7</f>
        <v>-180.84054785669821</v>
      </c>
      <c r="I25" s="999"/>
      <c r="J25" s="961"/>
      <c r="K25" s="961" t="s">
        <v>215</v>
      </c>
      <c r="L25" s="961" t="s">
        <v>216</v>
      </c>
      <c r="M25" s="1724"/>
      <c r="N25"/>
      <c r="O25" s="995"/>
    </row>
    <row r="26" spans="2:15" ht="20" hidden="1" x14ac:dyDescent="0.2">
      <c r="B26" s="1580" t="s">
        <v>64</v>
      </c>
      <c r="C26" s="1579">
        <f>+((C8-C9)/C8)*C7</f>
        <v>143.80398212182504</v>
      </c>
      <c r="D26" s="1579">
        <f>+(C9/C8)*C7</f>
        <v>152.79601787817498</v>
      </c>
      <c r="G26" s="998"/>
      <c r="H26"/>
      <c r="I26"/>
      <c r="J26" s="963"/>
      <c r="K26" s="963">
        <f>((+H8-H25)/H8*BQ56)</f>
        <v>546.07584415951953</v>
      </c>
      <c r="L26" s="963">
        <f>(H25/H8*BQ56)</f>
        <v>-249.47584415951951</v>
      </c>
      <c r="M26" s="961" t="s">
        <v>223</v>
      </c>
      <c r="N26"/>
      <c r="O26" s="995"/>
    </row>
    <row r="27" spans="2:15" ht="20" hidden="1" x14ac:dyDescent="0.2">
      <c r="B27" s="1582"/>
      <c r="C27" s="73"/>
      <c r="D27" s="73"/>
      <c r="G27" s="998"/>
      <c r="H27"/>
      <c r="I27"/>
      <c r="J27" s="965"/>
      <c r="K27" s="965">
        <f>ABS($H$1/K26)</f>
        <v>32.962454194809332</v>
      </c>
      <c r="L27" s="965">
        <f>ABS($H$1/L26)</f>
        <v>72.151274046758871</v>
      </c>
      <c r="M27" s="967" t="s">
        <v>222</v>
      </c>
      <c r="N27"/>
      <c r="O27" s="995"/>
    </row>
    <row r="28" spans="2:15" ht="20" hidden="1" x14ac:dyDescent="0.2">
      <c r="B28" s="1582"/>
      <c r="C28" s="73"/>
      <c r="D28" s="73"/>
      <c r="G28" s="998"/>
      <c r="H28"/>
      <c r="I28"/>
      <c r="J28" s="1733"/>
      <c r="K28" s="1733"/>
      <c r="L28" s="1733">
        <f>ABS($E$24/BQ56)</f>
        <v>26.972353337828725</v>
      </c>
      <c r="M28" s="1734" t="s">
        <v>350</v>
      </c>
      <c r="N28"/>
      <c r="O28" s="995"/>
    </row>
    <row r="29" spans="2:15" ht="19" hidden="1" thickBot="1" x14ac:dyDescent="0.25">
      <c r="B29" s="1582"/>
      <c r="C29" s="73"/>
      <c r="D29" s="73"/>
      <c r="G29" s="998"/>
      <c r="H29"/>
      <c r="I29"/>
      <c r="J29" s="59"/>
      <c r="K29" s="59"/>
      <c r="L29" s="59"/>
      <c r="M29" s="59"/>
      <c r="N29"/>
      <c r="O29" s="995"/>
    </row>
    <row r="30" spans="2:15" ht="21" hidden="1" thickBot="1" x14ac:dyDescent="0.25">
      <c r="B30" s="1582"/>
      <c r="C30" s="73"/>
      <c r="D30" s="73"/>
      <c r="G30" s="998"/>
      <c r="H30"/>
      <c r="I30" s="984">
        <v>60</v>
      </c>
      <c r="J30" s="1721" t="s">
        <v>241</v>
      </c>
      <c r="K30" s="1727"/>
      <c r="L30" s="1727"/>
      <c r="M30" s="1727"/>
      <c r="N30"/>
      <c r="O30" s="995"/>
    </row>
    <row r="31" spans="2:15" ht="20" hidden="1" x14ac:dyDescent="0.2">
      <c r="B31" s="1582"/>
      <c r="C31" s="73"/>
      <c r="D31" s="73"/>
      <c r="G31" s="998"/>
      <c r="H31"/>
      <c r="I31"/>
      <c r="J31" s="961"/>
      <c r="K31" s="961" t="s">
        <v>215</v>
      </c>
      <c r="L31" s="961" t="s">
        <v>216</v>
      </c>
      <c r="M31" s="1724"/>
      <c r="N31"/>
      <c r="O31" s="995"/>
    </row>
    <row r="32" spans="2:15" ht="20" hidden="1" x14ac:dyDescent="0.2">
      <c r="B32" s="1582"/>
      <c r="C32" s="73"/>
      <c r="D32" s="73"/>
      <c r="G32" s="1000"/>
      <c r="H32" s="63"/>
      <c r="I32"/>
      <c r="J32" s="963"/>
      <c r="K32" s="963">
        <f>((+H8-H25)/H8*BQ56)</f>
        <v>546.07584415951953</v>
      </c>
      <c r="L32" s="963">
        <f>(H25/H8*BQ56)</f>
        <v>-249.47584415951951</v>
      </c>
      <c r="M32" s="961" t="s">
        <v>223</v>
      </c>
      <c r="N32"/>
      <c r="O32" s="995"/>
    </row>
    <row r="33" spans="2:15" ht="20" hidden="1" x14ac:dyDescent="0.2">
      <c r="B33" s="1582"/>
      <c r="C33" s="73"/>
      <c r="D33" s="73"/>
      <c r="G33" s="1000"/>
      <c r="H33" s="63"/>
      <c r="I33"/>
      <c r="J33" s="965"/>
      <c r="K33" s="965">
        <f>ABS($H$1/K32)</f>
        <v>32.962454194809332</v>
      </c>
      <c r="L33" s="965">
        <f>ABS($H$1/L32)</f>
        <v>72.151274046758871</v>
      </c>
      <c r="M33" s="967" t="s">
        <v>222</v>
      </c>
      <c r="N33"/>
      <c r="O33" s="995"/>
    </row>
    <row r="34" spans="2:15" ht="20" hidden="1" x14ac:dyDescent="0.2">
      <c r="B34" s="1582"/>
      <c r="C34" s="73"/>
      <c r="D34" s="73"/>
      <c r="G34" s="1000"/>
      <c r="H34" s="63"/>
      <c r="I34"/>
      <c r="J34" s="1733"/>
      <c r="K34" s="1733"/>
      <c r="L34" s="1733">
        <f>ABS($E$24/BQ56)*2</f>
        <v>53.94470667565745</v>
      </c>
      <c r="M34" s="1734" t="s">
        <v>350</v>
      </c>
      <c r="N34" s="1730" t="s">
        <v>352</v>
      </c>
      <c r="O34" s="995"/>
    </row>
    <row r="35" spans="2:15" ht="19" hidden="1" thickBot="1" x14ac:dyDescent="0.25">
      <c r="B35" s="1582"/>
      <c r="C35" s="73"/>
      <c r="D35" s="73"/>
      <c r="G35" s="1000"/>
      <c r="H35" s="63"/>
      <c r="I35"/>
      <c r="J35" s="59"/>
      <c r="K35" s="59"/>
      <c r="L35" s="59"/>
      <c r="M35" s="59"/>
      <c r="N35"/>
      <c r="O35" s="995"/>
    </row>
    <row r="36" spans="2:15" ht="21" hidden="1" thickBot="1" x14ac:dyDescent="0.25">
      <c r="B36" s="1582"/>
      <c r="C36" s="73"/>
      <c r="D36" s="73"/>
      <c r="G36" s="1000"/>
      <c r="H36" s="63"/>
      <c r="I36" s="984">
        <v>61</v>
      </c>
      <c r="J36" s="1721" t="s">
        <v>255</v>
      </c>
      <c r="K36" s="1727"/>
      <c r="L36" s="1727"/>
      <c r="M36" s="1727"/>
      <c r="N36"/>
      <c r="O36" s="995"/>
    </row>
    <row r="37" spans="2:15" ht="20" hidden="1" x14ac:dyDescent="0.2">
      <c r="B37" s="1582"/>
      <c r="C37" s="73"/>
      <c r="D37" s="73"/>
      <c r="G37" s="1000"/>
      <c r="H37" s="63"/>
      <c r="I37"/>
      <c r="J37" s="961" t="s">
        <v>217</v>
      </c>
      <c r="K37" s="961" t="s">
        <v>225</v>
      </c>
      <c r="L37" s="961"/>
      <c r="M37" s="1724"/>
      <c r="N37"/>
      <c r="O37" s="995"/>
    </row>
    <row r="38" spans="2:15" ht="20" hidden="1" x14ac:dyDescent="0.2">
      <c r="B38" s="1582"/>
      <c r="C38" s="73"/>
      <c r="D38" s="73"/>
      <c r="G38" s="1000"/>
      <c r="H38" s="63"/>
      <c r="I38"/>
      <c r="J38" s="963">
        <f>+H18/H8*BQ56</f>
        <v>12.195844159519483</v>
      </c>
      <c r="K38" s="963">
        <f>((H8-H18)/H8)*BQ56</f>
        <v>284.40415584048054</v>
      </c>
      <c r="L38" s="963"/>
      <c r="M38" s="961" t="s">
        <v>223</v>
      </c>
      <c r="N38"/>
      <c r="O38" s="995"/>
    </row>
    <row r="39" spans="2:15" ht="20" hidden="1" x14ac:dyDescent="0.2">
      <c r="B39" s="1582"/>
      <c r="C39" s="73"/>
      <c r="D39" s="73"/>
      <c r="G39" s="1000"/>
      <c r="H39" s="63"/>
      <c r="I39"/>
      <c r="J39" s="965">
        <f>ABS($H$1/J38)</f>
        <v>1475.9125948612648</v>
      </c>
      <c r="K39" s="965">
        <f>ABS($H$1/K38)</f>
        <v>63.290214402127162</v>
      </c>
      <c r="L39" s="965"/>
      <c r="M39" s="967" t="s">
        <v>222</v>
      </c>
      <c r="N39"/>
      <c r="O39" s="995"/>
    </row>
    <row r="40" spans="2:15" ht="20" hidden="1" x14ac:dyDescent="0.2">
      <c r="B40" s="1582"/>
      <c r="C40" s="73"/>
      <c r="D40" s="73"/>
      <c r="G40" s="1000"/>
      <c r="H40" s="63"/>
      <c r="I40"/>
      <c r="J40" s="1733">
        <f>ABS($E$24/BQ56)*2</f>
        <v>53.94470667565745</v>
      </c>
      <c r="K40" s="1733"/>
      <c r="L40" s="1733"/>
      <c r="M40" s="1734" t="s">
        <v>350</v>
      </c>
      <c r="N40" s="1730" t="s">
        <v>352</v>
      </c>
      <c r="O40" s="995"/>
    </row>
    <row r="41" spans="2:15" ht="19" hidden="1" thickBot="1" x14ac:dyDescent="0.25">
      <c r="B41" s="1582"/>
      <c r="C41" s="73"/>
      <c r="D41" s="73"/>
      <c r="G41" s="998"/>
      <c r="H41"/>
      <c r="I41"/>
      <c r="J41" s="59"/>
      <c r="K41" s="59"/>
      <c r="L41" s="59"/>
      <c r="M41" s="59"/>
      <c r="N41"/>
      <c r="O41" s="995"/>
    </row>
    <row r="42" spans="2:15" ht="24" hidden="1" thickBot="1" x14ac:dyDescent="0.3">
      <c r="B42" s="1582"/>
      <c r="C42" s="73"/>
      <c r="D42" s="73"/>
      <c r="G42" s="998"/>
      <c r="H42" s="1068" t="s">
        <v>262</v>
      </c>
      <c r="I42" s="984">
        <v>62</v>
      </c>
      <c r="J42" s="1721" t="s">
        <v>256</v>
      </c>
      <c r="K42" s="1727"/>
      <c r="L42" s="1727"/>
      <c r="M42" s="1727"/>
      <c r="N42"/>
      <c r="O42" s="995"/>
    </row>
    <row r="43" spans="2:15" ht="20" hidden="1" x14ac:dyDescent="0.2">
      <c r="B43" s="1582"/>
      <c r="C43" s="73"/>
      <c r="D43" s="73"/>
      <c r="G43" s="998"/>
      <c r="H43" s="1001" t="s">
        <v>250</v>
      </c>
      <c r="I43"/>
      <c r="J43" s="961" t="s">
        <v>217</v>
      </c>
      <c r="K43" s="961" t="s">
        <v>225</v>
      </c>
      <c r="L43" s="972" t="s">
        <v>242</v>
      </c>
      <c r="M43" s="1724"/>
      <c r="N43"/>
      <c r="O43" s="995"/>
    </row>
    <row r="44" spans="2:15" ht="23" hidden="1" x14ac:dyDescent="0.25">
      <c r="B44" s="1582"/>
      <c r="C44" s="73"/>
      <c r="D44" s="73"/>
      <c r="G44" s="1002" t="s">
        <v>245</v>
      </c>
      <c r="H44" s="1078">
        <f>SUM(BQ130:CA130)</f>
        <v>8</v>
      </c>
      <c r="I44"/>
      <c r="J44" s="963">
        <f>+H45/H8*BQ56/2</f>
        <v>266.94000000000005</v>
      </c>
      <c r="K44" s="963">
        <f>((H8-H45)/H8)*BQ56/2</f>
        <v>-118.64000000000001</v>
      </c>
      <c r="L44" s="963">
        <f>+BQ56/2</f>
        <v>148.30000000000001</v>
      </c>
      <c r="M44" s="961" t="s">
        <v>223</v>
      </c>
      <c r="N44"/>
      <c r="O44" s="995"/>
    </row>
    <row r="45" spans="2:15" ht="20" hidden="1" x14ac:dyDescent="0.2">
      <c r="B45" s="1582"/>
      <c r="C45" s="73"/>
      <c r="D45" s="73"/>
      <c r="G45" s="994" t="s">
        <v>243</v>
      </c>
      <c r="H45" s="1077">
        <f>$H$5-((H44-1)*$E$2)</f>
        <v>387</v>
      </c>
      <c r="I45"/>
      <c r="J45" s="965">
        <f>ABS($H$1/J44)</f>
        <v>67.430883344571797</v>
      </c>
      <c r="K45" s="965">
        <f>ABS($H$1/K44)</f>
        <v>151.71948752528655</v>
      </c>
      <c r="L45" s="965">
        <f>ABS($H$1/L44)</f>
        <v>121.37559002022925</v>
      </c>
      <c r="M45" s="967" t="s">
        <v>222</v>
      </c>
      <c r="N45"/>
      <c r="O45" s="995"/>
    </row>
    <row r="46" spans="2:15" ht="20" hidden="1" x14ac:dyDescent="0.2">
      <c r="B46" s="1582"/>
      <c r="C46" s="73"/>
      <c r="D46" s="73"/>
      <c r="G46" s="1000"/>
      <c r="H46" s="63"/>
      <c r="I46"/>
      <c r="J46" s="1733"/>
      <c r="K46" s="1733"/>
      <c r="L46" s="1733">
        <f>ABS($E$24/BQ56)*2</f>
        <v>53.94470667565745</v>
      </c>
      <c r="M46" s="1734" t="s">
        <v>350</v>
      </c>
      <c r="N46" s="1730" t="s">
        <v>352</v>
      </c>
      <c r="O46" s="995"/>
    </row>
    <row r="47" spans="2:15" ht="21" hidden="1" thickBot="1" x14ac:dyDescent="0.25">
      <c r="B47" s="1582"/>
      <c r="C47" s="73"/>
      <c r="D47" s="73"/>
      <c r="G47" s="998"/>
      <c r="H47" s="1069" t="s">
        <v>263</v>
      </c>
      <c r="I47"/>
      <c r="J47" s="59"/>
      <c r="K47" s="59"/>
      <c r="L47" s="59"/>
      <c r="M47" s="59"/>
      <c r="N47"/>
      <c r="O47" s="995"/>
    </row>
    <row r="48" spans="2:15" ht="21" hidden="1" thickBot="1" x14ac:dyDescent="0.25">
      <c r="B48" s="1582"/>
      <c r="C48" s="73"/>
      <c r="D48" s="73"/>
      <c r="G48" s="1004"/>
      <c r="H48" s="1005" t="s">
        <v>250</v>
      </c>
      <c r="I48" s="984">
        <v>63</v>
      </c>
      <c r="J48" s="1721" t="s">
        <v>257</v>
      </c>
      <c r="K48" s="1727"/>
      <c r="L48" s="1727"/>
      <c r="M48" s="1727"/>
      <c r="N48"/>
      <c r="O48" s="995"/>
    </row>
    <row r="49" spans="2:144" ht="23" hidden="1" x14ac:dyDescent="0.25">
      <c r="B49" s="1582"/>
      <c r="C49" s="73"/>
      <c r="D49" s="73"/>
      <c r="G49" s="1002" t="s">
        <v>245</v>
      </c>
      <c r="H49" s="1079">
        <f>SUM(CQ130:DA130)</f>
        <v>0</v>
      </c>
      <c r="I49"/>
      <c r="J49" s="972" t="s">
        <v>244</v>
      </c>
      <c r="K49" s="961" t="s">
        <v>215</v>
      </c>
      <c r="L49" s="961" t="s">
        <v>216</v>
      </c>
      <c r="M49" s="1724"/>
      <c r="N49"/>
      <c r="O49" s="995"/>
    </row>
    <row r="50" spans="2:144" ht="20" hidden="1" x14ac:dyDescent="0.2">
      <c r="B50" s="1582"/>
      <c r="C50" s="73"/>
      <c r="D50" s="73"/>
      <c r="G50" s="994" t="s">
        <v>243</v>
      </c>
      <c r="H50" s="1077">
        <f>($E$2*(H49-1))-$H$4</f>
        <v>-903</v>
      </c>
      <c r="I50"/>
      <c r="J50" s="963">
        <f>+BQ56/2</f>
        <v>148.30000000000001</v>
      </c>
      <c r="K50" s="963">
        <f>((H8-H50)/H8)*BQ56/2</f>
        <v>771.16000000000008</v>
      </c>
      <c r="L50" s="963">
        <f>+H50/H8*BQ56/2</f>
        <v>-622.86000000000013</v>
      </c>
      <c r="M50" s="961" t="s">
        <v>223</v>
      </c>
      <c r="N50"/>
      <c r="O50" s="995"/>
    </row>
    <row r="51" spans="2:144" ht="20" hidden="1" x14ac:dyDescent="0.2">
      <c r="B51" s="1582"/>
      <c r="C51" s="73"/>
      <c r="D51" s="73"/>
      <c r="G51" s="998"/>
      <c r="H51"/>
      <c r="I51"/>
      <c r="J51" s="965">
        <f>ABS($H$1/J50)</f>
        <v>121.37559002022925</v>
      </c>
      <c r="K51" s="965">
        <f>ABS($H$1/K50)</f>
        <v>23.341459619274858</v>
      </c>
      <c r="L51" s="965">
        <f>ABS($H$1/L50)</f>
        <v>28.898950004816484</v>
      </c>
      <c r="M51" s="967" t="s">
        <v>222</v>
      </c>
      <c r="O51" s="1581"/>
    </row>
    <row r="52" spans="2:144" ht="20" hidden="1" x14ac:dyDescent="0.2">
      <c r="B52" s="1582"/>
      <c r="C52" s="73"/>
      <c r="D52" s="73"/>
      <c r="G52" s="998"/>
      <c r="H52"/>
      <c r="I52"/>
      <c r="J52" s="1733">
        <f>ABS($E$24/BQ56)*2</f>
        <v>53.94470667565745</v>
      </c>
      <c r="K52" s="1733"/>
      <c r="L52" s="1733"/>
      <c r="M52" s="1734" t="s">
        <v>350</v>
      </c>
      <c r="N52" s="1730" t="s">
        <v>352</v>
      </c>
      <c r="O52" s="995"/>
    </row>
    <row r="53" spans="2:144" ht="19" hidden="1" thickBot="1" x14ac:dyDescent="0.25">
      <c r="B53" s="1582"/>
      <c r="C53" s="73"/>
      <c r="D53" s="73"/>
      <c r="G53" s="998"/>
      <c r="H53"/>
      <c r="I53"/>
      <c r="J53" s="59"/>
      <c r="K53" s="59"/>
      <c r="L53" s="59"/>
      <c r="M53" s="59"/>
      <c r="N53"/>
      <c r="O53" s="995"/>
    </row>
    <row r="54" spans="2:144" ht="21" hidden="1" thickBot="1" x14ac:dyDescent="0.25">
      <c r="G54" s="998"/>
      <c r="H54"/>
      <c r="I54" s="984">
        <v>64</v>
      </c>
      <c r="J54" s="1721" t="s">
        <v>258</v>
      </c>
      <c r="K54" s="1727"/>
      <c r="L54" s="1727"/>
      <c r="M54" s="1727"/>
      <c r="N54"/>
      <c r="O54" s="995"/>
    </row>
    <row r="55" spans="2:144" ht="23" hidden="1" x14ac:dyDescent="0.25">
      <c r="G55" s="1002" t="s">
        <v>245</v>
      </c>
      <c r="H55" s="1007" t="s">
        <v>252</v>
      </c>
      <c r="I55"/>
      <c r="J55" s="972" t="s">
        <v>244</v>
      </c>
      <c r="K55" s="961"/>
      <c r="L55" s="972" t="s">
        <v>242</v>
      </c>
      <c r="M55" s="1724"/>
      <c r="N55"/>
      <c r="O55" s="995"/>
    </row>
    <row r="56" spans="2:144" ht="30.75" customHeight="1" thickBot="1" x14ac:dyDescent="0.25">
      <c r="G56" s="994" t="s">
        <v>243</v>
      </c>
      <c r="H56" s="956"/>
      <c r="I56"/>
      <c r="J56" s="963">
        <f>+((H6-D3)/H6)*BQ56</f>
        <v>195.0270871998284</v>
      </c>
      <c r="K56" s="963"/>
      <c r="L56" s="963">
        <f>+(D3/H6)*BQ56</f>
        <v>101.57291280017161</v>
      </c>
      <c r="M56" s="961" t="s">
        <v>223</v>
      </c>
      <c r="N56"/>
      <c r="O56" s="995"/>
      <c r="BE56" s="64"/>
      <c r="BF56" s="64"/>
      <c r="BG56" s="64"/>
      <c r="BH56" s="64"/>
      <c r="BO56" s="64"/>
      <c r="BP56" s="75" t="s">
        <v>25</v>
      </c>
      <c r="BQ56" s="1814">
        <f>+C7</f>
        <v>296.60000000000002</v>
      </c>
      <c r="BR56" s="1814"/>
      <c r="BS56" s="76" t="s">
        <v>17</v>
      </c>
      <c r="BT56" s="76"/>
      <c r="BU56" s="77" t="s">
        <v>344</v>
      </c>
      <c r="BV56" s="78"/>
      <c r="BW56" s="78"/>
      <c r="BX56" s="78"/>
      <c r="BY56" s="78"/>
      <c r="BZ56" s="78"/>
      <c r="CA56" s="78"/>
      <c r="CB56" s="78"/>
      <c r="CC56" s="78"/>
      <c r="CD56" s="78"/>
      <c r="CE56" s="78"/>
      <c r="CF56" s="78"/>
      <c r="CG56" s="78"/>
      <c r="CH56" s="78"/>
      <c r="CI56" s="78"/>
      <c r="CJ56" s="78"/>
      <c r="CK56" s="78"/>
      <c r="CL56" s="78"/>
      <c r="CM56" s="78"/>
      <c r="CN56" s="78"/>
      <c r="CO56" s="78"/>
      <c r="CP56" s="78"/>
      <c r="CQ56" s="78"/>
      <c r="CR56" s="78"/>
      <c r="CS56" s="78"/>
      <c r="CT56" s="78"/>
      <c r="CU56" s="78"/>
      <c r="CV56" s="78"/>
      <c r="CW56" s="78"/>
      <c r="CX56" s="78"/>
      <c r="CY56" s="78"/>
      <c r="CZ56" s="78"/>
      <c r="DA56" s="78"/>
      <c r="DB56" s="78"/>
      <c r="DC56" s="78"/>
      <c r="DD56" s="78"/>
    </row>
    <row r="57" spans="2:144" s="64" customFormat="1" ht="44.25" customHeight="1" thickBot="1" x14ac:dyDescent="0.3">
      <c r="B57" s="73"/>
      <c r="C57" s="73"/>
      <c r="G57" s="1000"/>
      <c r="H57" s="63"/>
      <c r="I57"/>
      <c r="J57" s="965">
        <f>ABS($H$1/J56)</f>
        <v>92.294871745466125</v>
      </c>
      <c r="K57" s="965"/>
      <c r="L57" s="965">
        <f>ABS($H$1/L56)</f>
        <v>177.21260032595609</v>
      </c>
      <c r="M57" s="967" t="s">
        <v>222</v>
      </c>
      <c r="N57"/>
      <c r="O57" s="995"/>
      <c r="BD57"/>
      <c r="BE57" s="85"/>
      <c r="BF57" s="85"/>
      <c r="BG57" s="85"/>
      <c r="BH57" s="85"/>
      <c r="BI57"/>
      <c r="BJ57"/>
      <c r="BK57"/>
      <c r="BL57" s="968">
        <v>1</v>
      </c>
      <c r="BM57" s="81" t="b">
        <f>AND(BQ58&gt;0,CO58&gt;0)</f>
        <v>1</v>
      </c>
      <c r="BN57" s="952" t="str">
        <f>IF(BM57=TRUE,"","negative force at the motor")</f>
        <v/>
      </c>
      <c r="BO57" s="1088" t="s">
        <v>128</v>
      </c>
      <c r="BP57" s="740" t="s">
        <v>27</v>
      </c>
      <c r="BQ57" s="776" t="s">
        <v>28</v>
      </c>
      <c r="BR57" s="777"/>
      <c r="BS57" s="777"/>
      <c r="BT57" s="777"/>
      <c r="BU57" s="777"/>
      <c r="BV57" s="777"/>
      <c r="BW57" s="777"/>
      <c r="BX57" s="777"/>
      <c r="BY57" s="777"/>
      <c r="BZ57" s="777"/>
      <c r="CA57" s="777"/>
      <c r="CB57" s="777"/>
      <c r="CC57" s="777"/>
      <c r="CD57" s="777"/>
      <c r="CE57" s="777"/>
      <c r="CF57" s="777"/>
      <c r="CG57" s="777"/>
      <c r="CH57" s="777"/>
      <c r="CI57" s="884"/>
      <c r="CJ57" s="777"/>
      <c r="CK57" s="885"/>
      <c r="CL57" s="885"/>
      <c r="CM57" s="885"/>
      <c r="CN57" s="885"/>
      <c r="CO57" s="777"/>
      <c r="CP57" s="782" t="s">
        <v>29</v>
      </c>
      <c r="CQ57" s="1801"/>
      <c r="CR57" s="1801"/>
      <c r="CS57" s="1801"/>
      <c r="CT57" s="1801"/>
      <c r="CU57" s="1801"/>
      <c r="CV57" s="1801"/>
      <c r="CW57" s="1801"/>
      <c r="CX57" s="1801"/>
      <c r="CY57" s="1801"/>
      <c r="CZ57" s="1801"/>
      <c r="DA57" s="1802"/>
      <c r="DB57" s="78"/>
      <c r="DC57" s="78"/>
      <c r="DD57" s="78"/>
      <c r="DE57"/>
      <c r="DF57"/>
      <c r="DG57"/>
      <c r="DH57"/>
      <c r="DI57"/>
      <c r="DJ57"/>
      <c r="DK57"/>
      <c r="DL57"/>
      <c r="DM57"/>
      <c r="DN57"/>
      <c r="DO57"/>
      <c r="DP57"/>
      <c r="DQ57"/>
      <c r="DR57"/>
      <c r="DS57"/>
      <c r="DT57"/>
      <c r="DU57"/>
      <c r="DV57"/>
      <c r="DW57"/>
      <c r="DX57"/>
      <c r="DY57"/>
      <c r="DZ57"/>
      <c r="EA57"/>
      <c r="EB57"/>
      <c r="EC57"/>
      <c r="ED57"/>
      <c r="EE57"/>
      <c r="EF57"/>
      <c r="EG57"/>
      <c r="EH57"/>
      <c r="EI57"/>
      <c r="EJ57"/>
      <c r="EK57"/>
      <c r="EL57"/>
      <c r="EM57"/>
      <c r="EN57"/>
    </row>
    <row r="58" spans="2:144" ht="45" customHeight="1" thickBot="1" x14ac:dyDescent="0.3">
      <c r="G58" s="1000"/>
      <c r="H58" s="63"/>
      <c r="J58" s="1733">
        <f>ABS($E$24/BQ56)*2</f>
        <v>53.94470667565745</v>
      </c>
      <c r="K58" s="1733"/>
      <c r="L58" s="1733"/>
      <c r="M58" s="1734" t="s">
        <v>350</v>
      </c>
      <c r="N58" s="1730" t="s">
        <v>352</v>
      </c>
      <c r="O58" s="995"/>
      <c r="U58" s="114"/>
      <c r="BE58" s="85"/>
      <c r="BF58" s="85"/>
      <c r="BG58" s="85"/>
      <c r="BH58" s="85"/>
      <c r="BM58" s="1762" t="b">
        <f>AND(BO58&gt;=10,$BA$140&gt;=10,$BB$140&gt;=10,$BA$172&gt;=10,$BB$172&gt;=10,$BA$196&gt;=10,$BB$196&gt;=10,$BA$232&gt;=10,$BB$232&gt;=10)</f>
        <v>1</v>
      </c>
      <c r="BN58" s="84" t="str">
        <f>IF(BM58=TRUE,"O K","OVERLOAD")</f>
        <v>O K</v>
      </c>
      <c r="BO58" s="982">
        <f>+MIN(J7:L8)</f>
        <v>42.692890081500195</v>
      </c>
      <c r="BP58" s="741" t="s">
        <v>180</v>
      </c>
      <c r="BQ58" s="1809">
        <f>+((D4-D5)/D4)*C7</f>
        <v>109.21516883190391</v>
      </c>
      <c r="BR58" s="1810"/>
      <c r="BS58" s="783"/>
      <c r="BT58" s="783"/>
      <c r="BU58" s="783"/>
      <c r="BV58" s="784"/>
      <c r="BW58" s="784"/>
      <c r="BX58" s="784"/>
      <c r="BY58" s="886"/>
      <c r="BZ58" s="886"/>
      <c r="CA58" s="886"/>
      <c r="CB58" s="886"/>
      <c r="CC58" s="886"/>
      <c r="CD58" s="886"/>
      <c r="CE58" s="886"/>
      <c r="CF58" s="886"/>
      <c r="CG58" s="886"/>
      <c r="CH58" s="886"/>
      <c r="CI58" s="887"/>
      <c r="CJ58" s="783"/>
      <c r="CK58" s="783"/>
      <c r="CL58" s="783"/>
      <c r="CM58" s="784"/>
      <c r="CN58" s="784"/>
      <c r="CO58" s="1799">
        <f>+(D5/D4)*C7</f>
        <v>187.38483116809613</v>
      </c>
      <c r="CP58" s="1800"/>
      <c r="CQ58" s="1803"/>
      <c r="CR58" s="1803"/>
      <c r="CS58" s="1803"/>
      <c r="CT58" s="1803"/>
      <c r="CU58" s="1803"/>
      <c r="CV58" s="1803"/>
      <c r="CW58" s="1803"/>
      <c r="CX58" s="1803"/>
      <c r="CY58" s="1803"/>
      <c r="CZ58" s="1803"/>
      <c r="DA58" s="1804"/>
      <c r="DB58" s="78"/>
      <c r="DC58" s="78"/>
      <c r="DD58" s="78"/>
    </row>
    <row r="59" spans="2:144" ht="16" customHeight="1" thickBot="1" x14ac:dyDescent="0.3">
      <c r="G59" s="998"/>
      <c r="H59"/>
      <c r="I59"/>
      <c r="J59"/>
      <c r="K59"/>
      <c r="L59"/>
      <c r="M59"/>
      <c r="N59"/>
      <c r="O59" s="995"/>
      <c r="BE59" s="85"/>
      <c r="BF59" s="85"/>
      <c r="BG59" s="85"/>
      <c r="BH59" s="85"/>
      <c r="BN59" s="86"/>
      <c r="BO59" s="85"/>
      <c r="BP59" s="87"/>
      <c r="BQ59" s="88"/>
      <c r="BR59" s="88"/>
      <c r="BS59" s="87"/>
      <c r="BT59" s="87"/>
      <c r="BU59" s="87"/>
      <c r="BV59" s="87"/>
      <c r="BW59" s="87"/>
      <c r="BX59" s="87"/>
      <c r="BY59" s="87"/>
      <c r="BZ59" s="87"/>
      <c r="CA59" s="87"/>
      <c r="CB59" s="87"/>
      <c r="CC59" s="87"/>
      <c r="CD59" s="87"/>
      <c r="CE59" s="87"/>
      <c r="CF59" s="87"/>
      <c r="CG59" s="87"/>
      <c r="CH59" s="87"/>
      <c r="CJ59" s="76"/>
      <c r="CK59" s="76"/>
      <c r="CL59" s="88"/>
      <c r="CM59" s="89"/>
      <c r="CN59" s="89"/>
      <c r="CO59" s="89"/>
      <c r="CP59" s="89"/>
      <c r="CQ59" s="89"/>
      <c r="CR59" s="89"/>
      <c r="CS59" s="89"/>
      <c r="CT59" s="89"/>
      <c r="CU59" s="89"/>
      <c r="CV59" s="89"/>
      <c r="CW59" s="89"/>
      <c r="CX59" s="89"/>
      <c r="CY59" s="89"/>
      <c r="CZ59" s="89"/>
      <c r="DA59" s="89"/>
      <c r="DB59" s="89"/>
      <c r="DC59" s="78"/>
      <c r="DD59" s="78"/>
    </row>
    <row r="60" spans="2:144" ht="44.25" customHeight="1" thickBot="1" x14ac:dyDescent="0.3">
      <c r="F60" s="486"/>
      <c r="G60" s="998"/>
      <c r="H60"/>
      <c r="I60"/>
      <c r="J60"/>
      <c r="K60"/>
      <c r="L60"/>
      <c r="M60"/>
      <c r="N60"/>
      <c r="O60" s="995"/>
      <c r="BE60" s="85"/>
      <c r="BF60" s="85"/>
      <c r="BG60" s="85"/>
      <c r="BH60" s="85"/>
      <c r="BM60" s="81" t="b">
        <f>AND(CB61&gt;0,CZ61&gt;0)</f>
        <v>1</v>
      </c>
      <c r="BN60" s="952" t="str">
        <f>IF(BM60=TRUE,"","negative force at the motor")</f>
        <v/>
      </c>
      <c r="BO60" s="1088" t="s">
        <v>128</v>
      </c>
      <c r="BP60" s="742" t="s">
        <v>27</v>
      </c>
      <c r="BQ60" s="1833"/>
      <c r="BR60" s="1834"/>
      <c r="BS60" s="1834"/>
      <c r="BT60" s="1834"/>
      <c r="BU60" s="1834"/>
      <c r="BV60" s="1834"/>
      <c r="BW60" s="1834"/>
      <c r="BX60" s="1834"/>
      <c r="BY60" s="1834"/>
      <c r="BZ60" s="1834"/>
      <c r="CA60" s="1834"/>
      <c r="CB60" s="772" t="s">
        <v>28</v>
      </c>
      <c r="CC60" s="774"/>
      <c r="CD60" s="774"/>
      <c r="CE60" s="774"/>
      <c r="CF60" s="774"/>
      <c r="CG60" s="774"/>
      <c r="CH60" s="774"/>
      <c r="CI60" s="774"/>
      <c r="CJ60" s="774"/>
      <c r="CK60" s="774"/>
      <c r="CL60" s="774"/>
      <c r="CM60" s="774"/>
      <c r="CN60" s="888"/>
      <c r="CO60" s="765"/>
      <c r="CP60" s="765"/>
      <c r="CQ60" s="765"/>
      <c r="CR60" s="765"/>
      <c r="CS60" s="889"/>
      <c r="CT60" s="889"/>
      <c r="CU60" s="888"/>
      <c r="CV60" s="888"/>
      <c r="CW60" s="888"/>
      <c r="CX60" s="888"/>
      <c r="CY60" s="888"/>
      <c r="CZ60" s="765"/>
      <c r="DA60" s="766" t="s">
        <v>29</v>
      </c>
      <c r="DB60" s="90"/>
      <c r="DC60" s="78"/>
      <c r="DD60" s="78"/>
    </row>
    <row r="61" spans="2:144" ht="45" customHeight="1" thickBot="1" x14ac:dyDescent="0.3">
      <c r="G61" s="998"/>
      <c r="H61"/>
      <c r="I61"/>
      <c r="J61"/>
      <c r="K61"/>
      <c r="L61"/>
      <c r="M61"/>
      <c r="N61"/>
      <c r="O61" s="995"/>
      <c r="BL61" s="968">
        <v>2</v>
      </c>
      <c r="BM61" s="1762" t="b">
        <f>AND(BO61&gt;=10,$BA$140&gt;=10,$BB$140&gt;=10,$BA$172&gt;=10,$BB$172&gt;=10,$BA$196&gt;=10,$BB$196&gt;=10,$BA$232&gt;=10,$BB$232&gt;=10)</f>
        <v>1</v>
      </c>
      <c r="BN61" s="84" t="str">
        <f>IF(BM61=TRUE,"O K","OVERLOAD")</f>
        <v>O K</v>
      </c>
      <c r="BO61" s="982">
        <f>+MIN(J13:L14)</f>
        <v>33.372383355833207</v>
      </c>
      <c r="BP61" s="743" t="s">
        <v>126</v>
      </c>
      <c r="BQ61" s="1835"/>
      <c r="BR61" s="1836"/>
      <c r="BS61" s="1836"/>
      <c r="BT61" s="1836"/>
      <c r="BU61" s="1836"/>
      <c r="BV61" s="1836"/>
      <c r="BW61" s="1836"/>
      <c r="BX61" s="1836"/>
      <c r="BY61" s="1836"/>
      <c r="BZ61" s="1836"/>
      <c r="CA61" s="1836"/>
      <c r="CB61" s="1840">
        <f>+((D4-D3)/D4)*C7</f>
        <v>239.71916883190391</v>
      </c>
      <c r="CC61" s="1841"/>
      <c r="CD61" s="890"/>
      <c r="CE61" s="890"/>
      <c r="CF61" s="890"/>
      <c r="CG61" s="890"/>
      <c r="CH61" s="890"/>
      <c r="CI61" s="890"/>
      <c r="CJ61" s="890"/>
      <c r="CK61" s="890"/>
      <c r="CL61" s="890"/>
      <c r="CM61" s="890"/>
      <c r="CN61" s="891"/>
      <c r="CO61" s="892"/>
      <c r="CP61" s="892"/>
      <c r="CQ61" s="892"/>
      <c r="CR61" s="892"/>
      <c r="CS61" s="893"/>
      <c r="CT61" s="893"/>
      <c r="CU61" s="883"/>
      <c r="CV61" s="883"/>
      <c r="CW61" s="883"/>
      <c r="CX61" s="883"/>
      <c r="CY61" s="883"/>
      <c r="CZ61" s="1797">
        <f>+(D3/D4)*C7</f>
        <v>56.880831168096101</v>
      </c>
      <c r="DA61" s="1798"/>
      <c r="DB61" s="92"/>
      <c r="DC61" s="78"/>
      <c r="DD61" s="78"/>
    </row>
    <row r="62" spans="2:144" ht="16" customHeight="1" thickBot="1" x14ac:dyDescent="0.3">
      <c r="G62" s="998"/>
      <c r="H62"/>
      <c r="I62"/>
      <c r="J62"/>
      <c r="K62"/>
      <c r="L62"/>
      <c r="M62"/>
      <c r="N62"/>
      <c r="O62" s="995"/>
      <c r="BN62" s="86"/>
      <c r="BO62" s="18"/>
      <c r="BP62" s="93"/>
      <c r="BQ62" s="93"/>
      <c r="BR62" s="93"/>
      <c r="BS62" s="93"/>
      <c r="BT62" s="93"/>
      <c r="BU62" s="93"/>
      <c r="BV62" s="93"/>
      <c r="BW62" s="93"/>
      <c r="BX62" s="93"/>
      <c r="BY62" s="94"/>
      <c r="BZ62" s="94"/>
      <c r="CA62" s="89"/>
      <c r="CB62" s="89"/>
      <c r="CC62" s="89"/>
      <c r="CD62" s="89"/>
      <c r="CE62" s="89"/>
      <c r="CF62" s="89"/>
      <c r="CG62" s="89"/>
      <c r="CH62" s="89"/>
      <c r="CI62" s="89"/>
      <c r="CJ62" s="89"/>
      <c r="CK62" s="89"/>
      <c r="CL62" s="89"/>
      <c r="CM62" s="89"/>
      <c r="CN62" s="37"/>
      <c r="CO62" s="95"/>
      <c r="CP62" s="95"/>
      <c r="CQ62" s="95"/>
      <c r="CR62" s="95"/>
      <c r="CS62" s="92"/>
      <c r="CT62" s="92"/>
      <c r="CU62" s="92"/>
      <c r="CV62" s="92"/>
      <c r="CW62" s="92"/>
      <c r="CX62" s="92"/>
      <c r="CY62" s="92"/>
      <c r="CZ62" s="92"/>
      <c r="DA62" s="92"/>
      <c r="DB62" s="92"/>
      <c r="DC62" s="78"/>
      <c r="DD62" s="78"/>
    </row>
    <row r="63" spans="2:144" ht="44.25" customHeight="1" thickBot="1" x14ac:dyDescent="0.25">
      <c r="E63" s="397"/>
      <c r="F63" s="397"/>
      <c r="G63" s="998"/>
      <c r="H63"/>
      <c r="I63"/>
      <c r="J63"/>
      <c r="K63"/>
      <c r="L63"/>
      <c r="M63"/>
      <c r="N63"/>
      <c r="O63" s="995"/>
      <c r="BM63" s="81" t="b">
        <f>AND(CB64&gt;0,CQ64&gt;0)</f>
        <v>1</v>
      </c>
      <c r="BN63" s="952" t="str">
        <f>IF(BM63=TRUE,"","negative force at the motor")</f>
        <v/>
      </c>
      <c r="BO63" s="1088" t="s">
        <v>128</v>
      </c>
      <c r="BP63" s="744" t="s">
        <v>27</v>
      </c>
      <c r="BQ63" s="1822"/>
      <c r="BR63" s="1823"/>
      <c r="BS63" s="1823"/>
      <c r="BT63" s="1823"/>
      <c r="BU63" s="1823"/>
      <c r="BV63" s="1823"/>
      <c r="BW63" s="1823"/>
      <c r="BX63" s="1823"/>
      <c r="BY63" s="1823"/>
      <c r="BZ63" s="1823"/>
      <c r="CA63" s="1823"/>
      <c r="CB63" s="894" t="s">
        <v>28</v>
      </c>
      <c r="CC63" s="895"/>
      <c r="CD63" s="895"/>
      <c r="CE63" s="895"/>
      <c r="CF63" s="895"/>
      <c r="CG63" s="895"/>
      <c r="CH63" s="895"/>
      <c r="CI63" s="896"/>
      <c r="CJ63" s="895"/>
      <c r="CK63" s="897"/>
      <c r="CL63" s="897"/>
      <c r="CM63" s="895"/>
      <c r="CN63" s="895"/>
      <c r="CO63" s="895"/>
      <c r="CP63" s="895"/>
      <c r="CQ63" s="895"/>
      <c r="CR63" s="898" t="s">
        <v>29</v>
      </c>
      <c r="CS63" s="1801"/>
      <c r="CT63" s="1801"/>
      <c r="CU63" s="1801"/>
      <c r="CV63" s="1801"/>
      <c r="CW63" s="1801"/>
      <c r="CX63" s="1801"/>
      <c r="CY63" s="1801"/>
      <c r="CZ63" s="1801"/>
      <c r="DA63" s="1802"/>
      <c r="DB63" s="89"/>
      <c r="DC63" s="78"/>
      <c r="DD63" s="78"/>
    </row>
    <row r="64" spans="2:144" ht="45" customHeight="1" thickBot="1" x14ac:dyDescent="0.3">
      <c r="E64" s="397"/>
      <c r="F64" s="397"/>
      <c r="G64" s="998"/>
      <c r="H64"/>
      <c r="I64"/>
      <c r="J64"/>
      <c r="K64"/>
      <c r="L64"/>
      <c r="M64"/>
      <c r="N64"/>
      <c r="O64" s="995"/>
      <c r="BL64" s="968">
        <v>3</v>
      </c>
      <c r="BM64" s="1762" t="b">
        <f>AND(BO64&gt;=10,$BA$140&gt;=10,$BB$140&gt;=10,$BA$172&gt;=10,$BB$172&gt;=10,$BA$196&gt;=10,$BB$196&gt;=10,$BA$232&gt;=10,$BB$232&gt;=10)</f>
        <v>1</v>
      </c>
      <c r="BN64" s="84" t="str">
        <f>IF(BM64=TRUE,"O K","OVERLOAD")</f>
        <v>O K</v>
      </c>
      <c r="BO64" s="983">
        <f>+$E$24/(MAX(CB64,CQ64))</f>
        <v>38.512697154630288</v>
      </c>
      <c r="BP64" s="745" t="s">
        <v>123</v>
      </c>
      <c r="BQ64" s="1824"/>
      <c r="BR64" s="1825"/>
      <c r="BS64" s="1825"/>
      <c r="BT64" s="1825"/>
      <c r="BU64" s="1825"/>
      <c r="BV64" s="1825"/>
      <c r="BW64" s="1825"/>
      <c r="BX64" s="1825"/>
      <c r="BY64" s="1825"/>
      <c r="BZ64" s="1825"/>
      <c r="CA64" s="1825"/>
      <c r="CB64" s="1807">
        <f>+((D2-D3)/D2)*C7</f>
        <v>207.72370129984986</v>
      </c>
      <c r="CC64" s="1808"/>
      <c r="CD64" s="899"/>
      <c r="CE64" s="899"/>
      <c r="CF64" s="899"/>
      <c r="CG64" s="899"/>
      <c r="CH64" s="899"/>
      <c r="CI64" s="900"/>
      <c r="CJ64" s="899"/>
      <c r="CK64" s="901"/>
      <c r="CL64" s="901"/>
      <c r="CM64" s="902"/>
      <c r="CN64" s="902"/>
      <c r="CO64" s="902"/>
      <c r="CP64" s="902"/>
      <c r="CQ64" s="1795">
        <f>+(D3/D2)*C7</f>
        <v>88.876298700150159</v>
      </c>
      <c r="CR64" s="1796"/>
      <c r="CS64" s="1803"/>
      <c r="CT64" s="1803"/>
      <c r="CU64" s="1803"/>
      <c r="CV64" s="1803"/>
      <c r="CW64" s="1803"/>
      <c r="CX64" s="1803"/>
      <c r="CY64" s="1803"/>
      <c r="CZ64" s="1803"/>
      <c r="DA64" s="1804"/>
      <c r="DB64" s="89"/>
      <c r="DC64" s="78"/>
      <c r="DD64" s="78"/>
    </row>
    <row r="65" spans="2:144" ht="16" hidden="1" customHeight="1" x14ac:dyDescent="0.25">
      <c r="E65" s="397"/>
      <c r="F65" s="397"/>
      <c r="G65" s="998"/>
      <c r="H65"/>
      <c r="I65"/>
      <c r="J65"/>
      <c r="K65"/>
      <c r="L65"/>
      <c r="M65"/>
      <c r="N65"/>
      <c r="O65" s="995"/>
      <c r="BN65" s="86"/>
      <c r="BO65" s="18"/>
      <c r="BP65" s="93"/>
      <c r="BQ65" s="93"/>
      <c r="BR65" s="93"/>
      <c r="BS65" s="93"/>
      <c r="BT65" s="93"/>
      <c r="BU65" s="93"/>
      <c r="BV65" s="93"/>
      <c r="BW65" s="93"/>
      <c r="BX65" s="93"/>
      <c r="BY65" s="94"/>
      <c r="BZ65" s="94"/>
      <c r="CA65" s="89"/>
      <c r="CB65" s="89"/>
      <c r="CC65" s="89"/>
      <c r="CD65" s="89"/>
      <c r="CE65" s="89"/>
      <c r="CF65" s="89"/>
      <c r="CG65" s="89"/>
      <c r="CH65" s="89"/>
      <c r="CI65" s="89"/>
      <c r="CJ65" s="89"/>
      <c r="CK65" s="93"/>
      <c r="CL65" s="89"/>
      <c r="CM65" s="89"/>
      <c r="CN65" s="37"/>
      <c r="CO65" s="95"/>
      <c r="CP65" s="95"/>
      <c r="CQ65" s="95"/>
      <c r="CR65" s="95"/>
      <c r="CS65" s="92"/>
      <c r="CT65" s="92"/>
      <c r="CU65" s="92"/>
      <c r="CV65" s="92"/>
      <c r="CW65" s="92"/>
      <c r="CX65" s="92"/>
      <c r="CY65" s="92"/>
      <c r="CZ65" s="92"/>
      <c r="DA65" s="92"/>
      <c r="DB65" s="92"/>
      <c r="DC65" s="78"/>
      <c r="DD65" s="78"/>
    </row>
    <row r="66" spans="2:144" ht="16" hidden="1" customHeight="1" x14ac:dyDescent="0.2">
      <c r="B66" s="399"/>
      <c r="C66" s="399"/>
      <c r="D66" s="397"/>
      <c r="E66" s="397"/>
      <c r="F66" s="397"/>
      <c r="G66" s="998"/>
      <c r="H66"/>
      <c r="I66"/>
      <c r="J66"/>
      <c r="K66"/>
      <c r="L66"/>
      <c r="M66"/>
      <c r="N66"/>
      <c r="O66" s="995"/>
      <c r="U66" s="114"/>
      <c r="AB66" s="114"/>
      <c r="AC66" s="114"/>
      <c r="AD66" s="114"/>
      <c r="AE66" s="114"/>
      <c r="BE66" s="136"/>
      <c r="BF66" s="136"/>
      <c r="BG66" s="136"/>
      <c r="BH66" s="136"/>
      <c r="BN66" s="86"/>
    </row>
    <row r="67" spans="2:144" hidden="1" x14ac:dyDescent="0.2">
      <c r="B67" s="399"/>
      <c r="C67" s="399"/>
      <c r="D67" s="397"/>
      <c r="E67" s="397"/>
      <c r="F67" s="397"/>
      <c r="G67" s="998"/>
      <c r="H67"/>
      <c r="I67"/>
      <c r="J67"/>
      <c r="K67"/>
      <c r="L67"/>
      <c r="M67"/>
      <c r="N67"/>
      <c r="O67" s="995"/>
      <c r="U67" s="114"/>
      <c r="AB67" s="114"/>
      <c r="AC67" s="114"/>
      <c r="AD67" s="114"/>
      <c r="AE67" s="114"/>
      <c r="BE67" s="136"/>
      <c r="BF67" s="136"/>
      <c r="BG67" s="136"/>
      <c r="BH67" s="136"/>
      <c r="BN67" s="86"/>
    </row>
    <row r="68" spans="2:144" ht="23" hidden="1" x14ac:dyDescent="0.25">
      <c r="B68" s="399"/>
      <c r="C68" s="399"/>
      <c r="D68" s="397"/>
      <c r="E68" s="397"/>
      <c r="F68" s="397"/>
      <c r="G68" s="998"/>
      <c r="H68"/>
      <c r="I68"/>
      <c r="J68"/>
      <c r="K68"/>
      <c r="L68"/>
      <c r="M68"/>
      <c r="N68"/>
      <c r="O68" s="995"/>
      <c r="U68" s="114"/>
      <c r="AB68" s="114"/>
      <c r="AC68" s="114"/>
      <c r="AD68" s="114"/>
      <c r="AE68" s="114"/>
      <c r="BE68" s="136"/>
      <c r="BF68" s="136"/>
      <c r="BG68" s="136"/>
      <c r="BH68" s="136"/>
      <c r="BN68" s="86"/>
      <c r="BO68" s="17"/>
      <c r="BP68" s="177"/>
      <c r="BQ68" s="178"/>
      <c r="BR68" s="178"/>
      <c r="BS68" s="178"/>
      <c r="BT68" s="178"/>
      <c r="BU68" s="178"/>
      <c r="BV68" s="178"/>
      <c r="BW68" s="178"/>
      <c r="BX68" s="178"/>
      <c r="BY68" s="179"/>
      <c r="BZ68" s="179"/>
      <c r="CA68" s="180"/>
      <c r="CB68" s="180"/>
      <c r="CC68" s="180"/>
      <c r="CD68" s="180"/>
      <c r="CE68" s="180"/>
      <c r="CF68" s="180"/>
      <c r="CG68" s="180"/>
      <c r="CH68" s="180"/>
      <c r="CI68" s="37"/>
      <c r="CJ68" s="89"/>
      <c r="CK68" s="181"/>
      <c r="CL68" s="181"/>
      <c r="CM68" s="89"/>
      <c r="CN68" s="89"/>
      <c r="CO68" s="89"/>
      <c r="CP68" s="89"/>
      <c r="CQ68" s="89"/>
      <c r="CR68" s="89"/>
      <c r="CS68" s="89"/>
      <c r="CT68" s="89"/>
      <c r="CU68" s="89"/>
      <c r="CV68" s="89"/>
      <c r="CW68" s="178"/>
      <c r="CX68" s="178"/>
      <c r="CY68" s="178"/>
      <c r="CZ68" s="178"/>
      <c r="DA68" s="178"/>
      <c r="DB68" s="178"/>
      <c r="DC68" s="178"/>
      <c r="DD68" s="178"/>
    </row>
    <row r="69" spans="2:144" ht="24" hidden="1" thickBot="1" x14ac:dyDescent="0.3">
      <c r="B69" s="399"/>
      <c r="C69" s="399"/>
      <c r="D69" s="397"/>
      <c r="E69" s="397"/>
      <c r="F69" s="397"/>
      <c r="G69" s="998"/>
      <c r="H69"/>
      <c r="I69"/>
      <c r="J69"/>
      <c r="K69"/>
      <c r="L69"/>
      <c r="M69"/>
      <c r="N69"/>
      <c r="O69" s="995"/>
      <c r="U69" s="114"/>
      <c r="AB69" s="114"/>
      <c r="AC69" s="114"/>
      <c r="AD69" s="114"/>
      <c r="AE69" s="114"/>
      <c r="BE69" s="136"/>
      <c r="BF69" s="136"/>
      <c r="BG69" s="136"/>
      <c r="BH69" s="136"/>
      <c r="BN69" s="86"/>
      <c r="BO69" s="17"/>
      <c r="BP69" s="177"/>
      <c r="BQ69" s="178"/>
      <c r="BR69" s="178"/>
      <c r="BS69" s="178"/>
      <c r="BT69" s="178"/>
      <c r="BU69" s="178"/>
      <c r="BV69" s="178"/>
      <c r="BW69" s="178"/>
      <c r="BX69" s="178"/>
      <c r="BY69" s="179"/>
      <c r="BZ69" s="179"/>
      <c r="CA69" s="180"/>
      <c r="CB69" s="180"/>
      <c r="CC69" s="180"/>
      <c r="CD69" s="180"/>
      <c r="CE69" s="180"/>
      <c r="CF69" s="180"/>
      <c r="CG69" s="180"/>
      <c r="CH69" s="180"/>
      <c r="CI69" s="37"/>
      <c r="CJ69" s="89"/>
      <c r="CK69" s="181"/>
      <c r="CL69" s="181"/>
      <c r="CM69" s="89"/>
      <c r="CN69" s="89"/>
      <c r="CO69" s="89"/>
      <c r="CP69" s="89"/>
      <c r="CQ69" s="89"/>
      <c r="CR69" s="89"/>
      <c r="CS69" s="89"/>
      <c r="CT69" s="89"/>
      <c r="CU69" s="89"/>
      <c r="CV69" s="89"/>
      <c r="CW69" s="178"/>
      <c r="CX69" s="178"/>
      <c r="CY69" s="178"/>
      <c r="CZ69" s="178"/>
      <c r="DA69" s="178"/>
      <c r="DB69" s="178"/>
      <c r="DC69" s="178"/>
      <c r="DD69" s="178"/>
    </row>
    <row r="70" spans="2:144" ht="24" hidden="1" thickBot="1" x14ac:dyDescent="0.3">
      <c r="B70" s="399"/>
      <c r="C70" s="399"/>
      <c r="D70" s="397"/>
      <c r="E70" s="397"/>
      <c r="F70" s="397"/>
      <c r="G70" s="998"/>
      <c r="H70"/>
      <c r="I70"/>
      <c r="J70"/>
      <c r="K70"/>
      <c r="L70"/>
      <c r="M70"/>
      <c r="N70"/>
      <c r="O70" s="995"/>
      <c r="U70" s="114"/>
      <c r="AB70" s="114"/>
      <c r="AC70" s="114"/>
      <c r="AD70" s="114"/>
      <c r="AE70" s="114"/>
      <c r="BE70" s="136"/>
      <c r="BF70" s="136"/>
      <c r="BG70" s="136"/>
      <c r="BH70" s="136"/>
      <c r="BN70" s="86"/>
      <c r="BO70" s="17"/>
      <c r="BP70" s="177"/>
      <c r="BQ70" s="178"/>
      <c r="BR70" s="178"/>
      <c r="BS70" s="178"/>
      <c r="BT70" s="178"/>
      <c r="BU70" s="178"/>
      <c r="BV70" s="178"/>
      <c r="BW70" s="178"/>
      <c r="BX70" s="178"/>
      <c r="BY70" s="179"/>
      <c r="BZ70" s="179"/>
      <c r="CA70" s="182">
        <v>16</v>
      </c>
      <c r="CB70" s="180"/>
      <c r="CC70" s="180"/>
      <c r="CD70" s="180"/>
      <c r="CE70" s="180"/>
      <c r="CF70" s="180"/>
      <c r="CG70" s="180"/>
      <c r="CH70" s="180"/>
      <c r="CI70" s="37"/>
      <c r="CJ70" s="89"/>
      <c r="CK70" s="181"/>
      <c r="CL70" s="181"/>
      <c r="CM70" s="89"/>
      <c r="CN70" s="89"/>
      <c r="CO70" s="89"/>
      <c r="CP70" s="117" t="b">
        <f>IF(CQ88=27,15)</f>
        <v>0</v>
      </c>
      <c r="CQ70" s="183"/>
      <c r="CR70" s="103" t="b">
        <f>IF(CQ88=27,17)</f>
        <v>0</v>
      </c>
      <c r="CS70" s="89"/>
      <c r="CT70" s="89"/>
      <c r="CU70" s="89"/>
      <c r="CV70" s="89"/>
      <c r="CW70" s="178"/>
      <c r="CX70" s="178"/>
      <c r="CY70" s="178"/>
      <c r="CZ70" s="178"/>
      <c r="DA70" s="178"/>
      <c r="DB70" s="178"/>
      <c r="DC70" s="178"/>
      <c r="DD70" s="178"/>
      <c r="DG70" s="1814"/>
      <c r="DH70" s="1814"/>
      <c r="DI70" s="76"/>
      <c r="DJ70" s="76"/>
      <c r="DK70" s="77"/>
      <c r="DL70" s="78"/>
      <c r="DM70" s="78"/>
      <c r="DN70" s="78"/>
      <c r="DO70" s="78"/>
      <c r="DP70" s="78"/>
      <c r="DQ70" s="78"/>
      <c r="DR70" s="78"/>
      <c r="DS70" s="78"/>
      <c r="DT70" s="78"/>
      <c r="DU70" s="78"/>
      <c r="DV70" s="78"/>
      <c r="DW70" s="78"/>
      <c r="DX70" s="78"/>
      <c r="DY70" s="78"/>
      <c r="DZ70" s="78"/>
      <c r="EA70" s="78"/>
      <c r="EB70" s="78"/>
      <c r="EC70" s="78"/>
      <c r="ED70" s="78"/>
      <c r="EE70" s="78"/>
      <c r="EF70" s="78"/>
      <c r="EG70" s="78"/>
      <c r="EH70" s="78"/>
      <c r="EI70" s="78"/>
      <c r="EJ70" s="78"/>
      <c r="EK70" s="78"/>
      <c r="EL70" s="78"/>
      <c r="EM70" s="64"/>
      <c r="EN70" s="64"/>
    </row>
    <row r="71" spans="2:144" ht="24" hidden="1" thickBot="1" x14ac:dyDescent="0.3">
      <c r="B71" s="64"/>
      <c r="C71" s="399"/>
      <c r="E71" s="64"/>
      <c r="G71" s="998"/>
      <c r="H71"/>
      <c r="I71"/>
      <c r="J71"/>
      <c r="K71"/>
      <c r="L71"/>
      <c r="M71"/>
      <c r="N71"/>
      <c r="O71" s="995"/>
      <c r="U71" s="114"/>
      <c r="AB71" s="114"/>
      <c r="AC71" s="114"/>
      <c r="AD71" s="114"/>
      <c r="AE71" s="114"/>
      <c r="BE71" s="136"/>
      <c r="BF71" s="136"/>
      <c r="BG71" s="136"/>
      <c r="BH71" s="136"/>
      <c r="BN71" s="86"/>
      <c r="BO71" s="17"/>
      <c r="BP71" s="177"/>
      <c r="BQ71" s="178"/>
      <c r="BR71" s="178"/>
      <c r="BS71" s="178"/>
      <c r="BT71" s="178"/>
      <c r="BU71" s="178"/>
      <c r="BV71" s="178"/>
      <c r="BW71" s="178"/>
      <c r="BX71" s="178"/>
      <c r="BY71" s="179"/>
      <c r="BZ71" s="179"/>
      <c r="CA71" s="182">
        <v>15</v>
      </c>
      <c r="CB71" s="180"/>
      <c r="CC71" s="180"/>
      <c r="CD71" s="180"/>
      <c r="CE71" s="180"/>
      <c r="CF71" s="180"/>
      <c r="CG71" s="180"/>
      <c r="CH71" s="180"/>
      <c r="CI71" s="37"/>
      <c r="CJ71" s="89"/>
      <c r="CK71" s="181"/>
      <c r="CL71" s="181"/>
      <c r="CM71" s="89"/>
      <c r="CN71" s="117" t="b">
        <f>IF(CP88=26,13)</f>
        <v>0</v>
      </c>
      <c r="CO71" s="183"/>
      <c r="CP71" s="183"/>
      <c r="CQ71" s="183"/>
      <c r="CR71" s="103" t="b">
        <f>IF(CP88=26,17)</f>
        <v>0</v>
      </c>
      <c r="CS71" s="89"/>
      <c r="CT71" s="89"/>
      <c r="CU71" s="89"/>
      <c r="CV71" s="89"/>
      <c r="CW71" s="178"/>
      <c r="CX71" s="178"/>
      <c r="CY71" s="178"/>
      <c r="CZ71" s="178"/>
      <c r="DA71" s="178"/>
      <c r="DB71" s="178"/>
      <c r="DC71" s="178"/>
      <c r="DD71" s="178"/>
      <c r="EK71" s="78"/>
      <c r="EL71" s="78"/>
    </row>
    <row r="72" spans="2:144" ht="31" hidden="1" thickBot="1" x14ac:dyDescent="0.35">
      <c r="B72" s="67"/>
      <c r="C72" s="399"/>
      <c r="E72" s="68"/>
      <c r="G72" s="998"/>
      <c r="H72"/>
      <c r="I72"/>
      <c r="J72"/>
      <c r="K72"/>
      <c r="L72"/>
      <c r="M72"/>
      <c r="N72"/>
      <c r="O72" s="995"/>
      <c r="U72" s="114"/>
      <c r="AB72" s="114"/>
      <c r="AC72" s="114"/>
      <c r="AD72" s="114"/>
      <c r="AE72" s="114"/>
      <c r="BE72" s="136"/>
      <c r="BF72" s="136"/>
      <c r="BG72" s="136"/>
      <c r="BH72" s="136"/>
      <c r="BN72" s="86"/>
      <c r="BO72" s="17"/>
      <c r="BP72" s="177"/>
      <c r="BQ72" s="178"/>
      <c r="BR72" s="178"/>
      <c r="BS72" s="178"/>
      <c r="BT72" s="178"/>
      <c r="BU72" s="178"/>
      <c r="BV72" s="178"/>
      <c r="BW72" s="178"/>
      <c r="BX72" s="178"/>
      <c r="BY72" s="179"/>
      <c r="BZ72" s="179"/>
      <c r="CA72" s="182">
        <v>14</v>
      </c>
      <c r="CB72" s="180"/>
      <c r="CC72" s="180"/>
      <c r="CD72" s="180"/>
      <c r="CE72" s="180"/>
      <c r="CF72" s="180"/>
      <c r="CG72" s="180"/>
      <c r="CH72" s="180"/>
      <c r="CI72" s="37"/>
      <c r="CJ72" s="89"/>
      <c r="CK72" s="181"/>
      <c r="CL72" s="117" t="b">
        <f>IF(CO88=25,11)</f>
        <v>0</v>
      </c>
      <c r="CM72" s="183"/>
      <c r="CN72" s="184"/>
      <c r="CO72" s="184"/>
      <c r="CP72" s="184"/>
      <c r="CQ72" s="184"/>
      <c r="CR72" s="124" t="b">
        <f>IF(CO88=25,17)</f>
        <v>0</v>
      </c>
      <c r="CS72" s="89"/>
      <c r="CT72" s="89"/>
      <c r="CU72" s="89"/>
      <c r="CV72" s="89"/>
      <c r="CW72" s="178"/>
      <c r="CX72" s="178"/>
      <c r="CY72" s="178"/>
      <c r="CZ72" s="178"/>
      <c r="DA72" s="178"/>
      <c r="DB72" s="178"/>
      <c r="DC72" s="178"/>
      <c r="DD72" s="178"/>
      <c r="EK72" s="78"/>
      <c r="EL72" s="78"/>
    </row>
    <row r="73" spans="2:144" ht="21" hidden="1" thickBot="1" x14ac:dyDescent="0.25">
      <c r="B73" s="487"/>
      <c r="C73" s="487"/>
      <c r="D73" s="487"/>
      <c r="E73" s="487"/>
      <c r="G73" s="998"/>
      <c r="H73"/>
      <c r="I73"/>
      <c r="J73"/>
      <c r="K73"/>
      <c r="L73"/>
      <c r="M73"/>
      <c r="N73"/>
      <c r="O73" s="995"/>
      <c r="U73" s="114"/>
      <c r="AB73" s="114"/>
      <c r="AC73" s="114"/>
      <c r="AD73" s="114"/>
      <c r="AE73" s="114"/>
      <c r="BE73" s="136"/>
      <c r="BF73" s="136"/>
      <c r="BG73" s="136"/>
      <c r="BH73" s="136"/>
      <c r="BN73" s="86"/>
      <c r="BO73" s="1091"/>
      <c r="BP73" s="177"/>
      <c r="BQ73" s="178"/>
      <c r="BR73" s="178"/>
      <c r="BS73" s="178"/>
      <c r="BT73" s="178"/>
      <c r="BU73" s="178"/>
      <c r="BV73" s="178"/>
      <c r="BW73" s="178"/>
      <c r="BX73" s="178"/>
      <c r="CA73" s="182">
        <v>13</v>
      </c>
      <c r="CB73" s="178"/>
      <c r="CC73" s="177"/>
      <c r="CD73" s="177"/>
      <c r="CE73" s="177"/>
      <c r="CF73" s="177"/>
      <c r="CG73" s="177"/>
      <c r="CH73" s="177"/>
      <c r="CI73" s="177"/>
      <c r="CJ73" s="117" t="b">
        <f>IF(CN88=24,9)</f>
        <v>0</v>
      </c>
      <c r="CK73" s="185"/>
      <c r="CL73" s="186"/>
      <c r="CM73" s="122"/>
      <c r="CN73" s="186"/>
      <c r="CO73" s="122"/>
      <c r="CP73" s="122"/>
      <c r="CQ73" s="121"/>
      <c r="CR73" s="124" t="b">
        <f>IF(CN88=24,17)</f>
        <v>0</v>
      </c>
      <c r="CS73" s="78"/>
      <c r="CT73" s="78"/>
      <c r="CU73" s="78"/>
      <c r="CV73" s="78"/>
      <c r="CW73" s="78"/>
      <c r="CX73" s="78"/>
      <c r="CY73" s="78"/>
      <c r="CZ73" s="78"/>
      <c r="DA73" s="78"/>
      <c r="DB73" s="78"/>
      <c r="DC73" s="78"/>
      <c r="DD73" s="78"/>
      <c r="EK73" s="78"/>
      <c r="EL73" s="78"/>
    </row>
    <row r="74" spans="2:144" ht="21" hidden="1" thickBot="1" x14ac:dyDescent="0.25">
      <c r="B74" s="488"/>
      <c r="C74" s="489"/>
      <c r="D74" s="488"/>
      <c r="E74" s="488"/>
      <c r="G74" s="998"/>
      <c r="H74"/>
      <c r="I74"/>
      <c r="J74"/>
      <c r="K74"/>
      <c r="L74"/>
      <c r="M74"/>
      <c r="N74"/>
      <c r="O74" s="995"/>
      <c r="U74" s="114"/>
      <c r="AB74" s="114"/>
      <c r="AC74" s="114"/>
      <c r="AD74" s="114"/>
      <c r="AE74" s="114"/>
      <c r="BE74" s="136"/>
      <c r="BF74" s="136"/>
      <c r="BG74" s="136"/>
      <c r="BH74" s="136"/>
      <c r="BN74" s="86"/>
      <c r="BO74" s="1091"/>
      <c r="BP74" s="177"/>
      <c r="BQ74" s="177"/>
      <c r="BR74" s="178"/>
      <c r="BS74" s="177"/>
      <c r="BT74" s="177"/>
      <c r="BU74" s="177"/>
      <c r="CA74" s="182">
        <v>12</v>
      </c>
      <c r="CB74" s="178"/>
      <c r="CC74" s="177"/>
      <c r="CD74" s="177"/>
      <c r="CE74" s="177"/>
      <c r="CF74" s="177"/>
      <c r="CG74" s="177"/>
      <c r="CH74" s="117" t="b">
        <f>IF(CM88=23,7)</f>
        <v>0</v>
      </c>
      <c r="CI74" s="185"/>
      <c r="CJ74" s="185"/>
      <c r="CK74" s="118"/>
      <c r="CL74" s="185"/>
      <c r="CM74" s="185"/>
      <c r="CN74" s="185"/>
      <c r="CO74" s="118"/>
      <c r="CP74" s="118"/>
      <c r="CQ74" s="111"/>
      <c r="CR74" s="103" t="b">
        <f>IF(CM88=23,17)</f>
        <v>0</v>
      </c>
      <c r="CS74" s="78"/>
      <c r="CT74" s="78"/>
      <c r="CU74" s="78"/>
      <c r="CV74" s="78"/>
      <c r="CW74" s="78"/>
      <c r="CX74" s="78"/>
      <c r="CY74" s="78"/>
      <c r="CZ74" s="78"/>
      <c r="DA74" s="78"/>
      <c r="DB74" s="78"/>
      <c r="DC74" s="78"/>
      <c r="DD74" s="78"/>
      <c r="EK74" s="78"/>
      <c r="EL74" s="78"/>
    </row>
    <row r="75" spans="2:144" ht="21" hidden="1" thickBot="1" x14ac:dyDescent="0.25">
      <c r="B75" s="399"/>
      <c r="C75" s="399"/>
      <c r="G75" s="998"/>
      <c r="H75"/>
      <c r="I75"/>
      <c r="J75"/>
      <c r="K75"/>
      <c r="L75"/>
      <c r="M75"/>
      <c r="N75"/>
      <c r="O75" s="995"/>
      <c r="U75" s="114"/>
      <c r="AB75" s="114"/>
      <c r="AC75" s="114"/>
      <c r="AD75" s="114"/>
      <c r="AE75" s="114"/>
      <c r="BE75" s="136"/>
      <c r="BF75" s="136"/>
      <c r="BG75" s="136"/>
      <c r="BH75" s="136"/>
      <c r="BN75" s="86"/>
      <c r="BO75" s="1091"/>
      <c r="BP75" s="177"/>
      <c r="BQ75" s="177"/>
      <c r="BR75" s="178"/>
      <c r="BS75" s="177"/>
      <c r="BT75" s="177"/>
      <c r="BU75" s="177"/>
      <c r="CA75" s="182">
        <v>11</v>
      </c>
      <c r="CB75" s="178"/>
      <c r="CC75" s="177"/>
      <c r="CD75" s="177"/>
      <c r="CE75" s="177"/>
      <c r="CF75" s="117" t="b">
        <f>IF(CL88=22,5)</f>
        <v>0</v>
      </c>
      <c r="CG75" s="185"/>
      <c r="CH75" s="185"/>
      <c r="CI75" s="118"/>
      <c r="CJ75" s="185"/>
      <c r="CK75" s="118"/>
      <c r="CL75" s="185"/>
      <c r="CM75" s="118"/>
      <c r="CN75" s="185"/>
      <c r="CO75" s="118"/>
      <c r="CP75" s="118"/>
      <c r="CQ75" s="111"/>
      <c r="CR75" s="103" t="b">
        <f>IF(CL88=22,17)</f>
        <v>0</v>
      </c>
      <c r="CS75" s="78"/>
      <c r="CT75" s="78"/>
      <c r="CU75" s="78"/>
      <c r="CV75" s="78"/>
      <c r="CW75" s="78"/>
      <c r="CX75" s="78"/>
      <c r="CY75" s="78"/>
      <c r="CZ75" s="78"/>
      <c r="DA75" s="78"/>
      <c r="DB75" s="78"/>
      <c r="DC75" s="78"/>
      <c r="DD75" s="78"/>
      <c r="DG75" s="107"/>
      <c r="DH75" s="107"/>
      <c r="DI75" s="107"/>
      <c r="DJ75" s="107"/>
      <c r="DK75" s="107"/>
      <c r="DL75" s="108"/>
      <c r="DM75" s="107"/>
      <c r="DN75" s="107"/>
      <c r="DO75" s="107"/>
      <c r="DP75" s="107"/>
      <c r="DQ75" s="107"/>
      <c r="DR75" s="107"/>
      <c r="DS75" s="107"/>
      <c r="DT75" s="107"/>
      <c r="DU75" s="107"/>
      <c r="DV75" s="107"/>
      <c r="DW75" s="107"/>
      <c r="DX75" s="107"/>
      <c r="DY75" s="107"/>
      <c r="DZ75" s="107"/>
      <c r="EA75" s="107"/>
      <c r="EB75" s="107"/>
      <c r="EC75" s="107"/>
      <c r="ED75" s="108"/>
      <c r="EE75" s="78"/>
      <c r="EF75" s="78"/>
      <c r="EG75" s="78"/>
      <c r="EH75" s="78"/>
      <c r="EI75" s="78"/>
      <c r="EJ75" s="78"/>
      <c r="EK75" s="78"/>
      <c r="EL75" s="78"/>
    </row>
    <row r="76" spans="2:144" ht="21" hidden="1" thickBot="1" x14ac:dyDescent="0.25">
      <c r="B76" s="490"/>
      <c r="C76" s="399"/>
      <c r="D76" s="491"/>
      <c r="E76" s="492"/>
      <c r="F76" s="397"/>
      <c r="G76" s="998"/>
      <c r="H76"/>
      <c r="I76"/>
      <c r="J76"/>
      <c r="K76"/>
      <c r="L76"/>
      <c r="M76"/>
      <c r="N76"/>
      <c r="O76" s="995"/>
      <c r="U76" s="114"/>
      <c r="AB76" s="114"/>
      <c r="AC76" s="114"/>
      <c r="AD76" s="114"/>
      <c r="AE76" s="114"/>
      <c r="BE76" s="136"/>
      <c r="BF76" s="136"/>
      <c r="BG76" s="136"/>
      <c r="BH76" s="136"/>
      <c r="BN76" s="86"/>
      <c r="BO76" s="1091"/>
      <c r="BP76" s="177"/>
      <c r="BQ76" s="177"/>
      <c r="BR76" s="178"/>
      <c r="BS76" s="177"/>
      <c r="BT76" s="177"/>
      <c r="BU76" s="177"/>
      <c r="CA76" s="182">
        <v>10</v>
      </c>
      <c r="CB76" s="178"/>
      <c r="CC76" s="177"/>
      <c r="CD76" s="117" t="b">
        <f>IF(CK88=21,3)</f>
        <v>0</v>
      </c>
      <c r="CE76" s="185"/>
      <c r="CF76" s="185"/>
      <c r="CG76" s="118"/>
      <c r="CH76" s="118"/>
      <c r="CI76" s="118"/>
      <c r="CJ76" s="185"/>
      <c r="CK76" s="185"/>
      <c r="CL76" s="185"/>
      <c r="CM76" s="118"/>
      <c r="CN76" s="185"/>
      <c r="CO76" s="118"/>
      <c r="CP76" s="118"/>
      <c r="CQ76" s="111"/>
      <c r="CR76" s="103" t="b">
        <f>IF(CK88=21,17)</f>
        <v>0</v>
      </c>
      <c r="CS76" s="78"/>
      <c r="CT76" s="78"/>
      <c r="CU76" s="78"/>
      <c r="CV76" s="78"/>
      <c r="CW76" s="78"/>
      <c r="CX76" s="78"/>
      <c r="CY76" s="78"/>
      <c r="CZ76" s="78"/>
      <c r="DA76" s="78"/>
      <c r="DB76" s="78"/>
      <c r="DC76" s="78"/>
      <c r="DD76" s="78"/>
      <c r="DG76" s="107"/>
      <c r="DH76" s="107"/>
      <c r="DI76" s="107"/>
      <c r="DJ76" s="107"/>
      <c r="DK76" s="107"/>
      <c r="DL76" s="108"/>
      <c r="DM76" s="107"/>
      <c r="DN76" s="107"/>
      <c r="DO76" s="107"/>
      <c r="DP76" s="107"/>
      <c r="DQ76" s="107"/>
      <c r="DR76" s="107"/>
      <c r="DS76" s="107"/>
      <c r="DT76" s="107"/>
      <c r="DU76" s="107"/>
      <c r="DV76" s="107"/>
      <c r="DW76" s="107"/>
      <c r="DX76" s="107"/>
      <c r="DY76" s="107"/>
      <c r="DZ76" s="107"/>
      <c r="EA76" s="107"/>
      <c r="EB76" s="107"/>
      <c r="EC76" s="107"/>
      <c r="ED76" s="108"/>
      <c r="EE76" s="78"/>
      <c r="EF76" s="78"/>
      <c r="EG76" s="78"/>
      <c r="EH76" s="78"/>
      <c r="EI76" s="78"/>
      <c r="EJ76" s="78"/>
      <c r="EK76" s="78"/>
      <c r="EL76" s="78"/>
    </row>
    <row r="77" spans="2:144" ht="21" hidden="1" thickBot="1" x14ac:dyDescent="0.25">
      <c r="B77" s="488"/>
      <c r="C77" s="399"/>
      <c r="D77" s="488"/>
      <c r="E77" s="20"/>
      <c r="F77" s="397"/>
      <c r="G77" s="998"/>
      <c r="H77"/>
      <c r="I77"/>
      <c r="J77"/>
      <c r="K77"/>
      <c r="L77"/>
      <c r="M77"/>
      <c r="N77"/>
      <c r="O77" s="995"/>
      <c r="U77" s="114"/>
      <c r="AB77" s="114"/>
      <c r="AC77" s="114"/>
      <c r="AD77" s="114"/>
      <c r="AE77" s="114"/>
      <c r="BE77" s="136"/>
      <c r="BF77" s="136"/>
      <c r="BG77" s="136"/>
      <c r="BH77" s="136"/>
      <c r="BN77" s="86"/>
      <c r="BO77" s="1091"/>
      <c r="BP77" s="177"/>
      <c r="BQ77" s="177"/>
      <c r="BR77" s="178"/>
      <c r="BS77" s="177"/>
      <c r="BT77" s="177"/>
      <c r="BU77" s="177"/>
      <c r="CA77" s="182">
        <v>9</v>
      </c>
      <c r="CB77" s="117" t="b">
        <f>IF(CJ88=20,1)</f>
        <v>0</v>
      </c>
      <c r="CC77" s="185"/>
      <c r="CD77" s="185"/>
      <c r="CE77" s="118"/>
      <c r="CF77" s="185"/>
      <c r="CG77" s="185"/>
      <c r="CH77" s="185"/>
      <c r="CI77" s="185"/>
      <c r="CJ77" s="185"/>
      <c r="CK77" s="185"/>
      <c r="CL77" s="185"/>
      <c r="CM77" s="185"/>
      <c r="CN77" s="185"/>
      <c r="CO77" s="118"/>
      <c r="CP77" s="118"/>
      <c r="CQ77" s="111"/>
      <c r="CR77" s="103" t="b">
        <f>IF(CJ88=20,17)</f>
        <v>0</v>
      </c>
      <c r="CS77" s="78"/>
      <c r="CT77" s="78"/>
      <c r="CU77" s="78"/>
      <c r="CV77" s="78"/>
      <c r="CW77" s="78"/>
      <c r="CX77" s="78"/>
      <c r="CY77" s="78"/>
      <c r="CZ77" s="78"/>
      <c r="DA77" s="78"/>
      <c r="DB77" s="78"/>
      <c r="DC77" s="78"/>
      <c r="DD77" s="78"/>
      <c r="EK77" s="78"/>
      <c r="EL77" s="78"/>
    </row>
    <row r="78" spans="2:144" ht="21" hidden="1" thickBot="1" x14ac:dyDescent="0.25">
      <c r="B78" s="399"/>
      <c r="C78" s="399"/>
      <c r="F78" s="397"/>
      <c r="G78" s="998"/>
      <c r="H78"/>
      <c r="I78"/>
      <c r="J78"/>
      <c r="K78"/>
      <c r="L78"/>
      <c r="M78"/>
      <c r="N78"/>
      <c r="O78" s="995"/>
      <c r="U78" s="114"/>
      <c r="AB78" s="114"/>
      <c r="AC78" s="114"/>
      <c r="AD78" s="114"/>
      <c r="AE78" s="114"/>
      <c r="BE78" s="136"/>
      <c r="BF78" s="136"/>
      <c r="BG78" s="136"/>
      <c r="BH78" s="136"/>
      <c r="BN78" s="86"/>
      <c r="BO78" s="1091"/>
      <c r="BP78" s="177"/>
      <c r="BQ78" s="177"/>
      <c r="BR78" s="178"/>
      <c r="BS78" s="177"/>
      <c r="BT78" s="177"/>
      <c r="BU78" s="177"/>
      <c r="CA78" s="182">
        <v>8</v>
      </c>
      <c r="CB78" s="120" t="b">
        <f>IF(CI88=19,1)</f>
        <v>0</v>
      </c>
      <c r="CC78" s="122"/>
      <c r="CD78" s="186"/>
      <c r="CE78" s="186"/>
      <c r="CF78" s="186"/>
      <c r="CG78" s="186"/>
      <c r="CH78" s="186"/>
      <c r="CI78" s="186"/>
      <c r="CJ78" s="186"/>
      <c r="CK78" s="186"/>
      <c r="CL78" s="186"/>
      <c r="CM78" s="186"/>
      <c r="CN78" s="186"/>
      <c r="CO78" s="122"/>
      <c r="CP78" s="124" t="b">
        <f>IF(CI88=19,15)</f>
        <v>0</v>
      </c>
      <c r="CQ78" s="78"/>
      <c r="CR78" s="78"/>
      <c r="CS78" s="78"/>
      <c r="CT78" s="78"/>
      <c r="CU78" s="78"/>
      <c r="CV78" s="78"/>
      <c r="CW78" s="78"/>
      <c r="CX78" s="78"/>
      <c r="CY78" s="78"/>
      <c r="CZ78" s="78"/>
      <c r="DA78" s="78"/>
      <c r="DB78" s="78"/>
      <c r="DC78" s="78"/>
      <c r="DD78" s="78"/>
      <c r="EK78" s="78"/>
      <c r="EL78" s="78"/>
    </row>
    <row r="79" spans="2:144" ht="21" hidden="1" thickBot="1" x14ac:dyDescent="0.25">
      <c r="B79" s="399"/>
      <c r="C79" s="399"/>
      <c r="G79" s="998"/>
      <c r="H79"/>
      <c r="I79"/>
      <c r="J79"/>
      <c r="K79"/>
      <c r="L79"/>
      <c r="M79"/>
      <c r="N79"/>
      <c r="O79" s="995"/>
      <c r="U79" s="114"/>
      <c r="AB79" s="114"/>
      <c r="AC79" s="114"/>
      <c r="AD79" s="114"/>
      <c r="AE79" s="114"/>
      <c r="BE79" s="136"/>
      <c r="BF79" s="136"/>
      <c r="BG79" s="136"/>
      <c r="BH79" s="136"/>
      <c r="BN79" s="86"/>
      <c r="BO79" s="1091"/>
      <c r="BP79" s="177"/>
      <c r="BQ79" s="177"/>
      <c r="BR79" s="178"/>
      <c r="BS79" s="177"/>
      <c r="BT79" s="177"/>
      <c r="BU79" s="177"/>
      <c r="CA79" s="182">
        <v>7</v>
      </c>
      <c r="CB79" s="120" t="b">
        <f>IF(CH88=18,1)</f>
        <v>0</v>
      </c>
      <c r="CC79" s="186"/>
      <c r="CD79" s="186"/>
      <c r="CE79" s="186"/>
      <c r="CF79" s="186"/>
      <c r="CG79" s="186"/>
      <c r="CH79" s="186"/>
      <c r="CI79" s="186"/>
      <c r="CJ79" s="186"/>
      <c r="CK79" s="186"/>
      <c r="CL79" s="186"/>
      <c r="CM79" s="186"/>
      <c r="CN79" s="124" t="b">
        <f>IF(CH88=18,13)</f>
        <v>0</v>
      </c>
      <c r="CO79" s="178"/>
      <c r="CQ79" s="78"/>
      <c r="CR79" s="78"/>
      <c r="CS79" s="78"/>
      <c r="CT79" s="78"/>
      <c r="CU79" s="78"/>
      <c r="CV79" s="78"/>
      <c r="CW79" s="78"/>
      <c r="CX79" s="78"/>
      <c r="CY79" s="78"/>
      <c r="CZ79" s="78"/>
      <c r="DA79" s="78"/>
      <c r="DB79" s="78"/>
      <c r="DC79" s="78"/>
      <c r="DD79" s="78"/>
      <c r="EK79" s="78"/>
      <c r="EL79" s="78"/>
    </row>
    <row r="80" spans="2:144" ht="21" hidden="1" thickBot="1" x14ac:dyDescent="0.25">
      <c r="G80" s="998"/>
      <c r="H80"/>
      <c r="I80"/>
      <c r="J80"/>
      <c r="K80"/>
      <c r="L80"/>
      <c r="M80"/>
      <c r="N80"/>
      <c r="O80" s="995"/>
      <c r="U80" s="114"/>
      <c r="AB80" s="114"/>
      <c r="AC80" s="114"/>
      <c r="AD80" s="114"/>
      <c r="AE80" s="114"/>
      <c r="BE80" s="136"/>
      <c r="BF80" s="136"/>
      <c r="BG80" s="136"/>
      <c r="BH80" s="136"/>
      <c r="BN80" s="86"/>
      <c r="BO80" s="1091"/>
      <c r="BP80" s="177"/>
      <c r="BQ80" s="177"/>
      <c r="BR80" s="178"/>
      <c r="BS80" s="177"/>
      <c r="BT80" s="177"/>
      <c r="BU80" s="177"/>
      <c r="CA80" s="182">
        <v>6</v>
      </c>
      <c r="CB80" s="120">
        <f>IF(CG88=17,1)</f>
        <v>1</v>
      </c>
      <c r="CC80" s="186"/>
      <c r="CD80" s="186"/>
      <c r="CE80" s="186"/>
      <c r="CF80" s="186"/>
      <c r="CG80" s="186"/>
      <c r="CH80" s="186"/>
      <c r="CI80" s="186"/>
      <c r="CJ80" s="186"/>
      <c r="CK80" s="186"/>
      <c r="CL80" s="124">
        <f>IF(CG88=17,11)</f>
        <v>11</v>
      </c>
      <c r="CM80" s="177"/>
      <c r="CN80" s="177"/>
      <c r="CO80" s="178"/>
      <c r="CQ80" s="78"/>
      <c r="CR80" s="78"/>
      <c r="CS80" s="78"/>
      <c r="CT80" s="78"/>
      <c r="CU80" s="78"/>
      <c r="CV80" s="78"/>
      <c r="CW80" s="78"/>
      <c r="CX80" s="78"/>
      <c r="CY80" s="78"/>
      <c r="CZ80" s="78"/>
      <c r="DA80" s="78"/>
      <c r="DB80" s="78"/>
      <c r="DC80" s="78"/>
      <c r="DD80" s="78"/>
      <c r="EK80" s="78"/>
      <c r="EL80" s="78"/>
    </row>
    <row r="81" spans="2:142" ht="21" hidden="1" thickBot="1" x14ac:dyDescent="0.25">
      <c r="G81" s="1008"/>
      <c r="H81"/>
      <c r="I81"/>
      <c r="J81"/>
      <c r="K81"/>
      <c r="L81"/>
      <c r="M81"/>
      <c r="N81"/>
      <c r="O81" s="995"/>
      <c r="U81" s="114"/>
      <c r="AB81" s="114"/>
      <c r="AC81" s="114"/>
      <c r="AD81" s="114"/>
      <c r="AE81" s="114"/>
      <c r="BE81" s="136"/>
      <c r="BF81" s="136"/>
      <c r="BG81" s="136"/>
      <c r="BH81" s="136"/>
      <c r="BN81" s="86"/>
      <c r="BO81" s="1091"/>
      <c r="BP81" s="177"/>
      <c r="BQ81" s="177"/>
      <c r="BR81" s="178"/>
      <c r="BS81" s="177"/>
      <c r="BT81" s="177"/>
      <c r="BU81" s="177"/>
      <c r="CA81" s="182">
        <v>5</v>
      </c>
      <c r="CB81" s="117" t="b">
        <f>IF(CF88=16,1)</f>
        <v>0</v>
      </c>
      <c r="CC81" s="185"/>
      <c r="CD81" s="185"/>
      <c r="CE81" s="118"/>
      <c r="CF81" s="185"/>
      <c r="CG81" s="118"/>
      <c r="CH81" s="185"/>
      <c r="CI81" s="185"/>
      <c r="CJ81" s="103" t="b">
        <f>IF(CF88=16,9)</f>
        <v>0</v>
      </c>
      <c r="CK81" s="177"/>
      <c r="CL81" s="177"/>
      <c r="CM81" s="177"/>
      <c r="CN81" s="177"/>
      <c r="CO81" s="178"/>
      <c r="CQ81" s="78"/>
      <c r="CR81" s="78"/>
      <c r="CS81" s="78"/>
      <c r="CT81" s="78"/>
      <c r="CU81" s="78"/>
      <c r="CV81" s="78"/>
      <c r="CW81" s="78"/>
      <c r="CX81" s="78"/>
      <c r="CY81" s="78"/>
      <c r="CZ81" s="78"/>
      <c r="DA81" s="78"/>
      <c r="DB81" s="78"/>
      <c r="DC81" s="78"/>
      <c r="DD81" s="78"/>
      <c r="EK81" s="78"/>
      <c r="EL81" s="78"/>
    </row>
    <row r="82" spans="2:142" ht="21" hidden="1" thickBot="1" x14ac:dyDescent="0.25">
      <c r="B82" s="406"/>
      <c r="C82" s="406"/>
      <c r="D82" s="407"/>
      <c r="E82" s="407"/>
      <c r="F82" s="407"/>
      <c r="G82" s="998"/>
      <c r="H82"/>
      <c r="I82"/>
      <c r="J82"/>
      <c r="K82"/>
      <c r="L82"/>
      <c r="M82"/>
      <c r="N82"/>
      <c r="O82" s="995"/>
      <c r="BD82" s="126"/>
      <c r="BE82" s="136"/>
      <c r="BF82" s="136"/>
      <c r="BG82" s="136"/>
      <c r="BH82" s="136"/>
      <c r="BN82" s="86"/>
      <c r="BO82" s="1091"/>
      <c r="BP82" s="177"/>
      <c r="BQ82" s="177"/>
      <c r="BR82" s="178"/>
      <c r="BS82" s="177"/>
      <c r="BT82" s="177"/>
      <c r="BU82" s="177"/>
      <c r="CA82" s="182">
        <v>4</v>
      </c>
      <c r="CB82" s="117" t="b">
        <f>IF(CE88=15,1)</f>
        <v>0</v>
      </c>
      <c r="CC82" s="118"/>
      <c r="CD82" s="118"/>
      <c r="CE82" s="185"/>
      <c r="CF82" s="118"/>
      <c r="CG82" s="118"/>
      <c r="CH82" s="103" t="b">
        <f>IF(CE88=15,7)</f>
        <v>0</v>
      </c>
      <c r="CI82" s="177"/>
      <c r="CJ82" s="177"/>
      <c r="CK82" s="177"/>
      <c r="CL82" s="177"/>
      <c r="CM82" s="177"/>
      <c r="CN82" s="177"/>
      <c r="CO82" s="178"/>
      <c r="CQ82" s="78"/>
      <c r="CR82" s="78"/>
      <c r="CS82" s="78"/>
      <c r="CT82" s="78"/>
      <c r="CU82" s="78"/>
      <c r="CV82" s="78"/>
      <c r="CW82" s="78"/>
      <c r="CX82" s="78"/>
      <c r="CY82" s="78"/>
      <c r="CZ82" s="78"/>
      <c r="DA82" s="78"/>
      <c r="DB82" s="78"/>
      <c r="DC82" s="78"/>
      <c r="DD82" s="78"/>
      <c r="EK82" s="78"/>
      <c r="EL82" s="78"/>
    </row>
    <row r="83" spans="2:142" ht="21" hidden="1" thickBot="1" x14ac:dyDescent="0.25">
      <c r="G83" s="998"/>
      <c r="H83"/>
      <c r="I83"/>
      <c r="J83"/>
      <c r="K83"/>
      <c r="L83"/>
      <c r="M83"/>
      <c r="N83"/>
      <c r="O83" s="995"/>
      <c r="BD83" s="126"/>
      <c r="BE83" s="136"/>
      <c r="BF83" s="136"/>
      <c r="BG83" s="136"/>
      <c r="BH83" s="136"/>
      <c r="BN83" s="86"/>
      <c r="BO83" s="1091"/>
      <c r="BP83" s="177"/>
      <c r="BQ83" s="177"/>
      <c r="BR83" s="178"/>
      <c r="BS83" s="177"/>
      <c r="BT83" s="177"/>
      <c r="BU83" s="177"/>
      <c r="CA83" s="182">
        <v>3</v>
      </c>
      <c r="CB83" s="120" t="b">
        <f>IF(CD88=14,1)</f>
        <v>0</v>
      </c>
      <c r="CC83" s="186"/>
      <c r="CD83" s="186"/>
      <c r="CE83" s="186"/>
      <c r="CF83" s="124" t="b">
        <f>IF(CD88=14,5)</f>
        <v>0</v>
      </c>
      <c r="CG83" s="177"/>
      <c r="CH83" s="177"/>
      <c r="CI83" s="177"/>
      <c r="CJ83" s="177"/>
      <c r="CK83" s="177"/>
      <c r="CL83" s="177"/>
      <c r="CM83" s="177"/>
      <c r="CN83" s="177"/>
      <c r="CO83" s="178"/>
      <c r="CQ83" s="78"/>
      <c r="CR83" s="78"/>
      <c r="CS83" s="78"/>
      <c r="CT83" s="78"/>
      <c r="CU83" s="78"/>
      <c r="CV83" s="78"/>
      <c r="CW83" s="78"/>
      <c r="CX83" s="78"/>
      <c r="CY83" s="78"/>
      <c r="CZ83" s="78"/>
      <c r="DA83" s="78"/>
      <c r="DB83" s="78"/>
      <c r="DC83" s="78"/>
      <c r="DD83" s="78"/>
      <c r="EK83" s="78"/>
      <c r="EL83" s="78"/>
    </row>
    <row r="84" spans="2:142" ht="21" hidden="1" thickBot="1" x14ac:dyDescent="0.25">
      <c r="B84"/>
      <c r="G84" s="998"/>
      <c r="H84"/>
      <c r="I84"/>
      <c r="J84"/>
      <c r="K84"/>
      <c r="L84"/>
      <c r="M84"/>
      <c r="N84"/>
      <c r="O84" s="995"/>
      <c r="BD84" s="126"/>
      <c r="BE84" s="136"/>
      <c r="BF84" s="136"/>
      <c r="BG84" s="136"/>
      <c r="BH84" s="136"/>
      <c r="BN84" s="86"/>
      <c r="BO84" s="1091"/>
      <c r="BP84" s="177"/>
      <c r="BQ84" s="177"/>
      <c r="BR84" s="178"/>
      <c r="BS84" s="177"/>
      <c r="BT84" s="177"/>
      <c r="BU84" s="177"/>
      <c r="CA84" s="182">
        <v>2</v>
      </c>
      <c r="CB84" s="120" t="b">
        <f>IF(CC88=13,1)</f>
        <v>0</v>
      </c>
      <c r="CC84" s="186"/>
      <c r="CD84" s="124" t="b">
        <f>IF(CC88=13,3)</f>
        <v>0</v>
      </c>
      <c r="CE84" s="177"/>
      <c r="CF84" s="177"/>
      <c r="CG84" s="177"/>
      <c r="CH84" s="177"/>
      <c r="CI84" s="177"/>
      <c r="CJ84" s="177"/>
      <c r="CK84" s="177"/>
      <c r="CL84" s="177"/>
      <c r="CM84" s="177"/>
      <c r="CN84" s="177"/>
      <c r="CO84" s="178"/>
      <c r="CQ84" s="78"/>
      <c r="CR84" s="78"/>
      <c r="CS84" s="78"/>
      <c r="CT84" s="78"/>
      <c r="CU84" s="78"/>
      <c r="CV84" s="78"/>
      <c r="CW84" s="78"/>
      <c r="CX84" s="78"/>
      <c r="CY84" s="78"/>
      <c r="CZ84" s="78"/>
      <c r="DA84" s="78"/>
      <c r="DB84" s="78"/>
      <c r="DC84" s="78"/>
      <c r="DD84" s="78"/>
      <c r="EK84" s="78"/>
      <c r="EL84" s="78"/>
    </row>
    <row r="85" spans="2:142" ht="21" thickBot="1" x14ac:dyDescent="0.25">
      <c r="B85" s="406"/>
      <c r="C85" s="406"/>
      <c r="D85" s="407"/>
      <c r="E85" s="407"/>
      <c r="F85" s="407"/>
      <c r="G85" s="998"/>
      <c r="H85"/>
      <c r="I85"/>
      <c r="J85"/>
      <c r="K85" s="988">
        <v>5</v>
      </c>
      <c r="L85"/>
      <c r="M85" s="988">
        <v>51</v>
      </c>
      <c r="N85"/>
      <c r="O85" s="995"/>
      <c r="BD85" s="126"/>
      <c r="BE85" s="136"/>
      <c r="BF85" s="136"/>
      <c r="BG85" s="136"/>
      <c r="BH85" s="136"/>
      <c r="BN85" s="86"/>
      <c r="BO85" s="1091"/>
      <c r="BP85" s="177"/>
      <c r="BQ85" s="177"/>
      <c r="BR85" s="178"/>
      <c r="BS85" s="177"/>
      <c r="BT85" s="177"/>
      <c r="BU85" s="177"/>
      <c r="BV85" s="76"/>
      <c r="BW85" s="177"/>
      <c r="CA85" s="177"/>
      <c r="CB85" s="177"/>
      <c r="CC85" s="177"/>
      <c r="CD85" s="177"/>
      <c r="CE85" s="177"/>
      <c r="CF85" s="177"/>
      <c r="CG85" s="177"/>
      <c r="CH85" s="177"/>
      <c r="CI85" s="177"/>
      <c r="CJ85" s="177"/>
      <c r="CK85" s="177"/>
      <c r="CL85" s="178"/>
      <c r="CM85" s="107"/>
      <c r="CN85" s="107"/>
      <c r="CO85" s="107"/>
      <c r="CQ85" s="78"/>
      <c r="CR85" s="78"/>
      <c r="CS85" s="78"/>
      <c r="CT85" s="78"/>
      <c r="CU85" s="78"/>
      <c r="CV85" s="78"/>
      <c r="CW85" s="78"/>
      <c r="CX85" s="78"/>
      <c r="CY85" s="78"/>
      <c r="CZ85" s="78"/>
      <c r="DA85" s="78"/>
      <c r="DB85" s="78"/>
      <c r="DC85" s="78"/>
      <c r="DD85" s="78"/>
      <c r="EK85" s="78"/>
      <c r="EL85" s="78"/>
    </row>
    <row r="86" spans="2:142" ht="49.5" customHeight="1" thickBot="1" x14ac:dyDescent="0.3">
      <c r="B86" s="406"/>
      <c r="C86" s="406"/>
      <c r="D86" s="407"/>
      <c r="E86" s="407"/>
      <c r="F86" s="407"/>
      <c r="G86" s="998"/>
      <c r="H86"/>
      <c r="I86"/>
      <c r="J86"/>
      <c r="K86" s="969" t="s">
        <v>236</v>
      </c>
      <c r="L86" s="969" t="s">
        <v>238</v>
      </c>
      <c r="M86" s="969" t="s">
        <v>237</v>
      </c>
      <c r="N86"/>
      <c r="O86" s="995"/>
      <c r="BD86" s="126"/>
      <c r="BE86" s="136"/>
      <c r="BF86" s="136"/>
      <c r="BG86" s="136"/>
      <c r="BH86" s="136"/>
      <c r="BI86" s="136"/>
      <c r="BK86" s="136"/>
      <c r="BL86" s="136"/>
      <c r="BM86" s="402"/>
      <c r="BN86" s="188"/>
      <c r="BO86" s="1088" t="s">
        <v>128</v>
      </c>
      <c r="BP86" s="746" t="s">
        <v>125</v>
      </c>
      <c r="BQ86" s="190"/>
      <c r="BR86" s="191"/>
      <c r="BS86" s="191"/>
      <c r="BT86" s="191"/>
      <c r="BU86" s="191"/>
      <c r="BV86" s="191"/>
      <c r="BW86" s="191"/>
      <c r="BX86" s="191"/>
      <c r="BY86" s="191"/>
      <c r="BZ86" s="191"/>
      <c r="CA86" s="191"/>
      <c r="CB86" s="758">
        <f>SUM(CB70:CB85)</f>
        <v>1</v>
      </c>
      <c r="CC86" s="759">
        <f t="shared" ref="CC86:CR86" si="0">SUM(CC70:CC85)</f>
        <v>0</v>
      </c>
      <c r="CD86" s="759">
        <f t="shared" si="0"/>
        <v>0</v>
      </c>
      <c r="CE86" s="759">
        <f t="shared" si="0"/>
        <v>0</v>
      </c>
      <c r="CF86" s="759">
        <f t="shared" si="0"/>
        <v>0</v>
      </c>
      <c r="CG86" s="759">
        <f t="shared" si="0"/>
        <v>0</v>
      </c>
      <c r="CH86" s="759">
        <f t="shared" si="0"/>
        <v>0</v>
      </c>
      <c r="CI86" s="759">
        <f t="shared" si="0"/>
        <v>0</v>
      </c>
      <c r="CJ86" s="759">
        <f t="shared" si="0"/>
        <v>0</v>
      </c>
      <c r="CK86" s="759">
        <f t="shared" si="0"/>
        <v>0</v>
      </c>
      <c r="CL86" s="759">
        <f t="shared" si="0"/>
        <v>11</v>
      </c>
      <c r="CM86" s="759">
        <f t="shared" si="0"/>
        <v>0</v>
      </c>
      <c r="CN86" s="759">
        <f t="shared" si="0"/>
        <v>0</v>
      </c>
      <c r="CO86" s="759">
        <f t="shared" si="0"/>
        <v>0</v>
      </c>
      <c r="CP86" s="759">
        <f t="shared" si="0"/>
        <v>0</v>
      </c>
      <c r="CQ86" s="759">
        <f t="shared" si="0"/>
        <v>0</v>
      </c>
      <c r="CR86" s="760">
        <f t="shared" si="0"/>
        <v>0</v>
      </c>
      <c r="CS86" s="191"/>
      <c r="CT86" s="191"/>
      <c r="CU86" s="192"/>
      <c r="CV86" s="192"/>
      <c r="CW86" s="192"/>
      <c r="CX86" s="192"/>
      <c r="CY86" s="192"/>
      <c r="CZ86" s="192"/>
      <c r="DA86" s="193"/>
      <c r="DB86" s="89"/>
      <c r="DC86" s="78"/>
      <c r="DD86" s="78"/>
      <c r="EK86" s="78"/>
      <c r="EL86" s="78"/>
    </row>
    <row r="87" spans="2:142" ht="45" customHeight="1" thickBot="1" x14ac:dyDescent="0.3">
      <c r="G87" s="998"/>
      <c r="H87"/>
      <c r="I87"/>
      <c r="J87" s="1087" t="s">
        <v>264</v>
      </c>
      <c r="K87" s="1080">
        <f>+MIN(J21:K22)</f>
        <v>26.972353337828725</v>
      </c>
      <c r="L87" s="1081">
        <f>+$E$24/(BQ56)</f>
        <v>26.972353337828725</v>
      </c>
      <c r="M87" s="1081">
        <f>+MIN(K27:L28)</f>
        <v>26.972353337828725</v>
      </c>
      <c r="N87"/>
      <c r="O87" s="995"/>
      <c r="BD87" s="136"/>
      <c r="BE87" s="136"/>
      <c r="BF87" s="136"/>
      <c r="BG87" s="136"/>
      <c r="BH87" s="136"/>
      <c r="BI87" s="136"/>
      <c r="BJ87" s="136"/>
      <c r="BK87" s="136"/>
      <c r="BL87" s="968">
        <v>4</v>
      </c>
      <c r="BM87" s="1762" t="b">
        <f>AND(BO87&gt;=10,$BA$140&gt;=10,$BB$140&gt;=10,$BA$172&gt;=10,$BB$172&gt;=10,$BA$196&gt;=10,$BB$196&gt;=10,$BA$232&gt;=10,$BB$232&gt;=10)</f>
        <v>1</v>
      </c>
      <c r="BN87" s="84" t="str">
        <f>IF(BM87=TRUE,"O K","OVERLOAD")</f>
        <v>O K</v>
      </c>
      <c r="BO87" s="982">
        <f>+$E$24/(BQ56/2)</f>
        <v>53.94470667565745</v>
      </c>
      <c r="BP87" s="194"/>
      <c r="BQ87" s="107"/>
      <c r="BR87" s="108"/>
      <c r="BS87" s="107"/>
      <c r="BT87" s="107"/>
      <c r="BU87" s="107"/>
      <c r="BV87" s="108"/>
      <c r="BW87" s="107"/>
      <c r="BX87" s="107"/>
      <c r="BY87" s="107"/>
      <c r="BZ87" s="107"/>
      <c r="CA87" s="107"/>
      <c r="CB87" s="107"/>
      <c r="CC87" s="107"/>
      <c r="CD87" s="107"/>
      <c r="CE87" s="107"/>
      <c r="CF87" s="107"/>
      <c r="CG87" s="107"/>
      <c r="CH87" s="107"/>
      <c r="CI87" s="107"/>
      <c r="CJ87" s="107"/>
      <c r="CK87" s="107"/>
      <c r="CL87" s="107"/>
      <c r="CM87" s="107"/>
      <c r="CN87" s="107"/>
      <c r="CO87" s="107"/>
      <c r="CP87" s="107"/>
      <c r="CQ87" s="107"/>
      <c r="CR87" s="107"/>
      <c r="CS87" s="78"/>
      <c r="CT87" s="78"/>
      <c r="CU87" s="78"/>
      <c r="CV87" s="78"/>
      <c r="CW87" s="78"/>
      <c r="CX87" s="78"/>
      <c r="CY87" s="78"/>
      <c r="CZ87" s="78"/>
      <c r="DA87" s="78"/>
      <c r="DB87" s="78"/>
      <c r="DC87" s="78"/>
      <c r="DD87" s="78"/>
      <c r="EK87" s="78"/>
      <c r="EL87" s="78"/>
    </row>
    <row r="88" spans="2:142" ht="21" hidden="1" thickBot="1" x14ac:dyDescent="0.25">
      <c r="B88" s="408"/>
      <c r="C88" s="408"/>
      <c r="G88" s="998"/>
      <c r="H88"/>
      <c r="I88" s="984">
        <v>6</v>
      </c>
      <c r="J88" s="984">
        <v>61</v>
      </c>
      <c r="K88" s="984">
        <v>62</v>
      </c>
      <c r="L88" s="984">
        <v>63</v>
      </c>
      <c r="M88" s="988">
        <v>64</v>
      </c>
      <c r="N88"/>
      <c r="O88" s="995"/>
      <c r="U88" s="73"/>
      <c r="V88" s="73"/>
      <c r="W88" s="73"/>
      <c r="X88" s="73"/>
      <c r="Y88" s="73"/>
      <c r="Z88" s="73"/>
      <c r="AA88" s="73"/>
      <c r="AF88" s="73"/>
      <c r="AG88" s="73"/>
      <c r="AH88" s="73"/>
      <c r="AI88" s="73"/>
      <c r="AJ88" s="73"/>
      <c r="AK88" s="73"/>
      <c r="AL88" s="73"/>
      <c r="AM88" s="73"/>
      <c r="AN88" s="73"/>
      <c r="AO88" s="73"/>
      <c r="AP88" s="73"/>
      <c r="AQ88" s="73"/>
      <c r="AR88" s="73"/>
      <c r="AS88" s="73"/>
      <c r="AT88" s="73"/>
      <c r="AU88" s="73"/>
      <c r="AV88" s="73"/>
      <c r="AW88" s="73"/>
      <c r="AX88" s="73"/>
      <c r="AY88" s="73"/>
      <c r="AZ88" s="73"/>
      <c r="BA88" s="73"/>
      <c r="BB88" s="73"/>
      <c r="BC88" s="126"/>
      <c r="BD88" s="136"/>
      <c r="BE88" s="136"/>
      <c r="BF88" s="136"/>
      <c r="BG88" s="136"/>
      <c r="BH88" s="136"/>
      <c r="BI88" s="136"/>
      <c r="BJ88" s="136"/>
      <c r="BK88" s="136"/>
      <c r="BL88" s="136"/>
      <c r="BM88" s="402"/>
      <c r="BN88" s="188"/>
      <c r="BO88" s="1091"/>
      <c r="BP88" s="76"/>
      <c r="BQ88" s="195" t="b">
        <f>+BK165</f>
        <v>0</v>
      </c>
      <c r="BR88" s="195" t="b">
        <f>+BK166</f>
        <v>0</v>
      </c>
      <c r="BS88" s="195" t="b">
        <f>+BK167</f>
        <v>0</v>
      </c>
      <c r="BT88" s="195" t="b">
        <f>+BK168</f>
        <v>0</v>
      </c>
      <c r="BU88" s="195" t="b">
        <f>+BK169</f>
        <v>0</v>
      </c>
      <c r="BV88" s="195" t="b">
        <f>+BK170</f>
        <v>0</v>
      </c>
      <c r="BW88" s="195" t="b">
        <f>+BK171</f>
        <v>0</v>
      </c>
      <c r="BX88" s="195" t="b">
        <f>+BK172</f>
        <v>0</v>
      </c>
      <c r="BY88" s="195" t="b">
        <f>+BK173</f>
        <v>0</v>
      </c>
      <c r="BZ88" s="195" t="b">
        <f>+BK174</f>
        <v>0</v>
      </c>
      <c r="CA88" s="195" t="b">
        <f>+BK175</f>
        <v>0</v>
      </c>
      <c r="CB88" s="195" t="b">
        <f>+BK176</f>
        <v>0</v>
      </c>
      <c r="CC88" s="195" t="b">
        <f>+BK177</f>
        <v>0</v>
      </c>
      <c r="CD88" s="195" t="b">
        <f>+BK178</f>
        <v>0</v>
      </c>
      <c r="CE88" s="195" t="b">
        <f>+BK179</f>
        <v>0</v>
      </c>
      <c r="CF88" s="195" t="b">
        <f>+BK180</f>
        <v>0</v>
      </c>
      <c r="CG88" s="195">
        <f>+BK181</f>
        <v>17</v>
      </c>
      <c r="CH88" s="195" t="b">
        <f>+BK182</f>
        <v>0</v>
      </c>
      <c r="CI88" s="195" t="b">
        <f>+BK183</f>
        <v>0</v>
      </c>
      <c r="CJ88" s="195" t="b">
        <f>+BK184</f>
        <v>0</v>
      </c>
      <c r="CK88" s="195" t="b">
        <f>+BK185</f>
        <v>0</v>
      </c>
      <c r="CL88" s="195" t="b">
        <f>+BK186</f>
        <v>0</v>
      </c>
      <c r="CM88" s="195" t="b">
        <f>+BK190</f>
        <v>0</v>
      </c>
      <c r="CN88" s="195" t="b">
        <f>+BK191</f>
        <v>0</v>
      </c>
      <c r="CO88" s="195" t="b">
        <f>+BK192</f>
        <v>0</v>
      </c>
      <c r="CP88" s="195" t="b">
        <f>+BK193</f>
        <v>0</v>
      </c>
      <c r="CQ88" s="195" t="b">
        <f>+BK194</f>
        <v>0</v>
      </c>
      <c r="CR88" s="195" t="b">
        <f>+BK195</f>
        <v>0</v>
      </c>
      <c r="CS88" s="195" t="b">
        <f>+BK196</f>
        <v>0</v>
      </c>
      <c r="CT88" s="195" t="b">
        <f>+BK197</f>
        <v>0</v>
      </c>
      <c r="CU88" s="195" t="b">
        <f>+BK198</f>
        <v>0</v>
      </c>
      <c r="CV88" s="195" t="b">
        <f>+BK199</f>
        <v>0</v>
      </c>
      <c r="CW88" s="195" t="b">
        <f>+BK200</f>
        <v>0</v>
      </c>
      <c r="CX88" s="195" t="b">
        <f>+BK201</f>
        <v>0</v>
      </c>
      <c r="CY88" s="195" t="b">
        <f>+BK202</f>
        <v>0</v>
      </c>
      <c r="CZ88" s="195" t="b">
        <f>+BK203</f>
        <v>0</v>
      </c>
      <c r="DA88" s="195" t="b">
        <f>+BK204</f>
        <v>0</v>
      </c>
      <c r="DB88" s="196"/>
      <c r="DC88" s="78"/>
      <c r="DD88" s="78"/>
      <c r="EK88" s="78"/>
      <c r="EL88" s="78"/>
    </row>
    <row r="89" spans="2:142" ht="45.75" hidden="1" customHeight="1" x14ac:dyDescent="0.2">
      <c r="E89" s="208"/>
      <c r="F89" s="208"/>
      <c r="G89" s="998"/>
      <c r="H89"/>
      <c r="I89"/>
      <c r="J89"/>
      <c r="K89"/>
      <c r="L89"/>
      <c r="M89"/>
      <c r="N89"/>
      <c r="O89" s="995"/>
      <c r="BD89" s="136"/>
      <c r="BE89" s="136"/>
      <c r="BF89" s="136"/>
      <c r="BG89" s="136"/>
      <c r="BH89" s="136"/>
      <c r="BI89" s="136"/>
      <c r="BJ89" s="136"/>
      <c r="BK89" s="136"/>
      <c r="BL89" s="136"/>
      <c r="BM89" s="402"/>
      <c r="BN89" s="188"/>
      <c r="BO89" s="1091"/>
      <c r="BP89" s="78"/>
      <c r="BQ89" s="196" t="b">
        <f>+BQ88</f>
        <v>0</v>
      </c>
      <c r="BR89" s="196" t="b">
        <f t="shared" ref="BR89:CI89" si="1">+BR88</f>
        <v>0</v>
      </c>
      <c r="BS89" s="196" t="b">
        <f t="shared" si="1"/>
        <v>0</v>
      </c>
      <c r="BT89" s="196" t="b">
        <f t="shared" si="1"/>
        <v>0</v>
      </c>
      <c r="BU89" s="196" t="b">
        <f t="shared" si="1"/>
        <v>0</v>
      </c>
      <c r="BV89" s="196" t="b">
        <f t="shared" si="1"/>
        <v>0</v>
      </c>
      <c r="BW89" s="196" t="b">
        <f>+BW88</f>
        <v>0</v>
      </c>
      <c r="BX89" s="196" t="b">
        <f t="shared" si="1"/>
        <v>0</v>
      </c>
      <c r="BY89" s="196" t="b">
        <f t="shared" si="1"/>
        <v>0</v>
      </c>
      <c r="BZ89" s="196" t="b">
        <f t="shared" si="1"/>
        <v>0</v>
      </c>
      <c r="CA89" s="196" t="b">
        <f t="shared" si="1"/>
        <v>0</v>
      </c>
      <c r="CB89" s="196" t="b">
        <f>+CB88</f>
        <v>0</v>
      </c>
      <c r="CC89" s="196" t="b">
        <f>+CC88</f>
        <v>0</v>
      </c>
      <c r="CD89" s="196" t="b">
        <f>+CD88</f>
        <v>0</v>
      </c>
      <c r="CE89" s="196" t="b">
        <f>+CE88</f>
        <v>0</v>
      </c>
      <c r="CF89" s="196" t="b">
        <f>+CF88</f>
        <v>0</v>
      </c>
      <c r="CG89" s="196">
        <f t="shared" si="1"/>
        <v>17</v>
      </c>
      <c r="CH89" s="196" t="b">
        <f t="shared" si="1"/>
        <v>0</v>
      </c>
      <c r="CI89" s="196" t="b">
        <f t="shared" si="1"/>
        <v>0</v>
      </c>
      <c r="CJ89" s="196" t="b">
        <f>+CJ88</f>
        <v>0</v>
      </c>
      <c r="CK89" s="196" t="b">
        <f>+CK88</f>
        <v>0</v>
      </c>
      <c r="CL89" s="196" t="b">
        <f t="shared" ref="CL89:DA89" si="2">+CL88</f>
        <v>0</v>
      </c>
      <c r="CM89" s="196" t="b">
        <f t="shared" si="2"/>
        <v>0</v>
      </c>
      <c r="CN89" s="196" t="b">
        <f t="shared" si="2"/>
        <v>0</v>
      </c>
      <c r="CO89" s="196" t="b">
        <f t="shared" si="2"/>
        <v>0</v>
      </c>
      <c r="CP89" s="196" t="b">
        <f t="shared" si="2"/>
        <v>0</v>
      </c>
      <c r="CQ89" s="196" t="b">
        <f t="shared" si="2"/>
        <v>0</v>
      </c>
      <c r="CR89" s="196" t="b">
        <f t="shared" si="2"/>
        <v>0</v>
      </c>
      <c r="CS89" s="196" t="b">
        <f t="shared" si="2"/>
        <v>0</v>
      </c>
      <c r="CT89" s="196" t="b">
        <f t="shared" si="2"/>
        <v>0</v>
      </c>
      <c r="CU89" s="196" t="b">
        <f t="shared" si="2"/>
        <v>0</v>
      </c>
      <c r="CV89" s="196" t="b">
        <f t="shared" si="2"/>
        <v>0</v>
      </c>
      <c r="CW89" s="196" t="b">
        <f t="shared" si="2"/>
        <v>0</v>
      </c>
      <c r="CX89" s="196" t="b">
        <f t="shared" si="2"/>
        <v>0</v>
      </c>
      <c r="CY89" s="196" t="b">
        <f t="shared" si="2"/>
        <v>0</v>
      </c>
      <c r="CZ89" s="196" t="b">
        <f t="shared" si="2"/>
        <v>0</v>
      </c>
      <c r="DA89" s="196" t="b">
        <f t="shared" si="2"/>
        <v>0</v>
      </c>
      <c r="DB89" s="196"/>
      <c r="DC89" s="78"/>
      <c r="DD89" s="78"/>
      <c r="EK89" s="78"/>
      <c r="EL89" s="78"/>
    </row>
    <row r="90" spans="2:142" ht="13.5" customHeight="1" thickBot="1" x14ac:dyDescent="0.25">
      <c r="E90" s="208"/>
      <c r="F90" s="208"/>
      <c r="G90" s="998"/>
      <c r="H90"/>
      <c r="I90"/>
      <c r="J90"/>
      <c r="K90"/>
      <c r="L90"/>
      <c r="M90"/>
      <c r="N90"/>
      <c r="O90" s="995"/>
      <c r="V90" s="1098"/>
      <c r="W90" s="1098"/>
      <c r="X90" s="1098"/>
      <c r="Y90" s="1098"/>
      <c r="Z90" s="1098"/>
      <c r="AA90" s="1098"/>
      <c r="AF90" s="401"/>
      <c r="AG90" s="401"/>
      <c r="AH90" s="401"/>
      <c r="AI90" s="401"/>
      <c r="AJ90" s="401"/>
      <c r="AK90" s="401"/>
      <c r="AL90" s="401"/>
      <c r="AM90" s="401"/>
      <c r="AN90" s="401"/>
      <c r="AO90" s="401"/>
      <c r="AP90" s="401"/>
      <c r="AQ90" s="401"/>
      <c r="AR90" s="401"/>
      <c r="AS90" s="401"/>
      <c r="AT90" s="401"/>
      <c r="AU90" s="401"/>
      <c r="AV90" s="401"/>
      <c r="AW90" s="401"/>
      <c r="AX90" s="401"/>
      <c r="AY90" s="401"/>
      <c r="AZ90" s="401"/>
      <c r="BA90" s="401"/>
      <c r="BB90" s="401"/>
      <c r="BC90" s="143"/>
      <c r="BD90" s="136"/>
      <c r="BE90" s="136"/>
      <c r="BF90" s="136"/>
      <c r="BG90" s="136"/>
      <c r="BH90" s="136"/>
      <c r="BI90" s="136"/>
      <c r="BJ90" s="136"/>
      <c r="BK90" s="136"/>
      <c r="BL90" s="136"/>
      <c r="BM90" s="402"/>
      <c r="BN90" s="188"/>
      <c r="BO90" s="1091"/>
      <c r="BP90" s="78"/>
      <c r="BQ90" s="196"/>
      <c r="BR90" s="196"/>
      <c r="BS90" s="196"/>
      <c r="BT90" s="196"/>
      <c r="BU90" s="196"/>
      <c r="BV90" s="196"/>
      <c r="BW90" s="196"/>
      <c r="BX90" s="196"/>
      <c r="BY90" s="196"/>
      <c r="BZ90" s="196"/>
      <c r="CA90" s="196"/>
      <c r="CB90" s="196"/>
      <c r="CC90" s="196"/>
      <c r="CD90" s="196"/>
      <c r="CE90" s="196"/>
      <c r="CF90" s="196"/>
      <c r="CG90" s="196"/>
      <c r="CH90" s="196"/>
      <c r="CI90" s="196"/>
      <c r="CJ90" s="196"/>
      <c r="CK90" s="196"/>
      <c r="CL90" s="196"/>
      <c r="CM90" s="196"/>
      <c r="CN90" s="196"/>
      <c r="CO90" s="196"/>
      <c r="CP90" s="196"/>
      <c r="CQ90" s="196"/>
      <c r="CR90" s="196"/>
      <c r="CS90" s="196"/>
      <c r="CT90" s="196"/>
      <c r="CU90" s="196"/>
      <c r="CV90" s="196"/>
      <c r="CW90" s="196"/>
      <c r="CX90" s="196"/>
      <c r="CY90" s="196"/>
      <c r="CZ90" s="196"/>
      <c r="DA90" s="196"/>
      <c r="DB90" s="196"/>
      <c r="DC90" s="78"/>
      <c r="DD90" s="78"/>
      <c r="EK90" s="78"/>
      <c r="EL90" s="78"/>
    </row>
    <row r="91" spans="2:142" ht="48.75" customHeight="1" thickBot="1" x14ac:dyDescent="0.3">
      <c r="E91" s="208"/>
      <c r="F91" s="208"/>
      <c r="G91" s="998"/>
      <c r="H91"/>
      <c r="I91"/>
      <c r="J91"/>
      <c r="K91"/>
      <c r="L91"/>
      <c r="M91"/>
      <c r="N91"/>
      <c r="O91" s="995"/>
      <c r="BD91" s="136"/>
      <c r="BE91" s="136"/>
      <c r="BF91" s="136"/>
      <c r="BG91" s="136"/>
      <c r="BH91" s="136"/>
      <c r="BI91" s="136"/>
      <c r="BJ91" s="136"/>
      <c r="BK91" s="136"/>
      <c r="BL91" s="136"/>
      <c r="BM91" s="402"/>
      <c r="BN91" s="188"/>
      <c r="BO91" s="1088" t="s">
        <v>128</v>
      </c>
      <c r="BP91" s="197" t="s">
        <v>129</v>
      </c>
      <c r="BQ91" s="748" t="str">
        <f>IF(BQ89=1,17,"")</f>
        <v/>
      </c>
      <c r="BR91" s="749" t="str">
        <f>IF(BR89=2,16,"")</f>
        <v/>
      </c>
      <c r="BS91" s="749" t="str">
        <f>IF(BS89=3,15,"")</f>
        <v/>
      </c>
      <c r="BT91" s="749" t="str">
        <f>IF(BT89=4,14,"")</f>
        <v/>
      </c>
      <c r="BU91" s="749" t="str">
        <f>IF(BU89=5,13,"")</f>
        <v/>
      </c>
      <c r="BV91" s="749" t="str">
        <f>IF(BV89=6,12,"")</f>
        <v/>
      </c>
      <c r="BW91" s="749" t="str">
        <f>IF(BW89=7,11,"")</f>
        <v/>
      </c>
      <c r="BX91" s="749" t="str">
        <f>IF(BX89=8,10,"")</f>
        <v/>
      </c>
      <c r="BY91" s="749" t="str">
        <f>IF(BY89=9,9,"")</f>
        <v/>
      </c>
      <c r="BZ91" s="749" t="str">
        <f>IF(BZ89=10,8,"")</f>
        <v/>
      </c>
      <c r="CA91" s="749" t="str">
        <f>IF(CA89=11,7,"")</f>
        <v/>
      </c>
      <c r="CB91" s="928" t="str">
        <f>IF(CB89=12,1,"")</f>
        <v/>
      </c>
      <c r="CC91" s="747" t="str">
        <f>IF(CC89=13,2,"")</f>
        <v/>
      </c>
      <c r="CD91" s="747" t="str">
        <f>IF(CD89=14,3,"")</f>
        <v/>
      </c>
      <c r="CE91" s="747" t="str">
        <f>IF(CE89=15,4,"")</f>
        <v/>
      </c>
      <c r="CF91" s="747" t="str">
        <f>IF(CF89=16,5,"")</f>
        <v/>
      </c>
      <c r="CG91" s="747">
        <f>IF(CG89=17,6,"")</f>
        <v>6</v>
      </c>
      <c r="CH91" s="747" t="str">
        <f>IF(CH89=18,7,"")</f>
        <v/>
      </c>
      <c r="CI91" s="747" t="str">
        <f>IF(CI89=19,8,"")</f>
        <v/>
      </c>
      <c r="CJ91" s="747" t="str">
        <f>IF(CJ89=20,9,"")</f>
        <v/>
      </c>
      <c r="CK91" s="747" t="str">
        <f>IF(CK89=21,10,"")</f>
        <v/>
      </c>
      <c r="CL91" s="747" t="str">
        <f>IF(CL89=22,11,"")</f>
        <v/>
      </c>
      <c r="CM91" s="747" t="str">
        <f>IF(CM89=23,12,"")</f>
        <v/>
      </c>
      <c r="CN91" s="747" t="str">
        <f>IF(CN89=24,13,"")</f>
        <v/>
      </c>
      <c r="CO91" s="747" t="str">
        <f>IF(CO89=25,14,"")</f>
        <v/>
      </c>
      <c r="CP91" s="747" t="str">
        <f>IF(CP89=26,15,"")</f>
        <v/>
      </c>
      <c r="CQ91" s="747" t="str">
        <f>IF(CQ89=27,16,"")</f>
        <v/>
      </c>
      <c r="CR91" s="929" t="str">
        <f>IF(CR89=28,17,"")</f>
        <v/>
      </c>
      <c r="CS91" s="756" t="str">
        <f>IF(CS89=29,9,"")</f>
        <v/>
      </c>
      <c r="CT91" s="756" t="str">
        <f>IF(CT89=30,10,"")</f>
        <v/>
      </c>
      <c r="CU91" s="756" t="str">
        <f>IF(CU89=31,11,"")</f>
        <v/>
      </c>
      <c r="CV91" s="756" t="str">
        <f>IF(CV89=32,12,"")</f>
        <v/>
      </c>
      <c r="CW91" s="756" t="str">
        <f>IF(CW89=33,13,"")</f>
        <v/>
      </c>
      <c r="CX91" s="756" t="str">
        <f>IF(CX89=34,14,"")</f>
        <v/>
      </c>
      <c r="CY91" s="756" t="str">
        <f>IF(CY89=35,15,"")</f>
        <v/>
      </c>
      <c r="CZ91" s="756" t="str">
        <f>IF(CZ89=36,16,"")</f>
        <v/>
      </c>
      <c r="DA91" s="757" t="str">
        <f>IF(DA89=37,17,"")</f>
        <v/>
      </c>
      <c r="DB91" s="198"/>
      <c r="DC91" s="78"/>
      <c r="DD91" s="78"/>
      <c r="EK91" s="78"/>
      <c r="EL91" s="78"/>
    </row>
    <row r="92" spans="2:142" ht="48.75" customHeight="1" thickBot="1" x14ac:dyDescent="0.3">
      <c r="E92" s="208"/>
      <c r="F92" s="208"/>
      <c r="G92" s="998"/>
      <c r="H92"/>
      <c r="I92"/>
      <c r="J92"/>
      <c r="K92"/>
      <c r="L92"/>
      <c r="M92"/>
      <c r="N92"/>
      <c r="O92" s="995"/>
      <c r="BD92" s="136"/>
      <c r="BE92" s="136"/>
      <c r="BF92" s="136"/>
      <c r="BG92" s="136"/>
      <c r="BH92" s="136"/>
      <c r="BI92" s="136"/>
      <c r="BJ92" s="136"/>
      <c r="BK92" s="136"/>
      <c r="BL92" s="968">
        <v>5</v>
      </c>
      <c r="BM92" s="1762" t="b">
        <f>AND(BO92&gt;=10,$BA$140&gt;=10,$BB$140&gt;=10,$BA$172&gt;=10,$BB$172&gt;=10,$BA$196&gt;=10,$BB$196&gt;=10,$BA$232&gt;=10,$BB$232&gt;=10)</f>
        <v>1</v>
      </c>
      <c r="BN92" s="84" t="str">
        <f>IF(BM92=TRUE,"O K","OVERLOAD")</f>
        <v>O K</v>
      </c>
      <c r="BO92" s="982">
        <f>IF(SUM(BQ91:CA91)&gt;0,K87,0)+IF(SUM(CB91:CR91)&gt;0,L87,0)+IF(SUM(CS91:DA91)&gt;0,M87,0)</f>
        <v>26.972353337828725</v>
      </c>
      <c r="BP92" s="788" t="s">
        <v>185</v>
      </c>
      <c r="BQ92" s="789">
        <v>-10</v>
      </c>
      <c r="BR92" s="789">
        <v>-9</v>
      </c>
      <c r="BS92" s="789">
        <v>-8</v>
      </c>
      <c r="BT92" s="789">
        <v>-7</v>
      </c>
      <c r="BU92" s="789">
        <v>-6</v>
      </c>
      <c r="BV92" s="789">
        <v>-5</v>
      </c>
      <c r="BW92" s="789">
        <v>-4</v>
      </c>
      <c r="BX92" s="789">
        <v>-3</v>
      </c>
      <c r="BY92" s="789">
        <v>-2</v>
      </c>
      <c r="BZ92" s="789">
        <v>-1</v>
      </c>
      <c r="CA92" s="789">
        <v>0</v>
      </c>
      <c r="CB92" s="789">
        <v>1</v>
      </c>
      <c r="CC92" s="789">
        <v>2</v>
      </c>
      <c r="CD92" s="789">
        <v>3</v>
      </c>
      <c r="CE92" s="789">
        <v>4</v>
      </c>
      <c r="CF92" s="789">
        <v>5</v>
      </c>
      <c r="CG92" s="789">
        <v>6</v>
      </c>
      <c r="CH92" s="789">
        <v>7</v>
      </c>
      <c r="CI92" s="789">
        <v>8</v>
      </c>
      <c r="CJ92" s="789">
        <v>9</v>
      </c>
      <c r="CK92" s="789">
        <v>10</v>
      </c>
      <c r="CL92" s="789">
        <v>11</v>
      </c>
      <c r="CM92" s="789">
        <v>12</v>
      </c>
      <c r="CN92" s="789">
        <v>13</v>
      </c>
      <c r="CO92" s="789">
        <v>14</v>
      </c>
      <c r="CP92" s="789">
        <v>15</v>
      </c>
      <c r="CQ92" s="789">
        <v>16</v>
      </c>
      <c r="CR92" s="789">
        <v>17</v>
      </c>
      <c r="CS92" s="789">
        <v>18</v>
      </c>
      <c r="CT92" s="789">
        <v>19</v>
      </c>
      <c r="CU92" s="789">
        <v>20</v>
      </c>
      <c r="CV92" s="789">
        <v>21</v>
      </c>
      <c r="CW92" s="789">
        <v>22</v>
      </c>
      <c r="CX92" s="789">
        <v>23</v>
      </c>
      <c r="CY92" s="789">
        <v>24</v>
      </c>
      <c r="CZ92" s="789">
        <v>25</v>
      </c>
      <c r="DA92" s="791">
        <v>26</v>
      </c>
      <c r="DB92" s="198"/>
      <c r="DC92" s="78"/>
      <c r="DD92" s="78"/>
      <c r="EK92" s="78"/>
      <c r="EL92" s="78"/>
    </row>
    <row r="93" spans="2:142" ht="94.5" customHeight="1" thickBot="1" x14ac:dyDescent="0.25">
      <c r="G93" s="998"/>
      <c r="H93"/>
      <c r="I93"/>
      <c r="J93"/>
      <c r="K93"/>
      <c r="L93"/>
      <c r="M93"/>
      <c r="N93"/>
      <c r="O93" s="995"/>
      <c r="BD93" s="136"/>
      <c r="BE93" s="136"/>
      <c r="BF93" s="136"/>
      <c r="BG93" s="136"/>
      <c r="BH93" s="136"/>
      <c r="BI93" s="136"/>
      <c r="BJ93" s="136"/>
      <c r="BK93" s="136"/>
      <c r="BL93" s="136"/>
      <c r="BM93" s="402"/>
      <c r="BN93" s="136"/>
      <c r="BP93" s="78"/>
      <c r="BQ93" s="199"/>
      <c r="BR93" s="199"/>
      <c r="BS93" s="199"/>
      <c r="BT93" s="199"/>
      <c r="BU93" s="199"/>
      <c r="BV93" s="199"/>
      <c r="BW93" s="199"/>
      <c r="BX93" s="199"/>
      <c r="BY93" s="199"/>
      <c r="BZ93" s="199"/>
      <c r="CA93" s="199"/>
      <c r="CB93" s="199"/>
      <c r="CC93" s="199"/>
      <c r="CD93" s="199"/>
      <c r="CE93" s="199"/>
      <c r="CF93" s="199"/>
      <c r="CG93" s="199"/>
      <c r="CH93" s="199"/>
      <c r="CI93" s="199"/>
      <c r="CJ93" s="199"/>
      <c r="CK93" s="199"/>
      <c r="CL93" s="199"/>
      <c r="CM93" s="199"/>
      <c r="CN93" s="199"/>
      <c r="CO93" s="199"/>
      <c r="CP93" s="199"/>
      <c r="CQ93" s="199"/>
      <c r="CR93" s="199"/>
      <c r="CS93" s="199"/>
      <c r="CT93" s="199"/>
      <c r="CU93" s="199"/>
      <c r="CV93" s="199"/>
      <c r="CW93" s="199"/>
      <c r="CX93" s="199"/>
      <c r="CY93" s="199"/>
      <c r="CZ93" s="199"/>
      <c r="DA93" s="199"/>
      <c r="DB93" s="199"/>
      <c r="DC93" s="78"/>
      <c r="DD93" s="78"/>
      <c r="EK93" s="78"/>
      <c r="EL93" s="78"/>
    </row>
    <row r="94" spans="2:142" ht="24" hidden="1" customHeight="1" thickBot="1" x14ac:dyDescent="0.3">
      <c r="E94" s="397"/>
      <c r="F94" s="397"/>
      <c r="G94" s="998"/>
      <c r="H94"/>
      <c r="I94"/>
      <c r="J94"/>
      <c r="K94"/>
      <c r="L94"/>
      <c r="M94"/>
      <c r="N94"/>
      <c r="O94" s="995"/>
      <c r="BN94" s="86"/>
      <c r="BO94" s="18"/>
      <c r="BP94" s="1582"/>
      <c r="BQ94" s="97"/>
      <c r="BR94" s="97"/>
      <c r="BS94" s="97"/>
      <c r="BT94" s="97"/>
      <c r="BU94" s="97"/>
      <c r="BV94" s="97"/>
      <c r="BW94" s="97"/>
      <c r="BX94" s="97"/>
      <c r="BY94" s="94"/>
      <c r="BZ94" s="94"/>
      <c r="CA94" s="89"/>
      <c r="CB94" s="89"/>
      <c r="CC94" s="89"/>
      <c r="CD94" s="89"/>
      <c r="CE94" s="89"/>
      <c r="CF94" s="89"/>
      <c r="CG94" s="89"/>
      <c r="CH94" s="89"/>
      <c r="CI94" s="89"/>
      <c r="CJ94" s="89"/>
      <c r="CK94" s="89"/>
      <c r="CL94" s="89"/>
      <c r="CM94" s="89"/>
      <c r="CN94" s="37"/>
      <c r="CO94" s="95"/>
      <c r="CP94" s="95"/>
      <c r="CQ94" s="95"/>
      <c r="CR94" s="95"/>
      <c r="CS94" s="92"/>
      <c r="CT94" s="92"/>
      <c r="CU94" s="92"/>
      <c r="CV94" s="92"/>
      <c r="CW94" s="92"/>
      <c r="CX94" s="92"/>
      <c r="CY94" s="92"/>
      <c r="CZ94" s="92"/>
      <c r="DA94" s="92"/>
      <c r="DB94" s="92"/>
      <c r="DC94" s="17"/>
      <c r="DD94" s="78"/>
    </row>
    <row r="95" spans="2:142" ht="24" hidden="1" customHeight="1" thickBot="1" x14ac:dyDescent="0.3">
      <c r="E95" s="397"/>
      <c r="F95" s="397"/>
      <c r="G95" s="998"/>
      <c r="H95"/>
      <c r="I95"/>
      <c r="J95"/>
      <c r="K95"/>
      <c r="L95"/>
      <c r="M95"/>
      <c r="N95"/>
      <c r="O95" s="995"/>
      <c r="BN95" s="86"/>
      <c r="BO95" s="18"/>
      <c r="BP95" s="1582">
        <v>36</v>
      </c>
      <c r="BQ95" s="97"/>
      <c r="BR95" s="97"/>
      <c r="BS95" s="97"/>
      <c r="BT95" s="97"/>
      <c r="BU95" s="97"/>
      <c r="BV95" s="97"/>
      <c r="BW95" s="97"/>
      <c r="BX95" s="97"/>
      <c r="BY95" s="94"/>
      <c r="BZ95" s="94"/>
      <c r="CA95" s="89"/>
      <c r="CB95" s="89"/>
      <c r="CC95" s="89"/>
      <c r="CD95" s="89"/>
      <c r="CE95" s="89"/>
      <c r="CF95" s="89"/>
      <c r="CG95" s="89"/>
      <c r="CH95" s="98"/>
      <c r="CI95" s="99"/>
      <c r="CJ95" s="100"/>
      <c r="CK95" s="89"/>
      <c r="CL95" s="89"/>
      <c r="CM95" s="89"/>
      <c r="CN95" s="37"/>
      <c r="CO95" s="95"/>
      <c r="CP95" s="95"/>
      <c r="CQ95" s="95"/>
      <c r="CR95" s="95"/>
      <c r="CS95" s="92"/>
      <c r="CT95" s="92"/>
      <c r="CU95" s="92"/>
      <c r="CV95" s="92"/>
      <c r="CW95" s="92"/>
      <c r="CX95" s="92"/>
      <c r="CY95" s="101" t="b">
        <f>IF(CZ88=36,35)</f>
        <v>0</v>
      </c>
      <c r="CZ95" s="102"/>
      <c r="DA95" s="103" t="b">
        <f>IF(CZ88=36,37)</f>
        <v>0</v>
      </c>
      <c r="DB95" s="92"/>
      <c r="DC95" s="17"/>
      <c r="DD95" s="78"/>
    </row>
    <row r="96" spans="2:142" ht="24" hidden="1" customHeight="1" thickBot="1" x14ac:dyDescent="0.3">
      <c r="E96" s="397"/>
      <c r="F96" s="397"/>
      <c r="G96" s="998"/>
      <c r="H96"/>
      <c r="I96"/>
      <c r="J96"/>
      <c r="K96"/>
      <c r="L96"/>
      <c r="M96"/>
      <c r="N96"/>
      <c r="O96" s="995"/>
      <c r="BN96" s="86"/>
      <c r="BO96" s="18"/>
      <c r="BP96" s="1582">
        <v>35</v>
      </c>
      <c r="BQ96" s="97"/>
      <c r="BR96" s="97"/>
      <c r="BS96" s="97"/>
      <c r="BT96" s="97"/>
      <c r="BU96" s="97"/>
      <c r="BV96" s="97"/>
      <c r="BW96" s="97"/>
      <c r="BX96" s="97"/>
      <c r="BY96" s="94"/>
      <c r="BZ96" s="94"/>
      <c r="CA96" s="89"/>
      <c r="CB96" s="89"/>
      <c r="CC96" s="89"/>
      <c r="CD96" s="89"/>
      <c r="CE96" s="89"/>
      <c r="CF96" s="89"/>
      <c r="CG96" s="89"/>
      <c r="CH96" s="104"/>
      <c r="CI96" s="89"/>
      <c r="CJ96" s="105"/>
      <c r="CK96" s="89"/>
      <c r="CL96" s="89"/>
      <c r="CM96" s="89"/>
      <c r="CN96" s="37"/>
      <c r="CO96" s="95"/>
      <c r="CP96" s="95"/>
      <c r="CQ96" s="95"/>
      <c r="CR96" s="95"/>
      <c r="CS96" s="92"/>
      <c r="CT96" s="92"/>
      <c r="CU96" s="92"/>
      <c r="CV96" s="92"/>
      <c r="CW96" s="101" t="b">
        <f>IF(CY88=35,33)</f>
        <v>0</v>
      </c>
      <c r="CX96" s="102"/>
      <c r="CY96" s="102"/>
      <c r="CZ96" s="102"/>
      <c r="DA96" s="103" t="b">
        <f>IF(CY88=35,37)</f>
        <v>0</v>
      </c>
      <c r="DB96" s="92"/>
      <c r="DC96" s="17"/>
      <c r="DD96" s="78"/>
    </row>
    <row r="97" spans="5:108" ht="24" hidden="1" customHeight="1" thickBot="1" x14ac:dyDescent="0.3">
      <c r="E97" s="397"/>
      <c r="F97" s="397"/>
      <c r="G97" s="998"/>
      <c r="H97"/>
      <c r="I97"/>
      <c r="J97"/>
      <c r="K97"/>
      <c r="L97"/>
      <c r="M97"/>
      <c r="N97"/>
      <c r="O97" s="995"/>
      <c r="BN97" s="86"/>
      <c r="BO97" s="18"/>
      <c r="BP97" s="1582">
        <v>34</v>
      </c>
      <c r="BQ97" s="97"/>
      <c r="BR97" s="97"/>
      <c r="BS97" s="97"/>
      <c r="BT97" s="97"/>
      <c r="BU97" s="97"/>
      <c r="BV97" s="97"/>
      <c r="BW97" s="97"/>
      <c r="BX97" s="97"/>
      <c r="BY97" s="94"/>
      <c r="BZ97" s="94"/>
      <c r="CA97" s="89"/>
      <c r="CB97" s="89"/>
      <c r="CC97" s="89"/>
      <c r="CD97" s="89"/>
      <c r="CE97" s="89"/>
      <c r="CF97" s="89"/>
      <c r="CG97" s="89"/>
      <c r="CH97" s="104"/>
      <c r="CI97" s="89"/>
      <c r="CJ97" s="105"/>
      <c r="CK97" s="89"/>
      <c r="CL97" s="89"/>
      <c r="CM97" s="89"/>
      <c r="CN97" s="37"/>
      <c r="CO97" s="95"/>
      <c r="CP97" s="95"/>
      <c r="CQ97" s="95"/>
      <c r="CR97" s="95"/>
      <c r="CS97" s="92"/>
      <c r="CT97" s="92"/>
      <c r="CU97" s="101" t="b">
        <f>IF(CX88=34,31)</f>
        <v>0</v>
      </c>
      <c r="CV97" s="102"/>
      <c r="CW97" s="102"/>
      <c r="CX97" s="102"/>
      <c r="CY97" s="102"/>
      <c r="CZ97" s="102"/>
      <c r="DA97" s="103" t="b">
        <f>IF(CX88=34,37)</f>
        <v>0</v>
      </c>
      <c r="DB97" s="92"/>
      <c r="DC97" s="17"/>
      <c r="DD97" s="78"/>
    </row>
    <row r="98" spans="5:108" ht="24" hidden="1" customHeight="1" thickBot="1" x14ac:dyDescent="0.3">
      <c r="E98" s="397"/>
      <c r="F98" s="397"/>
      <c r="G98" s="998"/>
      <c r="H98"/>
      <c r="I98"/>
      <c r="J98"/>
      <c r="K98"/>
      <c r="L98"/>
      <c r="M98"/>
      <c r="N98"/>
      <c r="O98" s="995"/>
      <c r="BN98" s="86"/>
      <c r="BO98" s="18"/>
      <c r="BP98" s="1582">
        <v>33</v>
      </c>
      <c r="BQ98" s="97"/>
      <c r="BR98" s="97"/>
      <c r="BS98" s="97"/>
      <c r="BT98" s="97"/>
      <c r="BU98" s="97"/>
      <c r="BV98" s="97"/>
      <c r="BW98" s="97"/>
      <c r="BX98" s="97"/>
      <c r="BY98" s="94"/>
      <c r="BZ98" s="94"/>
      <c r="CA98" s="89"/>
      <c r="CB98" s="89"/>
      <c r="CC98" s="89"/>
      <c r="CD98" s="89"/>
      <c r="CE98" s="89"/>
      <c r="CF98" s="89"/>
      <c r="CG98" s="89"/>
      <c r="CH98" s="104"/>
      <c r="CI98" s="89"/>
      <c r="CJ98" s="105"/>
      <c r="CK98" s="89"/>
      <c r="CL98" s="89"/>
      <c r="CM98" s="89"/>
      <c r="CN98" s="37"/>
      <c r="CO98" s="95"/>
      <c r="CP98" s="95"/>
      <c r="CQ98" s="95"/>
      <c r="CR98" s="95"/>
      <c r="CS98" s="101" t="b">
        <f>IF(CW88=33,29)</f>
        <v>0</v>
      </c>
      <c r="CT98" s="102"/>
      <c r="CU98" s="102"/>
      <c r="CV98" s="102"/>
      <c r="CW98" s="102"/>
      <c r="CX98" s="102"/>
      <c r="CY98" s="102"/>
      <c r="CZ98" s="102"/>
      <c r="DA98" s="103" t="b">
        <f>IF(CW88=33,37)</f>
        <v>0</v>
      </c>
      <c r="DB98" s="92"/>
      <c r="DC98" s="17"/>
      <c r="DD98" s="78"/>
    </row>
    <row r="99" spans="5:108" ht="21" hidden="1" customHeight="1" thickBot="1" x14ac:dyDescent="0.25">
      <c r="E99" s="397"/>
      <c r="F99" s="397"/>
      <c r="G99" s="998"/>
      <c r="H99"/>
      <c r="I99"/>
      <c r="J99"/>
      <c r="K99"/>
      <c r="L99"/>
      <c r="M99"/>
      <c r="N99"/>
      <c r="O99" s="995"/>
      <c r="BN99" s="86"/>
      <c r="BP99" s="1582">
        <v>32</v>
      </c>
      <c r="BQ99" s="107"/>
      <c r="BR99" s="107"/>
      <c r="BS99" s="107"/>
      <c r="BT99" s="107"/>
      <c r="BU99" s="107"/>
      <c r="BV99" s="108"/>
      <c r="BW99" s="107"/>
      <c r="BX99" s="107"/>
      <c r="BY99" s="107"/>
      <c r="BZ99" s="107"/>
      <c r="CA99" s="107"/>
      <c r="CB99" s="107"/>
      <c r="CC99" s="107"/>
      <c r="CD99" s="107"/>
      <c r="CE99" s="107"/>
      <c r="CF99" s="107"/>
      <c r="CG99" s="107"/>
      <c r="CH99" s="109"/>
      <c r="CI99" s="107"/>
      <c r="CJ99" s="110"/>
      <c r="CK99" s="107"/>
      <c r="CL99" s="107"/>
      <c r="CM99" s="107"/>
      <c r="CN99" s="108"/>
      <c r="CO99" s="78"/>
      <c r="CP99" s="78"/>
      <c r="CQ99" s="101" t="b">
        <f>IF(CV88=32,27)</f>
        <v>0</v>
      </c>
      <c r="CR99" s="111"/>
      <c r="CS99" s="111"/>
      <c r="CT99" s="111"/>
      <c r="CU99" s="111"/>
      <c r="CV99" s="111"/>
      <c r="CW99" s="111"/>
      <c r="CX99" s="111"/>
      <c r="CY99" s="111"/>
      <c r="CZ99" s="111"/>
      <c r="DA99" s="103" t="b">
        <f>IF(CV88=32,37)</f>
        <v>0</v>
      </c>
      <c r="DB99" s="78"/>
      <c r="DC99" s="78"/>
      <c r="DD99" s="78"/>
    </row>
    <row r="100" spans="5:108" ht="21" hidden="1" customHeight="1" thickBot="1" x14ac:dyDescent="0.25">
      <c r="E100" s="397"/>
      <c r="F100" s="397"/>
      <c r="G100" s="998"/>
      <c r="H100"/>
      <c r="I100"/>
      <c r="J100"/>
      <c r="K100"/>
      <c r="L100"/>
      <c r="M100"/>
      <c r="N100"/>
      <c r="O100" s="995"/>
      <c r="BN100" s="86"/>
      <c r="BP100" s="1582">
        <v>31</v>
      </c>
      <c r="BQ100" s="107"/>
      <c r="BR100" s="107"/>
      <c r="BS100" s="107"/>
      <c r="BT100" s="107"/>
      <c r="BU100" s="107"/>
      <c r="BV100" s="108"/>
      <c r="BW100" s="107"/>
      <c r="BX100" s="107"/>
      <c r="BY100" s="107"/>
      <c r="BZ100" s="107"/>
      <c r="CA100" s="107"/>
      <c r="CB100" s="107"/>
      <c r="CC100" s="107"/>
      <c r="CD100" s="107"/>
      <c r="CE100" s="107"/>
      <c r="CF100" s="107"/>
      <c r="CG100" s="107"/>
      <c r="CH100" s="109"/>
      <c r="CI100" s="107"/>
      <c r="CJ100" s="110"/>
      <c r="CK100" s="107"/>
      <c r="CL100" s="107"/>
      <c r="CM100" s="107"/>
      <c r="CN100" s="108"/>
      <c r="CO100" s="101" t="b">
        <f>IF(CU88=31,25)</f>
        <v>0</v>
      </c>
      <c r="CP100" s="111"/>
      <c r="CQ100" s="111"/>
      <c r="CR100" s="111"/>
      <c r="CS100" s="111"/>
      <c r="CT100" s="111"/>
      <c r="CU100" s="111"/>
      <c r="CV100" s="111"/>
      <c r="CW100" s="111"/>
      <c r="CX100" s="111"/>
      <c r="CY100" s="111"/>
      <c r="CZ100" s="111"/>
      <c r="DA100" s="103" t="b">
        <f>IF(CU88=31,37)</f>
        <v>0</v>
      </c>
      <c r="DB100" s="78"/>
      <c r="DC100" s="78"/>
      <c r="DD100" s="78"/>
    </row>
    <row r="101" spans="5:108" ht="21" hidden="1" customHeight="1" thickBot="1" x14ac:dyDescent="0.25">
      <c r="E101" s="397"/>
      <c r="F101" s="397"/>
      <c r="G101" s="998"/>
      <c r="H101"/>
      <c r="I101"/>
      <c r="J101"/>
      <c r="K101"/>
      <c r="L101"/>
      <c r="M101"/>
      <c r="N101"/>
      <c r="O101" s="995"/>
      <c r="BN101" s="86"/>
      <c r="BP101" s="1582">
        <v>30</v>
      </c>
      <c r="BQ101" s="107"/>
      <c r="BR101" s="107"/>
      <c r="BS101" s="107"/>
      <c r="BT101" s="107"/>
      <c r="BU101" s="107"/>
      <c r="BV101" s="108"/>
      <c r="BW101" s="107"/>
      <c r="BX101" s="107"/>
      <c r="BY101" s="107"/>
      <c r="BZ101" s="107"/>
      <c r="CA101" s="107"/>
      <c r="CB101" s="107"/>
      <c r="CC101" s="107"/>
      <c r="CD101" s="107"/>
      <c r="CE101" s="107"/>
      <c r="CF101" s="107"/>
      <c r="CG101" s="107"/>
      <c r="CH101" s="109"/>
      <c r="CI101" s="107"/>
      <c r="CJ101" s="110"/>
      <c r="CK101" s="107"/>
      <c r="CL101" s="107"/>
      <c r="CM101" s="101" t="b">
        <f>IF(CT88=30,23)</f>
        <v>0</v>
      </c>
      <c r="CN101" s="112"/>
      <c r="CO101" s="111"/>
      <c r="CP101" s="111"/>
      <c r="CQ101" s="111"/>
      <c r="CR101" s="111"/>
      <c r="CS101" s="111"/>
      <c r="CT101" s="111"/>
      <c r="CU101" s="111"/>
      <c r="CV101" s="111"/>
      <c r="CW101" s="111"/>
      <c r="CX101" s="111"/>
      <c r="CY101" s="111"/>
      <c r="CZ101" s="111"/>
      <c r="DA101" s="103" t="b">
        <f>IF(CT88=30,37)</f>
        <v>0</v>
      </c>
      <c r="DB101" s="78"/>
      <c r="DC101" s="78"/>
      <c r="DD101" s="78"/>
    </row>
    <row r="102" spans="5:108" ht="21" hidden="1" customHeight="1" thickBot="1" x14ac:dyDescent="0.25">
      <c r="E102" s="397"/>
      <c r="F102" s="397"/>
      <c r="G102" s="998"/>
      <c r="H102"/>
      <c r="I102"/>
      <c r="J102"/>
      <c r="K102"/>
      <c r="L102"/>
      <c r="M102"/>
      <c r="N102"/>
      <c r="O102" s="995"/>
      <c r="BE102" s="114"/>
      <c r="BF102" s="114"/>
      <c r="BG102" s="114"/>
      <c r="BH102" s="114"/>
      <c r="BN102" s="86"/>
      <c r="BO102" s="114"/>
      <c r="BP102" s="1582">
        <v>29</v>
      </c>
      <c r="BQ102" s="78"/>
      <c r="BR102" s="78"/>
      <c r="BS102" s="78"/>
      <c r="BT102" s="78"/>
      <c r="BU102" s="78"/>
      <c r="BV102" s="78"/>
      <c r="BW102" s="78"/>
      <c r="BX102" s="78"/>
      <c r="BY102" s="78"/>
      <c r="BZ102" s="78"/>
      <c r="CA102" s="78"/>
      <c r="CB102" s="78"/>
      <c r="CC102" s="78"/>
      <c r="CD102" s="78"/>
      <c r="CE102" s="78"/>
      <c r="CF102" s="78"/>
      <c r="CG102" s="78"/>
      <c r="CH102" s="115"/>
      <c r="CI102" s="78"/>
      <c r="CJ102" s="116"/>
      <c r="CK102" s="117" t="b">
        <f>IF(CS88=29,21)</f>
        <v>0</v>
      </c>
      <c r="CL102" s="111"/>
      <c r="CM102" s="111"/>
      <c r="CN102" s="111"/>
      <c r="CO102" s="111"/>
      <c r="CP102" s="111"/>
      <c r="CQ102" s="111"/>
      <c r="CR102" s="118"/>
      <c r="CS102" s="111"/>
      <c r="CT102" s="118"/>
      <c r="CU102" s="119"/>
      <c r="CV102" s="119"/>
      <c r="CW102" s="119"/>
      <c r="CX102" s="119"/>
      <c r="CY102" s="119"/>
      <c r="CZ102" s="119"/>
      <c r="DA102" s="103" t="b">
        <f>IF(CS88=29,37)</f>
        <v>0</v>
      </c>
      <c r="DB102" s="76"/>
      <c r="DC102" s="78"/>
      <c r="DD102" s="78"/>
    </row>
    <row r="103" spans="5:108" ht="21" hidden="1" customHeight="1" thickBot="1" x14ac:dyDescent="0.25">
      <c r="E103" s="397"/>
      <c r="F103" s="397"/>
      <c r="G103" s="998"/>
      <c r="H103"/>
      <c r="I103"/>
      <c r="J103"/>
      <c r="K103"/>
      <c r="L103"/>
      <c r="M103"/>
      <c r="N103"/>
      <c r="O103" s="995"/>
      <c r="BE103" s="114"/>
      <c r="BF103" s="114"/>
      <c r="BG103" s="114"/>
      <c r="BH103" s="114"/>
      <c r="BN103" s="86"/>
      <c r="BO103" s="114"/>
      <c r="BP103" s="1582">
        <v>28</v>
      </c>
      <c r="BQ103" s="78"/>
      <c r="BR103" s="78"/>
      <c r="BS103" s="78"/>
      <c r="BT103" s="78"/>
      <c r="BU103" s="78"/>
      <c r="BV103" s="78"/>
      <c r="BW103" s="78"/>
      <c r="BX103" s="78"/>
      <c r="BY103" s="78"/>
      <c r="BZ103" s="78"/>
      <c r="CA103" s="78"/>
      <c r="CB103" s="78"/>
      <c r="CC103" s="78"/>
      <c r="CD103" s="78"/>
      <c r="CE103" s="78"/>
      <c r="CF103" s="78"/>
      <c r="CG103" s="78"/>
      <c r="CH103" s="115"/>
      <c r="CI103" s="78"/>
      <c r="CJ103" s="116"/>
      <c r="CK103" s="120" t="b">
        <f>IF(CR88=28,21)</f>
        <v>0</v>
      </c>
      <c r="CL103" s="121"/>
      <c r="CM103" s="121"/>
      <c r="CN103" s="121"/>
      <c r="CO103" s="121"/>
      <c r="CP103" s="122"/>
      <c r="CQ103" s="121"/>
      <c r="CR103" s="121"/>
      <c r="CS103" s="121"/>
      <c r="CT103" s="122"/>
      <c r="CU103" s="123"/>
      <c r="CV103" s="123"/>
      <c r="CW103" s="123"/>
      <c r="CX103" s="123"/>
      <c r="CY103" s="124" t="b">
        <f>IF(CR88=28,35)</f>
        <v>0</v>
      </c>
      <c r="CZ103" s="76"/>
      <c r="DA103" s="76"/>
      <c r="DB103" s="76"/>
      <c r="DC103" s="78"/>
      <c r="DD103" s="78"/>
    </row>
    <row r="104" spans="5:108" ht="21" hidden="1" customHeight="1" thickBot="1" x14ac:dyDescent="0.25">
      <c r="E104" s="397"/>
      <c r="F104" s="397"/>
      <c r="G104" s="998"/>
      <c r="H104"/>
      <c r="I104"/>
      <c r="J104"/>
      <c r="K104"/>
      <c r="L104"/>
      <c r="M104"/>
      <c r="N104"/>
      <c r="O104" s="995"/>
      <c r="BE104" s="114"/>
      <c r="BF104" s="114"/>
      <c r="BG104" s="114"/>
      <c r="BH104" s="114"/>
      <c r="BN104" s="86"/>
      <c r="BO104" s="114"/>
      <c r="BP104" s="1582">
        <v>27</v>
      </c>
      <c r="BQ104" s="78"/>
      <c r="BR104" s="78"/>
      <c r="BS104" s="78"/>
      <c r="BT104" s="78"/>
      <c r="BU104" s="78"/>
      <c r="BV104" s="78"/>
      <c r="BW104" s="78"/>
      <c r="BX104" s="78"/>
      <c r="BY104" s="78"/>
      <c r="BZ104" s="78"/>
      <c r="CA104" s="78"/>
      <c r="CB104" s="78"/>
      <c r="CC104" s="78"/>
      <c r="CD104" s="78"/>
      <c r="CE104" s="78"/>
      <c r="CF104" s="78"/>
      <c r="CG104" s="78"/>
      <c r="CH104" s="115"/>
      <c r="CI104" s="78"/>
      <c r="CJ104" s="116"/>
      <c r="CK104" s="120" t="b">
        <f>IF(CQ88=27,21)</f>
        <v>0</v>
      </c>
      <c r="CL104" s="121"/>
      <c r="CM104" s="121"/>
      <c r="CN104" s="122"/>
      <c r="CO104" s="121"/>
      <c r="CP104" s="121"/>
      <c r="CQ104" s="121"/>
      <c r="CR104" s="121"/>
      <c r="CS104" s="121"/>
      <c r="CT104" s="122"/>
      <c r="CU104" s="123"/>
      <c r="CV104" s="123"/>
      <c r="CW104" s="124" t="b">
        <f>IF(CQ88=27,33)</f>
        <v>0</v>
      </c>
      <c r="CX104" s="76"/>
      <c r="CY104" s="76"/>
      <c r="CZ104" s="76"/>
      <c r="DA104" s="76"/>
      <c r="DB104" s="76"/>
      <c r="DC104" s="78"/>
      <c r="DD104" s="78"/>
    </row>
    <row r="105" spans="5:108" ht="21" hidden="1" customHeight="1" thickBot="1" x14ac:dyDescent="0.25">
      <c r="E105" s="397"/>
      <c r="F105" s="397"/>
      <c r="G105" s="998"/>
      <c r="H105"/>
      <c r="I105"/>
      <c r="J105"/>
      <c r="K105"/>
      <c r="L105"/>
      <c r="M105"/>
      <c r="N105"/>
      <c r="O105" s="995"/>
      <c r="BN105" s="86"/>
      <c r="BP105" s="1582">
        <v>26</v>
      </c>
      <c r="BQ105" s="78"/>
      <c r="BR105" s="78"/>
      <c r="BS105" s="78"/>
      <c r="BT105" s="78"/>
      <c r="BU105" s="78"/>
      <c r="BV105" s="78"/>
      <c r="BW105" s="78"/>
      <c r="BX105" s="78"/>
      <c r="BY105" s="78"/>
      <c r="BZ105" s="78"/>
      <c r="CA105" s="78"/>
      <c r="CB105" s="78"/>
      <c r="CC105" s="78"/>
      <c r="CD105" s="78"/>
      <c r="CE105" s="78"/>
      <c r="CF105" s="78"/>
      <c r="CG105" s="78"/>
      <c r="CH105" s="115"/>
      <c r="CI105" s="78"/>
      <c r="CJ105" s="116"/>
      <c r="CK105" s="120" t="b">
        <f>IF(CP88=26,21)</f>
        <v>0</v>
      </c>
      <c r="CL105" s="122"/>
      <c r="CM105" s="121"/>
      <c r="CN105" s="121"/>
      <c r="CO105" s="121"/>
      <c r="CP105" s="121"/>
      <c r="CQ105" s="121"/>
      <c r="CR105" s="121"/>
      <c r="CS105" s="121"/>
      <c r="CT105" s="122"/>
      <c r="CU105" s="124" t="b">
        <f>IF(CP88=26,31)</f>
        <v>0</v>
      </c>
      <c r="CV105" s="76"/>
      <c r="CW105" s="76"/>
      <c r="CX105" s="76"/>
      <c r="CY105" s="76"/>
      <c r="CZ105" s="76"/>
      <c r="DA105" s="76"/>
      <c r="DB105" s="76"/>
      <c r="DC105" s="78"/>
      <c r="DD105" s="78"/>
    </row>
    <row r="106" spans="5:108" ht="21" hidden="1" customHeight="1" thickBot="1" x14ac:dyDescent="0.25">
      <c r="E106" s="397"/>
      <c r="F106" s="397"/>
      <c r="G106" s="998"/>
      <c r="H106"/>
      <c r="I106"/>
      <c r="J106"/>
      <c r="K106"/>
      <c r="L106"/>
      <c r="M106"/>
      <c r="N106"/>
      <c r="O106" s="995"/>
      <c r="BE106" s="126"/>
      <c r="BF106" s="126"/>
      <c r="BG106" s="126"/>
      <c r="BH106" s="126"/>
      <c r="BN106" s="86"/>
      <c r="BO106" s="126"/>
      <c r="BP106" s="1582">
        <v>25</v>
      </c>
      <c r="BQ106" s="78"/>
      <c r="BR106" s="78"/>
      <c r="BS106" s="78"/>
      <c r="BT106" s="78"/>
      <c r="BU106" s="78"/>
      <c r="BV106" s="78"/>
      <c r="BW106" s="78"/>
      <c r="BX106" s="78"/>
      <c r="BY106" s="78"/>
      <c r="BZ106" s="78"/>
      <c r="CA106" s="78"/>
      <c r="CC106" s="78"/>
      <c r="CD106" s="78"/>
      <c r="CE106" s="78"/>
      <c r="CF106" s="78"/>
      <c r="CG106" s="78"/>
      <c r="CH106" s="115"/>
      <c r="CI106" s="78"/>
      <c r="CK106" s="128" t="b">
        <f>IF(CO88=25,21)</f>
        <v>0</v>
      </c>
      <c r="CL106" s="121"/>
      <c r="CM106" s="121"/>
      <c r="CN106" s="121"/>
      <c r="CO106" s="121"/>
      <c r="CP106" s="121"/>
      <c r="CQ106" s="121"/>
      <c r="CR106" s="121"/>
      <c r="CS106" s="124" t="b">
        <f>IF(CO88=25,29)</f>
        <v>0</v>
      </c>
      <c r="CU106" s="76"/>
      <c r="CV106" s="76"/>
      <c r="CW106" s="76"/>
      <c r="CX106" s="76"/>
      <c r="CY106" s="76"/>
      <c r="CZ106" s="76"/>
      <c r="DA106" s="76"/>
      <c r="DB106" s="76"/>
      <c r="DC106" s="78"/>
      <c r="DD106" s="78"/>
    </row>
    <row r="107" spans="5:108" ht="21" hidden="1" customHeight="1" thickBot="1" x14ac:dyDescent="0.25">
      <c r="E107" s="397"/>
      <c r="F107" s="397"/>
      <c r="G107" s="998"/>
      <c r="H107"/>
      <c r="I107"/>
      <c r="J107"/>
      <c r="K107"/>
      <c r="L107"/>
      <c r="M107"/>
      <c r="N107"/>
      <c r="O107" s="995"/>
      <c r="BE107" s="126"/>
      <c r="BF107" s="126"/>
      <c r="BG107" s="126"/>
      <c r="BH107" s="126"/>
      <c r="BN107" s="86"/>
      <c r="BO107" s="126"/>
      <c r="BP107" s="1582">
        <v>24</v>
      </c>
      <c r="BQ107" s="78"/>
      <c r="BR107" s="78"/>
      <c r="BS107" s="78"/>
      <c r="BT107" s="78"/>
      <c r="BU107" s="78"/>
      <c r="BV107" s="78"/>
      <c r="BW107" s="78"/>
      <c r="BX107" s="78"/>
      <c r="BY107" s="78"/>
      <c r="BZ107" s="78"/>
      <c r="CA107" s="78"/>
      <c r="CB107" s="117" t="b">
        <f>IF(CN88=24,12)</f>
        <v>0</v>
      </c>
      <c r="CC107" s="111"/>
      <c r="CD107" s="111"/>
      <c r="CE107" s="111"/>
      <c r="CF107" s="111"/>
      <c r="CG107" s="111"/>
      <c r="CH107" s="118"/>
      <c r="CI107" s="111"/>
      <c r="CJ107" s="129"/>
      <c r="CK107" s="111"/>
      <c r="CL107" s="111"/>
      <c r="CM107" s="111"/>
      <c r="CN107" s="111"/>
      <c r="CO107" s="111"/>
      <c r="CP107" s="111"/>
      <c r="CQ107" s="111"/>
      <c r="CR107" s="111"/>
      <c r="CS107" s="111"/>
      <c r="CT107" s="118"/>
      <c r="CU107" s="119"/>
      <c r="CV107" s="119"/>
      <c r="CW107" s="119"/>
      <c r="CX107" s="119"/>
      <c r="CY107" s="119"/>
      <c r="CZ107" s="103" t="b">
        <f>IF(CN88=24,36)</f>
        <v>0</v>
      </c>
      <c r="DA107" s="76"/>
      <c r="DB107" s="76"/>
      <c r="DC107" s="78"/>
      <c r="DD107" s="78"/>
    </row>
    <row r="108" spans="5:108" ht="21" hidden="1" customHeight="1" thickBot="1" x14ac:dyDescent="0.25">
      <c r="E108" s="397"/>
      <c r="F108" s="397"/>
      <c r="G108" s="998"/>
      <c r="H108"/>
      <c r="I108"/>
      <c r="J108"/>
      <c r="K108"/>
      <c r="L108"/>
      <c r="M108"/>
      <c r="N108"/>
      <c r="O108" s="995"/>
      <c r="BE108" s="126"/>
      <c r="BF108" s="126"/>
      <c r="BG108" s="126"/>
      <c r="BH108" s="126"/>
      <c r="BN108" s="86"/>
      <c r="BO108" s="126"/>
      <c r="BP108" s="1582">
        <v>23</v>
      </c>
      <c r="BQ108" s="78"/>
      <c r="BR108" s="78"/>
      <c r="BS108" s="78"/>
      <c r="BT108" s="78"/>
      <c r="BU108" s="78"/>
      <c r="BV108" s="78"/>
      <c r="BW108" s="78"/>
      <c r="BX108" s="78"/>
      <c r="BY108" s="78"/>
      <c r="BZ108" s="78"/>
      <c r="CA108" s="78"/>
      <c r="CB108" s="120" t="b">
        <f>IF(CM88=23,12)</f>
        <v>0</v>
      </c>
      <c r="CC108" s="121"/>
      <c r="CD108" s="121"/>
      <c r="CE108" s="121"/>
      <c r="CF108" s="122"/>
      <c r="CG108" s="121"/>
      <c r="CH108" s="132"/>
      <c r="CI108" s="121"/>
      <c r="CJ108" s="133"/>
      <c r="CK108" s="121"/>
      <c r="CL108" s="121"/>
      <c r="CM108" s="121"/>
      <c r="CN108" s="121"/>
      <c r="CO108" s="121"/>
      <c r="CP108" s="121"/>
      <c r="CQ108" s="121"/>
      <c r="CR108" s="121"/>
      <c r="CS108" s="121"/>
      <c r="CT108" s="122"/>
      <c r="CU108" s="123"/>
      <c r="CV108" s="123"/>
      <c r="CW108" s="123"/>
      <c r="CX108" s="124" t="b">
        <f>IF(CM88=23,34)</f>
        <v>0</v>
      </c>
      <c r="CY108" s="76"/>
      <c r="CZ108" s="76"/>
      <c r="DA108" s="76"/>
      <c r="DB108" s="76"/>
      <c r="DC108" s="78"/>
      <c r="DD108" s="78"/>
    </row>
    <row r="109" spans="5:108" ht="21" hidden="1" customHeight="1" thickBot="1" x14ac:dyDescent="0.25">
      <c r="E109" s="397"/>
      <c r="F109" s="397"/>
      <c r="G109" s="998"/>
      <c r="H109"/>
      <c r="I109"/>
      <c r="J109"/>
      <c r="K109"/>
      <c r="L109"/>
      <c r="M109"/>
      <c r="N109"/>
      <c r="O109" s="995"/>
      <c r="U109" s="114"/>
      <c r="AB109" s="114"/>
      <c r="AC109" s="114"/>
      <c r="AD109" s="114"/>
      <c r="AE109" s="114"/>
      <c r="BE109" s="126"/>
      <c r="BF109" s="126"/>
      <c r="BG109" s="126"/>
      <c r="BH109" s="126"/>
      <c r="BN109" s="86"/>
      <c r="BO109" s="126"/>
      <c r="BP109" s="1582">
        <v>22</v>
      </c>
      <c r="BQ109" s="76"/>
      <c r="BR109" s="76"/>
      <c r="BS109" s="76"/>
      <c r="BT109" s="76"/>
      <c r="BU109" s="76"/>
      <c r="BV109" s="76"/>
      <c r="BW109" s="76"/>
      <c r="BX109" s="76"/>
      <c r="BY109" s="76"/>
      <c r="BZ109" s="76"/>
      <c r="CA109" s="76"/>
      <c r="CB109" s="120" t="b">
        <f>IF(CL88=22,12)</f>
        <v>0</v>
      </c>
      <c r="CC109" s="123"/>
      <c r="CD109" s="123"/>
      <c r="CE109" s="123"/>
      <c r="CF109" s="122"/>
      <c r="CG109" s="123"/>
      <c r="CH109" s="134"/>
      <c r="CI109" s="123"/>
      <c r="CJ109" s="135"/>
      <c r="CK109" s="123"/>
      <c r="CL109" s="123"/>
      <c r="CM109" s="123"/>
      <c r="CN109" s="123"/>
      <c r="CO109" s="121"/>
      <c r="CP109" s="121"/>
      <c r="CQ109" s="122"/>
      <c r="CR109" s="121"/>
      <c r="CS109" s="121"/>
      <c r="CT109" s="121"/>
      <c r="CU109" s="121"/>
      <c r="CV109" s="124" t="b">
        <f>IF(CL88=22,32)</f>
        <v>0</v>
      </c>
      <c r="CW109" s="78"/>
      <c r="CX109" s="78"/>
      <c r="CY109" s="78"/>
      <c r="CZ109" s="78"/>
      <c r="DA109" s="78"/>
      <c r="DB109" s="78"/>
      <c r="DC109" s="78"/>
      <c r="DD109" s="78"/>
    </row>
    <row r="110" spans="5:108" ht="21" hidden="1" customHeight="1" thickBot="1" x14ac:dyDescent="0.25">
      <c r="E110" s="397"/>
      <c r="F110" s="397"/>
      <c r="G110" s="998"/>
      <c r="H110"/>
      <c r="I110"/>
      <c r="J110"/>
      <c r="K110"/>
      <c r="L110"/>
      <c r="M110"/>
      <c r="N110"/>
      <c r="O110" s="995"/>
      <c r="BE110" s="126"/>
      <c r="BF110" s="126"/>
      <c r="BG110" s="126"/>
      <c r="BH110" s="126"/>
      <c r="BN110" s="86"/>
      <c r="BO110" s="126"/>
      <c r="BP110" s="1582">
        <v>21</v>
      </c>
      <c r="BQ110" s="78"/>
      <c r="BR110" s="78"/>
      <c r="BS110" s="78"/>
      <c r="BT110" s="78"/>
      <c r="BU110" s="78"/>
      <c r="BV110" s="78"/>
      <c r="BW110" s="78"/>
      <c r="BX110" s="78"/>
      <c r="BY110" s="78"/>
      <c r="BZ110" s="78"/>
      <c r="CA110" s="78"/>
      <c r="CB110" s="120" t="b">
        <f>IF(CK88=21,12)</f>
        <v>0</v>
      </c>
      <c r="CC110" s="121"/>
      <c r="CD110" s="121"/>
      <c r="CE110" s="121"/>
      <c r="CF110" s="121"/>
      <c r="CG110" s="121"/>
      <c r="CH110" s="132"/>
      <c r="CI110" s="121"/>
      <c r="CJ110" s="133"/>
      <c r="CK110" s="121"/>
      <c r="CL110" s="121"/>
      <c r="CM110" s="121"/>
      <c r="CN110" s="121"/>
      <c r="CO110" s="121"/>
      <c r="CP110" s="121"/>
      <c r="CQ110" s="121"/>
      <c r="CR110" s="121"/>
      <c r="CS110" s="121"/>
      <c r="CT110" s="124" t="b">
        <f>IF(CK88=21,30)</f>
        <v>0</v>
      </c>
      <c r="CU110" s="76"/>
      <c r="CV110" s="76"/>
      <c r="CW110" s="76"/>
      <c r="CX110" s="76"/>
      <c r="CY110" s="76"/>
      <c r="CZ110" s="76"/>
      <c r="DA110" s="76"/>
      <c r="DB110" s="76"/>
      <c r="DC110" s="78"/>
      <c r="DD110" s="78"/>
    </row>
    <row r="111" spans="5:108" ht="21" hidden="1" customHeight="1" thickBot="1" x14ac:dyDescent="0.25">
      <c r="E111" s="397"/>
      <c r="F111" s="397"/>
      <c r="G111" s="998"/>
      <c r="H111"/>
      <c r="I111"/>
      <c r="J111"/>
      <c r="K111"/>
      <c r="L111"/>
      <c r="M111"/>
      <c r="N111"/>
      <c r="O111" s="995"/>
      <c r="T111" s="401"/>
      <c r="BE111" s="136"/>
      <c r="BF111" s="136"/>
      <c r="BG111" s="136"/>
      <c r="BH111" s="136"/>
      <c r="BN111" s="86"/>
      <c r="BO111" s="1091"/>
      <c r="BP111" s="1582">
        <v>20</v>
      </c>
      <c r="BQ111" s="78"/>
      <c r="BR111" s="78"/>
      <c r="BS111" s="78"/>
      <c r="BT111" s="78"/>
      <c r="BU111" s="78"/>
      <c r="BV111" s="78"/>
      <c r="BW111" s="78"/>
      <c r="BX111" s="78"/>
      <c r="CA111" s="137"/>
      <c r="CB111" s="117" t="b">
        <f>IF(CJ88=20,12)</f>
        <v>0</v>
      </c>
      <c r="CC111" s="111"/>
      <c r="CD111" s="111"/>
      <c r="CE111" s="111"/>
      <c r="CF111" s="111"/>
      <c r="CG111" s="111"/>
      <c r="CH111" s="138"/>
      <c r="CI111" s="111"/>
      <c r="CJ111" s="129"/>
      <c r="CK111" s="111"/>
      <c r="CL111" s="111"/>
      <c r="CM111" s="111"/>
      <c r="CN111" s="111"/>
      <c r="CO111" s="111"/>
      <c r="CP111" s="111"/>
      <c r="CQ111" s="111"/>
      <c r="CR111" s="103" t="b">
        <f>IF(CJ88=20,28)</f>
        <v>0</v>
      </c>
      <c r="CS111" s="137"/>
      <c r="CU111" s="76"/>
      <c r="CV111" s="76"/>
      <c r="CW111" s="76"/>
      <c r="CX111" s="76"/>
      <c r="CY111" s="76"/>
      <c r="CZ111" s="76"/>
      <c r="DA111" s="76"/>
      <c r="DB111" s="76"/>
      <c r="DC111" s="78"/>
      <c r="DD111" s="78"/>
    </row>
    <row r="112" spans="5:108" ht="21" hidden="1" customHeight="1" thickBot="1" x14ac:dyDescent="0.25">
      <c r="E112" s="397"/>
      <c r="F112" s="397"/>
      <c r="G112" s="998"/>
      <c r="H112"/>
      <c r="I112"/>
      <c r="J112"/>
      <c r="K112"/>
      <c r="L112"/>
      <c r="M112"/>
      <c r="N112"/>
      <c r="O112" s="995"/>
      <c r="U112" s="114"/>
      <c r="AB112" s="114"/>
      <c r="AC112" s="114"/>
      <c r="AD112" s="114"/>
      <c r="AE112" s="114"/>
      <c r="BE112" s="136"/>
      <c r="BF112" s="136"/>
      <c r="BG112" s="136"/>
      <c r="BH112" s="136"/>
      <c r="BN112" s="86"/>
      <c r="BO112" s="1091"/>
      <c r="BP112" s="1582">
        <v>19</v>
      </c>
      <c r="BQ112" s="78"/>
      <c r="BR112" s="78"/>
      <c r="BS112" s="78"/>
      <c r="BT112" s="78"/>
      <c r="BU112" s="78"/>
      <c r="BV112" s="78"/>
      <c r="BW112" s="78"/>
      <c r="BX112" s="78"/>
      <c r="BZ112" s="139"/>
      <c r="CA112" s="139"/>
      <c r="CB112" s="117" t="b">
        <f>IF(CI88=19,12)</f>
        <v>0</v>
      </c>
      <c r="CC112" s="119"/>
      <c r="CD112" s="119"/>
      <c r="CE112" s="118"/>
      <c r="CF112" s="119"/>
      <c r="CG112" s="119"/>
      <c r="CH112" s="140"/>
      <c r="CI112" s="119"/>
      <c r="CJ112" s="141"/>
      <c r="CK112" s="118"/>
      <c r="CL112" s="119"/>
      <c r="CM112" s="119"/>
      <c r="CN112" s="119"/>
      <c r="CO112" s="111"/>
      <c r="CP112" s="103" t="b">
        <f>IF(CI88=19,26)</f>
        <v>0</v>
      </c>
      <c r="CQ112" s="142"/>
      <c r="CR112" s="137"/>
      <c r="CT112" s="78"/>
      <c r="CU112" s="78"/>
      <c r="CV112" s="78"/>
      <c r="CW112" s="78"/>
      <c r="CX112" s="78"/>
      <c r="CY112" s="78"/>
      <c r="CZ112" s="78"/>
      <c r="DA112" s="78"/>
      <c r="DB112" s="78"/>
      <c r="DC112" s="78"/>
      <c r="DD112" s="78"/>
    </row>
    <row r="113" spans="2:108" ht="21" hidden="1" customHeight="1" thickBot="1" x14ac:dyDescent="0.25">
      <c r="E113" s="397"/>
      <c r="F113" s="397"/>
      <c r="G113" s="998"/>
      <c r="H113"/>
      <c r="I113"/>
      <c r="J113"/>
      <c r="K113"/>
      <c r="L113"/>
      <c r="M113"/>
      <c r="N113"/>
      <c r="O113" s="995"/>
      <c r="U113" s="114"/>
      <c r="AB113" s="114"/>
      <c r="AC113" s="114"/>
      <c r="AD113" s="114"/>
      <c r="AE113" s="114"/>
      <c r="BE113" s="136"/>
      <c r="BF113" s="136"/>
      <c r="BG113" s="136"/>
      <c r="BH113" s="136"/>
      <c r="BN113" s="86"/>
      <c r="BO113" s="1091"/>
      <c r="BP113" s="1582">
        <v>18</v>
      </c>
      <c r="BQ113" s="76"/>
      <c r="BR113" s="76"/>
      <c r="BS113" s="76"/>
      <c r="BT113" s="76"/>
      <c r="BU113" s="76"/>
      <c r="BV113" s="76"/>
      <c r="BW113" s="76"/>
      <c r="BX113" s="76"/>
      <c r="BZ113" s="117" t="b">
        <f>IF(CH88=18,10)</f>
        <v>0</v>
      </c>
      <c r="CA113" s="119"/>
      <c r="CB113" s="119"/>
      <c r="CC113" s="119"/>
      <c r="CD113" s="119"/>
      <c r="CE113" s="118"/>
      <c r="CF113" s="119"/>
      <c r="CG113" s="119"/>
      <c r="CH113" s="140"/>
      <c r="CI113" s="119"/>
      <c r="CJ113" s="141"/>
      <c r="CK113" s="118"/>
      <c r="CL113" s="119"/>
      <c r="CM113" s="119"/>
      <c r="CN113" s="119"/>
      <c r="CO113" s="111"/>
      <c r="CP113" s="103" t="b">
        <f>IF(CH88=18,26)</f>
        <v>0</v>
      </c>
      <c r="CR113" s="78"/>
      <c r="CS113" s="78"/>
      <c r="CT113" s="78"/>
      <c r="CU113" s="78"/>
      <c r="CV113" s="78"/>
      <c r="CW113" s="78"/>
      <c r="CX113" s="78"/>
      <c r="CY113" s="78"/>
      <c r="CZ113" s="78"/>
      <c r="DA113" s="78"/>
      <c r="DB113" s="78"/>
      <c r="DC113" s="78"/>
      <c r="DD113" s="78"/>
    </row>
    <row r="114" spans="2:108" ht="21" hidden="1" customHeight="1" thickBot="1" x14ac:dyDescent="0.25">
      <c r="E114" s="397"/>
      <c r="F114" s="397"/>
      <c r="G114" s="998"/>
      <c r="H114"/>
      <c r="I114"/>
      <c r="J114"/>
      <c r="K114"/>
      <c r="L114"/>
      <c r="M114"/>
      <c r="N114"/>
      <c r="O114" s="995"/>
      <c r="U114" s="114"/>
      <c r="AB114" s="114"/>
      <c r="AC114" s="114"/>
      <c r="AD114" s="114"/>
      <c r="AE114" s="114"/>
      <c r="BE114" s="136"/>
      <c r="BF114" s="136"/>
      <c r="BG114" s="136"/>
      <c r="BH114" s="136"/>
      <c r="BN114" s="86"/>
      <c r="BO114" s="1091"/>
      <c r="BP114" s="1582">
        <v>17</v>
      </c>
      <c r="BQ114" s="76"/>
      <c r="BR114" s="76"/>
      <c r="BS114" s="76"/>
      <c r="BT114" s="76"/>
      <c r="BU114" s="76"/>
      <c r="BV114" s="76"/>
      <c r="BW114" s="76"/>
      <c r="BX114" s="117">
        <f>IF(CG88=17,8)</f>
        <v>8</v>
      </c>
      <c r="BY114" s="118"/>
      <c r="BZ114" s="118"/>
      <c r="CA114" s="119"/>
      <c r="CB114" s="119"/>
      <c r="CC114" s="119"/>
      <c r="CD114" s="119"/>
      <c r="CE114" s="119"/>
      <c r="CF114" s="119"/>
      <c r="CG114" s="119"/>
      <c r="CH114" s="140"/>
      <c r="CI114" s="119"/>
      <c r="CJ114" s="141"/>
      <c r="CK114" s="119"/>
      <c r="CL114" s="119"/>
      <c r="CM114" s="119"/>
      <c r="CN114" s="118"/>
      <c r="CO114" s="118"/>
      <c r="CP114" s="103">
        <f>IF(CG88=17,26)</f>
        <v>26</v>
      </c>
      <c r="CQ114" s="78"/>
      <c r="CR114" s="78"/>
      <c r="CS114" s="78"/>
      <c r="CT114" s="78"/>
      <c r="CU114" s="78"/>
      <c r="CV114" s="78"/>
      <c r="CW114" s="78"/>
      <c r="CX114" s="78"/>
      <c r="CY114" s="78"/>
      <c r="CZ114" s="78"/>
      <c r="DA114" s="78"/>
      <c r="DB114" s="78"/>
      <c r="DC114" s="78"/>
      <c r="DD114" s="78"/>
    </row>
    <row r="115" spans="2:108" ht="21" hidden="1" customHeight="1" thickBot="1" x14ac:dyDescent="0.25">
      <c r="E115" s="397"/>
      <c r="F115" s="397"/>
      <c r="G115" s="998"/>
      <c r="H115"/>
      <c r="I115"/>
      <c r="J115"/>
      <c r="K115"/>
      <c r="L115"/>
      <c r="M115"/>
      <c r="N115"/>
      <c r="O115" s="995"/>
      <c r="U115" s="114"/>
      <c r="AB115" s="114"/>
      <c r="AC115" s="114"/>
      <c r="AD115" s="114"/>
      <c r="AE115" s="114"/>
      <c r="BE115" s="136"/>
      <c r="BF115" s="136"/>
      <c r="BG115" s="136"/>
      <c r="BH115" s="136"/>
      <c r="BN115" s="86"/>
      <c r="BO115" s="1091"/>
      <c r="BP115" s="1582">
        <v>16</v>
      </c>
      <c r="BQ115" s="76"/>
      <c r="BR115" s="76"/>
      <c r="BS115" s="76"/>
      <c r="BT115" s="76"/>
      <c r="BU115" s="76"/>
      <c r="BV115" s="145" t="b">
        <f>IF(CF88=16,6)</f>
        <v>0</v>
      </c>
      <c r="BW115" s="146"/>
      <c r="BX115" s="147"/>
      <c r="BY115" s="147"/>
      <c r="BZ115" s="146"/>
      <c r="CA115" s="146"/>
      <c r="CB115" s="146"/>
      <c r="CC115" s="146"/>
      <c r="CD115" s="146"/>
      <c r="CE115" s="146"/>
      <c r="CF115" s="146"/>
      <c r="CG115" s="146"/>
      <c r="CH115" s="148"/>
      <c r="CI115" s="146"/>
      <c r="CJ115" s="149"/>
      <c r="CK115" s="146"/>
      <c r="CL115" s="146"/>
      <c r="CM115" s="147"/>
      <c r="CN115" s="147"/>
      <c r="CO115" s="150"/>
      <c r="CP115" s="151" t="b">
        <f>IF(CF88=16,26)</f>
        <v>0</v>
      </c>
      <c r="CQ115" s="78"/>
      <c r="CR115" s="78"/>
      <c r="CS115" s="78"/>
      <c r="CT115" s="78"/>
      <c r="CU115" s="78"/>
      <c r="CV115" s="78"/>
      <c r="CW115" s="78"/>
      <c r="CX115" s="78"/>
      <c r="CY115" s="78"/>
      <c r="CZ115" s="78"/>
      <c r="DA115" s="78"/>
      <c r="DB115" s="78"/>
      <c r="DC115" s="78"/>
      <c r="DD115" s="78"/>
    </row>
    <row r="116" spans="2:108" ht="21" hidden="1" customHeight="1" thickBot="1" x14ac:dyDescent="0.25">
      <c r="E116" s="397"/>
      <c r="F116" s="397"/>
      <c r="G116" s="998"/>
      <c r="H116"/>
      <c r="I116"/>
      <c r="J116"/>
      <c r="K116"/>
      <c r="L116"/>
      <c r="M116"/>
      <c r="N116"/>
      <c r="O116" s="995"/>
      <c r="U116" s="114"/>
      <c r="AB116" s="114"/>
      <c r="AC116" s="114"/>
      <c r="AD116" s="114"/>
      <c r="AE116" s="114"/>
      <c r="BE116" s="136"/>
      <c r="BF116" s="136"/>
      <c r="BG116" s="136"/>
      <c r="BH116" s="136"/>
      <c r="BN116" s="86"/>
      <c r="BO116" s="1091"/>
      <c r="BP116" s="1582">
        <v>15</v>
      </c>
      <c r="BQ116" s="76"/>
      <c r="BR116" s="76"/>
      <c r="BS116" s="76"/>
      <c r="BT116" s="117" t="b">
        <f>IF(CE88=15,4)</f>
        <v>0</v>
      </c>
      <c r="BU116" s="119"/>
      <c r="BV116" s="119"/>
      <c r="BW116" s="119"/>
      <c r="BX116" s="118"/>
      <c r="BY116" s="119"/>
      <c r="BZ116" s="119"/>
      <c r="CA116" s="118"/>
      <c r="CB116" s="119"/>
      <c r="CC116" s="119"/>
      <c r="CD116" s="119"/>
      <c r="CE116" s="119"/>
      <c r="CF116" s="119"/>
      <c r="CG116" s="119"/>
      <c r="CH116" s="140"/>
      <c r="CI116" s="118"/>
      <c r="CJ116" s="141"/>
      <c r="CK116" s="119"/>
      <c r="CL116" s="118"/>
      <c r="CM116" s="119"/>
      <c r="CN116" s="119"/>
      <c r="CO116" s="111"/>
      <c r="CP116" s="103" t="b">
        <f>IF(CE88=15,26)</f>
        <v>0</v>
      </c>
      <c r="CQ116" s="78"/>
      <c r="CR116" s="78"/>
      <c r="CS116" s="78"/>
      <c r="CT116" s="78"/>
      <c r="CU116" s="78"/>
      <c r="CV116" s="78"/>
      <c r="CW116" s="78"/>
      <c r="CX116" s="78"/>
      <c r="CY116" s="78"/>
      <c r="CZ116" s="78"/>
      <c r="DA116" s="78"/>
      <c r="DB116" s="78"/>
      <c r="DC116" s="78"/>
      <c r="DD116" s="78"/>
    </row>
    <row r="117" spans="2:108" ht="21" hidden="1" customHeight="1" thickBot="1" x14ac:dyDescent="0.25">
      <c r="E117" s="397"/>
      <c r="F117" s="397"/>
      <c r="G117" s="998"/>
      <c r="H117"/>
      <c r="I117"/>
      <c r="J117"/>
      <c r="K117"/>
      <c r="L117"/>
      <c r="M117"/>
      <c r="N117"/>
      <c r="O117" s="995"/>
      <c r="U117" s="114"/>
      <c r="AB117" s="114"/>
      <c r="AC117" s="114"/>
      <c r="AD117" s="114"/>
      <c r="AE117" s="114"/>
      <c r="BE117" s="136"/>
      <c r="BF117" s="136"/>
      <c r="BG117" s="136"/>
      <c r="BH117" s="136"/>
      <c r="BN117" s="86"/>
      <c r="BO117" s="1091"/>
      <c r="BP117" s="1582">
        <v>14</v>
      </c>
      <c r="BQ117" s="76"/>
      <c r="BR117" s="117" t="b">
        <f>IF(CD88=14,2)</f>
        <v>0</v>
      </c>
      <c r="BS117" s="119"/>
      <c r="BT117" s="119"/>
      <c r="BU117" s="119"/>
      <c r="BV117" s="118"/>
      <c r="BW117" s="119"/>
      <c r="BX117" s="119"/>
      <c r="BY117" s="118"/>
      <c r="BZ117" s="119"/>
      <c r="CA117" s="119"/>
      <c r="CB117" s="119"/>
      <c r="CC117" s="119"/>
      <c r="CD117" s="119"/>
      <c r="CE117" s="119"/>
      <c r="CF117" s="119"/>
      <c r="CG117" s="119"/>
      <c r="CH117" s="140"/>
      <c r="CI117" s="118"/>
      <c r="CJ117" s="141"/>
      <c r="CK117" s="119"/>
      <c r="CL117" s="118"/>
      <c r="CM117" s="119"/>
      <c r="CN117" s="119"/>
      <c r="CO117" s="111"/>
      <c r="CP117" s="103" t="b">
        <f>IF(CD88=14,26)</f>
        <v>0</v>
      </c>
      <c r="CQ117" s="78"/>
      <c r="CR117" s="78"/>
      <c r="CS117" s="78"/>
      <c r="CT117" s="78"/>
      <c r="CU117" s="78"/>
      <c r="CV117" s="78"/>
      <c r="CW117" s="78"/>
      <c r="CX117" s="78"/>
      <c r="CY117" s="78"/>
      <c r="CZ117" s="78"/>
      <c r="DA117" s="78"/>
      <c r="DB117" s="78"/>
      <c r="DC117" s="78"/>
      <c r="DD117" s="78"/>
    </row>
    <row r="118" spans="2:108" ht="21" hidden="1" customHeight="1" thickBot="1" x14ac:dyDescent="0.25">
      <c r="E118" s="397"/>
      <c r="F118" s="397"/>
      <c r="G118" s="998"/>
      <c r="H118"/>
      <c r="I118"/>
      <c r="J118"/>
      <c r="K118"/>
      <c r="L118"/>
      <c r="M118"/>
      <c r="N118"/>
      <c r="O118" s="995"/>
      <c r="U118" s="114"/>
      <c r="AB118" s="114"/>
      <c r="AC118" s="114"/>
      <c r="AD118" s="114"/>
      <c r="AE118" s="114"/>
      <c r="BE118" s="136"/>
      <c r="BF118" s="136"/>
      <c r="BG118" s="136"/>
      <c r="BH118" s="136"/>
      <c r="BN118" s="86"/>
      <c r="BO118" s="1091"/>
      <c r="BP118" s="1582">
        <v>13</v>
      </c>
      <c r="BQ118" s="76"/>
      <c r="BR118" s="76"/>
      <c r="BS118" s="76"/>
      <c r="BU118" s="152"/>
      <c r="BV118" s="152"/>
      <c r="BW118" s="91"/>
      <c r="BX118" s="152"/>
      <c r="BY118" s="120" t="b">
        <f>IF(CC88=13,9)</f>
        <v>0</v>
      </c>
      <c r="BZ118" s="123"/>
      <c r="CA118" s="123"/>
      <c r="CB118" s="123"/>
      <c r="CC118" s="123"/>
      <c r="CD118" s="123"/>
      <c r="CE118" s="123"/>
      <c r="CF118" s="123"/>
      <c r="CG118" s="124" t="b">
        <f>IF(CC88=13,17)</f>
        <v>0</v>
      </c>
      <c r="CH118" s="153"/>
      <c r="CI118" s="91"/>
      <c r="CJ118" s="154"/>
      <c r="CK118" s="152"/>
      <c r="CM118" s="76"/>
      <c r="CN118" s="76"/>
      <c r="CO118" s="78"/>
      <c r="CP118" s="78"/>
      <c r="CQ118" s="78"/>
      <c r="CR118" s="78"/>
      <c r="CS118" s="78"/>
      <c r="CT118" s="78"/>
      <c r="CU118" s="78"/>
      <c r="CV118" s="78"/>
      <c r="CW118" s="78"/>
      <c r="CX118" s="78"/>
      <c r="CY118" s="78"/>
      <c r="CZ118" s="78"/>
      <c r="DA118" s="78"/>
      <c r="DB118" s="78"/>
      <c r="DC118" s="78"/>
      <c r="DD118" s="78"/>
    </row>
    <row r="119" spans="2:108" ht="21" hidden="1" customHeight="1" thickBot="1" x14ac:dyDescent="0.25">
      <c r="E119" s="397"/>
      <c r="F119" s="397"/>
      <c r="G119" s="998"/>
      <c r="H119"/>
      <c r="I119"/>
      <c r="J119"/>
      <c r="K119"/>
      <c r="L119"/>
      <c r="M119"/>
      <c r="N119"/>
      <c r="O119" s="995"/>
      <c r="U119" s="114"/>
      <c r="AB119" s="114"/>
      <c r="AC119" s="114"/>
      <c r="AD119" s="114"/>
      <c r="AE119" s="114"/>
      <c r="BE119" s="136"/>
      <c r="BF119" s="136"/>
      <c r="BG119" s="136"/>
      <c r="BH119" s="136"/>
      <c r="BN119" s="86"/>
      <c r="BO119" s="1091"/>
      <c r="BP119" s="1582">
        <v>12</v>
      </c>
      <c r="BQ119" s="76"/>
      <c r="BS119" s="139"/>
      <c r="BT119" s="139"/>
      <c r="BU119" s="142"/>
      <c r="BV119" s="139"/>
      <c r="BW119" s="117" t="b">
        <f>IF(CB88=12,7)</f>
        <v>0</v>
      </c>
      <c r="BX119" s="119"/>
      <c r="BY119" s="119"/>
      <c r="BZ119" s="119"/>
      <c r="CA119" s="119"/>
      <c r="CB119" s="119"/>
      <c r="CC119" s="119"/>
      <c r="CD119" s="119"/>
      <c r="CE119" s="119"/>
      <c r="CF119" s="119"/>
      <c r="CG119" s="103" t="b">
        <f>IF(CB88=12,17)</f>
        <v>0</v>
      </c>
      <c r="CH119" s="155"/>
      <c r="CI119" s="142"/>
      <c r="CJ119" s="156"/>
      <c r="CK119" s="139"/>
      <c r="CM119" s="76"/>
      <c r="CN119" s="76"/>
      <c r="CO119" s="78"/>
      <c r="CP119" s="78"/>
      <c r="CQ119" s="78"/>
      <c r="CR119" s="78"/>
      <c r="CS119" s="78"/>
      <c r="CT119" s="78"/>
      <c r="CU119" s="78"/>
      <c r="CV119" s="78"/>
      <c r="CW119" s="78"/>
      <c r="CX119" s="78"/>
      <c r="CY119" s="78"/>
      <c r="CZ119" s="78"/>
      <c r="DA119" s="78"/>
      <c r="DB119" s="78"/>
      <c r="DC119" s="78"/>
      <c r="DD119" s="78"/>
    </row>
    <row r="120" spans="2:108" ht="21" hidden="1" customHeight="1" thickBot="1" x14ac:dyDescent="0.25">
      <c r="D120" s="397"/>
      <c r="E120" s="397"/>
      <c r="F120" s="397"/>
      <c r="G120" s="998"/>
      <c r="H120"/>
      <c r="I120"/>
      <c r="J120"/>
      <c r="K120"/>
      <c r="L120"/>
      <c r="M120"/>
      <c r="N120"/>
      <c r="O120" s="995"/>
      <c r="U120" s="114"/>
      <c r="AB120" s="114"/>
      <c r="AC120" s="114"/>
      <c r="AD120" s="114"/>
      <c r="AE120" s="114"/>
      <c r="BE120" s="136"/>
      <c r="BF120" s="136"/>
      <c r="BG120" s="136"/>
      <c r="BH120" s="136"/>
      <c r="BN120" s="86"/>
      <c r="BO120" s="1091"/>
      <c r="BP120" s="1582">
        <v>11</v>
      </c>
      <c r="BR120" s="152"/>
      <c r="BS120" s="91"/>
      <c r="BT120" s="152"/>
      <c r="BU120" s="117" t="b">
        <f>IF(CA88=11,5)</f>
        <v>0</v>
      </c>
      <c r="BV120" s="119"/>
      <c r="BW120" s="119"/>
      <c r="BX120" s="119"/>
      <c r="BY120" s="119"/>
      <c r="BZ120" s="119"/>
      <c r="CA120" s="119"/>
      <c r="CB120" s="119"/>
      <c r="CC120" s="119"/>
      <c r="CD120" s="119"/>
      <c r="CE120" s="119"/>
      <c r="CF120" s="119"/>
      <c r="CG120" s="103" t="b">
        <f>IF(CA88=11,17)</f>
        <v>0</v>
      </c>
      <c r="CH120" s="153"/>
      <c r="CI120" s="91"/>
      <c r="CJ120" s="154"/>
      <c r="CL120" s="76"/>
      <c r="CM120" s="76"/>
      <c r="CN120" s="76"/>
      <c r="CO120" s="78"/>
      <c r="CP120" s="78"/>
      <c r="CQ120" s="78"/>
      <c r="CR120" s="78"/>
      <c r="CS120" s="78"/>
      <c r="CT120" s="78"/>
      <c r="CU120" s="78"/>
      <c r="CV120" s="78"/>
      <c r="CW120" s="78"/>
      <c r="CX120" s="78"/>
      <c r="CY120" s="78"/>
      <c r="CZ120" s="78"/>
      <c r="DA120" s="78"/>
      <c r="DB120" s="78"/>
      <c r="DC120" s="78"/>
      <c r="DD120" s="78"/>
    </row>
    <row r="121" spans="2:108" ht="21" hidden="1" customHeight="1" thickBot="1" x14ac:dyDescent="0.25">
      <c r="B121" s="399"/>
      <c r="C121" s="399"/>
      <c r="D121" s="397"/>
      <c r="E121" s="397"/>
      <c r="F121" s="397"/>
      <c r="G121" s="998"/>
      <c r="H121"/>
      <c r="I121"/>
      <c r="J121"/>
      <c r="K121"/>
      <c r="L121"/>
      <c r="M121"/>
      <c r="N121"/>
      <c r="O121" s="995"/>
      <c r="U121" s="114"/>
      <c r="AB121" s="114"/>
      <c r="AC121" s="114"/>
      <c r="AD121" s="114"/>
      <c r="AE121" s="114"/>
      <c r="BE121" s="136"/>
      <c r="BF121" s="136"/>
      <c r="BG121" s="136"/>
      <c r="BH121" s="136"/>
      <c r="BN121" s="86"/>
      <c r="BO121" s="1091"/>
      <c r="BP121" s="1582">
        <v>10</v>
      </c>
      <c r="BR121" s="152"/>
      <c r="BS121" s="117" t="b">
        <f>IF(BZ88=10,3)</f>
        <v>0</v>
      </c>
      <c r="BT121" s="119"/>
      <c r="BU121" s="119"/>
      <c r="BV121" s="119"/>
      <c r="BW121" s="119"/>
      <c r="BX121" s="119"/>
      <c r="BY121" s="119"/>
      <c r="BZ121" s="119"/>
      <c r="CA121" s="119"/>
      <c r="CB121" s="119"/>
      <c r="CC121" s="119"/>
      <c r="CD121" s="119"/>
      <c r="CE121" s="119"/>
      <c r="CF121" s="119"/>
      <c r="CG121" s="103" t="b">
        <f>IF(BZ88=10,17)</f>
        <v>0</v>
      </c>
      <c r="CH121" s="153"/>
      <c r="CJ121" s="157"/>
      <c r="CK121" s="76"/>
      <c r="CL121" s="76"/>
      <c r="CM121" s="76"/>
      <c r="CN121" s="76"/>
      <c r="CO121" s="78"/>
      <c r="CP121" s="78"/>
      <c r="CQ121" s="78"/>
      <c r="CR121" s="78"/>
      <c r="CS121" s="78"/>
      <c r="CT121" s="78"/>
      <c r="CU121" s="78"/>
      <c r="CV121" s="78"/>
      <c r="CW121" s="78"/>
      <c r="CX121" s="78"/>
      <c r="CY121" s="78"/>
      <c r="CZ121" s="78"/>
      <c r="DA121" s="78"/>
      <c r="DB121" s="78"/>
      <c r="DC121" s="78"/>
      <c r="DD121" s="78"/>
    </row>
    <row r="122" spans="2:108" ht="21" hidden="1" customHeight="1" thickBot="1" x14ac:dyDescent="0.25">
      <c r="B122" s="399"/>
      <c r="C122" s="399"/>
      <c r="D122" s="397"/>
      <c r="E122" s="397"/>
      <c r="F122" s="397"/>
      <c r="G122" s="998"/>
      <c r="H122"/>
      <c r="I122"/>
      <c r="J122"/>
      <c r="K122"/>
      <c r="L122"/>
      <c r="M122"/>
      <c r="N122"/>
      <c r="O122" s="995"/>
      <c r="U122" s="114"/>
      <c r="AB122" s="114"/>
      <c r="AC122" s="114"/>
      <c r="AD122" s="114"/>
      <c r="AE122" s="114"/>
      <c r="BF122" s="136"/>
      <c r="BG122" s="136"/>
      <c r="BH122" s="136"/>
      <c r="BN122" s="86"/>
      <c r="BO122" s="1091"/>
      <c r="BP122" s="1582">
        <v>9</v>
      </c>
      <c r="BQ122" s="117" t="b">
        <f>IF(BY88=9,1)</f>
        <v>0</v>
      </c>
      <c r="BR122" s="119"/>
      <c r="BS122" s="119"/>
      <c r="BT122" s="119"/>
      <c r="BU122" s="119"/>
      <c r="BV122" s="119"/>
      <c r="BW122" s="119"/>
      <c r="BX122" s="119"/>
      <c r="BY122" s="119"/>
      <c r="BZ122" s="119"/>
      <c r="CA122" s="119"/>
      <c r="CB122" s="119"/>
      <c r="CC122" s="119"/>
      <c r="CD122" s="119"/>
      <c r="CE122" s="119"/>
      <c r="CF122" s="119"/>
      <c r="CG122" s="103" t="b">
        <f>IF(BY88=9,17)</f>
        <v>0</v>
      </c>
      <c r="CH122" s="76"/>
      <c r="CI122" s="76"/>
      <c r="CJ122" s="157"/>
      <c r="CK122" s="76"/>
      <c r="CL122" s="76"/>
      <c r="CM122" s="76"/>
      <c r="CN122" s="76"/>
      <c r="CO122" s="78"/>
      <c r="CP122" s="78"/>
      <c r="CQ122" s="78"/>
      <c r="CR122" s="78"/>
      <c r="CS122" s="78"/>
      <c r="CT122" s="78"/>
      <c r="CU122" s="78"/>
      <c r="CV122" s="78"/>
      <c r="CW122" s="78"/>
      <c r="CX122" s="78"/>
      <c r="CY122" s="78"/>
      <c r="CZ122" s="78"/>
      <c r="DA122" s="78"/>
      <c r="DB122" s="78"/>
      <c r="DC122" s="78"/>
      <c r="DD122" s="78"/>
    </row>
    <row r="123" spans="2:108" ht="21" hidden="1" customHeight="1" thickBot="1" x14ac:dyDescent="0.25">
      <c r="B123" s="401"/>
      <c r="E123" s="397"/>
      <c r="F123" s="397"/>
      <c r="G123" s="998"/>
      <c r="H123"/>
      <c r="I123"/>
      <c r="J123"/>
      <c r="K123"/>
      <c r="L123"/>
      <c r="M123"/>
      <c r="N123"/>
      <c r="O123" s="995"/>
      <c r="U123" s="114"/>
      <c r="AB123" s="114"/>
      <c r="AC123" s="114"/>
      <c r="AD123" s="114"/>
      <c r="AE123" s="114"/>
      <c r="BE123" s="136"/>
      <c r="BF123" s="136"/>
      <c r="BG123" s="136"/>
      <c r="BH123" s="136"/>
      <c r="BN123" s="86"/>
      <c r="BO123" s="1091"/>
      <c r="BP123" s="1582">
        <v>8</v>
      </c>
      <c r="BQ123" s="117" t="b">
        <f>IF(BX88=8,1)</f>
        <v>0</v>
      </c>
      <c r="BR123" s="119"/>
      <c r="BS123" s="118"/>
      <c r="BT123" s="119"/>
      <c r="BU123" s="119"/>
      <c r="BV123" s="119"/>
      <c r="BW123" s="119"/>
      <c r="BX123" s="119"/>
      <c r="BY123" s="119"/>
      <c r="BZ123" s="119"/>
      <c r="CA123" s="119"/>
      <c r="CB123" s="119"/>
      <c r="CC123" s="118"/>
      <c r="CD123" s="119"/>
      <c r="CE123" s="103" t="b">
        <f>IF(BX88=8,15)</f>
        <v>0</v>
      </c>
      <c r="CF123" s="76"/>
      <c r="CG123" s="76"/>
      <c r="CH123" s="158"/>
      <c r="CI123" s="76"/>
      <c r="CJ123" s="157"/>
      <c r="CK123" s="76"/>
      <c r="CL123" s="76"/>
      <c r="CM123" s="76"/>
      <c r="CN123" s="76"/>
      <c r="CO123" s="78"/>
      <c r="CP123" s="78"/>
      <c r="CQ123" s="78"/>
      <c r="CR123" s="78"/>
      <c r="CS123" s="78"/>
      <c r="CT123" s="78"/>
      <c r="CU123" s="78"/>
      <c r="CV123" s="78"/>
      <c r="CW123" s="78"/>
      <c r="CX123" s="78"/>
      <c r="CY123" s="78"/>
      <c r="CZ123" s="78"/>
      <c r="DA123" s="78"/>
      <c r="DB123" s="78"/>
      <c r="DC123" s="78"/>
      <c r="DD123" s="78"/>
    </row>
    <row r="124" spans="2:108" ht="21" hidden="1" customHeight="1" thickBot="1" x14ac:dyDescent="0.25">
      <c r="B124" s="399"/>
      <c r="C124" s="399"/>
      <c r="D124" s="397"/>
      <c r="E124" s="397"/>
      <c r="F124" s="397"/>
      <c r="G124" s="998"/>
      <c r="H124"/>
      <c r="I124"/>
      <c r="J124"/>
      <c r="K124"/>
      <c r="L124"/>
      <c r="M124"/>
      <c r="N124"/>
      <c r="O124" s="995"/>
      <c r="U124" s="114"/>
      <c r="AB124" s="114"/>
      <c r="AC124" s="114"/>
      <c r="AD124" s="114"/>
      <c r="AE124" s="114"/>
      <c r="BF124" s="136"/>
      <c r="BG124" s="136"/>
      <c r="BH124" s="136"/>
      <c r="BN124" s="86"/>
      <c r="BO124" s="1091"/>
      <c r="BP124" s="1582">
        <v>7</v>
      </c>
      <c r="BQ124" s="117" t="b">
        <f>IF(BW88=7,1)</f>
        <v>0</v>
      </c>
      <c r="BR124" s="118"/>
      <c r="BS124" s="119"/>
      <c r="BT124" s="119"/>
      <c r="BU124" s="119"/>
      <c r="BV124" s="119"/>
      <c r="BW124" s="119"/>
      <c r="BX124" s="119"/>
      <c r="BY124" s="119"/>
      <c r="BZ124" s="119"/>
      <c r="CA124" s="118"/>
      <c r="CB124" s="118"/>
      <c r="CC124" s="103" t="b">
        <f>IF(BW88=7,13)</f>
        <v>0</v>
      </c>
      <c r="CD124" s="76"/>
      <c r="CE124" s="76"/>
      <c r="CF124" s="76"/>
      <c r="CG124" s="76"/>
      <c r="CH124" s="158"/>
      <c r="CI124" s="76"/>
      <c r="CJ124" s="157"/>
      <c r="CK124" s="76"/>
      <c r="CL124" s="76"/>
      <c r="CM124" s="76"/>
      <c r="CN124" s="76"/>
      <c r="CO124" s="78"/>
      <c r="CP124" s="78"/>
      <c r="CQ124" s="78"/>
      <c r="CR124" s="78"/>
      <c r="CS124" s="78"/>
      <c r="CT124" s="78"/>
      <c r="CU124" s="78"/>
      <c r="CV124" s="78"/>
      <c r="CW124" s="78"/>
      <c r="CX124" s="78"/>
      <c r="CY124" s="78"/>
      <c r="CZ124" s="78"/>
      <c r="DA124" s="78"/>
      <c r="DB124" s="78"/>
      <c r="DC124" s="78"/>
      <c r="DD124" s="78"/>
    </row>
    <row r="125" spans="2:108" ht="21" hidden="1" customHeight="1" thickBot="1" x14ac:dyDescent="0.25">
      <c r="B125" s="399"/>
      <c r="C125" s="399"/>
      <c r="D125" s="397"/>
      <c r="E125" s="397"/>
      <c r="F125" s="397"/>
      <c r="G125" s="998"/>
      <c r="H125"/>
      <c r="I125"/>
      <c r="J125"/>
      <c r="K125"/>
      <c r="L125"/>
      <c r="M125"/>
      <c r="N125"/>
      <c r="O125" s="995"/>
      <c r="U125" s="114"/>
      <c r="AB125" s="114"/>
      <c r="AC125" s="114"/>
      <c r="AD125" s="114"/>
      <c r="AE125" s="114"/>
      <c r="BF125" s="136"/>
      <c r="BG125" s="136"/>
      <c r="BH125" s="136"/>
      <c r="BN125" s="86"/>
      <c r="BO125" s="1091"/>
      <c r="BP125" s="1582">
        <v>6</v>
      </c>
      <c r="BQ125" s="120" t="b">
        <f>IF(BV88=6,1)</f>
        <v>0</v>
      </c>
      <c r="BR125" s="123"/>
      <c r="BS125" s="123"/>
      <c r="BT125" s="123"/>
      <c r="BU125" s="123"/>
      <c r="BV125" s="123"/>
      <c r="BW125" s="123"/>
      <c r="BX125" s="123"/>
      <c r="BY125" s="123"/>
      <c r="BZ125" s="123"/>
      <c r="CA125" s="124" t="b">
        <f>IF(BV88=6,11)</f>
        <v>0</v>
      </c>
      <c r="CB125" s="76"/>
      <c r="CC125" s="76"/>
      <c r="CD125" s="76"/>
      <c r="CE125" s="76"/>
      <c r="CF125" s="76"/>
      <c r="CG125" s="76"/>
      <c r="CH125" s="158"/>
      <c r="CI125" s="76"/>
      <c r="CJ125" s="157"/>
      <c r="CK125" s="76"/>
      <c r="CL125" s="76"/>
      <c r="CM125" s="76"/>
      <c r="CN125" s="76"/>
      <c r="CO125" s="78"/>
      <c r="CP125" s="78"/>
      <c r="CQ125" s="78"/>
      <c r="CR125" s="78"/>
      <c r="CS125" s="78"/>
      <c r="CT125" s="78"/>
      <c r="CU125" s="78"/>
      <c r="CV125" s="78"/>
      <c r="CW125" s="78"/>
      <c r="CX125" s="78"/>
      <c r="CY125" s="78"/>
      <c r="CZ125" s="78"/>
      <c r="DA125" s="78"/>
      <c r="DB125" s="78"/>
      <c r="DC125" s="78"/>
      <c r="DD125" s="78"/>
    </row>
    <row r="126" spans="2:108" ht="79.5" hidden="1" customHeight="1" thickBot="1" x14ac:dyDescent="0.25">
      <c r="B126" s="19"/>
      <c r="C126" s="399"/>
      <c r="D126" s="397"/>
      <c r="E126" s="19"/>
      <c r="F126" s="397"/>
      <c r="G126" s="998"/>
      <c r="H126"/>
      <c r="I126" s="1009" t="s">
        <v>247</v>
      </c>
      <c r="J126" s="1009" t="s">
        <v>246</v>
      </c>
      <c r="K126" s="975" t="s">
        <v>248</v>
      </c>
      <c r="L126" s="976" t="s">
        <v>249</v>
      </c>
      <c r="M126" s="985" t="s">
        <v>253</v>
      </c>
      <c r="N126"/>
      <c r="O126" s="995"/>
      <c r="U126" s="114"/>
      <c r="AB126" s="114"/>
      <c r="AC126" s="114"/>
      <c r="AD126" s="114"/>
      <c r="AE126" s="114"/>
      <c r="BE126" s="136"/>
      <c r="BF126" s="136"/>
      <c r="BG126" s="136"/>
      <c r="BH126" s="136"/>
      <c r="BN126" s="86"/>
      <c r="BO126" s="1091"/>
      <c r="BP126" s="1582">
        <v>5</v>
      </c>
      <c r="BQ126" s="120" t="b">
        <f>IF(BU88=5,1)</f>
        <v>0</v>
      </c>
      <c r="BR126" s="122"/>
      <c r="BS126" s="123"/>
      <c r="BT126" s="123"/>
      <c r="BU126" s="123"/>
      <c r="BV126" s="123"/>
      <c r="BW126" s="123"/>
      <c r="BX126" s="122"/>
      <c r="BY126" s="124" t="b">
        <f>IF(BU88=5,9)</f>
        <v>0</v>
      </c>
      <c r="BZ126" s="76"/>
      <c r="CA126" s="76"/>
      <c r="CB126" s="76"/>
      <c r="CC126" s="76"/>
      <c r="CD126" s="76"/>
      <c r="CE126" s="76"/>
      <c r="CF126" s="76"/>
      <c r="CG126" s="76"/>
      <c r="CH126" s="158"/>
      <c r="CI126" s="76"/>
      <c r="CJ126" s="157"/>
      <c r="CK126" s="76"/>
      <c r="CL126" s="76"/>
      <c r="CM126" s="76"/>
      <c r="CN126" s="76"/>
      <c r="CO126" s="78"/>
      <c r="CP126" s="78"/>
      <c r="CQ126" s="78"/>
      <c r="CR126" s="78"/>
      <c r="CS126" s="78"/>
      <c r="CT126" s="78"/>
      <c r="CU126" s="78"/>
      <c r="CV126" s="78"/>
      <c r="CW126" s="78"/>
      <c r="CX126" s="78"/>
      <c r="CY126" s="78"/>
      <c r="CZ126" s="78"/>
      <c r="DA126" s="78"/>
      <c r="DB126" s="78"/>
      <c r="DC126" s="78"/>
      <c r="DD126" s="78"/>
    </row>
    <row r="127" spans="2:108" ht="79.5" hidden="1" customHeight="1" thickBot="1" x14ac:dyDescent="0.25">
      <c r="B127" s="399"/>
      <c r="C127" s="399"/>
      <c r="D127" s="397"/>
      <c r="E127" s="397"/>
      <c r="F127" s="397"/>
      <c r="G127" s="998"/>
      <c r="H127"/>
      <c r="I127" s="969" t="s">
        <v>240</v>
      </c>
      <c r="J127" s="974" t="s">
        <v>239</v>
      </c>
      <c r="K127" s="973" t="s">
        <v>128</v>
      </c>
      <c r="L127" s="977" t="s">
        <v>128</v>
      </c>
      <c r="M127" s="986" t="s">
        <v>128</v>
      </c>
      <c r="N127"/>
      <c r="O127" s="995"/>
      <c r="U127" s="114"/>
      <c r="AB127" s="114"/>
      <c r="AC127" s="114"/>
      <c r="AD127" s="114"/>
      <c r="AE127" s="114"/>
      <c r="BF127" s="136"/>
      <c r="BG127" s="136"/>
      <c r="BH127" s="136"/>
      <c r="BN127" s="86"/>
      <c r="BO127" s="1091"/>
      <c r="BP127" s="1582">
        <v>4</v>
      </c>
      <c r="BQ127" s="120" t="b">
        <f>IF(BT88=4,1)</f>
        <v>0</v>
      </c>
      <c r="BR127" s="123"/>
      <c r="BS127" s="123"/>
      <c r="BT127" s="123"/>
      <c r="BU127" s="123"/>
      <c r="BV127" s="123"/>
      <c r="BW127" s="124" t="b">
        <f>IF(BT88=4,7)</f>
        <v>0</v>
      </c>
      <c r="BX127" s="76"/>
      <c r="BY127" s="159"/>
      <c r="BZ127" s="159"/>
      <c r="CA127" s="76"/>
      <c r="CB127" s="159"/>
      <c r="CC127" s="76"/>
      <c r="CD127" s="76"/>
      <c r="CE127" s="76"/>
      <c r="CF127" s="76"/>
      <c r="CG127" s="76"/>
      <c r="CH127" s="158"/>
      <c r="CI127" s="76"/>
      <c r="CJ127" s="157"/>
      <c r="CK127" s="76"/>
      <c r="CL127" s="76"/>
      <c r="CM127" s="76"/>
      <c r="CN127" s="76"/>
      <c r="CO127" s="78"/>
      <c r="CP127" s="78"/>
      <c r="CQ127" s="78"/>
      <c r="CR127" s="78"/>
      <c r="CS127" s="78"/>
      <c r="CT127" s="78"/>
      <c r="CU127" s="78"/>
      <c r="CV127" s="78"/>
      <c r="CW127" s="78"/>
      <c r="CX127" s="78"/>
      <c r="CY127" s="78"/>
      <c r="CZ127" s="78"/>
      <c r="DA127" s="78"/>
      <c r="DB127" s="78"/>
      <c r="DC127" s="78"/>
      <c r="DD127" s="78"/>
    </row>
    <row r="128" spans="2:108" ht="79.5" hidden="1" customHeight="1" thickBot="1" x14ac:dyDescent="0.3">
      <c r="B128" s="399"/>
      <c r="C128" s="399"/>
      <c r="D128" s="397"/>
      <c r="E128" s="397"/>
      <c r="F128" s="397"/>
      <c r="G128" s="998"/>
      <c r="H128" s="1087" t="s">
        <v>265</v>
      </c>
      <c r="I128" s="1080">
        <f>+MIN(K33:L34)</f>
        <v>32.962454194809332</v>
      </c>
      <c r="J128" s="1080">
        <f>+MIN(J39:K40)</f>
        <v>53.94470667565745</v>
      </c>
      <c r="K128" s="1082">
        <f>+MIN(J45:L46)</f>
        <v>53.94470667565745</v>
      </c>
      <c r="L128" s="1083">
        <f>+MIN(J51:L52)</f>
        <v>23.341459619274858</v>
      </c>
      <c r="M128" s="1084">
        <f>+MIN(J57:L58)</f>
        <v>53.94470667565745</v>
      </c>
      <c r="N128"/>
      <c r="O128" s="995"/>
      <c r="U128" s="114"/>
      <c r="AB128" s="114"/>
      <c r="AC128" s="114"/>
      <c r="AD128" s="114"/>
      <c r="AE128" s="114"/>
      <c r="BE128" s="136"/>
      <c r="BF128" s="136"/>
      <c r="BG128" s="136"/>
      <c r="BH128" s="136"/>
      <c r="BN128" s="86"/>
      <c r="BO128" s="1091"/>
      <c r="BP128" s="1582">
        <v>3</v>
      </c>
      <c r="BQ128" s="120" t="b">
        <f>IF(BS88=3,1)</f>
        <v>0</v>
      </c>
      <c r="BR128" s="123"/>
      <c r="BS128" s="123"/>
      <c r="BT128" s="123"/>
      <c r="BU128" s="124" t="b">
        <f>IF(BS88=3,5)</f>
        <v>0</v>
      </c>
      <c r="BV128" s="76"/>
      <c r="BW128" s="76"/>
      <c r="BX128" s="76"/>
      <c r="BY128" s="76"/>
      <c r="BZ128" s="76"/>
      <c r="CA128" s="76"/>
      <c r="CB128" s="76"/>
      <c r="CC128" s="76"/>
      <c r="CD128" s="76"/>
      <c r="CE128" s="76"/>
      <c r="CF128" s="76"/>
      <c r="CG128" s="76"/>
      <c r="CH128" s="158"/>
      <c r="CI128" s="76"/>
      <c r="CJ128" s="157"/>
      <c r="CK128" s="76"/>
      <c r="CL128" s="76"/>
      <c r="CM128" s="76"/>
      <c r="CN128" s="76"/>
      <c r="CO128" s="78"/>
      <c r="CP128" s="78"/>
      <c r="CQ128" s="78"/>
      <c r="CR128" s="78"/>
      <c r="CS128" s="78"/>
      <c r="CT128" s="78"/>
      <c r="CU128" s="78"/>
      <c r="CV128" s="78"/>
      <c r="CW128" s="78"/>
      <c r="CX128" s="78"/>
      <c r="CY128" s="78"/>
      <c r="CZ128" s="78"/>
      <c r="DA128" s="78"/>
      <c r="DB128" s="78"/>
      <c r="DC128" s="78"/>
      <c r="DD128" s="78"/>
    </row>
    <row r="129" spans="2:108" ht="21" hidden="1" thickBot="1" x14ac:dyDescent="0.25">
      <c r="E129" s="397"/>
      <c r="F129" s="397"/>
      <c r="G129" s="1583"/>
      <c r="H129" s="126"/>
      <c r="I129" s="126"/>
      <c r="J129" s="126"/>
      <c r="K129" s="126"/>
      <c r="L129" s="126"/>
      <c r="M129" s="126"/>
      <c r="N129" s="126"/>
      <c r="O129" s="1584"/>
      <c r="U129" s="114"/>
      <c r="AB129" s="114"/>
      <c r="AC129" s="114"/>
      <c r="AD129" s="114"/>
      <c r="AE129" s="114"/>
      <c r="BE129" s="136"/>
      <c r="BF129" s="136"/>
      <c r="BG129" s="136"/>
      <c r="BH129" s="136"/>
      <c r="BN129" s="86"/>
      <c r="BO129" s="1091"/>
      <c r="BP129" s="1582">
        <v>2</v>
      </c>
      <c r="BQ129" s="160" t="b">
        <f>IF(BR88=2,1)</f>
        <v>0</v>
      </c>
      <c r="BR129" s="161"/>
      <c r="BS129" s="162" t="b">
        <f>IF(BR88=2,3)</f>
        <v>0</v>
      </c>
      <c r="BT129" s="76"/>
      <c r="BU129" s="76"/>
      <c r="BV129" s="76"/>
      <c r="BW129" s="76"/>
      <c r="BX129" s="76"/>
      <c r="BY129" s="76"/>
      <c r="BZ129" s="76"/>
      <c r="CA129" s="76"/>
      <c r="CB129" s="76"/>
      <c r="CC129" s="76"/>
      <c r="CD129" s="76"/>
      <c r="CE129" s="76"/>
      <c r="CF129" s="76"/>
      <c r="CG129" s="76"/>
      <c r="CH129" s="158"/>
      <c r="CI129" s="76"/>
      <c r="CJ129" s="157"/>
      <c r="CK129" s="76"/>
      <c r="CL129" s="76"/>
      <c r="CM129" s="76"/>
      <c r="CN129" s="76"/>
      <c r="CO129" s="78"/>
      <c r="CP129" s="78"/>
      <c r="CQ129" s="78"/>
      <c r="CR129" s="78"/>
      <c r="CS129" s="78"/>
      <c r="CT129" s="78"/>
      <c r="CU129" s="78"/>
      <c r="CV129" s="78"/>
      <c r="CW129" s="78"/>
      <c r="CX129" s="78"/>
      <c r="CY129" s="78"/>
      <c r="CZ129" s="78"/>
      <c r="DA129" s="78"/>
      <c r="DB129" s="78"/>
      <c r="DC129" s="78"/>
      <c r="DD129" s="78"/>
    </row>
    <row r="130" spans="2:108" ht="31" hidden="1" thickBot="1" x14ac:dyDescent="0.25">
      <c r="E130" s="397"/>
      <c r="F130" s="397"/>
      <c r="G130" s="998"/>
      <c r="H130" s="201"/>
      <c r="I130" s="201"/>
      <c r="J130" s="201"/>
      <c r="K130" s="201"/>
      <c r="L130" s="201"/>
      <c r="M130" s="201"/>
      <c r="N130" s="201"/>
      <c r="O130" s="1013"/>
      <c r="U130" s="114"/>
      <c r="AB130" s="114"/>
      <c r="AC130" s="114"/>
      <c r="AD130" s="114"/>
      <c r="AE130" s="114"/>
      <c r="BE130" s="136"/>
      <c r="BF130" s="136"/>
      <c r="BG130" s="136"/>
      <c r="BH130" s="136"/>
      <c r="BN130" s="86"/>
      <c r="BO130" s="1091"/>
      <c r="BP130" s="163"/>
      <c r="BQ130" s="164">
        <f>SUM(BQ95:BQ129)</f>
        <v>0</v>
      </c>
      <c r="BR130" s="164">
        <f t="shared" ref="BR130:DA130" si="3">SUM(BR95:BR129)</f>
        <v>0</v>
      </c>
      <c r="BS130" s="164">
        <f t="shared" si="3"/>
        <v>0</v>
      </c>
      <c r="BT130" s="164">
        <f t="shared" si="3"/>
        <v>0</v>
      </c>
      <c r="BU130" s="164">
        <f t="shared" si="3"/>
        <v>0</v>
      </c>
      <c r="BV130" s="164">
        <f t="shared" si="3"/>
        <v>0</v>
      </c>
      <c r="BW130" s="164">
        <f t="shared" si="3"/>
        <v>0</v>
      </c>
      <c r="BX130" s="164">
        <f t="shared" si="3"/>
        <v>8</v>
      </c>
      <c r="BY130" s="164">
        <f t="shared" si="3"/>
        <v>0</v>
      </c>
      <c r="BZ130" s="164">
        <f t="shared" si="3"/>
        <v>0</v>
      </c>
      <c r="CA130" s="164">
        <f t="shared" si="3"/>
        <v>0</v>
      </c>
      <c r="CB130" s="164">
        <f t="shared" si="3"/>
        <v>0</v>
      </c>
      <c r="CC130" s="164">
        <f t="shared" si="3"/>
        <v>0</v>
      </c>
      <c r="CD130" s="164">
        <f t="shared" si="3"/>
        <v>0</v>
      </c>
      <c r="CE130" s="164">
        <f t="shared" si="3"/>
        <v>0</v>
      </c>
      <c r="CF130" s="164">
        <f t="shared" si="3"/>
        <v>0</v>
      </c>
      <c r="CG130" s="165">
        <f t="shared" si="3"/>
        <v>0</v>
      </c>
      <c r="CH130" s="166"/>
      <c r="CI130" s="167"/>
      <c r="CJ130" s="168"/>
      <c r="CK130" s="169">
        <f t="shared" si="3"/>
        <v>0</v>
      </c>
      <c r="CL130" s="164">
        <f t="shared" si="3"/>
        <v>0</v>
      </c>
      <c r="CM130" s="164">
        <f t="shared" si="3"/>
        <v>0</v>
      </c>
      <c r="CN130" s="164">
        <f t="shared" si="3"/>
        <v>0</v>
      </c>
      <c r="CO130" s="164">
        <f t="shared" si="3"/>
        <v>0</v>
      </c>
      <c r="CP130" s="164">
        <f t="shared" si="3"/>
        <v>26</v>
      </c>
      <c r="CQ130" s="164">
        <f t="shared" si="3"/>
        <v>0</v>
      </c>
      <c r="CR130" s="164">
        <f t="shared" si="3"/>
        <v>0</v>
      </c>
      <c r="CS130" s="164">
        <f t="shared" si="3"/>
        <v>0</v>
      </c>
      <c r="CT130" s="164">
        <f t="shared" si="3"/>
        <v>0</v>
      </c>
      <c r="CU130" s="164">
        <f t="shared" si="3"/>
        <v>0</v>
      </c>
      <c r="CV130" s="164">
        <f t="shared" si="3"/>
        <v>0</v>
      </c>
      <c r="CW130" s="164">
        <f t="shared" si="3"/>
        <v>0</v>
      </c>
      <c r="CX130" s="164">
        <f t="shared" si="3"/>
        <v>0</v>
      </c>
      <c r="CY130" s="164">
        <f t="shared" si="3"/>
        <v>0</v>
      </c>
      <c r="CZ130" s="164">
        <f t="shared" si="3"/>
        <v>0</v>
      </c>
      <c r="DA130" s="164">
        <f t="shared" si="3"/>
        <v>0</v>
      </c>
      <c r="DB130" s="78"/>
      <c r="DC130" s="78"/>
      <c r="DD130" s="78"/>
    </row>
    <row r="131" spans="2:108" ht="54" customHeight="1" thickBot="1" x14ac:dyDescent="0.25">
      <c r="B131" s="408"/>
      <c r="D131" s="409" t="str">
        <f>IF(BL140&gt;0," ","change the angle of frame or of cabinets")</f>
        <v xml:space="preserve"> </v>
      </c>
      <c r="E131" s="397"/>
      <c r="F131" s="397"/>
      <c r="G131" s="998"/>
      <c r="H131"/>
      <c r="I131"/>
      <c r="J131"/>
      <c r="K131"/>
      <c r="L131"/>
      <c r="M131"/>
      <c r="N131"/>
      <c r="O131" s="995"/>
      <c r="U131" s="114"/>
      <c r="AB131" s="114"/>
      <c r="AC131" s="114"/>
      <c r="AD131" s="114"/>
      <c r="AE131" s="114"/>
      <c r="BE131" s="136"/>
      <c r="BF131" s="136"/>
      <c r="BG131" s="136"/>
      <c r="BH131" s="136"/>
      <c r="BN131" s="86"/>
      <c r="BO131" s="1091"/>
      <c r="BP131" s="163"/>
      <c r="BQ131" s="170"/>
      <c r="BR131" s="170"/>
      <c r="BS131" s="170"/>
      <c r="BT131" s="170"/>
      <c r="BU131" s="170"/>
      <c r="BV131" s="170"/>
      <c r="BW131" s="170"/>
      <c r="BX131" s="170"/>
      <c r="BY131" s="170"/>
      <c r="BZ131" s="170"/>
      <c r="CA131" s="170"/>
      <c r="CB131" s="170"/>
      <c r="CC131" s="170"/>
      <c r="CD131" s="170"/>
      <c r="CE131" s="170"/>
      <c r="CF131" s="170"/>
      <c r="CG131" s="170"/>
      <c r="CH131" s="170"/>
      <c r="CI131" s="170"/>
      <c r="CJ131" s="170"/>
      <c r="CK131" s="171"/>
      <c r="CL131" s="170"/>
      <c r="CM131" s="170"/>
      <c r="CN131" s="170"/>
      <c r="CO131" s="170"/>
      <c r="CP131" s="170"/>
      <c r="CQ131" s="170"/>
      <c r="CR131" s="170"/>
      <c r="CS131" s="170"/>
      <c r="CT131" s="170"/>
      <c r="CU131" s="170"/>
      <c r="CV131" s="170"/>
      <c r="CW131" s="170"/>
      <c r="CX131" s="170"/>
      <c r="CY131" s="170"/>
      <c r="CZ131" s="170"/>
      <c r="DA131" s="170"/>
      <c r="DB131" s="78"/>
      <c r="DC131" s="78"/>
      <c r="DD131" s="78"/>
    </row>
    <row r="132" spans="2:108" ht="54" customHeight="1" thickBot="1" x14ac:dyDescent="0.3">
      <c r="B132" s="1846" t="s">
        <v>116</v>
      </c>
      <c r="D132" s="409" t="str">
        <f>IF(DD140&lt;0," ","change the angle of frame or of cabinets")</f>
        <v xml:space="preserve"> </v>
      </c>
      <c r="E132" s="397"/>
      <c r="F132" s="397"/>
      <c r="G132" s="998"/>
      <c r="H132"/>
      <c r="I132" s="1070" t="s">
        <v>263</v>
      </c>
      <c r="J132" s="1070" t="s">
        <v>262</v>
      </c>
      <c r="K132"/>
      <c r="L132"/>
      <c r="M132"/>
      <c r="N132"/>
      <c r="O132" s="995"/>
      <c r="U132" s="114"/>
      <c r="AB132" s="114"/>
      <c r="AC132" s="114"/>
      <c r="AD132" s="114"/>
      <c r="AE132" s="114"/>
      <c r="BE132" s="136"/>
      <c r="BF132" s="136"/>
      <c r="BG132" s="136"/>
      <c r="BH132" s="136"/>
      <c r="BN132" s="86"/>
      <c r="BO132" s="1088" t="s">
        <v>128</v>
      </c>
      <c r="BP132" s="172" t="s">
        <v>124</v>
      </c>
      <c r="BQ132" s="750" t="str">
        <f>IF(BQ130=1,17,"")</f>
        <v/>
      </c>
      <c r="BR132" s="751" t="str">
        <f>IF(BR130=2,16,"")</f>
        <v/>
      </c>
      <c r="BS132" s="751" t="str">
        <f>IF(BS130=3,15,"")</f>
        <v/>
      </c>
      <c r="BT132" s="751" t="str">
        <f>IF(BT130=4,14,"")</f>
        <v/>
      </c>
      <c r="BU132" s="751" t="str">
        <f>IF(BU130=5,13,"")</f>
        <v/>
      </c>
      <c r="BV132" s="751" t="str">
        <f>IF(BV130=6,12,"")</f>
        <v/>
      </c>
      <c r="BW132" s="751" t="str">
        <f>IF(BW130=7,11,"")</f>
        <v/>
      </c>
      <c r="BX132" s="751">
        <f>IF(BX130=8,10,"")</f>
        <v>10</v>
      </c>
      <c r="BY132" s="751" t="str">
        <f>IF(BY130=9,9,"")</f>
        <v/>
      </c>
      <c r="BZ132" s="751" t="str">
        <f>IF(BZ130=10,8,"")</f>
        <v/>
      </c>
      <c r="CA132" s="751" t="str">
        <f>IF(CA130=11,7,"")</f>
        <v/>
      </c>
      <c r="CB132" s="752" t="str">
        <f>IF(CB130=12,"6  ADS ","")</f>
        <v/>
      </c>
      <c r="CC132" s="751" t="str">
        <f>IF(CC130=13,5,"")</f>
        <v/>
      </c>
      <c r="CD132" s="751" t="str">
        <f>IF(CD130=14,4,"")</f>
        <v/>
      </c>
      <c r="CE132" s="751" t="str">
        <f>IF(CE130=15,3,"")</f>
        <v/>
      </c>
      <c r="CF132" s="751" t="str">
        <f>IF(CF130=16,2,"")</f>
        <v/>
      </c>
      <c r="CG132" s="751" t="str">
        <f>IF(CG130=17,1,"")</f>
        <v/>
      </c>
      <c r="CH132" s="173"/>
      <c r="CI132" s="174"/>
      <c r="CJ132" s="175"/>
      <c r="CK132" s="753" t="str">
        <f>IF(CK130=21,1,"")</f>
        <v/>
      </c>
      <c r="CL132" s="753" t="str">
        <f>IF(CL130=22,2,"")</f>
        <v/>
      </c>
      <c r="CM132" s="753" t="str">
        <f>IF(CM130=23,3,"")</f>
        <v/>
      </c>
      <c r="CN132" s="753" t="str">
        <f>IF(CN130=24,4,"")</f>
        <v/>
      </c>
      <c r="CO132" s="753" t="str">
        <f>IF(CO130=25,5,"")</f>
        <v/>
      </c>
      <c r="CP132" s="754" t="str">
        <f>IF(CP130=26,"6  ADS ","")</f>
        <v xml:space="preserve">6  ADS </v>
      </c>
      <c r="CQ132" s="753" t="str">
        <f>IF(CQ130=27,7,"")</f>
        <v/>
      </c>
      <c r="CR132" s="753" t="str">
        <f>IF(CR130=28,8,"")</f>
        <v/>
      </c>
      <c r="CS132" s="753" t="str">
        <f>IF(CS130=29,9,"")</f>
        <v/>
      </c>
      <c r="CT132" s="753" t="str">
        <f>IF(CT130=30,10,"")</f>
        <v/>
      </c>
      <c r="CU132" s="753" t="str">
        <f>IF(CU130=31,11,"")</f>
        <v/>
      </c>
      <c r="CV132" s="753" t="str">
        <f>IF(CV130=32,12,"")</f>
        <v/>
      </c>
      <c r="CW132" s="753" t="str">
        <f>IF(CW130=33,13,"")</f>
        <v/>
      </c>
      <c r="CX132" s="753" t="str">
        <f>IF(CX130=34,14,"")</f>
        <v/>
      </c>
      <c r="CY132" s="753" t="str">
        <f>IF(CY130=35,15,"")</f>
        <v/>
      </c>
      <c r="CZ132" s="753" t="str">
        <f>IF(CZ130=36,16,"")</f>
        <v/>
      </c>
      <c r="DA132" s="755" t="str">
        <f>IF(DA130=37,17,"")</f>
        <v/>
      </c>
      <c r="DB132" s="340"/>
      <c r="DC132" s="78"/>
      <c r="DD132" s="78"/>
    </row>
    <row r="133" spans="2:108" ht="54" customHeight="1" thickBot="1" x14ac:dyDescent="0.3">
      <c r="B133" s="1847"/>
      <c r="C133" s="213"/>
      <c r="D133" s="409" t="str">
        <f>IF(BL140&gt;(+COS(($B$134*-1)*3.14159265358979/180)*451.5)," ","USE EXBAR AR AT THE FRONT")</f>
        <v xml:space="preserve"> </v>
      </c>
      <c r="E133" s="397"/>
      <c r="F133" s="397"/>
      <c r="G133" s="1014"/>
      <c r="H133" s="209"/>
      <c r="I133" s="1085">
        <f>COUNTIF(CK130:DA130,"&gt;0")</f>
        <v>1</v>
      </c>
      <c r="J133" s="1085">
        <f>COUNTIF(BQ130:CG130,"&gt;0")</f>
        <v>1</v>
      </c>
      <c r="K133" s="1085" t="b">
        <f>AND(IF(SUM(BQ132:CA132)&gt;0,1,0),IF(CP132="6  ADS ",1,0))</f>
        <v>1</v>
      </c>
      <c r="L133" s="1085" t="b">
        <f>AND(IF(SUM(CQ132:DA132)&gt;0,1,0),IF(CB132="6  ADS ",1,0))</f>
        <v>0</v>
      </c>
      <c r="M133" s="1085" t="b">
        <f>AND(IF(CP132="6  ADS ",1,0),IF(CB132="6  ADS ",1,0))</f>
        <v>0</v>
      </c>
      <c r="N133" s="209"/>
      <c r="O133" s="1015"/>
      <c r="U133" s="114"/>
      <c r="AB133" s="114"/>
      <c r="AC133" s="114"/>
      <c r="AD133" s="114"/>
      <c r="AE133" s="114"/>
      <c r="AL133" s="835" t="s">
        <v>174</v>
      </c>
      <c r="AM133" s="836"/>
      <c r="AN133" s="836"/>
      <c r="AO133" s="836"/>
      <c r="AP133" s="837" t="s">
        <v>178</v>
      </c>
      <c r="BE133" s="136"/>
      <c r="BF133" s="136"/>
      <c r="BG133" s="136"/>
      <c r="BH133" s="136"/>
      <c r="BL133" s="968">
        <v>6</v>
      </c>
      <c r="BM133" s="1762" t="b">
        <f>AND(BO133&gt;=10,$BA$140&gt;=10,$BB$140&gt;=10,$BA$172&gt;=10,$BB$172&gt;=10,$BA$196&gt;=10,$BB$196&gt;=10,$BA$232&gt;=10,$BB$232&gt;=10)</f>
        <v>1</v>
      </c>
      <c r="BN133" s="84" t="str">
        <f>IF(BM133=TRUE,"O K","OVERLOAD")</f>
        <v>O K</v>
      </c>
      <c r="BO133" s="982">
        <f>SUM(I134:M134)</f>
        <v>53.94470667565745</v>
      </c>
      <c r="BP133" s="788" t="s">
        <v>185</v>
      </c>
      <c r="BQ133" s="789">
        <v>-10</v>
      </c>
      <c r="BR133" s="789">
        <v>-9</v>
      </c>
      <c r="BS133" s="789">
        <v>-8</v>
      </c>
      <c r="BT133" s="789">
        <v>-7</v>
      </c>
      <c r="BU133" s="789">
        <v>-6</v>
      </c>
      <c r="BV133" s="789">
        <v>-5</v>
      </c>
      <c r="BW133" s="789">
        <v>-4</v>
      </c>
      <c r="BX133" s="789">
        <v>-3</v>
      </c>
      <c r="BY133" s="789">
        <v>-2</v>
      </c>
      <c r="BZ133" s="789">
        <v>-1</v>
      </c>
      <c r="CA133" s="789">
        <v>0</v>
      </c>
      <c r="CB133" s="789">
        <v>1</v>
      </c>
      <c r="CC133" s="789">
        <v>2</v>
      </c>
      <c r="CD133" s="789">
        <v>3</v>
      </c>
      <c r="CE133" s="789">
        <v>4</v>
      </c>
      <c r="CF133" s="789">
        <v>5</v>
      </c>
      <c r="CG133" s="789">
        <v>6</v>
      </c>
      <c r="CH133" s="789">
        <v>7</v>
      </c>
      <c r="CI133" s="789">
        <v>8</v>
      </c>
      <c r="CJ133" s="789">
        <v>9</v>
      </c>
      <c r="CK133" s="789">
        <v>10</v>
      </c>
      <c r="CL133" s="789">
        <v>11</v>
      </c>
      <c r="CM133" s="789">
        <v>12</v>
      </c>
      <c r="CN133" s="789">
        <v>13</v>
      </c>
      <c r="CO133" s="789">
        <v>14</v>
      </c>
      <c r="CP133" s="789">
        <v>15</v>
      </c>
      <c r="CQ133" s="789">
        <v>16</v>
      </c>
      <c r="CR133" s="789">
        <v>17</v>
      </c>
      <c r="CS133" s="789">
        <v>18</v>
      </c>
      <c r="CT133" s="789">
        <v>19</v>
      </c>
      <c r="CU133" s="789">
        <v>20</v>
      </c>
      <c r="CV133" s="789">
        <v>21</v>
      </c>
      <c r="CW133" s="789">
        <v>22</v>
      </c>
      <c r="CX133" s="789">
        <v>23</v>
      </c>
      <c r="CY133" s="789">
        <v>24</v>
      </c>
      <c r="CZ133" s="789">
        <v>25</v>
      </c>
      <c r="DA133" s="791">
        <v>26</v>
      </c>
      <c r="DB133" s="340"/>
      <c r="DC133" s="78"/>
      <c r="DD133" s="78"/>
    </row>
    <row r="134" spans="2:108" ht="54" customHeight="1" thickBot="1" x14ac:dyDescent="0.3">
      <c r="B134" s="4">
        <v>0</v>
      </c>
      <c r="C134" s="213"/>
      <c r="D134" s="341" t="str">
        <f>IF(DD140&lt;-(+COS(($B$134*-1)*3.14159265358979/180)*365.5)," ","USE EXBAR AR AT THE BACK")</f>
        <v xml:space="preserve"> </v>
      </c>
      <c r="E134" s="397"/>
      <c r="F134" s="397"/>
      <c r="G134" s="1016"/>
      <c r="H134" s="1017"/>
      <c r="I134" s="1086">
        <f>IF(I133=2,I128,0)</f>
        <v>0</v>
      </c>
      <c r="J134" s="1086">
        <f>IF(J133=2,J128,0)</f>
        <v>0</v>
      </c>
      <c r="K134" s="1086">
        <f t="shared" ref="K134:M134" si="4">IF(K133=TRUE,K128,0)</f>
        <v>53.94470667565745</v>
      </c>
      <c r="L134" s="1086">
        <f t="shared" si="4"/>
        <v>0</v>
      </c>
      <c r="M134" s="1086">
        <f t="shared" si="4"/>
        <v>0</v>
      </c>
      <c r="N134" s="1017"/>
      <c r="O134" s="1018"/>
      <c r="U134" s="114"/>
      <c r="AB134" s="114"/>
      <c r="AC134" s="114"/>
      <c r="AD134" s="114"/>
      <c r="AE134" s="114"/>
      <c r="AL134" s="838" t="s">
        <v>175</v>
      </c>
      <c r="AM134" s="835" t="s">
        <v>176</v>
      </c>
      <c r="AN134" s="835" t="s">
        <v>177</v>
      </c>
      <c r="AO134" s="839" t="s">
        <v>181</v>
      </c>
      <c r="AP134" s="840" t="s">
        <v>179</v>
      </c>
      <c r="BE134" s="136"/>
      <c r="BF134" s="136"/>
      <c r="BG134" s="136"/>
      <c r="BH134" s="136"/>
      <c r="BN134" s="86"/>
      <c r="BO134" s="1091"/>
      <c r="BP134" s="136"/>
      <c r="BQ134" s="340"/>
      <c r="BR134" s="340"/>
      <c r="BS134" s="340"/>
      <c r="BT134" s="340"/>
      <c r="BU134" s="340"/>
      <c r="BV134" s="340"/>
      <c r="BW134" s="340"/>
      <c r="BX134" s="340"/>
      <c r="BY134" s="340"/>
      <c r="BZ134" s="340"/>
      <c r="CA134" s="340"/>
      <c r="CB134" s="950"/>
      <c r="CC134" s="340"/>
      <c r="CD134" s="340"/>
      <c r="CE134" s="340"/>
      <c r="CF134" s="340"/>
      <c r="CG134" s="340"/>
      <c r="CH134" s="340"/>
      <c r="CI134" s="340"/>
      <c r="CJ134" s="340"/>
      <c r="CK134" s="340"/>
      <c r="CL134" s="340"/>
      <c r="CM134" s="340"/>
      <c r="CN134" s="340"/>
      <c r="CO134" s="340"/>
      <c r="CP134" s="950"/>
      <c r="CQ134" s="340"/>
      <c r="CR134" s="340"/>
      <c r="CS134" s="340"/>
      <c r="CT134" s="340"/>
      <c r="CU134" s="340"/>
      <c r="CV134" s="340"/>
      <c r="CW134" s="340"/>
      <c r="CX134" s="340"/>
      <c r="CY134" s="340"/>
      <c r="CZ134" s="340"/>
      <c r="DA134" s="340"/>
      <c r="DB134" s="340"/>
      <c r="DC134" s="78"/>
      <c r="DD134" s="78"/>
    </row>
    <row r="135" spans="2:108" ht="22.5" customHeight="1" thickBot="1" x14ac:dyDescent="0.25">
      <c r="B135" s="399"/>
      <c r="C135" s="399"/>
      <c r="D135" s="397"/>
      <c r="E135" s="397"/>
      <c r="F135" s="397"/>
      <c r="G135" s="397"/>
      <c r="U135" s="114"/>
      <c r="AB135" s="114"/>
      <c r="AC135" s="114"/>
      <c r="AD135" s="114"/>
      <c r="AE135" s="114"/>
      <c r="BE135" s="136"/>
      <c r="BF135" s="136"/>
      <c r="BG135" s="136"/>
      <c r="BH135" s="136"/>
      <c r="BM135"/>
      <c r="BO135" s="1091"/>
      <c r="BP135" s="136"/>
      <c r="DB135" s="78"/>
      <c r="DC135" s="78"/>
      <c r="DD135" s="78"/>
    </row>
    <row r="136" spans="2:108" ht="71.25" customHeight="1" thickBot="1" x14ac:dyDescent="0.3">
      <c r="B136" s="345" t="s">
        <v>118</v>
      </c>
      <c r="C136" s="454"/>
      <c r="D136" s="455"/>
      <c r="E136" s="37"/>
      <c r="F136" s="37"/>
      <c r="G136" s="37"/>
      <c r="H136" s="456"/>
      <c r="I136" s="456"/>
      <c r="J136" s="456"/>
      <c r="K136" s="456"/>
      <c r="L136" s="456"/>
      <c r="M136" s="456"/>
      <c r="N136" s="456"/>
      <c r="O136" s="456"/>
      <c r="P136" s="456"/>
      <c r="Q136" s="456"/>
      <c r="R136" s="456"/>
      <c r="S136" s="457" t="s">
        <v>66</v>
      </c>
      <c r="T136" s="457">
        <f>SUM(V140:V159)/B137</f>
        <v>213.83080000000001</v>
      </c>
      <c r="U136" s="212"/>
      <c r="V136" s="73"/>
      <c r="AB136" s="73"/>
      <c r="AC136" s="73"/>
      <c r="AD136" s="73"/>
      <c r="AE136" s="73"/>
      <c r="AF136" s="73"/>
      <c r="AG136" s="73"/>
      <c r="AH136" s="73"/>
      <c r="AI136" s="73"/>
      <c r="AJ136" s="73"/>
      <c r="AK136" s="73"/>
      <c r="AL136" s="838">
        <v>6.8623010000000004</v>
      </c>
      <c r="AM136" s="835">
        <f>+$B$134-AL136</f>
        <v>-6.8623010000000004</v>
      </c>
      <c r="AN136" s="841">
        <f>COS(AM136*3.14159265358979/180)</f>
        <v>0.99283617366519983</v>
      </c>
      <c r="AO136" s="842">
        <f>+AN136*378.71303</f>
        <v>375.99999562235405</v>
      </c>
      <c r="AP136" s="813">
        <f>+((AP140*(AR140-31-31))+(AO136*31)+(AP166*31)+(AP190*31))/(AR140+31)</f>
        <v>253.65946584590472</v>
      </c>
      <c r="AQ136" s="1100" t="s">
        <v>266</v>
      </c>
      <c r="AR136" s="73"/>
      <c r="AS136" s="73"/>
      <c r="AT136" s="73"/>
      <c r="AU136" s="73"/>
      <c r="AV136" s="73"/>
      <c r="AW136" s="73"/>
      <c r="AX136" s="73"/>
      <c r="AY136" s="73"/>
      <c r="AZ136" s="73"/>
      <c r="BA136" s="73"/>
      <c r="BB136" s="73"/>
      <c r="BC136" s="126"/>
      <c r="BE136" s="136"/>
      <c r="BF136" s="136"/>
      <c r="BG136" s="136"/>
      <c r="BH136" s="136"/>
      <c r="BI136" s="136"/>
      <c r="BJ136" s="136"/>
      <c r="BK136" s="136"/>
      <c r="BL136" s="136"/>
      <c r="BM136" s="402"/>
      <c r="BN136" s="136"/>
      <c r="BO136" s="1091"/>
      <c r="BP136" s="78"/>
      <c r="BQ136" s="199"/>
      <c r="BR136" s="199"/>
      <c r="BS136" s="199"/>
      <c r="BT136" s="199"/>
      <c r="BU136" s="199"/>
      <c r="BV136" s="199"/>
      <c r="BW136" s="199"/>
      <c r="BX136" s="199"/>
      <c r="BY136" s="199"/>
      <c r="BZ136" s="199"/>
      <c r="CA136" s="199"/>
      <c r="CB136" s="199"/>
      <c r="CC136" s="199"/>
      <c r="CD136" s="199"/>
      <c r="CE136" s="199"/>
      <c r="CF136" s="199"/>
      <c r="CG136" s="199"/>
      <c r="CH136" s="199"/>
      <c r="CI136" s="199"/>
      <c r="CJ136" s="199"/>
      <c r="CK136" s="199"/>
      <c r="CL136" s="199"/>
      <c r="CM136" s="199"/>
      <c r="CN136" s="199"/>
      <c r="CO136" s="199"/>
      <c r="CP136" s="199"/>
      <c r="CQ136" s="199"/>
      <c r="CR136" s="199"/>
      <c r="CS136" s="199"/>
      <c r="CT136" s="199"/>
      <c r="CU136" s="199"/>
      <c r="CV136" s="199"/>
      <c r="CW136" s="199"/>
      <c r="CX136" s="199"/>
      <c r="CY136" s="199"/>
      <c r="CZ136" s="199"/>
      <c r="DA136" s="199"/>
      <c r="DB136" s="199"/>
    </row>
    <row r="137" spans="2:108" ht="43.5" customHeight="1" thickBot="1" x14ac:dyDescent="0.3">
      <c r="B137" s="27">
        <v>1</v>
      </c>
      <c r="C137" s="216"/>
      <c r="D137" s="556" t="s">
        <v>139</v>
      </c>
      <c r="E137" s="330"/>
      <c r="F137" s="330"/>
      <c r="G137" s="330"/>
      <c r="H137" s="1684"/>
      <c r="I137" s="1623"/>
      <c r="J137" s="1623"/>
      <c r="K137" s="1623"/>
      <c r="L137" s="1623"/>
      <c r="M137" s="1623"/>
      <c r="N137" s="1623"/>
      <c r="O137" s="1623"/>
      <c r="P137" s="1623"/>
      <c r="Q137" s="1623"/>
      <c r="R137" s="1623"/>
      <c r="S137" s="1624"/>
      <c r="T137" s="1625"/>
      <c r="U137" s="401"/>
      <c r="V137" s="1585"/>
      <c r="W137" s="1850" t="s">
        <v>93</v>
      </c>
      <c r="X137" s="1850"/>
      <c r="Y137" s="1850"/>
      <c r="Z137" s="1850"/>
      <c r="AA137" s="1850"/>
      <c r="AB137" s="1585"/>
      <c r="AC137" s="1585"/>
      <c r="AD137" s="1585"/>
      <c r="AE137" s="1585"/>
      <c r="AF137" s="1585"/>
      <c r="AG137" s="1585"/>
      <c r="AH137" s="1585"/>
      <c r="AI137" s="1585"/>
      <c r="AJ137" s="1585"/>
      <c r="AK137" s="1585"/>
      <c r="AL137" s="1585"/>
      <c r="AM137" s="1585"/>
      <c r="AN137" s="1585"/>
      <c r="AO137" s="1585"/>
      <c r="AP137" s="1585"/>
      <c r="AQ137" s="1711" t="s">
        <v>315</v>
      </c>
      <c r="AR137" s="1585"/>
      <c r="AS137" s="1585"/>
      <c r="AT137" s="1585"/>
      <c r="AU137" s="1585"/>
      <c r="AV137" s="1585"/>
      <c r="AW137" s="1585"/>
      <c r="AX137" s="1585"/>
      <c r="AY137" s="1585"/>
      <c r="AZ137" s="1585"/>
      <c r="BA137" s="1848" t="s">
        <v>52</v>
      </c>
      <c r="BB137" s="1849"/>
      <c r="BC137" s="218"/>
      <c r="BE137" s="136"/>
      <c r="BF137" s="136"/>
      <c r="BG137" s="136"/>
      <c r="BH137" s="136"/>
      <c r="BI137" s="136"/>
      <c r="BJ137" s="136"/>
      <c r="BK137" s="136"/>
      <c r="BL137" s="136"/>
      <c r="BM137" s="402"/>
      <c r="BN137" s="136"/>
      <c r="BO137" s="1091"/>
      <c r="BP137" s="76"/>
      <c r="BQ137" s="76"/>
      <c r="BR137" s="76"/>
      <c r="BS137" s="76"/>
      <c r="BT137" s="76"/>
      <c r="BU137" s="76"/>
      <c r="BV137" s="202"/>
      <c r="BW137" s="202"/>
      <c r="BX137" s="202"/>
      <c r="BY137" s="202"/>
      <c r="BZ137" s="202"/>
      <c r="CA137" s="202"/>
      <c r="CB137" s="202"/>
      <c r="CC137" s="202"/>
      <c r="CD137" s="202"/>
      <c r="CE137" s="202"/>
      <c r="CF137" s="202"/>
      <c r="CG137" s="202"/>
      <c r="CH137" s="202"/>
      <c r="CI137" s="202"/>
      <c r="CJ137" s="78"/>
      <c r="CK137" s="78"/>
      <c r="CL137" s="78"/>
      <c r="CM137" s="78"/>
      <c r="CN137" s="78"/>
      <c r="CO137" s="78"/>
      <c r="CP137" s="78"/>
      <c r="CQ137" s="78"/>
      <c r="CR137" s="78"/>
      <c r="CS137" s="78"/>
      <c r="CT137" s="78"/>
      <c r="CU137" s="78"/>
      <c r="CV137" s="78"/>
      <c r="CW137" s="78"/>
      <c r="CX137" s="78"/>
      <c r="CY137" s="78"/>
      <c r="CZ137" s="78"/>
      <c r="DA137" s="78"/>
      <c r="DB137" s="78"/>
      <c r="DC137" s="78"/>
      <c r="DD137" s="78"/>
    </row>
    <row r="138" spans="2:108" ht="58" hidden="1" thickBot="1" x14ac:dyDescent="0.25">
      <c r="C138" s="416"/>
      <c r="D138" s="354" t="s">
        <v>13</v>
      </c>
      <c r="H138" s="500" t="s">
        <v>4</v>
      </c>
      <c r="I138" s="500" t="s">
        <v>1</v>
      </c>
      <c r="J138" s="456" t="s">
        <v>0</v>
      </c>
      <c r="K138" s="456" t="s">
        <v>2</v>
      </c>
      <c r="L138" s="456" t="s">
        <v>3</v>
      </c>
      <c r="M138" s="456" t="s">
        <v>8</v>
      </c>
      <c r="N138" s="456" t="s">
        <v>5</v>
      </c>
      <c r="O138" s="456" t="s">
        <v>6</v>
      </c>
      <c r="P138" s="456" t="s">
        <v>7</v>
      </c>
      <c r="Q138" s="456" t="s">
        <v>9</v>
      </c>
      <c r="R138" s="1628" t="s">
        <v>10</v>
      </c>
      <c r="S138" s="456" t="s">
        <v>11</v>
      </c>
      <c r="T138" s="467" t="s">
        <v>12</v>
      </c>
      <c r="V138" s="420"/>
      <c r="W138" s="356" t="s">
        <v>140</v>
      </c>
      <c r="X138" s="316" t="s">
        <v>94</v>
      </c>
      <c r="Y138" s="356" t="s">
        <v>141</v>
      </c>
      <c r="Z138" s="419" t="s">
        <v>100</v>
      </c>
      <c r="AA138" s="419" t="s">
        <v>96</v>
      </c>
      <c r="AB138" s="420" t="s">
        <v>320</v>
      </c>
      <c r="AC138" s="457" t="s">
        <v>99</v>
      </c>
      <c r="AD138" s="457"/>
      <c r="AE138" s="457"/>
      <c r="AF138" s="420"/>
      <c r="AG138" s="420"/>
      <c r="AH138" s="420"/>
      <c r="AI138" s="420"/>
      <c r="AJ138" s="420"/>
      <c r="AK138" s="420"/>
      <c r="AL138" s="420"/>
      <c r="AM138" s="420"/>
      <c r="AN138" s="420"/>
      <c r="AO138" s="420"/>
      <c r="AP138" s="420"/>
      <c r="AQ138" s="420"/>
      <c r="AR138" s="420"/>
      <c r="AS138" s="420"/>
      <c r="AT138" s="420"/>
      <c r="AU138" s="420" t="s">
        <v>135</v>
      </c>
      <c r="AV138" s="420"/>
      <c r="AW138" s="420"/>
      <c r="AX138" s="420"/>
      <c r="AY138" s="415"/>
      <c r="AZ138" s="420"/>
      <c r="BA138" s="420"/>
      <c r="BB138" s="420"/>
      <c r="BC138" s="231"/>
      <c r="BE138" s="136"/>
      <c r="BF138" s="136"/>
      <c r="BG138" s="136"/>
      <c r="BH138" s="136"/>
      <c r="BI138" s="136"/>
      <c r="BJ138" s="136"/>
      <c r="BK138" s="136"/>
      <c r="BL138" s="136"/>
      <c r="BM138" s="402"/>
      <c r="BN138" s="136"/>
      <c r="BO138" s="1091"/>
      <c r="BP138" s="126"/>
      <c r="BQ138" s="126"/>
      <c r="BR138" s="126"/>
      <c r="BS138" s="126"/>
      <c r="BT138" s="126"/>
      <c r="BU138" s="126"/>
      <c r="BV138" s="203"/>
      <c r="BW138" s="203"/>
      <c r="BX138" s="203"/>
      <c r="BY138" s="203"/>
      <c r="BZ138" s="203"/>
      <c r="CA138" s="203"/>
      <c r="CB138" s="203"/>
      <c r="CC138" s="203"/>
      <c r="CD138" s="203"/>
      <c r="CE138" s="203"/>
      <c r="CF138" s="203"/>
      <c r="CG138" s="203"/>
      <c r="CH138" s="203"/>
      <c r="CI138" s="203"/>
    </row>
    <row r="139" spans="2:108" ht="36.75" customHeight="1" thickBot="1" x14ac:dyDescent="0.25">
      <c r="B139" s="501"/>
      <c r="C139" s="237"/>
      <c r="D139" s="502" t="s">
        <v>22</v>
      </c>
      <c r="E139" s="330"/>
      <c r="F139" s="503"/>
      <c r="G139" s="240"/>
      <c r="H139" s="469"/>
      <c r="I139" s="470"/>
      <c r="R139" s="1628"/>
      <c r="T139" s="471"/>
      <c r="V139" s="420"/>
      <c r="W139" s="420"/>
      <c r="X139" s="420"/>
      <c r="Y139" s="420"/>
      <c r="Z139" s="420"/>
      <c r="AA139" s="420"/>
      <c r="AC139" s="484">
        <f>SUM(AC140:AC159)</f>
        <v>213.83080000000001</v>
      </c>
      <c r="AD139" s="48"/>
      <c r="AE139" s="48"/>
      <c r="AF139" s="420" t="s">
        <v>38</v>
      </c>
      <c r="AG139" s="420"/>
      <c r="AH139" s="425" t="s">
        <v>31</v>
      </c>
      <c r="AI139" s="504"/>
      <c r="AJ139" s="368" t="s">
        <v>120</v>
      </c>
      <c r="AK139" s="426" t="s">
        <v>32</v>
      </c>
      <c r="AL139" s="472" t="s">
        <v>142</v>
      </c>
      <c r="AM139" s="368" t="s">
        <v>121</v>
      </c>
      <c r="AN139" s="427" t="s">
        <v>34</v>
      </c>
      <c r="AO139" s="472" t="s">
        <v>143</v>
      </c>
      <c r="AP139" s="428" t="s">
        <v>48</v>
      </c>
      <c r="AQ139" s="250" t="s">
        <v>36</v>
      </c>
      <c r="AR139" s="428" t="s">
        <v>144</v>
      </c>
      <c r="AS139" s="420" t="s">
        <v>37</v>
      </c>
      <c r="AT139" s="420" t="s">
        <v>39</v>
      </c>
      <c r="AU139" s="428" t="s">
        <v>145</v>
      </c>
      <c r="AV139" s="420"/>
      <c r="AW139" s="1594" t="s">
        <v>41</v>
      </c>
      <c r="AX139" s="1594" t="s">
        <v>42</v>
      </c>
      <c r="AY139" s="430" t="s">
        <v>23</v>
      </c>
      <c r="AZ139" s="430" t="s">
        <v>24</v>
      </c>
      <c r="BA139" s="557" t="s">
        <v>23</v>
      </c>
      <c r="BB139" s="557" t="s">
        <v>24</v>
      </c>
      <c r="BE139" s="136"/>
      <c r="BF139" s="136"/>
      <c r="BG139" s="136"/>
      <c r="BH139" s="136"/>
      <c r="BI139" s="136"/>
      <c r="BJ139" s="136"/>
      <c r="BL139" s="1579" t="s">
        <v>59</v>
      </c>
      <c r="BM139" s="402"/>
      <c r="BN139" s="73"/>
      <c r="BO139" s="1091"/>
      <c r="BP139" s="64"/>
      <c r="BS139" s="126"/>
      <c r="BT139" s="126"/>
      <c r="BU139" s="126"/>
      <c r="BV139" s="203"/>
      <c r="BW139" s="203"/>
      <c r="BX139" s="203"/>
      <c r="BY139" s="203"/>
      <c r="BZ139" s="203"/>
      <c r="CA139" s="203"/>
      <c r="CB139" s="203"/>
      <c r="CC139" s="203"/>
      <c r="CD139" s="203"/>
      <c r="CE139" s="203"/>
      <c r="CF139" s="203"/>
      <c r="CG139" s="203"/>
      <c r="CH139" s="203"/>
      <c r="CI139" s="203"/>
      <c r="CR139" s="64"/>
      <c r="DD139" s="1579" t="s">
        <v>58</v>
      </c>
    </row>
    <row r="140" spans="2:108" ht="21" customHeight="1" thickBot="1" x14ac:dyDescent="0.25">
      <c r="B140" s="255">
        <v>1</v>
      </c>
      <c r="C140" s="256">
        <f>+(B134*-1)+D140</f>
        <v>0</v>
      </c>
      <c r="D140" s="25">
        <v>0</v>
      </c>
      <c r="E140" s="257" t="s">
        <v>119</v>
      </c>
      <c r="F140" s="258"/>
      <c r="G140" s="258">
        <f>+D140</f>
        <v>0</v>
      </c>
      <c r="H140" s="506">
        <v>279.06049999999999</v>
      </c>
      <c r="I140" s="507">
        <v>79.962900599999998</v>
      </c>
      <c r="J140" s="508">
        <f>+I140-C140</f>
        <v>79.962900599999998</v>
      </c>
      <c r="K140" s="508">
        <f>+J140/2</f>
        <v>39.981450299999999</v>
      </c>
      <c r="L140" s="508">
        <f t="shared" ref="L140:L159" si="5">SIN(K140*3.14159265358979/180)</f>
        <v>0.64253956655634092</v>
      </c>
      <c r="M140" s="508">
        <f t="shared" ref="M140:M159" si="6">+L140*H140</f>
        <v>179.30741271299578</v>
      </c>
      <c r="N140" s="508">
        <f t="shared" ref="N140:N159" si="7">+M140*2</f>
        <v>358.61482542599157</v>
      </c>
      <c r="O140" s="508">
        <f>+C140/2</f>
        <v>0</v>
      </c>
      <c r="P140" s="508">
        <f t="shared" ref="P140:P159" si="8">SIN(O140*3.14159265358979/180)</f>
        <v>0</v>
      </c>
      <c r="Q140" s="508">
        <f t="shared" ref="Q140:Q159" si="9">+P140*N140</f>
        <v>0</v>
      </c>
      <c r="R140" s="509">
        <v>213.83080000000001</v>
      </c>
      <c r="S140" s="508">
        <f>+R140+Q140</f>
        <v>213.83080000000001</v>
      </c>
      <c r="T140" s="510">
        <f t="shared" ref="T140:T159" si="10">+S140</f>
        <v>213.83080000000001</v>
      </c>
      <c r="U140" s="456"/>
      <c r="V140" s="1712">
        <f t="shared" ref="V140:V159" si="11">IF(B140&lt;($B$137+1),T140,0)</f>
        <v>213.83080000000001</v>
      </c>
      <c r="W140" s="512">
        <v>39.981450000000002</v>
      </c>
      <c r="X140" s="511">
        <f>+W140+AI161</f>
        <v>39.981450000000002</v>
      </c>
      <c r="Y140" s="512">
        <v>279.06049999999999</v>
      </c>
      <c r="Z140" s="419">
        <f>+COS(X140*3.14159265358979/180)*Y140</f>
        <v>213.83080883710866</v>
      </c>
      <c r="AA140" s="513">
        <f>+AC139-Z140</f>
        <v>-8.8371086519600794E-6</v>
      </c>
      <c r="AB140" s="1595" t="str">
        <f>IF(AZ140&lt;0,"use the locking pin"," ")</f>
        <v xml:space="preserve"> </v>
      </c>
      <c r="AC140" s="514">
        <f>IF(AD140=1,AF140)</f>
        <v>213.83080000000001</v>
      </c>
      <c r="AD140" s="514">
        <f t="shared" ref="AD140:AD159" si="12">MAX(AE$140:AE$159)</f>
        <v>1</v>
      </c>
      <c r="AE140" s="514">
        <f>IF(V140=0,0,1)</f>
        <v>1</v>
      </c>
      <c r="AF140" s="1712">
        <f>SUM(V140:V159)/($B$137)</f>
        <v>213.83080000000001</v>
      </c>
      <c r="AG140" s="511"/>
      <c r="AH140" s="515">
        <f>C140</f>
        <v>0</v>
      </c>
      <c r="AI140" s="516">
        <f>IF(B140&lt;($B$137+1),AH140)</f>
        <v>0</v>
      </c>
      <c r="AJ140" s="287">
        <f>66.2555484-AH140</f>
        <v>66.255548399999995</v>
      </c>
      <c r="AK140" s="517">
        <f t="shared" ref="AK140:AK159" si="13">SIN(AJ140*3.14159265358979/180)</f>
        <v>0.91535047595051022</v>
      </c>
      <c r="AL140" s="289">
        <f>+AK140*304.3209</f>
        <v>278.56028065668761</v>
      </c>
      <c r="AM140" s="287">
        <f>50.0185497+AH140</f>
        <v>50.018549700000001</v>
      </c>
      <c r="AN140" s="518">
        <f>SIN(AM140*3.14159265358979/180)</f>
        <v>0.76625250760411079</v>
      </c>
      <c r="AO140" s="291">
        <f>+AN140*279.0605</f>
        <v>213.83080789825695</v>
      </c>
      <c r="AP140" s="519">
        <f t="shared" ref="AP140:AP159" si="14">+((AF140*AQ140)+($AG$172*$AQ$172)+($AQ$196*$AG$196)+($AG$232*$AQ$232))/AR140</f>
        <v>186.17625547099502</v>
      </c>
      <c r="AQ140" s="269">
        <f>$C$13*B137</f>
        <v>40.5</v>
      </c>
      <c r="AR140" s="519">
        <f t="shared" ref="AR140:AR159" si="15">+AQ140+$AQ$196+$AQ$172+$AQ$232+31+31+1.3</f>
        <v>230.60000000000002</v>
      </c>
      <c r="AS140" s="520">
        <f>+AO140+AL140</f>
        <v>492.39108855494453</v>
      </c>
      <c r="AT140" s="521">
        <f>+V140-AO140</f>
        <v>-7.8982569391428115E-6</v>
      </c>
      <c r="AU140" s="522">
        <f>+AP140-AT140</f>
        <v>186.17626336925196</v>
      </c>
      <c r="AV140" s="521"/>
      <c r="AW140" s="523">
        <f>+((AS140-AU140)/AS140)*AR140</f>
        <v>143.40864473208512</v>
      </c>
      <c r="AX140" s="523">
        <f>+(AU140/AS140)*AR140</f>
        <v>87.191355267914872</v>
      </c>
      <c r="AY140" s="1597">
        <f t="shared" ref="AY140:AY159" si="16">2*$C$22/AW140</f>
        <v>80.887731849575928</v>
      </c>
      <c r="AZ140" s="1597">
        <f t="shared" ref="AZ140:AZ159" si="17">$D$22/AX140</f>
        <v>114.69026911295015</v>
      </c>
      <c r="BA140" s="542">
        <f>ABS(AY140)</f>
        <v>80.887731849575928</v>
      </c>
      <c r="BB140" s="542">
        <f>ABS(AZ140)</f>
        <v>114.69026911295015</v>
      </c>
      <c r="BC140" s="91"/>
      <c r="BE140" s="136"/>
      <c r="BF140" s="136"/>
      <c r="BG140" s="136"/>
      <c r="BH140" s="136"/>
      <c r="BI140" s="136"/>
      <c r="BJ140" s="136"/>
      <c r="BK140" s="212"/>
      <c r="BL140" s="1579">
        <f>-+BH165</f>
        <v>679.15945214330179</v>
      </c>
      <c r="BM140" s="402"/>
      <c r="BN140" s="73"/>
      <c r="BO140" s="1091"/>
      <c r="BP140" s="64"/>
      <c r="BS140" s="126"/>
      <c r="BT140" s="126"/>
      <c r="BU140" s="126"/>
      <c r="BV140" s="203"/>
      <c r="BW140" s="203"/>
      <c r="BX140" s="203"/>
      <c r="BY140" s="203"/>
      <c r="BZ140" s="203"/>
      <c r="CA140" s="203"/>
      <c r="CB140" s="203"/>
      <c r="CC140" s="203"/>
      <c r="CD140" s="203"/>
      <c r="CE140" s="203"/>
      <c r="CF140" s="203"/>
      <c r="CG140" s="203"/>
      <c r="CH140" s="203"/>
      <c r="CI140" s="203"/>
      <c r="CP140" s="212"/>
      <c r="CR140" s="64"/>
      <c r="DD140" s="1579">
        <f>+-BH204</f>
        <v>-868.84054785669821</v>
      </c>
    </row>
    <row r="141" spans="2:108" ht="21" customHeight="1" thickBot="1" x14ac:dyDescent="0.25">
      <c r="B141" s="277">
        <v>2</v>
      </c>
      <c r="C141" s="278"/>
      <c r="D141" s="25">
        <v>0</v>
      </c>
      <c r="E141" s="279" t="s">
        <v>130</v>
      </c>
      <c r="F141" s="258"/>
      <c r="G141" s="258" t="e">
        <f>+D141+BC141</f>
        <v>#DIV/0!</v>
      </c>
      <c r="H141" s="506">
        <v>279.06049999999999</v>
      </c>
      <c r="I141" s="507">
        <v>79.962900599999998</v>
      </c>
      <c r="J141" s="474">
        <f t="shared" ref="J141:J159" si="18">+I141-D141</f>
        <v>79.962900599999998</v>
      </c>
      <c r="K141" s="474">
        <f t="shared" ref="K141:K159" si="19">+J141/2</f>
        <v>39.981450299999999</v>
      </c>
      <c r="L141" s="474">
        <f t="shared" si="5"/>
        <v>0.64253956655634092</v>
      </c>
      <c r="M141" s="474">
        <f t="shared" si="6"/>
        <v>179.30741271299578</v>
      </c>
      <c r="N141" s="474">
        <f t="shared" si="7"/>
        <v>358.61482542599157</v>
      </c>
      <c r="O141" s="474">
        <f>+C140+(D141/2)</f>
        <v>0</v>
      </c>
      <c r="P141" s="474">
        <f t="shared" si="8"/>
        <v>0</v>
      </c>
      <c r="Q141" s="474">
        <f t="shared" si="9"/>
        <v>0</v>
      </c>
      <c r="R141" s="474">
        <f t="shared" ref="R141:R159" si="20">+T140</f>
        <v>213.83080000000001</v>
      </c>
      <c r="S141" s="474">
        <f>+R141+Q141</f>
        <v>213.83080000000001</v>
      </c>
      <c r="T141" s="476">
        <f t="shared" si="10"/>
        <v>213.83080000000001</v>
      </c>
      <c r="V141" s="1585">
        <f t="shared" si="11"/>
        <v>0</v>
      </c>
      <c r="W141" s="437"/>
      <c r="X141" s="437"/>
      <c r="Y141" s="437"/>
      <c r="Z141" s="437"/>
      <c r="AA141" s="437"/>
      <c r="AB141" s="1595" t="e">
        <f>IF(AZ141&lt;0,"use the locking pin"," ")</f>
        <v>#DIV/0!</v>
      </c>
      <c r="AC141" s="514" t="b">
        <f>IF(AD141=2,AF141)</f>
        <v>0</v>
      </c>
      <c r="AD141" s="514">
        <f t="shared" si="12"/>
        <v>1</v>
      </c>
      <c r="AE141" s="514">
        <f>IF(V141=0,0,2)</f>
        <v>0</v>
      </c>
      <c r="AF141" s="1585" t="e">
        <f>SUM(V141:V159)/($B$137-B140)</f>
        <v>#DIV/0!</v>
      </c>
      <c r="AG141" s="437"/>
      <c r="AH141" s="450">
        <f>SUM(D141)+$C$140</f>
        <v>0</v>
      </c>
      <c r="AI141" s="516" t="b">
        <f t="shared" ref="AI141:AI159" si="21">IF(B141&lt;($B$137+1),AH141)</f>
        <v>0</v>
      </c>
      <c r="AJ141" s="287">
        <f t="shared" ref="AJ141:AJ159" si="22">66.2555484-AH141</f>
        <v>66.255548399999995</v>
      </c>
      <c r="AK141" s="441">
        <f t="shared" si="13"/>
        <v>0.91535047595051022</v>
      </c>
      <c r="AL141" s="289">
        <f t="shared" ref="AL141:AL159" si="23">+AK141*304.3209</f>
        <v>278.56028065668761</v>
      </c>
      <c r="AM141" s="287">
        <f t="shared" ref="AM141:AM159" si="24">50.0185497+AH141</f>
        <v>50.018549700000001</v>
      </c>
      <c r="AN141" s="442">
        <f t="shared" ref="AN141:AN159" si="25">SIN(AM141*3.14159265358979/180)</f>
        <v>0.76625250760411079</v>
      </c>
      <c r="AO141" s="291">
        <f t="shared" ref="AO141:AO159" si="26">+AN141*279.0605</f>
        <v>213.83080789825695</v>
      </c>
      <c r="AP141" s="519" t="e">
        <f t="shared" si="14"/>
        <v>#DIV/0!</v>
      </c>
      <c r="AQ141" s="291">
        <f>$C$13*($B$137-B140)</f>
        <v>0</v>
      </c>
      <c r="AR141" s="519">
        <f t="shared" si="15"/>
        <v>190.10000000000002</v>
      </c>
      <c r="AS141" s="444">
        <f t="shared" ref="AS141:AS159" si="27">+AO141+AL141</f>
        <v>492.39108855494453</v>
      </c>
      <c r="AT141" s="445">
        <f>+V141-AO141</f>
        <v>-213.83080789825695</v>
      </c>
      <c r="AU141" s="446" t="e">
        <f t="shared" ref="AU141:AU159" si="28">+AP141-AT141</f>
        <v>#DIV/0!</v>
      </c>
      <c r="AV141" s="445"/>
      <c r="AW141" s="447" t="e">
        <f t="shared" ref="AW141:AW159" si="29">+((AS141-AU141)/AS141)*AR141</f>
        <v>#DIV/0!</v>
      </c>
      <c r="AX141" s="447" t="e">
        <f t="shared" ref="AX141:AX159" si="30">+(AU141/AS141)*AR141</f>
        <v>#DIV/0!</v>
      </c>
      <c r="AY141" s="1597" t="e">
        <f t="shared" si="16"/>
        <v>#DIV/0!</v>
      </c>
      <c r="AZ141" s="1597" t="e">
        <f t="shared" si="17"/>
        <v>#DIV/0!</v>
      </c>
      <c r="BA141" s="542" t="e">
        <f t="shared" ref="BA141:BB159" si="31">ABS(AY141)</f>
        <v>#DIV/0!</v>
      </c>
      <c r="BB141" s="542" t="e">
        <f t="shared" si="31"/>
        <v>#DIV/0!</v>
      </c>
      <c r="BC141" t="e">
        <f t="shared" ref="BC141:BC159" si="32">IF(AZ141&lt;0,0.3,0)</f>
        <v>#DIV/0!</v>
      </c>
      <c r="BM141" s="402"/>
      <c r="BN141" s="136"/>
      <c r="BO141" s="1091"/>
      <c r="BP141" s="126"/>
      <c r="BQ141" s="126"/>
      <c r="BR141" s="126"/>
      <c r="BS141" s="126"/>
      <c r="BT141" s="126"/>
      <c r="BU141" s="126"/>
      <c r="BV141" s="203"/>
      <c r="BW141" s="203"/>
      <c r="BX141" s="203"/>
      <c r="BY141" s="203"/>
      <c r="BZ141" s="203"/>
      <c r="CA141" s="203"/>
      <c r="CB141" s="203"/>
      <c r="CC141" s="203"/>
      <c r="CD141" s="203"/>
      <c r="CE141" s="203"/>
      <c r="CF141" s="203"/>
      <c r="CG141" s="203"/>
      <c r="CH141" s="203"/>
      <c r="CI141" s="203"/>
    </row>
    <row r="142" spans="2:108" ht="21" customHeight="1" thickBot="1" x14ac:dyDescent="0.35">
      <c r="B142" s="277">
        <v>3</v>
      </c>
      <c r="C142" s="278"/>
      <c r="D142" s="25">
        <v>0</v>
      </c>
      <c r="E142" s="279" t="s">
        <v>130</v>
      </c>
      <c r="F142" s="258"/>
      <c r="G142" s="258">
        <f>+D142+BC142</f>
        <v>0</v>
      </c>
      <c r="H142" s="506">
        <v>279.06049999999999</v>
      </c>
      <c r="I142" s="507">
        <v>79.962900599999998</v>
      </c>
      <c r="J142" s="474">
        <f t="shared" si="18"/>
        <v>79.962900599999998</v>
      </c>
      <c r="K142" s="474">
        <f t="shared" si="19"/>
        <v>39.981450299999999</v>
      </c>
      <c r="L142" s="474">
        <f t="shared" si="5"/>
        <v>0.64253956655634092</v>
      </c>
      <c r="M142" s="474">
        <f t="shared" si="6"/>
        <v>179.30741271299578</v>
      </c>
      <c r="N142" s="474">
        <f t="shared" si="7"/>
        <v>358.61482542599157</v>
      </c>
      <c r="O142" s="474">
        <f>+C140+D141+(D142/2)</f>
        <v>0</v>
      </c>
      <c r="P142" s="474">
        <f t="shared" si="8"/>
        <v>0</v>
      </c>
      <c r="Q142" s="474">
        <f t="shared" si="9"/>
        <v>0</v>
      </c>
      <c r="R142" s="474">
        <f t="shared" si="20"/>
        <v>213.83080000000001</v>
      </c>
      <c r="S142" s="474">
        <f t="shared" ref="S142:S159" si="33">+S141+Q142</f>
        <v>213.83080000000001</v>
      </c>
      <c r="T142" s="476">
        <f t="shared" si="10"/>
        <v>213.83080000000001</v>
      </c>
      <c r="V142" s="1585">
        <f t="shared" si="11"/>
        <v>0</v>
      </c>
      <c r="W142" s="437"/>
      <c r="X142" s="437"/>
      <c r="Y142" s="437"/>
      <c r="Z142" s="437"/>
      <c r="AA142" s="437"/>
      <c r="AB142" s="1595" t="str">
        <f t="shared" ref="AB142:AB159" si="34">IF(AZ142&lt;0,"use the locking pin"," ")</f>
        <v xml:space="preserve"> </v>
      </c>
      <c r="AC142" s="514" t="b">
        <f>IF(AD142=3,AF142)</f>
        <v>0</v>
      </c>
      <c r="AD142" s="514">
        <f t="shared" si="12"/>
        <v>1</v>
      </c>
      <c r="AE142" s="514">
        <f>IF(V142=0,0,3)</f>
        <v>0</v>
      </c>
      <c r="AF142" s="1585">
        <f>SUM(V142:V159)/($B$137-B141)</f>
        <v>0</v>
      </c>
      <c r="AG142" s="437"/>
      <c r="AH142" s="450">
        <f>SUM(D141:D142)+$C$140</f>
        <v>0</v>
      </c>
      <c r="AI142" s="516" t="b">
        <f t="shared" si="21"/>
        <v>0</v>
      </c>
      <c r="AJ142" s="287">
        <f t="shared" si="22"/>
        <v>66.255548399999995</v>
      </c>
      <c r="AK142" s="441">
        <f t="shared" si="13"/>
        <v>0.91535047595051022</v>
      </c>
      <c r="AL142" s="289">
        <f t="shared" si="23"/>
        <v>278.56028065668761</v>
      </c>
      <c r="AM142" s="287">
        <f t="shared" si="24"/>
        <v>50.018549700000001</v>
      </c>
      <c r="AN142" s="442">
        <f t="shared" si="25"/>
        <v>0.76625250760411079</v>
      </c>
      <c r="AO142" s="291">
        <f t="shared" si="26"/>
        <v>213.83080789825695</v>
      </c>
      <c r="AP142" s="519">
        <f t="shared" si="14"/>
        <v>229.09155823269683</v>
      </c>
      <c r="AQ142" s="291">
        <f t="shared" ref="AQ142:AQ159" si="35">$C$13*($B$137-B141)</f>
        <v>-40.5</v>
      </c>
      <c r="AR142" s="519">
        <f t="shared" si="15"/>
        <v>149.60000000000002</v>
      </c>
      <c r="AS142" s="444">
        <f t="shared" si="27"/>
        <v>492.39108855494453</v>
      </c>
      <c r="AT142" s="445">
        <f>+V142-AO142</f>
        <v>-213.83080789825695</v>
      </c>
      <c r="AU142" s="446">
        <f t="shared" si="28"/>
        <v>442.92236613095378</v>
      </c>
      <c r="AV142" s="445"/>
      <c r="AW142" s="447">
        <f t="shared" si="29"/>
        <v>15.029762005538846</v>
      </c>
      <c r="AX142" s="447">
        <f t="shared" si="30"/>
        <v>134.57023799446117</v>
      </c>
      <c r="AY142" s="1597">
        <f t="shared" si="16"/>
        <v>771.80197502296494</v>
      </c>
      <c r="AZ142" s="1597">
        <f t="shared" si="17"/>
        <v>74.310636207774223</v>
      </c>
      <c r="BA142" s="542">
        <f t="shared" si="31"/>
        <v>771.80197502296494</v>
      </c>
      <c r="BB142" s="542">
        <f t="shared" si="31"/>
        <v>74.310636207774223</v>
      </c>
      <c r="BC142">
        <f t="shared" si="32"/>
        <v>0</v>
      </c>
      <c r="BM142" s="214"/>
      <c r="BN142" s="214"/>
      <c r="BO142" s="214"/>
      <c r="BP142" s="126"/>
      <c r="BQ142" s="126"/>
      <c r="BR142" s="126"/>
      <c r="BS142" s="126"/>
      <c r="BT142" s="126"/>
      <c r="BU142" s="126"/>
      <c r="BV142" s="203"/>
      <c r="BW142" s="203"/>
      <c r="BX142" s="203"/>
      <c r="BY142" s="203"/>
      <c r="BZ142" s="203"/>
      <c r="CA142" s="203"/>
      <c r="CB142" s="203"/>
      <c r="CC142" s="203"/>
      <c r="CD142" s="203"/>
      <c r="CE142" s="203"/>
      <c r="CF142" s="203"/>
      <c r="CG142" s="203"/>
      <c r="CH142" s="203"/>
      <c r="CI142" s="203"/>
    </row>
    <row r="143" spans="2:108" ht="21" customHeight="1" thickBot="1" x14ac:dyDescent="0.35">
      <c r="B143" s="277">
        <v>4</v>
      </c>
      <c r="C143" s="278"/>
      <c r="D143" s="25">
        <v>0</v>
      </c>
      <c r="E143" s="279" t="s">
        <v>130</v>
      </c>
      <c r="F143" s="258"/>
      <c r="G143" s="258">
        <f>+D143+BC143</f>
        <v>0</v>
      </c>
      <c r="H143" s="506">
        <v>279.06049999999999</v>
      </c>
      <c r="I143" s="507">
        <v>79.962900599999998</v>
      </c>
      <c r="J143" s="474">
        <f t="shared" si="18"/>
        <v>79.962900599999998</v>
      </c>
      <c r="K143" s="474">
        <f t="shared" si="19"/>
        <v>39.981450299999999</v>
      </c>
      <c r="L143" s="474">
        <f t="shared" si="5"/>
        <v>0.64253956655634092</v>
      </c>
      <c r="M143" s="474">
        <f t="shared" si="6"/>
        <v>179.30741271299578</v>
      </c>
      <c r="N143" s="474">
        <f t="shared" si="7"/>
        <v>358.61482542599157</v>
      </c>
      <c r="O143" s="474">
        <f>+C140+D141+D142+(D143/2)</f>
        <v>0</v>
      </c>
      <c r="P143" s="474">
        <f t="shared" si="8"/>
        <v>0</v>
      </c>
      <c r="Q143" s="474">
        <f t="shared" si="9"/>
        <v>0</v>
      </c>
      <c r="R143" s="474">
        <f t="shared" si="20"/>
        <v>213.83080000000001</v>
      </c>
      <c r="S143" s="474">
        <f t="shared" si="33"/>
        <v>213.83080000000001</v>
      </c>
      <c r="T143" s="476">
        <f t="shared" si="10"/>
        <v>213.83080000000001</v>
      </c>
      <c r="V143" s="1585">
        <f t="shared" si="11"/>
        <v>0</v>
      </c>
      <c r="W143" s="437"/>
      <c r="X143" s="437"/>
      <c r="Y143" s="437"/>
      <c r="Z143" s="437"/>
      <c r="AA143" s="437"/>
      <c r="AB143" s="1595" t="str">
        <f t="shared" si="34"/>
        <v xml:space="preserve"> </v>
      </c>
      <c r="AC143" s="514" t="b">
        <f>IF(AD143=4,AF143)</f>
        <v>0</v>
      </c>
      <c r="AD143" s="514">
        <f t="shared" si="12"/>
        <v>1</v>
      </c>
      <c r="AE143" s="514">
        <f>IF(V143=0,0,4)</f>
        <v>0</v>
      </c>
      <c r="AF143" s="1585">
        <f>SUM(V143:V159)/($B$137-B142)</f>
        <v>0</v>
      </c>
      <c r="AG143" s="437"/>
      <c r="AH143" s="450">
        <f>SUM(D141:D143)+$C$140</f>
        <v>0</v>
      </c>
      <c r="AI143" s="516" t="b">
        <f t="shared" si="21"/>
        <v>0</v>
      </c>
      <c r="AJ143" s="287">
        <f t="shared" si="22"/>
        <v>66.255548399999995</v>
      </c>
      <c r="AK143" s="441">
        <f t="shared" si="13"/>
        <v>0.91535047595051022</v>
      </c>
      <c r="AL143" s="289">
        <f t="shared" si="23"/>
        <v>278.56028065668761</v>
      </c>
      <c r="AM143" s="287">
        <f t="shared" si="24"/>
        <v>50.018549700000001</v>
      </c>
      <c r="AN143" s="442">
        <f t="shared" si="25"/>
        <v>0.76625250760411079</v>
      </c>
      <c r="AO143" s="291">
        <f t="shared" si="26"/>
        <v>213.83080789825695</v>
      </c>
      <c r="AP143" s="519">
        <f t="shared" si="14"/>
        <v>314.13471229708023</v>
      </c>
      <c r="AQ143" s="291">
        <f t="shared" si="35"/>
        <v>-81</v>
      </c>
      <c r="AR143" s="519">
        <f t="shared" si="15"/>
        <v>109.1</v>
      </c>
      <c r="AS143" s="444">
        <f t="shared" si="27"/>
        <v>492.39108855494453</v>
      </c>
      <c r="AT143" s="445">
        <f>+V143-AO143</f>
        <v>-213.83080789825695</v>
      </c>
      <c r="AU143" s="446">
        <f t="shared" si="28"/>
        <v>527.96552019533715</v>
      </c>
      <c r="AV143" s="445"/>
      <c r="AW143" s="447">
        <f t="shared" si="29"/>
        <v>-7.8822923123104935</v>
      </c>
      <c r="AX143" s="447">
        <f t="shared" si="30"/>
        <v>116.98229231231048</v>
      </c>
      <c r="AY143" s="1597">
        <f t="shared" si="16"/>
        <v>-1471.6531105910933</v>
      </c>
      <c r="AZ143" s="1597">
        <f t="shared" si="17"/>
        <v>85.483023133986435</v>
      </c>
      <c r="BA143" s="542">
        <f t="shared" si="31"/>
        <v>1471.6531105910933</v>
      </c>
      <c r="BB143" s="542">
        <f t="shared" si="31"/>
        <v>85.483023133986435</v>
      </c>
      <c r="BC143">
        <f t="shared" si="32"/>
        <v>0</v>
      </c>
      <c r="BM143" s="214"/>
      <c r="BN143" s="214"/>
      <c r="BO143" s="214"/>
      <c r="BP143" s="126"/>
      <c r="BQ143" s="126"/>
      <c r="BR143" s="126"/>
      <c r="BS143" s="126"/>
      <c r="BT143" s="126"/>
      <c r="BU143" s="126"/>
      <c r="BV143" s="203"/>
      <c r="BW143" s="203"/>
      <c r="BX143" s="203"/>
      <c r="BY143" s="203"/>
      <c r="BZ143" s="203"/>
      <c r="CA143" s="203"/>
      <c r="CB143" s="203"/>
      <c r="CC143" s="203"/>
      <c r="CD143" s="203"/>
      <c r="CE143" s="203"/>
      <c r="CF143" s="203"/>
      <c r="CG143" s="203"/>
      <c r="CH143" s="203"/>
      <c r="CI143" s="203"/>
    </row>
    <row r="144" spans="2:108" ht="21" customHeight="1" thickBot="1" x14ac:dyDescent="0.35">
      <c r="B144" s="277">
        <v>5</v>
      </c>
      <c r="C144" s="278"/>
      <c r="D144" s="25">
        <v>0</v>
      </c>
      <c r="E144" s="279" t="s">
        <v>130</v>
      </c>
      <c r="F144" s="258"/>
      <c r="G144" s="258">
        <f>+D144+BC144</f>
        <v>0</v>
      </c>
      <c r="H144" s="506">
        <v>279.06049999999999</v>
      </c>
      <c r="I144" s="507">
        <v>79.962900599999998</v>
      </c>
      <c r="J144" s="474">
        <f t="shared" si="18"/>
        <v>79.962900599999998</v>
      </c>
      <c r="K144" s="474">
        <f t="shared" si="19"/>
        <v>39.981450299999999</v>
      </c>
      <c r="L144" s="474">
        <f t="shared" si="5"/>
        <v>0.64253956655634092</v>
      </c>
      <c r="M144" s="474">
        <f t="shared" si="6"/>
        <v>179.30741271299578</v>
      </c>
      <c r="N144" s="474">
        <f t="shared" si="7"/>
        <v>358.61482542599157</v>
      </c>
      <c r="O144" s="474">
        <f>+C140+D141+D142+D143+(D144/2)</f>
        <v>0</v>
      </c>
      <c r="P144" s="474">
        <f t="shared" si="8"/>
        <v>0</v>
      </c>
      <c r="Q144" s="474">
        <f t="shared" si="9"/>
        <v>0</v>
      </c>
      <c r="R144" s="474">
        <f t="shared" si="20"/>
        <v>213.83080000000001</v>
      </c>
      <c r="S144" s="474">
        <f t="shared" si="33"/>
        <v>213.83080000000001</v>
      </c>
      <c r="T144" s="476">
        <f t="shared" si="10"/>
        <v>213.83080000000001</v>
      </c>
      <c r="V144" s="1585">
        <f t="shared" si="11"/>
        <v>0</v>
      </c>
      <c r="W144" s="437"/>
      <c r="X144" s="437"/>
      <c r="Y144" s="437"/>
      <c r="Z144" s="437"/>
      <c r="AA144" s="437"/>
      <c r="AB144" s="1595" t="str">
        <f t="shared" si="34"/>
        <v xml:space="preserve"> </v>
      </c>
      <c r="AC144" s="514" t="b">
        <f>IF(AD144=5,AF144)</f>
        <v>0</v>
      </c>
      <c r="AD144" s="514">
        <f t="shared" si="12"/>
        <v>1</v>
      </c>
      <c r="AE144" s="514">
        <f>IF(V144=0,0,5)</f>
        <v>0</v>
      </c>
      <c r="AF144" s="1585">
        <f>SUM(V144:V159)/($B$137-B143)</f>
        <v>0</v>
      </c>
      <c r="AG144" s="437"/>
      <c r="AH144" s="450">
        <f>SUM(D141:D144)+$C$140</f>
        <v>0</v>
      </c>
      <c r="AI144" s="516" t="b">
        <f t="shared" si="21"/>
        <v>0</v>
      </c>
      <c r="AJ144" s="287">
        <f t="shared" si="22"/>
        <v>66.255548399999995</v>
      </c>
      <c r="AK144" s="441">
        <f t="shared" si="13"/>
        <v>0.91535047595051022</v>
      </c>
      <c r="AL144" s="289">
        <f t="shared" si="23"/>
        <v>278.56028065668761</v>
      </c>
      <c r="AM144" s="287">
        <f t="shared" si="24"/>
        <v>50.018549700000001</v>
      </c>
      <c r="AN144" s="442">
        <f t="shared" si="25"/>
        <v>0.76625250760411079</v>
      </c>
      <c r="AO144" s="291">
        <f t="shared" si="26"/>
        <v>213.83080789825695</v>
      </c>
      <c r="AP144" s="519">
        <f t="shared" si="14"/>
        <v>499.59325235585214</v>
      </c>
      <c r="AQ144" s="291">
        <f t="shared" si="35"/>
        <v>-121.5</v>
      </c>
      <c r="AR144" s="519">
        <f t="shared" si="15"/>
        <v>68.599999999999994</v>
      </c>
      <c r="AS144" s="444">
        <f t="shared" si="27"/>
        <v>492.39108855494453</v>
      </c>
      <c r="AT144" s="445">
        <f t="shared" ref="AT144:AT159" si="36">+V144-AO144</f>
        <v>-213.83080789825695</v>
      </c>
      <c r="AU144" s="446">
        <f t="shared" si="28"/>
        <v>713.42406025410912</v>
      </c>
      <c r="AV144" s="445"/>
      <c r="AW144" s="447">
        <f t="shared" si="29"/>
        <v>-30.794346630159836</v>
      </c>
      <c r="AX144" s="447">
        <f t="shared" si="30"/>
        <v>99.394346630159831</v>
      </c>
      <c r="AY144" s="1597">
        <f t="shared" si="16"/>
        <v>-376.69251890017421</v>
      </c>
      <c r="AZ144" s="1597">
        <f t="shared" si="17"/>
        <v>100.60934388159295</v>
      </c>
      <c r="BA144" s="542">
        <f t="shared" si="31"/>
        <v>376.69251890017421</v>
      </c>
      <c r="BB144" s="542">
        <f t="shared" si="31"/>
        <v>100.60934388159295</v>
      </c>
      <c r="BC144">
        <f t="shared" si="32"/>
        <v>0</v>
      </c>
      <c r="BM144" s="214"/>
      <c r="BN144" s="214"/>
      <c r="BO144" s="214"/>
      <c r="BP144" s="126"/>
      <c r="BQ144" s="126"/>
      <c r="BR144" s="126"/>
      <c r="BS144" s="126"/>
      <c r="BT144" s="126"/>
      <c r="BU144" s="126"/>
      <c r="BV144" s="203"/>
      <c r="BW144" s="203"/>
      <c r="BX144" s="203"/>
      <c r="BY144" s="203"/>
      <c r="BZ144" s="203"/>
      <c r="CA144" s="203"/>
      <c r="CB144" s="203"/>
      <c r="CC144" s="203"/>
      <c r="CD144" s="203"/>
      <c r="CE144" s="203"/>
      <c r="CF144" s="203"/>
      <c r="CG144" s="203"/>
      <c r="CH144" s="203"/>
      <c r="CI144" s="203"/>
    </row>
    <row r="145" spans="1:129" ht="21" customHeight="1" thickBot="1" x14ac:dyDescent="0.35">
      <c r="B145" s="277">
        <v>6</v>
      </c>
      <c r="C145" s="278"/>
      <c r="D145" s="25">
        <v>0</v>
      </c>
      <c r="E145" s="279" t="s">
        <v>130</v>
      </c>
      <c r="F145" s="258"/>
      <c r="G145" s="258">
        <f t="shared" ref="G145:G159" si="37">+D145+BC145</f>
        <v>0</v>
      </c>
      <c r="H145" s="506">
        <v>279.06049999999999</v>
      </c>
      <c r="I145" s="507">
        <v>79.962900599999998</v>
      </c>
      <c r="J145" s="474">
        <f t="shared" si="18"/>
        <v>79.962900599999998</v>
      </c>
      <c r="K145" s="474">
        <f t="shared" si="19"/>
        <v>39.981450299999999</v>
      </c>
      <c r="L145" s="474">
        <f t="shared" si="5"/>
        <v>0.64253956655634092</v>
      </c>
      <c r="M145" s="474">
        <f t="shared" si="6"/>
        <v>179.30741271299578</v>
      </c>
      <c r="N145" s="474">
        <f t="shared" si="7"/>
        <v>358.61482542599157</v>
      </c>
      <c r="O145" s="474">
        <f>+C140+D141+D142+D143+D144+(D145/2)</f>
        <v>0</v>
      </c>
      <c r="P145" s="474">
        <f t="shared" si="8"/>
        <v>0</v>
      </c>
      <c r="Q145" s="474">
        <f t="shared" si="9"/>
        <v>0</v>
      </c>
      <c r="R145" s="474">
        <f t="shared" si="20"/>
        <v>213.83080000000001</v>
      </c>
      <c r="S145" s="474">
        <f t="shared" si="33"/>
        <v>213.83080000000001</v>
      </c>
      <c r="T145" s="476">
        <f t="shared" si="10"/>
        <v>213.83080000000001</v>
      </c>
      <c r="V145" s="1585">
        <f t="shared" si="11"/>
        <v>0</v>
      </c>
      <c r="W145" s="437"/>
      <c r="X145" s="437"/>
      <c r="Y145" s="437"/>
      <c r="Z145" s="437"/>
      <c r="AA145" s="437"/>
      <c r="AB145" s="1595" t="str">
        <f t="shared" si="34"/>
        <v xml:space="preserve"> </v>
      </c>
      <c r="AC145" s="514" t="b">
        <f>IF(AD145=6,AF145)</f>
        <v>0</v>
      </c>
      <c r="AD145" s="514">
        <f t="shared" si="12"/>
        <v>1</v>
      </c>
      <c r="AE145" s="514">
        <f>IF(V145=0,0,6)</f>
        <v>0</v>
      </c>
      <c r="AF145" s="1585">
        <f>SUM(V145:V159)/($B$137-B144)</f>
        <v>0</v>
      </c>
      <c r="AG145" s="437"/>
      <c r="AH145" s="450">
        <f>SUM(D141:D145)+$C$140</f>
        <v>0</v>
      </c>
      <c r="AI145" s="516" t="b">
        <f t="shared" si="21"/>
        <v>0</v>
      </c>
      <c r="AJ145" s="287">
        <f t="shared" si="22"/>
        <v>66.255548399999995</v>
      </c>
      <c r="AK145" s="441">
        <f t="shared" si="13"/>
        <v>0.91535047595051022</v>
      </c>
      <c r="AL145" s="289">
        <f t="shared" si="23"/>
        <v>278.56028065668761</v>
      </c>
      <c r="AM145" s="287">
        <f t="shared" si="24"/>
        <v>50.018549700000001</v>
      </c>
      <c r="AN145" s="442">
        <f t="shared" si="25"/>
        <v>0.76625250760411079</v>
      </c>
      <c r="AO145" s="291">
        <f t="shared" si="26"/>
        <v>213.83080789825695</v>
      </c>
      <c r="AP145" s="519">
        <f t="shared" si="14"/>
        <v>1219.6475840431117</v>
      </c>
      <c r="AQ145" s="291">
        <f t="shared" si="35"/>
        <v>-162</v>
      </c>
      <c r="AR145" s="519">
        <f t="shared" si="15"/>
        <v>28.100000000000012</v>
      </c>
      <c r="AS145" s="444">
        <f t="shared" si="27"/>
        <v>492.39108855494453</v>
      </c>
      <c r="AT145" s="445">
        <f t="shared" si="36"/>
        <v>-213.83080789825695</v>
      </c>
      <c r="AU145" s="446">
        <f t="shared" si="28"/>
        <v>1433.4783919413687</v>
      </c>
      <c r="AV145" s="445"/>
      <c r="AW145" s="447">
        <f t="shared" si="29"/>
        <v>-53.706400948009154</v>
      </c>
      <c r="AX145" s="447">
        <f t="shared" si="30"/>
        <v>81.80640094800917</v>
      </c>
      <c r="AY145" s="1597">
        <f t="shared" si="16"/>
        <v>-215.98915204222041</v>
      </c>
      <c r="AZ145" s="1597">
        <f t="shared" si="17"/>
        <v>122.23982334041746</v>
      </c>
      <c r="BA145" s="542">
        <f t="shared" si="31"/>
        <v>215.98915204222041</v>
      </c>
      <c r="BB145" s="542">
        <f t="shared" si="31"/>
        <v>122.23982334041746</v>
      </c>
      <c r="BC145">
        <f t="shared" si="32"/>
        <v>0</v>
      </c>
      <c r="BM145" s="214"/>
      <c r="BN145" s="214"/>
      <c r="BO145" s="214"/>
      <c r="CI145" s="236"/>
      <c r="CJ145" s="236"/>
      <c r="CK145" s="236"/>
      <c r="CL145" s="236"/>
      <c r="CM145" s="236"/>
      <c r="CN145" s="236"/>
    </row>
    <row r="146" spans="1:129" ht="21" customHeight="1" thickBot="1" x14ac:dyDescent="0.35">
      <c r="B146" s="277">
        <v>7</v>
      </c>
      <c r="C146" s="278"/>
      <c r="D146" s="25">
        <v>0</v>
      </c>
      <c r="E146" s="279" t="s">
        <v>130</v>
      </c>
      <c r="F146" s="258"/>
      <c r="G146" s="258">
        <f t="shared" si="37"/>
        <v>0</v>
      </c>
      <c r="H146" s="506">
        <v>279.06049999999999</v>
      </c>
      <c r="I146" s="507">
        <v>79.962900599999998</v>
      </c>
      <c r="J146" s="474">
        <f t="shared" si="18"/>
        <v>79.962900599999998</v>
      </c>
      <c r="K146" s="474">
        <f t="shared" si="19"/>
        <v>39.981450299999999</v>
      </c>
      <c r="L146" s="474">
        <f t="shared" si="5"/>
        <v>0.64253956655634092</v>
      </c>
      <c r="M146" s="474">
        <f t="shared" si="6"/>
        <v>179.30741271299578</v>
      </c>
      <c r="N146" s="474">
        <f t="shared" si="7"/>
        <v>358.61482542599157</v>
      </c>
      <c r="O146" s="474">
        <f>+C140+D141+D142+D143+D144+D145+(D146/2)</f>
        <v>0</v>
      </c>
      <c r="P146" s="474">
        <f t="shared" si="8"/>
        <v>0</v>
      </c>
      <c r="Q146" s="474">
        <f t="shared" si="9"/>
        <v>0</v>
      </c>
      <c r="R146" s="474">
        <f t="shared" si="20"/>
        <v>213.83080000000001</v>
      </c>
      <c r="S146" s="474">
        <f t="shared" si="33"/>
        <v>213.83080000000001</v>
      </c>
      <c r="T146" s="476">
        <f t="shared" si="10"/>
        <v>213.83080000000001</v>
      </c>
      <c r="V146" s="1585">
        <f t="shared" si="11"/>
        <v>0</v>
      </c>
      <c r="W146" s="437"/>
      <c r="X146" s="437"/>
      <c r="Y146" s="437"/>
      <c r="Z146" s="437"/>
      <c r="AA146" s="437"/>
      <c r="AB146" s="1595" t="str">
        <f t="shared" si="34"/>
        <v xml:space="preserve"> </v>
      </c>
      <c r="AC146" s="514" t="b">
        <f>IF(AD146=7,AF146)</f>
        <v>0</v>
      </c>
      <c r="AD146" s="514">
        <f t="shared" si="12"/>
        <v>1</v>
      </c>
      <c r="AE146" s="514">
        <f>IF(V146=0,0,7)</f>
        <v>0</v>
      </c>
      <c r="AF146" s="1585">
        <f>SUM(V146:V159)/($B$137-B145)</f>
        <v>0</v>
      </c>
      <c r="AG146" s="437"/>
      <c r="AH146" s="450">
        <f>SUM(D141:D146)+$C$140</f>
        <v>0</v>
      </c>
      <c r="AI146" s="516" t="b">
        <f t="shared" si="21"/>
        <v>0</v>
      </c>
      <c r="AJ146" s="287">
        <f t="shared" si="22"/>
        <v>66.255548399999995</v>
      </c>
      <c r="AK146" s="441">
        <f t="shared" si="13"/>
        <v>0.91535047595051022</v>
      </c>
      <c r="AL146" s="289">
        <f t="shared" si="23"/>
        <v>278.56028065668761</v>
      </c>
      <c r="AM146" s="287">
        <f t="shared" si="24"/>
        <v>50.018549700000001</v>
      </c>
      <c r="AN146" s="442">
        <f t="shared" si="25"/>
        <v>0.76625250760411079</v>
      </c>
      <c r="AO146" s="291">
        <f t="shared" si="26"/>
        <v>213.83080789825695</v>
      </c>
      <c r="AP146" s="519">
        <f t="shared" si="14"/>
        <v>-2763.8787993235069</v>
      </c>
      <c r="AQ146" s="291">
        <f t="shared" si="35"/>
        <v>-202.5</v>
      </c>
      <c r="AR146" s="519">
        <f t="shared" si="15"/>
        <v>-12.399999999999988</v>
      </c>
      <c r="AS146" s="444">
        <f t="shared" si="27"/>
        <v>492.39108855494453</v>
      </c>
      <c r="AT146" s="445">
        <f t="shared" si="36"/>
        <v>-213.83080789825695</v>
      </c>
      <c r="AU146" s="446">
        <f t="shared" si="28"/>
        <v>-2550.0479914252501</v>
      </c>
      <c r="AV146" s="445"/>
      <c r="AW146" s="447">
        <f t="shared" si="29"/>
        <v>-76.618455265858472</v>
      </c>
      <c r="AX146" s="447">
        <f t="shared" si="30"/>
        <v>64.218455265858481</v>
      </c>
      <c r="AY146" s="1597">
        <f t="shared" si="16"/>
        <v>-151.39955458184514</v>
      </c>
      <c r="AZ146" s="1597">
        <f t="shared" si="17"/>
        <v>155.71847623243073</v>
      </c>
      <c r="BA146" s="542">
        <f t="shared" si="31"/>
        <v>151.39955458184514</v>
      </c>
      <c r="BB146" s="542">
        <f t="shared" si="31"/>
        <v>155.71847623243073</v>
      </c>
      <c r="BC146">
        <f t="shared" si="32"/>
        <v>0</v>
      </c>
      <c r="BM146" s="214"/>
      <c r="BN146" s="214"/>
      <c r="BO146" s="214"/>
    </row>
    <row r="147" spans="1:129" ht="21" customHeight="1" thickBot="1" x14ac:dyDescent="0.35">
      <c r="B147" s="277">
        <v>8</v>
      </c>
      <c r="C147" s="278"/>
      <c r="D147" s="25">
        <v>0</v>
      </c>
      <c r="E147" s="279" t="s">
        <v>130</v>
      </c>
      <c r="F147" s="258"/>
      <c r="G147" s="258">
        <f t="shared" si="37"/>
        <v>0</v>
      </c>
      <c r="H147" s="506">
        <v>279.06049999999999</v>
      </c>
      <c r="I147" s="507">
        <v>79.962900599999998</v>
      </c>
      <c r="J147" s="474">
        <f t="shared" si="18"/>
        <v>79.962900599999998</v>
      </c>
      <c r="K147" s="474">
        <f t="shared" si="19"/>
        <v>39.981450299999999</v>
      </c>
      <c r="L147" s="474">
        <f t="shared" si="5"/>
        <v>0.64253956655634092</v>
      </c>
      <c r="M147" s="474">
        <f t="shared" si="6"/>
        <v>179.30741271299578</v>
      </c>
      <c r="N147" s="474">
        <f t="shared" si="7"/>
        <v>358.61482542599157</v>
      </c>
      <c r="O147" s="474">
        <f>+C140+D141+D142+D143+D144+D145+D146+(D147/2)</f>
        <v>0</v>
      </c>
      <c r="P147" s="474">
        <f t="shared" si="8"/>
        <v>0</v>
      </c>
      <c r="Q147" s="474">
        <f t="shared" si="9"/>
        <v>0</v>
      </c>
      <c r="R147" s="474">
        <f t="shared" si="20"/>
        <v>213.83080000000001</v>
      </c>
      <c r="S147" s="474">
        <f t="shared" si="33"/>
        <v>213.83080000000001</v>
      </c>
      <c r="T147" s="476">
        <f t="shared" si="10"/>
        <v>213.83080000000001</v>
      </c>
      <c r="V147" s="1585">
        <f t="shared" si="11"/>
        <v>0</v>
      </c>
      <c r="W147" s="437"/>
      <c r="X147" s="437"/>
      <c r="Y147" s="437"/>
      <c r="Z147" s="437"/>
      <c r="AA147" s="437"/>
      <c r="AB147" s="1595" t="str">
        <f t="shared" si="34"/>
        <v xml:space="preserve"> </v>
      </c>
      <c r="AC147" s="514" t="b">
        <f>IF(AD147=8,AF147)</f>
        <v>0</v>
      </c>
      <c r="AD147" s="514">
        <f t="shared" si="12"/>
        <v>1</v>
      </c>
      <c r="AE147" s="514">
        <f>IF(V147=0,0,8)</f>
        <v>0</v>
      </c>
      <c r="AF147" s="1585">
        <f>SUM(V147:V159)/($B$137-B146)</f>
        <v>0</v>
      </c>
      <c r="AG147" s="437"/>
      <c r="AH147" s="450">
        <f>SUM(D141:D147)+$C$140</f>
        <v>0</v>
      </c>
      <c r="AI147" s="516" t="b">
        <f t="shared" si="21"/>
        <v>0</v>
      </c>
      <c r="AJ147" s="287">
        <f t="shared" si="22"/>
        <v>66.255548399999995</v>
      </c>
      <c r="AK147" s="441">
        <f t="shared" si="13"/>
        <v>0.91535047595051022</v>
      </c>
      <c r="AL147" s="289">
        <f t="shared" si="23"/>
        <v>278.56028065668761</v>
      </c>
      <c r="AM147" s="287">
        <f t="shared" si="24"/>
        <v>50.018549700000001</v>
      </c>
      <c r="AN147" s="442">
        <f t="shared" si="25"/>
        <v>0.76625250760411079</v>
      </c>
      <c r="AO147" s="291">
        <f t="shared" si="26"/>
        <v>213.83080789825695</v>
      </c>
      <c r="AP147" s="519">
        <f t="shared" si="14"/>
        <v>-647.86572989813715</v>
      </c>
      <c r="AQ147" s="291">
        <f t="shared" si="35"/>
        <v>-243</v>
      </c>
      <c r="AR147" s="519">
        <f t="shared" si="15"/>
        <v>-52.899999999999991</v>
      </c>
      <c r="AS147" s="444">
        <f t="shared" si="27"/>
        <v>492.39108855494453</v>
      </c>
      <c r="AT147" s="445">
        <f t="shared" si="36"/>
        <v>-213.83080789825695</v>
      </c>
      <c r="AU147" s="446">
        <f t="shared" si="28"/>
        <v>-434.03492199988023</v>
      </c>
      <c r="AV147" s="445"/>
      <c r="AW147" s="447">
        <f t="shared" si="29"/>
        <v>-99.530509583707797</v>
      </c>
      <c r="AX147" s="447">
        <f t="shared" si="30"/>
        <v>46.630509583707806</v>
      </c>
      <c r="AY147" s="1597">
        <f t="shared" si="16"/>
        <v>-116.54717783037263</v>
      </c>
      <c r="AZ147" s="1597">
        <f t="shared" si="17"/>
        <v>214.45187044436443</v>
      </c>
      <c r="BA147" s="542">
        <f t="shared" si="31"/>
        <v>116.54717783037263</v>
      </c>
      <c r="BB147" s="542">
        <f t="shared" si="31"/>
        <v>214.45187044436443</v>
      </c>
      <c r="BC147">
        <f t="shared" si="32"/>
        <v>0</v>
      </c>
      <c r="BM147" s="214"/>
      <c r="BN147" s="214"/>
      <c r="BO147" s="214"/>
    </row>
    <row r="148" spans="1:129" ht="21" customHeight="1" thickBot="1" x14ac:dyDescent="0.35">
      <c r="B148" s="277">
        <v>9</v>
      </c>
      <c r="C148" s="278"/>
      <c r="D148" s="25">
        <v>0</v>
      </c>
      <c r="E148" s="279" t="s">
        <v>130</v>
      </c>
      <c r="F148" s="258"/>
      <c r="G148" s="258">
        <f t="shared" si="37"/>
        <v>0</v>
      </c>
      <c r="H148" s="506">
        <v>279.06049999999999</v>
      </c>
      <c r="I148" s="507">
        <v>79.962900599999998</v>
      </c>
      <c r="J148" s="474">
        <f t="shared" si="18"/>
        <v>79.962900599999998</v>
      </c>
      <c r="K148" s="474">
        <f t="shared" si="19"/>
        <v>39.981450299999999</v>
      </c>
      <c r="L148" s="474">
        <f t="shared" si="5"/>
        <v>0.64253956655634092</v>
      </c>
      <c r="M148" s="474">
        <f t="shared" si="6"/>
        <v>179.30741271299578</v>
      </c>
      <c r="N148" s="474">
        <f t="shared" si="7"/>
        <v>358.61482542599157</v>
      </c>
      <c r="O148" s="474">
        <f>+C140+D141+D142+D143+D144+D145+D146+D147+(D148/2)</f>
        <v>0</v>
      </c>
      <c r="P148" s="474">
        <f t="shared" si="8"/>
        <v>0</v>
      </c>
      <c r="Q148" s="474">
        <f t="shared" si="9"/>
        <v>0</v>
      </c>
      <c r="R148" s="474">
        <f t="shared" si="20"/>
        <v>213.83080000000001</v>
      </c>
      <c r="S148" s="474">
        <f t="shared" si="33"/>
        <v>213.83080000000001</v>
      </c>
      <c r="T148" s="476">
        <f t="shared" si="10"/>
        <v>213.83080000000001</v>
      </c>
      <c r="V148" s="1585">
        <f t="shared" si="11"/>
        <v>0</v>
      </c>
      <c r="W148" s="437"/>
      <c r="X148" s="437"/>
      <c r="Y148" s="437"/>
      <c r="Z148" s="437"/>
      <c r="AA148" s="437"/>
      <c r="AB148" s="1595" t="str">
        <f t="shared" si="34"/>
        <v xml:space="preserve"> </v>
      </c>
      <c r="AC148" s="514" t="b">
        <f>IF(AD148=9,AF148)</f>
        <v>0</v>
      </c>
      <c r="AD148" s="514">
        <f t="shared" si="12"/>
        <v>1</v>
      </c>
      <c r="AE148" s="514">
        <f>IF(V148=0,0,9)</f>
        <v>0</v>
      </c>
      <c r="AF148" s="1585">
        <f>SUM(V148:V159)/($B$137-B147)</f>
        <v>0</v>
      </c>
      <c r="AG148" s="437"/>
      <c r="AH148" s="450">
        <f>SUM(D141:D148)+$C$140</f>
        <v>0</v>
      </c>
      <c r="AI148" s="516" t="b">
        <f t="shared" si="21"/>
        <v>0</v>
      </c>
      <c r="AJ148" s="287">
        <f t="shared" si="22"/>
        <v>66.255548399999995</v>
      </c>
      <c r="AK148" s="441">
        <f t="shared" si="13"/>
        <v>0.91535047595051022</v>
      </c>
      <c r="AL148" s="289">
        <f t="shared" si="23"/>
        <v>278.56028065668761</v>
      </c>
      <c r="AM148" s="287">
        <f t="shared" si="24"/>
        <v>50.018549700000001</v>
      </c>
      <c r="AN148" s="442">
        <f t="shared" si="25"/>
        <v>0.76625250760411079</v>
      </c>
      <c r="AO148" s="291">
        <f t="shared" si="26"/>
        <v>213.83080789825695</v>
      </c>
      <c r="AP148" s="519">
        <f t="shared" si="14"/>
        <v>-366.93894123781001</v>
      </c>
      <c r="AQ148" s="291">
        <f t="shared" si="35"/>
        <v>-283.5</v>
      </c>
      <c r="AR148" s="519">
        <f t="shared" si="15"/>
        <v>-93.399999999999991</v>
      </c>
      <c r="AS148" s="444">
        <f t="shared" si="27"/>
        <v>492.39108855494453</v>
      </c>
      <c r="AT148" s="445">
        <f t="shared" si="36"/>
        <v>-213.83080789825695</v>
      </c>
      <c r="AU148" s="446">
        <f t="shared" si="28"/>
        <v>-153.10813333955306</v>
      </c>
      <c r="AV148" s="445"/>
      <c r="AW148" s="447">
        <f t="shared" si="29"/>
        <v>-122.44256390155714</v>
      </c>
      <c r="AX148" s="447">
        <f t="shared" si="30"/>
        <v>29.042563901557134</v>
      </c>
      <c r="AY148" s="1597">
        <f t="shared" si="16"/>
        <v>-94.73829712783791</v>
      </c>
      <c r="AZ148" s="1597">
        <f t="shared" si="17"/>
        <v>344.32221734610158</v>
      </c>
      <c r="BA148" s="542">
        <f t="shared" si="31"/>
        <v>94.73829712783791</v>
      </c>
      <c r="BB148" s="542">
        <f t="shared" si="31"/>
        <v>344.32221734610158</v>
      </c>
      <c r="BC148">
        <f t="shared" si="32"/>
        <v>0</v>
      </c>
      <c r="BM148" s="214"/>
      <c r="BN148" s="214"/>
      <c r="BO148" s="214"/>
    </row>
    <row r="149" spans="1:129" ht="21" customHeight="1" thickBot="1" x14ac:dyDescent="0.35">
      <c r="B149" s="277">
        <v>10</v>
      </c>
      <c r="C149" s="278"/>
      <c r="D149" s="25">
        <v>0</v>
      </c>
      <c r="E149" s="279" t="s">
        <v>130</v>
      </c>
      <c r="F149" s="258"/>
      <c r="G149" s="258">
        <f t="shared" si="37"/>
        <v>0</v>
      </c>
      <c r="H149" s="506">
        <v>279.06049999999999</v>
      </c>
      <c r="I149" s="507">
        <v>79.962900599999998</v>
      </c>
      <c r="J149" s="474">
        <f t="shared" si="18"/>
        <v>79.962900599999998</v>
      </c>
      <c r="K149" s="474">
        <f t="shared" si="19"/>
        <v>39.981450299999999</v>
      </c>
      <c r="L149" s="474">
        <f t="shared" si="5"/>
        <v>0.64253956655634092</v>
      </c>
      <c r="M149" s="474">
        <f t="shared" si="6"/>
        <v>179.30741271299578</v>
      </c>
      <c r="N149" s="474">
        <f t="shared" si="7"/>
        <v>358.61482542599157</v>
      </c>
      <c r="O149" s="474">
        <f>+C140+D141+D142+D143+D144+D145+D146+D147+D148+(D149/2)</f>
        <v>0</v>
      </c>
      <c r="P149" s="474">
        <f t="shared" si="8"/>
        <v>0</v>
      </c>
      <c r="Q149" s="474">
        <f t="shared" si="9"/>
        <v>0</v>
      </c>
      <c r="R149" s="474">
        <f t="shared" si="20"/>
        <v>213.83080000000001</v>
      </c>
      <c r="S149" s="474">
        <f t="shared" si="33"/>
        <v>213.83080000000001</v>
      </c>
      <c r="T149" s="476">
        <f t="shared" si="10"/>
        <v>213.83080000000001</v>
      </c>
      <c r="V149" s="1585">
        <f t="shared" si="11"/>
        <v>0</v>
      </c>
      <c r="W149" s="437"/>
      <c r="X149" s="437"/>
      <c r="Y149" s="437"/>
      <c r="Z149" s="437"/>
      <c r="AA149" s="437"/>
      <c r="AB149" s="1595" t="str">
        <f t="shared" si="34"/>
        <v xml:space="preserve"> </v>
      </c>
      <c r="AC149" s="514" t="b">
        <f>IF(AD149=10,AF149)</f>
        <v>0</v>
      </c>
      <c r="AD149" s="514">
        <f t="shared" si="12"/>
        <v>1</v>
      </c>
      <c r="AE149" s="514">
        <f>IF(V149=0,0,10)</f>
        <v>0</v>
      </c>
      <c r="AF149" s="1585">
        <f>SUM(V149:V159)/($B$137-B148)</f>
        <v>0</v>
      </c>
      <c r="AG149" s="437"/>
      <c r="AH149" s="450">
        <f>SUM(D141:D149)+$C$140</f>
        <v>0</v>
      </c>
      <c r="AI149" s="516" t="b">
        <f t="shared" si="21"/>
        <v>0</v>
      </c>
      <c r="AJ149" s="287">
        <f t="shared" si="22"/>
        <v>66.255548399999995</v>
      </c>
      <c r="AK149" s="441">
        <f t="shared" si="13"/>
        <v>0.91535047595051022</v>
      </c>
      <c r="AL149" s="289">
        <f t="shared" si="23"/>
        <v>278.56028065668761</v>
      </c>
      <c r="AM149" s="287">
        <f t="shared" si="24"/>
        <v>50.018549700000001</v>
      </c>
      <c r="AN149" s="442">
        <f t="shared" si="25"/>
        <v>0.76625250760411079</v>
      </c>
      <c r="AO149" s="291">
        <f t="shared" si="26"/>
        <v>213.83080789825695</v>
      </c>
      <c r="AP149" s="519">
        <f t="shared" si="14"/>
        <v>-255.9529283914224</v>
      </c>
      <c r="AQ149" s="291">
        <f t="shared" si="35"/>
        <v>-324</v>
      </c>
      <c r="AR149" s="519">
        <f t="shared" si="15"/>
        <v>-133.89999999999998</v>
      </c>
      <c r="AS149" s="444">
        <f t="shared" si="27"/>
        <v>492.39108855494453</v>
      </c>
      <c r="AT149" s="445">
        <f t="shared" si="36"/>
        <v>-213.83080789825695</v>
      </c>
      <c r="AU149" s="446">
        <f t="shared" si="28"/>
        <v>-42.122120493165454</v>
      </c>
      <c r="AV149" s="445"/>
      <c r="AW149" s="447">
        <f t="shared" si="29"/>
        <v>-145.35461821940643</v>
      </c>
      <c r="AX149" s="447">
        <f t="shared" si="30"/>
        <v>11.454618219406473</v>
      </c>
      <c r="AY149" s="1597">
        <f t="shared" si="16"/>
        <v>-79.804825894766608</v>
      </c>
      <c r="AZ149" s="1597">
        <f t="shared" si="17"/>
        <v>873.0103272283618</v>
      </c>
      <c r="BA149" s="542">
        <f t="shared" si="31"/>
        <v>79.804825894766608</v>
      </c>
      <c r="BB149" s="542">
        <f t="shared" si="31"/>
        <v>873.0103272283618</v>
      </c>
      <c r="BC149">
        <f t="shared" si="32"/>
        <v>0</v>
      </c>
      <c r="BM149" s="214"/>
      <c r="BN149" s="214"/>
      <c r="BO149" s="214"/>
    </row>
    <row r="150" spans="1:129" ht="21" customHeight="1" thickBot="1" x14ac:dyDescent="0.35">
      <c r="A150" s="296"/>
      <c r="B150" s="277">
        <v>11</v>
      </c>
      <c r="C150" s="278"/>
      <c r="D150" s="25">
        <v>0</v>
      </c>
      <c r="E150" s="279" t="s">
        <v>130</v>
      </c>
      <c r="F150" s="258"/>
      <c r="G150" s="258">
        <f t="shared" si="37"/>
        <v>0.3</v>
      </c>
      <c r="H150" s="506">
        <v>279.06049999999999</v>
      </c>
      <c r="I150" s="507">
        <v>79.962900599999998</v>
      </c>
      <c r="J150" s="474">
        <f t="shared" si="18"/>
        <v>79.962900599999998</v>
      </c>
      <c r="K150" s="474">
        <f t="shared" si="19"/>
        <v>39.981450299999999</v>
      </c>
      <c r="L150" s="474">
        <f t="shared" si="5"/>
        <v>0.64253956655634092</v>
      </c>
      <c r="M150" s="474">
        <f t="shared" si="6"/>
        <v>179.30741271299578</v>
      </c>
      <c r="N150" s="474">
        <f t="shared" si="7"/>
        <v>358.61482542599157</v>
      </c>
      <c r="O150" s="474">
        <f>+C140+D141+D142+D143+D144+D145+D146+D147+D148+D149+(D150/2)</f>
        <v>0</v>
      </c>
      <c r="P150" s="474">
        <f t="shared" si="8"/>
        <v>0</v>
      </c>
      <c r="Q150" s="474">
        <f t="shared" si="9"/>
        <v>0</v>
      </c>
      <c r="R150" s="474">
        <f t="shared" si="20"/>
        <v>213.83080000000001</v>
      </c>
      <c r="S150" s="474">
        <f t="shared" si="33"/>
        <v>213.83080000000001</v>
      </c>
      <c r="T150" s="476">
        <f t="shared" si="10"/>
        <v>213.83080000000001</v>
      </c>
      <c r="V150" s="1585">
        <f t="shared" si="11"/>
        <v>0</v>
      </c>
      <c r="W150" s="437"/>
      <c r="X150" s="437"/>
      <c r="Y150" s="437"/>
      <c r="Z150" s="437"/>
      <c r="AA150" s="437"/>
      <c r="AB150" s="1595" t="str">
        <f t="shared" si="34"/>
        <v>use the locking pin</v>
      </c>
      <c r="AC150" s="514" t="b">
        <f>IF(AD150=11,AF150)</f>
        <v>0</v>
      </c>
      <c r="AD150" s="514">
        <f t="shared" si="12"/>
        <v>1</v>
      </c>
      <c r="AE150" s="514">
        <f>IF(V150=0,0,11)</f>
        <v>0</v>
      </c>
      <c r="AF150" s="1585">
        <f>SUM(V150:V159)/($B$137-B149)</f>
        <v>0</v>
      </c>
      <c r="AG150" s="437"/>
      <c r="AH150" s="450">
        <f>SUM(D141:D150)+$C$140</f>
        <v>0</v>
      </c>
      <c r="AI150" s="516" t="b">
        <f t="shared" si="21"/>
        <v>0</v>
      </c>
      <c r="AJ150" s="287">
        <f t="shared" si="22"/>
        <v>66.255548399999995</v>
      </c>
      <c r="AK150" s="441">
        <f t="shared" si="13"/>
        <v>0.91535047595051022</v>
      </c>
      <c r="AL150" s="289">
        <f t="shared" si="23"/>
        <v>278.56028065668761</v>
      </c>
      <c r="AM150" s="287">
        <f t="shared" si="24"/>
        <v>50.018549700000001</v>
      </c>
      <c r="AN150" s="442">
        <f t="shared" si="25"/>
        <v>0.76625250760411079</v>
      </c>
      <c r="AO150" s="291">
        <f t="shared" si="26"/>
        <v>213.83080789825695</v>
      </c>
      <c r="AP150" s="519">
        <f t="shared" si="14"/>
        <v>-196.51431830052442</v>
      </c>
      <c r="AQ150" s="291">
        <f t="shared" si="35"/>
        <v>-364.5</v>
      </c>
      <c r="AR150" s="519">
        <f t="shared" si="15"/>
        <v>-174.39999999999998</v>
      </c>
      <c r="AS150" s="444">
        <f t="shared" si="27"/>
        <v>492.39108855494453</v>
      </c>
      <c r="AT150" s="445">
        <f t="shared" si="36"/>
        <v>-213.83080789825695</v>
      </c>
      <c r="AU150" s="446">
        <f t="shared" si="28"/>
        <v>17.316489597732527</v>
      </c>
      <c r="AV150" s="445"/>
      <c r="AW150" s="447">
        <f t="shared" si="29"/>
        <v>-168.2666725372558</v>
      </c>
      <c r="AX150" s="447">
        <f t="shared" si="30"/>
        <v>-6.1333274627441989</v>
      </c>
      <c r="AY150" s="1597">
        <f t="shared" si="16"/>
        <v>-68.938190938741315</v>
      </c>
      <c r="AZ150" s="1597">
        <f t="shared" si="17"/>
        <v>-1630.4363431992197</v>
      </c>
      <c r="BA150" s="542">
        <f t="shared" si="31"/>
        <v>68.938190938741315</v>
      </c>
      <c r="BB150" s="542">
        <f t="shared" si="31"/>
        <v>1630.4363431992197</v>
      </c>
      <c r="BC150">
        <f t="shared" si="32"/>
        <v>0.3</v>
      </c>
      <c r="BM150" s="214"/>
      <c r="BN150" s="214"/>
      <c r="BO150" s="214"/>
    </row>
    <row r="151" spans="1:129" ht="21" customHeight="1" thickBot="1" x14ac:dyDescent="0.35">
      <c r="A151" s="296"/>
      <c r="B151" s="277">
        <v>12</v>
      </c>
      <c r="C151" s="278"/>
      <c r="D151" s="25">
        <v>0</v>
      </c>
      <c r="E151" s="279" t="s">
        <v>130</v>
      </c>
      <c r="F151" s="258"/>
      <c r="G151" s="258">
        <f t="shared" si="37"/>
        <v>0.3</v>
      </c>
      <c r="H151" s="506">
        <v>279.06049999999999</v>
      </c>
      <c r="I151" s="507">
        <v>79.962900599999998</v>
      </c>
      <c r="J151" s="474">
        <f t="shared" si="18"/>
        <v>79.962900599999998</v>
      </c>
      <c r="K151" s="474">
        <f t="shared" si="19"/>
        <v>39.981450299999999</v>
      </c>
      <c r="L151" s="474">
        <f t="shared" si="5"/>
        <v>0.64253956655634092</v>
      </c>
      <c r="M151" s="474">
        <f t="shared" si="6"/>
        <v>179.30741271299578</v>
      </c>
      <c r="N151" s="474">
        <f t="shared" si="7"/>
        <v>358.61482542599157</v>
      </c>
      <c r="O151" s="474">
        <f>+C140+D141+D142+D143+D144+D145+D146+D147+D148+D149+D150+(D151/2)</f>
        <v>0</v>
      </c>
      <c r="P151" s="474">
        <f t="shared" si="8"/>
        <v>0</v>
      </c>
      <c r="Q151" s="474">
        <f t="shared" si="9"/>
        <v>0</v>
      </c>
      <c r="R151" s="474">
        <f t="shared" si="20"/>
        <v>213.83080000000001</v>
      </c>
      <c r="S151" s="474">
        <f t="shared" si="33"/>
        <v>213.83080000000001</v>
      </c>
      <c r="T151" s="476">
        <f t="shared" si="10"/>
        <v>213.83080000000001</v>
      </c>
      <c r="V151" s="1585">
        <f t="shared" si="11"/>
        <v>0</v>
      </c>
      <c r="W151" s="437"/>
      <c r="X151" s="437"/>
      <c r="Y151" s="437"/>
      <c r="Z151" s="437"/>
      <c r="AA151" s="437"/>
      <c r="AB151" s="1595" t="str">
        <f t="shared" si="34"/>
        <v>use the locking pin</v>
      </c>
      <c r="AC151" s="514" t="b">
        <f>IF(AD151=12,AF151)</f>
        <v>0</v>
      </c>
      <c r="AD151" s="514">
        <f t="shared" si="12"/>
        <v>1</v>
      </c>
      <c r="AE151" s="514">
        <f>IF(V151=0,0,12)</f>
        <v>0</v>
      </c>
      <c r="AF151" s="1585">
        <f>SUM(V151:V159)/($B$137-B150)</f>
        <v>0</v>
      </c>
      <c r="AG151" s="437"/>
      <c r="AH151" s="450">
        <f>SUM(D141:D151)+$C$140</f>
        <v>0</v>
      </c>
      <c r="AI151" s="516" t="b">
        <f t="shared" si="21"/>
        <v>0</v>
      </c>
      <c r="AJ151" s="287">
        <f t="shared" si="22"/>
        <v>66.255548399999995</v>
      </c>
      <c r="AK151" s="441">
        <f t="shared" si="13"/>
        <v>0.91535047595051022</v>
      </c>
      <c r="AL151" s="289">
        <f t="shared" si="23"/>
        <v>278.56028065668761</v>
      </c>
      <c r="AM151" s="287">
        <f t="shared" si="24"/>
        <v>50.018549700000001</v>
      </c>
      <c r="AN151" s="442">
        <f t="shared" si="25"/>
        <v>0.76625250760411079</v>
      </c>
      <c r="AO151" s="291">
        <f t="shared" si="26"/>
        <v>213.83080789825695</v>
      </c>
      <c r="AP151" s="519">
        <f t="shared" si="14"/>
        <v>-159.47927925365963</v>
      </c>
      <c r="AQ151" s="291">
        <f t="shared" si="35"/>
        <v>-405</v>
      </c>
      <c r="AR151" s="519">
        <f t="shared" si="15"/>
        <v>-214.89999999999998</v>
      </c>
      <c r="AS151" s="444">
        <f t="shared" si="27"/>
        <v>492.39108855494453</v>
      </c>
      <c r="AT151" s="445">
        <f t="shared" si="36"/>
        <v>-213.83080789825695</v>
      </c>
      <c r="AU151" s="446">
        <f t="shared" si="28"/>
        <v>54.351528644597323</v>
      </c>
      <c r="AV151" s="445"/>
      <c r="AW151" s="447">
        <f t="shared" si="29"/>
        <v>-191.17872685510508</v>
      </c>
      <c r="AX151" s="447">
        <f t="shared" si="30"/>
        <v>-23.72127314489488</v>
      </c>
      <c r="AY151" s="1597">
        <f t="shared" si="16"/>
        <v>-60.676206975641563</v>
      </c>
      <c r="AZ151" s="1597">
        <f t="shared" si="17"/>
        <v>-421.56253329733812</v>
      </c>
      <c r="BA151" s="542">
        <f t="shared" si="31"/>
        <v>60.676206975641563</v>
      </c>
      <c r="BB151" s="542">
        <f t="shared" si="31"/>
        <v>421.56253329733812</v>
      </c>
      <c r="BC151">
        <f t="shared" si="32"/>
        <v>0.3</v>
      </c>
      <c r="BM151" s="214"/>
      <c r="BN151" s="214"/>
      <c r="BO151" s="214"/>
    </row>
    <row r="152" spans="1:129" ht="21" customHeight="1" thickBot="1" x14ac:dyDescent="0.35">
      <c r="B152" s="277">
        <v>13</v>
      </c>
      <c r="C152" s="278"/>
      <c r="D152" s="25">
        <v>0</v>
      </c>
      <c r="E152" s="279" t="s">
        <v>130</v>
      </c>
      <c r="F152" s="258"/>
      <c r="G152" s="258">
        <f t="shared" si="37"/>
        <v>0.3</v>
      </c>
      <c r="H152" s="506">
        <v>279.06049999999999</v>
      </c>
      <c r="I152" s="507">
        <v>79.962900599999998</v>
      </c>
      <c r="J152" s="474">
        <f t="shared" si="18"/>
        <v>79.962900599999998</v>
      </c>
      <c r="K152" s="474">
        <f t="shared" si="19"/>
        <v>39.981450299999999</v>
      </c>
      <c r="L152" s="474">
        <f t="shared" si="5"/>
        <v>0.64253956655634092</v>
      </c>
      <c r="M152" s="474">
        <f t="shared" si="6"/>
        <v>179.30741271299578</v>
      </c>
      <c r="N152" s="474">
        <f t="shared" si="7"/>
        <v>358.61482542599157</v>
      </c>
      <c r="O152" s="474">
        <f>+C140+D141+D142+D143+D144+D145+D146+D147+D148+D149+D150+D151+(D152/2)</f>
        <v>0</v>
      </c>
      <c r="P152" s="474">
        <f t="shared" si="8"/>
        <v>0</v>
      </c>
      <c r="Q152" s="474">
        <f t="shared" si="9"/>
        <v>0</v>
      </c>
      <c r="R152" s="474">
        <f t="shared" si="20"/>
        <v>213.83080000000001</v>
      </c>
      <c r="S152" s="474">
        <f t="shared" si="33"/>
        <v>213.83080000000001</v>
      </c>
      <c r="T152" s="476">
        <f t="shared" si="10"/>
        <v>213.83080000000001</v>
      </c>
      <c r="V152" s="1585">
        <f t="shared" si="11"/>
        <v>0</v>
      </c>
      <c r="W152" s="437"/>
      <c r="X152" s="437"/>
      <c r="Y152" s="437"/>
      <c r="Z152" s="437"/>
      <c r="AA152" s="437"/>
      <c r="AB152" s="1595" t="str">
        <f t="shared" si="34"/>
        <v>use the locking pin</v>
      </c>
      <c r="AC152" s="514" t="b">
        <f>IF(AD152=13,AF152)</f>
        <v>0</v>
      </c>
      <c r="AD152" s="514">
        <f t="shared" si="12"/>
        <v>1</v>
      </c>
      <c r="AE152" s="514">
        <f>IF(V152=0,0,13)</f>
        <v>0</v>
      </c>
      <c r="AF152" s="1585">
        <f>SUM(V152:V159)/($B$137-B151)</f>
        <v>0</v>
      </c>
      <c r="AG152" s="437"/>
      <c r="AH152" s="450">
        <f>SUM(D141:D152)+$C$140</f>
        <v>0</v>
      </c>
      <c r="AI152" s="516" t="b">
        <f t="shared" si="21"/>
        <v>0</v>
      </c>
      <c r="AJ152" s="287">
        <f t="shared" si="22"/>
        <v>66.255548399999995</v>
      </c>
      <c r="AK152" s="441">
        <f t="shared" si="13"/>
        <v>0.91535047595051022</v>
      </c>
      <c r="AL152" s="289">
        <f t="shared" si="23"/>
        <v>278.56028065668761</v>
      </c>
      <c r="AM152" s="287">
        <f t="shared" si="24"/>
        <v>50.018549700000001</v>
      </c>
      <c r="AN152" s="442">
        <f t="shared" si="25"/>
        <v>0.76625250760411079</v>
      </c>
      <c r="AO152" s="291">
        <f t="shared" si="26"/>
        <v>213.83080789825695</v>
      </c>
      <c r="AP152" s="519">
        <f t="shared" si="14"/>
        <v>-134.1898868896298</v>
      </c>
      <c r="AQ152" s="291">
        <f t="shared" si="35"/>
        <v>-445.5</v>
      </c>
      <c r="AR152" s="519">
        <f t="shared" si="15"/>
        <v>-255.39999999999998</v>
      </c>
      <c r="AS152" s="444">
        <f t="shared" si="27"/>
        <v>492.39108855494453</v>
      </c>
      <c r="AT152" s="445">
        <f t="shared" si="36"/>
        <v>-213.83080789825695</v>
      </c>
      <c r="AU152" s="446">
        <f t="shared" si="28"/>
        <v>79.640921008627146</v>
      </c>
      <c r="AV152" s="445"/>
      <c r="AW152" s="447">
        <f t="shared" si="29"/>
        <v>-214.09078117295442</v>
      </c>
      <c r="AX152" s="447">
        <f t="shared" si="30"/>
        <v>-41.309218827045562</v>
      </c>
      <c r="AY152" s="1597">
        <f t="shared" si="16"/>
        <v>-54.182622607317576</v>
      </c>
      <c r="AZ152" s="1597">
        <f t="shared" si="17"/>
        <v>-242.07671517266502</v>
      </c>
      <c r="BA152" s="542">
        <f t="shared" si="31"/>
        <v>54.182622607317576</v>
      </c>
      <c r="BB152" s="542">
        <f t="shared" si="31"/>
        <v>242.07671517266502</v>
      </c>
      <c r="BC152">
        <f t="shared" si="32"/>
        <v>0.3</v>
      </c>
      <c r="BM152" s="214"/>
      <c r="BN152" s="214"/>
      <c r="BO152" s="214"/>
      <c r="DE152" s="126"/>
    </row>
    <row r="153" spans="1:129" ht="21" customHeight="1" thickBot="1" x14ac:dyDescent="0.35">
      <c r="B153" s="277">
        <v>14</v>
      </c>
      <c r="C153" s="278"/>
      <c r="D153" s="25">
        <v>0</v>
      </c>
      <c r="E153" s="279" t="s">
        <v>130</v>
      </c>
      <c r="F153" s="258"/>
      <c r="G153" s="258">
        <f t="shared" si="37"/>
        <v>0.3</v>
      </c>
      <c r="H153" s="506">
        <v>279.06049999999999</v>
      </c>
      <c r="I153" s="507">
        <v>79.962900599999998</v>
      </c>
      <c r="J153" s="474">
        <f t="shared" si="18"/>
        <v>79.962900599999998</v>
      </c>
      <c r="K153" s="474">
        <f t="shared" si="19"/>
        <v>39.981450299999999</v>
      </c>
      <c r="L153" s="474">
        <f t="shared" si="5"/>
        <v>0.64253956655634092</v>
      </c>
      <c r="M153" s="474">
        <f t="shared" si="6"/>
        <v>179.30741271299578</v>
      </c>
      <c r="N153" s="474">
        <f t="shared" si="7"/>
        <v>358.61482542599157</v>
      </c>
      <c r="O153" s="474">
        <f>+C140+D141+D142+D143+D144+D145+D146+D147+D148+D149+D150+D151+D152+(D153/2)</f>
        <v>0</v>
      </c>
      <c r="P153" s="474">
        <f t="shared" si="8"/>
        <v>0</v>
      </c>
      <c r="Q153" s="474">
        <f t="shared" si="9"/>
        <v>0</v>
      </c>
      <c r="R153" s="474">
        <f t="shared" si="20"/>
        <v>213.83080000000001</v>
      </c>
      <c r="S153" s="474">
        <f t="shared" si="33"/>
        <v>213.83080000000001</v>
      </c>
      <c r="T153" s="476">
        <f t="shared" si="10"/>
        <v>213.83080000000001</v>
      </c>
      <c r="V153" s="1585">
        <f t="shared" si="11"/>
        <v>0</v>
      </c>
      <c r="W153" s="437"/>
      <c r="X153" s="437"/>
      <c r="Y153" s="437"/>
      <c r="Z153" s="437"/>
      <c r="AA153" s="437"/>
      <c r="AB153" s="1595" t="str">
        <f t="shared" si="34"/>
        <v>use the locking pin</v>
      </c>
      <c r="AC153" s="514" t="b">
        <f>IF(AD153=14,AF153)</f>
        <v>0</v>
      </c>
      <c r="AD153" s="514">
        <f t="shared" si="12"/>
        <v>1</v>
      </c>
      <c r="AE153" s="514">
        <f>IF(V153=0,0,14)</f>
        <v>0</v>
      </c>
      <c r="AF153" s="1585">
        <f>SUM(V153:V159)/($B$137-B152)</f>
        <v>0</v>
      </c>
      <c r="AG153" s="437"/>
      <c r="AH153" s="450">
        <f>SUM(D141:D153)+$C$140</f>
        <v>0</v>
      </c>
      <c r="AI153" s="516" t="b">
        <f t="shared" si="21"/>
        <v>0</v>
      </c>
      <c r="AJ153" s="287">
        <f t="shared" si="22"/>
        <v>66.255548399999995</v>
      </c>
      <c r="AK153" s="441">
        <f t="shared" si="13"/>
        <v>0.91535047595051022</v>
      </c>
      <c r="AL153" s="289">
        <f t="shared" si="23"/>
        <v>278.56028065668761</v>
      </c>
      <c r="AM153" s="287">
        <f t="shared" si="24"/>
        <v>50.018549700000001</v>
      </c>
      <c r="AN153" s="442">
        <f t="shared" si="25"/>
        <v>0.76625250760411079</v>
      </c>
      <c r="AO153" s="291">
        <f t="shared" si="26"/>
        <v>213.83080789825695</v>
      </c>
      <c r="AP153" s="519">
        <f t="shared" si="14"/>
        <v>-115.82324133697686</v>
      </c>
      <c r="AQ153" s="291">
        <f t="shared" si="35"/>
        <v>-486</v>
      </c>
      <c r="AR153" s="519">
        <f t="shared" si="15"/>
        <v>-295.89999999999998</v>
      </c>
      <c r="AS153" s="444">
        <f t="shared" si="27"/>
        <v>492.39108855494453</v>
      </c>
      <c r="AT153" s="445">
        <f t="shared" si="36"/>
        <v>-213.83080789825695</v>
      </c>
      <c r="AU153" s="446">
        <f t="shared" si="28"/>
        <v>98.007566561280086</v>
      </c>
      <c r="AV153" s="445"/>
      <c r="AW153" s="447">
        <f t="shared" si="29"/>
        <v>-237.00283549080373</v>
      </c>
      <c r="AX153" s="447">
        <f t="shared" si="30"/>
        <v>-58.897164509196223</v>
      </c>
      <c r="AY153" s="1597">
        <f t="shared" si="16"/>
        <v>-48.944562101874546</v>
      </c>
      <c r="AZ153" s="1597">
        <f t="shared" si="17"/>
        <v>-169.7874606245025</v>
      </c>
      <c r="BA153" s="542">
        <f t="shared" si="31"/>
        <v>48.944562101874546</v>
      </c>
      <c r="BB153" s="542">
        <f t="shared" si="31"/>
        <v>169.7874606245025</v>
      </c>
      <c r="BC153">
        <f t="shared" si="32"/>
        <v>0.3</v>
      </c>
      <c r="BM153" s="214"/>
      <c r="BN153" s="214"/>
      <c r="BO153" s="214"/>
      <c r="DE153" s="126"/>
    </row>
    <row r="154" spans="1:129" ht="21" customHeight="1" thickBot="1" x14ac:dyDescent="0.35">
      <c r="B154" s="277">
        <v>15</v>
      </c>
      <c r="C154" s="278"/>
      <c r="D154" s="25">
        <v>0</v>
      </c>
      <c r="E154" s="279" t="s">
        <v>130</v>
      </c>
      <c r="F154" s="258"/>
      <c r="G154" s="258">
        <f t="shared" si="37"/>
        <v>0.3</v>
      </c>
      <c r="H154" s="506">
        <v>279.06049999999999</v>
      </c>
      <c r="I154" s="507">
        <v>79.962900599999998</v>
      </c>
      <c r="J154" s="474">
        <f t="shared" si="18"/>
        <v>79.962900599999998</v>
      </c>
      <c r="K154" s="474">
        <f t="shared" si="19"/>
        <v>39.981450299999999</v>
      </c>
      <c r="L154" s="474">
        <f t="shared" si="5"/>
        <v>0.64253956655634092</v>
      </c>
      <c r="M154" s="474">
        <f t="shared" si="6"/>
        <v>179.30741271299578</v>
      </c>
      <c r="N154" s="474">
        <f t="shared" si="7"/>
        <v>358.61482542599157</v>
      </c>
      <c r="O154" s="474">
        <f>+C140+D141+D142+D143+D144+D145+D146+D147+D148+D149+D150+D151+D152+D153+(D154/2)</f>
        <v>0</v>
      </c>
      <c r="P154" s="474">
        <f t="shared" si="8"/>
        <v>0</v>
      </c>
      <c r="Q154" s="474">
        <f t="shared" si="9"/>
        <v>0</v>
      </c>
      <c r="R154" s="474">
        <f t="shared" si="20"/>
        <v>213.83080000000001</v>
      </c>
      <c r="S154" s="474">
        <f t="shared" si="33"/>
        <v>213.83080000000001</v>
      </c>
      <c r="T154" s="476">
        <f t="shared" si="10"/>
        <v>213.83080000000001</v>
      </c>
      <c r="V154" s="1585">
        <f t="shared" si="11"/>
        <v>0</v>
      </c>
      <c r="W154" s="437"/>
      <c r="X154" s="437"/>
      <c r="Y154" s="437"/>
      <c r="Z154" s="437"/>
      <c r="AA154" s="437"/>
      <c r="AB154" s="1595" t="str">
        <f t="shared" si="34"/>
        <v>use the locking pin</v>
      </c>
      <c r="AC154" s="514" t="b">
        <f>IF(AD154=15,AF154)</f>
        <v>0</v>
      </c>
      <c r="AD154" s="514">
        <f t="shared" si="12"/>
        <v>1</v>
      </c>
      <c r="AE154" s="514">
        <f>IF(V154=0,0,15)</f>
        <v>0</v>
      </c>
      <c r="AF154" s="1585">
        <f>SUM(V154:V159)/($B$137-B153)</f>
        <v>0</v>
      </c>
      <c r="AG154" s="437"/>
      <c r="AH154" s="450">
        <f>SUM(D141:D154)+$C$140</f>
        <v>0</v>
      </c>
      <c r="AI154" s="516" t="b">
        <f t="shared" si="21"/>
        <v>0</v>
      </c>
      <c r="AJ154" s="287">
        <f t="shared" si="22"/>
        <v>66.255548399999995</v>
      </c>
      <c r="AK154" s="441">
        <f t="shared" si="13"/>
        <v>0.91535047595051022</v>
      </c>
      <c r="AL154" s="289">
        <f t="shared" si="23"/>
        <v>278.56028065668761</v>
      </c>
      <c r="AM154" s="287">
        <f t="shared" si="24"/>
        <v>50.018549700000001</v>
      </c>
      <c r="AN154" s="442">
        <f t="shared" si="25"/>
        <v>0.76625250760411079</v>
      </c>
      <c r="AO154" s="291">
        <f t="shared" si="26"/>
        <v>213.83080789825695</v>
      </c>
      <c r="AP154" s="519">
        <f t="shared" si="14"/>
        <v>-101.87900449349422</v>
      </c>
      <c r="AQ154" s="291">
        <f t="shared" si="35"/>
        <v>-526.5</v>
      </c>
      <c r="AR154" s="519">
        <f t="shared" si="15"/>
        <v>-336.4</v>
      </c>
      <c r="AS154" s="444">
        <f t="shared" si="27"/>
        <v>492.39108855494453</v>
      </c>
      <c r="AT154" s="445">
        <f t="shared" si="36"/>
        <v>-213.83080789825695</v>
      </c>
      <c r="AU154" s="446">
        <f t="shared" si="28"/>
        <v>111.95180340476273</v>
      </c>
      <c r="AV154" s="445"/>
      <c r="AW154" s="447">
        <f t="shared" si="29"/>
        <v>-259.91488980865313</v>
      </c>
      <c r="AX154" s="447">
        <f t="shared" si="30"/>
        <v>-76.485110191346891</v>
      </c>
      <c r="AY154" s="1597">
        <f t="shared" si="16"/>
        <v>-44.629994105146537</v>
      </c>
      <c r="AZ154" s="1597">
        <f t="shared" si="17"/>
        <v>-130.74440208012336</v>
      </c>
      <c r="BA154" s="542">
        <f t="shared" si="31"/>
        <v>44.629994105146537</v>
      </c>
      <c r="BB154" s="542">
        <f t="shared" si="31"/>
        <v>130.74440208012336</v>
      </c>
      <c r="BC154">
        <f t="shared" si="32"/>
        <v>0.3</v>
      </c>
      <c r="BM154" s="214"/>
      <c r="BN154" s="214"/>
      <c r="BO154" s="214"/>
      <c r="DE154" s="126"/>
    </row>
    <row r="155" spans="1:129" ht="21" customHeight="1" thickBot="1" x14ac:dyDescent="0.35">
      <c r="B155" s="277">
        <v>16</v>
      </c>
      <c r="C155" s="278"/>
      <c r="D155" s="25">
        <v>0</v>
      </c>
      <c r="E155" s="279" t="s">
        <v>130</v>
      </c>
      <c r="F155" s="258"/>
      <c r="G155" s="258">
        <f t="shared" si="37"/>
        <v>0.3</v>
      </c>
      <c r="H155" s="506">
        <v>279.06049999999999</v>
      </c>
      <c r="I155" s="507">
        <v>79.962900599999998</v>
      </c>
      <c r="J155" s="474">
        <f t="shared" si="18"/>
        <v>79.962900599999998</v>
      </c>
      <c r="K155" s="474">
        <f t="shared" si="19"/>
        <v>39.981450299999999</v>
      </c>
      <c r="L155" s="474">
        <f t="shared" si="5"/>
        <v>0.64253956655634092</v>
      </c>
      <c r="M155" s="474">
        <f t="shared" si="6"/>
        <v>179.30741271299578</v>
      </c>
      <c r="N155" s="474">
        <f t="shared" si="7"/>
        <v>358.61482542599157</v>
      </c>
      <c r="O155" s="474">
        <f>+C140+D141+D142+D143+D144+D145+D146+D147+D148+D149+D150+D151+D152+D153+D154+(D155/2)</f>
        <v>0</v>
      </c>
      <c r="P155" s="474">
        <f t="shared" si="8"/>
        <v>0</v>
      </c>
      <c r="Q155" s="474">
        <f t="shared" si="9"/>
        <v>0</v>
      </c>
      <c r="R155" s="474">
        <f t="shared" si="20"/>
        <v>213.83080000000001</v>
      </c>
      <c r="S155" s="474">
        <f t="shared" si="33"/>
        <v>213.83080000000001</v>
      </c>
      <c r="T155" s="476">
        <f t="shared" si="10"/>
        <v>213.83080000000001</v>
      </c>
      <c r="V155" s="1585">
        <f t="shared" si="11"/>
        <v>0</v>
      </c>
      <c r="W155" s="437"/>
      <c r="X155" s="437"/>
      <c r="Y155" s="437"/>
      <c r="Z155" s="437"/>
      <c r="AA155" s="437"/>
      <c r="AB155" s="1595" t="str">
        <f t="shared" si="34"/>
        <v>use the locking pin</v>
      </c>
      <c r="AC155" s="514" t="b">
        <f>IF(AD155=16,AF155)</f>
        <v>0</v>
      </c>
      <c r="AD155" s="514">
        <f t="shared" si="12"/>
        <v>1</v>
      </c>
      <c r="AE155" s="514">
        <f>IF(V155=0,0,16)</f>
        <v>0</v>
      </c>
      <c r="AF155" s="1585">
        <f>SUM(V155:V159)/($B$137-B154)</f>
        <v>0</v>
      </c>
      <c r="AG155" s="437"/>
      <c r="AH155" s="450">
        <f>SUM(D141:D155)+$C$140</f>
        <v>0</v>
      </c>
      <c r="AI155" s="516" t="b">
        <f t="shared" si="21"/>
        <v>0</v>
      </c>
      <c r="AJ155" s="287">
        <f t="shared" si="22"/>
        <v>66.255548399999995</v>
      </c>
      <c r="AK155" s="441">
        <f t="shared" si="13"/>
        <v>0.91535047595051022</v>
      </c>
      <c r="AL155" s="289">
        <f t="shared" si="23"/>
        <v>278.56028065668761</v>
      </c>
      <c r="AM155" s="287">
        <f t="shared" si="24"/>
        <v>50.018549700000001</v>
      </c>
      <c r="AN155" s="442">
        <f t="shared" si="25"/>
        <v>0.76625250760411079</v>
      </c>
      <c r="AO155" s="291">
        <f t="shared" si="26"/>
        <v>213.83080789825695</v>
      </c>
      <c r="AP155" s="519">
        <f t="shared" si="14"/>
        <v>-90.931539165856861</v>
      </c>
      <c r="AQ155" s="291">
        <f t="shared" si="35"/>
        <v>-567</v>
      </c>
      <c r="AR155" s="519">
        <f t="shared" si="15"/>
        <v>-376.90000000000003</v>
      </c>
      <c r="AS155" s="444">
        <f t="shared" si="27"/>
        <v>492.39108855494453</v>
      </c>
      <c r="AT155" s="445">
        <f t="shared" si="36"/>
        <v>-213.83080789825695</v>
      </c>
      <c r="AU155" s="446">
        <f t="shared" si="28"/>
        <v>122.89926873240009</v>
      </c>
      <c r="AV155" s="445"/>
      <c r="AW155" s="447">
        <f t="shared" si="29"/>
        <v>-282.82694412650244</v>
      </c>
      <c r="AX155" s="447">
        <f t="shared" si="30"/>
        <v>-94.073055873497594</v>
      </c>
      <c r="AY155" s="1597">
        <f t="shared" si="16"/>
        <v>-41.014479846770072</v>
      </c>
      <c r="AZ155" s="1597">
        <f t="shared" si="17"/>
        <v>-106.30036312892027</v>
      </c>
      <c r="BA155" s="542">
        <f t="shared" si="31"/>
        <v>41.014479846770072</v>
      </c>
      <c r="BB155" s="542">
        <f t="shared" si="31"/>
        <v>106.30036312892027</v>
      </c>
      <c r="BC155">
        <f t="shared" si="32"/>
        <v>0.3</v>
      </c>
      <c r="BM155" s="214"/>
      <c r="BN155" s="214"/>
      <c r="BO155" s="214"/>
      <c r="DE155" s="126"/>
    </row>
    <row r="156" spans="1:129" ht="21" customHeight="1" thickBot="1" x14ac:dyDescent="0.35">
      <c r="B156" s="277">
        <v>17</v>
      </c>
      <c r="C156" s="278"/>
      <c r="D156" s="25">
        <v>0</v>
      </c>
      <c r="E156" s="279" t="s">
        <v>130</v>
      </c>
      <c r="F156" s="258"/>
      <c r="G156" s="258">
        <f t="shared" si="37"/>
        <v>0.3</v>
      </c>
      <c r="H156" s="506">
        <v>279.06049999999999</v>
      </c>
      <c r="I156" s="507">
        <v>79.962900599999998</v>
      </c>
      <c r="J156" s="474">
        <f t="shared" si="18"/>
        <v>79.962900599999998</v>
      </c>
      <c r="K156" s="474">
        <f t="shared" si="19"/>
        <v>39.981450299999999</v>
      </c>
      <c r="L156" s="474">
        <f t="shared" si="5"/>
        <v>0.64253956655634092</v>
      </c>
      <c r="M156" s="474">
        <f t="shared" si="6"/>
        <v>179.30741271299578</v>
      </c>
      <c r="N156" s="474">
        <f t="shared" si="7"/>
        <v>358.61482542599157</v>
      </c>
      <c r="O156" s="474">
        <f>+C140+D141+D142+D143+D144+D145+D146+D147+D148+D149+D150+D151+D152+D153+D154+D155+(D156/2)</f>
        <v>0</v>
      </c>
      <c r="P156" s="474">
        <f t="shared" si="8"/>
        <v>0</v>
      </c>
      <c r="Q156" s="474">
        <f t="shared" si="9"/>
        <v>0</v>
      </c>
      <c r="R156" s="474">
        <f t="shared" si="20"/>
        <v>213.83080000000001</v>
      </c>
      <c r="S156" s="474">
        <f t="shared" si="33"/>
        <v>213.83080000000001</v>
      </c>
      <c r="T156" s="476">
        <f t="shared" si="10"/>
        <v>213.83080000000001</v>
      </c>
      <c r="V156" s="1585">
        <f t="shared" si="11"/>
        <v>0</v>
      </c>
      <c r="W156" s="437"/>
      <c r="X156" s="437"/>
      <c r="Y156" s="437"/>
      <c r="Z156" s="437"/>
      <c r="AA156" s="437"/>
      <c r="AB156" s="1595" t="str">
        <f t="shared" si="34"/>
        <v>use the locking pin</v>
      </c>
      <c r="AC156" s="514" t="b">
        <f>IF(AD156=17,AF156)</f>
        <v>0</v>
      </c>
      <c r="AD156" s="514">
        <f t="shared" si="12"/>
        <v>1</v>
      </c>
      <c r="AE156" s="514">
        <f>IF(V156=0,0,17)</f>
        <v>0</v>
      </c>
      <c r="AF156" s="1585">
        <f>SUM(V156:V159)/($B$137-B155)</f>
        <v>0</v>
      </c>
      <c r="AG156" s="437"/>
      <c r="AH156" s="450">
        <f>SUM(D141:D156)+$C$140</f>
        <v>0</v>
      </c>
      <c r="AI156" s="516" t="b">
        <f t="shared" si="21"/>
        <v>0</v>
      </c>
      <c r="AJ156" s="287">
        <f t="shared" si="22"/>
        <v>66.255548399999995</v>
      </c>
      <c r="AK156" s="441">
        <f t="shared" si="13"/>
        <v>0.91535047595051022</v>
      </c>
      <c r="AL156" s="289">
        <f t="shared" si="23"/>
        <v>278.56028065668761</v>
      </c>
      <c r="AM156" s="287">
        <f t="shared" si="24"/>
        <v>50.018549700000001</v>
      </c>
      <c r="AN156" s="442">
        <f t="shared" si="25"/>
        <v>0.76625250760411079</v>
      </c>
      <c r="AO156" s="291">
        <f t="shared" si="26"/>
        <v>213.83080789825695</v>
      </c>
      <c r="AP156" s="519">
        <f t="shared" si="14"/>
        <v>-82.108522069025994</v>
      </c>
      <c r="AQ156" s="291">
        <f t="shared" si="35"/>
        <v>-607.5</v>
      </c>
      <c r="AR156" s="519">
        <f t="shared" si="15"/>
        <v>-417.40000000000003</v>
      </c>
      <c r="AS156" s="444">
        <f t="shared" si="27"/>
        <v>492.39108855494453</v>
      </c>
      <c r="AT156" s="445">
        <f t="shared" si="36"/>
        <v>-213.83080789825695</v>
      </c>
      <c r="AU156" s="446">
        <f t="shared" si="28"/>
        <v>131.72228582923094</v>
      </c>
      <c r="AV156" s="445"/>
      <c r="AW156" s="447">
        <f t="shared" si="29"/>
        <v>-305.73899844435175</v>
      </c>
      <c r="AX156" s="447">
        <f t="shared" si="30"/>
        <v>-111.66100155564826</v>
      </c>
      <c r="AY156" s="1597">
        <f t="shared" si="16"/>
        <v>-37.940858245178504</v>
      </c>
      <c r="AZ156" s="1597">
        <f t="shared" si="17"/>
        <v>-89.556782230869757</v>
      </c>
      <c r="BA156" s="542">
        <f t="shared" si="31"/>
        <v>37.940858245178504</v>
      </c>
      <c r="BB156" s="542">
        <f t="shared" si="31"/>
        <v>89.556782230869757</v>
      </c>
      <c r="BC156">
        <f t="shared" si="32"/>
        <v>0.3</v>
      </c>
      <c r="BD156" s="136"/>
      <c r="BM156" s="214"/>
      <c r="BN156" s="214"/>
      <c r="BO156" s="214"/>
      <c r="DF156" s="126"/>
      <c r="DG156" s="126"/>
      <c r="DH156" s="126"/>
      <c r="DI156" s="126"/>
      <c r="DJ156" s="126"/>
      <c r="DK156" s="126"/>
      <c r="DL156" s="203"/>
      <c r="DM156" s="203"/>
      <c r="DN156" s="203"/>
      <c r="DO156" s="203"/>
      <c r="DP156" s="203"/>
      <c r="DQ156" s="203"/>
      <c r="DR156" s="203"/>
      <c r="DS156" s="203"/>
      <c r="DT156" s="203"/>
      <c r="DU156" s="203"/>
      <c r="DV156" s="203"/>
      <c r="DW156" s="203"/>
      <c r="DX156" s="203"/>
      <c r="DY156" s="203"/>
    </row>
    <row r="157" spans="1:129" ht="21" customHeight="1" thickBot="1" x14ac:dyDescent="0.35">
      <c r="B157" s="277">
        <v>18</v>
      </c>
      <c r="C157" s="278"/>
      <c r="D157" s="25">
        <v>0</v>
      </c>
      <c r="E157" s="279" t="s">
        <v>130</v>
      </c>
      <c r="F157" s="258"/>
      <c r="G157" s="258">
        <f t="shared" si="37"/>
        <v>0.3</v>
      </c>
      <c r="H157" s="506">
        <v>279.06049999999999</v>
      </c>
      <c r="I157" s="507">
        <v>79.962900599999998</v>
      </c>
      <c r="J157" s="474">
        <f t="shared" si="18"/>
        <v>79.962900599999998</v>
      </c>
      <c r="K157" s="474">
        <f t="shared" si="19"/>
        <v>39.981450299999999</v>
      </c>
      <c r="L157" s="474">
        <f t="shared" si="5"/>
        <v>0.64253956655634092</v>
      </c>
      <c r="M157" s="474">
        <f t="shared" si="6"/>
        <v>179.30741271299578</v>
      </c>
      <c r="N157" s="474">
        <f t="shared" si="7"/>
        <v>358.61482542599157</v>
      </c>
      <c r="O157" s="474">
        <f>+C140+D141+D142+D143+D144+D145+D146+D147+D148+D149+D150+D151+D152+D153+D154+D155+D156+(D157/2)</f>
        <v>0</v>
      </c>
      <c r="P157" s="474">
        <f t="shared" si="8"/>
        <v>0</v>
      </c>
      <c r="Q157" s="474">
        <f t="shared" si="9"/>
        <v>0</v>
      </c>
      <c r="R157" s="474">
        <f t="shared" si="20"/>
        <v>213.83080000000001</v>
      </c>
      <c r="S157" s="474">
        <f t="shared" si="33"/>
        <v>213.83080000000001</v>
      </c>
      <c r="T157" s="476">
        <f t="shared" si="10"/>
        <v>213.83080000000001</v>
      </c>
      <c r="V157" s="1585">
        <f t="shared" si="11"/>
        <v>0</v>
      </c>
      <c r="W157" s="437"/>
      <c r="X157" s="437"/>
      <c r="Y157" s="437"/>
      <c r="Z157" s="437"/>
      <c r="AA157" s="437"/>
      <c r="AB157" s="1595" t="str">
        <f t="shared" si="34"/>
        <v>use the locking pin</v>
      </c>
      <c r="AC157" s="514" t="b">
        <f>IF(AD157=18,AF157)</f>
        <v>0</v>
      </c>
      <c r="AD157" s="514">
        <f t="shared" si="12"/>
        <v>1</v>
      </c>
      <c r="AE157" s="514">
        <f>IF(V157=0,0,18)</f>
        <v>0</v>
      </c>
      <c r="AF157" s="1585">
        <f>SUM(V157:V159)/($B$137-B156)</f>
        <v>0</v>
      </c>
      <c r="AG157" s="437"/>
      <c r="AH157" s="450">
        <f>SUM(D141:D157)+$C$140</f>
        <v>0</v>
      </c>
      <c r="AI157" s="516" t="b">
        <f t="shared" si="21"/>
        <v>0</v>
      </c>
      <c r="AJ157" s="287">
        <f t="shared" si="22"/>
        <v>66.255548399999995</v>
      </c>
      <c r="AK157" s="441">
        <f t="shared" si="13"/>
        <v>0.91535047595051022</v>
      </c>
      <c r="AL157" s="289">
        <f t="shared" si="23"/>
        <v>278.56028065668761</v>
      </c>
      <c r="AM157" s="287">
        <f t="shared" si="24"/>
        <v>50.018549700000001</v>
      </c>
      <c r="AN157" s="442">
        <f t="shared" si="25"/>
        <v>0.76625250760411079</v>
      </c>
      <c r="AO157" s="291">
        <f t="shared" si="26"/>
        <v>213.83080789825695</v>
      </c>
      <c r="AP157" s="519">
        <f t="shared" si="14"/>
        <v>-74.846248332848759</v>
      </c>
      <c r="AQ157" s="291">
        <f t="shared" si="35"/>
        <v>-648</v>
      </c>
      <c r="AR157" s="519">
        <f t="shared" si="15"/>
        <v>-457.90000000000003</v>
      </c>
      <c r="AS157" s="444">
        <f t="shared" si="27"/>
        <v>492.39108855494453</v>
      </c>
      <c r="AT157" s="445">
        <f t="shared" si="36"/>
        <v>-213.83080789825695</v>
      </c>
      <c r="AU157" s="446">
        <f t="shared" si="28"/>
        <v>138.98455956540818</v>
      </c>
      <c r="AV157" s="445"/>
      <c r="AW157" s="447">
        <f t="shared" si="29"/>
        <v>-328.65105276220112</v>
      </c>
      <c r="AX157" s="447">
        <f t="shared" si="30"/>
        <v>-129.24894723779894</v>
      </c>
      <c r="AY157" s="1597">
        <f t="shared" si="16"/>
        <v>-35.295794437613743</v>
      </c>
      <c r="AZ157" s="1597">
        <f t="shared" si="17"/>
        <v>-77.37006926332235</v>
      </c>
      <c r="BA157" s="542">
        <f t="shared" si="31"/>
        <v>35.295794437613743</v>
      </c>
      <c r="BB157" s="542">
        <f t="shared" si="31"/>
        <v>77.37006926332235</v>
      </c>
      <c r="BC157">
        <f t="shared" si="32"/>
        <v>0.3</v>
      </c>
      <c r="BD157" s="458"/>
      <c r="BM157" s="214"/>
      <c r="BN157" s="214"/>
      <c r="BO157" s="214"/>
      <c r="DF157" s="126"/>
      <c r="DG157" s="126"/>
      <c r="DH157" s="126"/>
      <c r="DI157" s="126"/>
      <c r="DJ157" s="126"/>
      <c r="DK157" s="126"/>
      <c r="DL157" s="203"/>
      <c r="DM157" s="203"/>
      <c r="DN157" s="203"/>
      <c r="DO157" s="203"/>
      <c r="DP157" s="203"/>
      <c r="DQ157" s="203"/>
      <c r="DR157" s="203"/>
      <c r="DS157" s="203"/>
      <c r="DT157" s="203"/>
      <c r="DU157" s="203"/>
      <c r="DV157" s="203"/>
      <c r="DW157" s="203"/>
      <c r="DX157" s="203"/>
      <c r="DY157" s="203"/>
    </row>
    <row r="158" spans="1:129" ht="21" customHeight="1" thickBot="1" x14ac:dyDescent="0.35">
      <c r="B158" s="277">
        <v>19</v>
      </c>
      <c r="C158" s="524"/>
      <c r="D158" s="29">
        <v>0</v>
      </c>
      <c r="E158" s="279" t="s">
        <v>130</v>
      </c>
      <c r="F158" s="525"/>
      <c r="G158" s="525">
        <f t="shared" si="37"/>
        <v>0.3</v>
      </c>
      <c r="H158" s="506">
        <v>279.06049999999999</v>
      </c>
      <c r="I158" s="507">
        <v>79.962900599999998</v>
      </c>
      <c r="J158" s="526">
        <f t="shared" si="18"/>
        <v>79.962900599999998</v>
      </c>
      <c r="K158" s="526">
        <f t="shared" si="19"/>
        <v>39.981450299999999</v>
      </c>
      <c r="L158" s="526">
        <f t="shared" si="5"/>
        <v>0.64253956655634092</v>
      </c>
      <c r="M158" s="526">
        <f t="shared" si="6"/>
        <v>179.30741271299578</v>
      </c>
      <c r="N158" s="526">
        <f t="shared" si="7"/>
        <v>358.61482542599157</v>
      </c>
      <c r="O158" s="526">
        <f>+C140+D141+D142+D143+D144+D145+D146+D147+D148+D149+D150+D151+D152+D153+D154+D155+D156+D157+(D158/2)</f>
        <v>0</v>
      </c>
      <c r="P158" s="526">
        <f t="shared" si="8"/>
        <v>0</v>
      </c>
      <c r="Q158" s="526">
        <f t="shared" si="9"/>
        <v>0</v>
      </c>
      <c r="R158" s="526">
        <f t="shared" si="20"/>
        <v>213.83080000000001</v>
      </c>
      <c r="S158" s="526">
        <f t="shared" si="33"/>
        <v>213.83080000000001</v>
      </c>
      <c r="T158" s="527">
        <f t="shared" si="10"/>
        <v>213.83080000000001</v>
      </c>
      <c r="U158" s="528"/>
      <c r="V158" s="1585">
        <f t="shared" si="11"/>
        <v>0</v>
      </c>
      <c r="W158" s="529"/>
      <c r="X158" s="529"/>
      <c r="Y158" s="529"/>
      <c r="Z158" s="529"/>
      <c r="AA158" s="529"/>
      <c r="AB158" s="530" t="str">
        <f t="shared" si="34"/>
        <v>use the locking pin</v>
      </c>
      <c r="AC158" s="531" t="b">
        <f>IF(AD158=19,AF158)</f>
        <v>0</v>
      </c>
      <c r="AD158" s="531">
        <f t="shared" si="12"/>
        <v>1</v>
      </c>
      <c r="AE158" s="531">
        <f>IF(V158=0,0,19)</f>
        <v>0</v>
      </c>
      <c r="AF158" s="1585">
        <f>SUM(V158:V159)/($B$137-B157)</f>
        <v>0</v>
      </c>
      <c r="AG158" s="529"/>
      <c r="AH158" s="532">
        <f>SUM(D141:D158)+$C$140</f>
        <v>0</v>
      </c>
      <c r="AI158" s="533" t="b">
        <f t="shared" si="21"/>
        <v>0</v>
      </c>
      <c r="AJ158" s="287">
        <f t="shared" si="22"/>
        <v>66.255548399999995</v>
      </c>
      <c r="AK158" s="534">
        <f t="shared" si="13"/>
        <v>0.91535047595051022</v>
      </c>
      <c r="AL158" s="289">
        <f t="shared" si="23"/>
        <v>278.56028065668761</v>
      </c>
      <c r="AM158" s="287">
        <f t="shared" si="24"/>
        <v>50.018549700000001</v>
      </c>
      <c r="AN158" s="535">
        <f t="shared" si="25"/>
        <v>0.76625250760411079</v>
      </c>
      <c r="AO158" s="291">
        <f t="shared" si="26"/>
        <v>213.83080789825695</v>
      </c>
      <c r="AP158" s="519">
        <f t="shared" si="14"/>
        <v>-68.764239790552665</v>
      </c>
      <c r="AQ158" s="291">
        <f t="shared" si="35"/>
        <v>-688.5</v>
      </c>
      <c r="AR158" s="519">
        <f t="shared" si="15"/>
        <v>-498.40000000000003</v>
      </c>
      <c r="AS158" s="538">
        <f t="shared" si="27"/>
        <v>492.39108855494453</v>
      </c>
      <c r="AT158" s="529">
        <f t="shared" si="36"/>
        <v>-213.83080789825695</v>
      </c>
      <c r="AU158" s="539">
        <f t="shared" si="28"/>
        <v>145.06656810770428</v>
      </c>
      <c r="AV158" s="529"/>
      <c r="AW158" s="540">
        <f t="shared" si="29"/>
        <v>-351.56310708005049</v>
      </c>
      <c r="AX158" s="540">
        <f t="shared" si="30"/>
        <v>-146.83689291994963</v>
      </c>
      <c r="AY158" s="541">
        <f t="shared" si="16"/>
        <v>-32.995498578747899</v>
      </c>
      <c r="AZ158" s="541">
        <f t="shared" si="17"/>
        <v>-68.102775815691302</v>
      </c>
      <c r="BA158" s="542">
        <f t="shared" si="31"/>
        <v>32.995498578747899</v>
      </c>
      <c r="BB158" s="542">
        <f t="shared" si="31"/>
        <v>68.102775815691302</v>
      </c>
      <c r="BC158">
        <f t="shared" si="32"/>
        <v>0.3</v>
      </c>
      <c r="BD158" s="144"/>
      <c r="BM158" s="214"/>
      <c r="BN158" s="214"/>
      <c r="BO158" s="214"/>
      <c r="DF158" s="126"/>
      <c r="DG158" s="126"/>
      <c r="DH158" s="126"/>
      <c r="DI158" s="126"/>
      <c r="DJ158" s="126"/>
      <c r="DK158" s="126"/>
      <c r="DL158" s="203"/>
      <c r="DM158" s="203"/>
      <c r="DN158" s="203"/>
      <c r="DO158" s="203"/>
      <c r="DP158" s="203"/>
      <c r="DQ158" s="203"/>
      <c r="DR158" s="203"/>
      <c r="DS158" s="203"/>
      <c r="DT158" s="203"/>
      <c r="DU158" s="203"/>
      <c r="DV158" s="203"/>
      <c r="DW158" s="203"/>
      <c r="DX158" s="203"/>
      <c r="DY158" s="203"/>
    </row>
    <row r="159" spans="1:129" ht="21" customHeight="1" thickBot="1" x14ac:dyDescent="0.35">
      <c r="B159" s="277">
        <v>20</v>
      </c>
      <c r="C159" s="278"/>
      <c r="D159" s="25">
        <v>0</v>
      </c>
      <c r="E159" s="279" t="s">
        <v>130</v>
      </c>
      <c r="F159" s="258"/>
      <c r="G159" s="258">
        <f t="shared" si="37"/>
        <v>0.3</v>
      </c>
      <c r="H159" s="506">
        <v>279.06049999999999</v>
      </c>
      <c r="I159" s="507">
        <v>79.962900599999998</v>
      </c>
      <c r="J159" s="474">
        <f t="shared" si="18"/>
        <v>79.962900599999998</v>
      </c>
      <c r="K159" s="474">
        <f t="shared" si="19"/>
        <v>39.981450299999999</v>
      </c>
      <c r="L159" s="474">
        <f t="shared" si="5"/>
        <v>0.64253956655634092</v>
      </c>
      <c r="M159" s="474">
        <f t="shared" si="6"/>
        <v>179.30741271299578</v>
      </c>
      <c r="N159" s="474">
        <f t="shared" si="7"/>
        <v>358.61482542599157</v>
      </c>
      <c r="O159" s="474">
        <f>+C140+D141+D142+D143+D144+D145+D146+D147+D148+D149+D150+D151+D152+D153+D154+D155+D156+D157+D158+(D159/2)</f>
        <v>0</v>
      </c>
      <c r="P159" s="474">
        <f t="shared" si="8"/>
        <v>0</v>
      </c>
      <c r="Q159" s="474">
        <f t="shared" si="9"/>
        <v>0</v>
      </c>
      <c r="R159" s="474">
        <f t="shared" si="20"/>
        <v>213.83080000000001</v>
      </c>
      <c r="S159" s="474">
        <f t="shared" si="33"/>
        <v>213.83080000000001</v>
      </c>
      <c r="T159" s="476">
        <f t="shared" si="10"/>
        <v>213.83080000000001</v>
      </c>
      <c r="V159" s="1585">
        <f t="shared" si="11"/>
        <v>0</v>
      </c>
      <c r="W159" s="437"/>
      <c r="X159" s="437"/>
      <c r="Y159" s="437"/>
      <c r="Z159" s="437"/>
      <c r="AA159" s="437"/>
      <c r="AB159" s="1595" t="str">
        <f t="shared" si="34"/>
        <v>use the locking pin</v>
      </c>
      <c r="AC159" s="514" t="b">
        <f>IF(AD159=20,AF159)</f>
        <v>0</v>
      </c>
      <c r="AD159" s="514">
        <f t="shared" si="12"/>
        <v>1</v>
      </c>
      <c r="AE159" s="514">
        <f>IF(V159=0,0,20)</f>
        <v>0</v>
      </c>
      <c r="AF159" s="1585">
        <f>SUM(V159:V159)/($B$137-B158)</f>
        <v>0</v>
      </c>
      <c r="AG159" s="437"/>
      <c r="AH159" s="450">
        <f>SUM(D141:D159)+$C$140</f>
        <v>0</v>
      </c>
      <c r="AI159" s="516" t="b">
        <f t="shared" si="21"/>
        <v>0</v>
      </c>
      <c r="AJ159" s="287">
        <f t="shared" si="22"/>
        <v>66.255548399999995</v>
      </c>
      <c r="AK159" s="441">
        <f t="shared" si="13"/>
        <v>0.91535047595051022</v>
      </c>
      <c r="AL159" s="289">
        <f t="shared" si="23"/>
        <v>278.56028065668761</v>
      </c>
      <c r="AM159" s="287">
        <f t="shared" si="24"/>
        <v>50.018549700000001</v>
      </c>
      <c r="AN159" s="442">
        <f t="shared" si="25"/>
        <v>0.76625250760411079</v>
      </c>
      <c r="AO159" s="291">
        <f t="shared" si="26"/>
        <v>213.83080789825695</v>
      </c>
      <c r="AP159" s="519">
        <f t="shared" si="14"/>
        <v>-63.596394714439498</v>
      </c>
      <c r="AQ159" s="291">
        <f t="shared" si="35"/>
        <v>-729</v>
      </c>
      <c r="AR159" s="519">
        <f t="shared" si="15"/>
        <v>-538.90000000000009</v>
      </c>
      <c r="AS159" s="444">
        <f t="shared" si="27"/>
        <v>492.39108855494453</v>
      </c>
      <c r="AT159" s="445">
        <f t="shared" si="36"/>
        <v>-213.83080789825695</v>
      </c>
      <c r="AU159" s="446">
        <f t="shared" si="28"/>
        <v>150.23441318381745</v>
      </c>
      <c r="AV159" s="445"/>
      <c r="AW159" s="447">
        <f t="shared" si="29"/>
        <v>-374.4751613978998</v>
      </c>
      <c r="AX159" s="447">
        <f t="shared" si="30"/>
        <v>-164.42483860210029</v>
      </c>
      <c r="AY159" s="1597">
        <f t="shared" si="16"/>
        <v>-30.976687363449408</v>
      </c>
      <c r="AZ159" s="1597">
        <f t="shared" si="17"/>
        <v>-60.818061827018049</v>
      </c>
      <c r="BA159" s="542">
        <f t="shared" si="31"/>
        <v>30.976687363449408</v>
      </c>
      <c r="BB159" s="542">
        <f t="shared" si="31"/>
        <v>60.818061827018049</v>
      </c>
      <c r="BC159">
        <f t="shared" si="32"/>
        <v>0.3</v>
      </c>
      <c r="BD159" s="144"/>
      <c r="BM159" s="214"/>
      <c r="BN159" s="214"/>
      <c r="BO159" s="214"/>
      <c r="DF159" s="126"/>
      <c r="DG159" s="126"/>
      <c r="DH159" s="126"/>
      <c r="DI159" s="126"/>
      <c r="DJ159" s="126"/>
      <c r="DK159" s="126"/>
      <c r="DL159" s="203"/>
      <c r="DM159" s="203"/>
      <c r="DN159" s="203"/>
      <c r="DO159" s="203"/>
      <c r="DP159" s="203"/>
      <c r="DQ159" s="203"/>
      <c r="DR159" s="203"/>
      <c r="DS159" s="203"/>
      <c r="DT159" s="203"/>
      <c r="DU159" s="203"/>
      <c r="DV159" s="203"/>
      <c r="DW159" s="203"/>
      <c r="DX159" s="203"/>
      <c r="DY159" s="203"/>
    </row>
    <row r="160" spans="1:129" ht="24.75" customHeight="1" thickBot="1" x14ac:dyDescent="0.35">
      <c r="D160" s="543"/>
      <c r="E160" s="543"/>
      <c r="F160" s="543"/>
      <c r="G160" s="543"/>
      <c r="V160" s="437"/>
      <c r="W160" s="437"/>
      <c r="X160" s="437"/>
      <c r="Y160" s="437"/>
      <c r="Z160" s="437"/>
      <c r="AA160" s="437"/>
      <c r="AB160" s="1585"/>
      <c r="AC160" s="1585"/>
      <c r="AD160" s="1585"/>
      <c r="AE160" s="1585"/>
      <c r="AF160" s="437"/>
      <c r="AG160" s="437"/>
      <c r="AH160" s="437"/>
      <c r="AI160" s="437"/>
      <c r="AJ160" s="543"/>
      <c r="AK160" s="415"/>
      <c r="AL160" s="292"/>
      <c r="AM160" s="543"/>
      <c r="AN160" s="415"/>
      <c r="AO160" s="292"/>
      <c r="AP160" s="445"/>
      <c r="AQ160" s="292"/>
      <c r="AR160" s="445"/>
      <c r="AS160" s="445"/>
      <c r="AT160" s="445"/>
      <c r="AU160" s="445"/>
      <c r="AV160" s="445"/>
      <c r="AW160" s="445"/>
      <c r="AX160" s="445"/>
      <c r="AY160" s="1586"/>
      <c r="AZ160" s="1586"/>
      <c r="BA160" s="1586"/>
      <c r="BB160" s="1586"/>
      <c r="BD160" s="545"/>
      <c r="BM160" s="214"/>
      <c r="BN160" s="214"/>
      <c r="BO160" s="214"/>
    </row>
    <row r="161" spans="2:142" ht="24.75" customHeight="1" thickBot="1" x14ac:dyDescent="0.35">
      <c r="B161" s="1854" t="s">
        <v>268</v>
      </c>
      <c r="D161" s="543"/>
      <c r="E161" s="543"/>
      <c r="F161" s="543"/>
      <c r="G161" s="543"/>
      <c r="V161" s="437"/>
      <c r="W161" s="437"/>
      <c r="X161" s="437"/>
      <c r="Y161" s="437"/>
      <c r="Z161" s="437"/>
      <c r="AA161" s="437"/>
      <c r="AB161" s="1585"/>
      <c r="AC161" s="1585"/>
      <c r="AD161" s="1585"/>
      <c r="AE161" s="1585"/>
      <c r="AF161" s="437"/>
      <c r="AG161" s="437"/>
      <c r="AH161" s="546" t="s">
        <v>79</v>
      </c>
      <c r="AI161" s="547">
        <f>MAX(AI140:AI159)</f>
        <v>0</v>
      </c>
      <c r="AJ161" s="543"/>
      <c r="AK161" s="415"/>
      <c r="AL161" s="845" t="s">
        <v>200</v>
      </c>
      <c r="AM161" s="846"/>
      <c r="AN161" s="846"/>
      <c r="AO161" s="846"/>
      <c r="AP161" s="847"/>
      <c r="AQ161" s="292"/>
      <c r="AR161" s="445"/>
      <c r="AS161" s="445"/>
      <c r="AT161" s="445"/>
      <c r="AU161" s="445"/>
      <c r="AV161" s="445"/>
      <c r="AW161" s="445"/>
      <c r="AX161" s="445"/>
      <c r="AY161" s="1586"/>
      <c r="AZ161" s="1586"/>
      <c r="BA161" s="1586"/>
      <c r="BB161" s="1586"/>
      <c r="BD161" s="545"/>
      <c r="BE161" s="136"/>
      <c r="BF161" s="136"/>
      <c r="BG161" s="297" t="s">
        <v>122</v>
      </c>
      <c r="BH161" s="136"/>
      <c r="BI161" s="136"/>
      <c r="BJ161" s="136"/>
      <c r="BK161" s="136"/>
      <c r="BL161" s="136"/>
      <c r="BM161" s="214"/>
      <c r="BN161" s="214"/>
      <c r="BO161" s="214"/>
    </row>
    <row r="162" spans="2:142" ht="24.75" customHeight="1" thickBot="1" x14ac:dyDescent="0.35">
      <c r="B162" s="1855"/>
      <c r="D162" s="543"/>
      <c r="E162" s="543"/>
      <c r="F162" s="543"/>
      <c r="G162" s="543"/>
      <c r="V162" s="437"/>
      <c r="W162" s="437"/>
      <c r="X162" s="437"/>
      <c r="Y162" s="437"/>
      <c r="Z162" s="437"/>
      <c r="AA162" s="437"/>
      <c r="AB162" s="1585"/>
      <c r="AC162" s="1585"/>
      <c r="AD162" s="1585"/>
      <c r="AE162" s="1585"/>
      <c r="AF162" s="437"/>
      <c r="AG162" s="437"/>
      <c r="AH162" s="853"/>
      <c r="AI162" s="854"/>
      <c r="AJ162" s="543"/>
      <c r="AK162" s="415"/>
      <c r="AL162" s="814" t="s">
        <v>175</v>
      </c>
      <c r="AM162" s="815" t="s">
        <v>176</v>
      </c>
      <c r="AN162" s="815" t="s">
        <v>177</v>
      </c>
      <c r="AO162" s="816" t="s">
        <v>181</v>
      </c>
      <c r="AP162" s="817"/>
      <c r="AQ162" s="292"/>
      <c r="AR162" s="445"/>
      <c r="AS162" s="445"/>
      <c r="AT162" s="445"/>
      <c r="AU162" s="445"/>
      <c r="AV162" s="445"/>
      <c r="AW162" s="445"/>
      <c r="AX162" s="445"/>
      <c r="AY162" s="1586"/>
      <c r="AZ162" s="1586"/>
      <c r="BA162" s="1586"/>
      <c r="BB162" s="1586"/>
      <c r="BD162" s="545"/>
      <c r="BE162" s="136"/>
      <c r="BF162" s="136"/>
      <c r="BG162" s="297"/>
      <c r="BH162" s="136"/>
      <c r="BI162" s="136"/>
      <c r="BJ162" s="136"/>
      <c r="BK162" s="136"/>
      <c r="BL162" s="136"/>
      <c r="BM162" s="214"/>
      <c r="BN162" s="214"/>
      <c r="BO162" s="214"/>
    </row>
    <row r="163" spans="2:142" ht="24.75" customHeight="1" thickBot="1" x14ac:dyDescent="0.35">
      <c r="B163" s="1855"/>
      <c r="D163" s="543"/>
      <c r="E163" s="543"/>
      <c r="F163" s="543"/>
      <c r="G163" s="543"/>
      <c r="V163" s="437"/>
      <c r="W163" s="437"/>
      <c r="X163" s="437"/>
      <c r="Y163" s="437"/>
      <c r="Z163" s="437"/>
      <c r="AA163" s="437"/>
      <c r="AB163" s="1585"/>
      <c r="AC163" s="1585"/>
      <c r="AD163" s="1585"/>
      <c r="AE163" s="1585"/>
      <c r="AF163" s="437"/>
      <c r="AG163" s="437"/>
      <c r="AH163" s="853"/>
      <c r="AI163" s="854"/>
      <c r="AJ163" s="543"/>
      <c r="AK163" s="415"/>
      <c r="AL163" s="818">
        <v>6.8623010000000004</v>
      </c>
      <c r="AM163" s="819">
        <f>+(AI161*-1)-AL163</f>
        <v>-6.8623010000000004</v>
      </c>
      <c r="AN163" s="820">
        <f>COS(AM163*3.14159265358979/180)</f>
        <v>0.99283617366519983</v>
      </c>
      <c r="AO163" s="848">
        <f>+AN163*378.71303</f>
        <v>375.99999562235405</v>
      </c>
      <c r="AP163" s="821"/>
      <c r="AQ163" s="292"/>
      <c r="AR163" s="445"/>
      <c r="AS163" s="445"/>
      <c r="AT163" s="445"/>
      <c r="AU163" s="445"/>
      <c r="AV163" s="445"/>
      <c r="AW163" s="445"/>
      <c r="AX163" s="445"/>
      <c r="AY163" s="1586"/>
      <c r="AZ163" s="1586"/>
      <c r="BA163" s="1586"/>
      <c r="BB163" s="1586"/>
      <c r="BD163" s="545"/>
      <c r="BE163" s="136"/>
      <c r="BF163" s="136"/>
      <c r="BG163" s="297"/>
      <c r="BH163" s="136"/>
      <c r="BI163" s="136"/>
      <c r="BJ163" s="136"/>
      <c r="BK163" s="136"/>
      <c r="BL163" s="136"/>
      <c r="BM163" s="214"/>
      <c r="BN163" s="214"/>
      <c r="BO163" s="214"/>
    </row>
    <row r="164" spans="2:142" ht="24.75" customHeight="1" thickBot="1" x14ac:dyDescent="0.35">
      <c r="B164" s="1855"/>
      <c r="D164" s="543"/>
      <c r="E164" s="543"/>
      <c r="F164" s="543"/>
      <c r="G164" s="543"/>
      <c r="V164" s="437"/>
      <c r="W164" s="437"/>
      <c r="X164" s="437"/>
      <c r="Y164" s="437"/>
      <c r="Z164" s="437"/>
      <c r="AA164" s="437"/>
      <c r="AB164" s="1585"/>
      <c r="AC164" s="1585"/>
      <c r="AD164" s="1585"/>
      <c r="AE164" s="1585"/>
      <c r="AF164" s="437"/>
      <c r="AG164" s="437"/>
      <c r="AH164" s="853"/>
      <c r="AI164" s="854"/>
      <c r="AJ164" s="543"/>
      <c r="AK164" s="415"/>
      <c r="AL164" s="844" t="s">
        <v>199</v>
      </c>
      <c r="AM164" s="849"/>
      <c r="AN164" s="849"/>
      <c r="AO164" s="849"/>
      <c r="AP164" s="850"/>
      <c r="AQ164" s="292"/>
      <c r="AR164" s="445"/>
      <c r="AS164" s="445"/>
      <c r="AT164" s="445"/>
      <c r="AU164" s="445"/>
      <c r="AV164" s="445"/>
      <c r="AW164" s="445"/>
      <c r="AX164" s="445"/>
      <c r="AY164" s="1586"/>
      <c r="AZ164" s="1586"/>
      <c r="BA164" s="1586"/>
      <c r="BB164" s="1586"/>
      <c r="BD164" s="545"/>
      <c r="BE164" s="136"/>
      <c r="BF164" s="136"/>
      <c r="BG164" s="297"/>
      <c r="BH164" s="136"/>
      <c r="BI164" s="136"/>
      <c r="BJ164" s="136"/>
      <c r="BK164" s="136"/>
      <c r="BL164" s="136"/>
      <c r="BM164" s="214"/>
      <c r="BN164" s="214"/>
      <c r="BO164" s="214"/>
    </row>
    <row r="165" spans="2:142" ht="24.75" customHeight="1" thickBot="1" x14ac:dyDescent="0.35">
      <c r="B165" s="1856"/>
      <c r="C165"/>
      <c r="D165" s="543"/>
      <c r="E165" s="1585"/>
      <c r="F165" s="543"/>
      <c r="G165" s="543"/>
      <c r="V165" s="437"/>
      <c r="W165" s="437"/>
      <c r="X165" s="437"/>
      <c r="Y165" s="437"/>
      <c r="Z165" s="437"/>
      <c r="AA165" s="437"/>
      <c r="AB165" s="1585"/>
      <c r="AC165" s="1585"/>
      <c r="AD165" s="1585"/>
      <c r="AE165" s="1585"/>
      <c r="AF165" s="437"/>
      <c r="AG165" s="437"/>
      <c r="AH165" s="437"/>
      <c r="AI165" s="437"/>
      <c r="AJ165" s="543"/>
      <c r="AK165" s="415"/>
      <c r="AL165" s="851"/>
      <c r="AM165" s="815" t="s">
        <v>194</v>
      </c>
      <c r="AN165" s="815" t="s">
        <v>193</v>
      </c>
      <c r="AO165" s="816" t="s">
        <v>197</v>
      </c>
      <c r="AP165" s="843" t="s">
        <v>191</v>
      </c>
      <c r="AQ165" s="292"/>
      <c r="AR165" s="445"/>
      <c r="AS165" s="445"/>
      <c r="AT165" s="445"/>
      <c r="AU165" s="445"/>
      <c r="AV165" s="445"/>
      <c r="AW165" s="445"/>
      <c r="AX165" s="445"/>
      <c r="AY165" s="1586"/>
      <c r="AZ165" s="1586"/>
      <c r="BA165" s="1586"/>
      <c r="BB165" s="1586"/>
      <c r="BD165" s="545"/>
      <c r="BE165" s="298">
        <v>1</v>
      </c>
      <c r="BF165" s="1657">
        <v>-473</v>
      </c>
      <c r="BG165" s="300">
        <f>+COS(($B$134*-1)*3.14159265358979/180)*BF165</f>
        <v>-473</v>
      </c>
      <c r="BH165" s="301">
        <f t="shared" ref="BH165:BH204" si="38">+BG165-D$3</f>
        <v>-679.15945214330179</v>
      </c>
      <c r="BI165" s="302">
        <f t="shared" ref="BI165:BI204" si="39">ABS(BH165)</f>
        <v>679.15945214330179</v>
      </c>
      <c r="BJ165" s="303">
        <f>MIN(BI165:BI204)</f>
        <v>8.8405478566982367</v>
      </c>
      <c r="BK165" s="302" t="b">
        <f>IF(BJ165=BI165,BE165)</f>
        <v>0</v>
      </c>
      <c r="BL165" s="304">
        <v>1</v>
      </c>
      <c r="BM165" s="214"/>
      <c r="BN165" s="214"/>
      <c r="BO165" s="214"/>
    </row>
    <row r="166" spans="2:142" ht="35.25" customHeight="1" thickBot="1" x14ac:dyDescent="0.35">
      <c r="B166" s="34">
        <v>0</v>
      </c>
      <c r="D166" s="1718" t="s">
        <v>269</v>
      </c>
      <c r="E166" s="1713"/>
      <c r="F166" s="543"/>
      <c r="G166" s="543"/>
      <c r="V166" s="437"/>
      <c r="W166" s="437"/>
      <c r="X166" s="437"/>
      <c r="Y166" s="437"/>
      <c r="Z166" s="437"/>
      <c r="AA166" s="437"/>
      <c r="AB166" s="1585"/>
      <c r="AC166" s="1585"/>
      <c r="AD166" s="1585"/>
      <c r="AE166" s="1585"/>
      <c r="AF166" s="437"/>
      <c r="AG166" s="437"/>
      <c r="AH166" s="437"/>
      <c r="AI166" s="437"/>
      <c r="AJ166" s="543"/>
      <c r="AK166" s="415"/>
      <c r="AL166" s="852"/>
      <c r="AM166" s="822">
        <f>+AI161</f>
        <v>0</v>
      </c>
      <c r="AN166" s="823">
        <f>SIN(AM166*3.14159265358979/180)</f>
        <v>0</v>
      </c>
      <c r="AO166" s="824">
        <f>+AN166*((+B137*358.6)+119+119)</f>
        <v>0</v>
      </c>
      <c r="AP166" s="825">
        <f>+AO163+AO166</f>
        <v>375.99999562235405</v>
      </c>
      <c r="AQ166" s="292"/>
      <c r="AR166" s="445"/>
      <c r="AS166" s="445"/>
      <c r="AT166" s="445"/>
      <c r="AU166" s="445"/>
      <c r="AV166" s="445"/>
      <c r="AW166" s="445"/>
      <c r="AX166" s="445"/>
      <c r="AY166" s="1586"/>
      <c r="AZ166" s="1586"/>
      <c r="BA166" s="1586"/>
      <c r="BB166" s="1586"/>
      <c r="BD166" s="545"/>
      <c r="BE166" s="298">
        <v>2</v>
      </c>
      <c r="BF166" s="1657">
        <f>+BF165+43</f>
        <v>-430</v>
      </c>
      <c r="BG166" s="42">
        <f>+BG165+$E$2</f>
        <v>-430</v>
      </c>
      <c r="BH166" s="301">
        <f t="shared" si="38"/>
        <v>-636.15945214330179</v>
      </c>
      <c r="BI166" s="302">
        <f t="shared" si="39"/>
        <v>636.15945214330179</v>
      </c>
      <c r="BJ166" s="302">
        <f>+BJ165</f>
        <v>8.8405478566982367</v>
      </c>
      <c r="BK166" s="302" t="b">
        <f t="shared" ref="BK166:BK204" si="40">IF(BJ166=BI166,BE166)</f>
        <v>0</v>
      </c>
      <c r="BL166" s="304">
        <v>2</v>
      </c>
      <c r="BM166" s="214"/>
      <c r="BN166" s="214"/>
      <c r="BO166" s="214"/>
    </row>
    <row r="167" spans="2:142" ht="19.5" customHeight="1" thickBot="1" x14ac:dyDescent="0.35">
      <c r="D167" s="543"/>
      <c r="E167" s="543"/>
      <c r="F167" s="543"/>
      <c r="G167" s="543"/>
      <c r="V167" s="437"/>
      <c r="W167" s="437"/>
      <c r="X167" s="437"/>
      <c r="Y167" s="437"/>
      <c r="Z167" s="437"/>
      <c r="AA167" s="437"/>
      <c r="AB167" s="1585"/>
      <c r="AC167" s="1585"/>
      <c r="AD167" s="1585"/>
      <c r="AE167" s="1585"/>
      <c r="AF167" s="437"/>
      <c r="AG167" s="437"/>
      <c r="AH167" s="437"/>
      <c r="AI167" s="437"/>
      <c r="AJ167" s="543"/>
      <c r="AK167" s="415"/>
      <c r="AL167" s="292"/>
      <c r="AM167" s="543"/>
      <c r="AN167" s="415"/>
      <c r="AO167" s="292"/>
      <c r="AP167" s="445"/>
      <c r="AQ167" s="292"/>
      <c r="AR167" s="445"/>
      <c r="AS167" s="445"/>
      <c r="AT167" s="445"/>
      <c r="AU167" s="445"/>
      <c r="AV167" s="445"/>
      <c r="AW167" s="445"/>
      <c r="AX167" s="445"/>
      <c r="AY167" s="1586"/>
      <c r="AZ167" s="1586"/>
      <c r="BA167" s="1586"/>
      <c r="BB167" s="1586"/>
      <c r="BD167" s="545"/>
      <c r="BE167" s="298">
        <v>3</v>
      </c>
      <c r="BF167" s="1657">
        <f t="shared" ref="BF167:BF204" si="41">+BF166+43</f>
        <v>-387</v>
      </c>
      <c r="BG167" s="42">
        <f t="shared" ref="BG167:BG204" si="42">+BG166+$E$2</f>
        <v>-387</v>
      </c>
      <c r="BH167" s="301">
        <f t="shared" si="38"/>
        <v>-593.15945214330179</v>
      </c>
      <c r="BI167" s="302">
        <f t="shared" si="39"/>
        <v>593.15945214330179</v>
      </c>
      <c r="BJ167" s="302">
        <f t="shared" ref="BJ167:BJ204" si="43">+BJ166</f>
        <v>8.8405478566982367</v>
      </c>
      <c r="BK167" s="302" t="b">
        <f t="shared" si="40"/>
        <v>0</v>
      </c>
      <c r="BL167" s="304">
        <v>3</v>
      </c>
      <c r="BM167" s="214"/>
      <c r="BN167" s="214"/>
      <c r="BO167" s="214"/>
    </row>
    <row r="168" spans="2:142" ht="68.25" customHeight="1" thickBot="1" x14ac:dyDescent="0.35">
      <c r="B168" s="345" t="s">
        <v>211</v>
      </c>
      <c r="C168" s="412"/>
      <c r="D168" s="37"/>
      <c r="E168" s="37"/>
      <c r="F168" s="37"/>
      <c r="G168" s="37"/>
      <c r="T168" s="73"/>
      <c r="BD168" s="136"/>
      <c r="BE168" s="298">
        <v>4</v>
      </c>
      <c r="BF168" s="1657">
        <f t="shared" si="41"/>
        <v>-344</v>
      </c>
      <c r="BG168" s="42">
        <f t="shared" si="42"/>
        <v>-344</v>
      </c>
      <c r="BH168" s="301">
        <f t="shared" si="38"/>
        <v>-550.15945214330179</v>
      </c>
      <c r="BI168" s="302">
        <f t="shared" si="39"/>
        <v>550.15945214330179</v>
      </c>
      <c r="BJ168" s="302">
        <f t="shared" si="43"/>
        <v>8.8405478566982367</v>
      </c>
      <c r="BK168" s="302" t="b">
        <f t="shared" si="40"/>
        <v>0</v>
      </c>
      <c r="BL168" s="304">
        <v>4</v>
      </c>
      <c r="BM168" s="214"/>
      <c r="BN168" s="214"/>
      <c r="BO168" s="214"/>
      <c r="EK168" s="78"/>
      <c r="EL168" s="78"/>
    </row>
    <row r="169" spans="2:142" ht="43.5" customHeight="1" thickBot="1" x14ac:dyDescent="0.35">
      <c r="B169" s="27">
        <v>1</v>
      </c>
      <c r="C169" s="216"/>
      <c r="D169" s="556" t="s">
        <v>109</v>
      </c>
      <c r="E169" s="330"/>
      <c r="F169" s="330"/>
      <c r="G169" s="330"/>
      <c r="H169" s="342" t="s">
        <v>87</v>
      </c>
      <c r="I169" s="342" t="s">
        <v>88</v>
      </c>
      <c r="J169" s="342" t="s">
        <v>89</v>
      </c>
      <c r="K169"/>
      <c r="L169"/>
      <c r="M169"/>
      <c r="N169"/>
      <c r="O169"/>
      <c r="P169" s="342" t="s">
        <v>90</v>
      </c>
      <c r="Q169" s="342" t="s">
        <v>91</v>
      </c>
      <c r="R169" s="330"/>
      <c r="S169" s="342" t="s">
        <v>92</v>
      </c>
      <c r="T169" s="1588"/>
      <c r="W169" s="1850" t="s">
        <v>93</v>
      </c>
      <c r="X169" s="1850"/>
      <c r="Y169" s="1850"/>
      <c r="Z169" s="1850"/>
      <c r="AA169" s="1850"/>
      <c r="AQ169" s="1711" t="s">
        <v>340</v>
      </c>
      <c r="AZ169" s="415"/>
      <c r="BA169" s="1848" t="s">
        <v>52</v>
      </c>
      <c r="BB169" s="1849"/>
      <c r="BD169" s="136"/>
      <c r="BE169" s="298">
        <v>5</v>
      </c>
      <c r="BF169" s="1657">
        <f t="shared" si="41"/>
        <v>-301</v>
      </c>
      <c r="BG169" s="42">
        <f t="shared" si="42"/>
        <v>-301</v>
      </c>
      <c r="BH169" s="301">
        <f t="shared" si="38"/>
        <v>-507.15945214330179</v>
      </c>
      <c r="BI169" s="302">
        <f t="shared" si="39"/>
        <v>507.15945214330179</v>
      </c>
      <c r="BJ169" s="302">
        <f t="shared" si="43"/>
        <v>8.8405478566982367</v>
      </c>
      <c r="BK169" s="302" t="b">
        <f t="shared" si="40"/>
        <v>0</v>
      </c>
      <c r="BL169" s="304">
        <v>5</v>
      </c>
      <c r="BM169" s="214"/>
      <c r="BN169" s="214"/>
      <c r="BO169" s="214"/>
      <c r="EK169" s="78"/>
      <c r="EL169" s="78"/>
    </row>
    <row r="170" spans="2:142" ht="60" hidden="1" thickBot="1" x14ac:dyDescent="0.35">
      <c r="C170" s="416"/>
      <c r="D170" s="550" t="s">
        <v>13</v>
      </c>
      <c r="H170" s="356" t="s">
        <v>4</v>
      </c>
      <c r="I170" s="356" t="s">
        <v>1</v>
      </c>
      <c r="J170" s="377" t="s">
        <v>73</v>
      </c>
      <c r="K170" s="316" t="s">
        <v>2</v>
      </c>
      <c r="L170" s="316" t="s">
        <v>3</v>
      </c>
      <c r="M170" s="316" t="s">
        <v>8</v>
      </c>
      <c r="N170" s="316" t="s">
        <v>5</v>
      </c>
      <c r="O170" s="316" t="s">
        <v>6</v>
      </c>
      <c r="P170" s="316" t="s">
        <v>7</v>
      </c>
      <c r="Q170" s="316" t="s">
        <v>9</v>
      </c>
      <c r="R170" s="356" t="s">
        <v>10</v>
      </c>
      <c r="S170" s="316" t="s">
        <v>11</v>
      </c>
      <c r="T170" s="418" t="s">
        <v>12</v>
      </c>
      <c r="W170" s="356" t="s">
        <v>111</v>
      </c>
      <c r="X170" s="316" t="s">
        <v>94</v>
      </c>
      <c r="Y170" s="356" t="s">
        <v>110</v>
      </c>
      <c r="Z170" s="419" t="s">
        <v>95</v>
      </c>
      <c r="AA170" s="419" t="s">
        <v>96</v>
      </c>
      <c r="AC170" s="316" t="s">
        <v>99</v>
      </c>
      <c r="AD170" s="316"/>
      <c r="AE170" s="316"/>
      <c r="AF170" s="420"/>
      <c r="AG170" s="420"/>
      <c r="AH170" s="420"/>
      <c r="AI170" s="420"/>
      <c r="AJ170" s="420"/>
      <c r="AK170" s="420"/>
      <c r="AL170" s="420"/>
      <c r="AM170" s="420"/>
      <c r="AN170" s="420"/>
      <c r="AO170" s="420"/>
      <c r="AP170" s="420" t="s">
        <v>135</v>
      </c>
      <c r="AQ170" s="420"/>
      <c r="AR170" s="420" t="s">
        <v>135</v>
      </c>
      <c r="AS170" s="420"/>
      <c r="AT170" s="420"/>
      <c r="AU170" s="420" t="s">
        <v>135</v>
      </c>
      <c r="AV170" s="420"/>
      <c r="AW170" s="420"/>
      <c r="AX170" s="420"/>
      <c r="AY170" s="415" t="s">
        <v>51</v>
      </c>
      <c r="AZ170" s="415"/>
      <c r="BA170" s="420"/>
      <c r="BB170" s="420"/>
      <c r="BC170" s="231"/>
      <c r="BD170" s="136"/>
      <c r="BE170" s="298">
        <v>6</v>
      </c>
      <c r="BF170" s="1657">
        <f t="shared" si="41"/>
        <v>-258</v>
      </c>
      <c r="BG170" s="42">
        <f t="shared" si="42"/>
        <v>-258</v>
      </c>
      <c r="BH170" s="301">
        <f t="shared" si="38"/>
        <v>-464.15945214330179</v>
      </c>
      <c r="BI170" s="302">
        <f t="shared" si="39"/>
        <v>464.15945214330179</v>
      </c>
      <c r="BJ170" s="302">
        <f t="shared" si="43"/>
        <v>8.8405478566982367</v>
      </c>
      <c r="BK170" s="302" t="b">
        <f t="shared" si="40"/>
        <v>0</v>
      </c>
      <c r="BL170" s="304">
        <v>6</v>
      </c>
      <c r="BM170" s="214"/>
      <c r="BN170" s="214"/>
      <c r="BO170" s="214"/>
      <c r="EK170" s="78"/>
      <c r="EL170" s="78"/>
    </row>
    <row r="171" spans="2:142" ht="40.5" customHeight="1" thickBot="1" x14ac:dyDescent="0.35">
      <c r="B171" s="421"/>
      <c r="C171" s="422"/>
      <c r="D171" s="551" t="s">
        <v>22</v>
      </c>
      <c r="E171" s="37"/>
      <c r="F171" s="330"/>
      <c r="G171" s="240"/>
      <c r="H171" s="356"/>
      <c r="I171" s="356"/>
      <c r="J171" s="377"/>
      <c r="K171" s="316"/>
      <c r="L171" s="316"/>
      <c r="M171" s="316"/>
      <c r="N171" s="316"/>
      <c r="O171" s="316"/>
      <c r="P171" s="316"/>
      <c r="Q171" s="316"/>
      <c r="R171" s="356"/>
      <c r="S171" s="316"/>
      <c r="T171" s="418"/>
      <c r="V171" s="420"/>
      <c r="W171" s="420"/>
      <c r="X171" s="420"/>
      <c r="Y171" s="420"/>
      <c r="Z171" s="420"/>
      <c r="AA171" s="420"/>
      <c r="AB171" s="420"/>
      <c r="AC171" s="423">
        <f>SUM(AC172:AC183)</f>
        <v>334.49993130661176</v>
      </c>
      <c r="AD171" s="424"/>
      <c r="AE171" s="424"/>
      <c r="AF171" s="420" t="s">
        <v>38</v>
      </c>
      <c r="AG171" s="552" t="s">
        <v>101</v>
      </c>
      <c r="AH171" s="425" t="s">
        <v>31</v>
      </c>
      <c r="AI171" s="425"/>
      <c r="AJ171" s="10" t="s">
        <v>108</v>
      </c>
      <c r="AK171" s="426" t="s">
        <v>32</v>
      </c>
      <c r="AL171" s="9" t="s">
        <v>33</v>
      </c>
      <c r="AM171" s="8" t="s">
        <v>107</v>
      </c>
      <c r="AN171" s="427" t="s">
        <v>34</v>
      </c>
      <c r="AO171" s="9" t="s">
        <v>35</v>
      </c>
      <c r="AP171" s="428" t="s">
        <v>48</v>
      </c>
      <c r="AQ171" s="367" t="s">
        <v>154</v>
      </c>
      <c r="AR171" s="428" t="s">
        <v>155</v>
      </c>
      <c r="AS171" s="420" t="s">
        <v>46</v>
      </c>
      <c r="AT171" s="420" t="s">
        <v>72</v>
      </c>
      <c r="AU171" s="428" t="s">
        <v>71</v>
      </c>
      <c r="AV171" s="553"/>
      <c r="AW171" s="1594" t="s">
        <v>41</v>
      </c>
      <c r="AX171" s="1594" t="s">
        <v>42</v>
      </c>
      <c r="AY171" s="430" t="s">
        <v>23</v>
      </c>
      <c r="AZ171" s="430" t="s">
        <v>24</v>
      </c>
      <c r="BA171" s="431" t="s">
        <v>23</v>
      </c>
      <c r="BB171" s="431" t="s">
        <v>24</v>
      </c>
      <c r="BD171" s="136"/>
      <c r="BE171" s="298">
        <v>7</v>
      </c>
      <c r="BF171" s="1657">
        <f t="shared" si="41"/>
        <v>-215</v>
      </c>
      <c r="BG171" s="42">
        <f t="shared" si="42"/>
        <v>-215</v>
      </c>
      <c r="BH171" s="301">
        <f t="shared" si="38"/>
        <v>-421.15945214330179</v>
      </c>
      <c r="BI171" s="302">
        <f t="shared" si="39"/>
        <v>421.15945214330179</v>
      </c>
      <c r="BJ171" s="302">
        <f t="shared" si="43"/>
        <v>8.8405478566982367</v>
      </c>
      <c r="BK171" s="302" t="b">
        <f t="shared" si="40"/>
        <v>0</v>
      </c>
      <c r="BL171" s="304">
        <v>7</v>
      </c>
      <c r="BM171" s="214"/>
      <c r="BN171" s="214"/>
      <c r="BO171" s="214"/>
      <c r="EK171" s="78"/>
      <c r="EL171" s="78"/>
    </row>
    <row r="172" spans="2:142" ht="23" thickBot="1" x14ac:dyDescent="0.35">
      <c r="B172" s="255">
        <v>1</v>
      </c>
      <c r="C172" s="256">
        <f>+B166+AI161+D172</f>
        <v>0</v>
      </c>
      <c r="D172" s="25">
        <v>0</v>
      </c>
      <c r="E172" s="257" t="s">
        <v>80</v>
      </c>
      <c r="F172" s="258"/>
      <c r="G172" s="258"/>
      <c r="H172" s="506">
        <v>414.62658399999998</v>
      </c>
      <c r="I172" s="507">
        <v>36.220413100000002</v>
      </c>
      <c r="J172" s="508">
        <f>+I172-C172</f>
        <v>36.220413100000002</v>
      </c>
      <c r="K172" s="508"/>
      <c r="L172" s="508"/>
      <c r="M172" s="508"/>
      <c r="N172" s="508"/>
      <c r="O172" s="508"/>
      <c r="P172" s="508">
        <f>COS(J172*3.14159265358979/180)</f>
        <v>0.80674984242354264</v>
      </c>
      <c r="Q172" s="508">
        <f>+P172*H172</f>
        <v>334.49993130661176</v>
      </c>
      <c r="R172" s="509">
        <v>334.5</v>
      </c>
      <c r="S172" s="508">
        <f>+Q172</f>
        <v>334.49993130661176</v>
      </c>
      <c r="T172" s="510">
        <f t="shared" ref="T172:T183" si="44">+S172</f>
        <v>334.49993130661176</v>
      </c>
      <c r="U172" s="456"/>
      <c r="V172" s="511">
        <f>IF(B172&lt;($B$169+1),T172,0)</f>
        <v>334.49993130661176</v>
      </c>
      <c r="W172" s="512">
        <v>36.220415500000001</v>
      </c>
      <c r="X172" s="511">
        <f>+W172+AI184</f>
        <v>36.220415500000001</v>
      </c>
      <c r="Y172" s="512">
        <v>414.6266</v>
      </c>
      <c r="Z172" s="419">
        <f>+COS(X172*3.14159265358979/180)*Y172</f>
        <v>334.49993395207258</v>
      </c>
      <c r="AA172" s="513">
        <f>+AC171-Z172</f>
        <v>-2.6454608246240241E-6</v>
      </c>
      <c r="AB172" s="1595"/>
      <c r="AC172" s="514">
        <f>IF(AD172=1,AF172)</f>
        <v>334.49993130661176</v>
      </c>
      <c r="AD172" s="514">
        <f>MAX(AE$172:AE$183)</f>
        <v>1</v>
      </c>
      <c r="AE172" s="514">
        <f>IF(V172=0,0,1)</f>
        <v>1</v>
      </c>
      <c r="AF172" s="511">
        <f>SUM(V172:V183)/($B$169)</f>
        <v>334.49993130661176</v>
      </c>
      <c r="AG172" s="511">
        <f>+AA140+$AF$172</f>
        <v>334.49992246950308</v>
      </c>
      <c r="AH172" s="515">
        <f>+D172+C172</f>
        <v>0</v>
      </c>
      <c r="AI172" s="516">
        <f>IF(B172&lt;($B$169+1),AH172)</f>
        <v>0</v>
      </c>
      <c r="AJ172" s="287">
        <f>53.779595+AI172</f>
        <v>53.779595</v>
      </c>
      <c r="AK172" s="517">
        <f>SIN(AJ172*3.14159265358979/180)</f>
        <v>0.8067499259590819</v>
      </c>
      <c r="AL172" s="289">
        <f>+AK172*414.6266</f>
        <v>334.49997885066585</v>
      </c>
      <c r="AM172" s="287">
        <f>59.2910885-AI172</f>
        <v>59.291088500000001</v>
      </c>
      <c r="AN172" s="518">
        <f>SIN(AM172*3.14159265358979/180)</f>
        <v>0.85977285389573432</v>
      </c>
      <c r="AO172" s="291">
        <f>+AN172*479.7721</f>
        <v>412.49502763654965</v>
      </c>
      <c r="AP172" s="519">
        <f t="shared" ref="AP172:AP183" si="45">+((AF172*AQ172)+($AG$196*$AQ$196)+($AG$232*$AQ$232))/AR172</f>
        <v>215.41230514068684</v>
      </c>
      <c r="AQ172" s="269">
        <f>$C$10*B169</f>
        <v>72</v>
      </c>
      <c r="AR172" s="519">
        <f t="shared" ref="AR172:AR181" si="46">+AQ172+$AQ$196+$AQ$232+31+1.3</f>
        <v>159.10000000000002</v>
      </c>
      <c r="AS172" s="520">
        <f>+AO172+AL172</f>
        <v>746.99500648721551</v>
      </c>
      <c r="AT172" s="521">
        <f>+V172-AL172</f>
        <v>-4.7544054098125343E-5</v>
      </c>
      <c r="AU172" s="522">
        <f>+AP172-AT172</f>
        <v>215.41235268474094</v>
      </c>
      <c r="AV172" s="521"/>
      <c r="AW172" s="523">
        <f>+((AS172-AU172)/AS172)*AR172</f>
        <v>113.22003425122118</v>
      </c>
      <c r="AX172" s="523">
        <f>+(AU172/AS172)*AR172</f>
        <v>45.879965748778858</v>
      </c>
      <c r="AY172" s="1597">
        <f t="shared" ref="AY172:AY183" si="47">2*$C$22/AW172</f>
        <v>102.4553655783308</v>
      </c>
      <c r="AZ172" s="1597">
        <f>2*$D$23/AX172</f>
        <v>252.83366739018862</v>
      </c>
      <c r="BA172" s="542">
        <f>ABS(AY172)</f>
        <v>102.4553655783308</v>
      </c>
      <c r="BB172" s="542">
        <f>ABS(AZ172)</f>
        <v>252.83366739018862</v>
      </c>
      <c r="BC172" s="91"/>
      <c r="BD172" s="136"/>
      <c r="BE172" s="298">
        <v>8</v>
      </c>
      <c r="BF172" s="1657">
        <f t="shared" si="41"/>
        <v>-172</v>
      </c>
      <c r="BG172" s="42">
        <f t="shared" si="42"/>
        <v>-172</v>
      </c>
      <c r="BH172" s="301">
        <f t="shared" si="38"/>
        <v>-378.15945214330179</v>
      </c>
      <c r="BI172" s="302">
        <f t="shared" si="39"/>
        <v>378.15945214330179</v>
      </c>
      <c r="BJ172" s="302">
        <f t="shared" si="43"/>
        <v>8.8405478566982367</v>
      </c>
      <c r="BK172" s="302" t="b">
        <f t="shared" si="40"/>
        <v>0</v>
      </c>
      <c r="BL172" s="304">
        <v>8</v>
      </c>
      <c r="BM172" s="214"/>
      <c r="BN172" s="214"/>
      <c r="BO172" s="214"/>
      <c r="EK172" s="78"/>
      <c r="EL172" s="78"/>
    </row>
    <row r="173" spans="2:142" ht="23" thickBot="1" x14ac:dyDescent="0.35">
      <c r="B173" s="277">
        <v>2</v>
      </c>
      <c r="C173" s="278"/>
      <c r="D173" s="25">
        <v>0</v>
      </c>
      <c r="E173" s="279" t="s">
        <v>80</v>
      </c>
      <c r="F173" s="258"/>
      <c r="G173" s="258"/>
      <c r="H173" s="506">
        <v>479.77208100000001</v>
      </c>
      <c r="I173" s="507">
        <v>61.416098300000002</v>
      </c>
      <c r="J173" s="474">
        <f>+I173+D173</f>
        <v>61.416098300000002</v>
      </c>
      <c r="K173" s="474">
        <f t="shared" ref="K173:K183" si="48">+J173/2</f>
        <v>30.708049150000001</v>
      </c>
      <c r="L173" s="474">
        <f t="shared" ref="L173:L183" si="49">SIN(K173*3.14159265358979/180)</f>
        <v>0.51066370850547771</v>
      </c>
      <c r="M173" s="474">
        <f t="shared" ref="M173:M183" si="50">+L173*H173</f>
        <v>245.00219012085046</v>
      </c>
      <c r="N173" s="474">
        <f t="shared" ref="N173:N183" si="51">+M173*2</f>
        <v>490.00438024170091</v>
      </c>
      <c r="O173" s="474">
        <f>+C172+(D173/2)</f>
        <v>0</v>
      </c>
      <c r="P173" s="474">
        <f t="shared" ref="P173:P183" si="52">SIN(O173*3.14159265358979/180)</f>
        <v>0</v>
      </c>
      <c r="Q173" s="474">
        <f t="shared" ref="Q173:Q183" si="53">+P173*N173</f>
        <v>0</v>
      </c>
      <c r="R173" s="474">
        <f t="shared" ref="R173:R183" si="54">+T172</f>
        <v>334.49993130661176</v>
      </c>
      <c r="S173" s="474">
        <f>+R173+Q173</f>
        <v>334.49993130661176</v>
      </c>
      <c r="T173" s="476">
        <f t="shared" si="44"/>
        <v>334.49993130661176</v>
      </c>
      <c r="V173" s="437">
        <f t="shared" ref="V173:V183" si="55">IF(B173&lt;($B$169+1),T173,0)</f>
        <v>0</v>
      </c>
      <c r="W173" s="437"/>
      <c r="X173" s="437"/>
      <c r="Y173" s="437"/>
      <c r="Z173" s="437"/>
      <c r="AA173" s="437"/>
      <c r="AB173" s="1595"/>
      <c r="AC173" s="514" t="b">
        <f>IF(AD173=2,AF173)</f>
        <v>0</v>
      </c>
      <c r="AD173" s="514">
        <f t="shared" ref="AD173:AD183" si="56">MAX(AE$172:AE$183)</f>
        <v>1</v>
      </c>
      <c r="AE173" s="514">
        <f>IF(V173=0,0,2)</f>
        <v>0</v>
      </c>
      <c r="AF173" s="437" t="e">
        <f>SUM(V173:V183)/($B$169-B172)</f>
        <v>#DIV/0!</v>
      </c>
      <c r="AG173" s="437"/>
      <c r="AH173" s="450">
        <f>SUM(D173)+$C$172</f>
        <v>0</v>
      </c>
      <c r="AI173" s="516" t="b">
        <f t="shared" ref="AI173:AI183" si="57">IF(B173&lt;($B$169+1),AH173)</f>
        <v>0</v>
      </c>
      <c r="AJ173" s="287">
        <f t="shared" ref="AJ173:AJ183" si="58">53.779595+AI173</f>
        <v>53.779595</v>
      </c>
      <c r="AK173" s="441">
        <f>SIN(AJ173*3.14159265358979/180)</f>
        <v>0.8067499259590819</v>
      </c>
      <c r="AL173" s="289">
        <f t="shared" ref="AL173:AL183" si="59">+AK173*414.6266</f>
        <v>334.49997885066585</v>
      </c>
      <c r="AM173" s="287">
        <f t="shared" ref="AM173:AM183" si="60">59.2910885-AI173</f>
        <v>59.291088500000001</v>
      </c>
      <c r="AN173" s="442">
        <f t="shared" ref="AN173:AN183" si="61">SIN(AM173*3.14159265358979/180)</f>
        <v>0.85977285389573432</v>
      </c>
      <c r="AO173" s="291">
        <f t="shared" ref="AO173:AO183" si="62">+AN173*479.7721</f>
        <v>412.49502763654965</v>
      </c>
      <c r="AP173" s="519" t="e">
        <f t="shared" si="45"/>
        <v>#DIV/0!</v>
      </c>
      <c r="AQ173" s="291">
        <f>$C$10*($B$169-B172)</f>
        <v>0</v>
      </c>
      <c r="AR173" s="519">
        <f t="shared" si="46"/>
        <v>87.1</v>
      </c>
      <c r="AS173" s="444">
        <f t="shared" ref="AS173:AS183" si="63">+AO173+AL173</f>
        <v>746.99500648721551</v>
      </c>
      <c r="AT173" s="445">
        <f t="shared" ref="AT173:AT183" si="64">+V173-AL173</f>
        <v>-334.49997885066585</v>
      </c>
      <c r="AU173" s="446" t="e">
        <f t="shared" ref="AU173:AU183" si="65">+AP173-AT173</f>
        <v>#DIV/0!</v>
      </c>
      <c r="AV173" s="445"/>
      <c r="AW173" s="447" t="e">
        <f t="shared" ref="AW173:AW183" si="66">+((AS173-AU173)/AS173)*AR173</f>
        <v>#DIV/0!</v>
      </c>
      <c r="AX173" s="447" t="e">
        <f t="shared" ref="AX173:AX183" si="67">+(AU173/AS173)*AR173</f>
        <v>#DIV/0!</v>
      </c>
      <c r="AY173" s="1597" t="e">
        <f t="shared" si="47"/>
        <v>#DIV/0!</v>
      </c>
      <c r="AZ173" s="1597" t="e">
        <f t="shared" ref="AZ173:AZ183" si="68">2*$D$23/AX173</f>
        <v>#DIV/0!</v>
      </c>
      <c r="BA173" s="542" t="e">
        <f t="shared" ref="BA173:BB183" si="69">ABS(AY173)</f>
        <v>#DIV/0!</v>
      </c>
      <c r="BB173" s="542" t="e">
        <f t="shared" si="69"/>
        <v>#DIV/0!</v>
      </c>
      <c r="BD173" s="136"/>
      <c r="BE173" s="298">
        <v>9</v>
      </c>
      <c r="BF173" s="1657">
        <f t="shared" si="41"/>
        <v>-129</v>
      </c>
      <c r="BG173" s="42">
        <f t="shared" si="42"/>
        <v>-129</v>
      </c>
      <c r="BH173" s="301">
        <f t="shared" si="38"/>
        <v>-335.15945214330179</v>
      </c>
      <c r="BI173" s="302">
        <f t="shared" si="39"/>
        <v>335.15945214330179</v>
      </c>
      <c r="BJ173" s="302">
        <f t="shared" si="43"/>
        <v>8.8405478566982367</v>
      </c>
      <c r="BK173" s="302" t="b">
        <f t="shared" si="40"/>
        <v>0</v>
      </c>
      <c r="BL173" s="304">
        <v>9</v>
      </c>
      <c r="BM173" s="214"/>
      <c r="BN173" s="214"/>
      <c r="BO173" s="214"/>
      <c r="EK173" s="78"/>
      <c r="EL173" s="78"/>
    </row>
    <row r="174" spans="2:142" ht="23" thickBot="1" x14ac:dyDescent="0.35">
      <c r="B174" s="277">
        <v>3</v>
      </c>
      <c r="C174" s="278"/>
      <c r="D174" s="25">
        <v>0</v>
      </c>
      <c r="E174" s="279" t="s">
        <v>80</v>
      </c>
      <c r="F174" s="258"/>
      <c r="G174" s="258"/>
      <c r="H174" s="506">
        <v>479.77208100000001</v>
      </c>
      <c r="I174" s="507">
        <v>61.416098300000002</v>
      </c>
      <c r="J174" s="474">
        <f t="shared" ref="J174:J183" si="70">+I174+D174</f>
        <v>61.416098300000002</v>
      </c>
      <c r="K174" s="474">
        <f t="shared" si="48"/>
        <v>30.708049150000001</v>
      </c>
      <c r="L174" s="474">
        <f t="shared" si="49"/>
        <v>0.51066370850547771</v>
      </c>
      <c r="M174" s="474">
        <f t="shared" si="50"/>
        <v>245.00219012085046</v>
      </c>
      <c r="N174" s="474">
        <f t="shared" si="51"/>
        <v>490.00438024170091</v>
      </c>
      <c r="O174" s="474">
        <f>+C172+D173+(D174/2)</f>
        <v>0</v>
      </c>
      <c r="P174" s="474">
        <f t="shared" si="52"/>
        <v>0</v>
      </c>
      <c r="Q174" s="474">
        <f t="shared" si="53"/>
        <v>0</v>
      </c>
      <c r="R174" s="474">
        <f t="shared" si="54"/>
        <v>334.49993130661176</v>
      </c>
      <c r="S174" s="474">
        <f t="shared" ref="S174:S183" si="71">+S173+Q174</f>
        <v>334.49993130661176</v>
      </c>
      <c r="T174" s="476">
        <f t="shared" si="44"/>
        <v>334.49993130661176</v>
      </c>
      <c r="V174" s="437">
        <f t="shared" si="55"/>
        <v>0</v>
      </c>
      <c r="W174" s="437"/>
      <c r="X174" s="437"/>
      <c r="Y174" s="437"/>
      <c r="Z174" s="437"/>
      <c r="AA174" s="437"/>
      <c r="AB174" s="1595"/>
      <c r="AC174" s="514" t="b">
        <f>IF(AD174=3,AF174)</f>
        <v>0</v>
      </c>
      <c r="AD174" s="514">
        <f t="shared" si="56"/>
        <v>1</v>
      </c>
      <c r="AE174" s="514">
        <f>IF(V174=0,0,3)</f>
        <v>0</v>
      </c>
      <c r="AF174" s="437">
        <f>SUM(V174:V183)/($B$169-B173)</f>
        <v>0</v>
      </c>
      <c r="AG174" s="437"/>
      <c r="AH174" s="450">
        <f>SUM(D173:D174)+$C$172</f>
        <v>0</v>
      </c>
      <c r="AI174" s="516" t="b">
        <f t="shared" si="57"/>
        <v>0</v>
      </c>
      <c r="AJ174" s="287">
        <f t="shared" si="58"/>
        <v>53.779595</v>
      </c>
      <c r="AK174" s="441">
        <f t="shared" ref="AK174:AK183" si="72">SIN(AJ174*3.14159265358979/180)</f>
        <v>0.8067499259590819</v>
      </c>
      <c r="AL174" s="289">
        <f t="shared" si="59"/>
        <v>334.49997885066585</v>
      </c>
      <c r="AM174" s="287">
        <f t="shared" si="60"/>
        <v>59.291088500000001</v>
      </c>
      <c r="AN174" s="442">
        <f t="shared" si="61"/>
        <v>0.85977285389573432</v>
      </c>
      <c r="AO174" s="291">
        <f t="shared" si="62"/>
        <v>412.49502763654965</v>
      </c>
      <c r="AP174" s="519">
        <f t="shared" si="45"/>
        <v>674.70878766935323</v>
      </c>
      <c r="AQ174" s="291">
        <f t="shared" ref="AQ174:AQ181" si="73">$C$10*($B$169-B173)</f>
        <v>-72</v>
      </c>
      <c r="AR174" s="519">
        <f t="shared" si="46"/>
        <v>15.099999999999998</v>
      </c>
      <c r="AS174" s="444">
        <f t="shared" si="63"/>
        <v>746.99500648721551</v>
      </c>
      <c r="AT174" s="445">
        <f t="shared" si="64"/>
        <v>-334.49997885066585</v>
      </c>
      <c r="AU174" s="446">
        <f t="shared" si="65"/>
        <v>1009.208766520019</v>
      </c>
      <c r="AV174" s="445"/>
      <c r="AW174" s="447">
        <f t="shared" si="66"/>
        <v>-5.3004742228663027</v>
      </c>
      <c r="AX174" s="447">
        <f t="shared" si="67"/>
        <v>20.400474222866301</v>
      </c>
      <c r="AY174" s="1597">
        <f t="shared" si="47"/>
        <v>-2188.4834285123916</v>
      </c>
      <c r="AZ174" s="1597">
        <f t="shared" si="68"/>
        <v>568.61423284944499</v>
      </c>
      <c r="BA174" s="542">
        <f t="shared" si="69"/>
        <v>2188.4834285123916</v>
      </c>
      <c r="BB174" s="542">
        <f t="shared" si="69"/>
        <v>568.61423284944499</v>
      </c>
      <c r="BD174" s="136"/>
      <c r="BE174" s="298">
        <v>10</v>
      </c>
      <c r="BF174" s="1657">
        <f t="shared" si="41"/>
        <v>-86</v>
      </c>
      <c r="BG174" s="42">
        <f t="shared" si="42"/>
        <v>-86</v>
      </c>
      <c r="BH174" s="301">
        <f t="shared" si="38"/>
        <v>-292.15945214330179</v>
      </c>
      <c r="BI174" s="302">
        <f t="shared" si="39"/>
        <v>292.15945214330179</v>
      </c>
      <c r="BJ174" s="302">
        <f t="shared" si="43"/>
        <v>8.8405478566982367</v>
      </c>
      <c r="BK174" s="302" t="b">
        <f t="shared" si="40"/>
        <v>0</v>
      </c>
      <c r="BL174" s="304">
        <v>10</v>
      </c>
      <c r="BM174" s="214"/>
      <c r="BN174" s="214"/>
      <c r="BO174" s="214"/>
      <c r="EK174" s="78"/>
      <c r="EL174" s="78"/>
    </row>
    <row r="175" spans="2:142" ht="23" thickBot="1" x14ac:dyDescent="0.35">
      <c r="B175" s="277">
        <v>4</v>
      </c>
      <c r="C175" s="278"/>
      <c r="D175" s="25">
        <v>0</v>
      </c>
      <c r="E175" s="279" t="s">
        <v>80</v>
      </c>
      <c r="F175" s="258"/>
      <c r="G175" s="258"/>
      <c r="H175" s="506">
        <v>479.77208100000001</v>
      </c>
      <c r="I175" s="507">
        <v>61.416098300000002</v>
      </c>
      <c r="J175" s="474">
        <f t="shared" si="70"/>
        <v>61.416098300000002</v>
      </c>
      <c r="K175" s="474">
        <f t="shared" si="48"/>
        <v>30.708049150000001</v>
      </c>
      <c r="L175" s="474">
        <f t="shared" si="49"/>
        <v>0.51066370850547771</v>
      </c>
      <c r="M175" s="474">
        <f t="shared" si="50"/>
        <v>245.00219012085046</v>
      </c>
      <c r="N175" s="474">
        <f t="shared" si="51"/>
        <v>490.00438024170091</v>
      </c>
      <c r="O175" s="474">
        <f>+C172+D173+D174+(D175/2)</f>
        <v>0</v>
      </c>
      <c r="P175" s="474">
        <f t="shared" si="52"/>
        <v>0</v>
      </c>
      <c r="Q175" s="474">
        <f t="shared" si="53"/>
        <v>0</v>
      </c>
      <c r="R175" s="474">
        <f t="shared" si="54"/>
        <v>334.49993130661176</v>
      </c>
      <c r="S175" s="474">
        <f t="shared" si="71"/>
        <v>334.49993130661176</v>
      </c>
      <c r="T175" s="476">
        <f t="shared" si="44"/>
        <v>334.49993130661176</v>
      </c>
      <c r="V175" s="437">
        <f t="shared" si="55"/>
        <v>0</v>
      </c>
      <c r="W175" s="437"/>
      <c r="X175" s="437"/>
      <c r="Y175" s="437"/>
      <c r="Z175" s="437"/>
      <c r="AA175" s="437"/>
      <c r="AB175" s="1595"/>
      <c r="AC175" s="514" t="b">
        <f>IF(AD175=4,AF175)</f>
        <v>0</v>
      </c>
      <c r="AD175" s="514">
        <f t="shared" si="56"/>
        <v>1</v>
      </c>
      <c r="AE175" s="514">
        <f>IF(V175=0,0,4)</f>
        <v>0</v>
      </c>
      <c r="AF175" s="437">
        <f>SUM(V175:V183)/($B$169-B174)</f>
        <v>0</v>
      </c>
      <c r="AG175" s="437"/>
      <c r="AH175" s="450">
        <f>SUM(D173:D175)+$C$172</f>
        <v>0</v>
      </c>
      <c r="AI175" s="516" t="b">
        <f t="shared" si="57"/>
        <v>0</v>
      </c>
      <c r="AJ175" s="287">
        <f t="shared" si="58"/>
        <v>53.779595</v>
      </c>
      <c r="AK175" s="441">
        <f t="shared" si="72"/>
        <v>0.8067499259590819</v>
      </c>
      <c r="AL175" s="289">
        <f t="shared" si="59"/>
        <v>334.49997885066585</v>
      </c>
      <c r="AM175" s="287">
        <f t="shared" si="60"/>
        <v>59.291088500000001</v>
      </c>
      <c r="AN175" s="442">
        <f t="shared" si="61"/>
        <v>0.85977285389573432</v>
      </c>
      <c r="AO175" s="291">
        <f t="shared" si="62"/>
        <v>412.49502763654965</v>
      </c>
      <c r="AP175" s="519">
        <f t="shared" si="45"/>
        <v>-179.05277142016223</v>
      </c>
      <c r="AQ175" s="291">
        <f t="shared" si="73"/>
        <v>-144</v>
      </c>
      <c r="AR175" s="519">
        <f t="shared" si="46"/>
        <v>-56.900000000000006</v>
      </c>
      <c r="AS175" s="444">
        <f t="shared" si="63"/>
        <v>746.99500648721551</v>
      </c>
      <c r="AT175" s="445">
        <f t="shared" si="64"/>
        <v>-334.49997885066585</v>
      </c>
      <c r="AU175" s="446">
        <f t="shared" si="65"/>
        <v>155.44720743050362</v>
      </c>
      <c r="AV175" s="445"/>
      <c r="AW175" s="447">
        <f t="shared" si="66"/>
        <v>-45.059296881528716</v>
      </c>
      <c r="AX175" s="447">
        <f t="shared" si="67"/>
        <v>-11.840703118471295</v>
      </c>
      <c r="AY175" s="1597">
        <f t="shared" si="47"/>
        <v>-257.43854881932748</v>
      </c>
      <c r="AZ175" s="1597">
        <f t="shared" si="68"/>
        <v>-979.6715519287194</v>
      </c>
      <c r="BA175" s="542">
        <f t="shared" si="69"/>
        <v>257.43854881932748</v>
      </c>
      <c r="BB175" s="542">
        <f t="shared" si="69"/>
        <v>979.6715519287194</v>
      </c>
      <c r="BD175" s="136"/>
      <c r="BE175" s="298">
        <v>11</v>
      </c>
      <c r="BF175" s="1657">
        <f t="shared" si="41"/>
        <v>-43</v>
      </c>
      <c r="BG175" s="42">
        <f t="shared" si="42"/>
        <v>-43</v>
      </c>
      <c r="BH175" s="301">
        <f t="shared" si="38"/>
        <v>-249.15945214330176</v>
      </c>
      <c r="BI175" s="302">
        <f t="shared" si="39"/>
        <v>249.15945214330176</v>
      </c>
      <c r="BJ175" s="302">
        <f t="shared" si="43"/>
        <v>8.8405478566982367</v>
      </c>
      <c r="BK175" s="302" t="b">
        <f t="shared" si="40"/>
        <v>0</v>
      </c>
      <c r="BL175" s="304">
        <v>11</v>
      </c>
      <c r="BM175" s="214"/>
      <c r="BN175" s="214"/>
      <c r="BO175" s="214"/>
      <c r="EK175" s="78"/>
      <c r="EL175" s="78"/>
    </row>
    <row r="176" spans="2:142" ht="23" thickBot="1" x14ac:dyDescent="0.35">
      <c r="B176" s="277">
        <v>5</v>
      </c>
      <c r="C176" s="278"/>
      <c r="D176" s="25">
        <v>0</v>
      </c>
      <c r="E176" s="279" t="s">
        <v>80</v>
      </c>
      <c r="F176" s="258"/>
      <c r="G176" s="258"/>
      <c r="H176" s="506">
        <v>479.77208100000001</v>
      </c>
      <c r="I176" s="507">
        <v>61.416098300000002</v>
      </c>
      <c r="J176" s="474">
        <f t="shared" si="70"/>
        <v>61.416098300000002</v>
      </c>
      <c r="K176" s="474">
        <f t="shared" si="48"/>
        <v>30.708049150000001</v>
      </c>
      <c r="L176" s="474">
        <f t="shared" si="49"/>
        <v>0.51066370850547771</v>
      </c>
      <c r="M176" s="474">
        <f t="shared" si="50"/>
        <v>245.00219012085046</v>
      </c>
      <c r="N176" s="474">
        <f t="shared" si="51"/>
        <v>490.00438024170091</v>
      </c>
      <c r="O176" s="474">
        <f>+C172+D173+D174+D175+(D176/2)</f>
        <v>0</v>
      </c>
      <c r="P176" s="474">
        <f t="shared" si="52"/>
        <v>0</v>
      </c>
      <c r="Q176" s="474">
        <f t="shared" si="53"/>
        <v>0</v>
      </c>
      <c r="R176" s="474">
        <f t="shared" si="54"/>
        <v>334.49993130661176</v>
      </c>
      <c r="S176" s="474">
        <f t="shared" si="71"/>
        <v>334.49993130661176</v>
      </c>
      <c r="T176" s="476">
        <f t="shared" si="44"/>
        <v>334.49993130661176</v>
      </c>
      <c r="V176" s="437">
        <f t="shared" si="55"/>
        <v>0</v>
      </c>
      <c r="W176" s="437"/>
      <c r="X176" s="437"/>
      <c r="Y176" s="437"/>
      <c r="Z176" s="437"/>
      <c r="AA176" s="437"/>
      <c r="AB176" s="1595"/>
      <c r="AC176" s="514" t="b">
        <f>IF(AD176=5,AF176)</f>
        <v>0</v>
      </c>
      <c r="AD176" s="514">
        <f t="shared" si="56"/>
        <v>1</v>
      </c>
      <c r="AE176" s="514">
        <f>IF(V176=0,0,5)</f>
        <v>0</v>
      </c>
      <c r="AF176" s="437">
        <f>SUM(V176:V183)/($B$169-B175)</f>
        <v>0</v>
      </c>
      <c r="AG176" s="437"/>
      <c r="AH176" s="450">
        <f>SUM(D173:D176)+$C$172</f>
        <v>0</v>
      </c>
      <c r="AI176" s="516" t="b">
        <f t="shared" si="57"/>
        <v>0</v>
      </c>
      <c r="AJ176" s="287">
        <f t="shared" si="58"/>
        <v>53.779595</v>
      </c>
      <c r="AK176" s="441">
        <f t="shared" si="72"/>
        <v>0.8067499259590819</v>
      </c>
      <c r="AL176" s="289">
        <f t="shared" si="59"/>
        <v>334.49997885066585</v>
      </c>
      <c r="AM176" s="287">
        <f t="shared" si="60"/>
        <v>59.291088500000001</v>
      </c>
      <c r="AN176" s="442">
        <f t="shared" si="61"/>
        <v>0.85977285389573432</v>
      </c>
      <c r="AO176" s="291">
        <f t="shared" si="62"/>
        <v>412.49502763654965</v>
      </c>
      <c r="AP176" s="519">
        <f t="shared" si="45"/>
        <v>-79.038810657930441</v>
      </c>
      <c r="AQ176" s="291">
        <f t="shared" si="73"/>
        <v>-216</v>
      </c>
      <c r="AR176" s="519">
        <f t="shared" si="46"/>
        <v>-128.89999999999998</v>
      </c>
      <c r="AS176" s="444">
        <f t="shared" si="63"/>
        <v>746.99500648721551</v>
      </c>
      <c r="AT176" s="445">
        <f t="shared" si="64"/>
        <v>-334.49997885066585</v>
      </c>
      <c r="AU176" s="446">
        <f t="shared" si="65"/>
        <v>255.46116819273541</v>
      </c>
      <c r="AV176" s="445"/>
      <c r="AW176" s="447">
        <f t="shared" si="66"/>
        <v>-84.81811954019112</v>
      </c>
      <c r="AX176" s="447">
        <f t="shared" si="67"/>
        <v>-44.081880459808872</v>
      </c>
      <c r="AY176" s="1597">
        <f t="shared" si="47"/>
        <v>-136.76323010796452</v>
      </c>
      <c r="AZ176" s="1597">
        <f t="shared" si="68"/>
        <v>-263.14666885810738</v>
      </c>
      <c r="BA176" s="542">
        <f t="shared" si="69"/>
        <v>136.76323010796452</v>
      </c>
      <c r="BB176" s="542">
        <f t="shared" si="69"/>
        <v>263.14666885810738</v>
      </c>
      <c r="BD176" s="136"/>
      <c r="BE176" s="298">
        <v>12</v>
      </c>
      <c r="BF176" s="1657">
        <f t="shared" si="41"/>
        <v>0</v>
      </c>
      <c r="BG176" s="42">
        <f t="shared" si="42"/>
        <v>0</v>
      </c>
      <c r="BH176" s="301">
        <f t="shared" si="38"/>
        <v>-206.15945214330176</v>
      </c>
      <c r="BI176" s="302">
        <f t="shared" si="39"/>
        <v>206.15945214330176</v>
      </c>
      <c r="BJ176" s="302">
        <f t="shared" si="43"/>
        <v>8.8405478566982367</v>
      </c>
      <c r="BK176" s="302" t="b">
        <f t="shared" si="40"/>
        <v>0</v>
      </c>
      <c r="BL176" s="304">
        <v>12</v>
      </c>
      <c r="BM176" s="214"/>
      <c r="BN176" s="214"/>
      <c r="BO176" s="214"/>
      <c r="EK176" s="78"/>
      <c r="EL176" s="78"/>
    </row>
    <row r="177" spans="2:142" ht="23" thickBot="1" x14ac:dyDescent="0.35">
      <c r="B177" s="277">
        <v>6</v>
      </c>
      <c r="C177" s="278"/>
      <c r="D177" s="25">
        <v>0</v>
      </c>
      <c r="E177" s="279" t="s">
        <v>80</v>
      </c>
      <c r="F177" s="258"/>
      <c r="G177" s="258"/>
      <c r="H177" s="506">
        <v>479.77208100000001</v>
      </c>
      <c r="I177" s="507">
        <v>61.416098300000002</v>
      </c>
      <c r="J177" s="474">
        <f t="shared" si="70"/>
        <v>61.416098300000002</v>
      </c>
      <c r="K177" s="474">
        <f t="shared" si="48"/>
        <v>30.708049150000001</v>
      </c>
      <c r="L177" s="474">
        <f t="shared" si="49"/>
        <v>0.51066370850547771</v>
      </c>
      <c r="M177" s="474">
        <f t="shared" si="50"/>
        <v>245.00219012085046</v>
      </c>
      <c r="N177" s="474">
        <f t="shared" si="51"/>
        <v>490.00438024170091</v>
      </c>
      <c r="O177" s="474">
        <f>+C172+D173+D174+D175+D176+(D177/2)</f>
        <v>0</v>
      </c>
      <c r="P177" s="474">
        <f t="shared" si="52"/>
        <v>0</v>
      </c>
      <c r="Q177" s="474">
        <f t="shared" si="53"/>
        <v>0</v>
      </c>
      <c r="R177" s="474">
        <f t="shared" si="54"/>
        <v>334.49993130661176</v>
      </c>
      <c r="S177" s="474">
        <f t="shared" si="71"/>
        <v>334.49993130661176</v>
      </c>
      <c r="T177" s="476">
        <f t="shared" si="44"/>
        <v>334.49993130661176</v>
      </c>
      <c r="V177" s="437">
        <f t="shared" si="55"/>
        <v>0</v>
      </c>
      <c r="W177" s="437"/>
      <c r="X177" s="437"/>
      <c r="Y177" s="437"/>
      <c r="Z177" s="437"/>
      <c r="AA177" s="437"/>
      <c r="AB177" s="1595"/>
      <c r="AC177" s="514" t="b">
        <f>IF(AD177=6,AF177)</f>
        <v>0</v>
      </c>
      <c r="AD177" s="514">
        <f t="shared" si="56"/>
        <v>1</v>
      </c>
      <c r="AE177" s="514">
        <f>IF(V177=0,0,6)</f>
        <v>0</v>
      </c>
      <c r="AF177" s="437">
        <f>SUM(V177:V183)/($B$169-B176)</f>
        <v>0</v>
      </c>
      <c r="AG177" s="437"/>
      <c r="AH177" s="450">
        <f>SUM(D173:D177)+$C$172</f>
        <v>0</v>
      </c>
      <c r="AI177" s="516" t="b">
        <f t="shared" si="57"/>
        <v>0</v>
      </c>
      <c r="AJ177" s="287">
        <f t="shared" si="58"/>
        <v>53.779595</v>
      </c>
      <c r="AK177" s="441">
        <f t="shared" si="72"/>
        <v>0.8067499259590819</v>
      </c>
      <c r="AL177" s="289">
        <f t="shared" si="59"/>
        <v>334.49997885066585</v>
      </c>
      <c r="AM177" s="287">
        <f t="shared" si="60"/>
        <v>59.291088500000001</v>
      </c>
      <c r="AN177" s="442">
        <f t="shared" si="61"/>
        <v>0.85977285389573432</v>
      </c>
      <c r="AO177" s="291">
        <f t="shared" si="62"/>
        <v>412.49502763654965</v>
      </c>
      <c r="AP177" s="519">
        <f t="shared" si="45"/>
        <v>-50.71230808266418</v>
      </c>
      <c r="AQ177" s="291">
        <f t="shared" si="73"/>
        <v>-288</v>
      </c>
      <c r="AR177" s="519">
        <f t="shared" si="46"/>
        <v>-200.89999999999998</v>
      </c>
      <c r="AS177" s="444">
        <f t="shared" si="63"/>
        <v>746.99500648721551</v>
      </c>
      <c r="AT177" s="445">
        <f t="shared" si="64"/>
        <v>-334.49997885066585</v>
      </c>
      <c r="AU177" s="446">
        <f t="shared" si="65"/>
        <v>283.7876707680017</v>
      </c>
      <c r="AV177" s="445"/>
      <c r="AW177" s="447">
        <f t="shared" si="66"/>
        <v>-124.5769421988535</v>
      </c>
      <c r="AX177" s="447">
        <f t="shared" si="67"/>
        <v>-76.323057801146476</v>
      </c>
      <c r="AY177" s="1597">
        <f t="shared" si="47"/>
        <v>-93.115144706985404</v>
      </c>
      <c r="AZ177" s="1597">
        <f t="shared" si="68"/>
        <v>-151.98552487536409</v>
      </c>
      <c r="BA177" s="542">
        <f t="shared" si="69"/>
        <v>93.115144706985404</v>
      </c>
      <c r="BB177" s="542">
        <f t="shared" si="69"/>
        <v>151.98552487536409</v>
      </c>
      <c r="BD177" s="136"/>
      <c r="BE177" s="298">
        <v>13</v>
      </c>
      <c r="BF177" s="1657">
        <f t="shared" si="41"/>
        <v>43</v>
      </c>
      <c r="BG177" s="42">
        <f t="shared" si="42"/>
        <v>43</v>
      </c>
      <c r="BH177" s="301">
        <f t="shared" si="38"/>
        <v>-163.15945214330176</v>
      </c>
      <c r="BI177" s="302">
        <f t="shared" si="39"/>
        <v>163.15945214330176</v>
      </c>
      <c r="BJ177" s="302">
        <f t="shared" si="43"/>
        <v>8.8405478566982367</v>
      </c>
      <c r="BK177" s="302" t="b">
        <f t="shared" si="40"/>
        <v>0</v>
      </c>
      <c r="BL177" s="304">
        <v>13</v>
      </c>
      <c r="BM177" s="214"/>
      <c r="BN177" s="214"/>
      <c r="BO177" s="214"/>
      <c r="EK177" s="78"/>
      <c r="EL177" s="78"/>
    </row>
    <row r="178" spans="2:142" ht="23" thickBot="1" x14ac:dyDescent="0.35">
      <c r="B178" s="277">
        <v>7</v>
      </c>
      <c r="C178" s="278"/>
      <c r="D178" s="25">
        <v>0</v>
      </c>
      <c r="E178" s="279" t="s">
        <v>80</v>
      </c>
      <c r="F178" s="258"/>
      <c r="G178" s="258"/>
      <c r="H178" s="506">
        <v>479.77208100000001</v>
      </c>
      <c r="I178" s="507">
        <v>61.416098300000002</v>
      </c>
      <c r="J178" s="474">
        <f t="shared" si="70"/>
        <v>61.416098300000002</v>
      </c>
      <c r="K178" s="474">
        <f t="shared" si="48"/>
        <v>30.708049150000001</v>
      </c>
      <c r="L178" s="474">
        <f t="shared" si="49"/>
        <v>0.51066370850547771</v>
      </c>
      <c r="M178" s="474">
        <f t="shared" si="50"/>
        <v>245.00219012085046</v>
      </c>
      <c r="N178" s="474">
        <f t="shared" si="51"/>
        <v>490.00438024170091</v>
      </c>
      <c r="O178" s="474">
        <f>+C172+D173+D174+D175+D176+D177+(D178/2)</f>
        <v>0</v>
      </c>
      <c r="P178" s="474">
        <f t="shared" si="52"/>
        <v>0</v>
      </c>
      <c r="Q178" s="474">
        <f t="shared" si="53"/>
        <v>0</v>
      </c>
      <c r="R178" s="474">
        <f t="shared" si="54"/>
        <v>334.49993130661176</v>
      </c>
      <c r="S178" s="474">
        <f t="shared" si="71"/>
        <v>334.49993130661176</v>
      </c>
      <c r="T178" s="476">
        <f t="shared" si="44"/>
        <v>334.49993130661176</v>
      </c>
      <c r="V178" s="437">
        <f t="shared" si="55"/>
        <v>0</v>
      </c>
      <c r="W178" s="437"/>
      <c r="X178" s="437"/>
      <c r="Y178" s="437"/>
      <c r="Z178" s="437"/>
      <c r="AA178" s="437"/>
      <c r="AB178" s="1595"/>
      <c r="AC178" s="514" t="b">
        <f>IF(AD178=7,AF178)</f>
        <v>0</v>
      </c>
      <c r="AD178" s="514">
        <f t="shared" si="56"/>
        <v>1</v>
      </c>
      <c r="AE178" s="514">
        <f>IF(V178=0,0,7)</f>
        <v>0</v>
      </c>
      <c r="AF178" s="437">
        <f>SUM(V178:V183)/($B$169-B177)</f>
        <v>0</v>
      </c>
      <c r="AG178" s="437"/>
      <c r="AH178" s="450">
        <f>SUM(D173:D178)+$C$172</f>
        <v>0</v>
      </c>
      <c r="AI178" s="516" t="b">
        <f t="shared" si="57"/>
        <v>0</v>
      </c>
      <c r="AJ178" s="287">
        <f t="shared" si="58"/>
        <v>53.779595</v>
      </c>
      <c r="AK178" s="441">
        <f t="shared" si="72"/>
        <v>0.8067499259590819</v>
      </c>
      <c r="AL178" s="289">
        <f t="shared" si="59"/>
        <v>334.49997885066585</v>
      </c>
      <c r="AM178" s="287">
        <f t="shared" si="60"/>
        <v>59.291088500000001</v>
      </c>
      <c r="AN178" s="442">
        <f t="shared" si="61"/>
        <v>0.85977285389573432</v>
      </c>
      <c r="AO178" s="291">
        <f t="shared" si="62"/>
        <v>412.49502763654965</v>
      </c>
      <c r="AP178" s="519">
        <f t="shared" si="45"/>
        <v>-37.332732480055817</v>
      </c>
      <c r="AQ178" s="291">
        <f t="shared" si="73"/>
        <v>-360</v>
      </c>
      <c r="AR178" s="519">
        <f t="shared" si="46"/>
        <v>-272.89999999999998</v>
      </c>
      <c r="AS178" s="444">
        <f t="shared" si="63"/>
        <v>746.99500648721551</v>
      </c>
      <c r="AT178" s="445">
        <f t="shared" si="64"/>
        <v>-334.49997885066585</v>
      </c>
      <c r="AU178" s="446">
        <f t="shared" si="65"/>
        <v>297.16724637061003</v>
      </c>
      <c r="AV178" s="445"/>
      <c r="AW178" s="447">
        <f t="shared" si="66"/>
        <v>-164.33576485751593</v>
      </c>
      <c r="AX178" s="447">
        <f t="shared" si="67"/>
        <v>-108.56423514248405</v>
      </c>
      <c r="AY178" s="1597">
        <f t="shared" si="47"/>
        <v>-70.58719086534542</v>
      </c>
      <c r="AZ178" s="1597">
        <f t="shared" si="68"/>
        <v>-106.84918458436792</v>
      </c>
      <c r="BA178" s="542">
        <f t="shared" si="69"/>
        <v>70.58719086534542</v>
      </c>
      <c r="BB178" s="542">
        <f t="shared" si="69"/>
        <v>106.84918458436792</v>
      </c>
      <c r="BD178" s="136"/>
      <c r="BE178" s="298">
        <v>14</v>
      </c>
      <c r="BF178" s="1657">
        <f t="shared" si="41"/>
        <v>86</v>
      </c>
      <c r="BG178" s="42">
        <f t="shared" si="42"/>
        <v>86</v>
      </c>
      <c r="BH178" s="301">
        <f t="shared" si="38"/>
        <v>-120.15945214330176</v>
      </c>
      <c r="BI178" s="302">
        <f t="shared" si="39"/>
        <v>120.15945214330176</v>
      </c>
      <c r="BJ178" s="302">
        <f t="shared" si="43"/>
        <v>8.8405478566982367</v>
      </c>
      <c r="BK178" s="302" t="b">
        <f t="shared" si="40"/>
        <v>0</v>
      </c>
      <c r="BL178" s="304">
        <v>14</v>
      </c>
      <c r="EK178" s="78"/>
      <c r="EL178" s="78"/>
    </row>
    <row r="179" spans="2:142" ht="23" thickBot="1" x14ac:dyDescent="0.35">
      <c r="B179" s="277">
        <v>8</v>
      </c>
      <c r="C179" s="278"/>
      <c r="D179" s="25">
        <v>0</v>
      </c>
      <c r="E179" s="279" t="s">
        <v>80</v>
      </c>
      <c r="F179" s="258"/>
      <c r="G179" s="258"/>
      <c r="H179" s="506">
        <v>479.77208100000001</v>
      </c>
      <c r="I179" s="507">
        <v>61.416098300000002</v>
      </c>
      <c r="J179" s="474">
        <f t="shared" si="70"/>
        <v>61.416098300000002</v>
      </c>
      <c r="K179" s="474">
        <f t="shared" si="48"/>
        <v>30.708049150000001</v>
      </c>
      <c r="L179" s="474">
        <f t="shared" si="49"/>
        <v>0.51066370850547771</v>
      </c>
      <c r="M179" s="474">
        <f t="shared" si="50"/>
        <v>245.00219012085046</v>
      </c>
      <c r="N179" s="474">
        <f t="shared" si="51"/>
        <v>490.00438024170091</v>
      </c>
      <c r="O179" s="474">
        <f>+C172+D173+D174+D175+D176+D177+D178+(D179/2)</f>
        <v>0</v>
      </c>
      <c r="P179" s="474">
        <f t="shared" si="52"/>
        <v>0</v>
      </c>
      <c r="Q179" s="474">
        <f t="shared" si="53"/>
        <v>0</v>
      </c>
      <c r="R179" s="474">
        <f t="shared" si="54"/>
        <v>334.49993130661176</v>
      </c>
      <c r="S179" s="474">
        <f t="shared" si="71"/>
        <v>334.49993130661176</v>
      </c>
      <c r="T179" s="476">
        <f t="shared" si="44"/>
        <v>334.49993130661176</v>
      </c>
      <c r="V179" s="437">
        <f t="shared" si="55"/>
        <v>0</v>
      </c>
      <c r="W179" s="437"/>
      <c r="X179" s="437"/>
      <c r="Y179" s="437"/>
      <c r="Z179" s="437"/>
      <c r="AA179" s="437"/>
      <c r="AB179" s="1595"/>
      <c r="AC179" s="514" t="b">
        <f>IF(AD179=8,AF179)</f>
        <v>0</v>
      </c>
      <c r="AD179" s="514">
        <f t="shared" si="56"/>
        <v>1</v>
      </c>
      <c r="AE179" s="514">
        <f>IF(V179=0,0,8)</f>
        <v>0</v>
      </c>
      <c r="AF179" s="437">
        <f>SUM(V179:V183)/($B$169-B178)</f>
        <v>0</v>
      </c>
      <c r="AG179" s="437"/>
      <c r="AH179" s="450">
        <f>SUM(D173:D179)+$C$172</f>
        <v>0</v>
      </c>
      <c r="AI179" s="516" t="b">
        <f t="shared" si="57"/>
        <v>0</v>
      </c>
      <c r="AJ179" s="287">
        <f t="shared" si="58"/>
        <v>53.779595</v>
      </c>
      <c r="AK179" s="441">
        <f t="shared" si="72"/>
        <v>0.8067499259590819</v>
      </c>
      <c r="AL179" s="289">
        <f t="shared" si="59"/>
        <v>334.49997885066585</v>
      </c>
      <c r="AM179" s="287">
        <f t="shared" si="60"/>
        <v>59.291088500000001</v>
      </c>
      <c r="AN179" s="442">
        <f t="shared" si="61"/>
        <v>0.85977285389573432</v>
      </c>
      <c r="AO179" s="291">
        <f t="shared" si="62"/>
        <v>412.49502763654965</v>
      </c>
      <c r="AP179" s="519">
        <f t="shared" si="45"/>
        <v>-29.539294560183336</v>
      </c>
      <c r="AQ179" s="291">
        <f t="shared" si="73"/>
        <v>-432</v>
      </c>
      <c r="AR179" s="519">
        <f t="shared" si="46"/>
        <v>-344.9</v>
      </c>
      <c r="AS179" s="444">
        <f t="shared" si="63"/>
        <v>746.99500648721551</v>
      </c>
      <c r="AT179" s="445">
        <f t="shared" si="64"/>
        <v>-334.49997885066585</v>
      </c>
      <c r="AU179" s="446">
        <f t="shared" si="65"/>
        <v>304.9606842904825</v>
      </c>
      <c r="AV179" s="445"/>
      <c r="AW179" s="447">
        <f t="shared" si="66"/>
        <v>-204.09458751617834</v>
      </c>
      <c r="AX179" s="447">
        <f t="shared" si="67"/>
        <v>-140.80541248382164</v>
      </c>
      <c r="AY179" s="1597">
        <f t="shared" si="47"/>
        <v>-56.836392092369827</v>
      </c>
      <c r="AZ179" s="1597">
        <f t="shared" si="68"/>
        <v>-82.383196749150713</v>
      </c>
      <c r="BA179" s="542">
        <f t="shared" si="69"/>
        <v>56.836392092369827</v>
      </c>
      <c r="BB179" s="542">
        <f t="shared" si="69"/>
        <v>82.383196749150713</v>
      </c>
      <c r="BD179" s="136"/>
      <c r="BE179" s="298">
        <v>15</v>
      </c>
      <c r="BF179" s="1657">
        <f t="shared" si="41"/>
        <v>129</v>
      </c>
      <c r="BG179" s="42">
        <f t="shared" si="42"/>
        <v>129</v>
      </c>
      <c r="BH179" s="301">
        <f t="shared" si="38"/>
        <v>-77.159452143301763</v>
      </c>
      <c r="BI179" s="302">
        <f t="shared" si="39"/>
        <v>77.159452143301763</v>
      </c>
      <c r="BJ179" s="302">
        <f t="shared" si="43"/>
        <v>8.8405478566982367</v>
      </c>
      <c r="BK179" s="302" t="b">
        <f t="shared" si="40"/>
        <v>0</v>
      </c>
      <c r="BL179" s="304">
        <v>15</v>
      </c>
      <c r="EK179" s="78"/>
      <c r="EL179" s="78"/>
    </row>
    <row r="180" spans="2:142" ht="23" thickBot="1" x14ac:dyDescent="0.35">
      <c r="B180" s="277">
        <v>9</v>
      </c>
      <c r="C180" s="278"/>
      <c r="D180" s="25">
        <v>0</v>
      </c>
      <c r="E180" s="279" t="s">
        <v>80</v>
      </c>
      <c r="F180" s="258"/>
      <c r="G180" s="258"/>
      <c r="H180" s="506">
        <v>479.77208100000001</v>
      </c>
      <c r="I180" s="507">
        <v>61.416098300000002</v>
      </c>
      <c r="J180" s="474">
        <f t="shared" si="70"/>
        <v>61.416098300000002</v>
      </c>
      <c r="K180" s="474">
        <f t="shared" si="48"/>
        <v>30.708049150000001</v>
      </c>
      <c r="L180" s="474">
        <f t="shared" si="49"/>
        <v>0.51066370850547771</v>
      </c>
      <c r="M180" s="474">
        <f t="shared" si="50"/>
        <v>245.00219012085046</v>
      </c>
      <c r="N180" s="474">
        <f t="shared" si="51"/>
        <v>490.00438024170091</v>
      </c>
      <c r="O180" s="474">
        <f>+C172+D173+D174+D175+D176+D177+D178+D179+(D180/2)</f>
        <v>0</v>
      </c>
      <c r="P180" s="474">
        <f t="shared" si="52"/>
        <v>0</v>
      </c>
      <c r="Q180" s="474">
        <f t="shared" si="53"/>
        <v>0</v>
      </c>
      <c r="R180" s="474">
        <f t="shared" si="54"/>
        <v>334.49993130661176</v>
      </c>
      <c r="S180" s="474">
        <f t="shared" si="71"/>
        <v>334.49993130661176</v>
      </c>
      <c r="T180" s="476">
        <f t="shared" si="44"/>
        <v>334.49993130661176</v>
      </c>
      <c r="V180" s="437">
        <f t="shared" si="55"/>
        <v>0</v>
      </c>
      <c r="W180" s="437"/>
      <c r="X180" s="437"/>
      <c r="Y180" s="437"/>
      <c r="Z180" s="437"/>
      <c r="AA180" s="437"/>
      <c r="AB180" s="1595"/>
      <c r="AC180" s="514" t="b">
        <f>IF(AD180=9,AF180)</f>
        <v>0</v>
      </c>
      <c r="AD180" s="514">
        <f t="shared" si="56"/>
        <v>1</v>
      </c>
      <c r="AE180" s="514">
        <f>IF(V180=0,0,9)</f>
        <v>0</v>
      </c>
      <c r="AF180" s="437">
        <f>SUM(V180:V183)/($B$169-B179)</f>
        <v>0</v>
      </c>
      <c r="AG180" s="437"/>
      <c r="AH180" s="450">
        <f>SUM(D173:D180)+$C$172</f>
        <v>0</v>
      </c>
      <c r="AI180" s="516" t="b">
        <f t="shared" si="57"/>
        <v>0</v>
      </c>
      <c r="AJ180" s="287">
        <f t="shared" si="58"/>
        <v>53.779595</v>
      </c>
      <c r="AK180" s="441">
        <f t="shared" si="72"/>
        <v>0.8067499259590819</v>
      </c>
      <c r="AL180" s="289">
        <f t="shared" si="59"/>
        <v>334.49997885066585</v>
      </c>
      <c r="AM180" s="287">
        <f t="shared" si="60"/>
        <v>59.291088500000001</v>
      </c>
      <c r="AN180" s="442">
        <f t="shared" si="61"/>
        <v>0.85977285389573432</v>
      </c>
      <c r="AO180" s="291">
        <f t="shared" si="62"/>
        <v>412.49502763654965</v>
      </c>
      <c r="AP180" s="519">
        <f t="shared" si="45"/>
        <v>-24.437761318798831</v>
      </c>
      <c r="AQ180" s="291">
        <f t="shared" si="73"/>
        <v>-504</v>
      </c>
      <c r="AR180" s="519">
        <f t="shared" si="46"/>
        <v>-416.9</v>
      </c>
      <c r="AS180" s="444">
        <f t="shared" si="63"/>
        <v>746.99500648721551</v>
      </c>
      <c r="AT180" s="445">
        <f t="shared" si="64"/>
        <v>-334.49997885066585</v>
      </c>
      <c r="AU180" s="446">
        <f t="shared" si="65"/>
        <v>310.06221753186702</v>
      </c>
      <c r="AV180" s="445"/>
      <c r="AW180" s="447">
        <f t="shared" si="66"/>
        <v>-243.85341017484072</v>
      </c>
      <c r="AX180" s="447">
        <f t="shared" si="67"/>
        <v>-173.04658982515926</v>
      </c>
      <c r="AY180" s="1597">
        <f t="shared" si="47"/>
        <v>-47.569562351754293</v>
      </c>
      <c r="AZ180" s="1597">
        <f t="shared" si="68"/>
        <v>-67.033970514647351</v>
      </c>
      <c r="BA180" s="542">
        <f t="shared" si="69"/>
        <v>47.569562351754293</v>
      </c>
      <c r="BB180" s="542">
        <f t="shared" si="69"/>
        <v>67.033970514647351</v>
      </c>
      <c r="BD180" s="136"/>
      <c r="BE180" s="298">
        <v>16</v>
      </c>
      <c r="BF180" s="1657">
        <f t="shared" si="41"/>
        <v>172</v>
      </c>
      <c r="BG180" s="42">
        <f t="shared" si="42"/>
        <v>172</v>
      </c>
      <c r="BH180" s="301">
        <f t="shared" si="38"/>
        <v>-34.159452143301763</v>
      </c>
      <c r="BI180" s="302">
        <f t="shared" si="39"/>
        <v>34.159452143301763</v>
      </c>
      <c r="BJ180" s="302">
        <f t="shared" si="43"/>
        <v>8.8405478566982367</v>
      </c>
      <c r="BK180" s="302" t="b">
        <f t="shared" si="40"/>
        <v>0</v>
      </c>
      <c r="BL180" s="304">
        <v>16</v>
      </c>
      <c r="EK180" s="78"/>
      <c r="EL180" s="78"/>
    </row>
    <row r="181" spans="2:142" ht="23" thickBot="1" x14ac:dyDescent="0.35">
      <c r="B181" s="277">
        <v>10</v>
      </c>
      <c r="C181" s="278"/>
      <c r="D181" s="25">
        <v>0</v>
      </c>
      <c r="E181" s="279" t="s">
        <v>80</v>
      </c>
      <c r="F181" s="258"/>
      <c r="G181" s="258"/>
      <c r="H181" s="506">
        <v>479.77208100000001</v>
      </c>
      <c r="I181" s="507">
        <v>61.416098300000002</v>
      </c>
      <c r="J181" s="474">
        <f t="shared" si="70"/>
        <v>61.416098300000002</v>
      </c>
      <c r="K181" s="474">
        <f t="shared" si="48"/>
        <v>30.708049150000001</v>
      </c>
      <c r="L181" s="474">
        <f t="shared" si="49"/>
        <v>0.51066370850547771</v>
      </c>
      <c r="M181" s="474">
        <f>+L181*H181</f>
        <v>245.00219012085046</v>
      </c>
      <c r="N181" s="474">
        <f t="shared" si="51"/>
        <v>490.00438024170091</v>
      </c>
      <c r="O181" s="474">
        <f>+C172+D173+D174+D175+D176+D177+D178+D179+D180+(D181/2)</f>
        <v>0</v>
      </c>
      <c r="P181" s="474">
        <f t="shared" si="52"/>
        <v>0</v>
      </c>
      <c r="Q181" s="474">
        <f t="shared" si="53"/>
        <v>0</v>
      </c>
      <c r="R181" s="474">
        <f t="shared" si="54"/>
        <v>334.49993130661176</v>
      </c>
      <c r="S181" s="474">
        <f t="shared" si="71"/>
        <v>334.49993130661176</v>
      </c>
      <c r="T181" s="476">
        <f t="shared" si="44"/>
        <v>334.49993130661176</v>
      </c>
      <c r="V181" s="437">
        <f t="shared" si="55"/>
        <v>0</v>
      </c>
      <c r="W181" s="437"/>
      <c r="X181" s="437"/>
      <c r="Y181" s="437"/>
      <c r="Z181" s="437"/>
      <c r="AA181" s="437"/>
      <c r="AB181" s="1595"/>
      <c r="AC181" s="514" t="b">
        <f>IF(AD181=10,AF181)</f>
        <v>0</v>
      </c>
      <c r="AD181" s="514">
        <f t="shared" si="56"/>
        <v>1</v>
      </c>
      <c r="AE181" s="514">
        <f>IF(V181=0,0,10)</f>
        <v>0</v>
      </c>
      <c r="AF181" s="437">
        <f>SUM(V181:V183)/($B$169-B180)</f>
        <v>0</v>
      </c>
      <c r="AG181" s="437"/>
      <c r="AH181" s="450">
        <f>SUM(D173:D181)+$C$172</f>
        <v>0</v>
      </c>
      <c r="AI181" s="516" t="b">
        <f t="shared" si="57"/>
        <v>0</v>
      </c>
      <c r="AJ181" s="287">
        <f t="shared" si="58"/>
        <v>53.779595</v>
      </c>
      <c r="AK181" s="441">
        <f t="shared" si="72"/>
        <v>0.8067499259590819</v>
      </c>
      <c r="AL181" s="289">
        <f t="shared" si="59"/>
        <v>334.49997885066585</v>
      </c>
      <c r="AM181" s="287">
        <f t="shared" si="60"/>
        <v>59.291088500000001</v>
      </c>
      <c r="AN181" s="442">
        <f t="shared" si="61"/>
        <v>0.85977285389573432</v>
      </c>
      <c r="AO181" s="291">
        <f t="shared" si="62"/>
        <v>412.49502763654965</v>
      </c>
      <c r="AP181" s="519">
        <f t="shared" si="45"/>
        <v>-20.838827354893088</v>
      </c>
      <c r="AQ181" s="291">
        <f t="shared" si="73"/>
        <v>-576</v>
      </c>
      <c r="AR181" s="519">
        <f t="shared" si="46"/>
        <v>-488.90000000000003</v>
      </c>
      <c r="AS181" s="444">
        <f t="shared" si="63"/>
        <v>746.99500648721551</v>
      </c>
      <c r="AT181" s="445">
        <f t="shared" si="64"/>
        <v>-334.49997885066585</v>
      </c>
      <c r="AU181" s="446">
        <f t="shared" si="65"/>
        <v>313.66115149577274</v>
      </c>
      <c r="AV181" s="445"/>
      <c r="AW181" s="447">
        <f t="shared" si="66"/>
        <v>-283.61223283350313</v>
      </c>
      <c r="AX181" s="447">
        <f t="shared" si="67"/>
        <v>-205.28776716649685</v>
      </c>
      <c r="AY181" s="1597">
        <f t="shared" si="47"/>
        <v>-40.90091560616807</v>
      </c>
      <c r="AZ181" s="1597">
        <f t="shared" si="68"/>
        <v>-56.5060459281625</v>
      </c>
      <c r="BA181" s="542">
        <f t="shared" si="69"/>
        <v>40.90091560616807</v>
      </c>
      <c r="BB181" s="542">
        <f t="shared" si="69"/>
        <v>56.5060459281625</v>
      </c>
      <c r="BD181" s="136"/>
      <c r="BE181" s="298">
        <v>17</v>
      </c>
      <c r="BF181" s="1657">
        <f t="shared" si="41"/>
        <v>215</v>
      </c>
      <c r="BG181" s="42">
        <f t="shared" si="42"/>
        <v>215</v>
      </c>
      <c r="BH181" s="301">
        <f t="shared" si="38"/>
        <v>8.8405478566982367</v>
      </c>
      <c r="BI181" s="302">
        <f t="shared" si="39"/>
        <v>8.8405478566982367</v>
      </c>
      <c r="BJ181" s="302">
        <f t="shared" si="43"/>
        <v>8.8405478566982367</v>
      </c>
      <c r="BK181" s="302">
        <f t="shared" si="40"/>
        <v>17</v>
      </c>
      <c r="BL181" s="304">
        <v>17</v>
      </c>
      <c r="EK181" s="78"/>
      <c r="EL181" s="78"/>
    </row>
    <row r="182" spans="2:142" ht="23" hidden="1" thickBot="1" x14ac:dyDescent="0.35">
      <c r="B182" s="277">
        <v>11</v>
      </c>
      <c r="C182" s="278"/>
      <c r="D182" s="25">
        <v>0</v>
      </c>
      <c r="E182" s="279" t="s">
        <v>80</v>
      </c>
      <c r="F182" s="258"/>
      <c r="G182" s="258"/>
      <c r="H182" s="506">
        <v>479.77208100000001</v>
      </c>
      <c r="I182" s="507">
        <v>61.416098300000002</v>
      </c>
      <c r="J182" s="474">
        <f t="shared" si="70"/>
        <v>61.416098300000002</v>
      </c>
      <c r="K182" s="474">
        <f t="shared" si="48"/>
        <v>30.708049150000001</v>
      </c>
      <c r="L182" s="474">
        <f t="shared" si="49"/>
        <v>0.51066370850547771</v>
      </c>
      <c r="M182" s="474">
        <f t="shared" si="50"/>
        <v>245.00219012085046</v>
      </c>
      <c r="N182" s="474">
        <f t="shared" si="51"/>
        <v>490.00438024170091</v>
      </c>
      <c r="O182" s="474">
        <f>+C172+D173+D174+D175+D176+D177+D178+D179+D180+D181+(D182/2)</f>
        <v>0</v>
      </c>
      <c r="P182" s="474">
        <f t="shared" si="52"/>
        <v>0</v>
      </c>
      <c r="Q182" s="474">
        <f t="shared" si="53"/>
        <v>0</v>
      </c>
      <c r="R182" s="474">
        <f t="shared" si="54"/>
        <v>334.49993130661176</v>
      </c>
      <c r="S182" s="474">
        <f t="shared" si="71"/>
        <v>334.49993130661176</v>
      </c>
      <c r="T182" s="476">
        <f t="shared" si="44"/>
        <v>334.49993130661176</v>
      </c>
      <c r="V182" s="437">
        <f t="shared" si="55"/>
        <v>0</v>
      </c>
      <c r="W182" s="437"/>
      <c r="X182" s="437"/>
      <c r="Y182" s="437"/>
      <c r="Z182" s="437"/>
      <c r="AA182" s="437"/>
      <c r="AB182" s="1595"/>
      <c r="AC182" s="514" t="b">
        <f>IF(AD182=11,AF182)</f>
        <v>0</v>
      </c>
      <c r="AD182" s="514">
        <f t="shared" si="56"/>
        <v>1</v>
      </c>
      <c r="AE182" s="514">
        <f>IF(V182=0,0,11)</f>
        <v>0</v>
      </c>
      <c r="AF182" s="437">
        <f>SUM(V182:V183)/($B$169-B181)</f>
        <v>0</v>
      </c>
      <c r="AG182" s="437"/>
      <c r="AH182" s="450">
        <f>SUM(D173:D182)+$C$172</f>
        <v>0</v>
      </c>
      <c r="AI182" s="516" t="b">
        <f t="shared" si="57"/>
        <v>0</v>
      </c>
      <c r="AJ182" s="287">
        <f t="shared" si="58"/>
        <v>53.779595</v>
      </c>
      <c r="AK182" s="441">
        <f t="shared" si="72"/>
        <v>0.8067499259590819</v>
      </c>
      <c r="AL182" s="289">
        <f t="shared" si="59"/>
        <v>334.49997885066585</v>
      </c>
      <c r="AM182" s="287">
        <f t="shared" si="60"/>
        <v>59.291088500000001</v>
      </c>
      <c r="AN182" s="442">
        <f t="shared" si="61"/>
        <v>0.85977285389573432</v>
      </c>
      <c r="AO182" s="291">
        <f t="shared" si="62"/>
        <v>412.49502763654965</v>
      </c>
      <c r="AP182" s="519">
        <f t="shared" si="45"/>
        <v>-18.121847552129548</v>
      </c>
      <c r="AQ182" s="291">
        <f t="shared" ref="AQ182:AQ183" si="74">72*($B$169-B181)</f>
        <v>-648</v>
      </c>
      <c r="AR182" s="519">
        <f>+AQ182+$AQ$196+$AQ$232+31</f>
        <v>-562.20000000000005</v>
      </c>
      <c r="AS182" s="444">
        <f t="shared" si="63"/>
        <v>746.99500648721551</v>
      </c>
      <c r="AT182" s="445">
        <f t="shared" si="64"/>
        <v>-334.49997885066585</v>
      </c>
      <c r="AU182" s="446">
        <f t="shared" si="65"/>
        <v>316.37813129853629</v>
      </c>
      <c r="AV182" s="445"/>
      <c r="AW182" s="447">
        <f t="shared" si="66"/>
        <v>-324.08892312350258</v>
      </c>
      <c r="AX182" s="447">
        <f t="shared" si="67"/>
        <v>-238.11107687649749</v>
      </c>
      <c r="AY182" s="1597">
        <f t="shared" si="47"/>
        <v>-35.792645697981833</v>
      </c>
      <c r="AZ182" s="1597">
        <f t="shared" si="68"/>
        <v>-48.71675922080955</v>
      </c>
      <c r="BA182" s="542">
        <f t="shared" si="69"/>
        <v>35.792645697981833</v>
      </c>
      <c r="BB182" s="542">
        <f t="shared" si="69"/>
        <v>48.71675922080955</v>
      </c>
      <c r="BD182" s="136"/>
      <c r="BE182" s="298">
        <v>18</v>
      </c>
      <c r="BF182" s="1657">
        <f t="shared" si="41"/>
        <v>258</v>
      </c>
      <c r="BG182" s="42">
        <f t="shared" si="42"/>
        <v>258</v>
      </c>
      <c r="BH182" s="301">
        <f t="shared" si="38"/>
        <v>51.840547856698237</v>
      </c>
      <c r="BI182" s="302">
        <f t="shared" si="39"/>
        <v>51.840547856698237</v>
      </c>
      <c r="BJ182" s="302">
        <f t="shared" si="43"/>
        <v>8.8405478566982367</v>
      </c>
      <c r="BK182" s="302" t="b">
        <f t="shared" si="40"/>
        <v>0</v>
      </c>
      <c r="BL182" s="304">
        <v>18</v>
      </c>
      <c r="EK182" s="78"/>
      <c r="EL182" s="78"/>
    </row>
    <row r="183" spans="2:142" ht="23" hidden="1" thickBot="1" x14ac:dyDescent="0.35">
      <c r="B183" s="277">
        <v>12</v>
      </c>
      <c r="C183" s="278"/>
      <c r="D183" s="25">
        <v>0</v>
      </c>
      <c r="E183" s="279" t="s">
        <v>80</v>
      </c>
      <c r="F183" s="258"/>
      <c r="G183" s="258"/>
      <c r="H183" s="506">
        <v>479.77208100000001</v>
      </c>
      <c r="I183" s="507">
        <v>61.416098300000002</v>
      </c>
      <c r="J183" s="474">
        <f t="shared" si="70"/>
        <v>61.416098300000002</v>
      </c>
      <c r="K183" s="474">
        <f t="shared" si="48"/>
        <v>30.708049150000001</v>
      </c>
      <c r="L183" s="474">
        <f t="shared" si="49"/>
        <v>0.51066370850547771</v>
      </c>
      <c r="M183" s="474">
        <f t="shared" si="50"/>
        <v>245.00219012085046</v>
      </c>
      <c r="N183" s="474">
        <f t="shared" si="51"/>
        <v>490.00438024170091</v>
      </c>
      <c r="O183" s="474">
        <f>+C172+D173+D174+D175+D176+D177+D178+D179+D180+D181+D182+(D183/2)</f>
        <v>0</v>
      </c>
      <c r="P183" s="474">
        <f t="shared" si="52"/>
        <v>0</v>
      </c>
      <c r="Q183" s="474">
        <f t="shared" si="53"/>
        <v>0</v>
      </c>
      <c r="R183" s="474">
        <f t="shared" si="54"/>
        <v>334.49993130661176</v>
      </c>
      <c r="S183" s="474">
        <f t="shared" si="71"/>
        <v>334.49993130661176</v>
      </c>
      <c r="T183" s="476">
        <f t="shared" si="44"/>
        <v>334.49993130661176</v>
      </c>
      <c r="V183" s="437">
        <f t="shared" si="55"/>
        <v>0</v>
      </c>
      <c r="W183" s="437"/>
      <c r="X183" s="437"/>
      <c r="Y183" s="437"/>
      <c r="Z183" s="437"/>
      <c r="AA183" s="437"/>
      <c r="AB183" s="1595"/>
      <c r="AC183" s="514" t="b">
        <f>IF(AD183=12,AF183)</f>
        <v>0</v>
      </c>
      <c r="AD183" s="514">
        <f t="shared" si="56"/>
        <v>1</v>
      </c>
      <c r="AE183" s="514">
        <f>IF(V183=0,0,12)</f>
        <v>0</v>
      </c>
      <c r="AF183" s="437">
        <f>SUM(V183)/($B$169-B182)</f>
        <v>0</v>
      </c>
      <c r="AG183" s="437"/>
      <c r="AH183" s="450">
        <f>SUM(D173:D183)+$C$172</f>
        <v>0</v>
      </c>
      <c r="AI183" s="516" t="b">
        <f t="shared" si="57"/>
        <v>0</v>
      </c>
      <c r="AJ183" s="287">
        <f t="shared" si="58"/>
        <v>53.779595</v>
      </c>
      <c r="AK183" s="441">
        <f t="shared" si="72"/>
        <v>0.8067499259590819</v>
      </c>
      <c r="AL183" s="289">
        <f t="shared" si="59"/>
        <v>334.49997885066585</v>
      </c>
      <c r="AM183" s="287">
        <f t="shared" si="60"/>
        <v>59.291088500000001</v>
      </c>
      <c r="AN183" s="442">
        <f t="shared" si="61"/>
        <v>0.85977285389573432</v>
      </c>
      <c r="AO183" s="291">
        <f t="shared" si="62"/>
        <v>412.49502763654965</v>
      </c>
      <c r="AP183" s="519">
        <f t="shared" si="45"/>
        <v>-16.064494944508407</v>
      </c>
      <c r="AQ183" s="291">
        <f t="shared" si="74"/>
        <v>-720</v>
      </c>
      <c r="AR183" s="519">
        <f>+AQ183+$AQ$196+$AQ$232+31</f>
        <v>-634.20000000000005</v>
      </c>
      <c r="AS183" s="444">
        <f t="shared" si="63"/>
        <v>746.99500648721551</v>
      </c>
      <c r="AT183" s="445">
        <f t="shared" si="64"/>
        <v>-334.49997885066585</v>
      </c>
      <c r="AU183" s="446">
        <f t="shared" si="65"/>
        <v>318.43548390615746</v>
      </c>
      <c r="AV183" s="445"/>
      <c r="AW183" s="447">
        <f t="shared" si="66"/>
        <v>-363.84774578216496</v>
      </c>
      <c r="AX183" s="447">
        <f t="shared" si="67"/>
        <v>-270.35225421783514</v>
      </c>
      <c r="AY183" s="1597">
        <f t="shared" si="47"/>
        <v>-31.881467274349696</v>
      </c>
      <c r="AZ183" s="1597">
        <f t="shared" si="68"/>
        <v>-42.906984569299546</v>
      </c>
      <c r="BA183" s="542">
        <f t="shared" si="69"/>
        <v>31.881467274349696</v>
      </c>
      <c r="BB183" s="542">
        <f t="shared" si="69"/>
        <v>42.906984569299546</v>
      </c>
      <c r="BD183" s="136"/>
      <c r="BE183" s="298">
        <v>19</v>
      </c>
      <c r="BF183" s="1657">
        <f t="shared" si="41"/>
        <v>301</v>
      </c>
      <c r="BG183" s="42">
        <f t="shared" si="42"/>
        <v>301</v>
      </c>
      <c r="BH183" s="301">
        <f t="shared" si="38"/>
        <v>94.840547856698237</v>
      </c>
      <c r="BI183" s="302">
        <f t="shared" si="39"/>
        <v>94.840547856698237</v>
      </c>
      <c r="BJ183" s="302">
        <f t="shared" si="43"/>
        <v>8.8405478566982367</v>
      </c>
      <c r="BK183" s="302" t="b">
        <f t="shared" si="40"/>
        <v>0</v>
      </c>
      <c r="BL183" s="304">
        <v>19</v>
      </c>
      <c r="EK183" s="78"/>
      <c r="EL183" s="78"/>
    </row>
    <row r="184" spans="2:142" ht="24" hidden="1" thickBot="1" x14ac:dyDescent="0.35">
      <c r="U184" s="276"/>
      <c r="AH184" s="554" t="s">
        <v>79</v>
      </c>
      <c r="AI184" s="555">
        <f>MAX(AI172:AI183)</f>
        <v>0</v>
      </c>
      <c r="BD184" s="136"/>
      <c r="BE184" s="298">
        <v>20</v>
      </c>
      <c r="BF184" s="1657">
        <f t="shared" si="41"/>
        <v>344</v>
      </c>
      <c r="BG184" s="42">
        <f t="shared" si="42"/>
        <v>344</v>
      </c>
      <c r="BH184" s="301">
        <f t="shared" si="38"/>
        <v>137.84054785669824</v>
      </c>
      <c r="BI184" s="302">
        <f t="shared" si="39"/>
        <v>137.84054785669824</v>
      </c>
      <c r="BJ184" s="302">
        <f t="shared" si="43"/>
        <v>8.8405478566982367</v>
      </c>
      <c r="BK184" s="302" t="b">
        <f t="shared" si="40"/>
        <v>0</v>
      </c>
      <c r="BL184" s="304">
        <v>20</v>
      </c>
      <c r="EK184" s="78"/>
      <c r="EL184" s="78"/>
    </row>
    <row r="185" spans="2:142" ht="27" hidden="1" thickBot="1" x14ac:dyDescent="0.35">
      <c r="B185" s="350"/>
      <c r="U185" s="276"/>
      <c r="AL185" s="845" t="s">
        <v>201</v>
      </c>
      <c r="AM185" s="846"/>
      <c r="AN185" s="846"/>
      <c r="AO185" s="846"/>
      <c r="AP185" s="847"/>
      <c r="BE185" s="298">
        <v>21</v>
      </c>
      <c r="BF185" s="1657">
        <f t="shared" si="41"/>
        <v>387</v>
      </c>
      <c r="BG185" s="42">
        <f t="shared" si="42"/>
        <v>387</v>
      </c>
      <c r="BH185" s="301">
        <f t="shared" si="38"/>
        <v>180.84054785669824</v>
      </c>
      <c r="BI185" s="302">
        <f t="shared" si="39"/>
        <v>180.84054785669824</v>
      </c>
      <c r="BJ185" s="302">
        <f t="shared" si="43"/>
        <v>8.8405478566982367</v>
      </c>
      <c r="BK185" s="302" t="b">
        <f t="shared" si="40"/>
        <v>0</v>
      </c>
      <c r="BL185" s="304">
        <v>21</v>
      </c>
    </row>
    <row r="186" spans="2:142" ht="122" hidden="1" thickBot="1" x14ac:dyDescent="0.35">
      <c r="B186" s="350"/>
      <c r="AB186" s="415"/>
      <c r="AC186" s="415"/>
      <c r="AD186" s="415"/>
      <c r="AE186" s="415"/>
      <c r="AH186" s="546" t="s">
        <v>79</v>
      </c>
      <c r="AI186" s="547">
        <f>MAX(AI172:AI184)</f>
        <v>0</v>
      </c>
      <c r="AL186" s="814" t="s">
        <v>175</v>
      </c>
      <c r="AM186" s="815" t="s">
        <v>176</v>
      </c>
      <c r="AN186" s="815" t="s">
        <v>177</v>
      </c>
      <c r="AO186" s="816" t="s">
        <v>181</v>
      </c>
      <c r="AP186" s="817"/>
      <c r="BE186" s="298">
        <v>22</v>
      </c>
      <c r="BF186" s="1657">
        <f t="shared" si="41"/>
        <v>430</v>
      </c>
      <c r="BG186" s="42">
        <f t="shared" si="42"/>
        <v>430</v>
      </c>
      <c r="BH186" s="301">
        <f t="shared" si="38"/>
        <v>223.84054785669824</v>
      </c>
      <c r="BI186" s="302">
        <f t="shared" si="39"/>
        <v>223.84054785669824</v>
      </c>
      <c r="BJ186" s="302">
        <f t="shared" si="43"/>
        <v>8.8405478566982367</v>
      </c>
      <c r="BK186" s="302" t="b">
        <f t="shared" si="40"/>
        <v>0</v>
      </c>
      <c r="BL186" s="304">
        <v>22</v>
      </c>
    </row>
    <row r="187" spans="2:142" ht="25" hidden="1" thickBot="1" x14ac:dyDescent="0.35">
      <c r="B187" s="350"/>
      <c r="AB187" s="415"/>
      <c r="AC187" s="415"/>
      <c r="AD187" s="415"/>
      <c r="AE187" s="415"/>
      <c r="AH187" s="853"/>
      <c r="AI187" s="854"/>
      <c r="AL187" s="818">
        <v>6.8623010000000004</v>
      </c>
      <c r="AM187" s="819">
        <f>+(AI186*-1)-AL187</f>
        <v>-6.8623010000000004</v>
      </c>
      <c r="AN187" s="820">
        <f>COS(AM187*3.14159265358979/180)</f>
        <v>0.99283617366519983</v>
      </c>
      <c r="AO187" s="848">
        <f>+AN187*378.71303</f>
        <v>375.99999562235405</v>
      </c>
      <c r="AP187" s="821"/>
      <c r="BE187" s="298"/>
      <c r="BF187" s="1657"/>
      <c r="BG187" s="42"/>
      <c r="BH187" s="301"/>
      <c r="BI187" s="302"/>
      <c r="BJ187" s="302"/>
      <c r="BK187" s="302"/>
      <c r="BL187" s="304"/>
    </row>
    <row r="188" spans="2:142" ht="27" hidden="1" thickBot="1" x14ac:dyDescent="0.35">
      <c r="B188" s="350"/>
      <c r="AB188" s="415"/>
      <c r="AC188" s="415"/>
      <c r="AD188" s="415"/>
      <c r="AE188" s="415"/>
      <c r="AH188" s="853"/>
      <c r="AI188" s="854"/>
      <c r="AL188" s="844" t="s">
        <v>202</v>
      </c>
      <c r="AM188" s="849"/>
      <c r="AN188" s="849"/>
      <c r="AO188" s="849"/>
      <c r="AP188" s="850"/>
      <c r="BE188" s="298"/>
      <c r="BF188" s="1657"/>
      <c r="BG188" s="42"/>
      <c r="BH188" s="301"/>
      <c r="BI188" s="302"/>
      <c r="BJ188" s="302"/>
      <c r="BK188" s="302"/>
      <c r="BL188" s="304"/>
    </row>
    <row r="189" spans="2:142" ht="337" hidden="1" x14ac:dyDescent="0.3">
      <c r="B189" s="350"/>
      <c r="AB189" s="415"/>
      <c r="AC189" s="415"/>
      <c r="AD189" s="415"/>
      <c r="AE189" s="415"/>
      <c r="AH189" s="853"/>
      <c r="AI189" s="854"/>
      <c r="AL189" s="851"/>
      <c r="AM189" s="815" t="s">
        <v>194</v>
      </c>
      <c r="AN189" s="815" t="s">
        <v>193</v>
      </c>
      <c r="AO189" s="816" t="s">
        <v>203</v>
      </c>
      <c r="AP189" s="843" t="s">
        <v>191</v>
      </c>
      <c r="BE189" s="298"/>
      <c r="BF189" s="1657"/>
      <c r="BG189" s="42"/>
      <c r="BH189" s="301"/>
      <c r="BI189" s="302"/>
      <c r="BJ189" s="302"/>
      <c r="BK189" s="302"/>
      <c r="BL189" s="304"/>
    </row>
    <row r="190" spans="2:142" ht="25" hidden="1" thickBot="1" x14ac:dyDescent="0.35">
      <c r="V190" s="73"/>
      <c r="W190" s="73"/>
      <c r="X190" s="73"/>
      <c r="Y190" s="73"/>
      <c r="Z190" s="73"/>
      <c r="AA190" s="73"/>
      <c r="AB190" s="73"/>
      <c r="AC190" s="73"/>
      <c r="AD190" s="73"/>
      <c r="AE190" s="73"/>
      <c r="AF190" s="73"/>
      <c r="AG190" s="73"/>
      <c r="AH190" s="73"/>
      <c r="AI190" s="73"/>
      <c r="AJ190" s="73"/>
      <c r="AK190" s="73"/>
      <c r="AL190" s="852"/>
      <c r="AM190" s="822">
        <f>+AI186</f>
        <v>0</v>
      </c>
      <c r="AN190" s="823">
        <f>SIN(AM190*3.14159265358979/180)</f>
        <v>0</v>
      </c>
      <c r="AO190" s="824">
        <f>+AN190*((+B137*358.6)+(B169*491.5)+119+119+119)</f>
        <v>0</v>
      </c>
      <c r="AP190" s="825">
        <f>+AO187+AO190</f>
        <v>375.99999562235405</v>
      </c>
      <c r="AQ190" s="73"/>
      <c r="AR190" s="73"/>
      <c r="AS190" s="73"/>
      <c r="AT190" s="73">
        <f>+AS172-AP172</f>
        <v>531.58270134652867</v>
      </c>
      <c r="AU190" s="73"/>
      <c r="AV190" s="73"/>
      <c r="AW190" s="73"/>
      <c r="AX190" s="73"/>
      <c r="AY190" s="73"/>
      <c r="AZ190" s="73"/>
      <c r="BA190" s="73"/>
      <c r="BB190" s="73"/>
      <c r="BC190" s="126"/>
      <c r="BE190" s="298">
        <v>23</v>
      </c>
      <c r="BF190" s="1657">
        <f>+BF186+43</f>
        <v>473</v>
      </c>
      <c r="BG190" s="42">
        <f>+BG186+$E$2</f>
        <v>473</v>
      </c>
      <c r="BH190" s="301">
        <f t="shared" si="38"/>
        <v>266.84054785669821</v>
      </c>
      <c r="BI190" s="302">
        <f t="shared" si="39"/>
        <v>266.84054785669821</v>
      </c>
      <c r="BJ190" s="302">
        <f>+BJ186</f>
        <v>8.8405478566982367</v>
      </c>
      <c r="BK190" s="302" t="b">
        <f t="shared" si="40"/>
        <v>0</v>
      </c>
      <c r="BL190" s="304">
        <v>23</v>
      </c>
    </row>
    <row r="191" spans="2:142" ht="21" thickBot="1" x14ac:dyDescent="0.35">
      <c r="V191" s="73"/>
      <c r="W191" s="73"/>
      <c r="X191" s="73"/>
      <c r="Y191" s="73"/>
      <c r="Z191" s="73"/>
      <c r="AA191" s="73"/>
      <c r="AB191" s="73"/>
      <c r="AC191" s="73"/>
      <c r="AD191" s="73"/>
      <c r="AE191" s="73"/>
      <c r="AF191" s="73"/>
      <c r="AG191" s="73"/>
      <c r="AH191" s="73"/>
      <c r="AI191" s="73"/>
      <c r="AJ191" s="73"/>
      <c r="AK191" s="73"/>
      <c r="AL191" s="73"/>
      <c r="AM191" s="73"/>
      <c r="AN191" s="73"/>
      <c r="AO191" s="73"/>
      <c r="AP191" s="73"/>
      <c r="AQ191" s="73"/>
      <c r="AR191" s="73"/>
      <c r="AS191" s="73"/>
      <c r="AT191" s="73"/>
      <c r="AU191" s="73"/>
      <c r="AV191" s="73"/>
      <c r="AW191" s="73"/>
      <c r="AX191" s="73"/>
      <c r="AY191" s="73"/>
      <c r="AZ191" s="73"/>
      <c r="BA191" s="73"/>
      <c r="BB191" s="73"/>
      <c r="BC191" s="126"/>
      <c r="BE191" s="298">
        <v>24</v>
      </c>
      <c r="BF191" s="1657">
        <f t="shared" si="41"/>
        <v>516</v>
      </c>
      <c r="BG191" s="42">
        <f t="shared" si="42"/>
        <v>516</v>
      </c>
      <c r="BH191" s="301">
        <f t="shared" si="38"/>
        <v>309.84054785669821</v>
      </c>
      <c r="BI191" s="302">
        <f t="shared" si="39"/>
        <v>309.84054785669821</v>
      </c>
      <c r="BJ191" s="302">
        <f t="shared" si="43"/>
        <v>8.8405478566982367</v>
      </c>
      <c r="BK191" s="302" t="b">
        <f t="shared" si="40"/>
        <v>0</v>
      </c>
      <c r="BL191" s="304">
        <v>24</v>
      </c>
    </row>
    <row r="192" spans="2:142" ht="49.5" customHeight="1" thickBot="1" x14ac:dyDescent="0.35">
      <c r="B192" s="345" t="s">
        <v>288</v>
      </c>
      <c r="C192" s="454"/>
      <c r="D192" s="455"/>
      <c r="E192" s="37"/>
      <c r="F192" s="37"/>
      <c r="G192" s="37"/>
      <c r="H192" s="456"/>
      <c r="I192" s="456"/>
      <c r="J192" s="456"/>
      <c r="K192" s="456"/>
      <c r="L192" s="456"/>
      <c r="M192" s="456"/>
      <c r="N192" s="456"/>
      <c r="O192" s="456"/>
      <c r="P192" s="456"/>
      <c r="Q192" s="456"/>
      <c r="R192" s="456"/>
      <c r="S192" s="457" t="s">
        <v>289</v>
      </c>
      <c r="T192" s="457">
        <f>SUM(V196:V215)/B193</f>
        <v>213.34350003963542</v>
      </c>
      <c r="U192" s="212"/>
      <c r="V192" s="73"/>
      <c r="W192" s="73"/>
      <c r="X192" s="73"/>
      <c r="Y192" s="73"/>
      <c r="Z192" s="73"/>
      <c r="AA192" s="73"/>
      <c r="AB192" s="73"/>
      <c r="AC192" s="73"/>
      <c r="AD192" s="73"/>
      <c r="AE192" s="73"/>
      <c r="AF192" s="73"/>
      <c r="AG192" s="73"/>
      <c r="AH192" s="73"/>
      <c r="AI192" s="73"/>
      <c r="AJ192" s="73"/>
      <c r="AK192" s="73"/>
      <c r="AL192" s="73"/>
      <c r="AM192" s="73"/>
      <c r="AN192" s="73"/>
      <c r="AO192" s="73"/>
      <c r="AP192" s="73"/>
      <c r="AQ192" s="73"/>
      <c r="AR192" s="73"/>
      <c r="AS192" s="73"/>
      <c r="AT192" s="73"/>
      <c r="AU192" s="73"/>
      <c r="AV192" s="73"/>
      <c r="AW192" s="73"/>
      <c r="AX192" s="73"/>
      <c r="AY192" s="73"/>
      <c r="AZ192" s="73"/>
      <c r="BA192" s="73"/>
      <c r="BB192" s="73"/>
      <c r="BC192" s="126"/>
      <c r="BE192" s="298">
        <v>25</v>
      </c>
      <c r="BF192" s="1657">
        <f t="shared" si="41"/>
        <v>559</v>
      </c>
      <c r="BG192" s="42">
        <f t="shared" si="42"/>
        <v>559</v>
      </c>
      <c r="BH192" s="301">
        <f t="shared" si="38"/>
        <v>352.84054785669821</v>
      </c>
      <c r="BI192" s="302">
        <f t="shared" si="39"/>
        <v>352.84054785669821</v>
      </c>
      <c r="BJ192" s="302">
        <f t="shared" si="43"/>
        <v>8.8405478566982367</v>
      </c>
      <c r="BK192" s="302" t="b">
        <f t="shared" si="40"/>
        <v>0</v>
      </c>
      <c r="BL192" s="304">
        <v>25</v>
      </c>
    </row>
    <row r="193" spans="1:109" ht="43.5" customHeight="1" thickBot="1" x14ac:dyDescent="0.35">
      <c r="B193" s="27">
        <v>1</v>
      </c>
      <c r="C193" s="216"/>
      <c r="D193" s="556" t="s">
        <v>290</v>
      </c>
      <c r="E193" s="330"/>
      <c r="F193" s="330"/>
      <c r="G193" s="330"/>
      <c r="H193" s="1676" t="s">
        <v>291</v>
      </c>
      <c r="I193" s="1676" t="s">
        <v>292</v>
      </c>
      <c r="J193" s="1623"/>
      <c r="K193" s="1623"/>
      <c r="L193" s="1623"/>
      <c r="M193" s="1623"/>
      <c r="N193" s="1623"/>
      <c r="O193" s="1623"/>
      <c r="P193" s="1623"/>
      <c r="Q193" s="1623"/>
      <c r="R193" s="1623"/>
      <c r="S193" s="1624"/>
      <c r="T193" s="1625"/>
      <c r="U193" s="401"/>
      <c r="V193" s="1585"/>
      <c r="W193" s="1850" t="s">
        <v>93</v>
      </c>
      <c r="X193" s="1850"/>
      <c r="Y193" s="1850"/>
      <c r="Z193" s="1850"/>
      <c r="AA193" s="1850"/>
      <c r="AB193" s="1585"/>
      <c r="AC193" s="1714" t="s">
        <v>345</v>
      </c>
      <c r="AD193" s="1585"/>
      <c r="AE193" s="1585"/>
      <c r="AF193" s="1585"/>
      <c r="AG193" s="1585"/>
      <c r="AH193" s="1585"/>
      <c r="AI193" s="1585"/>
      <c r="AJ193" s="1585"/>
      <c r="AK193" s="1585"/>
      <c r="AL193" s="1585"/>
      <c r="AM193" s="1585"/>
      <c r="AN193" s="1585"/>
      <c r="AO193" s="1585"/>
      <c r="AP193" s="1585"/>
      <c r="AQ193" s="1711" t="s">
        <v>299</v>
      </c>
      <c r="AR193" s="1585"/>
      <c r="AS193" s="1585"/>
      <c r="AT193" s="1585"/>
      <c r="AU193" s="1585"/>
      <c r="AV193" s="1585"/>
      <c r="AW193" s="1585"/>
      <c r="AX193" s="1585"/>
      <c r="AY193" s="1585"/>
      <c r="AZ193" s="1585"/>
      <c r="BA193" s="1848" t="s">
        <v>52</v>
      </c>
      <c r="BB193" s="1849"/>
      <c r="BC193" s="218"/>
      <c r="BE193" s="298">
        <v>26</v>
      </c>
      <c r="BF193" s="1657">
        <f t="shared" si="41"/>
        <v>602</v>
      </c>
      <c r="BG193" s="42">
        <f t="shared" si="42"/>
        <v>602</v>
      </c>
      <c r="BH193" s="301">
        <f t="shared" si="38"/>
        <v>395.84054785669821</v>
      </c>
      <c r="BI193" s="302">
        <f t="shared" si="39"/>
        <v>395.84054785669821</v>
      </c>
      <c r="BJ193" s="302">
        <f t="shared" si="43"/>
        <v>8.8405478566982367</v>
      </c>
      <c r="BK193" s="302" t="b">
        <f t="shared" si="40"/>
        <v>0</v>
      </c>
      <c r="BL193" s="304">
        <v>26</v>
      </c>
      <c r="BP193" s="305"/>
      <c r="BQ193" s="305"/>
      <c r="BR193" s="305"/>
      <c r="BS193" s="305"/>
      <c r="BT193" s="305"/>
      <c r="BU193" s="305"/>
      <c r="BV193" s="1818"/>
      <c r="BW193" s="1818"/>
      <c r="BX193" s="1818"/>
      <c r="BY193" s="126"/>
    </row>
    <row r="194" spans="1:109" ht="88" hidden="1" thickBot="1" x14ac:dyDescent="0.35">
      <c r="C194" s="416"/>
      <c r="D194" s="354" t="s">
        <v>13</v>
      </c>
      <c r="H194" s="1626" t="s">
        <v>4</v>
      </c>
      <c r="I194" s="1627" t="s">
        <v>1</v>
      </c>
      <c r="J194" s="456" t="s">
        <v>0</v>
      </c>
      <c r="K194" s="456" t="s">
        <v>2</v>
      </c>
      <c r="L194" s="456" t="s">
        <v>3</v>
      </c>
      <c r="M194" s="456" t="s">
        <v>8</v>
      </c>
      <c r="N194" s="456" t="s">
        <v>5</v>
      </c>
      <c r="O194" s="456" t="s">
        <v>6</v>
      </c>
      <c r="P194" s="456" t="s">
        <v>7</v>
      </c>
      <c r="Q194" s="456" t="s">
        <v>9</v>
      </c>
      <c r="R194" s="1628" t="s">
        <v>10</v>
      </c>
      <c r="S194" s="456" t="s">
        <v>11</v>
      </c>
      <c r="T194" s="467" t="s">
        <v>12</v>
      </c>
      <c r="V194" s="420"/>
      <c r="W194" s="1629" t="s">
        <v>293</v>
      </c>
      <c r="X194" s="316" t="s">
        <v>94</v>
      </c>
      <c r="Y194" s="1629" t="s">
        <v>294</v>
      </c>
      <c r="Z194" s="419" t="s">
        <v>100</v>
      </c>
      <c r="AA194" s="419" t="s">
        <v>96</v>
      </c>
      <c r="AB194" s="420"/>
      <c r="AC194" s="316" t="s">
        <v>99</v>
      </c>
      <c r="AD194" s="420"/>
      <c r="AE194" s="420"/>
      <c r="AF194" s="420"/>
      <c r="AG194" s="420"/>
      <c r="AH194" s="420"/>
      <c r="AI194" s="420"/>
      <c r="AJ194" s="1589" t="s">
        <v>295</v>
      </c>
      <c r="AK194" s="420"/>
      <c r="AL194" s="1589" t="s">
        <v>296</v>
      </c>
      <c r="AM194" s="1589" t="s">
        <v>297</v>
      </c>
      <c r="AN194" s="420"/>
      <c r="AO194" s="1589" t="s">
        <v>298</v>
      </c>
      <c r="AP194" s="420"/>
      <c r="AQ194" s="420"/>
      <c r="AR194" s="420"/>
      <c r="AS194" s="420"/>
      <c r="AT194" s="420"/>
      <c r="AU194" s="420"/>
      <c r="AV194" s="420"/>
      <c r="AW194" s="1711" t="s">
        <v>346</v>
      </c>
      <c r="AX194" s="1711" t="s">
        <v>346</v>
      </c>
      <c r="AY194" s="415"/>
      <c r="AZ194" s="420"/>
      <c r="BA194" s="420"/>
      <c r="BB194" s="420"/>
      <c r="BC194" s="231"/>
      <c r="BE194" s="298">
        <v>27</v>
      </c>
      <c r="BF194" s="1657">
        <f t="shared" si="41"/>
        <v>645</v>
      </c>
      <c r="BG194" s="42">
        <f t="shared" si="42"/>
        <v>645</v>
      </c>
      <c r="BH194" s="301">
        <f t="shared" si="38"/>
        <v>438.84054785669821</v>
      </c>
      <c r="BI194" s="302">
        <f t="shared" si="39"/>
        <v>438.84054785669821</v>
      </c>
      <c r="BJ194" s="302">
        <f t="shared" si="43"/>
        <v>8.8405478566982367</v>
      </c>
      <c r="BK194" s="302" t="b">
        <f t="shared" si="40"/>
        <v>0</v>
      </c>
      <c r="BL194" s="304">
        <v>27</v>
      </c>
      <c r="BV194" s="306"/>
      <c r="CI194" s="306"/>
    </row>
    <row r="195" spans="1:109" ht="42.75" customHeight="1" thickBot="1" x14ac:dyDescent="0.35">
      <c r="B195" s="421"/>
      <c r="C195" s="422"/>
      <c r="D195" s="551" t="s">
        <v>22</v>
      </c>
      <c r="E195" s="330"/>
      <c r="F195" s="468" t="s">
        <v>45</v>
      </c>
      <c r="G195" s="240"/>
      <c r="H195" s="469"/>
      <c r="I195" s="470"/>
      <c r="R195" s="1628"/>
      <c r="T195" s="471"/>
      <c r="V195" s="420"/>
      <c r="W195" s="420"/>
      <c r="X195" s="420"/>
      <c r="Y195" s="420"/>
      <c r="Z195" s="420"/>
      <c r="AA195" s="420"/>
      <c r="AB195" s="420"/>
      <c r="AC195" s="423">
        <f>SUM(AC196:AC221)</f>
        <v>213.34350003963542</v>
      </c>
      <c r="AD195" s="420"/>
      <c r="AE195" s="420"/>
      <c r="AF195" s="420" t="s">
        <v>38</v>
      </c>
      <c r="AG195" s="552" t="s">
        <v>102</v>
      </c>
      <c r="AH195" s="425" t="s">
        <v>31</v>
      </c>
      <c r="AI195" s="425"/>
      <c r="AJ195" s="1630" t="s">
        <v>301</v>
      </c>
      <c r="AK195" s="426" t="s">
        <v>32</v>
      </c>
      <c r="AL195" s="1630" t="s">
        <v>33</v>
      </c>
      <c r="AM195" s="1630" t="s">
        <v>302</v>
      </c>
      <c r="AN195" s="427" t="s">
        <v>34</v>
      </c>
      <c r="AO195" s="1630" t="s">
        <v>35</v>
      </c>
      <c r="AP195" s="428" t="s">
        <v>48</v>
      </c>
      <c r="AQ195" s="1715" t="s">
        <v>36</v>
      </c>
      <c r="AR195" s="420" t="s">
        <v>347</v>
      </c>
      <c r="AS195" s="420" t="s">
        <v>37</v>
      </c>
      <c r="AT195" s="420" t="s">
        <v>39</v>
      </c>
      <c r="AU195" s="420" t="s">
        <v>208</v>
      </c>
      <c r="AV195" s="420" t="s">
        <v>40</v>
      </c>
      <c r="AW195" s="1594" t="s">
        <v>41</v>
      </c>
      <c r="AX195" s="1594" t="s">
        <v>42</v>
      </c>
      <c r="AY195" s="430" t="s">
        <v>23</v>
      </c>
      <c r="AZ195" s="430" t="s">
        <v>24</v>
      </c>
      <c r="BA195" s="431" t="s">
        <v>23</v>
      </c>
      <c r="BB195" s="431" t="s">
        <v>24</v>
      </c>
      <c r="BE195" s="298">
        <v>28</v>
      </c>
      <c r="BF195" s="1657">
        <f t="shared" si="41"/>
        <v>688</v>
      </c>
      <c r="BG195" s="42">
        <f t="shared" si="42"/>
        <v>688</v>
      </c>
      <c r="BH195" s="301">
        <f t="shared" si="38"/>
        <v>481.84054785669821</v>
      </c>
      <c r="BI195" s="302">
        <f t="shared" si="39"/>
        <v>481.84054785669821</v>
      </c>
      <c r="BJ195" s="302">
        <f t="shared" si="43"/>
        <v>8.8405478566982367</v>
      </c>
      <c r="BK195" s="302" t="b">
        <f t="shared" si="40"/>
        <v>0</v>
      </c>
      <c r="BL195" s="304">
        <v>28</v>
      </c>
      <c r="BP195" s="307"/>
      <c r="BQ195" s="307"/>
      <c r="BR195" s="307"/>
      <c r="BS195" s="307"/>
      <c r="BT195" s="307"/>
      <c r="BU195" s="307"/>
      <c r="BV195" s="1819"/>
      <c r="BW195" s="1819"/>
      <c r="CH195" s="1813"/>
      <c r="CI195" s="1813"/>
    </row>
    <row r="196" spans="1:109" ht="21" customHeight="1" thickBot="1" x14ac:dyDescent="0.35">
      <c r="B196" s="255">
        <v>1</v>
      </c>
      <c r="C196" s="256">
        <f>+AI186+D196</f>
        <v>1</v>
      </c>
      <c r="D196" s="25">
        <v>1</v>
      </c>
      <c r="E196" s="257" t="s">
        <v>119</v>
      </c>
      <c r="F196" s="258">
        <f>+G196</f>
        <v>1</v>
      </c>
      <c r="G196" s="258">
        <f>+D196</f>
        <v>1</v>
      </c>
      <c r="H196" s="1632">
        <v>251.073172</v>
      </c>
      <c r="I196" s="1633">
        <v>65.636175100000003</v>
      </c>
      <c r="J196" s="474">
        <f>+I196-C196</f>
        <v>64.636175100000003</v>
      </c>
      <c r="K196" s="474">
        <f>+J196/2</f>
        <v>32.318087550000001</v>
      </c>
      <c r="L196" s="474">
        <f t="shared" ref="L196:L221" si="75">SIN(K196*3.14159265358979/180)</f>
        <v>0.53461916118589337</v>
      </c>
      <c r="M196" s="474">
        <f t="shared" ref="M196:M221" si="76">+L196*H196</f>
        <v>134.22852861092153</v>
      </c>
      <c r="N196" s="474">
        <f t="shared" ref="N196:N221" si="77">+M196*2</f>
        <v>268.45705722184306</v>
      </c>
      <c r="O196" s="474">
        <f>+C196/2</f>
        <v>0.5</v>
      </c>
      <c r="P196" s="474">
        <f t="shared" ref="P196:P221" si="78">SIN(O196*3.14159265358979/180)</f>
        <v>8.726535498373926E-3</v>
      </c>
      <c r="Q196" s="474">
        <f t="shared" ref="Q196:Q221" si="79">+P196*N196</f>
        <v>2.3427000396354138</v>
      </c>
      <c r="R196" s="1634">
        <v>211.0008</v>
      </c>
      <c r="S196" s="474">
        <f>+R196+Q196</f>
        <v>213.34350003963542</v>
      </c>
      <c r="T196" s="476">
        <f t="shared" ref="T196:T221" si="80">+S196</f>
        <v>213.34350003963542</v>
      </c>
      <c r="V196" s="1635">
        <f t="shared" ref="V196:V221" si="81">IF(B196&lt;($B$193+1),T196,0)</f>
        <v>213.34350003963542</v>
      </c>
      <c r="W196" s="437">
        <v>32.818087599999998</v>
      </c>
      <c r="X196" s="437">
        <f>+W196+AI222</f>
        <v>33.818087599999998</v>
      </c>
      <c r="Y196" s="437">
        <v>251.073172</v>
      </c>
      <c r="Z196" s="437">
        <f>+COS(X196*3.14159265358979/180)*Y196</f>
        <v>208.59380373499741</v>
      </c>
      <c r="AA196" s="437">
        <f>+AC195-Z196</f>
        <v>4.7496963046380074</v>
      </c>
      <c r="AB196" s="258" t="str">
        <f>IF(AZ196&lt;0,"use the locking pin"," ")</f>
        <v xml:space="preserve"> </v>
      </c>
      <c r="AC196" s="1636">
        <f>IF(AD196=1,AF196)</f>
        <v>213.34350003963542</v>
      </c>
      <c r="AD196" s="1636">
        <f>MAX(AE$196:AE$221)</f>
        <v>1</v>
      </c>
      <c r="AE196" s="1636">
        <f>IF(V196=0,0,1)</f>
        <v>1</v>
      </c>
      <c r="AF196" s="1637">
        <f>SUM(V196:V221)/($B$193)</f>
        <v>213.34350003963542</v>
      </c>
      <c r="AG196" s="1638">
        <f>+AF196+AA172+AA140</f>
        <v>213.34348855706594</v>
      </c>
      <c r="AH196" s="450">
        <f>C196</f>
        <v>1</v>
      </c>
      <c r="AI196" s="516">
        <f>IF(B196&lt;($B$193+1),AH196)</f>
        <v>1</v>
      </c>
      <c r="AJ196" s="718">
        <f>75.4990086-AH196</f>
        <v>74.499008599999996</v>
      </c>
      <c r="AK196" s="1639">
        <f t="shared" ref="AK196:AK221" si="82">SIN(AJ196*3.14159265358979/180)</f>
        <v>0.96362582898684701</v>
      </c>
      <c r="AL196" s="1639">
        <f>+AK196*290.642868</f>
        <v>280.07097461561477</v>
      </c>
      <c r="AM196" s="1640">
        <f>57.1819124+AH196</f>
        <v>58.181912400000002</v>
      </c>
      <c r="AN196" s="1639">
        <f>SIN(AM196*3.14159265358979/180)</f>
        <v>0.84972629692714396</v>
      </c>
      <c r="AO196" s="1641">
        <f>+AN196*251.073172</f>
        <v>213.34347670131189</v>
      </c>
      <c r="AP196" s="439">
        <f t="shared" ref="AP196:AP221" si="83">((AF196*AQ196)+($AG$232*$AQ$232))/AR196</f>
        <v>181.60611462115008</v>
      </c>
      <c r="AQ196" s="444">
        <f>$C$16*B193</f>
        <v>29.3</v>
      </c>
      <c r="AR196" s="444">
        <f t="shared" ref="AR196:AR221" si="84">AQ196+$AQ$232+1.3</f>
        <v>56.099999999999994</v>
      </c>
      <c r="AS196" s="445">
        <f>+AO196+AL196</f>
        <v>493.41445131692666</v>
      </c>
      <c r="AT196" s="445">
        <f>+V196-AO196</f>
        <v>2.3338323529742411E-5</v>
      </c>
      <c r="AU196" s="445">
        <f>+AP196-AT196</f>
        <v>181.60609128282655</v>
      </c>
      <c r="AV196" s="447"/>
      <c r="AW196" s="447">
        <f>+((AS196-AU196)/AS196)*AR196</f>
        <v>35.451837600673322</v>
      </c>
      <c r="AX196" s="1597">
        <f>+(AU196/AS196)*AR196</f>
        <v>20.648162399326676</v>
      </c>
      <c r="AY196" s="1597">
        <f t="shared" ref="AY196:AY221" si="85">2*$C$22/AW196</f>
        <v>327.2044775410933</v>
      </c>
      <c r="AZ196" s="1642">
        <f t="shared" ref="AZ196:AZ221" si="86">$D$22/AX196</f>
        <v>484.30459847245749</v>
      </c>
      <c r="BA196" s="274">
        <f>ABS(AY196)</f>
        <v>327.2044775410933</v>
      </c>
      <c r="BB196" s="275">
        <f>ABS(AZ196)</f>
        <v>484.30459847245749</v>
      </c>
      <c r="BC196" s="91" t="s">
        <v>43</v>
      </c>
      <c r="BE196" s="298">
        <v>29</v>
      </c>
      <c r="BF196" s="1657">
        <f t="shared" si="41"/>
        <v>731</v>
      </c>
      <c r="BG196" s="42">
        <f t="shared" si="42"/>
        <v>731</v>
      </c>
      <c r="BH196" s="301">
        <f t="shared" si="38"/>
        <v>524.84054785669821</v>
      </c>
      <c r="BI196" s="302">
        <f t="shared" si="39"/>
        <v>524.84054785669821</v>
      </c>
      <c r="BJ196" s="302">
        <f t="shared" si="43"/>
        <v>8.8405478566982367</v>
      </c>
      <c r="BK196" s="302" t="b">
        <f t="shared" si="40"/>
        <v>0</v>
      </c>
      <c r="BL196" s="304">
        <v>29</v>
      </c>
    </row>
    <row r="197" spans="1:109" ht="21" customHeight="1" thickBot="1" x14ac:dyDescent="0.35">
      <c r="B197" s="277">
        <v>2</v>
      </c>
      <c r="C197" s="278"/>
      <c r="D197" s="25">
        <v>1</v>
      </c>
      <c r="E197" s="257" t="s">
        <v>305</v>
      </c>
      <c r="F197" s="258" t="e">
        <f t="shared" ref="F197:F221" si="87">+G197</f>
        <v>#DIV/0!</v>
      </c>
      <c r="G197" s="258" t="e">
        <f>+D197+BC197</f>
        <v>#DIV/0!</v>
      </c>
      <c r="H197" s="1632">
        <v>251.073172</v>
      </c>
      <c r="I197" s="1633">
        <v>65.636175100000003</v>
      </c>
      <c r="J197" s="474">
        <f t="shared" ref="J197:J221" si="88">+I197-D197</f>
        <v>64.636175100000003</v>
      </c>
      <c r="K197" s="474">
        <f t="shared" ref="K197:K221" si="89">+J197/2</f>
        <v>32.318087550000001</v>
      </c>
      <c r="L197" s="474">
        <f t="shared" si="75"/>
        <v>0.53461916118589337</v>
      </c>
      <c r="M197" s="474">
        <f t="shared" si="76"/>
        <v>134.22852861092153</v>
      </c>
      <c r="N197" s="474">
        <f t="shared" si="77"/>
        <v>268.45705722184306</v>
      </c>
      <c r="O197" s="474">
        <f>+C196+(D197/2)</f>
        <v>1.5</v>
      </c>
      <c r="P197" s="474">
        <f t="shared" si="78"/>
        <v>2.6176948307873125E-2</v>
      </c>
      <c r="Q197" s="474">
        <f t="shared" si="79"/>
        <v>7.0273865097799231</v>
      </c>
      <c r="R197" s="474">
        <f t="shared" ref="R197:R221" si="90">+T196</f>
        <v>213.34350003963542</v>
      </c>
      <c r="S197" s="474">
        <f>+R197+Q197</f>
        <v>220.37088654941533</v>
      </c>
      <c r="T197" s="476">
        <f t="shared" si="80"/>
        <v>220.37088654941533</v>
      </c>
      <c r="V197" s="1635">
        <f t="shared" si="81"/>
        <v>0</v>
      </c>
      <c r="W197" s="437"/>
      <c r="X197" s="437"/>
      <c r="Y197" s="437"/>
      <c r="Z197" s="437"/>
      <c r="AA197" s="437"/>
      <c r="AB197" s="280" t="e">
        <f t="shared" ref="AB197:AB221" si="91">IF(AZ197&lt;0,"use the locking pin"," ")</f>
        <v>#DIV/0!</v>
      </c>
      <c r="AC197" s="1636" t="b">
        <f>IF(AD197=2,AF197)</f>
        <v>0</v>
      </c>
      <c r="AD197" s="1636">
        <f t="shared" ref="AD197:AD221" si="92">MAX(AE$196:AE$221)</f>
        <v>1</v>
      </c>
      <c r="AE197" s="1636">
        <f>IF(V197=0,0,2)</f>
        <v>0</v>
      </c>
      <c r="AF197" s="1637" t="e">
        <f>SUM(V197:V221)/($B$193-B196)</f>
        <v>#DIV/0!</v>
      </c>
      <c r="AG197" s="1638"/>
      <c r="AH197" s="450">
        <f>SUM(D197)+$C$196</f>
        <v>2</v>
      </c>
      <c r="AI197" s="516" t="b">
        <f t="shared" ref="AI197:AI221" si="93">IF(B197&lt;($B$193+1),AH197)</f>
        <v>0</v>
      </c>
      <c r="AJ197" s="718">
        <f t="shared" ref="AJ197:AJ221" si="94">75.4990086-AH197</f>
        <v>73.499008599999996</v>
      </c>
      <c r="AK197" s="1639">
        <f t="shared" si="82"/>
        <v>0.95881482035199095</v>
      </c>
      <c r="AL197" s="1639">
        <f t="shared" ref="AL197:AL221" si="95">+AK197*290.642868</f>
        <v>278.67268926800745</v>
      </c>
      <c r="AM197" s="1640">
        <f t="shared" ref="AM197:AM221" si="96">57.1819124+AH197</f>
        <v>59.181912400000002</v>
      </c>
      <c r="AN197" s="1639">
        <f t="shared" ref="AN197:AN221" si="97">SIN(AM197*3.14159265358979/180)</f>
        <v>0.85879820825488717</v>
      </c>
      <c r="AO197" s="1641">
        <f t="shared" ref="AO197:AO221" si="98">+AN197*251.073172</f>
        <v>215.62119025447112</v>
      </c>
      <c r="AP197" s="287" t="e">
        <f t="shared" si="83"/>
        <v>#DIV/0!</v>
      </c>
      <c r="AQ197" s="444">
        <f>$C$16*($B$193-B196)</f>
        <v>0</v>
      </c>
      <c r="AR197" s="444">
        <f t="shared" si="84"/>
        <v>26.8</v>
      </c>
      <c r="AS197" s="445">
        <f t="shared" ref="AS197:AS221" si="99">+AO197+AL197</f>
        <v>494.29387952247856</v>
      </c>
      <c r="AT197" s="445">
        <f>+V197-AO197</f>
        <v>-215.62119025447112</v>
      </c>
      <c r="AU197" s="445" t="e">
        <f t="shared" ref="AU197:AU221" si="100">+AP197-AT197</f>
        <v>#DIV/0!</v>
      </c>
      <c r="AV197" s="447"/>
      <c r="AW197" s="447" t="e">
        <f t="shared" ref="AW197:AW221" si="101">+((AS197-AU197)/AS197)*AR197</f>
        <v>#DIV/0!</v>
      </c>
      <c r="AX197" s="1597" t="e">
        <f t="shared" ref="AX197:AX221" si="102">+(AU197/AS197)*AR197</f>
        <v>#DIV/0!</v>
      </c>
      <c r="AY197" s="1597" t="e">
        <f t="shared" si="85"/>
        <v>#DIV/0!</v>
      </c>
      <c r="AZ197" s="1642" t="e">
        <f t="shared" si="86"/>
        <v>#DIV/0!</v>
      </c>
      <c r="BA197" s="274" t="e">
        <f t="shared" ref="BA197:BB216" si="103">ABS(AY197)</f>
        <v>#DIV/0!</v>
      </c>
      <c r="BB197" s="294" t="e">
        <f t="shared" si="103"/>
        <v>#DIV/0!</v>
      </c>
      <c r="BC197" t="e">
        <f t="shared" ref="BC197:BC221" si="104">IF(AZ197&lt;0,0.3,0)</f>
        <v>#DIV/0!</v>
      </c>
      <c r="BE197" s="298">
        <v>30</v>
      </c>
      <c r="BF197" s="1657">
        <f t="shared" si="41"/>
        <v>774</v>
      </c>
      <c r="BG197" s="42">
        <f t="shared" si="42"/>
        <v>774</v>
      </c>
      <c r="BH197" s="301">
        <f t="shared" si="38"/>
        <v>567.84054785669821</v>
      </c>
      <c r="BI197" s="302">
        <f t="shared" si="39"/>
        <v>567.84054785669821</v>
      </c>
      <c r="BJ197" s="302">
        <f t="shared" si="43"/>
        <v>8.8405478566982367</v>
      </c>
      <c r="BK197" s="302" t="b">
        <f t="shared" si="40"/>
        <v>0</v>
      </c>
      <c r="BL197" s="304">
        <v>30</v>
      </c>
    </row>
    <row r="198" spans="1:109" ht="21" customHeight="1" thickBot="1" x14ac:dyDescent="0.35">
      <c r="B198" s="277">
        <v>3</v>
      </c>
      <c r="C198" s="278"/>
      <c r="D198" s="25">
        <v>1</v>
      </c>
      <c r="E198" s="257" t="s">
        <v>305</v>
      </c>
      <c r="F198" s="258">
        <f t="shared" si="87"/>
        <v>1</v>
      </c>
      <c r="G198" s="258">
        <f t="shared" ref="G198:G221" si="105">+D198+BC198</f>
        <v>1</v>
      </c>
      <c r="H198" s="1632">
        <v>251.073172</v>
      </c>
      <c r="I198" s="1633">
        <v>65.636175100000003</v>
      </c>
      <c r="J198" s="474">
        <f t="shared" si="88"/>
        <v>64.636175100000003</v>
      </c>
      <c r="K198" s="474">
        <f t="shared" si="89"/>
        <v>32.318087550000001</v>
      </c>
      <c r="L198" s="474">
        <f t="shared" si="75"/>
        <v>0.53461916118589337</v>
      </c>
      <c r="M198" s="474">
        <f t="shared" si="76"/>
        <v>134.22852861092153</v>
      </c>
      <c r="N198" s="474">
        <f t="shared" si="77"/>
        <v>268.45705722184306</v>
      </c>
      <c r="O198" s="474">
        <f>+C196+D197+(D198/2)</f>
        <v>2.5</v>
      </c>
      <c r="P198" s="474">
        <f t="shared" si="78"/>
        <v>4.3619387365335958E-2</v>
      </c>
      <c r="Q198" s="474">
        <f t="shared" si="79"/>
        <v>11.709932369917734</v>
      </c>
      <c r="R198" s="474">
        <f t="shared" si="90"/>
        <v>220.37088654941533</v>
      </c>
      <c r="S198" s="474">
        <f t="shared" ref="S198:S221" si="106">+S197+Q198</f>
        <v>232.08081891933307</v>
      </c>
      <c r="T198" s="476">
        <f t="shared" si="80"/>
        <v>232.08081891933307</v>
      </c>
      <c r="V198" s="1635">
        <f t="shared" si="81"/>
        <v>0</v>
      </c>
      <c r="W198" s="437"/>
      <c r="X198" s="437"/>
      <c r="Y198" s="437"/>
      <c r="Z198" s="437"/>
      <c r="AA198" s="437"/>
      <c r="AB198" s="295" t="str">
        <f t="shared" si="91"/>
        <v xml:space="preserve"> </v>
      </c>
      <c r="AC198" s="1636" t="b">
        <f>IF(AD198=3,AF198)</f>
        <v>0</v>
      </c>
      <c r="AD198" s="1636">
        <f t="shared" si="92"/>
        <v>1</v>
      </c>
      <c r="AE198" s="1636">
        <f>IF(V198=0,0,3)</f>
        <v>0</v>
      </c>
      <c r="AF198" s="1637">
        <f>SUM(V198:V221)/($B$193-B197)</f>
        <v>0</v>
      </c>
      <c r="AG198" s="1638"/>
      <c r="AH198" s="450">
        <f>SUM(D197:D198)+$C$196</f>
        <v>3</v>
      </c>
      <c r="AI198" s="516" t="b">
        <f t="shared" si="93"/>
        <v>0</v>
      </c>
      <c r="AJ198" s="718">
        <f t="shared" si="94"/>
        <v>72.499008599999996</v>
      </c>
      <c r="AK198" s="1639">
        <f t="shared" si="82"/>
        <v>0.95371174743460796</v>
      </c>
      <c r="AL198" s="1639">
        <f t="shared" si="95"/>
        <v>277.18951751968609</v>
      </c>
      <c r="AM198" s="1640">
        <f t="shared" si="96"/>
        <v>60.181912400000002</v>
      </c>
      <c r="AN198" s="1639">
        <f t="shared" si="97"/>
        <v>0.86760852132903066</v>
      </c>
      <c r="AO198" s="1641">
        <f t="shared" si="98"/>
        <v>217.83322350430939</v>
      </c>
      <c r="AP198" s="287">
        <f t="shared" si="83"/>
        <v>-1574.8553916340793</v>
      </c>
      <c r="AQ198" s="444">
        <f t="shared" ref="AQ198:AQ221" si="107">$C$16*($B$193-B197)</f>
        <v>-29.3</v>
      </c>
      <c r="AR198" s="444">
        <f t="shared" si="84"/>
        <v>-2.5000000000000009</v>
      </c>
      <c r="AS198" s="445">
        <f t="shared" si="99"/>
        <v>495.02274102399548</v>
      </c>
      <c r="AT198" s="445">
        <f>+V198-AO198</f>
        <v>-217.83322350430939</v>
      </c>
      <c r="AU198" s="445">
        <f t="shared" si="100"/>
        <v>-1357.0221681297699</v>
      </c>
      <c r="AV198" s="447"/>
      <c r="AW198" s="447">
        <f t="shared" si="101"/>
        <v>-9.3533324616696287</v>
      </c>
      <c r="AX198" s="1597">
        <f t="shared" si="102"/>
        <v>6.8533324616696278</v>
      </c>
      <c r="AY198" s="1597">
        <f t="shared" si="85"/>
        <v>-1240.1996879227072</v>
      </c>
      <c r="AZ198" s="1642">
        <f t="shared" si="86"/>
        <v>1459.1441544576362</v>
      </c>
      <c r="BA198" s="274">
        <f t="shared" si="103"/>
        <v>1240.1996879227072</v>
      </c>
      <c r="BB198" s="275">
        <f t="shared" si="103"/>
        <v>1459.1441544576362</v>
      </c>
      <c r="BC198">
        <f t="shared" si="104"/>
        <v>0</v>
      </c>
      <c r="BE198" s="298">
        <v>31</v>
      </c>
      <c r="BF198" s="1657">
        <f t="shared" si="41"/>
        <v>817</v>
      </c>
      <c r="BG198" s="42">
        <f t="shared" si="42"/>
        <v>817</v>
      </c>
      <c r="BH198" s="301">
        <f t="shared" si="38"/>
        <v>610.84054785669821</v>
      </c>
      <c r="BI198" s="302">
        <f t="shared" si="39"/>
        <v>610.84054785669821</v>
      </c>
      <c r="BJ198" s="302">
        <f t="shared" si="43"/>
        <v>8.8405478566982367</v>
      </c>
      <c r="BK198" s="302" t="b">
        <f t="shared" si="40"/>
        <v>0</v>
      </c>
      <c r="BL198" s="304">
        <v>31</v>
      </c>
    </row>
    <row r="199" spans="1:109" ht="21" customHeight="1" thickBot="1" x14ac:dyDescent="0.35">
      <c r="B199" s="277">
        <v>4</v>
      </c>
      <c r="C199" s="278"/>
      <c r="D199" s="25">
        <v>1</v>
      </c>
      <c r="E199" s="257" t="s">
        <v>305</v>
      </c>
      <c r="F199" s="258">
        <f t="shared" si="87"/>
        <v>1.3</v>
      </c>
      <c r="G199" s="258">
        <f t="shared" si="105"/>
        <v>1.3</v>
      </c>
      <c r="H199" s="1632">
        <v>251.073172</v>
      </c>
      <c r="I199" s="1633">
        <v>65.636175100000003</v>
      </c>
      <c r="J199" s="474">
        <f t="shared" si="88"/>
        <v>64.636175100000003</v>
      </c>
      <c r="K199" s="474">
        <f t="shared" si="89"/>
        <v>32.318087550000001</v>
      </c>
      <c r="L199" s="474">
        <f t="shared" si="75"/>
        <v>0.53461916118589337</v>
      </c>
      <c r="M199" s="474">
        <f t="shared" si="76"/>
        <v>134.22852861092153</v>
      </c>
      <c r="N199" s="474">
        <f t="shared" si="77"/>
        <v>268.45705722184306</v>
      </c>
      <c r="O199" s="474">
        <f>+C196+D197+D198+(D199/2)</f>
        <v>3.5</v>
      </c>
      <c r="P199" s="474">
        <f t="shared" si="78"/>
        <v>6.1048539534856811E-2</v>
      </c>
      <c r="Q199" s="474">
        <f t="shared" si="79"/>
        <v>16.388911271219001</v>
      </c>
      <c r="R199" s="474">
        <f t="shared" si="90"/>
        <v>232.08081891933307</v>
      </c>
      <c r="S199" s="474">
        <f t="shared" si="106"/>
        <v>248.46973019055207</v>
      </c>
      <c r="T199" s="476">
        <f t="shared" si="80"/>
        <v>248.46973019055207</v>
      </c>
      <c r="V199" s="1635">
        <f t="shared" si="81"/>
        <v>0</v>
      </c>
      <c r="W199" s="437"/>
      <c r="X199" s="437"/>
      <c r="Y199" s="437"/>
      <c r="Z199" s="437"/>
      <c r="AA199" s="437"/>
      <c r="AB199" s="295" t="str">
        <f t="shared" si="91"/>
        <v>use the locking pin</v>
      </c>
      <c r="AC199" s="1636" t="b">
        <f>IF(AD199=4,AF199)</f>
        <v>0</v>
      </c>
      <c r="AD199" s="1636">
        <f t="shared" si="92"/>
        <v>1</v>
      </c>
      <c r="AE199" s="1636">
        <f>IF(V199=0,0,4)</f>
        <v>0</v>
      </c>
      <c r="AF199" s="1637">
        <f>SUM(V199:V221)/($B$193-B198)</f>
        <v>0</v>
      </c>
      <c r="AG199" s="1638"/>
      <c r="AH199" s="450">
        <f>SUM(D197:D199)+$C$196</f>
        <v>4</v>
      </c>
      <c r="AI199" s="516" t="b">
        <f t="shared" si="93"/>
        <v>0</v>
      </c>
      <c r="AJ199" s="718">
        <f t="shared" si="94"/>
        <v>71.499008599999996</v>
      </c>
      <c r="AK199" s="1639">
        <f t="shared" si="82"/>
        <v>0.94831816468014318</v>
      </c>
      <c r="AL199" s="1639">
        <f t="shared" si="95"/>
        <v>275.62191115913316</v>
      </c>
      <c r="AM199" s="1640">
        <f t="shared" si="96"/>
        <v>61.181912400000002</v>
      </c>
      <c r="AN199" s="1639">
        <f t="shared" si="97"/>
        <v>0.87615455244286489</v>
      </c>
      <c r="AO199" s="1641">
        <f t="shared" si="98"/>
        <v>219.97890264407044</v>
      </c>
      <c r="AP199" s="287">
        <f t="shared" si="83"/>
        <v>-123.8093861347547</v>
      </c>
      <c r="AQ199" s="444">
        <f t="shared" si="107"/>
        <v>-58.6</v>
      </c>
      <c r="AR199" s="444">
        <f t="shared" si="84"/>
        <v>-31.8</v>
      </c>
      <c r="AS199" s="445">
        <f t="shared" si="99"/>
        <v>495.60081380320361</v>
      </c>
      <c r="AT199" s="445">
        <f>+V199-AO199</f>
        <v>-219.97890264407044</v>
      </c>
      <c r="AU199" s="445">
        <f t="shared" si="100"/>
        <v>96.169516509315741</v>
      </c>
      <c r="AV199" s="447"/>
      <c r="AW199" s="447">
        <f t="shared" si="101"/>
        <v>-25.62932686988967</v>
      </c>
      <c r="AX199" s="1597">
        <f t="shared" si="102"/>
        <v>-6.1706731301103286</v>
      </c>
      <c r="AY199" s="1597">
        <f t="shared" si="85"/>
        <v>-452.60650265567961</v>
      </c>
      <c r="AZ199" s="1642">
        <f t="shared" si="86"/>
        <v>-1620.568743335981</v>
      </c>
      <c r="BA199" s="274">
        <f t="shared" si="103"/>
        <v>452.60650265567961</v>
      </c>
      <c r="BB199" s="275">
        <f t="shared" si="103"/>
        <v>1620.568743335981</v>
      </c>
      <c r="BC199">
        <f t="shared" si="104"/>
        <v>0.3</v>
      </c>
      <c r="BE199" s="298">
        <v>32</v>
      </c>
      <c r="BF199" s="1657">
        <f t="shared" si="41"/>
        <v>860</v>
      </c>
      <c r="BG199" s="42">
        <f t="shared" si="42"/>
        <v>860</v>
      </c>
      <c r="BH199" s="301">
        <f t="shared" si="38"/>
        <v>653.84054785669821</v>
      </c>
      <c r="BI199" s="302">
        <f t="shared" si="39"/>
        <v>653.84054785669821</v>
      </c>
      <c r="BJ199" s="302">
        <f t="shared" si="43"/>
        <v>8.8405478566982367</v>
      </c>
      <c r="BK199" s="302" t="b">
        <f t="shared" si="40"/>
        <v>0</v>
      </c>
      <c r="BL199" s="304">
        <v>32</v>
      </c>
    </row>
    <row r="200" spans="1:109" ht="21" customHeight="1" thickBot="1" x14ac:dyDescent="0.35">
      <c r="B200" s="277">
        <v>5</v>
      </c>
      <c r="C200" s="278"/>
      <c r="D200" s="25">
        <v>1</v>
      </c>
      <c r="E200" s="257" t="s">
        <v>305</v>
      </c>
      <c r="F200" s="258">
        <f t="shared" si="87"/>
        <v>1.3</v>
      </c>
      <c r="G200" s="258">
        <f>+D200+BC200</f>
        <v>1.3</v>
      </c>
      <c r="H200" s="1632">
        <v>251.073172</v>
      </c>
      <c r="I200" s="1633">
        <v>65.636175100000003</v>
      </c>
      <c r="J200" s="474">
        <f t="shared" si="88"/>
        <v>64.636175100000003</v>
      </c>
      <c r="K200" s="474">
        <f t="shared" si="89"/>
        <v>32.318087550000001</v>
      </c>
      <c r="L200" s="474">
        <f t="shared" si="75"/>
        <v>0.53461916118589337</v>
      </c>
      <c r="M200" s="474">
        <f t="shared" si="76"/>
        <v>134.22852861092153</v>
      </c>
      <c r="N200" s="474">
        <f t="shared" si="77"/>
        <v>268.45705722184306</v>
      </c>
      <c r="O200" s="474">
        <f>+C196+D197+D198+D199+(D200/2)</f>
        <v>4.5</v>
      </c>
      <c r="P200" s="474">
        <f t="shared" si="78"/>
        <v>7.845909572784486E-2</v>
      </c>
      <c r="Q200" s="474">
        <f t="shared" si="79"/>
        <v>21.062897951384109</v>
      </c>
      <c r="R200" s="474">
        <f t="shared" si="90"/>
        <v>248.46973019055207</v>
      </c>
      <c r="S200" s="474">
        <f t="shared" si="106"/>
        <v>269.53262814193619</v>
      </c>
      <c r="T200" s="476">
        <f t="shared" si="80"/>
        <v>269.53262814193619</v>
      </c>
      <c r="V200" s="1635">
        <f t="shared" si="81"/>
        <v>0</v>
      </c>
      <c r="W200" s="437"/>
      <c r="X200" s="437"/>
      <c r="Y200" s="437"/>
      <c r="Z200" s="437"/>
      <c r="AA200" s="437"/>
      <c r="AB200" s="295" t="str">
        <f t="shared" si="91"/>
        <v>use the locking pin</v>
      </c>
      <c r="AC200" s="1636" t="b">
        <f>IF(AD200=5,AF200)</f>
        <v>0</v>
      </c>
      <c r="AD200" s="1636">
        <f t="shared" si="92"/>
        <v>1</v>
      </c>
      <c r="AE200" s="1636">
        <f>IF(V200=0,0,5)</f>
        <v>0</v>
      </c>
      <c r="AF200" s="1637">
        <f>SUM(V200:V221)/($B$193-B199)</f>
        <v>0</v>
      </c>
      <c r="AG200" s="1638"/>
      <c r="AH200" s="450">
        <f>SUM(D197:D200)+$C$196</f>
        <v>5</v>
      </c>
      <c r="AI200" s="516" t="b">
        <f t="shared" si="93"/>
        <v>0</v>
      </c>
      <c r="AJ200" s="718">
        <f t="shared" si="94"/>
        <v>70.499008599999996</v>
      </c>
      <c r="AK200" s="1639">
        <f t="shared" si="82"/>
        <v>0.94263571502615251</v>
      </c>
      <c r="AL200" s="1639">
        <f t="shared" si="95"/>
        <v>273.97034769443167</v>
      </c>
      <c r="AM200" s="1640">
        <f t="shared" si="96"/>
        <v>62.181912400000002</v>
      </c>
      <c r="AN200" s="1639">
        <f t="shared" si="97"/>
        <v>0.88443369839252528</v>
      </c>
      <c r="AO200" s="1641">
        <f t="shared" si="98"/>
        <v>222.05757407910264</v>
      </c>
      <c r="AP200" s="287">
        <f t="shared" si="83"/>
        <v>-64.437618315633372</v>
      </c>
      <c r="AQ200" s="444">
        <f t="shared" si="107"/>
        <v>-87.9</v>
      </c>
      <c r="AR200" s="444">
        <f t="shared" si="84"/>
        <v>-61.100000000000009</v>
      </c>
      <c r="AS200" s="445">
        <f t="shared" si="99"/>
        <v>496.02792177353433</v>
      </c>
      <c r="AT200" s="445">
        <f t="shared" ref="AT200:AT221" si="108">+V200-AO200</f>
        <v>-222.05757407910264</v>
      </c>
      <c r="AU200" s="445">
        <f t="shared" si="100"/>
        <v>157.61995576346925</v>
      </c>
      <c r="AV200" s="447"/>
      <c r="AW200" s="447">
        <f t="shared" si="101"/>
        <v>-41.684602449970768</v>
      </c>
      <c r="AX200" s="1597">
        <f t="shared" si="102"/>
        <v>-19.415397550029237</v>
      </c>
      <c r="AY200" s="1597">
        <f t="shared" si="85"/>
        <v>-278.28021183414535</v>
      </c>
      <c r="AZ200" s="1642">
        <f t="shared" si="86"/>
        <v>-515.0551243791009</v>
      </c>
      <c r="BA200" s="274">
        <f t="shared" si="103"/>
        <v>278.28021183414535</v>
      </c>
      <c r="BB200" s="275">
        <f t="shared" si="103"/>
        <v>515.0551243791009</v>
      </c>
      <c r="BC200">
        <f t="shared" si="104"/>
        <v>0.3</v>
      </c>
      <c r="BE200" s="298">
        <v>33</v>
      </c>
      <c r="BF200" s="1657">
        <f t="shared" si="41"/>
        <v>903</v>
      </c>
      <c r="BG200" s="42">
        <f t="shared" si="42"/>
        <v>903</v>
      </c>
      <c r="BH200" s="301">
        <f t="shared" si="38"/>
        <v>696.84054785669821</v>
      </c>
      <c r="BI200" s="302">
        <f t="shared" si="39"/>
        <v>696.84054785669821</v>
      </c>
      <c r="BJ200" s="302">
        <f t="shared" si="43"/>
        <v>8.8405478566982367</v>
      </c>
      <c r="BK200" s="302" t="b">
        <f t="shared" si="40"/>
        <v>0</v>
      </c>
      <c r="BL200" s="304">
        <v>33</v>
      </c>
      <c r="DE200" s="305"/>
    </row>
    <row r="201" spans="1:109" ht="21" customHeight="1" thickBot="1" x14ac:dyDescent="0.35">
      <c r="B201" s="277">
        <v>6</v>
      </c>
      <c r="C201" s="278"/>
      <c r="D201" s="25">
        <v>1</v>
      </c>
      <c r="E201" s="257" t="s">
        <v>305</v>
      </c>
      <c r="F201" s="258">
        <f t="shared" si="87"/>
        <v>1.3</v>
      </c>
      <c r="G201" s="258">
        <f t="shared" si="105"/>
        <v>1.3</v>
      </c>
      <c r="H201" s="1632">
        <v>251.073172</v>
      </c>
      <c r="I201" s="1633">
        <v>65.636175100000003</v>
      </c>
      <c r="J201" s="474">
        <f t="shared" si="88"/>
        <v>64.636175100000003</v>
      </c>
      <c r="K201" s="474">
        <f t="shared" si="89"/>
        <v>32.318087550000001</v>
      </c>
      <c r="L201" s="474">
        <f t="shared" si="75"/>
        <v>0.53461916118589337</v>
      </c>
      <c r="M201" s="474">
        <f t="shared" si="76"/>
        <v>134.22852861092153</v>
      </c>
      <c r="N201" s="474">
        <f t="shared" si="77"/>
        <v>268.45705722184306</v>
      </c>
      <c r="O201" s="474">
        <f>+C196+D197+D198+D199+D200+(D201/2)</f>
        <v>5.5</v>
      </c>
      <c r="P201" s="474">
        <f t="shared" si="78"/>
        <v>9.5845752520223898E-2</v>
      </c>
      <c r="Q201" s="474">
        <f t="shared" si="79"/>
        <v>25.730468668792355</v>
      </c>
      <c r="R201" s="474">
        <f t="shared" si="90"/>
        <v>269.53262814193619</v>
      </c>
      <c r="S201" s="474">
        <f t="shared" si="106"/>
        <v>295.26309681072854</v>
      </c>
      <c r="T201" s="476">
        <f t="shared" si="80"/>
        <v>295.26309681072854</v>
      </c>
      <c r="V201" s="1635">
        <f t="shared" si="81"/>
        <v>0</v>
      </c>
      <c r="W201" s="437"/>
      <c r="X201" s="437"/>
      <c r="Y201" s="437"/>
      <c r="Z201" s="437"/>
      <c r="AA201" s="437"/>
      <c r="AB201" s="295" t="str">
        <f t="shared" si="91"/>
        <v>use the locking pin</v>
      </c>
      <c r="AC201" s="1636" t="b">
        <f>IF(AD201=6,AF201)</f>
        <v>0</v>
      </c>
      <c r="AD201" s="1636">
        <f t="shared" si="92"/>
        <v>1</v>
      </c>
      <c r="AE201" s="1636">
        <f>IF(V201=0,0,6)</f>
        <v>0</v>
      </c>
      <c r="AF201" s="1637">
        <f>SUM(V201:V221)/($B$193-B200)</f>
        <v>0</v>
      </c>
      <c r="AG201" s="1638"/>
      <c r="AH201" s="450">
        <f>SUM(D197:D201)+$C$196</f>
        <v>6</v>
      </c>
      <c r="AI201" s="516" t="b">
        <f t="shared" si="93"/>
        <v>0</v>
      </c>
      <c r="AJ201" s="718">
        <f t="shared" si="94"/>
        <v>69.499008599999996</v>
      </c>
      <c r="AK201" s="1639">
        <f t="shared" si="82"/>
        <v>0.93666612940184768</v>
      </c>
      <c r="AL201" s="1639">
        <f t="shared" si="95"/>
        <v>272.23533020781213</v>
      </c>
      <c r="AM201" s="1640">
        <f t="shared" si="96"/>
        <v>63.181912400000002</v>
      </c>
      <c r="AN201" s="1639">
        <f t="shared" si="97"/>
        <v>0.8924434372699539</v>
      </c>
      <c r="AO201" s="1641">
        <f t="shared" si="98"/>
        <v>224.06860462595034</v>
      </c>
      <c r="AP201" s="287">
        <f t="shared" si="83"/>
        <v>-43.552416804039815</v>
      </c>
      <c r="AQ201" s="444">
        <f t="shared" si="107"/>
        <v>-117.2</v>
      </c>
      <c r="AR201" s="444">
        <f t="shared" si="84"/>
        <v>-90.4</v>
      </c>
      <c r="AS201" s="445">
        <f t="shared" si="99"/>
        <v>496.30393483376247</v>
      </c>
      <c r="AT201" s="445">
        <f t="shared" si="108"/>
        <v>-224.06860462595034</v>
      </c>
      <c r="AU201" s="445">
        <f t="shared" si="100"/>
        <v>180.51618782191053</v>
      </c>
      <c r="AV201" s="447"/>
      <c r="AW201" s="447">
        <f t="shared" si="101"/>
        <v>-57.51961716651175</v>
      </c>
      <c r="AX201" s="1597">
        <f t="shared" si="102"/>
        <v>-32.880382833488248</v>
      </c>
      <c r="AY201" s="1597">
        <f t="shared" si="85"/>
        <v>-201.67032694983905</v>
      </c>
      <c r="AZ201" s="1642">
        <f t="shared" si="86"/>
        <v>-304.13271191645396</v>
      </c>
      <c r="BA201" s="274">
        <f t="shared" si="103"/>
        <v>201.67032694983905</v>
      </c>
      <c r="BB201" s="275">
        <f t="shared" si="103"/>
        <v>304.13271191645396</v>
      </c>
      <c r="BC201">
        <f t="shared" si="104"/>
        <v>0.3</v>
      </c>
      <c r="BE201" s="298">
        <v>34</v>
      </c>
      <c r="BF201" s="1657">
        <f t="shared" si="41"/>
        <v>946</v>
      </c>
      <c r="BG201" s="42">
        <f t="shared" si="42"/>
        <v>946</v>
      </c>
      <c r="BH201" s="301">
        <f t="shared" si="38"/>
        <v>739.84054785669821</v>
      </c>
      <c r="BI201" s="302">
        <f t="shared" si="39"/>
        <v>739.84054785669821</v>
      </c>
      <c r="BJ201" s="302">
        <f t="shared" si="43"/>
        <v>8.8405478566982367</v>
      </c>
      <c r="BK201" s="302" t="b">
        <f t="shared" si="40"/>
        <v>0</v>
      </c>
      <c r="BL201" s="304">
        <v>34</v>
      </c>
    </row>
    <row r="202" spans="1:109" ht="21" customHeight="1" thickBot="1" x14ac:dyDescent="0.35">
      <c r="B202" s="277">
        <v>7</v>
      </c>
      <c r="C202" s="278"/>
      <c r="D202" s="25">
        <v>1</v>
      </c>
      <c r="E202" s="257" t="s">
        <v>305</v>
      </c>
      <c r="F202" s="258">
        <f t="shared" si="87"/>
        <v>1.3</v>
      </c>
      <c r="G202" s="258">
        <f t="shared" si="105"/>
        <v>1.3</v>
      </c>
      <c r="H202" s="1632">
        <v>251.073172</v>
      </c>
      <c r="I202" s="1633">
        <v>65.636175100000003</v>
      </c>
      <c r="J202" s="474">
        <f t="shared" si="88"/>
        <v>64.636175100000003</v>
      </c>
      <c r="K202" s="474">
        <f t="shared" si="89"/>
        <v>32.318087550000001</v>
      </c>
      <c r="L202" s="474">
        <f t="shared" si="75"/>
        <v>0.53461916118589337</v>
      </c>
      <c r="M202" s="474">
        <f t="shared" si="76"/>
        <v>134.22852861092153</v>
      </c>
      <c r="N202" s="474">
        <f t="shared" si="77"/>
        <v>268.45705722184306</v>
      </c>
      <c r="O202" s="474">
        <f>+C196+D197+D198+D199+D200+D201+(D202/2)</f>
        <v>6.5</v>
      </c>
      <c r="P202" s="474">
        <f t="shared" si="78"/>
        <v>0.11320321376790661</v>
      </c>
      <c r="Q202" s="474">
        <f t="shared" si="79"/>
        <v>30.390201636187438</v>
      </c>
      <c r="R202" s="474">
        <f t="shared" si="90"/>
        <v>295.26309681072854</v>
      </c>
      <c r="S202" s="474">
        <f t="shared" si="106"/>
        <v>325.65329844691598</v>
      </c>
      <c r="T202" s="476">
        <f t="shared" si="80"/>
        <v>325.65329844691598</v>
      </c>
      <c r="V202" s="1635">
        <f t="shared" si="81"/>
        <v>0</v>
      </c>
      <c r="W202" s="437"/>
      <c r="X202" s="437"/>
      <c r="Y202" s="437"/>
      <c r="Z202" s="437"/>
      <c r="AA202" s="437"/>
      <c r="AB202" s="295" t="str">
        <f t="shared" si="91"/>
        <v>use the locking pin</v>
      </c>
      <c r="AC202" s="1636" t="b">
        <f>IF(AD202=7,AF202)</f>
        <v>0</v>
      </c>
      <c r="AD202" s="1636">
        <f t="shared" si="92"/>
        <v>1</v>
      </c>
      <c r="AE202" s="1636">
        <f>IF(V202=0,0,7)</f>
        <v>0</v>
      </c>
      <c r="AF202" s="1637">
        <f>SUM(V202:V221)/($B$193-B201)</f>
        <v>0</v>
      </c>
      <c r="AG202" s="1638"/>
      <c r="AH202" s="450">
        <f>SUM(D197:D202)+$C$196</f>
        <v>7</v>
      </c>
      <c r="AI202" s="516" t="b">
        <f t="shared" si="93"/>
        <v>0</v>
      </c>
      <c r="AJ202" s="718">
        <f t="shared" si="94"/>
        <v>68.499008599999996</v>
      </c>
      <c r="AK202" s="1639">
        <f t="shared" si="82"/>
        <v>0.93041122620083849</v>
      </c>
      <c r="AL202" s="1639">
        <f t="shared" si="95"/>
        <v>270.41738720240846</v>
      </c>
      <c r="AM202" s="1640">
        <f t="shared" si="96"/>
        <v>64.181912400000002</v>
      </c>
      <c r="AN202" s="1639">
        <f t="shared" si="97"/>
        <v>0.90018132923109617</v>
      </c>
      <c r="AO202" s="1641">
        <f t="shared" si="98"/>
        <v>226.01138170522765</v>
      </c>
      <c r="AP202" s="287">
        <f t="shared" si="83"/>
        <v>-32.891716617253131</v>
      </c>
      <c r="AQ202" s="444">
        <f t="shared" si="107"/>
        <v>-146.5</v>
      </c>
      <c r="AR202" s="444">
        <f t="shared" si="84"/>
        <v>-119.7</v>
      </c>
      <c r="AS202" s="445">
        <f t="shared" si="99"/>
        <v>496.42876890763614</v>
      </c>
      <c r="AT202" s="445">
        <f t="shared" si="108"/>
        <v>-226.01138170522765</v>
      </c>
      <c r="AU202" s="445">
        <f t="shared" si="100"/>
        <v>193.11966508797451</v>
      </c>
      <c r="AV202" s="447"/>
      <c r="AW202" s="447">
        <f t="shared" si="101"/>
        <v>-73.134560285664037</v>
      </c>
      <c r="AX202" s="1597">
        <f t="shared" si="102"/>
        <v>-46.565439714335959</v>
      </c>
      <c r="AY202" s="1597">
        <f t="shared" si="85"/>
        <v>-158.61174190000364</v>
      </c>
      <c r="AZ202" s="1642">
        <f t="shared" si="86"/>
        <v>-214.75154237449047</v>
      </c>
      <c r="BA202" s="274">
        <f t="shared" si="103"/>
        <v>158.61174190000364</v>
      </c>
      <c r="BB202" s="275">
        <f t="shared" si="103"/>
        <v>214.75154237449047</v>
      </c>
      <c r="BC202">
        <f t="shared" si="104"/>
        <v>0.3</v>
      </c>
      <c r="BE202" s="298">
        <v>35</v>
      </c>
      <c r="BF202" s="1657">
        <f t="shared" si="41"/>
        <v>989</v>
      </c>
      <c r="BG202" s="42">
        <f t="shared" si="42"/>
        <v>989</v>
      </c>
      <c r="BH202" s="301">
        <f t="shared" si="38"/>
        <v>782.84054785669821</v>
      </c>
      <c r="BI202" s="302">
        <f t="shared" si="39"/>
        <v>782.84054785669821</v>
      </c>
      <c r="BJ202" s="302">
        <f t="shared" si="43"/>
        <v>8.8405478566982367</v>
      </c>
      <c r="BK202" s="302" t="b">
        <f t="shared" si="40"/>
        <v>0</v>
      </c>
      <c r="BL202" s="304">
        <v>35</v>
      </c>
      <c r="DE202" s="307"/>
    </row>
    <row r="203" spans="1:109" ht="21" customHeight="1" thickBot="1" x14ac:dyDescent="0.35">
      <c r="B203" s="277">
        <v>8</v>
      </c>
      <c r="C203" s="278"/>
      <c r="D203" s="25">
        <v>1</v>
      </c>
      <c r="E203" s="257" t="s">
        <v>305</v>
      </c>
      <c r="F203" s="258">
        <f t="shared" si="87"/>
        <v>1.3</v>
      </c>
      <c r="G203" s="258">
        <f t="shared" si="105"/>
        <v>1.3</v>
      </c>
      <c r="H203" s="1632">
        <v>251.073172</v>
      </c>
      <c r="I203" s="1633">
        <v>65.636175100000003</v>
      </c>
      <c r="J203" s="474">
        <f t="shared" si="88"/>
        <v>64.636175100000003</v>
      </c>
      <c r="K203" s="474">
        <f t="shared" si="89"/>
        <v>32.318087550000001</v>
      </c>
      <c r="L203" s="474">
        <f t="shared" si="75"/>
        <v>0.53461916118589337</v>
      </c>
      <c r="M203" s="474">
        <f t="shared" si="76"/>
        <v>134.22852861092153</v>
      </c>
      <c r="N203" s="474">
        <f t="shared" si="77"/>
        <v>268.45705722184306</v>
      </c>
      <c r="O203" s="474">
        <f>+C196+D197+D198+D199+D200+D201+D202+(D203/2)</f>
        <v>7.5</v>
      </c>
      <c r="P203" s="474">
        <f t="shared" si="78"/>
        <v>0.13052619222005146</v>
      </c>
      <c r="Q203" s="474">
        <f t="shared" si="79"/>
        <v>35.040677453767643</v>
      </c>
      <c r="R203" s="474">
        <f t="shared" si="90"/>
        <v>325.65329844691598</v>
      </c>
      <c r="S203" s="474">
        <f t="shared" si="106"/>
        <v>360.69397590068365</v>
      </c>
      <c r="T203" s="476">
        <f t="shared" si="80"/>
        <v>360.69397590068365</v>
      </c>
      <c r="V203" s="1635">
        <f t="shared" si="81"/>
        <v>0</v>
      </c>
      <c r="W203" s="437"/>
      <c r="X203" s="437"/>
      <c r="Y203" s="437"/>
      <c r="Z203" s="437"/>
      <c r="AA203" s="437"/>
      <c r="AB203" s="295" t="str">
        <f t="shared" si="91"/>
        <v>use the locking pin</v>
      </c>
      <c r="AC203" s="1636" t="b">
        <f>IF(AD203=8,AF203)</f>
        <v>0</v>
      </c>
      <c r="AD203" s="1636">
        <f t="shared" si="92"/>
        <v>1</v>
      </c>
      <c r="AE203" s="1636">
        <f>IF(V203=0,0,8)</f>
        <v>0</v>
      </c>
      <c r="AF203" s="1637">
        <f>SUM(V203:V221)/($B$193-B202)</f>
        <v>0</v>
      </c>
      <c r="AG203" s="1638"/>
      <c r="AH203" s="450">
        <f>SUM(D197:D203)+$C$196</f>
        <v>8</v>
      </c>
      <c r="AI203" s="516" t="b">
        <f t="shared" si="93"/>
        <v>0</v>
      </c>
      <c r="AJ203" s="718">
        <f t="shared" si="94"/>
        <v>67.499008599999996</v>
      </c>
      <c r="AK203" s="1639">
        <f t="shared" si="82"/>
        <v>0.92387291072723265</v>
      </c>
      <c r="AL203" s="1639">
        <f t="shared" si="95"/>
        <v>268.5170724412709</v>
      </c>
      <c r="AM203" s="1640">
        <f t="shared" si="96"/>
        <v>65.181912400000002</v>
      </c>
      <c r="AN203" s="1639">
        <f t="shared" si="97"/>
        <v>0.9076450172391024</v>
      </c>
      <c r="AO203" s="1641">
        <f t="shared" si="98"/>
        <v>227.88531352821613</v>
      </c>
      <c r="AP203" s="287">
        <f t="shared" si="83"/>
        <v>-26.423748181779864</v>
      </c>
      <c r="AQ203" s="444">
        <f t="shared" si="107"/>
        <v>-175.8</v>
      </c>
      <c r="AR203" s="444">
        <f t="shared" si="84"/>
        <v>-149</v>
      </c>
      <c r="AS203" s="445">
        <f t="shared" si="99"/>
        <v>496.402385969487</v>
      </c>
      <c r="AT203" s="445">
        <f t="shared" si="108"/>
        <v>-227.88531352821613</v>
      </c>
      <c r="AU203" s="445">
        <f t="shared" si="100"/>
        <v>201.46156534643626</v>
      </c>
      <c r="AV203" s="447"/>
      <c r="AW203" s="447">
        <f t="shared" si="101"/>
        <v>-88.529353433719905</v>
      </c>
      <c r="AX203" s="1597">
        <f t="shared" si="102"/>
        <v>-60.470646566280088</v>
      </c>
      <c r="AY203" s="1597">
        <f t="shared" si="85"/>
        <v>-131.02998666633977</v>
      </c>
      <c r="AZ203" s="1642">
        <f t="shared" si="86"/>
        <v>-165.36949028714776</v>
      </c>
      <c r="BA203" s="274">
        <f t="shared" si="103"/>
        <v>131.02998666633977</v>
      </c>
      <c r="BB203" s="275">
        <f t="shared" si="103"/>
        <v>165.36949028714776</v>
      </c>
      <c r="BC203">
        <f t="shared" si="104"/>
        <v>0.3</v>
      </c>
      <c r="BE203" s="298">
        <v>36</v>
      </c>
      <c r="BF203" s="1657">
        <f t="shared" si="41"/>
        <v>1032</v>
      </c>
      <c r="BG203" s="42">
        <f t="shared" si="42"/>
        <v>1032</v>
      </c>
      <c r="BH203" s="301">
        <f t="shared" si="38"/>
        <v>825.84054785669821</v>
      </c>
      <c r="BI203" s="302">
        <f t="shared" si="39"/>
        <v>825.84054785669821</v>
      </c>
      <c r="BJ203" s="302">
        <f t="shared" si="43"/>
        <v>8.8405478566982367</v>
      </c>
      <c r="BK203" s="302" t="b">
        <f t="shared" si="40"/>
        <v>0</v>
      </c>
      <c r="BL203" s="304">
        <v>36</v>
      </c>
    </row>
    <row r="204" spans="1:109" ht="21" customHeight="1" thickBot="1" x14ac:dyDescent="0.35">
      <c r="B204" s="277">
        <v>9</v>
      </c>
      <c r="C204" s="278"/>
      <c r="D204" s="25">
        <v>1</v>
      </c>
      <c r="E204" s="257" t="s">
        <v>305</v>
      </c>
      <c r="F204" s="258">
        <f t="shared" si="87"/>
        <v>1.3</v>
      </c>
      <c r="G204" s="258">
        <f t="shared" si="105"/>
        <v>1.3</v>
      </c>
      <c r="H204" s="1632">
        <v>251.073172</v>
      </c>
      <c r="I204" s="1633">
        <v>65.636175100000003</v>
      </c>
      <c r="J204" s="474">
        <f t="shared" si="88"/>
        <v>64.636175100000003</v>
      </c>
      <c r="K204" s="474">
        <f t="shared" si="89"/>
        <v>32.318087550000001</v>
      </c>
      <c r="L204" s="474">
        <f t="shared" si="75"/>
        <v>0.53461916118589337</v>
      </c>
      <c r="M204" s="474">
        <f t="shared" si="76"/>
        <v>134.22852861092153</v>
      </c>
      <c r="N204" s="474">
        <f t="shared" si="77"/>
        <v>268.45705722184306</v>
      </c>
      <c r="O204" s="474">
        <f>+C196+D197+D198+D199+D200+D201+D202+D203+(D204/2)</f>
        <v>8.5</v>
      </c>
      <c r="P204" s="474">
        <f t="shared" si="78"/>
        <v>0.14780941112961046</v>
      </c>
      <c r="Q204" s="474">
        <f t="shared" si="79"/>
        <v>39.680479541548763</v>
      </c>
      <c r="R204" s="474">
        <f t="shared" si="90"/>
        <v>360.69397590068365</v>
      </c>
      <c r="S204" s="474">
        <f t="shared" si="106"/>
        <v>400.37445544223243</v>
      </c>
      <c r="T204" s="476">
        <f t="shared" si="80"/>
        <v>400.37445544223243</v>
      </c>
      <c r="V204" s="1635">
        <f t="shared" si="81"/>
        <v>0</v>
      </c>
      <c r="W204" s="437"/>
      <c r="X204" s="437"/>
      <c r="Y204" s="437"/>
      <c r="Z204" s="437"/>
      <c r="AA204" s="437"/>
      <c r="AB204" s="295" t="str">
        <f t="shared" si="91"/>
        <v>use the locking pin</v>
      </c>
      <c r="AC204" s="1636" t="b">
        <f>IF(AD204=9,AF204)</f>
        <v>0</v>
      </c>
      <c r="AD204" s="1636">
        <f t="shared" si="92"/>
        <v>1</v>
      </c>
      <c r="AE204" s="1636">
        <f>IF(V204=0,0,9)</f>
        <v>0</v>
      </c>
      <c r="AF204" s="1637">
        <f>SUM(V204:V221)/($B$193-B203)</f>
        <v>0</v>
      </c>
      <c r="AG204" s="1638"/>
      <c r="AH204" s="450">
        <f>SUM(D197:D204)+$C$196</f>
        <v>9</v>
      </c>
      <c r="AI204" s="516" t="b">
        <f t="shared" si="93"/>
        <v>0</v>
      </c>
      <c r="AJ204" s="718">
        <f t="shared" si="94"/>
        <v>66.499008599999996</v>
      </c>
      <c r="AK204" s="1639">
        <f t="shared" si="82"/>
        <v>0.91705317461526137</v>
      </c>
      <c r="AL204" s="1639">
        <f t="shared" si="95"/>
        <v>266.53496477868435</v>
      </c>
      <c r="AM204" s="1640">
        <f t="shared" si="96"/>
        <v>66.181912400000002</v>
      </c>
      <c r="AN204" s="1639">
        <f t="shared" si="97"/>
        <v>0.91483222778230289</v>
      </c>
      <c r="AO204" s="1641">
        <f t="shared" si="98"/>
        <v>229.68982927712932</v>
      </c>
      <c r="AP204" s="287">
        <f t="shared" si="83"/>
        <v>-22.081539422799779</v>
      </c>
      <c r="AQ204" s="444">
        <f t="shared" si="107"/>
        <v>-205.1</v>
      </c>
      <c r="AR204" s="444">
        <f t="shared" si="84"/>
        <v>-178.29999999999998</v>
      </c>
      <c r="AS204" s="445">
        <f t="shared" si="99"/>
        <v>496.22479405581367</v>
      </c>
      <c r="AT204" s="445">
        <f t="shared" si="108"/>
        <v>-229.68982927712932</v>
      </c>
      <c r="AU204" s="445">
        <f t="shared" si="100"/>
        <v>207.60828985432954</v>
      </c>
      <c r="AV204" s="447"/>
      <c r="AW204" s="447">
        <f t="shared" si="101"/>
        <v>-103.7036506751747</v>
      </c>
      <c r="AX204" s="1597">
        <f t="shared" si="102"/>
        <v>-74.596349324825269</v>
      </c>
      <c r="AY204" s="1597">
        <f t="shared" si="85"/>
        <v>-111.85720005493393</v>
      </c>
      <c r="AZ204" s="1642">
        <f t="shared" si="86"/>
        <v>-134.05481756829155</v>
      </c>
      <c r="BA204" s="274">
        <f t="shared" si="103"/>
        <v>111.85720005493393</v>
      </c>
      <c r="BB204" s="275">
        <f t="shared" si="103"/>
        <v>134.05481756829155</v>
      </c>
      <c r="BC204">
        <f t="shared" si="104"/>
        <v>0.3</v>
      </c>
      <c r="BE204" s="308">
        <v>37</v>
      </c>
      <c r="BF204" s="1679">
        <f t="shared" si="41"/>
        <v>1075</v>
      </c>
      <c r="BG204" s="42">
        <f t="shared" si="42"/>
        <v>1075</v>
      </c>
      <c r="BH204" s="301">
        <f t="shared" si="38"/>
        <v>868.84054785669821</v>
      </c>
      <c r="BI204" s="302">
        <f t="shared" si="39"/>
        <v>868.84054785669821</v>
      </c>
      <c r="BJ204" s="302">
        <f t="shared" si="43"/>
        <v>8.8405478566982367</v>
      </c>
      <c r="BK204" s="302" t="b">
        <f t="shared" si="40"/>
        <v>0</v>
      </c>
      <c r="BL204" s="310">
        <v>37</v>
      </c>
    </row>
    <row r="205" spans="1:109" ht="21" customHeight="1" thickBot="1" x14ac:dyDescent="0.25">
      <c r="B205" s="277">
        <v>10</v>
      </c>
      <c r="C205" s="278"/>
      <c r="D205" s="25">
        <v>1</v>
      </c>
      <c r="E205" s="257" t="s">
        <v>305</v>
      </c>
      <c r="F205" s="258">
        <f t="shared" si="87"/>
        <v>1.3</v>
      </c>
      <c r="G205" s="258">
        <f t="shared" si="105"/>
        <v>1.3</v>
      </c>
      <c r="H205" s="1632">
        <v>251.073172</v>
      </c>
      <c r="I205" s="1633">
        <v>65.636175100000003</v>
      </c>
      <c r="J205" s="474">
        <f t="shared" si="88"/>
        <v>64.636175100000003</v>
      </c>
      <c r="K205" s="474">
        <f t="shared" si="89"/>
        <v>32.318087550000001</v>
      </c>
      <c r="L205" s="474">
        <f t="shared" si="75"/>
        <v>0.53461916118589337</v>
      </c>
      <c r="M205" s="474">
        <f t="shared" si="76"/>
        <v>134.22852861092153</v>
      </c>
      <c r="N205" s="474">
        <f t="shared" si="77"/>
        <v>268.45705722184306</v>
      </c>
      <c r="O205" s="474">
        <f>+C196+D197+D198+D199+D200+D201+D202+D203+D204+(D205/2)</f>
        <v>9.5</v>
      </c>
      <c r="P205" s="474">
        <f t="shared" si="78"/>
        <v>0.16504760586067749</v>
      </c>
      <c r="Q205" s="474">
        <f t="shared" si="79"/>
        <v>44.308194570868096</v>
      </c>
      <c r="R205" s="474">
        <f t="shared" si="90"/>
        <v>400.37445544223243</v>
      </c>
      <c r="S205" s="474">
        <f t="shared" si="106"/>
        <v>444.68265001310056</v>
      </c>
      <c r="T205" s="476">
        <f t="shared" si="80"/>
        <v>444.68265001310056</v>
      </c>
      <c r="V205" s="1635">
        <f t="shared" si="81"/>
        <v>0</v>
      </c>
      <c r="W205" s="437"/>
      <c r="X205" s="437"/>
      <c r="Y205" s="437"/>
      <c r="Z205" s="437"/>
      <c r="AA205" s="437"/>
      <c r="AB205" s="295" t="str">
        <f t="shared" si="91"/>
        <v>use the locking pin</v>
      </c>
      <c r="AC205" s="1636" t="b">
        <f>IF(AD205=10,AF205)</f>
        <v>0</v>
      </c>
      <c r="AD205" s="1636">
        <f t="shared" si="92"/>
        <v>1</v>
      </c>
      <c r="AE205" s="1636">
        <f>IF(V205=0,0,10)</f>
        <v>0</v>
      </c>
      <c r="AF205" s="1637">
        <f>SUM(V205:V221)/($B$193-B204)</f>
        <v>0</v>
      </c>
      <c r="AG205" s="1638"/>
      <c r="AH205" s="450">
        <f>SUM(D197:D205)+$C$196</f>
        <v>10</v>
      </c>
      <c r="AI205" s="516" t="b">
        <f t="shared" si="93"/>
        <v>0</v>
      </c>
      <c r="AJ205" s="718">
        <f t="shared" si="94"/>
        <v>65.499008599999996</v>
      </c>
      <c r="AK205" s="1639">
        <f t="shared" si="82"/>
        <v>0.90995409522260873</v>
      </c>
      <c r="AL205" s="1639">
        <f t="shared" si="95"/>
        <v>264.4716679838441</v>
      </c>
      <c r="AM205" s="1640">
        <f t="shared" si="96"/>
        <v>67.181912400000002</v>
      </c>
      <c r="AN205" s="1639">
        <f t="shared" si="97"/>
        <v>0.92174077156674206</v>
      </c>
      <c r="AO205" s="1641">
        <f t="shared" si="98"/>
        <v>231.42437927898933</v>
      </c>
      <c r="AP205" s="287">
        <f t="shared" si="83"/>
        <v>-18.965021575554914</v>
      </c>
      <c r="AQ205" s="444">
        <f t="shared" si="107"/>
        <v>-234.4</v>
      </c>
      <c r="AR205" s="444">
        <f t="shared" si="84"/>
        <v>-207.6</v>
      </c>
      <c r="AS205" s="445">
        <f t="shared" si="99"/>
        <v>495.89604726283346</v>
      </c>
      <c r="AT205" s="445">
        <f t="shared" si="108"/>
        <v>-231.42437927898933</v>
      </c>
      <c r="AU205" s="445">
        <f t="shared" si="100"/>
        <v>212.45935770343442</v>
      </c>
      <c r="AV205" s="447"/>
      <c r="AW205" s="447">
        <f t="shared" si="101"/>
        <v>-118.6568376120656</v>
      </c>
      <c r="AX205" s="1597">
        <f t="shared" si="102"/>
        <v>-88.943162387934393</v>
      </c>
      <c r="AY205" s="1597">
        <f t="shared" si="85"/>
        <v>-97.760906437813716</v>
      </c>
      <c r="AZ205" s="1642">
        <f t="shared" si="86"/>
        <v>-112.43135201764034</v>
      </c>
      <c r="BA205" s="274">
        <f t="shared" si="103"/>
        <v>97.760906437813716</v>
      </c>
      <c r="BB205" s="275">
        <f t="shared" si="103"/>
        <v>112.43135201764034</v>
      </c>
      <c r="BC205">
        <f t="shared" si="104"/>
        <v>0.3</v>
      </c>
    </row>
    <row r="206" spans="1:109" ht="21" customHeight="1" thickBot="1" x14ac:dyDescent="0.25">
      <c r="A206" s="296"/>
      <c r="B206" s="277">
        <v>11</v>
      </c>
      <c r="C206" s="278"/>
      <c r="D206" s="25">
        <v>1</v>
      </c>
      <c r="E206" s="257" t="s">
        <v>305</v>
      </c>
      <c r="F206" s="258">
        <f t="shared" si="87"/>
        <v>1.3</v>
      </c>
      <c r="G206" s="258">
        <f t="shared" si="105"/>
        <v>1.3</v>
      </c>
      <c r="H206" s="1632">
        <v>251.073172</v>
      </c>
      <c r="I206" s="1633">
        <v>65.636175100000003</v>
      </c>
      <c r="J206" s="474">
        <f t="shared" si="88"/>
        <v>64.636175100000003</v>
      </c>
      <c r="K206" s="474">
        <f t="shared" si="89"/>
        <v>32.318087550000001</v>
      </c>
      <c r="L206" s="474">
        <f t="shared" si="75"/>
        <v>0.53461916118589337</v>
      </c>
      <c r="M206" s="474">
        <f t="shared" si="76"/>
        <v>134.22852861092153</v>
      </c>
      <c r="N206" s="474">
        <f t="shared" si="77"/>
        <v>268.45705722184306</v>
      </c>
      <c r="O206" s="474">
        <f>+C196+D197+D198+D199+D200+D201+D202+D203+D204+D205+(D206/2)</f>
        <v>10.5</v>
      </c>
      <c r="P206" s="474">
        <f t="shared" si="78"/>
        <v>0.18223552549214728</v>
      </c>
      <c r="Q206" s="474">
        <f t="shared" si="79"/>
        <v>48.922412894898024</v>
      </c>
      <c r="R206" s="474">
        <f t="shared" si="90"/>
        <v>444.68265001310056</v>
      </c>
      <c r="S206" s="474">
        <f t="shared" si="106"/>
        <v>493.60506290799856</v>
      </c>
      <c r="T206" s="476">
        <f t="shared" si="80"/>
        <v>493.60506290799856</v>
      </c>
      <c r="V206" s="1635">
        <f t="shared" si="81"/>
        <v>0</v>
      </c>
      <c r="W206" s="437"/>
      <c r="X206" s="437"/>
      <c r="Y206" s="437"/>
      <c r="Z206" s="437"/>
      <c r="AA206" s="437"/>
      <c r="AB206" s="295" t="str">
        <f t="shared" si="91"/>
        <v>use the locking pin</v>
      </c>
      <c r="AC206" s="1636" t="b">
        <f>IF(AD206=11,AF206)</f>
        <v>0</v>
      </c>
      <c r="AD206" s="1636">
        <f t="shared" si="92"/>
        <v>1</v>
      </c>
      <c r="AE206" s="1636">
        <f>IF(V206=0,0,11)</f>
        <v>0</v>
      </c>
      <c r="AF206" s="1637">
        <f>SUM(V206:V221)/($B$193-B205)</f>
        <v>0</v>
      </c>
      <c r="AG206" s="1638"/>
      <c r="AH206" s="450">
        <f>SUM(D197:D206)+$C$196</f>
        <v>11</v>
      </c>
      <c r="AI206" s="516" t="b">
        <f t="shared" si="93"/>
        <v>0</v>
      </c>
      <c r="AJ206" s="718">
        <f t="shared" si="94"/>
        <v>64.499008599999996</v>
      </c>
      <c r="AK206" s="1639">
        <f t="shared" si="82"/>
        <v>0.902577834997628</v>
      </c>
      <c r="AL206" s="1639">
        <f t="shared" si="95"/>
        <v>262.32781055694142</v>
      </c>
      <c r="AM206" s="1640">
        <f t="shared" si="96"/>
        <v>68.181912400000002</v>
      </c>
      <c r="AN206" s="1639">
        <f t="shared" si="97"/>
        <v>0.9283685441830587</v>
      </c>
      <c r="AO206" s="1641">
        <f t="shared" si="98"/>
        <v>233.08843517306269</v>
      </c>
      <c r="AP206" s="287">
        <f t="shared" si="83"/>
        <v>-16.619411055657242</v>
      </c>
      <c r="AQ206" s="444">
        <f t="shared" si="107"/>
        <v>-263.7</v>
      </c>
      <c r="AR206" s="444">
        <f t="shared" si="84"/>
        <v>-236.89999999999998</v>
      </c>
      <c r="AS206" s="445">
        <f t="shared" si="99"/>
        <v>495.41624573000411</v>
      </c>
      <c r="AT206" s="445">
        <f t="shared" si="108"/>
        <v>-233.08843517306269</v>
      </c>
      <c r="AU206" s="445">
        <f t="shared" si="100"/>
        <v>216.46902411740544</v>
      </c>
      <c r="AV206" s="447"/>
      <c r="AW206" s="447">
        <f t="shared" si="101"/>
        <v>-133.38802949961971</v>
      </c>
      <c r="AX206" s="1597">
        <f t="shared" si="102"/>
        <v>-103.5119705003803</v>
      </c>
      <c r="AY206" s="1597">
        <f t="shared" si="85"/>
        <v>-86.964325385982789</v>
      </c>
      <c r="AZ206" s="1642">
        <f t="shared" si="86"/>
        <v>-96.607184189999174</v>
      </c>
      <c r="BA206" s="274">
        <f t="shared" si="103"/>
        <v>86.964325385982789</v>
      </c>
      <c r="BB206" s="275">
        <f t="shared" si="103"/>
        <v>96.607184189999174</v>
      </c>
      <c r="BC206">
        <f t="shared" si="104"/>
        <v>0.3</v>
      </c>
    </row>
    <row r="207" spans="1:109" ht="21" customHeight="1" thickBot="1" x14ac:dyDescent="0.25">
      <c r="A207" s="296"/>
      <c r="B207" s="277">
        <v>12</v>
      </c>
      <c r="C207" s="278"/>
      <c r="D207" s="25">
        <v>1</v>
      </c>
      <c r="E207" s="257" t="s">
        <v>305</v>
      </c>
      <c r="F207" s="258">
        <f t="shared" si="87"/>
        <v>1.3</v>
      </c>
      <c r="G207" s="258">
        <f t="shared" si="105"/>
        <v>1.3</v>
      </c>
      <c r="H207" s="1632">
        <v>251.073172</v>
      </c>
      <c r="I207" s="1633">
        <v>65.636175100000003</v>
      </c>
      <c r="J207" s="474">
        <f t="shared" si="88"/>
        <v>64.636175100000003</v>
      </c>
      <c r="K207" s="474">
        <f t="shared" si="89"/>
        <v>32.318087550000001</v>
      </c>
      <c r="L207" s="474">
        <f t="shared" si="75"/>
        <v>0.53461916118589337</v>
      </c>
      <c r="M207" s="474">
        <f t="shared" si="76"/>
        <v>134.22852861092153</v>
      </c>
      <c r="N207" s="474">
        <f t="shared" si="77"/>
        <v>268.45705722184306</v>
      </c>
      <c r="O207" s="474">
        <f>+C196+D197+D198+D199+D200+D201+D202+D203+D204+D205+D206+(D207/2)</f>
        <v>11.5</v>
      </c>
      <c r="P207" s="474">
        <f t="shared" si="78"/>
        <v>0.19936793441719697</v>
      </c>
      <c r="Q207" s="474">
        <f t="shared" si="79"/>
        <v>53.521728978038098</v>
      </c>
      <c r="R207" s="474">
        <f t="shared" si="90"/>
        <v>493.60506290799856</v>
      </c>
      <c r="S207" s="474">
        <f t="shared" si="106"/>
        <v>547.1267918860367</v>
      </c>
      <c r="T207" s="476">
        <f t="shared" si="80"/>
        <v>547.1267918860367</v>
      </c>
      <c r="V207" s="1635">
        <f t="shared" si="81"/>
        <v>0</v>
      </c>
      <c r="W207" s="437"/>
      <c r="X207" s="437"/>
      <c r="Y207" s="437"/>
      <c r="Z207" s="437"/>
      <c r="AA207" s="437"/>
      <c r="AB207" s="295" t="str">
        <f t="shared" si="91"/>
        <v>use the locking pin</v>
      </c>
      <c r="AC207" s="1636" t="b">
        <f>IF(AD207=12,AF207)</f>
        <v>0</v>
      </c>
      <c r="AD207" s="1636">
        <f t="shared" si="92"/>
        <v>1</v>
      </c>
      <c r="AE207" s="1636">
        <f>IF(V207=0,0,12)</f>
        <v>0</v>
      </c>
      <c r="AF207" s="1637">
        <f>SUM(V207:V221)/($B$193-B206)</f>
        <v>0</v>
      </c>
      <c r="AG207" s="1638"/>
      <c r="AH207" s="450">
        <f>SUM(D197:D207)+$C$196</f>
        <v>12</v>
      </c>
      <c r="AI207" s="516" t="b">
        <f t="shared" si="93"/>
        <v>0</v>
      </c>
      <c r="AJ207" s="718">
        <f t="shared" si="94"/>
        <v>63.499008599999996</v>
      </c>
      <c r="AK207" s="1639">
        <f t="shared" si="82"/>
        <v>0.89492664082063922</v>
      </c>
      <c r="AL207" s="1639">
        <f t="shared" si="95"/>
        <v>260.1040455377165</v>
      </c>
      <c r="AM207" s="1640">
        <f t="shared" si="96"/>
        <v>69.181912400000002</v>
      </c>
      <c r="AN207" s="1639">
        <f t="shared" si="97"/>
        <v>0.93471352674750907</v>
      </c>
      <c r="AO207" s="1641">
        <f t="shared" si="98"/>
        <v>234.68149007180395</v>
      </c>
      <c r="AP207" s="287">
        <f t="shared" si="83"/>
        <v>-14.790152062679189</v>
      </c>
      <c r="AQ207" s="444">
        <f t="shared" si="107"/>
        <v>-293</v>
      </c>
      <c r="AR207" s="444">
        <f t="shared" si="84"/>
        <v>-266.2</v>
      </c>
      <c r="AS207" s="445">
        <f t="shared" si="99"/>
        <v>494.78553560952048</v>
      </c>
      <c r="AT207" s="445">
        <f t="shared" si="108"/>
        <v>-234.68149007180395</v>
      </c>
      <c r="AU207" s="445">
        <f t="shared" si="100"/>
        <v>219.89133800912475</v>
      </c>
      <c r="AV207" s="447"/>
      <c r="AW207" s="447">
        <f t="shared" si="101"/>
        <v>-147.89606836642801</v>
      </c>
      <c r="AX207" s="1597">
        <f t="shared" si="102"/>
        <v>-118.30393163357198</v>
      </c>
      <c r="AY207" s="1597">
        <f t="shared" si="85"/>
        <v>-78.433457549796287</v>
      </c>
      <c r="AZ207" s="1642">
        <f t="shared" si="86"/>
        <v>-84.528044519884972</v>
      </c>
      <c r="BA207" s="274">
        <f t="shared" si="103"/>
        <v>78.433457549796287</v>
      </c>
      <c r="BB207" s="275">
        <f t="shared" si="103"/>
        <v>84.528044519884972</v>
      </c>
      <c r="BC207">
        <f t="shared" si="104"/>
        <v>0.3</v>
      </c>
    </row>
    <row r="208" spans="1:109" ht="21" customHeight="1" thickBot="1" x14ac:dyDescent="0.25">
      <c r="B208" s="277">
        <v>13</v>
      </c>
      <c r="C208" s="278"/>
      <c r="D208" s="25">
        <v>1</v>
      </c>
      <c r="E208" s="257" t="s">
        <v>305</v>
      </c>
      <c r="F208" s="258">
        <f t="shared" si="87"/>
        <v>1.3</v>
      </c>
      <c r="G208" s="258">
        <f t="shared" si="105"/>
        <v>1.3</v>
      </c>
      <c r="H208" s="1632">
        <v>251.073172</v>
      </c>
      <c r="I208" s="1633">
        <v>65.636175100000003</v>
      </c>
      <c r="J208" s="474">
        <f t="shared" si="88"/>
        <v>64.636175100000003</v>
      </c>
      <c r="K208" s="474">
        <f t="shared" si="89"/>
        <v>32.318087550000001</v>
      </c>
      <c r="L208" s="474">
        <f t="shared" si="75"/>
        <v>0.53461916118589337</v>
      </c>
      <c r="M208" s="474">
        <f t="shared" si="76"/>
        <v>134.22852861092153</v>
      </c>
      <c r="N208" s="474">
        <f t="shared" si="77"/>
        <v>268.45705722184306</v>
      </c>
      <c r="O208" s="474">
        <f>+C196+D197+D198+D199+D200+D201+D202+D203+D204+D205+D206+D207+(D208/2)</f>
        <v>12.5</v>
      </c>
      <c r="P208" s="474">
        <f t="shared" si="78"/>
        <v>0.21643961393810265</v>
      </c>
      <c r="Q208" s="474">
        <f t="shared" si="79"/>
        <v>58.104741824054848</v>
      </c>
      <c r="R208" s="474">
        <f t="shared" si="90"/>
        <v>547.1267918860367</v>
      </c>
      <c r="S208" s="474">
        <f t="shared" si="106"/>
        <v>605.23153371009153</v>
      </c>
      <c r="T208" s="476">
        <f t="shared" si="80"/>
        <v>605.23153371009153</v>
      </c>
      <c r="V208" s="1635">
        <f t="shared" si="81"/>
        <v>0</v>
      </c>
      <c r="W208" s="437"/>
      <c r="X208" s="437"/>
      <c r="Y208" s="437"/>
      <c r="Z208" s="437"/>
      <c r="AA208" s="437"/>
      <c r="AB208" s="295" t="str">
        <f t="shared" si="91"/>
        <v>use the locking pin</v>
      </c>
      <c r="AC208" s="1636" t="b">
        <f>IF(AD208=13,AF208)</f>
        <v>0</v>
      </c>
      <c r="AD208" s="1636">
        <f t="shared" si="92"/>
        <v>1</v>
      </c>
      <c r="AE208" s="1636">
        <f>IF(V208=0,0,13)</f>
        <v>0</v>
      </c>
      <c r="AF208" s="1637">
        <f>SUM(V208:V221)/($B$193-B207)</f>
        <v>0</v>
      </c>
      <c r="AG208" s="1638"/>
      <c r="AH208" s="450">
        <f>SUM(D197:D208)+$C$196</f>
        <v>13</v>
      </c>
      <c r="AI208" s="516" t="b">
        <f t="shared" si="93"/>
        <v>0</v>
      </c>
      <c r="AJ208" s="718">
        <f t="shared" si="94"/>
        <v>62.499008599999996</v>
      </c>
      <c r="AK208" s="1639">
        <f t="shared" si="82"/>
        <v>0.88700284331950752</v>
      </c>
      <c r="AL208" s="1639">
        <f t="shared" si="95"/>
        <v>257.8010503065363</v>
      </c>
      <c r="AM208" s="1640">
        <f t="shared" si="96"/>
        <v>70.181912400000002</v>
      </c>
      <c r="AN208" s="1639">
        <f t="shared" si="97"/>
        <v>0.94077378651693899</v>
      </c>
      <c r="AO208" s="1641">
        <f t="shared" si="98"/>
        <v>236.20305871525869</v>
      </c>
      <c r="AP208" s="287">
        <f t="shared" si="83"/>
        <v>-13.323649675415227</v>
      </c>
      <c r="AQ208" s="444">
        <f t="shared" si="107"/>
        <v>-322.3</v>
      </c>
      <c r="AR208" s="444">
        <f t="shared" si="84"/>
        <v>-295.5</v>
      </c>
      <c r="AS208" s="445">
        <f t="shared" si="99"/>
        <v>494.00410902179499</v>
      </c>
      <c r="AT208" s="445">
        <f t="shared" si="108"/>
        <v>-236.20305871525869</v>
      </c>
      <c r="AU208" s="445">
        <f t="shared" si="100"/>
        <v>222.87940903984347</v>
      </c>
      <c r="AV208" s="447"/>
      <c r="AW208" s="447">
        <f t="shared" si="101"/>
        <v>-162.17951912042088</v>
      </c>
      <c r="AX208" s="1597">
        <f t="shared" si="102"/>
        <v>-133.32048087957912</v>
      </c>
      <c r="AY208" s="1597">
        <f t="shared" si="85"/>
        <v>-71.525677612762038</v>
      </c>
      <c r="AZ208" s="1642">
        <f t="shared" si="86"/>
        <v>-75.007230202180537</v>
      </c>
      <c r="BA208" s="274">
        <f t="shared" si="103"/>
        <v>71.525677612762038</v>
      </c>
      <c r="BB208" s="275">
        <f t="shared" si="103"/>
        <v>75.007230202180537</v>
      </c>
      <c r="BC208">
        <f t="shared" si="104"/>
        <v>0.3</v>
      </c>
    </row>
    <row r="209" spans="2:129" ht="21" customHeight="1" thickBot="1" x14ac:dyDescent="0.25">
      <c r="B209" s="277">
        <v>14</v>
      </c>
      <c r="C209" s="278"/>
      <c r="D209" s="25">
        <v>1</v>
      </c>
      <c r="E209" s="257" t="s">
        <v>305</v>
      </c>
      <c r="F209" s="258">
        <f t="shared" si="87"/>
        <v>1.3</v>
      </c>
      <c r="G209" s="258">
        <f t="shared" si="105"/>
        <v>1.3</v>
      </c>
      <c r="H209" s="1632">
        <v>251.073172</v>
      </c>
      <c r="I209" s="1633">
        <v>65.636175100000003</v>
      </c>
      <c r="J209" s="474">
        <f t="shared" si="88"/>
        <v>64.636175100000003</v>
      </c>
      <c r="K209" s="474">
        <f t="shared" si="89"/>
        <v>32.318087550000001</v>
      </c>
      <c r="L209" s="474">
        <f t="shared" si="75"/>
        <v>0.53461916118589337</v>
      </c>
      <c r="M209" s="474">
        <f t="shared" si="76"/>
        <v>134.22852861092153</v>
      </c>
      <c r="N209" s="474">
        <f t="shared" si="77"/>
        <v>268.45705722184306</v>
      </c>
      <c r="O209" s="474">
        <f>+C196+D197+D198+D199+D200+D201+D202+D203+D204+D205+D206+D207+D208+(D209/2)</f>
        <v>13.5</v>
      </c>
      <c r="P209" s="474">
        <f t="shared" si="78"/>
        <v>0.23344536385590517</v>
      </c>
      <c r="Q209" s="474">
        <f t="shared" si="79"/>
        <v>62.670055402838706</v>
      </c>
      <c r="R209" s="474">
        <f t="shared" si="90"/>
        <v>605.23153371009153</v>
      </c>
      <c r="S209" s="474">
        <f t="shared" si="106"/>
        <v>667.9015891129302</v>
      </c>
      <c r="T209" s="476">
        <f t="shared" si="80"/>
        <v>667.9015891129302</v>
      </c>
      <c r="V209" s="1635">
        <f t="shared" si="81"/>
        <v>0</v>
      </c>
      <c r="W209" s="437"/>
      <c r="X209" s="437"/>
      <c r="Y209" s="437"/>
      <c r="Z209" s="437"/>
      <c r="AA209" s="437"/>
      <c r="AB209" s="295" t="str">
        <f t="shared" si="91"/>
        <v>use the locking pin</v>
      </c>
      <c r="AC209" s="1636" t="b">
        <f>IF(AD209=14,AF209)</f>
        <v>0</v>
      </c>
      <c r="AD209" s="1636">
        <f t="shared" si="92"/>
        <v>1</v>
      </c>
      <c r="AE209" s="1636">
        <f>IF(V209=0,0,14)</f>
        <v>0</v>
      </c>
      <c r="AF209" s="1637">
        <f>SUM(V209:V221)/($B$193-B208)</f>
        <v>0</v>
      </c>
      <c r="AG209" s="1638"/>
      <c r="AH209" s="450">
        <f>SUM(D197:D209)+$C$196</f>
        <v>14</v>
      </c>
      <c r="AI209" s="516" t="b">
        <f t="shared" si="93"/>
        <v>0</v>
      </c>
      <c r="AJ209" s="718">
        <f t="shared" si="94"/>
        <v>61.499008599999996</v>
      </c>
      <c r="AK209" s="1639">
        <f t="shared" si="82"/>
        <v>0.87880885615971105</v>
      </c>
      <c r="AL209" s="1639">
        <f t="shared" si="95"/>
        <v>255.4195263780579</v>
      </c>
      <c r="AM209" s="1640">
        <f t="shared" si="96"/>
        <v>71.181912400000002</v>
      </c>
      <c r="AN209" s="1639">
        <f t="shared" si="97"/>
        <v>0.94654747747751544</v>
      </c>
      <c r="AO209" s="1641">
        <f t="shared" si="98"/>
        <v>237.65267761887836</v>
      </c>
      <c r="AP209" s="287">
        <f t="shared" si="83"/>
        <v>-12.121731770582512</v>
      </c>
      <c r="AQ209" s="444">
        <f t="shared" si="107"/>
        <v>-351.6</v>
      </c>
      <c r="AR209" s="444">
        <f t="shared" si="84"/>
        <v>-324.8</v>
      </c>
      <c r="AS209" s="445">
        <f t="shared" si="99"/>
        <v>493.07220399693625</v>
      </c>
      <c r="AT209" s="445">
        <f t="shared" si="108"/>
        <v>-237.65267761887836</v>
      </c>
      <c r="AU209" s="445">
        <f t="shared" si="100"/>
        <v>225.53094584829586</v>
      </c>
      <c r="AV209" s="447"/>
      <c r="AW209" s="447">
        <f t="shared" si="101"/>
        <v>-176.23666461477993</v>
      </c>
      <c r="AX209" s="1597">
        <f t="shared" si="102"/>
        <v>-148.56333538522009</v>
      </c>
      <c r="AY209" s="1597">
        <f t="shared" si="85"/>
        <v>-65.820582938036253</v>
      </c>
      <c r="AZ209" s="1642">
        <f t="shared" si="86"/>
        <v>-67.311358984168692</v>
      </c>
      <c r="BA209" s="274">
        <f t="shared" si="103"/>
        <v>65.820582938036253</v>
      </c>
      <c r="BB209" s="275">
        <f t="shared" si="103"/>
        <v>67.311358984168692</v>
      </c>
      <c r="BC209">
        <f t="shared" si="104"/>
        <v>0.3</v>
      </c>
    </row>
    <row r="210" spans="2:129" ht="21" customHeight="1" thickBot="1" x14ac:dyDescent="0.25">
      <c r="B210" s="277">
        <v>15</v>
      </c>
      <c r="C210" s="278"/>
      <c r="D210" s="25">
        <v>1</v>
      </c>
      <c r="E210" s="257" t="s">
        <v>305</v>
      </c>
      <c r="F210" s="258">
        <f t="shared" si="87"/>
        <v>1.3</v>
      </c>
      <c r="G210" s="258">
        <f t="shared" si="105"/>
        <v>1.3</v>
      </c>
      <c r="H210" s="1632">
        <v>251.073172</v>
      </c>
      <c r="I210" s="1633">
        <v>65.636175100000003</v>
      </c>
      <c r="J210" s="474">
        <f t="shared" si="88"/>
        <v>64.636175100000003</v>
      </c>
      <c r="K210" s="474">
        <f t="shared" si="89"/>
        <v>32.318087550000001</v>
      </c>
      <c r="L210" s="474">
        <f t="shared" si="75"/>
        <v>0.53461916118589337</v>
      </c>
      <c r="M210" s="474">
        <f t="shared" si="76"/>
        <v>134.22852861092153</v>
      </c>
      <c r="N210" s="474">
        <f t="shared" si="77"/>
        <v>268.45705722184306</v>
      </c>
      <c r="O210" s="474">
        <f>+C196+D197+D198+D199+D200+D201+D202+D203+D204+D205+D206+D207+D208+D209+(D210/2)</f>
        <v>14.5</v>
      </c>
      <c r="P210" s="474">
        <f t="shared" si="78"/>
        <v>0.25038000405444116</v>
      </c>
      <c r="Q210" s="474">
        <f t="shared" si="79"/>
        <v>67.216279075648401</v>
      </c>
      <c r="R210" s="474">
        <f t="shared" si="90"/>
        <v>667.9015891129302</v>
      </c>
      <c r="S210" s="474">
        <f t="shared" si="106"/>
        <v>735.11786818857854</v>
      </c>
      <c r="T210" s="476">
        <f t="shared" si="80"/>
        <v>735.11786818857854</v>
      </c>
      <c r="V210" s="1635">
        <f t="shared" si="81"/>
        <v>0</v>
      </c>
      <c r="W210" s="437"/>
      <c r="X210" s="437"/>
      <c r="Y210" s="437"/>
      <c r="Z210" s="437"/>
      <c r="AA210" s="437"/>
      <c r="AB210" s="295" t="str">
        <f t="shared" si="91"/>
        <v>use the locking pin</v>
      </c>
      <c r="AC210" s="1636" t="b">
        <f>IF(AD210=15,AF210)</f>
        <v>0</v>
      </c>
      <c r="AD210" s="1636">
        <f t="shared" si="92"/>
        <v>1</v>
      </c>
      <c r="AE210" s="1636">
        <f>IF(V210=0,0,15)</f>
        <v>0</v>
      </c>
      <c r="AF210" s="1637">
        <f>SUM(V210:V221)/($B$193-B209)</f>
        <v>0</v>
      </c>
      <c r="AG210" s="1638"/>
      <c r="AH210" s="450">
        <f>SUM(D197:D210)+$C$196</f>
        <v>15</v>
      </c>
      <c r="AI210" s="516" t="b">
        <f t="shared" si="93"/>
        <v>0</v>
      </c>
      <c r="AJ210" s="718">
        <f t="shared" si="94"/>
        <v>60.499008599999996</v>
      </c>
      <c r="AK210" s="1639">
        <f t="shared" si="82"/>
        <v>0.87034717530911587</v>
      </c>
      <c r="AL210" s="1639">
        <f t="shared" si="95"/>
        <v>252.96019918754024</v>
      </c>
      <c r="AM210" s="1640">
        <f t="shared" si="96"/>
        <v>72.181912400000002</v>
      </c>
      <c r="AN210" s="1639">
        <f t="shared" si="97"/>
        <v>0.95203284090704099</v>
      </c>
      <c r="AO210" s="1641">
        <f t="shared" si="98"/>
        <v>239.02990521470213</v>
      </c>
      <c r="AP210" s="287">
        <f t="shared" si="83"/>
        <v>-11.118719229271957</v>
      </c>
      <c r="AQ210" s="444">
        <f t="shared" si="107"/>
        <v>-380.90000000000003</v>
      </c>
      <c r="AR210" s="444">
        <f t="shared" si="84"/>
        <v>-354.1</v>
      </c>
      <c r="AS210" s="445">
        <f t="shared" si="99"/>
        <v>491.99010440224237</v>
      </c>
      <c r="AT210" s="445">
        <f t="shared" si="108"/>
        <v>-239.02990521470213</v>
      </c>
      <c r="AU210" s="445">
        <f t="shared" si="100"/>
        <v>227.91118598543017</v>
      </c>
      <c r="AV210" s="447"/>
      <c r="AW210" s="447">
        <f t="shared" si="101"/>
        <v>-190.06549964049847</v>
      </c>
      <c r="AX210" s="1597">
        <f t="shared" si="102"/>
        <v>-164.03450035950155</v>
      </c>
      <c r="AY210" s="1597">
        <f t="shared" si="85"/>
        <v>-61.031591856180896</v>
      </c>
      <c r="AZ210" s="1642">
        <f t="shared" si="86"/>
        <v>-60.962785134125959</v>
      </c>
      <c r="BA210" s="274">
        <f t="shared" si="103"/>
        <v>61.031591856180896</v>
      </c>
      <c r="BB210" s="275">
        <f t="shared" si="103"/>
        <v>60.962785134125959</v>
      </c>
      <c r="BC210">
        <f t="shared" si="104"/>
        <v>0.3</v>
      </c>
    </row>
    <row r="211" spans="2:129" ht="21" customHeight="1" thickBot="1" x14ac:dyDescent="0.25">
      <c r="B211" s="277">
        <v>16</v>
      </c>
      <c r="C211" s="278"/>
      <c r="D211" s="25">
        <v>1</v>
      </c>
      <c r="E211" s="257" t="s">
        <v>305</v>
      </c>
      <c r="F211" s="258">
        <f t="shared" si="87"/>
        <v>1.3</v>
      </c>
      <c r="G211" s="258">
        <f t="shared" si="105"/>
        <v>1.3</v>
      </c>
      <c r="H211" s="1632">
        <v>251.073172</v>
      </c>
      <c r="I211" s="1633">
        <v>65.636175100000003</v>
      </c>
      <c r="J211" s="474">
        <f t="shared" si="88"/>
        <v>64.636175100000003</v>
      </c>
      <c r="K211" s="474">
        <f t="shared" si="89"/>
        <v>32.318087550000001</v>
      </c>
      <c r="L211" s="474">
        <f t="shared" si="75"/>
        <v>0.53461916118589337</v>
      </c>
      <c r="M211" s="474">
        <f t="shared" si="76"/>
        <v>134.22852861092153</v>
      </c>
      <c r="N211" s="474">
        <f t="shared" si="77"/>
        <v>268.45705722184306</v>
      </c>
      <c r="O211" s="474">
        <f>+C196+D197+D198+D199+D200+D201+D202+D203+D204+D205+D206+D207+D208+D209+D210+(D211/2)</f>
        <v>15.5</v>
      </c>
      <c r="P211" s="474">
        <f t="shared" si="78"/>
        <v>0.26723837607825657</v>
      </c>
      <c r="Q211" s="474">
        <f t="shared" si="79"/>
        <v>71.742028018712944</v>
      </c>
      <c r="R211" s="474">
        <f t="shared" si="90"/>
        <v>735.11786818857854</v>
      </c>
      <c r="S211" s="474">
        <f t="shared" si="106"/>
        <v>806.85989620729151</v>
      </c>
      <c r="T211" s="476">
        <f t="shared" si="80"/>
        <v>806.85989620729151</v>
      </c>
      <c r="V211" s="1635">
        <f t="shared" si="81"/>
        <v>0</v>
      </c>
      <c r="W211" s="437"/>
      <c r="X211" s="437"/>
      <c r="Y211" s="437"/>
      <c r="Z211" s="437"/>
      <c r="AA211" s="437"/>
      <c r="AB211" s="295" t="str">
        <f t="shared" si="91"/>
        <v>use the locking pin</v>
      </c>
      <c r="AC211" s="1636" t="b">
        <f>IF(AD211=16,AF211)</f>
        <v>0</v>
      </c>
      <c r="AD211" s="1636">
        <f t="shared" si="92"/>
        <v>1</v>
      </c>
      <c r="AE211" s="1636">
        <f>IF(V211=0,0,16)</f>
        <v>0</v>
      </c>
      <c r="AF211" s="1637">
        <f>SUM(V211:V221)/($B$193-B210)</f>
        <v>0</v>
      </c>
      <c r="AG211" s="1638"/>
      <c r="AH211" s="450">
        <f>SUM(D197:D211)+$C$196</f>
        <v>16</v>
      </c>
      <c r="AI211" s="516" t="b">
        <f t="shared" si="93"/>
        <v>0</v>
      </c>
      <c r="AJ211" s="718">
        <f t="shared" si="94"/>
        <v>59.499008599999996</v>
      </c>
      <c r="AK211" s="1639">
        <f t="shared" si="82"/>
        <v>0.86162037827767901</v>
      </c>
      <c r="AL211" s="1639">
        <f t="shared" si="95"/>
        <v>250.42381786986954</v>
      </c>
      <c r="AM211" s="1640">
        <f t="shared" si="96"/>
        <v>73.181912400000002</v>
      </c>
      <c r="AN211" s="1639">
        <f t="shared" si="97"/>
        <v>0.95722820591067703</v>
      </c>
      <c r="AO211" s="1641">
        <f t="shared" si="98"/>
        <v>240.33432198586283</v>
      </c>
      <c r="AP211" s="287">
        <f t="shared" si="83"/>
        <v>-10.269010117593114</v>
      </c>
      <c r="AQ211" s="444">
        <f t="shared" si="107"/>
        <v>-410.2</v>
      </c>
      <c r="AR211" s="444">
        <f t="shared" si="84"/>
        <v>-383.4</v>
      </c>
      <c r="AS211" s="445">
        <f t="shared" si="99"/>
        <v>490.75813985573234</v>
      </c>
      <c r="AT211" s="445">
        <f t="shared" si="108"/>
        <v>-240.33432198586283</v>
      </c>
      <c r="AU211" s="445">
        <f t="shared" si="100"/>
        <v>230.0653118682697</v>
      </c>
      <c r="AV211" s="447"/>
      <c r="AW211" s="447">
        <f t="shared" si="101"/>
        <v>-203.66372380451043</v>
      </c>
      <c r="AX211" s="1597">
        <f t="shared" si="102"/>
        <v>-179.73627619548955</v>
      </c>
      <c r="AY211" s="1597">
        <f t="shared" si="85"/>
        <v>-56.956633136760416</v>
      </c>
      <c r="AZ211" s="1642">
        <f t="shared" si="86"/>
        <v>-55.637071222748233</v>
      </c>
      <c r="BA211" s="274">
        <f t="shared" si="103"/>
        <v>56.956633136760416</v>
      </c>
      <c r="BB211" s="275">
        <f t="shared" si="103"/>
        <v>55.637071222748233</v>
      </c>
      <c r="BC211">
        <f t="shared" si="104"/>
        <v>0.3</v>
      </c>
    </row>
    <row r="212" spans="2:129" ht="21" customHeight="1" thickBot="1" x14ac:dyDescent="0.25">
      <c r="B212" s="277">
        <v>17</v>
      </c>
      <c r="C212" s="278"/>
      <c r="D212" s="25">
        <v>1</v>
      </c>
      <c r="E212" s="257" t="s">
        <v>305</v>
      </c>
      <c r="F212" s="258">
        <f t="shared" si="87"/>
        <v>1.3</v>
      </c>
      <c r="G212" s="258">
        <f t="shared" si="105"/>
        <v>1.3</v>
      </c>
      <c r="H212" s="1632">
        <v>251.073172</v>
      </c>
      <c r="I212" s="1633">
        <v>65.636175100000003</v>
      </c>
      <c r="J212" s="474">
        <f t="shared" si="88"/>
        <v>64.636175100000003</v>
      </c>
      <c r="K212" s="474">
        <f t="shared" si="89"/>
        <v>32.318087550000001</v>
      </c>
      <c r="L212" s="474">
        <f t="shared" si="75"/>
        <v>0.53461916118589337</v>
      </c>
      <c r="M212" s="474">
        <f t="shared" si="76"/>
        <v>134.22852861092153</v>
      </c>
      <c r="N212" s="474">
        <f t="shared" si="77"/>
        <v>268.45705722184306</v>
      </c>
      <c r="O212" s="474">
        <f>+C196+D197+D198+D199+D200+D201+D202+D203+D204+D205+D206+D207+D208+D209+D210+D211+(D212/2)</f>
        <v>16.5</v>
      </c>
      <c r="P212" s="474">
        <f t="shared" si="78"/>
        <v>0.28401534470392237</v>
      </c>
      <c r="Q212" s="474">
        <f t="shared" si="79"/>
        <v>76.245923645062362</v>
      </c>
      <c r="R212" s="474">
        <f t="shared" si="90"/>
        <v>806.85989620729151</v>
      </c>
      <c r="S212" s="474">
        <f t="shared" si="106"/>
        <v>883.10581985235387</v>
      </c>
      <c r="T212" s="476">
        <f t="shared" si="80"/>
        <v>883.10581985235387</v>
      </c>
      <c r="V212" s="1635">
        <f t="shared" si="81"/>
        <v>0</v>
      </c>
      <c r="W212" s="437"/>
      <c r="X212" s="437"/>
      <c r="Y212" s="437"/>
      <c r="Z212" s="437"/>
      <c r="AA212" s="437"/>
      <c r="AB212" s="295" t="str">
        <f t="shared" si="91"/>
        <v>use the locking pin</v>
      </c>
      <c r="AC212" s="1636" t="b">
        <f>IF(AD212=17,AF212)</f>
        <v>0</v>
      </c>
      <c r="AD212" s="1636">
        <f t="shared" si="92"/>
        <v>1</v>
      </c>
      <c r="AE212" s="1636">
        <f>IF(V212=0,0,17)</f>
        <v>0</v>
      </c>
      <c r="AF212" s="1637">
        <f>SUM(V212:V221)/($B$193-B211)</f>
        <v>0</v>
      </c>
      <c r="AG212" s="1638"/>
      <c r="AH212" s="450">
        <f>SUM(D197:D212)+$C$196</f>
        <v>17</v>
      </c>
      <c r="AI212" s="516" t="b">
        <f t="shared" si="93"/>
        <v>0</v>
      </c>
      <c r="AJ212" s="718">
        <f t="shared" si="94"/>
        <v>58.499008599999996</v>
      </c>
      <c r="AK212" s="1639">
        <f t="shared" si="82"/>
        <v>0.85263112333231494</v>
      </c>
      <c r="AL212" s="1639">
        <f t="shared" si="95"/>
        <v>247.81115503136576</v>
      </c>
      <c r="AM212" s="1640">
        <f t="shared" si="96"/>
        <v>74.181912400000002</v>
      </c>
      <c r="AN212" s="1639">
        <f t="shared" si="97"/>
        <v>0.96213198992991489</v>
      </c>
      <c r="AO212" s="1641">
        <f t="shared" si="98"/>
        <v>241.56553059437579</v>
      </c>
      <c r="AP212" s="287">
        <f t="shared" si="83"/>
        <v>-9.5399526995037558</v>
      </c>
      <c r="AQ212" s="444">
        <f t="shared" si="107"/>
        <v>-439.5</v>
      </c>
      <c r="AR212" s="444">
        <f t="shared" si="84"/>
        <v>-412.7</v>
      </c>
      <c r="AS212" s="445">
        <f t="shared" si="99"/>
        <v>489.37668562574152</v>
      </c>
      <c r="AT212" s="445">
        <f t="shared" si="108"/>
        <v>-241.56553059437579</v>
      </c>
      <c r="AU212" s="445">
        <f t="shared" si="100"/>
        <v>232.02557789487204</v>
      </c>
      <c r="AV212" s="447"/>
      <c r="AW212" s="447">
        <f t="shared" si="101"/>
        <v>-217.02873324405704</v>
      </c>
      <c r="AX212" s="1597">
        <f t="shared" si="102"/>
        <v>-195.67126675594292</v>
      </c>
      <c r="AY212" s="1597">
        <f t="shared" si="85"/>
        <v>-53.44914392950615</v>
      </c>
      <c r="AZ212" s="1642">
        <f t="shared" si="86"/>
        <v>-51.10612388722771</v>
      </c>
      <c r="BA212" s="274">
        <f t="shared" si="103"/>
        <v>53.44914392950615</v>
      </c>
      <c r="BB212" s="275">
        <f t="shared" si="103"/>
        <v>51.10612388722771</v>
      </c>
      <c r="BC212">
        <f t="shared" si="104"/>
        <v>0.3</v>
      </c>
      <c r="BD212" s="136"/>
      <c r="BP212" s="126"/>
      <c r="BR212" s="126"/>
      <c r="BT212" s="126"/>
      <c r="DF212" s="126"/>
      <c r="DG212" s="126"/>
      <c r="DH212" s="126"/>
      <c r="DI212" s="126"/>
      <c r="DJ212" s="126"/>
      <c r="DK212" s="126"/>
      <c r="DL212" s="203"/>
      <c r="DM212" s="203"/>
      <c r="DN212" s="203"/>
      <c r="DO212" s="203"/>
      <c r="DP212" s="203"/>
      <c r="DQ212" s="203"/>
      <c r="DR212" s="203"/>
      <c r="DS212" s="203"/>
      <c r="DT212" s="203"/>
      <c r="DU212" s="203"/>
      <c r="DV212" s="203"/>
      <c r="DW212" s="203"/>
      <c r="DX212" s="203"/>
      <c r="DY212" s="203"/>
    </row>
    <row r="213" spans="2:129" ht="21" customHeight="1" thickBot="1" x14ac:dyDescent="0.25">
      <c r="B213" s="277">
        <v>18</v>
      </c>
      <c r="C213" s="278"/>
      <c r="D213" s="25">
        <v>1</v>
      </c>
      <c r="E213" s="257" t="s">
        <v>305</v>
      </c>
      <c r="F213" s="258">
        <f t="shared" si="87"/>
        <v>1.3</v>
      </c>
      <c r="G213" s="258">
        <f t="shared" si="105"/>
        <v>1.3</v>
      </c>
      <c r="H213" s="1632">
        <v>251.073172</v>
      </c>
      <c r="I213" s="1633">
        <v>65.636175100000003</v>
      </c>
      <c r="J213" s="474">
        <f t="shared" si="88"/>
        <v>64.636175100000003</v>
      </c>
      <c r="K213" s="474">
        <f t="shared" si="89"/>
        <v>32.318087550000001</v>
      </c>
      <c r="L213" s="474">
        <f t="shared" si="75"/>
        <v>0.53461916118589337</v>
      </c>
      <c r="M213" s="474">
        <f t="shared" si="76"/>
        <v>134.22852861092153</v>
      </c>
      <c r="N213" s="474">
        <f t="shared" si="77"/>
        <v>268.45705722184306</v>
      </c>
      <c r="O213" s="474">
        <f>+C196+D197+D198+D199+D200+D201+D202+D203+D204+D205+D206+D207+D208+D209+D210+D211+D212+(D213/2)</f>
        <v>17.5</v>
      </c>
      <c r="P213" s="474">
        <f t="shared" si="78"/>
        <v>0.30070579950427284</v>
      </c>
      <c r="Q213" s="474">
        <f t="shared" si="79"/>
        <v>80.726594024458635</v>
      </c>
      <c r="R213" s="474">
        <f t="shared" si="90"/>
        <v>883.10581985235387</v>
      </c>
      <c r="S213" s="474">
        <f t="shared" si="106"/>
        <v>963.83241387681255</v>
      </c>
      <c r="T213" s="476">
        <f t="shared" si="80"/>
        <v>963.83241387681255</v>
      </c>
      <c r="V213" s="1635">
        <f t="shared" si="81"/>
        <v>0</v>
      </c>
      <c r="W213" s="437"/>
      <c r="X213" s="437"/>
      <c r="Y213" s="437"/>
      <c r="Z213" s="437"/>
      <c r="AA213" s="437"/>
      <c r="AB213" s="295" t="str">
        <f t="shared" si="91"/>
        <v>use the locking pin</v>
      </c>
      <c r="AC213" s="1636" t="b">
        <f>IF(AD213=18,AF213)</f>
        <v>0</v>
      </c>
      <c r="AD213" s="1636">
        <f t="shared" si="92"/>
        <v>1</v>
      </c>
      <c r="AE213" s="1636">
        <f>IF(V213=0,0,18)</f>
        <v>0</v>
      </c>
      <c r="AF213" s="1637">
        <f>SUM(V213:V221)/($B$193-B212)</f>
        <v>0</v>
      </c>
      <c r="AG213" s="1638"/>
      <c r="AH213" s="450">
        <f>SUM(D197:D213)+$C$196</f>
        <v>18</v>
      </c>
      <c r="AI213" s="516" t="b">
        <f t="shared" si="93"/>
        <v>0</v>
      </c>
      <c r="AJ213" s="718">
        <f t="shared" si="94"/>
        <v>57.499008599999996</v>
      </c>
      <c r="AK213" s="1639">
        <f t="shared" si="82"/>
        <v>0.84338214868716044</v>
      </c>
      <c r="AL213" s="1639">
        <f t="shared" si="95"/>
        <v>245.12300651443877</v>
      </c>
      <c r="AM213" s="1640">
        <f t="shared" si="96"/>
        <v>75.181912400000002</v>
      </c>
      <c r="AN213" s="1639">
        <f t="shared" si="97"/>
        <v>0.96674269922463818</v>
      </c>
      <c r="AO213" s="1641">
        <f t="shared" si="98"/>
        <v>242.72315600217186</v>
      </c>
      <c r="AP213" s="287">
        <f t="shared" si="83"/>
        <v>-8.9075531201022624</v>
      </c>
      <c r="AQ213" s="444">
        <f t="shared" si="107"/>
        <v>-468.8</v>
      </c>
      <c r="AR213" s="444">
        <f t="shared" si="84"/>
        <v>-442</v>
      </c>
      <c r="AS213" s="445">
        <f t="shared" si="99"/>
        <v>487.84616251661066</v>
      </c>
      <c r="AT213" s="445">
        <f t="shared" si="108"/>
        <v>-242.72315600217186</v>
      </c>
      <c r="AU213" s="445">
        <f t="shared" si="100"/>
        <v>233.81560288206961</v>
      </c>
      <c r="AV213" s="447"/>
      <c r="AW213" s="447">
        <f t="shared" si="101"/>
        <v>-230.15761111914881</v>
      </c>
      <c r="AX213" s="1597">
        <f t="shared" si="102"/>
        <v>-211.84238888085119</v>
      </c>
      <c r="AY213" s="1597">
        <f t="shared" si="85"/>
        <v>-50.400245047707202</v>
      </c>
      <c r="AZ213" s="1642">
        <f t="shared" si="86"/>
        <v>-47.2049057453955</v>
      </c>
      <c r="BA213" s="274">
        <f t="shared" si="103"/>
        <v>50.400245047707202</v>
      </c>
      <c r="BB213" s="275">
        <f t="shared" si="103"/>
        <v>47.2049057453955</v>
      </c>
      <c r="BC213">
        <f t="shared" si="104"/>
        <v>0.3</v>
      </c>
      <c r="BD213" s="458"/>
      <c r="BP213" s="126"/>
      <c r="BT213" s="126"/>
      <c r="DF213" s="126"/>
      <c r="DG213" s="126"/>
      <c r="DH213" s="126"/>
      <c r="DI213" s="126"/>
      <c r="DJ213" s="126"/>
      <c r="DK213" s="126"/>
      <c r="DL213" s="203"/>
      <c r="DM213" s="203"/>
      <c r="DN213" s="203"/>
      <c r="DO213" s="203"/>
      <c r="DP213" s="203"/>
      <c r="DQ213" s="203"/>
      <c r="DR213" s="203"/>
      <c r="DS213" s="203"/>
      <c r="DT213" s="203"/>
      <c r="DU213" s="203"/>
      <c r="DV213" s="203"/>
      <c r="DW213" s="203"/>
      <c r="DX213" s="203"/>
      <c r="DY213" s="203"/>
    </row>
    <row r="214" spans="2:129" ht="21" customHeight="1" thickBot="1" x14ac:dyDescent="0.25">
      <c r="B214" s="277">
        <v>19</v>
      </c>
      <c r="C214" s="278"/>
      <c r="D214" s="25">
        <v>1</v>
      </c>
      <c r="E214" s="257" t="s">
        <v>305</v>
      </c>
      <c r="F214" s="258">
        <f t="shared" si="87"/>
        <v>1.3</v>
      </c>
      <c r="G214" s="258">
        <f t="shared" si="105"/>
        <v>1.3</v>
      </c>
      <c r="H214" s="1632">
        <v>251.073172</v>
      </c>
      <c r="I214" s="1633">
        <v>65.636175100000003</v>
      </c>
      <c r="J214" s="474">
        <f t="shared" si="88"/>
        <v>64.636175100000003</v>
      </c>
      <c r="K214" s="474">
        <f t="shared" si="89"/>
        <v>32.318087550000001</v>
      </c>
      <c r="L214" s="474">
        <f t="shared" si="75"/>
        <v>0.53461916118589337</v>
      </c>
      <c r="M214" s="474">
        <f t="shared" si="76"/>
        <v>134.22852861092153</v>
      </c>
      <c r="N214" s="474">
        <f t="shared" si="77"/>
        <v>268.45705722184306</v>
      </c>
      <c r="O214" s="474">
        <f>+C196+D197+D198+D199+D200+D201+D202+D203+D204+D205+D206+D207+D208+D209+D210+D211+D212+D213+(D214/2)</f>
        <v>18.5</v>
      </c>
      <c r="P214" s="474">
        <f t="shared" si="78"/>
        <v>0.31730465640509181</v>
      </c>
      <c r="Q214" s="474">
        <f t="shared" si="79"/>
        <v>85.182674301298988</v>
      </c>
      <c r="R214" s="474">
        <f t="shared" si="90"/>
        <v>963.83241387681255</v>
      </c>
      <c r="S214" s="474">
        <f t="shared" si="106"/>
        <v>1049.0150881781115</v>
      </c>
      <c r="T214" s="476">
        <f t="shared" si="80"/>
        <v>1049.0150881781115</v>
      </c>
      <c r="V214" s="1635">
        <f t="shared" si="81"/>
        <v>0</v>
      </c>
      <c r="W214" s="437"/>
      <c r="X214" s="437"/>
      <c r="Y214" s="437"/>
      <c r="Z214" s="437"/>
      <c r="AA214" s="437"/>
      <c r="AB214" s="258" t="str">
        <f t="shared" si="91"/>
        <v>use the locking pin</v>
      </c>
      <c r="AC214" s="1636" t="b">
        <f>IF(AD214=19,AF214)</f>
        <v>0</v>
      </c>
      <c r="AD214" s="1636">
        <f t="shared" si="92"/>
        <v>1</v>
      </c>
      <c r="AE214" s="1636">
        <f>IF(V214=0,0,19)</f>
        <v>0</v>
      </c>
      <c r="AF214" s="1637">
        <f>SUM(V214:V221)/($B$193-B213)</f>
        <v>0</v>
      </c>
      <c r="AG214" s="1638"/>
      <c r="AH214" s="450">
        <f>SUM(D197:D214)+$C$196</f>
        <v>19</v>
      </c>
      <c r="AI214" s="516" t="b">
        <f t="shared" si="93"/>
        <v>0</v>
      </c>
      <c r="AJ214" s="718">
        <f t="shared" si="94"/>
        <v>56.499008599999996</v>
      </c>
      <c r="AK214" s="1639">
        <f t="shared" si="82"/>
        <v>0.83387627166948974</v>
      </c>
      <c r="AL214" s="1639">
        <f t="shared" si="95"/>
        <v>242.36019115516766</v>
      </c>
      <c r="AM214" s="1640">
        <f t="shared" si="96"/>
        <v>76.181912400000002</v>
      </c>
      <c r="AN214" s="1639">
        <f t="shared" si="97"/>
        <v>0.97105892932813076</v>
      </c>
      <c r="AO214" s="1641">
        <f t="shared" si="98"/>
        <v>243.80684558533761</v>
      </c>
      <c r="AP214" s="287">
        <f t="shared" si="83"/>
        <v>-8.3537841694996811</v>
      </c>
      <c r="AQ214" s="444">
        <f t="shared" si="107"/>
        <v>-498.1</v>
      </c>
      <c r="AR214" s="444">
        <f t="shared" si="84"/>
        <v>-471.3</v>
      </c>
      <c r="AS214" s="445">
        <f t="shared" si="99"/>
        <v>486.1670367405053</v>
      </c>
      <c r="AT214" s="445">
        <f t="shared" si="108"/>
        <v>-243.80684558533761</v>
      </c>
      <c r="AU214" s="445">
        <f t="shared" si="100"/>
        <v>235.45306141583794</v>
      </c>
      <c r="AV214" s="447"/>
      <c r="AW214" s="447">
        <f t="shared" si="101"/>
        <v>-243.04711681550134</v>
      </c>
      <c r="AX214" s="1597">
        <f t="shared" si="102"/>
        <v>-228.25288318449864</v>
      </c>
      <c r="AY214" s="1597">
        <f t="shared" si="85"/>
        <v>-47.727371350821805</v>
      </c>
      <c r="AZ214" s="1642">
        <f t="shared" si="86"/>
        <v>-43.8110566687428</v>
      </c>
      <c r="BA214" s="274">
        <f t="shared" si="103"/>
        <v>47.727371350821805</v>
      </c>
      <c r="BB214" s="275">
        <f t="shared" si="103"/>
        <v>43.8110566687428</v>
      </c>
      <c r="BC214">
        <f t="shared" si="104"/>
        <v>0.3</v>
      </c>
      <c r="BD214" s="144"/>
      <c r="BP214" s="126"/>
      <c r="BQ214" s="311"/>
      <c r="BR214" s="311"/>
      <c r="BS214" s="311"/>
      <c r="BT214" s="311"/>
      <c r="BU214" s="311"/>
      <c r="BV214" s="311"/>
      <c r="BW214" s="311"/>
      <c r="BX214" s="311"/>
      <c r="BY214" s="311"/>
      <c r="BZ214" s="311"/>
      <c r="CA214" s="311"/>
      <c r="CB214" s="311"/>
      <c r="CC214" s="311"/>
      <c r="CD214" s="311"/>
      <c r="CE214" s="311"/>
      <c r="CF214" s="311"/>
      <c r="CG214" s="311"/>
      <c r="CH214" s="311"/>
      <c r="CI214" s="311"/>
      <c r="CJ214" s="311"/>
      <c r="CK214" s="311"/>
      <c r="CL214" s="311"/>
      <c r="CM214" s="311"/>
      <c r="CN214" s="311"/>
      <c r="DF214" s="126"/>
      <c r="DG214" s="126"/>
      <c r="DH214" s="126"/>
      <c r="DI214" s="126"/>
      <c r="DJ214" s="126"/>
      <c r="DK214" s="126"/>
      <c r="DL214" s="203"/>
      <c r="DM214" s="203"/>
      <c r="DN214" s="203"/>
      <c r="DO214" s="203"/>
      <c r="DP214" s="203"/>
      <c r="DQ214" s="203"/>
      <c r="DR214" s="203"/>
      <c r="DS214" s="203"/>
      <c r="DT214" s="203"/>
      <c r="DU214" s="203"/>
      <c r="DV214" s="203"/>
      <c r="DW214" s="203"/>
      <c r="DX214" s="203"/>
      <c r="DY214" s="203"/>
    </row>
    <row r="215" spans="2:129" ht="21" customHeight="1" thickBot="1" x14ac:dyDescent="0.25">
      <c r="B215" s="277">
        <v>20</v>
      </c>
      <c r="C215" s="278"/>
      <c r="D215" s="25">
        <v>1</v>
      </c>
      <c r="E215" s="257" t="s">
        <v>305</v>
      </c>
      <c r="F215" s="258">
        <f t="shared" si="87"/>
        <v>1.3</v>
      </c>
      <c r="G215" s="258">
        <f t="shared" si="105"/>
        <v>1.3</v>
      </c>
      <c r="H215" s="1632">
        <v>251.073172</v>
      </c>
      <c r="I215" s="1633">
        <v>65.636175100000003</v>
      </c>
      <c r="J215" s="474">
        <f t="shared" si="88"/>
        <v>64.636175100000003</v>
      </c>
      <c r="K215" s="474">
        <f t="shared" si="89"/>
        <v>32.318087550000001</v>
      </c>
      <c r="L215" s="474">
        <f t="shared" si="75"/>
        <v>0.53461916118589337</v>
      </c>
      <c r="M215" s="474">
        <f t="shared" si="76"/>
        <v>134.22852861092153</v>
      </c>
      <c r="N215" s="474">
        <f t="shared" si="77"/>
        <v>268.45705722184306</v>
      </c>
      <c r="O215" s="64">
        <f>+C196+D197+D198+D199+D200+D201+D202+D203+D204+D205+D206+D207+D208+D209+D210+D211+D212+D213+D214+(D215/2)</f>
        <v>19.5</v>
      </c>
      <c r="P215" s="474">
        <f t="shared" si="78"/>
        <v>0.33380685923377057</v>
      </c>
      <c r="Q215" s="474">
        <f t="shared" si="79"/>
        <v>89.612807110364059</v>
      </c>
      <c r="R215" s="474">
        <f t="shared" si="90"/>
        <v>1049.0150881781115</v>
      </c>
      <c r="S215" s="474">
        <f t="shared" si="106"/>
        <v>1138.6278952884754</v>
      </c>
      <c r="T215" s="476">
        <f t="shared" si="80"/>
        <v>1138.6278952884754</v>
      </c>
      <c r="V215" s="1635">
        <f t="shared" si="81"/>
        <v>0</v>
      </c>
      <c r="W215" s="437"/>
      <c r="X215" s="437"/>
      <c r="Y215" s="437"/>
      <c r="Z215" s="437"/>
      <c r="AA215" s="437"/>
      <c r="AB215" s="281" t="str">
        <f t="shared" si="91"/>
        <v>use the locking pin</v>
      </c>
      <c r="AC215" s="1636" t="b">
        <f>IF(AD215=20,AF215)</f>
        <v>0</v>
      </c>
      <c r="AD215" s="1636">
        <f t="shared" si="92"/>
        <v>1</v>
      </c>
      <c r="AE215" s="1636">
        <f>IF(V215=0,0,20)</f>
        <v>0</v>
      </c>
      <c r="AF215" s="1637">
        <f>SUM(V215:V221)/($B$193-B214)</f>
        <v>0</v>
      </c>
      <c r="AG215" s="1638"/>
      <c r="AH215" s="450">
        <f>SUM(D197:D215)+$C$196</f>
        <v>20</v>
      </c>
      <c r="AI215" s="516" t="b">
        <f t="shared" si="93"/>
        <v>0</v>
      </c>
      <c r="AJ215" s="718">
        <f t="shared" si="94"/>
        <v>55.499008599999996</v>
      </c>
      <c r="AK215" s="1639">
        <f t="shared" si="82"/>
        <v>0.82411638786152763</v>
      </c>
      <c r="AL215" s="1639">
        <f t="shared" si="95"/>
        <v>239.52355053387478</v>
      </c>
      <c r="AM215" s="1640">
        <f t="shared" si="96"/>
        <v>77.181912400000002</v>
      </c>
      <c r="AN215" s="1639">
        <f t="shared" si="97"/>
        <v>0.97507936547489105</v>
      </c>
      <c r="AO215" s="1641">
        <f t="shared" si="98"/>
        <v>244.81626924152818</v>
      </c>
      <c r="AP215" s="287">
        <f t="shared" si="83"/>
        <v>-7.8648391511889733</v>
      </c>
      <c r="AQ215" s="444">
        <f t="shared" si="107"/>
        <v>-527.4</v>
      </c>
      <c r="AR215" s="444">
        <f t="shared" si="84"/>
        <v>-500.59999999999997</v>
      </c>
      <c r="AS215" s="445">
        <f t="shared" si="99"/>
        <v>484.33981977540293</v>
      </c>
      <c r="AT215" s="445">
        <f t="shared" si="108"/>
        <v>-244.81626924152818</v>
      </c>
      <c r="AU215" s="445">
        <f t="shared" si="100"/>
        <v>236.95143009033922</v>
      </c>
      <c r="AV215" s="447"/>
      <c r="AW215" s="447">
        <f t="shared" si="101"/>
        <v>-255.6936737800558</v>
      </c>
      <c r="AX215" s="1597">
        <f t="shared" si="102"/>
        <v>-244.90632621994419</v>
      </c>
      <c r="AY215" s="1597">
        <f t="shared" si="85"/>
        <v>-45.366785296292321</v>
      </c>
      <c r="AZ215" s="1642">
        <f t="shared" si="86"/>
        <v>-40.831938293906106</v>
      </c>
      <c r="BA215" s="274">
        <f t="shared" si="103"/>
        <v>45.366785296292321</v>
      </c>
      <c r="BB215" s="275">
        <f t="shared" si="103"/>
        <v>40.831938293906106</v>
      </c>
      <c r="BC215">
        <f t="shared" si="104"/>
        <v>0.3</v>
      </c>
      <c r="BD215" s="144"/>
      <c r="BP215" s="126"/>
      <c r="DF215" s="126"/>
      <c r="DG215" s="126"/>
      <c r="DH215" s="126"/>
      <c r="DI215" s="126"/>
      <c r="DJ215" s="126"/>
      <c r="DK215" s="126"/>
      <c r="DL215" s="203"/>
      <c r="DM215" s="203"/>
      <c r="DN215" s="203"/>
      <c r="DO215" s="203"/>
      <c r="DP215" s="203"/>
      <c r="DQ215" s="203"/>
      <c r="DR215" s="203"/>
      <c r="DS215" s="203"/>
      <c r="DT215" s="203"/>
      <c r="DU215" s="203"/>
      <c r="DV215" s="203"/>
      <c r="DW215" s="203"/>
      <c r="DX215" s="203"/>
      <c r="DY215" s="203"/>
    </row>
    <row r="216" spans="2:129" ht="21" customHeight="1" thickBot="1" x14ac:dyDescent="0.25">
      <c r="B216" s="277">
        <v>21</v>
      </c>
      <c r="C216" s="1644"/>
      <c r="D216" s="25">
        <v>1</v>
      </c>
      <c r="E216" s="257" t="s">
        <v>305</v>
      </c>
      <c r="F216" s="258">
        <f t="shared" si="87"/>
        <v>1.3</v>
      </c>
      <c r="G216" s="258">
        <f t="shared" si="105"/>
        <v>1.3</v>
      </c>
      <c r="H216" s="1632">
        <v>251.073172</v>
      </c>
      <c r="I216" s="1633">
        <v>65.636175100000003</v>
      </c>
      <c r="J216" s="474">
        <f t="shared" si="88"/>
        <v>64.636175100000003</v>
      </c>
      <c r="K216" s="474">
        <f t="shared" si="89"/>
        <v>32.318087550000001</v>
      </c>
      <c r="L216" s="474">
        <f t="shared" si="75"/>
        <v>0.53461916118589337</v>
      </c>
      <c r="M216" s="474">
        <f t="shared" si="76"/>
        <v>134.22852861092153</v>
      </c>
      <c r="N216" s="474">
        <f t="shared" si="77"/>
        <v>268.45705722184306</v>
      </c>
      <c r="O216" s="1645">
        <f>+C196+D197+D198+D199+D200+D201+D202+D203+D204+D205+D206+D207+D208+D209+D210+D211+D212+D213+D214+D215+(D216/2)</f>
        <v>20.5</v>
      </c>
      <c r="P216" s="474">
        <f t="shared" si="78"/>
        <v>0.35020738125946715</v>
      </c>
      <c r="Q216" s="474">
        <f t="shared" si="79"/>
        <v>94.015642990284576</v>
      </c>
      <c r="R216" s="474">
        <f t="shared" si="90"/>
        <v>1138.6278952884754</v>
      </c>
      <c r="S216" s="474">
        <f t="shared" si="106"/>
        <v>1232.6435382787599</v>
      </c>
      <c r="T216" s="476">
        <f t="shared" si="80"/>
        <v>1232.6435382787599</v>
      </c>
      <c r="V216" s="1635">
        <f t="shared" si="81"/>
        <v>0</v>
      </c>
      <c r="AB216" s="281" t="str">
        <f t="shared" si="91"/>
        <v>use the locking pin</v>
      </c>
      <c r="AC216" s="64" t="b">
        <f>IF(AD216=21,AF216)</f>
        <v>0</v>
      </c>
      <c r="AD216" s="64">
        <f t="shared" si="92"/>
        <v>1</v>
      </c>
      <c r="AE216" s="64">
        <f>IF(V216=0,0,21)</f>
        <v>0</v>
      </c>
      <c r="AF216" s="1637">
        <f>SUM(V216:V221)/($B$193-B215)</f>
        <v>0</v>
      </c>
      <c r="AG216" s="1646"/>
      <c r="AH216" s="450">
        <f>SUM(D197:D216)+$C$196</f>
        <v>21</v>
      </c>
      <c r="AI216" s="516" t="b">
        <f t="shared" si="93"/>
        <v>0</v>
      </c>
      <c r="AJ216" s="718">
        <f t="shared" si="94"/>
        <v>54.499008599999996</v>
      </c>
      <c r="AK216" s="1639">
        <f t="shared" si="82"/>
        <v>0.81410547021842816</v>
      </c>
      <c r="AL216" s="1639">
        <f t="shared" si="95"/>
        <v>236.61394871877258</v>
      </c>
      <c r="AM216" s="1640">
        <f t="shared" si="96"/>
        <v>78.181912400000002</v>
      </c>
      <c r="AN216" s="1639">
        <f t="shared" si="97"/>
        <v>0.97880278300112167</v>
      </c>
      <c r="AO216" s="1641">
        <f t="shared" si="98"/>
        <v>245.7511194905193</v>
      </c>
      <c r="AP216" s="287">
        <f t="shared" si="83"/>
        <v>-7.429965048283071</v>
      </c>
      <c r="AQ216" s="444">
        <f t="shared" si="107"/>
        <v>-556.70000000000005</v>
      </c>
      <c r="AR216" s="444">
        <f t="shared" si="84"/>
        <v>-529.90000000000009</v>
      </c>
      <c r="AS216" s="445">
        <f t="shared" si="99"/>
        <v>482.36506820929185</v>
      </c>
      <c r="AT216" s="64">
        <f t="shared" si="108"/>
        <v>-245.7511194905193</v>
      </c>
      <c r="AU216" s="445">
        <f t="shared" si="100"/>
        <v>238.32115444223624</v>
      </c>
      <c r="AV216" s="447"/>
      <c r="AW216" s="447">
        <f t="shared" si="101"/>
        <v>-268.09335590000279</v>
      </c>
      <c r="AX216" s="1597">
        <f t="shared" si="102"/>
        <v>-261.8066440999973</v>
      </c>
      <c r="AY216" s="1597">
        <f t="shared" si="85"/>
        <v>-43.268509810913514</v>
      </c>
      <c r="AZ216" s="1642">
        <f t="shared" si="86"/>
        <v>-38.196127658931722</v>
      </c>
      <c r="BA216" s="274">
        <f t="shared" si="103"/>
        <v>43.268509810913514</v>
      </c>
      <c r="BB216" s="275">
        <f t="shared" si="103"/>
        <v>38.196127658931722</v>
      </c>
      <c r="BC216">
        <f t="shared" si="104"/>
        <v>0.3</v>
      </c>
      <c r="BD216" s="144"/>
      <c r="BP216" s="126"/>
      <c r="DF216" s="126"/>
      <c r="DG216" s="126"/>
      <c r="DH216" s="126"/>
      <c r="DI216" s="126"/>
      <c r="DJ216" s="126"/>
      <c r="DK216" s="126"/>
      <c r="DL216" s="203"/>
      <c r="DM216" s="203"/>
      <c r="DN216" s="203"/>
      <c r="DO216" s="203"/>
      <c r="DP216" s="203"/>
      <c r="DQ216" s="203"/>
      <c r="DR216" s="203"/>
      <c r="DS216" s="203"/>
      <c r="DT216" s="203"/>
      <c r="DU216" s="203"/>
      <c r="DV216" s="203"/>
      <c r="DW216" s="203"/>
      <c r="DX216" s="203"/>
      <c r="DY216" s="203"/>
    </row>
    <row r="217" spans="2:129" ht="21" customHeight="1" thickBot="1" x14ac:dyDescent="0.25">
      <c r="B217" s="277">
        <v>22</v>
      </c>
      <c r="C217" s="1644"/>
      <c r="D217" s="25">
        <v>1</v>
      </c>
      <c r="E217" s="257" t="s">
        <v>305</v>
      </c>
      <c r="F217" s="258">
        <f t="shared" si="87"/>
        <v>1.3</v>
      </c>
      <c r="G217" s="258">
        <f t="shared" si="105"/>
        <v>1.3</v>
      </c>
      <c r="H217" s="1632">
        <v>251.073172</v>
      </c>
      <c r="I217" s="1633">
        <v>65.636175100000003</v>
      </c>
      <c r="J217" s="474">
        <f t="shared" si="88"/>
        <v>64.636175100000003</v>
      </c>
      <c r="K217" s="474">
        <f t="shared" si="89"/>
        <v>32.318087550000001</v>
      </c>
      <c r="L217" s="474">
        <f t="shared" si="75"/>
        <v>0.53461916118589337</v>
      </c>
      <c r="M217" s="474">
        <f t="shared" si="76"/>
        <v>134.22852861092153</v>
      </c>
      <c r="N217" s="474">
        <f t="shared" si="77"/>
        <v>268.45705722184306</v>
      </c>
      <c r="O217" s="1645">
        <f>+C196+D197+D198+D199+D200+D201+D202+D203+D204+D205+D206+D207+D208+D209+D210+D211+D212+D213+D214+D215+D216+(D217/2)</f>
        <v>21.5</v>
      </c>
      <c r="P217" s="474">
        <f t="shared" si="78"/>
        <v>0.36650122672429686</v>
      </c>
      <c r="Q217" s="474">
        <f t="shared" si="79"/>
        <v>98.389840794600232</v>
      </c>
      <c r="R217" s="474">
        <f t="shared" si="90"/>
        <v>1232.6435382787599</v>
      </c>
      <c r="S217" s="474">
        <f t="shared" si="106"/>
        <v>1331.0333790733603</v>
      </c>
      <c r="T217" s="476">
        <f t="shared" si="80"/>
        <v>1331.0333790733603</v>
      </c>
      <c r="V217" s="1635">
        <f t="shared" si="81"/>
        <v>0</v>
      </c>
      <c r="AB217" s="281" t="str">
        <f t="shared" si="91"/>
        <v>use the locking pin</v>
      </c>
      <c r="AC217" s="64" t="b">
        <f>IF(AD217=22,AF217)</f>
        <v>0</v>
      </c>
      <c r="AD217" s="64">
        <f t="shared" si="92"/>
        <v>1</v>
      </c>
      <c r="AE217" s="64">
        <f>IF(V217=0,0,22)</f>
        <v>0</v>
      </c>
      <c r="AF217" s="1637">
        <f>SUM(V217:V221)/($B$193-B216)</f>
        <v>0</v>
      </c>
      <c r="AG217" s="1646"/>
      <c r="AH217" s="450">
        <f>SUM(D197:D217)+$C$196</f>
        <v>22</v>
      </c>
      <c r="AI217" s="516" t="b">
        <f t="shared" si="93"/>
        <v>0</v>
      </c>
      <c r="AJ217" s="718">
        <f t="shared" si="94"/>
        <v>53.499008599999996</v>
      </c>
      <c r="AK217" s="1639">
        <f t="shared" si="82"/>
        <v>0.80384656816268329</v>
      </c>
      <c r="AL217" s="1639">
        <f t="shared" si="95"/>
        <v>233.63227200275978</v>
      </c>
      <c r="AM217" s="1640">
        <f t="shared" si="96"/>
        <v>79.181912400000002</v>
      </c>
      <c r="AN217" s="1639">
        <f t="shared" si="97"/>
        <v>0.98222804771777472</v>
      </c>
      <c r="AO217" s="1641">
        <f t="shared" si="98"/>
        <v>246.61111156786907</v>
      </c>
      <c r="AP217" s="287">
        <f t="shared" si="83"/>
        <v>-7.0406625162467806</v>
      </c>
      <c r="AQ217" s="444">
        <f t="shared" si="107"/>
        <v>-586</v>
      </c>
      <c r="AR217" s="444">
        <f t="shared" si="84"/>
        <v>-559.20000000000005</v>
      </c>
      <c r="AS217" s="445">
        <f t="shared" si="99"/>
        <v>480.24338357062885</v>
      </c>
      <c r="AT217" s="64">
        <f t="shared" si="108"/>
        <v>-246.61111156786907</v>
      </c>
      <c r="AU217" s="445">
        <f t="shared" si="100"/>
        <v>239.57044905162229</v>
      </c>
      <c r="AV217" s="447"/>
      <c r="AW217" s="447">
        <f t="shared" si="101"/>
        <v>-280.24187232396366</v>
      </c>
      <c r="AX217" s="1597">
        <f t="shared" si="102"/>
        <v>-278.95812767603638</v>
      </c>
      <c r="AY217" s="1597">
        <f t="shared" si="85"/>
        <v>-41.392815084357672</v>
      </c>
      <c r="AZ217" s="1642">
        <f t="shared" si="86"/>
        <v>-35.847673926222157</v>
      </c>
      <c r="BA217" s="274">
        <f t="shared" ref="BA217:BB221" si="109">ABS(AY217)</f>
        <v>41.392815084357672</v>
      </c>
      <c r="BB217" s="275">
        <f t="shared" si="109"/>
        <v>35.847673926222157</v>
      </c>
      <c r="BC217">
        <f t="shared" si="104"/>
        <v>0.3</v>
      </c>
      <c r="BD217" s="144"/>
      <c r="BP217" s="126"/>
      <c r="DF217" s="126"/>
      <c r="DG217" s="126"/>
      <c r="DH217" s="126"/>
      <c r="DI217" s="126"/>
      <c r="DJ217" s="126"/>
      <c r="DK217" s="126"/>
      <c r="DL217" s="203"/>
      <c r="DM217" s="203"/>
      <c r="DN217" s="203"/>
      <c r="DO217" s="203"/>
      <c r="DP217" s="203"/>
      <c r="DQ217" s="203"/>
      <c r="DR217" s="203"/>
      <c r="DS217" s="203"/>
      <c r="DT217" s="203"/>
      <c r="DU217" s="203"/>
      <c r="DV217" s="203"/>
      <c r="DW217" s="203"/>
      <c r="DX217" s="203"/>
      <c r="DY217" s="203"/>
    </row>
    <row r="218" spans="2:129" ht="21" customHeight="1" thickBot="1" x14ac:dyDescent="0.25">
      <c r="B218" s="277">
        <v>23</v>
      </c>
      <c r="C218" s="1644"/>
      <c r="D218" s="25">
        <v>1</v>
      </c>
      <c r="E218" s="257" t="s">
        <v>305</v>
      </c>
      <c r="F218" s="258">
        <f t="shared" si="87"/>
        <v>1.3</v>
      </c>
      <c r="G218" s="258">
        <f t="shared" si="105"/>
        <v>1.3</v>
      </c>
      <c r="H218" s="1632">
        <v>251.073172</v>
      </c>
      <c r="I218" s="1633">
        <v>65.636175100000003</v>
      </c>
      <c r="J218" s="474">
        <f t="shared" si="88"/>
        <v>64.636175100000003</v>
      </c>
      <c r="K218" s="474">
        <f t="shared" si="89"/>
        <v>32.318087550000001</v>
      </c>
      <c r="L218" s="474">
        <f t="shared" si="75"/>
        <v>0.53461916118589337</v>
      </c>
      <c r="M218" s="474">
        <f t="shared" si="76"/>
        <v>134.22852861092153</v>
      </c>
      <c r="N218" s="474">
        <f t="shared" si="77"/>
        <v>268.45705722184306</v>
      </c>
      <c r="O218" s="1645">
        <f>+C196+D197+D198+D199+D200+D201+D202+D203+D204+D205+D206+D207+D208+D209+D210+D211+D212+D213+D214+D215+D216+D217+(D218/2)</f>
        <v>22.5</v>
      </c>
      <c r="P218" s="474">
        <f t="shared" si="78"/>
        <v>0.38268343236508939</v>
      </c>
      <c r="Q218" s="474">
        <f t="shared" si="79"/>
        <v>102.73406810028611</v>
      </c>
      <c r="R218" s="474">
        <f t="shared" si="90"/>
        <v>1331.0333790733603</v>
      </c>
      <c r="S218" s="474">
        <f t="shared" si="106"/>
        <v>1433.7674471736464</v>
      </c>
      <c r="T218" s="476">
        <f t="shared" si="80"/>
        <v>1433.7674471736464</v>
      </c>
      <c r="V218" s="1635">
        <f t="shared" si="81"/>
        <v>0</v>
      </c>
      <c r="AB218" s="281" t="str">
        <f t="shared" si="91"/>
        <v>use the locking pin</v>
      </c>
      <c r="AC218" s="64" t="b">
        <f>IF(AD218=23,AF218)</f>
        <v>0</v>
      </c>
      <c r="AD218" s="64">
        <f t="shared" si="92"/>
        <v>1</v>
      </c>
      <c r="AE218" s="64">
        <f>IF(V218=0,0,23)</f>
        <v>0</v>
      </c>
      <c r="AF218" s="1637">
        <f>SUM(V218:V221)/($B$193-B217)</f>
        <v>0</v>
      </c>
      <c r="AG218" s="1646"/>
      <c r="AH218" s="450">
        <f>SUM(D197:D218)+$C$196</f>
        <v>23</v>
      </c>
      <c r="AI218" s="516" t="b">
        <f t="shared" si="93"/>
        <v>0</v>
      </c>
      <c r="AJ218" s="718">
        <f t="shared" si="94"/>
        <v>52.499008599999996</v>
      </c>
      <c r="AK218" s="1639">
        <f t="shared" si="82"/>
        <v>0.79334280665523971</v>
      </c>
      <c r="AL218" s="1639">
        <f t="shared" si="95"/>
        <v>230.57942863344837</v>
      </c>
      <c r="AM218" s="1640">
        <f t="shared" si="96"/>
        <v>80.181912400000002</v>
      </c>
      <c r="AN218" s="1639">
        <f t="shared" si="97"/>
        <v>0.98535411625603619</v>
      </c>
      <c r="AO218" s="1641">
        <f t="shared" si="98"/>
        <v>247.39598351165978</v>
      </c>
      <c r="AP218" s="287">
        <f t="shared" si="83"/>
        <v>-6.6901248582586224</v>
      </c>
      <c r="AQ218" s="444">
        <f t="shared" si="107"/>
        <v>-615.30000000000007</v>
      </c>
      <c r="AR218" s="444">
        <f t="shared" si="84"/>
        <v>-588.50000000000011</v>
      </c>
      <c r="AS218" s="445">
        <f t="shared" si="99"/>
        <v>477.97541214510818</v>
      </c>
      <c r="AT218" s="64">
        <f t="shared" si="108"/>
        <v>-247.39598351165978</v>
      </c>
      <c r="AU218" s="445">
        <f t="shared" si="100"/>
        <v>240.70585865340115</v>
      </c>
      <c r="AV218" s="447"/>
      <c r="AW218" s="447">
        <f t="shared" si="101"/>
        <v>-292.13455061047887</v>
      </c>
      <c r="AX218" s="1597">
        <f t="shared" si="102"/>
        <v>-296.36544938952125</v>
      </c>
      <c r="AY218" s="1597">
        <f t="shared" si="85"/>
        <v>-39.707730481585521</v>
      </c>
      <c r="AZ218" s="1642">
        <f t="shared" si="86"/>
        <v>-33.742124868465098</v>
      </c>
      <c r="BA218" s="274">
        <f t="shared" si="109"/>
        <v>39.707730481585521</v>
      </c>
      <c r="BB218" s="275">
        <f t="shared" si="109"/>
        <v>33.742124868465098</v>
      </c>
      <c r="BC218">
        <f t="shared" si="104"/>
        <v>0.3</v>
      </c>
      <c r="BD218" s="144"/>
      <c r="BP218" s="126"/>
      <c r="DF218" s="126"/>
      <c r="DG218" s="126"/>
      <c r="DH218" s="126"/>
      <c r="DI218" s="126"/>
      <c r="DJ218" s="126"/>
      <c r="DK218" s="126"/>
      <c r="DL218" s="203"/>
      <c r="DM218" s="203"/>
      <c r="DN218" s="203"/>
      <c r="DO218" s="203"/>
      <c r="DP218" s="203"/>
      <c r="DQ218" s="203"/>
      <c r="DR218" s="203"/>
      <c r="DS218" s="203"/>
      <c r="DT218" s="203"/>
      <c r="DU218" s="203"/>
      <c r="DV218" s="203"/>
      <c r="DW218" s="203"/>
      <c r="DX218" s="203"/>
      <c r="DY218" s="203"/>
    </row>
    <row r="219" spans="2:129" ht="21" customHeight="1" thickBot="1" x14ac:dyDescent="0.25">
      <c r="B219" s="277">
        <v>24</v>
      </c>
      <c r="C219" s="1647"/>
      <c r="D219" s="25">
        <v>1</v>
      </c>
      <c r="E219" s="257" t="s">
        <v>305</v>
      </c>
      <c r="F219" s="258">
        <f t="shared" si="87"/>
        <v>1.3</v>
      </c>
      <c r="G219" s="258">
        <f t="shared" si="105"/>
        <v>1.3</v>
      </c>
      <c r="H219" s="1632">
        <v>251.073172</v>
      </c>
      <c r="I219" s="1633">
        <v>65.636175100000003</v>
      </c>
      <c r="J219" s="474">
        <f t="shared" si="88"/>
        <v>64.636175100000003</v>
      </c>
      <c r="K219" s="474">
        <f t="shared" si="89"/>
        <v>32.318087550000001</v>
      </c>
      <c r="L219" s="474">
        <f t="shared" si="75"/>
        <v>0.53461916118589337</v>
      </c>
      <c r="M219" s="474">
        <f t="shared" si="76"/>
        <v>134.22852861092153</v>
      </c>
      <c r="N219" s="474">
        <f t="shared" si="77"/>
        <v>268.45705722184306</v>
      </c>
      <c r="O219" s="1645">
        <f>+C196+D197+D198+D199+D200+D201+D202+D203+D204+D205+D206+D207+D208+D209+D210+D211+D212+D213+D214+D215+D216+D217+D218+(D219/2)</f>
        <v>23.5</v>
      </c>
      <c r="P219" s="474">
        <f t="shared" si="78"/>
        <v>0.39874906892524581</v>
      </c>
      <c r="Q219" s="474">
        <f t="shared" si="79"/>
        <v>107.04700161362136</v>
      </c>
      <c r="R219" s="474">
        <f t="shared" si="90"/>
        <v>1433.7674471736464</v>
      </c>
      <c r="S219" s="474">
        <f t="shared" si="106"/>
        <v>1540.8144487872678</v>
      </c>
      <c r="T219" s="476">
        <f t="shared" si="80"/>
        <v>1540.8144487872678</v>
      </c>
      <c r="V219" s="1635">
        <f t="shared" si="81"/>
        <v>0</v>
      </c>
      <c r="AB219" s="281" t="str">
        <f t="shared" si="91"/>
        <v>use the locking pin</v>
      </c>
      <c r="AC219" s="64" t="b">
        <f>IF(AD219=24,AF219)</f>
        <v>0</v>
      </c>
      <c r="AD219" s="64">
        <f t="shared" si="92"/>
        <v>1</v>
      </c>
      <c r="AE219" s="64">
        <f>IF(V219=0,0,24)</f>
        <v>0</v>
      </c>
      <c r="AF219" s="1637">
        <f>SUM(V219:V221)/($B$193-B218)</f>
        <v>0</v>
      </c>
      <c r="AG219" s="1646"/>
      <c r="AH219" s="450">
        <f>SUM(D197:D219)+$C$196</f>
        <v>24</v>
      </c>
      <c r="AI219" s="516" t="b">
        <f t="shared" si="93"/>
        <v>0</v>
      </c>
      <c r="AJ219" s="718">
        <f t="shared" si="94"/>
        <v>51.499008599999996</v>
      </c>
      <c r="AK219" s="1639">
        <f t="shared" si="82"/>
        <v>0.78259738524360445</v>
      </c>
      <c r="AL219" s="1639">
        <f t="shared" si="95"/>
        <v>227.45634853650211</v>
      </c>
      <c r="AM219" s="1640">
        <f t="shared" si="96"/>
        <v>81.181912400000002</v>
      </c>
      <c r="AN219" s="1639">
        <f t="shared" si="97"/>
        <v>0.9881800363851464</v>
      </c>
      <c r="AO219" s="1641">
        <f t="shared" si="98"/>
        <v>248.10549624229412</v>
      </c>
      <c r="AP219" s="287">
        <f t="shared" si="83"/>
        <v>-6.3728366446830682</v>
      </c>
      <c r="AQ219" s="444">
        <f t="shared" si="107"/>
        <v>-644.6</v>
      </c>
      <c r="AR219" s="444">
        <f t="shared" si="84"/>
        <v>-617.80000000000007</v>
      </c>
      <c r="AS219" s="445">
        <f t="shared" si="99"/>
        <v>475.56184477879623</v>
      </c>
      <c r="AT219" s="64">
        <f t="shared" si="108"/>
        <v>-248.10549624229412</v>
      </c>
      <c r="AU219" s="445">
        <f t="shared" si="100"/>
        <v>241.73265959761105</v>
      </c>
      <c r="AV219" s="447"/>
      <c r="AW219" s="447">
        <f t="shared" si="101"/>
        <v>-303.76631807400457</v>
      </c>
      <c r="AX219" s="1597">
        <f t="shared" si="102"/>
        <v>-314.0336819259955</v>
      </c>
      <c r="AY219" s="1597">
        <f t="shared" si="85"/>
        <v>-38.187248914061527</v>
      </c>
      <c r="AZ219" s="1642">
        <f t="shared" si="86"/>
        <v>-31.84371796894251</v>
      </c>
      <c r="BA219" s="274">
        <f t="shared" si="109"/>
        <v>38.187248914061527</v>
      </c>
      <c r="BB219" s="275">
        <f t="shared" si="109"/>
        <v>31.84371796894251</v>
      </c>
      <c r="BC219">
        <f t="shared" si="104"/>
        <v>0.3</v>
      </c>
      <c r="BD219" s="144"/>
      <c r="BP219" s="126"/>
      <c r="DF219" s="126"/>
      <c r="DG219" s="126"/>
      <c r="DH219" s="126"/>
      <c r="DI219" s="126"/>
      <c r="DJ219" s="126"/>
      <c r="DK219" s="126"/>
      <c r="DL219" s="203"/>
      <c r="DM219" s="203"/>
      <c r="DN219" s="203"/>
      <c r="DO219" s="203"/>
      <c r="DP219" s="203"/>
      <c r="DQ219" s="203"/>
      <c r="DR219" s="203"/>
      <c r="DS219" s="203"/>
      <c r="DT219" s="203"/>
      <c r="DU219" s="203"/>
      <c r="DV219" s="203"/>
      <c r="DW219" s="203"/>
      <c r="DX219" s="203"/>
      <c r="DY219" s="203"/>
    </row>
    <row r="220" spans="2:129" ht="21" customHeight="1" thickBot="1" x14ac:dyDescent="0.25">
      <c r="B220" s="277">
        <v>25</v>
      </c>
      <c r="C220" s="1648"/>
      <c r="D220" s="25">
        <v>1</v>
      </c>
      <c r="E220" s="257" t="s">
        <v>305</v>
      </c>
      <c r="F220" s="258">
        <f t="shared" si="87"/>
        <v>1.3</v>
      </c>
      <c r="G220" s="258">
        <f t="shared" si="105"/>
        <v>1.3</v>
      </c>
      <c r="H220" s="1632">
        <v>251.073172</v>
      </c>
      <c r="I220" s="1633">
        <v>65.636175100000003</v>
      </c>
      <c r="J220" s="474">
        <f t="shared" si="88"/>
        <v>64.636175100000003</v>
      </c>
      <c r="K220" s="474">
        <f t="shared" si="89"/>
        <v>32.318087550000001</v>
      </c>
      <c r="L220" s="474">
        <f t="shared" si="75"/>
        <v>0.53461916118589337</v>
      </c>
      <c r="M220" s="474">
        <f t="shared" si="76"/>
        <v>134.22852861092153</v>
      </c>
      <c r="N220" s="474">
        <f t="shared" si="77"/>
        <v>268.45705722184306</v>
      </c>
      <c r="O220" s="1645">
        <f>+C196+D197+D198+D199+D200+D201+D202+D203+D204+D205+D206+D207+D208+D209+D210+D211+D212+D213+D214+D215+D216+D217+D218+D219+(D220/2)</f>
        <v>24.5</v>
      </c>
      <c r="P220" s="474">
        <f t="shared" si="78"/>
        <v>0.41469324265623864</v>
      </c>
      <c r="Q220" s="474">
        <f t="shared" si="79"/>
        <v>111.3273275732775</v>
      </c>
      <c r="R220" s="474">
        <f t="shared" si="90"/>
        <v>1540.8144487872678</v>
      </c>
      <c r="S220" s="474">
        <f t="shared" si="106"/>
        <v>1652.1417763605452</v>
      </c>
      <c r="T220" s="476">
        <f t="shared" si="80"/>
        <v>1652.1417763605452</v>
      </c>
      <c r="V220" s="1635">
        <f t="shared" si="81"/>
        <v>0</v>
      </c>
      <c r="AB220" s="281" t="str">
        <f t="shared" si="91"/>
        <v>use the locking pin</v>
      </c>
      <c r="AC220" s="64" t="b">
        <f>IF(AD220=25,AF220)</f>
        <v>0</v>
      </c>
      <c r="AD220" s="64">
        <f t="shared" si="92"/>
        <v>1</v>
      </c>
      <c r="AE220" s="64">
        <f>IF(V220=0,0,25)</f>
        <v>0</v>
      </c>
      <c r="AF220" s="1637">
        <f>SUM(V220:V221)/($B$193-B219)</f>
        <v>0</v>
      </c>
      <c r="AG220" s="1646"/>
      <c r="AH220" s="450">
        <f>SUM(D197:D220)+$C$196</f>
        <v>25</v>
      </c>
      <c r="AI220" s="516" t="b">
        <f t="shared" si="93"/>
        <v>0</v>
      </c>
      <c r="AJ220" s="718">
        <f t="shared" si="94"/>
        <v>50.499008599999996</v>
      </c>
      <c r="AK220" s="1639">
        <f t="shared" si="82"/>
        <v>0.77161357708723288</v>
      </c>
      <c r="AL220" s="1639">
        <f t="shared" si="95"/>
        <v>224.26398303237247</v>
      </c>
      <c r="AM220" s="1640">
        <f t="shared" si="96"/>
        <v>82.181912400000002</v>
      </c>
      <c r="AN220" s="1639">
        <f t="shared" si="97"/>
        <v>0.99070494730245873</v>
      </c>
      <c r="AO220" s="1641">
        <f t="shared" si="98"/>
        <v>248.73943363532115</v>
      </c>
      <c r="AP220" s="287">
        <f t="shared" si="83"/>
        <v>-6.084281377044042</v>
      </c>
      <c r="AQ220" s="444">
        <f t="shared" si="107"/>
        <v>-673.9</v>
      </c>
      <c r="AR220" s="444">
        <f t="shared" si="84"/>
        <v>-647.1</v>
      </c>
      <c r="AS220" s="445">
        <f t="shared" si="99"/>
        <v>473.00341666769361</v>
      </c>
      <c r="AT220" s="64">
        <f t="shared" si="108"/>
        <v>-248.73943363532115</v>
      </c>
      <c r="AU220" s="445">
        <f t="shared" si="100"/>
        <v>242.6551522582771</v>
      </c>
      <c r="AV220" s="447"/>
      <c r="AW220" s="447">
        <f t="shared" si="101"/>
        <v>-315.13168118202771</v>
      </c>
      <c r="AX220" s="1597">
        <f t="shared" si="102"/>
        <v>-331.96831881797237</v>
      </c>
      <c r="AY220" s="1597">
        <f t="shared" si="85"/>
        <v>-36.810008934961886</v>
      </c>
      <c r="AZ220" s="1642">
        <f t="shared" si="86"/>
        <v>-30.123356456443311</v>
      </c>
      <c r="BA220" s="274">
        <f t="shared" si="109"/>
        <v>36.810008934961886</v>
      </c>
      <c r="BB220" s="275">
        <f t="shared" si="109"/>
        <v>30.123356456443311</v>
      </c>
      <c r="BC220">
        <f t="shared" si="104"/>
        <v>0.3</v>
      </c>
      <c r="BD220" s="144"/>
      <c r="BP220" s="126"/>
      <c r="DF220" s="126"/>
      <c r="DG220" s="126"/>
      <c r="DH220" s="126"/>
      <c r="DI220" s="126"/>
      <c r="DJ220" s="126"/>
      <c r="DK220" s="126"/>
      <c r="DL220" s="203"/>
      <c r="DM220" s="203"/>
      <c r="DN220" s="203"/>
      <c r="DO220" s="203"/>
      <c r="DP220" s="203"/>
      <c r="DQ220" s="203"/>
      <c r="DR220" s="203"/>
      <c r="DS220" s="203"/>
      <c r="DT220" s="203"/>
      <c r="DU220" s="203"/>
      <c r="DV220" s="203"/>
      <c r="DW220" s="203"/>
      <c r="DX220" s="203"/>
      <c r="DY220" s="203"/>
    </row>
    <row r="221" spans="2:129" ht="19" thickBot="1" x14ac:dyDescent="0.25">
      <c r="B221" s="277">
        <v>26</v>
      </c>
      <c r="C221" s="1648"/>
      <c r="D221" s="25">
        <v>1</v>
      </c>
      <c r="E221" s="257" t="s">
        <v>305</v>
      </c>
      <c r="F221" s="258">
        <f t="shared" si="87"/>
        <v>1.3</v>
      </c>
      <c r="G221" s="258">
        <f t="shared" si="105"/>
        <v>1.3</v>
      </c>
      <c r="H221" s="1632">
        <v>251.073172</v>
      </c>
      <c r="I221" s="1633">
        <v>65.636175100000003</v>
      </c>
      <c r="J221" s="474">
        <f t="shared" si="88"/>
        <v>64.636175100000003</v>
      </c>
      <c r="K221" s="474">
        <f t="shared" si="89"/>
        <v>32.318087550000001</v>
      </c>
      <c r="L221" s="474">
        <f t="shared" si="75"/>
        <v>0.53461916118589337</v>
      </c>
      <c r="M221" s="474">
        <f t="shared" si="76"/>
        <v>134.22852861092153</v>
      </c>
      <c r="N221" s="474">
        <f t="shared" si="77"/>
        <v>268.45705722184306</v>
      </c>
      <c r="O221" s="1645">
        <f>+C196+D197+D198+D199+D200+D201+D202+D203+D204+D205+D206+D207+D208+D209+D210+D211+D212+D213+D214+D215+D216+D217+D218+D219+D220+(D221/2)</f>
        <v>25.5</v>
      </c>
      <c r="P221" s="474">
        <f t="shared" si="78"/>
        <v>0.43051109680829475</v>
      </c>
      <c r="Q221" s="474">
        <f t="shared" si="79"/>
        <v>115.5737421505028</v>
      </c>
      <c r="R221" s="474">
        <f t="shared" si="90"/>
        <v>1652.1417763605452</v>
      </c>
      <c r="S221" s="474">
        <f t="shared" si="106"/>
        <v>1767.715518511048</v>
      </c>
      <c r="T221" s="476">
        <f t="shared" si="80"/>
        <v>1767.715518511048</v>
      </c>
      <c r="V221" s="1635">
        <f t="shared" si="81"/>
        <v>0</v>
      </c>
      <c r="AB221" s="281" t="str">
        <f t="shared" si="91"/>
        <v>use the locking pin</v>
      </c>
      <c r="AC221" s="64" t="b">
        <f>IF(AD221=26,AF221)</f>
        <v>0</v>
      </c>
      <c r="AD221" s="64">
        <f t="shared" si="92"/>
        <v>1</v>
      </c>
      <c r="AE221" s="64">
        <f>IF(V221=0,0,26)</f>
        <v>0</v>
      </c>
      <c r="AF221" s="1637">
        <f t="shared" ref="AF221" si="110">SUM(V221:V221)/($B$193-B220)</f>
        <v>0</v>
      </c>
      <c r="AG221" s="1646"/>
      <c r="AH221" s="450">
        <f>SUM(D197:D221)+$C$196</f>
        <v>26</v>
      </c>
      <c r="AI221" s="516" t="b">
        <f t="shared" si="93"/>
        <v>0</v>
      </c>
      <c r="AJ221" s="718">
        <f t="shared" si="94"/>
        <v>49.499008599999996</v>
      </c>
      <c r="AK221" s="1639">
        <f t="shared" si="82"/>
        <v>0.76039472796049201</v>
      </c>
      <c r="AL221" s="1639">
        <f t="shared" si="95"/>
        <v>221.0033045465172</v>
      </c>
      <c r="AM221" s="1640">
        <f t="shared" si="96"/>
        <v>83.181912400000002</v>
      </c>
      <c r="AN221" s="1639">
        <f t="shared" si="97"/>
        <v>0.99292807989564835</v>
      </c>
      <c r="AO221" s="1641">
        <f t="shared" si="98"/>
        <v>249.29760258726986</v>
      </c>
      <c r="AP221" s="287">
        <f t="shared" si="83"/>
        <v>-5.8207251317049069</v>
      </c>
      <c r="AQ221" s="444">
        <f t="shared" si="107"/>
        <v>-703.2</v>
      </c>
      <c r="AR221" s="444">
        <f t="shared" si="84"/>
        <v>-676.40000000000009</v>
      </c>
      <c r="AS221" s="445">
        <f t="shared" si="99"/>
        <v>470.30090713378706</v>
      </c>
      <c r="AT221" s="64">
        <f t="shared" si="108"/>
        <v>-249.29760258726986</v>
      </c>
      <c r="AU221" s="445">
        <f t="shared" si="100"/>
        <v>243.47687745556496</v>
      </c>
      <c r="AV221" s="447"/>
      <c r="AW221" s="447">
        <f t="shared" si="101"/>
        <v>-326.22470283839959</v>
      </c>
      <c r="AX221" s="1597">
        <f t="shared" si="102"/>
        <v>-350.1752971616005</v>
      </c>
      <c r="AY221" s="1597">
        <f t="shared" si="85"/>
        <v>-35.558312718415557</v>
      </c>
      <c r="AZ221" s="1642">
        <f t="shared" si="86"/>
        <v>-28.557125762600993</v>
      </c>
      <c r="BA221" s="274">
        <f t="shared" si="109"/>
        <v>35.558312718415557</v>
      </c>
      <c r="BB221" s="275">
        <f t="shared" si="109"/>
        <v>28.557125762600993</v>
      </c>
      <c r="BC221">
        <f t="shared" si="104"/>
        <v>0.3</v>
      </c>
      <c r="BD221" s="545"/>
      <c r="BQ221" s="236"/>
      <c r="BR221" s="236"/>
      <c r="BS221" s="236"/>
      <c r="BT221" s="236"/>
      <c r="BU221" s="236"/>
      <c r="BV221" s="236"/>
      <c r="CA221" s="236"/>
      <c r="CB221" s="236"/>
      <c r="CC221" s="236"/>
      <c r="CD221" s="236"/>
      <c r="CI221" s="236"/>
      <c r="CJ221" s="236"/>
      <c r="CK221" s="236"/>
      <c r="CL221" s="236"/>
      <c r="CM221" s="236"/>
      <c r="CN221" s="236"/>
      <c r="DE221" s="126"/>
    </row>
    <row r="222" spans="2:129" ht="21.75" hidden="1" customHeight="1" thickBot="1" x14ac:dyDescent="0.25">
      <c r="AH222" s="546" t="s">
        <v>79</v>
      </c>
      <c r="AI222" s="547">
        <f>MAX(AI196:AI221)</f>
        <v>1</v>
      </c>
      <c r="BD222" s="545"/>
      <c r="DE222" s="126"/>
    </row>
    <row r="223" spans="2:129" ht="21.75" hidden="1" customHeight="1" thickBot="1" x14ac:dyDescent="0.25">
      <c r="AH223" s="853"/>
      <c r="AI223" s="854"/>
      <c r="BD223" s="545"/>
      <c r="DE223" s="126"/>
    </row>
    <row r="224" spans="2:129" ht="21.75" hidden="1" customHeight="1" x14ac:dyDescent="0.2">
      <c r="AH224" s="853"/>
      <c r="AI224" s="854"/>
      <c r="AJ224" s="1769"/>
      <c r="AK224" s="619"/>
      <c r="AL224" s="619"/>
      <c r="AM224" s="619"/>
      <c r="AN224" s="619"/>
      <c r="AO224" s="619"/>
      <c r="AP224" s="619"/>
      <c r="AQ224" s="619"/>
      <c r="AR224" s="619"/>
      <c r="AS224" s="619"/>
      <c r="AT224" s="619"/>
      <c r="AU224" s="619"/>
      <c r="AV224" s="619"/>
      <c r="AW224" s="1770" t="s">
        <v>361</v>
      </c>
      <c r="AX224" s="1770"/>
      <c r="AY224" s="1770"/>
      <c r="AZ224" s="1771"/>
      <c r="BD224" s="545"/>
      <c r="DE224" s="126"/>
    </row>
    <row r="225" spans="2:109" ht="21.75" hidden="1" customHeight="1" x14ac:dyDescent="0.2">
      <c r="AH225" s="853"/>
      <c r="AI225" s="854"/>
      <c r="AJ225" s="1772" t="s">
        <v>368</v>
      </c>
      <c r="AK225" s="1773">
        <v>0.5</v>
      </c>
      <c r="AL225" s="1773">
        <v>1</v>
      </c>
      <c r="AM225" s="1773">
        <v>2</v>
      </c>
      <c r="AN225" s="1773">
        <v>2.5</v>
      </c>
      <c r="AO225" s="1773">
        <v>3</v>
      </c>
      <c r="AP225" s="1773">
        <v>4</v>
      </c>
      <c r="AQ225" s="1773">
        <v>5</v>
      </c>
      <c r="AR225" s="1773">
        <v>5.5</v>
      </c>
      <c r="AS225" s="1773">
        <v>6.5</v>
      </c>
      <c r="AT225" s="1773">
        <v>7.5</v>
      </c>
      <c r="AU225" s="1773">
        <v>9</v>
      </c>
      <c r="AV225" s="1773">
        <v>10</v>
      </c>
      <c r="AW225" s="1579" t="s">
        <v>355</v>
      </c>
      <c r="AX225" s="457" t="s">
        <v>362</v>
      </c>
      <c r="AY225" s="1579" t="s">
        <v>367</v>
      </c>
      <c r="AZ225" s="1774"/>
      <c r="BD225" s="545"/>
      <c r="DE225" s="126"/>
    </row>
    <row r="226" spans="2:109" ht="21.75" hidden="1" customHeight="1" x14ac:dyDescent="0.2">
      <c r="AH226" s="853"/>
      <c r="AI226" s="854"/>
      <c r="AJ226" s="1772" t="s">
        <v>355</v>
      </c>
      <c r="AK226" s="1773">
        <v>42.701900000000002</v>
      </c>
      <c r="AL226" s="1773">
        <v>44.560600000000001</v>
      </c>
      <c r="AM226" s="1773">
        <v>47.3825</v>
      </c>
      <c r="AN226" s="1773">
        <v>44.2331</v>
      </c>
      <c r="AO226" s="1773">
        <v>46.136200000000002</v>
      </c>
      <c r="AP226" s="1773">
        <v>48.924700000000001</v>
      </c>
      <c r="AQ226" s="1773">
        <v>45.390900000000002</v>
      </c>
      <c r="AR226" s="1773">
        <v>47.344299999999997</v>
      </c>
      <c r="AS226" s="1773">
        <v>50.048400000000001</v>
      </c>
      <c r="AT226" s="1773">
        <v>48.7883</v>
      </c>
      <c r="AU226" s="1773">
        <v>51.122100000000003</v>
      </c>
      <c r="AV226" s="1773">
        <v>49.733899999999998</v>
      </c>
      <c r="AW226" s="1775">
        <f>SUM(AK227:AV227)</f>
        <v>42.701900000000002</v>
      </c>
      <c r="AX226" s="457">
        <f>+SIN((AW226+AI222)*3.14159265358979/180)</f>
        <v>0.69090638519543424</v>
      </c>
      <c r="AY226" s="1579">
        <f>+AX232/AX226</f>
        <v>16.846421998032966</v>
      </c>
      <c r="AZ226" s="1776"/>
      <c r="BD226" s="545"/>
      <c r="DE226" s="126"/>
    </row>
    <row r="227" spans="2:109" ht="21.75" customHeight="1" thickBot="1" x14ac:dyDescent="0.25">
      <c r="AH227" s="853"/>
      <c r="AI227" s="854"/>
      <c r="AJ227" s="1777"/>
      <c r="AK227" s="1778">
        <f>IF(($D$232=AK225),AK226)</f>
        <v>42.701900000000002</v>
      </c>
      <c r="AL227" s="1778" t="b">
        <f t="shared" ref="AL227:AV227" si="111">IF(($D$232=AL225),AL226)</f>
        <v>0</v>
      </c>
      <c r="AM227" s="1778" t="b">
        <f t="shared" si="111"/>
        <v>0</v>
      </c>
      <c r="AN227" s="1778" t="b">
        <f t="shared" si="111"/>
        <v>0</v>
      </c>
      <c r="AO227" s="1778" t="b">
        <f t="shared" si="111"/>
        <v>0</v>
      </c>
      <c r="AP227" s="1778" t="b">
        <f t="shared" si="111"/>
        <v>0</v>
      </c>
      <c r="AQ227" s="1778" t="b">
        <f t="shared" si="111"/>
        <v>0</v>
      </c>
      <c r="AR227" s="1778" t="b">
        <f t="shared" si="111"/>
        <v>0</v>
      </c>
      <c r="AS227" s="1778" t="b">
        <f t="shared" si="111"/>
        <v>0</v>
      </c>
      <c r="AT227" s="1778" t="b">
        <f t="shared" si="111"/>
        <v>0</v>
      </c>
      <c r="AU227" s="1778" t="b">
        <f t="shared" si="111"/>
        <v>0</v>
      </c>
      <c r="AV227" s="1778" t="b">
        <f t="shared" si="111"/>
        <v>0</v>
      </c>
      <c r="AW227" s="1579"/>
      <c r="AX227" s="457"/>
      <c r="AY227" s="1579"/>
      <c r="AZ227" s="1776"/>
      <c r="BD227" s="545"/>
      <c r="DE227" s="126"/>
    </row>
    <row r="228" spans="2:109" ht="51" customHeight="1" thickBot="1" x14ac:dyDescent="0.25">
      <c r="B228" s="345" t="s">
        <v>157</v>
      </c>
      <c r="C228" s="454"/>
      <c r="D228" s="455"/>
      <c r="E228" s="37"/>
      <c r="F228" s="37"/>
      <c r="G228" s="37"/>
      <c r="H228" s="456"/>
      <c r="I228" s="456"/>
      <c r="J228" s="456"/>
      <c r="K228" s="456"/>
      <c r="L228" s="456"/>
      <c r="M228" s="456"/>
      <c r="N228" s="456"/>
      <c r="O228" s="456"/>
      <c r="P228" s="456"/>
      <c r="Q228" s="456"/>
      <c r="R228" s="456"/>
      <c r="S228" s="457" t="s">
        <v>66</v>
      </c>
      <c r="T228" s="457">
        <f>SUM(V232:V239)/B229</f>
        <v>149.64790259303734</v>
      </c>
      <c r="U228" s="212"/>
      <c r="V228" s="73"/>
      <c r="W228" s="73"/>
      <c r="X228" s="73"/>
      <c r="Y228" s="73"/>
      <c r="Z228" s="73"/>
      <c r="AA228" s="73"/>
      <c r="AB228" s="73"/>
      <c r="AC228" s="73"/>
      <c r="AD228" s="73"/>
      <c r="AE228" s="73"/>
      <c r="AF228" s="73"/>
      <c r="AG228" s="73"/>
      <c r="AH228" s="73"/>
      <c r="AI228" s="73"/>
      <c r="AJ228" s="1777"/>
      <c r="AK228" s="560"/>
      <c r="AL228" s="560"/>
      <c r="AM228" s="560"/>
      <c r="AN228" s="560"/>
      <c r="AO228" s="560"/>
      <c r="AP228" s="560"/>
      <c r="AQ228" s="560"/>
      <c r="AR228" s="560"/>
      <c r="AS228" s="560"/>
      <c r="AT228" s="560"/>
      <c r="AU228" s="560"/>
      <c r="AV228" s="560"/>
      <c r="AW228" s="1779" t="s">
        <v>363</v>
      </c>
      <c r="AX228" s="1579"/>
      <c r="AY228" s="1780"/>
      <c r="AZ228" s="1781">
        <v>2000</v>
      </c>
      <c r="BA228" s="73"/>
      <c r="BB228" s="73"/>
      <c r="BC228" s="126"/>
    </row>
    <row r="229" spans="2:109" ht="43.5" customHeight="1" thickBot="1" x14ac:dyDescent="0.3">
      <c r="B229" s="27">
        <v>1</v>
      </c>
      <c r="C229" s="216"/>
      <c r="D229" s="556" t="s">
        <v>53</v>
      </c>
      <c r="E229" s="330"/>
      <c r="F229" s="330"/>
      <c r="G229" s="330"/>
      <c r="H229" s="1684"/>
      <c r="I229" s="1623"/>
      <c r="J229" s="1623"/>
      <c r="K229" s="1623"/>
      <c r="L229" s="1623"/>
      <c r="M229" s="1623"/>
      <c r="N229" s="1623"/>
      <c r="O229" s="1623"/>
      <c r="P229" s="1623"/>
      <c r="Q229" s="1623"/>
      <c r="R229" s="1623"/>
      <c r="S229" s="1624"/>
      <c r="T229" s="1625"/>
      <c r="U229" s="401"/>
      <c r="V229" s="1585"/>
      <c r="W229" s="1585"/>
      <c r="X229" s="1585"/>
      <c r="Y229" s="1585"/>
      <c r="Z229" s="1585"/>
      <c r="AA229" s="1585"/>
      <c r="AB229" s="1585"/>
      <c r="AC229" s="1585"/>
      <c r="AD229" s="1585"/>
      <c r="AE229" s="1585"/>
      <c r="AF229" s="1585"/>
      <c r="AG229" s="1585"/>
      <c r="AH229" s="1585"/>
      <c r="AI229" s="1585"/>
      <c r="AJ229" s="1782"/>
      <c r="AK229" s="655"/>
      <c r="AL229" s="655"/>
      <c r="AM229" s="655"/>
      <c r="AN229" s="655"/>
      <c r="AO229" s="655"/>
      <c r="AP229" s="655"/>
      <c r="AQ229" s="655"/>
      <c r="AR229" s="655"/>
      <c r="AS229" s="655"/>
      <c r="AT229" s="655"/>
      <c r="AU229" s="655"/>
      <c r="AV229" s="655"/>
      <c r="AW229" s="1783" t="s">
        <v>369</v>
      </c>
      <c r="AX229" s="1784"/>
      <c r="AY229" s="1785"/>
      <c r="AZ229" s="1786">
        <f>+AZ228/SIN((AU226)*3.14159265358979/180)</f>
        <v>2569.091518711793</v>
      </c>
      <c r="BA229" s="1848" t="s">
        <v>52</v>
      </c>
      <c r="BB229" s="1849"/>
      <c r="BC229" s="218"/>
      <c r="BP229" s="305"/>
      <c r="BQ229" s="305"/>
      <c r="BR229" s="305"/>
      <c r="BS229" s="305"/>
      <c r="BT229" s="305"/>
      <c r="BU229" s="305"/>
      <c r="BV229" s="1818"/>
      <c r="BW229" s="1818"/>
      <c r="BX229" s="1818"/>
      <c r="BY229" s="126"/>
    </row>
    <row r="230" spans="2:109" ht="44.25" hidden="1" customHeight="1" thickBot="1" x14ac:dyDescent="0.25">
      <c r="C230" s="416"/>
      <c r="D230" s="354"/>
      <c r="H230" s="500" t="s">
        <v>4</v>
      </c>
      <c r="I230" s="500" t="s">
        <v>1</v>
      </c>
      <c r="J230" s="456" t="s">
        <v>0</v>
      </c>
      <c r="K230" s="456" t="s">
        <v>2</v>
      </c>
      <c r="L230" s="456" t="s">
        <v>3</v>
      </c>
      <c r="M230" s="456" t="s">
        <v>8</v>
      </c>
      <c r="N230" s="456" t="s">
        <v>5</v>
      </c>
      <c r="O230" s="456" t="s">
        <v>6</v>
      </c>
      <c r="P230" s="456" t="s">
        <v>7</v>
      </c>
      <c r="Q230" s="456" t="s">
        <v>9</v>
      </c>
      <c r="R230" s="1628" t="s">
        <v>10</v>
      </c>
      <c r="S230" s="456" t="s">
        <v>11</v>
      </c>
      <c r="T230" s="467" t="s">
        <v>12</v>
      </c>
      <c r="V230" s="420"/>
      <c r="W230" s="420"/>
      <c r="X230" s="420"/>
      <c r="Y230" s="420"/>
      <c r="Z230" s="420"/>
      <c r="AA230" s="420"/>
      <c r="AB230" s="420"/>
      <c r="AC230" s="420"/>
      <c r="AD230" s="420"/>
      <c r="AE230" s="420"/>
      <c r="AF230" s="420"/>
      <c r="AG230" s="420"/>
      <c r="AH230" s="420"/>
      <c r="AI230" s="420"/>
      <c r="AJ230" s="420"/>
      <c r="AK230" s="420"/>
      <c r="AL230" s="420"/>
      <c r="AM230" s="420"/>
      <c r="AN230" s="420"/>
      <c r="AO230" s="420"/>
      <c r="AP230" s="420"/>
      <c r="AQ230" s="1711" t="s">
        <v>348</v>
      </c>
      <c r="AR230" s="420"/>
      <c r="AS230" s="420"/>
      <c r="AT230" s="420"/>
      <c r="AU230" s="420"/>
      <c r="AV230" s="420"/>
      <c r="AW230" s="1783" t="s">
        <v>370</v>
      </c>
      <c r="AX230" s="1792"/>
      <c r="AY230" s="1793"/>
      <c r="AZ230" s="1791">
        <v>2570</v>
      </c>
      <c r="BA230" s="420"/>
      <c r="BB230" s="420"/>
      <c r="BC230" s="231"/>
      <c r="BV230" s="306"/>
      <c r="CI230" s="306"/>
    </row>
    <row r="231" spans="2:109" ht="34.5" customHeight="1" thickBot="1" x14ac:dyDescent="0.25">
      <c r="B231" s="421"/>
      <c r="C231" s="422"/>
      <c r="D231" s="551" t="s">
        <v>22</v>
      </c>
      <c r="E231" s="330"/>
      <c r="F231" s="729" t="s">
        <v>45</v>
      </c>
      <c r="G231" s="240"/>
      <c r="H231" s="730"/>
      <c r="I231" s="731"/>
      <c r="R231" s="73"/>
      <c r="T231" s="471"/>
      <c r="V231" s="420"/>
      <c r="W231" s="420"/>
      <c r="X231" s="420"/>
      <c r="Y231" s="420"/>
      <c r="Z231" s="420"/>
      <c r="AA231" s="420"/>
      <c r="AB231" s="420"/>
      <c r="AC231" s="420"/>
      <c r="AD231" s="420"/>
      <c r="AE231" s="420"/>
      <c r="AF231" s="420" t="s">
        <v>38</v>
      </c>
      <c r="AG231" s="552" t="s">
        <v>102</v>
      </c>
      <c r="AH231" s="425" t="s">
        <v>31</v>
      </c>
      <c r="AI231" s="425"/>
      <c r="AJ231" s="287" t="s">
        <v>60</v>
      </c>
      <c r="AK231" s="426" t="s">
        <v>32</v>
      </c>
      <c r="AL231" s="287" t="s">
        <v>33</v>
      </c>
      <c r="AM231" s="287" t="s">
        <v>61</v>
      </c>
      <c r="AN231" s="427" t="s">
        <v>34</v>
      </c>
      <c r="AO231" s="698" t="s">
        <v>35</v>
      </c>
      <c r="AP231" s="427"/>
      <c r="AQ231" s="473" t="s">
        <v>36</v>
      </c>
      <c r="AR231" s="420"/>
      <c r="AS231" s="420" t="s">
        <v>37</v>
      </c>
      <c r="AT231" s="420" t="s">
        <v>39</v>
      </c>
      <c r="AU231" s="420"/>
      <c r="AV231" s="420" t="s">
        <v>40</v>
      </c>
      <c r="AW231" s="1594" t="s">
        <v>41</v>
      </c>
      <c r="AX231" s="1594" t="s">
        <v>42</v>
      </c>
      <c r="AY231" s="430" t="s">
        <v>23</v>
      </c>
      <c r="AZ231" s="430" t="s">
        <v>24</v>
      </c>
      <c r="BA231" s="431" t="s">
        <v>23</v>
      </c>
      <c r="BB231" s="431" t="s">
        <v>24</v>
      </c>
      <c r="BP231" s="307"/>
      <c r="BQ231" s="307"/>
      <c r="BR231" s="307"/>
      <c r="BS231" s="307"/>
      <c r="BT231" s="307"/>
      <c r="BU231" s="307"/>
      <c r="BV231" s="1819"/>
      <c r="BW231" s="1819"/>
      <c r="CH231" s="1813"/>
      <c r="CI231" s="1813"/>
    </row>
    <row r="232" spans="2:109" ht="22.5" customHeight="1" thickBot="1" x14ac:dyDescent="0.25">
      <c r="B232" s="255">
        <v>1</v>
      </c>
      <c r="C232" s="256">
        <f>+D232+AI222</f>
        <v>1.5</v>
      </c>
      <c r="D232" s="25">
        <v>0.5</v>
      </c>
      <c r="E232" s="257" t="s">
        <v>308</v>
      </c>
      <c r="F232" s="258"/>
      <c r="G232" s="258">
        <f>+D232</f>
        <v>0.5</v>
      </c>
      <c r="H232" s="732">
        <v>190.76</v>
      </c>
      <c r="I232" s="733">
        <v>79.651040199999997</v>
      </c>
      <c r="J232" s="508">
        <f>+I232-C232</f>
        <v>78.151040199999997</v>
      </c>
      <c r="K232" s="508">
        <f>+J232/2</f>
        <v>39.075520099999999</v>
      </c>
      <c r="L232" s="508">
        <f t="shared" ref="L232:L239" si="112">SIN(K232*3.14159265358979/180)</f>
        <v>0.63034418028191874</v>
      </c>
      <c r="M232" s="508">
        <f t="shared" ref="M232:M239" si="113">+L232*H232</f>
        <v>120.24445583057881</v>
      </c>
      <c r="N232" s="508">
        <f t="shared" ref="N232:N239" si="114">+M232*2</f>
        <v>240.48891166115763</v>
      </c>
      <c r="O232" s="508">
        <f>+C232/2</f>
        <v>0.75</v>
      </c>
      <c r="P232" s="508">
        <f t="shared" ref="P232:P239" si="115">SIN(O232*3.14159265358979/180)</f>
        <v>1.3089595571344427E-2</v>
      </c>
      <c r="Q232" s="508">
        <f t="shared" ref="Q232:Q239" si="116">+P232*N232</f>
        <v>3.1479025930373301</v>
      </c>
      <c r="R232" s="733">
        <v>146.5</v>
      </c>
      <c r="S232" s="508">
        <f>+R232+Q232</f>
        <v>149.64790259303734</v>
      </c>
      <c r="T232" s="510">
        <f t="shared" ref="T232:T239" si="117">+S232</f>
        <v>149.64790259303734</v>
      </c>
      <c r="U232" s="456"/>
      <c r="V232" s="511">
        <f>IF(B232&lt;($B$229+1),T232,0)</f>
        <v>149.64790259303734</v>
      </c>
      <c r="W232" s="511"/>
      <c r="X232" s="511"/>
      <c r="Y232" s="511"/>
      <c r="Z232" s="511"/>
      <c r="AA232" s="511"/>
      <c r="AB232" s="1595" t="str">
        <f>IF(AZ232&lt;0,"pin in groundstacking hole"," ")</f>
        <v xml:space="preserve"> </v>
      </c>
      <c r="AC232" s="1716"/>
      <c r="AD232" s="1716"/>
      <c r="AE232" s="1716"/>
      <c r="AF232" s="511">
        <f>SUM(V232:V239)/($B$229)</f>
        <v>149.64790259303734</v>
      </c>
      <c r="AG232" s="511">
        <f>+AF232+AA140+AA196+AA172</f>
        <v>154.39758741510587</v>
      </c>
      <c r="AH232" s="515">
        <f>C232</f>
        <v>1.5</v>
      </c>
      <c r="AI232" s="516"/>
      <c r="AJ232" s="287">
        <f>69.3447148-AH232</f>
        <v>67.844714800000006</v>
      </c>
      <c r="AK232" s="517">
        <f t="shared" ref="AK232:AK239" si="118">SIN(AJ232*3.14159265358979/180)</f>
        <v>0.92616517751636129</v>
      </c>
      <c r="AL232" s="287">
        <f>+AK232*192.42</f>
        <v>178.21270345769824</v>
      </c>
      <c r="AM232" s="287">
        <f>50.1744799+AH232</f>
        <v>51.674479900000001</v>
      </c>
      <c r="AN232" s="518">
        <f>SIN(AM232*3.14159265358979/180)</f>
        <v>0.78450023706009864</v>
      </c>
      <c r="AO232" s="287">
        <f>+AN232*190.76</f>
        <v>149.6512652215844</v>
      </c>
      <c r="AP232" s="287"/>
      <c r="AQ232" s="269">
        <f>$C$18*B229</f>
        <v>25.5</v>
      </c>
      <c r="AR232" s="519"/>
      <c r="AS232" s="520">
        <f>+AO232+AL232</f>
        <v>327.86396867928261</v>
      </c>
      <c r="AT232" s="521">
        <f>+V232-AO232</f>
        <v>-3.3626285470518269E-3</v>
      </c>
      <c r="AU232" s="522"/>
      <c r="AV232" s="521">
        <f>+AF232-AT232</f>
        <v>149.6512652215844</v>
      </c>
      <c r="AW232" s="523">
        <f>+((AS232-AV232)/AS232)*AQ232</f>
        <v>13.8606994738622</v>
      </c>
      <c r="AX232" s="523">
        <f>+(AV232/AS232)*AQ232</f>
        <v>11.639300526137802</v>
      </c>
      <c r="AY232" s="1597">
        <f t="shared" ref="AY232:AY239" si="119">2*$C$22/AW232</f>
        <v>836.89860110412815</v>
      </c>
      <c r="AZ232" s="1787">
        <f>AZ230/AY226</f>
        <v>152.55464930773314</v>
      </c>
      <c r="BA232" s="542">
        <f>ABS(AY232)</f>
        <v>836.89860110412815</v>
      </c>
      <c r="BB232" s="542">
        <f>ABS(AZ232)</f>
        <v>152.55464930773314</v>
      </c>
      <c r="BC232" s="91"/>
    </row>
    <row r="233" spans="2:109" ht="21" customHeight="1" thickBot="1" x14ac:dyDescent="0.25">
      <c r="B233" s="277">
        <v>2</v>
      </c>
      <c r="C233" s="278"/>
      <c r="D233" s="25">
        <v>0</v>
      </c>
      <c r="E233" s="279" t="s">
        <v>173</v>
      </c>
      <c r="F233" s="258"/>
      <c r="G233" s="258">
        <f>+D233+BC233</f>
        <v>0</v>
      </c>
      <c r="H233" s="732">
        <v>190.76</v>
      </c>
      <c r="I233" s="733">
        <v>79.651040199999997</v>
      </c>
      <c r="J233" s="474">
        <f t="shared" ref="J233:J239" si="120">+I233-D233</f>
        <v>79.651040199999997</v>
      </c>
      <c r="K233" s="474">
        <f t="shared" ref="K233:K239" si="121">+J233/2</f>
        <v>39.825520099999999</v>
      </c>
      <c r="L233" s="474">
        <f t="shared" si="112"/>
        <v>0.64045183696587837</v>
      </c>
      <c r="M233" s="474">
        <f t="shared" si="113"/>
        <v>122.17259241961095</v>
      </c>
      <c r="N233" s="474">
        <f t="shared" si="114"/>
        <v>244.3451848392219</v>
      </c>
      <c r="O233" s="474">
        <f>+C232+(D233/2)</f>
        <v>1.5</v>
      </c>
      <c r="P233" s="474">
        <f t="shared" si="115"/>
        <v>2.6176948307873125E-2</v>
      </c>
      <c r="Q233" s="474">
        <f t="shared" si="116"/>
        <v>6.3962112728140159</v>
      </c>
      <c r="R233" s="474">
        <f t="shared" ref="R233:R239" si="122">+T232</f>
        <v>149.64790259303734</v>
      </c>
      <c r="S233" s="474">
        <f>+R233+Q233</f>
        <v>156.04411386585136</v>
      </c>
      <c r="T233" s="476">
        <f t="shared" si="117"/>
        <v>156.04411386585136</v>
      </c>
      <c r="V233" s="437">
        <f>IF(B233&lt;($B$229+1),T233,0)</f>
        <v>0</v>
      </c>
      <c r="W233" s="437"/>
      <c r="X233" s="437"/>
      <c r="Y233" s="437"/>
      <c r="Z233" s="437"/>
      <c r="AA233" s="437"/>
      <c r="AB233" s="1595" t="e">
        <f t="shared" ref="AB233:AB238" si="123">IF(AZ233&lt;0,"pin in groundstacking hole"," ")</f>
        <v>#DIV/0!</v>
      </c>
      <c r="AC233" s="1636"/>
      <c r="AD233" s="1636"/>
      <c r="AE233" s="1636"/>
      <c r="AF233" s="437" t="e">
        <f>SUM(V233:V240)/($B$229-B232)</f>
        <v>#DIV/0!</v>
      </c>
      <c r="AG233" s="437"/>
      <c r="AH233" s="450">
        <f>SUM(D233)+$C$232</f>
        <v>1.5</v>
      </c>
      <c r="AI233" s="717"/>
      <c r="AJ233" s="287">
        <f t="shared" ref="AJ233:AJ239" si="124">69.3447148-AH233</f>
        <v>67.844714800000006</v>
      </c>
      <c r="AK233" s="441">
        <f t="shared" si="118"/>
        <v>0.92616517751636129</v>
      </c>
      <c r="AL233" s="287">
        <f t="shared" ref="AL233:AL239" si="125">+AK233*192.42</f>
        <v>178.21270345769824</v>
      </c>
      <c r="AM233" s="287">
        <f t="shared" ref="AM233:AM239" si="126">50.1744799+AH233</f>
        <v>51.674479900000001</v>
      </c>
      <c r="AN233" s="442">
        <f t="shared" ref="AN233:AN239" si="127">SIN(AM233*3.14159265358979/180)</f>
        <v>0.78450023706009864</v>
      </c>
      <c r="AO233" s="287">
        <f t="shared" ref="AO233:AO239" si="128">+AN233*190.76</f>
        <v>149.6512652215844</v>
      </c>
      <c r="AP233" s="443"/>
      <c r="AQ233" s="291">
        <f t="shared" ref="AQ233:AQ239" si="129">$C$18*($B$229-B232)</f>
        <v>0</v>
      </c>
      <c r="AR233" s="443"/>
      <c r="AS233" s="444">
        <f t="shared" ref="AS233:AS239" si="130">+AO233+AL233</f>
        <v>327.86396867928261</v>
      </c>
      <c r="AT233" s="445">
        <f>+V233-AO233</f>
        <v>-149.6512652215844</v>
      </c>
      <c r="AU233" s="446"/>
      <c r="AV233" s="445" t="e">
        <f>+AF233-AT233</f>
        <v>#DIV/0!</v>
      </c>
      <c r="AW233" s="447" t="e">
        <f t="shared" ref="AW233:AW239" si="131">+((AS233-AV233)/AS233)*AQ233</f>
        <v>#DIV/0!</v>
      </c>
      <c r="AX233" s="447" t="e">
        <f t="shared" ref="AX233:AX239" si="132">+(AV233/AS233)*AQ233</f>
        <v>#DIV/0!</v>
      </c>
      <c r="AY233" s="1597" t="e">
        <f t="shared" si="119"/>
        <v>#DIV/0!</v>
      </c>
      <c r="AZ233" s="1597" t="e">
        <f t="shared" ref="AZ233:AZ239" si="133">$D$22/AX233</f>
        <v>#DIV/0!</v>
      </c>
      <c r="BA233" s="542" t="e">
        <f t="shared" ref="BA233:BB239" si="134">ABS(AY233)</f>
        <v>#DIV/0!</v>
      </c>
      <c r="BB233" s="542" t="e">
        <f t="shared" si="134"/>
        <v>#DIV/0!</v>
      </c>
    </row>
    <row r="234" spans="2:109" ht="21" customHeight="1" thickBot="1" x14ac:dyDescent="0.25">
      <c r="B234" s="277">
        <v>3</v>
      </c>
      <c r="C234" s="278"/>
      <c r="D234" s="25">
        <v>0</v>
      </c>
      <c r="E234" s="279" t="s">
        <v>54</v>
      </c>
      <c r="F234" s="258"/>
      <c r="G234" s="258">
        <f t="shared" ref="G234:G239" si="135">+D234+BC234</f>
        <v>0</v>
      </c>
      <c r="H234" s="732">
        <v>190.76</v>
      </c>
      <c r="I234" s="733">
        <v>79.651040199999997</v>
      </c>
      <c r="J234" s="474">
        <f t="shared" si="120"/>
        <v>79.651040199999997</v>
      </c>
      <c r="K234" s="474">
        <f t="shared" si="121"/>
        <v>39.825520099999999</v>
      </c>
      <c r="L234" s="474">
        <f t="shared" si="112"/>
        <v>0.64045183696587837</v>
      </c>
      <c r="M234" s="474">
        <f t="shared" si="113"/>
        <v>122.17259241961095</v>
      </c>
      <c r="N234" s="474">
        <f t="shared" si="114"/>
        <v>244.3451848392219</v>
      </c>
      <c r="O234" s="474">
        <f>+C232+D233+(D234/2)</f>
        <v>1.5</v>
      </c>
      <c r="P234" s="474">
        <f t="shared" si="115"/>
        <v>2.6176948307873125E-2</v>
      </c>
      <c r="Q234" s="474">
        <f t="shared" si="116"/>
        <v>6.3962112728140159</v>
      </c>
      <c r="R234" s="474">
        <f t="shared" si="122"/>
        <v>156.04411386585136</v>
      </c>
      <c r="S234" s="474">
        <f t="shared" ref="S234:S239" si="136">+S233+Q234</f>
        <v>162.44032513866537</v>
      </c>
      <c r="T234" s="476">
        <f t="shared" si="117"/>
        <v>162.44032513866537</v>
      </c>
      <c r="V234" s="437">
        <f t="shared" ref="V234:V239" si="137">IF(B234&lt;($B$229+1),T234,0)</f>
        <v>0</v>
      </c>
      <c r="W234" s="437"/>
      <c r="X234" s="437"/>
      <c r="Y234" s="437"/>
      <c r="Z234" s="437"/>
      <c r="AA234" s="437"/>
      <c r="AB234" s="1595" t="str">
        <f t="shared" si="123"/>
        <v>pin in groundstacking hole</v>
      </c>
      <c r="AC234" s="1636"/>
      <c r="AD234" s="1636"/>
      <c r="AE234" s="1636"/>
      <c r="AF234" s="437">
        <f>SUM(V234:V239)/($B$229-B233)</f>
        <v>0</v>
      </c>
      <c r="AG234" s="437"/>
      <c r="AH234" s="450">
        <f>SUM(D233:D234)+$C$232</f>
        <v>1.5</v>
      </c>
      <c r="AI234" s="717"/>
      <c r="AJ234" s="287">
        <f t="shared" si="124"/>
        <v>67.844714800000006</v>
      </c>
      <c r="AK234" s="441">
        <f t="shared" si="118"/>
        <v>0.92616517751636129</v>
      </c>
      <c r="AL234" s="287">
        <f t="shared" si="125"/>
        <v>178.21270345769824</v>
      </c>
      <c r="AM234" s="287">
        <f t="shared" si="126"/>
        <v>51.674479900000001</v>
      </c>
      <c r="AN234" s="442">
        <f t="shared" si="127"/>
        <v>0.78450023706009864</v>
      </c>
      <c r="AO234" s="287">
        <f t="shared" si="128"/>
        <v>149.6512652215844</v>
      </c>
      <c r="AP234" s="443"/>
      <c r="AQ234" s="291">
        <f t="shared" si="129"/>
        <v>-25.5</v>
      </c>
      <c r="AR234" s="443"/>
      <c r="AS234" s="444">
        <f t="shared" si="130"/>
        <v>327.86396867928261</v>
      </c>
      <c r="AT234" s="445">
        <f>+V234-AO234</f>
        <v>-149.6512652215844</v>
      </c>
      <c r="AU234" s="446"/>
      <c r="AV234" s="445">
        <f>+AF234-AT234</f>
        <v>149.6512652215844</v>
      </c>
      <c r="AW234" s="447">
        <f t="shared" si="131"/>
        <v>-13.8606994738622</v>
      </c>
      <c r="AX234" s="447">
        <f t="shared" si="132"/>
        <v>-11.639300526137802</v>
      </c>
      <c r="AY234" s="1597">
        <f t="shared" si="119"/>
        <v>-836.89860110412815</v>
      </c>
      <c r="AZ234" s="1597">
        <f t="shared" si="133"/>
        <v>-859.15815796176878</v>
      </c>
      <c r="BA234" s="542">
        <f t="shared" si="134"/>
        <v>836.89860110412815</v>
      </c>
      <c r="BB234" s="542">
        <f t="shared" si="134"/>
        <v>859.15815796176878</v>
      </c>
    </row>
    <row r="235" spans="2:109" ht="21" customHeight="1" thickBot="1" x14ac:dyDescent="0.25">
      <c r="B235" s="277">
        <v>4</v>
      </c>
      <c r="C235" s="278"/>
      <c r="D235" s="25">
        <v>0</v>
      </c>
      <c r="E235" s="279" t="s">
        <v>54</v>
      </c>
      <c r="F235" s="258"/>
      <c r="G235" s="258">
        <f t="shared" si="135"/>
        <v>0</v>
      </c>
      <c r="H235" s="732">
        <v>190.76</v>
      </c>
      <c r="I235" s="733">
        <v>79.651040199999997</v>
      </c>
      <c r="J235" s="474">
        <f t="shared" si="120"/>
        <v>79.651040199999997</v>
      </c>
      <c r="K235" s="474">
        <f t="shared" si="121"/>
        <v>39.825520099999999</v>
      </c>
      <c r="L235" s="474">
        <f t="shared" si="112"/>
        <v>0.64045183696587837</v>
      </c>
      <c r="M235" s="474">
        <f t="shared" si="113"/>
        <v>122.17259241961095</v>
      </c>
      <c r="N235" s="474">
        <f t="shared" si="114"/>
        <v>244.3451848392219</v>
      </c>
      <c r="O235" s="474">
        <f>+C232+D233+D234+(D235/2)</f>
        <v>1.5</v>
      </c>
      <c r="P235" s="474">
        <f t="shared" si="115"/>
        <v>2.6176948307873125E-2</v>
      </c>
      <c r="Q235" s="474">
        <f t="shared" si="116"/>
        <v>6.3962112728140159</v>
      </c>
      <c r="R235" s="474">
        <f t="shared" si="122"/>
        <v>162.44032513866537</v>
      </c>
      <c r="S235" s="474">
        <f t="shared" si="136"/>
        <v>168.83653641147939</v>
      </c>
      <c r="T235" s="476">
        <f t="shared" si="117"/>
        <v>168.83653641147939</v>
      </c>
      <c r="V235" s="437">
        <f t="shared" si="137"/>
        <v>0</v>
      </c>
      <c r="W235" s="437"/>
      <c r="X235" s="437"/>
      <c r="Y235" s="437"/>
      <c r="Z235" s="437"/>
      <c r="AA235" s="437"/>
      <c r="AB235" s="1595" t="str">
        <f t="shared" si="123"/>
        <v>pin in groundstacking hole</v>
      </c>
      <c r="AC235" s="1636"/>
      <c r="AD235" s="1636"/>
      <c r="AE235" s="1636"/>
      <c r="AF235" s="437">
        <f>SUM(V235:V239)/($B$229-B234)</f>
        <v>0</v>
      </c>
      <c r="AG235" s="437"/>
      <c r="AH235" s="450">
        <f>SUM(D233:D235)+$C$232</f>
        <v>1.5</v>
      </c>
      <c r="AI235" s="717"/>
      <c r="AJ235" s="287">
        <f t="shared" si="124"/>
        <v>67.844714800000006</v>
      </c>
      <c r="AK235" s="441">
        <f t="shared" si="118"/>
        <v>0.92616517751636129</v>
      </c>
      <c r="AL235" s="287">
        <f t="shared" si="125"/>
        <v>178.21270345769824</v>
      </c>
      <c r="AM235" s="287">
        <f t="shared" si="126"/>
        <v>51.674479900000001</v>
      </c>
      <c r="AN235" s="442">
        <f t="shared" si="127"/>
        <v>0.78450023706009864</v>
      </c>
      <c r="AO235" s="287">
        <f t="shared" si="128"/>
        <v>149.6512652215844</v>
      </c>
      <c r="AP235" s="443"/>
      <c r="AQ235" s="291">
        <f t="shared" si="129"/>
        <v>-51</v>
      </c>
      <c r="AR235" s="443"/>
      <c r="AS235" s="444">
        <f t="shared" si="130"/>
        <v>327.86396867928261</v>
      </c>
      <c r="AT235" s="445">
        <f>+V235-AO235</f>
        <v>-149.6512652215844</v>
      </c>
      <c r="AU235" s="446"/>
      <c r="AV235" s="445">
        <f t="shared" ref="AV235:AV239" si="138">+AF235-AT235</f>
        <v>149.6512652215844</v>
      </c>
      <c r="AW235" s="447">
        <f t="shared" si="131"/>
        <v>-27.721398947724399</v>
      </c>
      <c r="AX235" s="447">
        <f t="shared" si="132"/>
        <v>-23.278601052275604</v>
      </c>
      <c r="AY235" s="1597">
        <f t="shared" si="119"/>
        <v>-418.44930055206407</v>
      </c>
      <c r="AZ235" s="1597">
        <f t="shared" si="133"/>
        <v>-429.57907898088439</v>
      </c>
      <c r="BA235" s="542">
        <f t="shared" si="134"/>
        <v>418.44930055206407</v>
      </c>
      <c r="BB235" s="542">
        <f t="shared" si="134"/>
        <v>429.57907898088439</v>
      </c>
    </row>
    <row r="236" spans="2:109" ht="21" customHeight="1" thickBot="1" x14ac:dyDescent="0.25">
      <c r="B236" s="277">
        <v>5</v>
      </c>
      <c r="C236" s="278"/>
      <c r="D236" s="25">
        <v>0</v>
      </c>
      <c r="E236" s="279" t="s">
        <v>54</v>
      </c>
      <c r="F236" s="258"/>
      <c r="G236" s="258">
        <f>+D236+BC236</f>
        <v>0</v>
      </c>
      <c r="H236" s="732">
        <v>190.76</v>
      </c>
      <c r="I236" s="733">
        <v>79.651040199999997</v>
      </c>
      <c r="J236" s="474">
        <f t="shared" si="120"/>
        <v>79.651040199999997</v>
      </c>
      <c r="K236" s="474">
        <f t="shared" si="121"/>
        <v>39.825520099999999</v>
      </c>
      <c r="L236" s="474">
        <f t="shared" si="112"/>
        <v>0.64045183696587837</v>
      </c>
      <c r="M236" s="474">
        <f t="shared" si="113"/>
        <v>122.17259241961095</v>
      </c>
      <c r="N236" s="474">
        <f t="shared" si="114"/>
        <v>244.3451848392219</v>
      </c>
      <c r="O236" s="474">
        <f>+C232+D233+D234+D235+(D236/2)</f>
        <v>1.5</v>
      </c>
      <c r="P236" s="474">
        <f t="shared" si="115"/>
        <v>2.6176948307873125E-2</v>
      </c>
      <c r="Q236" s="474">
        <f t="shared" si="116"/>
        <v>6.3962112728140159</v>
      </c>
      <c r="R236" s="474">
        <f t="shared" si="122"/>
        <v>168.83653641147939</v>
      </c>
      <c r="S236" s="474">
        <f t="shared" si="136"/>
        <v>175.2327476842934</v>
      </c>
      <c r="T236" s="476">
        <f t="shared" si="117"/>
        <v>175.2327476842934</v>
      </c>
      <c r="V236" s="437">
        <f t="shared" si="137"/>
        <v>0</v>
      </c>
      <c r="W236" s="437"/>
      <c r="X236" s="437"/>
      <c r="Y236" s="437"/>
      <c r="Z236" s="437"/>
      <c r="AA236" s="437"/>
      <c r="AB236" s="1595" t="str">
        <f t="shared" si="123"/>
        <v>pin in groundstacking hole</v>
      </c>
      <c r="AC236" s="1636"/>
      <c r="AD236" s="1636"/>
      <c r="AE236" s="1636"/>
      <c r="AF236" s="437">
        <f>SUM(V236:V239)/($B$229-B235)</f>
        <v>0</v>
      </c>
      <c r="AG236" s="437"/>
      <c r="AH236" s="450">
        <f>SUM(D233:D236)+$C$232</f>
        <v>1.5</v>
      </c>
      <c r="AI236" s="717"/>
      <c r="AJ236" s="287">
        <f t="shared" si="124"/>
        <v>67.844714800000006</v>
      </c>
      <c r="AK236" s="441">
        <f t="shared" si="118"/>
        <v>0.92616517751636129</v>
      </c>
      <c r="AL236" s="287">
        <f t="shared" si="125"/>
        <v>178.21270345769824</v>
      </c>
      <c r="AM236" s="287">
        <f t="shared" si="126"/>
        <v>51.674479900000001</v>
      </c>
      <c r="AN236" s="442">
        <f t="shared" si="127"/>
        <v>0.78450023706009864</v>
      </c>
      <c r="AO236" s="287">
        <f t="shared" si="128"/>
        <v>149.6512652215844</v>
      </c>
      <c r="AP236" s="443"/>
      <c r="AQ236" s="291">
        <f t="shared" si="129"/>
        <v>-76.5</v>
      </c>
      <c r="AR236" s="443"/>
      <c r="AS236" s="444">
        <f t="shared" si="130"/>
        <v>327.86396867928261</v>
      </c>
      <c r="AT236" s="445">
        <f t="shared" ref="AT236:AT239" si="139">+V236-AO236</f>
        <v>-149.6512652215844</v>
      </c>
      <c r="AU236" s="446"/>
      <c r="AV236" s="445">
        <f t="shared" si="138"/>
        <v>149.6512652215844</v>
      </c>
      <c r="AW236" s="447">
        <f t="shared" si="131"/>
        <v>-41.582098421586593</v>
      </c>
      <c r="AX236" s="447">
        <f t="shared" si="132"/>
        <v>-34.917901578413407</v>
      </c>
      <c r="AY236" s="1597">
        <f t="shared" si="119"/>
        <v>-278.96620036804273</v>
      </c>
      <c r="AZ236" s="1597">
        <f t="shared" si="133"/>
        <v>-286.38605265392295</v>
      </c>
      <c r="BA236" s="542">
        <f t="shared" si="134"/>
        <v>278.96620036804273</v>
      </c>
      <c r="BB236" s="542">
        <f t="shared" si="134"/>
        <v>286.38605265392295</v>
      </c>
      <c r="DE236" s="305"/>
    </row>
    <row r="237" spans="2:109" ht="21" customHeight="1" thickBot="1" x14ac:dyDescent="0.25">
      <c r="B237" s="277">
        <v>6</v>
      </c>
      <c r="C237" s="278"/>
      <c r="D237" s="25">
        <v>0</v>
      </c>
      <c r="E237" s="279" t="s">
        <v>54</v>
      </c>
      <c r="F237" s="258"/>
      <c r="G237" s="258">
        <f t="shared" si="135"/>
        <v>0</v>
      </c>
      <c r="H237" s="732">
        <v>190.76</v>
      </c>
      <c r="I237" s="733">
        <v>79.651040199999997</v>
      </c>
      <c r="J237" s="474">
        <f t="shared" si="120"/>
        <v>79.651040199999997</v>
      </c>
      <c r="K237" s="474">
        <f t="shared" si="121"/>
        <v>39.825520099999999</v>
      </c>
      <c r="L237" s="474">
        <f t="shared" si="112"/>
        <v>0.64045183696587837</v>
      </c>
      <c r="M237" s="474">
        <f t="shared" si="113"/>
        <v>122.17259241961095</v>
      </c>
      <c r="N237" s="474">
        <f t="shared" si="114"/>
        <v>244.3451848392219</v>
      </c>
      <c r="O237" s="474">
        <f>+C232+D233+D234+D235+D236+(D237/2)</f>
        <v>1.5</v>
      </c>
      <c r="P237" s="474">
        <f t="shared" si="115"/>
        <v>2.6176948307873125E-2</v>
      </c>
      <c r="Q237" s="474">
        <f t="shared" si="116"/>
        <v>6.3962112728140159</v>
      </c>
      <c r="R237" s="474">
        <f t="shared" si="122"/>
        <v>175.2327476842934</v>
      </c>
      <c r="S237" s="474">
        <f t="shared" si="136"/>
        <v>181.62895895710741</v>
      </c>
      <c r="T237" s="476">
        <f t="shared" si="117"/>
        <v>181.62895895710741</v>
      </c>
      <c r="V237" s="437">
        <f t="shared" si="137"/>
        <v>0</v>
      </c>
      <c r="W237" s="437"/>
      <c r="X237" s="437"/>
      <c r="Y237" s="437"/>
      <c r="Z237" s="437"/>
      <c r="AA237" s="437"/>
      <c r="AB237" s="1595" t="str">
        <f t="shared" si="123"/>
        <v>pin in groundstacking hole</v>
      </c>
      <c r="AC237" s="1636"/>
      <c r="AD237" s="1636"/>
      <c r="AE237" s="1636"/>
      <c r="AF237" s="437">
        <f>SUM(V237:V239)/($B$229-B236)</f>
        <v>0</v>
      </c>
      <c r="AG237" s="437"/>
      <c r="AH237" s="450">
        <f>SUM(D233:D237)+$C$232</f>
        <v>1.5</v>
      </c>
      <c r="AI237" s="717"/>
      <c r="AJ237" s="287">
        <f t="shared" si="124"/>
        <v>67.844714800000006</v>
      </c>
      <c r="AK237" s="441">
        <f t="shared" si="118"/>
        <v>0.92616517751636129</v>
      </c>
      <c r="AL237" s="287">
        <f t="shared" si="125"/>
        <v>178.21270345769824</v>
      </c>
      <c r="AM237" s="287">
        <f t="shared" si="126"/>
        <v>51.674479900000001</v>
      </c>
      <c r="AN237" s="442">
        <f t="shared" si="127"/>
        <v>0.78450023706009864</v>
      </c>
      <c r="AO237" s="287">
        <f t="shared" si="128"/>
        <v>149.6512652215844</v>
      </c>
      <c r="AP237" s="443"/>
      <c r="AQ237" s="291">
        <f t="shared" si="129"/>
        <v>-102</v>
      </c>
      <c r="AR237" s="443"/>
      <c r="AS237" s="444">
        <f t="shared" si="130"/>
        <v>327.86396867928261</v>
      </c>
      <c r="AT237" s="445">
        <f t="shared" si="139"/>
        <v>-149.6512652215844</v>
      </c>
      <c r="AU237" s="446"/>
      <c r="AV237" s="445">
        <f t="shared" si="138"/>
        <v>149.6512652215844</v>
      </c>
      <c r="AW237" s="447">
        <f t="shared" si="131"/>
        <v>-55.442797895448798</v>
      </c>
      <c r="AX237" s="447">
        <f t="shared" si="132"/>
        <v>-46.557202104551209</v>
      </c>
      <c r="AY237" s="1597">
        <f t="shared" si="119"/>
        <v>-209.22465027603204</v>
      </c>
      <c r="AZ237" s="1597">
        <f t="shared" si="133"/>
        <v>-214.78953949044219</v>
      </c>
      <c r="BA237" s="542">
        <f t="shared" si="134"/>
        <v>209.22465027603204</v>
      </c>
      <c r="BB237" s="542">
        <f t="shared" si="134"/>
        <v>214.78953949044219</v>
      </c>
    </row>
    <row r="238" spans="2:109" ht="21" customHeight="1" thickBot="1" x14ac:dyDescent="0.25">
      <c r="B238" s="277">
        <v>7</v>
      </c>
      <c r="C238" s="278"/>
      <c r="D238" s="25">
        <v>0</v>
      </c>
      <c r="E238" s="279" t="s">
        <v>54</v>
      </c>
      <c r="F238" s="258"/>
      <c r="G238" s="258">
        <f t="shared" si="135"/>
        <v>0</v>
      </c>
      <c r="H238" s="732">
        <v>190.76</v>
      </c>
      <c r="I238" s="733">
        <v>79.651040199999997</v>
      </c>
      <c r="J238" s="474">
        <f t="shared" si="120"/>
        <v>79.651040199999997</v>
      </c>
      <c r="K238" s="474">
        <f t="shared" si="121"/>
        <v>39.825520099999999</v>
      </c>
      <c r="L238" s="474">
        <f t="shared" si="112"/>
        <v>0.64045183696587837</v>
      </c>
      <c r="M238" s="474">
        <f t="shared" si="113"/>
        <v>122.17259241961095</v>
      </c>
      <c r="N238" s="474">
        <f t="shared" si="114"/>
        <v>244.3451848392219</v>
      </c>
      <c r="O238" s="474">
        <f>+C232+D233+D234+D235+D236+D237+(D238/2)</f>
        <v>1.5</v>
      </c>
      <c r="P238" s="474">
        <f t="shared" si="115"/>
        <v>2.6176948307873125E-2</v>
      </c>
      <c r="Q238" s="474">
        <f t="shared" si="116"/>
        <v>6.3962112728140159</v>
      </c>
      <c r="R238" s="474">
        <f t="shared" si="122"/>
        <v>181.62895895710741</v>
      </c>
      <c r="S238" s="474">
        <f t="shared" si="136"/>
        <v>188.02517022992143</v>
      </c>
      <c r="T238" s="476">
        <f t="shared" si="117"/>
        <v>188.02517022992143</v>
      </c>
      <c r="V238" s="437">
        <f t="shared" si="137"/>
        <v>0</v>
      </c>
      <c r="W238" s="437"/>
      <c r="X238" s="437"/>
      <c r="Y238" s="437"/>
      <c r="Z238" s="437"/>
      <c r="AA238" s="437"/>
      <c r="AB238" s="1595" t="str">
        <f t="shared" si="123"/>
        <v>pin in groundstacking hole</v>
      </c>
      <c r="AC238" s="1636"/>
      <c r="AD238" s="1636"/>
      <c r="AE238" s="1636"/>
      <c r="AF238" s="437">
        <f>SUM(V238:V239)/($B$229-B237)</f>
        <v>0</v>
      </c>
      <c r="AG238" s="437"/>
      <c r="AH238" s="450">
        <f>SUM(D233:D238)+$C$232</f>
        <v>1.5</v>
      </c>
      <c r="AI238" s="717"/>
      <c r="AJ238" s="287">
        <f t="shared" si="124"/>
        <v>67.844714800000006</v>
      </c>
      <c r="AK238" s="441">
        <f t="shared" si="118"/>
        <v>0.92616517751636129</v>
      </c>
      <c r="AL238" s="287">
        <f t="shared" si="125"/>
        <v>178.21270345769824</v>
      </c>
      <c r="AM238" s="287">
        <f t="shared" si="126"/>
        <v>51.674479900000001</v>
      </c>
      <c r="AN238" s="442">
        <f t="shared" si="127"/>
        <v>0.78450023706009864</v>
      </c>
      <c r="AO238" s="287">
        <f t="shared" si="128"/>
        <v>149.6512652215844</v>
      </c>
      <c r="AP238" s="443"/>
      <c r="AQ238" s="291">
        <f t="shared" si="129"/>
        <v>-127.5</v>
      </c>
      <c r="AR238" s="443"/>
      <c r="AS238" s="444">
        <f t="shared" si="130"/>
        <v>327.86396867928261</v>
      </c>
      <c r="AT238" s="445">
        <f t="shared" si="139"/>
        <v>-149.6512652215844</v>
      </c>
      <c r="AU238" s="446"/>
      <c r="AV238" s="445">
        <f t="shared" si="138"/>
        <v>149.6512652215844</v>
      </c>
      <c r="AW238" s="447">
        <f t="shared" si="131"/>
        <v>-69.303497369310989</v>
      </c>
      <c r="AX238" s="447">
        <f t="shared" si="132"/>
        <v>-58.196502630689011</v>
      </c>
      <c r="AY238" s="1597">
        <f t="shared" si="119"/>
        <v>-167.37972022082565</v>
      </c>
      <c r="AZ238" s="1597">
        <f t="shared" si="133"/>
        <v>-171.83163159235374</v>
      </c>
      <c r="BA238" s="542">
        <f t="shared" si="134"/>
        <v>167.37972022082565</v>
      </c>
      <c r="BB238" s="542">
        <f t="shared" si="134"/>
        <v>171.83163159235374</v>
      </c>
      <c r="DE238" s="307"/>
    </row>
    <row r="239" spans="2:109" ht="21" customHeight="1" thickBot="1" x14ac:dyDescent="0.25">
      <c r="B239" s="277">
        <v>8</v>
      </c>
      <c r="C239" s="278"/>
      <c r="D239" s="25">
        <v>0</v>
      </c>
      <c r="E239" s="279" t="s">
        <v>54</v>
      </c>
      <c r="F239" s="258"/>
      <c r="G239" s="258">
        <f t="shared" si="135"/>
        <v>0</v>
      </c>
      <c r="H239" s="732">
        <v>190.76</v>
      </c>
      <c r="I239" s="733">
        <v>79.651040199999997</v>
      </c>
      <c r="J239" s="474">
        <f t="shared" si="120"/>
        <v>79.651040199999997</v>
      </c>
      <c r="K239" s="474">
        <f t="shared" si="121"/>
        <v>39.825520099999999</v>
      </c>
      <c r="L239" s="474">
        <f t="shared" si="112"/>
        <v>0.64045183696587837</v>
      </c>
      <c r="M239" s="474">
        <f t="shared" si="113"/>
        <v>122.17259241961095</v>
      </c>
      <c r="N239" s="474">
        <f t="shared" si="114"/>
        <v>244.3451848392219</v>
      </c>
      <c r="O239" s="474">
        <f>+C232+D233+D234+D235+D236+D237+D238+(D239/2)</f>
        <v>1.5</v>
      </c>
      <c r="P239" s="474">
        <f t="shared" si="115"/>
        <v>2.6176948307873125E-2</v>
      </c>
      <c r="Q239" s="474">
        <f t="shared" si="116"/>
        <v>6.3962112728140159</v>
      </c>
      <c r="R239" s="474">
        <f t="shared" si="122"/>
        <v>188.02517022992143</v>
      </c>
      <c r="S239" s="474">
        <f t="shared" si="136"/>
        <v>194.42138150273544</v>
      </c>
      <c r="T239" s="476">
        <f t="shared" si="117"/>
        <v>194.42138150273544</v>
      </c>
      <c r="V239" s="437">
        <f t="shared" si="137"/>
        <v>0</v>
      </c>
      <c r="W239" s="437"/>
      <c r="X239" s="437"/>
      <c r="Y239" s="437"/>
      <c r="Z239" s="437"/>
      <c r="AA239" s="437"/>
      <c r="AB239" s="1595" t="str">
        <f>IF(AZ239&lt;0,"pin in groundstacking hole"," ")</f>
        <v>pin in groundstacking hole</v>
      </c>
      <c r="AC239" s="1636"/>
      <c r="AD239" s="1636"/>
      <c r="AE239" s="1636"/>
      <c r="AF239" s="437">
        <f>SUM(V239:V239)/($B$229-B238)</f>
        <v>0</v>
      </c>
      <c r="AG239" s="437"/>
      <c r="AH239" s="450">
        <f>SUM(D233:D239)+$C$232</f>
        <v>1.5</v>
      </c>
      <c r="AI239" s="717"/>
      <c r="AJ239" s="287">
        <f t="shared" si="124"/>
        <v>67.844714800000006</v>
      </c>
      <c r="AK239" s="441">
        <f t="shared" si="118"/>
        <v>0.92616517751636129</v>
      </c>
      <c r="AL239" s="287">
        <f t="shared" si="125"/>
        <v>178.21270345769824</v>
      </c>
      <c r="AM239" s="287">
        <f t="shared" si="126"/>
        <v>51.674479900000001</v>
      </c>
      <c r="AN239" s="442">
        <f t="shared" si="127"/>
        <v>0.78450023706009864</v>
      </c>
      <c r="AO239" s="287">
        <f t="shared" si="128"/>
        <v>149.6512652215844</v>
      </c>
      <c r="AP239" s="443"/>
      <c r="AQ239" s="291">
        <f t="shared" si="129"/>
        <v>-153</v>
      </c>
      <c r="AR239" s="443"/>
      <c r="AS239" s="444">
        <f t="shared" si="130"/>
        <v>327.86396867928261</v>
      </c>
      <c r="AT239" s="445">
        <f t="shared" si="139"/>
        <v>-149.6512652215844</v>
      </c>
      <c r="AU239" s="446"/>
      <c r="AV239" s="445">
        <f t="shared" si="138"/>
        <v>149.6512652215844</v>
      </c>
      <c r="AW239" s="447">
        <f t="shared" si="131"/>
        <v>-83.164196843173187</v>
      </c>
      <c r="AX239" s="447">
        <f t="shared" si="132"/>
        <v>-69.835803156826813</v>
      </c>
      <c r="AY239" s="1597">
        <f t="shared" si="119"/>
        <v>-139.48310018402137</v>
      </c>
      <c r="AZ239" s="1597">
        <f t="shared" si="133"/>
        <v>-143.19302632696147</v>
      </c>
      <c r="BA239" s="542">
        <f t="shared" si="134"/>
        <v>139.48310018402137</v>
      </c>
      <c r="BB239" s="542">
        <f t="shared" si="134"/>
        <v>143.19302632696147</v>
      </c>
    </row>
    <row r="268" spans="110:129" x14ac:dyDescent="0.2">
      <c r="DF268" s="305"/>
      <c r="DG268" s="305"/>
      <c r="DH268" s="305"/>
      <c r="DI268" s="305"/>
      <c r="DJ268" s="305"/>
      <c r="DK268" s="305"/>
      <c r="DL268" s="1818"/>
      <c r="DM268" s="1818"/>
      <c r="DN268" s="1818"/>
      <c r="DO268" s="126"/>
    </row>
    <row r="269" spans="110:129" x14ac:dyDescent="0.2">
      <c r="DL269" s="306"/>
      <c r="DY269" s="306"/>
    </row>
    <row r="270" spans="110:129" x14ac:dyDescent="0.2">
      <c r="DF270" s="307"/>
      <c r="DG270" s="307"/>
      <c r="DH270" s="307"/>
      <c r="DI270" s="307"/>
      <c r="DJ270" s="307"/>
      <c r="DK270" s="307"/>
      <c r="DL270" s="1819"/>
      <c r="DM270" s="1819"/>
      <c r="DX270" s="1813"/>
      <c r="DY270" s="1813"/>
    </row>
    <row r="287" spans="110:114" x14ac:dyDescent="0.2">
      <c r="DF287" s="126"/>
      <c r="DH287" s="126"/>
      <c r="DJ287" s="126"/>
    </row>
    <row r="288" spans="110:114" x14ac:dyDescent="0.2">
      <c r="DF288" s="126"/>
      <c r="DJ288" s="126"/>
    </row>
    <row r="289" spans="110:134" x14ac:dyDescent="0.2">
      <c r="DF289" s="126"/>
      <c r="DG289" s="311"/>
      <c r="DH289" s="311"/>
      <c r="DI289" s="311"/>
      <c r="DJ289" s="311"/>
      <c r="DK289" s="311"/>
      <c r="DL289" s="311"/>
      <c r="DM289" s="311"/>
      <c r="DN289" s="311"/>
      <c r="DO289" s="311"/>
      <c r="DP289" s="311"/>
      <c r="DQ289" s="311"/>
      <c r="DR289" s="311"/>
      <c r="DS289" s="311"/>
      <c r="DT289" s="311"/>
      <c r="DU289" s="311"/>
      <c r="DV289" s="311"/>
      <c r="DW289" s="311"/>
      <c r="DX289" s="311"/>
      <c r="DY289" s="311"/>
      <c r="DZ289" s="311"/>
      <c r="EA289" s="311"/>
      <c r="EB289" s="311"/>
      <c r="EC289" s="311"/>
      <c r="ED289" s="311"/>
    </row>
    <row r="290" spans="110:134" x14ac:dyDescent="0.2">
      <c r="DF290" s="126"/>
    </row>
    <row r="291" spans="110:134" x14ac:dyDescent="0.2">
      <c r="DF291" s="211"/>
      <c r="DG291" s="312"/>
      <c r="DH291" s="312"/>
      <c r="DI291" s="312"/>
      <c r="DJ291" s="312"/>
      <c r="DK291" s="312"/>
      <c r="DL291" s="312"/>
      <c r="DM291" s="312"/>
      <c r="DN291" s="312"/>
      <c r="DO291" s="312"/>
      <c r="DP291" s="312"/>
      <c r="DQ291" s="312"/>
      <c r="DR291" s="312"/>
      <c r="DS291" s="312"/>
      <c r="DT291" s="312"/>
      <c r="DU291" s="312"/>
      <c r="DV291" s="312"/>
      <c r="DW291" s="312"/>
      <c r="DX291" s="312"/>
      <c r="DY291" s="312"/>
      <c r="DZ291" s="312"/>
      <c r="EA291" s="312"/>
      <c r="EB291" s="312"/>
      <c r="EC291" s="312"/>
      <c r="ED291" s="312"/>
    </row>
    <row r="292" spans="110:134" x14ac:dyDescent="0.2">
      <c r="DF292" s="126"/>
      <c r="DG292" s="203"/>
      <c r="DH292" s="203"/>
      <c r="DI292" s="203"/>
      <c r="DJ292" s="203"/>
      <c r="DK292" s="203"/>
      <c r="DL292" s="203"/>
      <c r="DM292" s="203"/>
      <c r="DN292" s="203"/>
      <c r="DO292" s="203"/>
      <c r="DP292" s="203"/>
      <c r="DQ292" s="203"/>
      <c r="DR292" s="203"/>
      <c r="DS292" s="203"/>
      <c r="DT292" s="203"/>
      <c r="DU292" s="203"/>
      <c r="DV292" s="203"/>
      <c r="DW292" s="203"/>
      <c r="DX292" s="203"/>
      <c r="DY292" s="203"/>
      <c r="DZ292" s="203"/>
      <c r="EA292" s="203"/>
      <c r="EB292" s="203"/>
      <c r="EC292" s="203"/>
      <c r="ED292" s="203"/>
    </row>
    <row r="294" spans="110:134" x14ac:dyDescent="0.2">
      <c r="DG294" s="236"/>
      <c r="DH294" s="236"/>
      <c r="DI294" s="236"/>
      <c r="DJ294" s="236"/>
      <c r="DK294" s="236"/>
      <c r="DL294" s="236"/>
      <c r="DM294" s="126"/>
      <c r="DN294" s="126"/>
      <c r="DO294" s="126"/>
      <c r="DP294" s="126"/>
      <c r="DQ294" s="126"/>
      <c r="DR294" s="236"/>
      <c r="DS294" s="236"/>
      <c r="DT294" s="236"/>
      <c r="DU294" s="126"/>
      <c r="DV294" s="126"/>
      <c r="DW294" s="126"/>
      <c r="DX294" s="126"/>
      <c r="DY294" s="126"/>
      <c r="DZ294" s="126"/>
      <c r="EA294" s="126"/>
      <c r="EB294" s="126"/>
      <c r="EC294" s="126"/>
      <c r="ED294" s="126"/>
    </row>
    <row r="295" spans="110:134" x14ac:dyDescent="0.2">
      <c r="DG295" s="236"/>
      <c r="DH295" s="236"/>
      <c r="DI295" s="236"/>
      <c r="DJ295" s="236"/>
      <c r="DK295" s="236"/>
      <c r="DL295" s="236"/>
      <c r="DQ295" s="236"/>
      <c r="DR295" s="236"/>
      <c r="DS295" s="236"/>
      <c r="DT295" s="236"/>
      <c r="DY295" s="236"/>
      <c r="DZ295" s="236"/>
      <c r="EA295" s="236"/>
      <c r="EB295" s="236"/>
      <c r="EC295" s="236"/>
      <c r="ED295" s="236"/>
    </row>
  </sheetData>
  <sheetProtection algorithmName="SHA-512" hashValue="v5p3zcwjETC2lc851dcfu6re4tt+7Tb6kaAnvYQ8HoXy2mhAnEoWP0vDSlqSGZpvfKzF3b85lBTaaOQ68nr4aQ==" saltValue="xdKY8dchGlowRiSt9PcfEA==" spinCount="100000" sheet="1" objects="1" scenarios="1" selectLockedCells="1"/>
  <protectedRanges>
    <protectedRange sqref="B134 B137 D140:D159 B169 D172:D183 B193 D196:D221" name="Range1"/>
    <protectedRange sqref="D232:D239 B229" name="Range1_1"/>
    <protectedRange sqref="B166" name="Range1_3"/>
  </protectedRanges>
  <mergeCells count="30">
    <mergeCell ref="DL268:DN268"/>
    <mergeCell ref="DL270:DM270"/>
    <mergeCell ref="DX270:DY270"/>
    <mergeCell ref="BV193:BX193"/>
    <mergeCell ref="BV195:BW195"/>
    <mergeCell ref="CH195:CI195"/>
    <mergeCell ref="BA229:BB229"/>
    <mergeCell ref="BV229:BX229"/>
    <mergeCell ref="BV231:BW231"/>
    <mergeCell ref="CH231:CI231"/>
    <mergeCell ref="W137:AA137"/>
    <mergeCell ref="BA137:BB137"/>
    <mergeCell ref="DG70:DH70"/>
    <mergeCell ref="B161:B165"/>
    <mergeCell ref="W169:AA169"/>
    <mergeCell ref="BA169:BB169"/>
    <mergeCell ref="W193:AA193"/>
    <mergeCell ref="BA193:BB193"/>
    <mergeCell ref="B132:B133"/>
    <mergeCell ref="BQ63:CA64"/>
    <mergeCell ref="CS63:DA64"/>
    <mergeCell ref="CB64:CC64"/>
    <mergeCell ref="CQ64:CR64"/>
    <mergeCell ref="BQ56:BR56"/>
    <mergeCell ref="CQ57:DA58"/>
    <mergeCell ref="BQ58:BR58"/>
    <mergeCell ref="CO58:CP58"/>
    <mergeCell ref="BQ60:CA61"/>
    <mergeCell ref="CB61:CC61"/>
    <mergeCell ref="CZ61:DA61"/>
  </mergeCells>
  <conditionalFormatting sqref="B234:U234 W234:AP234 AR234:BB234">
    <cfRule type="expression" dxfId="92" priority="35">
      <formula>$B$229&lt;3</formula>
    </cfRule>
  </conditionalFormatting>
  <conditionalFormatting sqref="B235:U235 W235:AP235 AR235:BB235">
    <cfRule type="expression" dxfId="91" priority="34">
      <formula>$B$229&lt;4</formula>
    </cfRule>
  </conditionalFormatting>
  <conditionalFormatting sqref="B236:U236 W236:AP236 AR236:BB236">
    <cfRule type="expression" dxfId="90" priority="33">
      <formula>$B$229&lt;5</formula>
    </cfRule>
  </conditionalFormatting>
  <conditionalFormatting sqref="B237:U237 W237:AP237 AR237:BB237">
    <cfRule type="expression" dxfId="89" priority="32">
      <formula>$B$229&lt;6</formula>
    </cfRule>
  </conditionalFormatting>
  <conditionalFormatting sqref="B238:U238 W238:AP238 AR238:BB238">
    <cfRule type="expression" dxfId="88" priority="31">
      <formula>$B$229&lt;7</formula>
    </cfRule>
  </conditionalFormatting>
  <conditionalFormatting sqref="B239:U239 W239:AP239 AR239:BB239">
    <cfRule type="expression" dxfId="87" priority="30">
      <formula>$B$229&lt;8</formula>
    </cfRule>
  </conditionalFormatting>
  <conditionalFormatting sqref="B197:AH197 AJ197:BB197">
    <cfRule type="expression" dxfId="86" priority="26">
      <formula>$B193&lt;2</formula>
    </cfRule>
  </conditionalFormatting>
  <conditionalFormatting sqref="B198:AH198 AJ198:BB198">
    <cfRule type="expression" dxfId="85" priority="25">
      <formula>$B193&lt;3</formula>
    </cfRule>
  </conditionalFormatting>
  <conditionalFormatting sqref="B199:AH199 AJ199:BB199">
    <cfRule type="expression" dxfId="84" priority="24">
      <formula>$B193&lt;4</formula>
    </cfRule>
  </conditionalFormatting>
  <conditionalFormatting sqref="B200:AH200 AJ200:BB200">
    <cfRule type="expression" dxfId="83" priority="23">
      <formula>$B193&lt;5</formula>
    </cfRule>
  </conditionalFormatting>
  <conditionalFormatting sqref="B201:AH201 AJ201:BB201">
    <cfRule type="expression" dxfId="82" priority="22">
      <formula>$B193&lt;6</formula>
    </cfRule>
  </conditionalFormatting>
  <conditionalFormatting sqref="B202:AH202 AJ202:BB202">
    <cfRule type="expression" dxfId="81" priority="21">
      <formula>$B193&lt;7</formula>
    </cfRule>
  </conditionalFormatting>
  <conditionalFormatting sqref="B203:AH203 AJ203:BB203">
    <cfRule type="expression" dxfId="80" priority="20">
      <formula>$B193&lt;8</formula>
    </cfRule>
  </conditionalFormatting>
  <conditionalFormatting sqref="B204:AH204 AJ204:BB204">
    <cfRule type="expression" dxfId="79" priority="19">
      <formula>$B193&lt;9</formula>
    </cfRule>
  </conditionalFormatting>
  <conditionalFormatting sqref="B205:AH205 AJ205:BB205">
    <cfRule type="expression" dxfId="78" priority="18">
      <formula>$B193&lt;10</formula>
    </cfRule>
  </conditionalFormatting>
  <conditionalFormatting sqref="B206:AH206 AJ206:BB206">
    <cfRule type="expression" dxfId="77" priority="17">
      <formula>$B193&lt;11</formula>
    </cfRule>
  </conditionalFormatting>
  <conditionalFormatting sqref="B207:AH207 AJ207:BB207">
    <cfRule type="expression" dxfId="76" priority="16">
      <formula>$B193&lt;12</formula>
    </cfRule>
  </conditionalFormatting>
  <conditionalFormatting sqref="B208:AH208 AJ208:BB208">
    <cfRule type="expression" dxfId="75" priority="15">
      <formula>$B193&lt;13</formula>
    </cfRule>
  </conditionalFormatting>
  <conditionalFormatting sqref="B209:AH209 AJ209:BB209">
    <cfRule type="expression" dxfId="74" priority="14">
      <formula>$B193&lt;14</formula>
    </cfRule>
  </conditionalFormatting>
  <conditionalFormatting sqref="B210:AH210 AJ210:BB210">
    <cfRule type="expression" dxfId="73" priority="13">
      <formula>$B193&lt;15</formula>
    </cfRule>
  </conditionalFormatting>
  <conditionalFormatting sqref="B211:AH211 AJ211:BB211">
    <cfRule type="expression" dxfId="72" priority="12">
      <formula>$B193&lt;16</formula>
    </cfRule>
  </conditionalFormatting>
  <conditionalFormatting sqref="B212:AH212 AJ212:BB212">
    <cfRule type="expression" dxfId="71" priority="11">
      <formula>$B193&lt;17</formula>
    </cfRule>
  </conditionalFormatting>
  <conditionalFormatting sqref="B213:AH213 AJ213:BB213">
    <cfRule type="expression" dxfId="70" priority="10">
      <formula>$B193&lt;18</formula>
    </cfRule>
  </conditionalFormatting>
  <conditionalFormatting sqref="B214:AH214 AJ214:BB214">
    <cfRule type="expression" dxfId="69" priority="9">
      <formula>$B193&lt;19</formula>
    </cfRule>
  </conditionalFormatting>
  <conditionalFormatting sqref="B215:AH215 AJ215:BB215">
    <cfRule type="expression" dxfId="68" priority="8">
      <formula>$B193&lt;20</formula>
    </cfRule>
  </conditionalFormatting>
  <conditionalFormatting sqref="B216:AH216 AJ216:BB216">
    <cfRule type="expression" dxfId="67" priority="7">
      <formula>$B193&lt;21</formula>
    </cfRule>
  </conditionalFormatting>
  <conditionalFormatting sqref="B217:AH217 AJ217:BB217">
    <cfRule type="expression" dxfId="66" priority="6">
      <formula>$B193&lt;22</formula>
    </cfRule>
  </conditionalFormatting>
  <conditionalFormatting sqref="B218:AH218 AJ218:BB218">
    <cfRule type="expression" dxfId="65" priority="5">
      <formula>$B193&lt;23</formula>
    </cfRule>
  </conditionalFormatting>
  <conditionalFormatting sqref="B219:AH219 AJ219:BB219">
    <cfRule type="expression" dxfId="64" priority="4">
      <formula>$B193&lt;24</formula>
    </cfRule>
  </conditionalFormatting>
  <conditionalFormatting sqref="B220:AH220 AJ220:BB220">
    <cfRule type="expression" dxfId="63" priority="3">
      <formula>$B193&lt;25</formula>
    </cfRule>
  </conditionalFormatting>
  <conditionalFormatting sqref="B221:AH221 AJ221:BB221">
    <cfRule type="expression" dxfId="62" priority="2">
      <formula>$B193&lt;26</formula>
    </cfRule>
  </conditionalFormatting>
  <conditionalFormatting sqref="B141:AO141 AS141:BB141 AQ141:AQ159">
    <cfRule type="expression" dxfId="61" priority="77" stopIfTrue="1">
      <formula>$B$137&lt;2</formula>
    </cfRule>
  </conditionalFormatting>
  <conditionalFormatting sqref="B142:AO142 AS142:BB142">
    <cfRule type="expression" dxfId="60" priority="76" stopIfTrue="1">
      <formula>$B$137&lt;3</formula>
    </cfRule>
  </conditionalFormatting>
  <conditionalFormatting sqref="B143:AO143 AS143:BB143">
    <cfRule type="expression" dxfId="59" priority="75">
      <formula>$B$137&lt;4</formula>
    </cfRule>
  </conditionalFormatting>
  <conditionalFormatting sqref="B144:AO144 AS144:BB144">
    <cfRule type="expression" dxfId="58" priority="74">
      <formula>$B$137&lt;5</formula>
    </cfRule>
  </conditionalFormatting>
  <conditionalFormatting sqref="B145:AO145 AS145:BB145">
    <cfRule type="expression" dxfId="57" priority="73">
      <formula>$B$137&lt;6</formula>
    </cfRule>
  </conditionalFormatting>
  <conditionalFormatting sqref="B146:AO146 AS146:BB146">
    <cfRule type="expression" dxfId="56" priority="72">
      <formula>$B$137&lt;7</formula>
    </cfRule>
  </conditionalFormatting>
  <conditionalFormatting sqref="B147:AO147 AS147:BB147">
    <cfRule type="expression" dxfId="55" priority="71">
      <formula>$B$137&lt;8</formula>
    </cfRule>
  </conditionalFormatting>
  <conditionalFormatting sqref="B148:AO148 AS148:BB148">
    <cfRule type="expression" dxfId="54" priority="70">
      <formula>$B$137&lt;9</formula>
    </cfRule>
  </conditionalFormatting>
  <conditionalFormatting sqref="B149:AO149 AS149:BB149">
    <cfRule type="expression" dxfId="53" priority="69">
      <formula>$B$137&lt;10</formula>
    </cfRule>
  </conditionalFormatting>
  <conditionalFormatting sqref="B150:AO150 AS150:BB150">
    <cfRule type="expression" dxfId="52" priority="68">
      <formula>$B$137&lt;11</formula>
    </cfRule>
  </conditionalFormatting>
  <conditionalFormatting sqref="B151:AO151 AS151:BB151">
    <cfRule type="expression" dxfId="51" priority="67">
      <formula>$B$137&lt;12</formula>
    </cfRule>
  </conditionalFormatting>
  <conditionalFormatting sqref="B152:AO152 AS152:BB152">
    <cfRule type="expression" dxfId="50" priority="66">
      <formula>$B$137&lt;13</formula>
    </cfRule>
  </conditionalFormatting>
  <conditionalFormatting sqref="B153:AO153 AS153:BB153">
    <cfRule type="expression" dxfId="49" priority="65">
      <formula>$B$137&lt;14</formula>
    </cfRule>
  </conditionalFormatting>
  <conditionalFormatting sqref="B154:AO154 AS154:BB154">
    <cfRule type="expression" dxfId="48" priority="64">
      <formula>$B$137&lt;15</formula>
    </cfRule>
  </conditionalFormatting>
  <conditionalFormatting sqref="B155:AO155 AS155:BB155">
    <cfRule type="expression" dxfId="47" priority="63">
      <formula>$B$137&lt;16</formula>
    </cfRule>
  </conditionalFormatting>
  <conditionalFormatting sqref="B156:AO156 AS156:BB156">
    <cfRule type="expression" dxfId="46" priority="62">
      <formula>$B$137&lt;17</formula>
    </cfRule>
  </conditionalFormatting>
  <conditionalFormatting sqref="B157:AO157 AS157:BB157">
    <cfRule type="expression" dxfId="45" priority="61">
      <formula>$B$137&lt;18</formula>
    </cfRule>
  </conditionalFormatting>
  <conditionalFormatting sqref="B158:AO158 AS158:BB158">
    <cfRule type="expression" dxfId="44" priority="60">
      <formula>$B$137&lt;19</formula>
    </cfRule>
  </conditionalFormatting>
  <conditionalFormatting sqref="B159:AO159 AS159:BB159">
    <cfRule type="expression" dxfId="43" priority="57">
      <formula>$B$137&lt;20</formula>
    </cfRule>
  </conditionalFormatting>
  <conditionalFormatting sqref="B173:AO173 AS173:BB173 AQ173:AQ181">
    <cfRule type="expression" dxfId="42" priority="56" stopIfTrue="1">
      <formula>$B$169&lt;2</formula>
    </cfRule>
  </conditionalFormatting>
  <conditionalFormatting sqref="B174:AO174 AS174:BB174">
    <cfRule type="expression" dxfId="41" priority="55" stopIfTrue="1">
      <formula>$B$169&lt;3</formula>
    </cfRule>
  </conditionalFormatting>
  <conditionalFormatting sqref="B175:AO175 AS175:BB175">
    <cfRule type="expression" dxfId="40" priority="54">
      <formula>$B$169&lt;4</formula>
    </cfRule>
  </conditionalFormatting>
  <conditionalFormatting sqref="B176:AO176 AS176:BB176">
    <cfRule type="expression" dxfId="39" priority="53">
      <formula>$B$169&lt;5</formula>
    </cfRule>
  </conditionalFormatting>
  <conditionalFormatting sqref="B177:AO177 AS177:BB177">
    <cfRule type="expression" dxfId="38" priority="52">
      <formula>$B$169&lt;6</formula>
    </cfRule>
  </conditionalFormatting>
  <conditionalFormatting sqref="B178:AO178 AS178:BB178">
    <cfRule type="expression" dxfId="37" priority="51">
      <formula>$B$169&lt;7</formula>
    </cfRule>
  </conditionalFormatting>
  <conditionalFormatting sqref="B179:AO179 AS179:BB179">
    <cfRule type="expression" dxfId="36" priority="50">
      <formula>$B$169&lt;8</formula>
    </cfRule>
  </conditionalFormatting>
  <conditionalFormatting sqref="B180:AO180 AS180:BB180">
    <cfRule type="expression" dxfId="35" priority="49">
      <formula>$B$169&lt;9</formula>
    </cfRule>
  </conditionalFormatting>
  <conditionalFormatting sqref="B181:AO181 AS181:BB181">
    <cfRule type="expression" dxfId="34" priority="48">
      <formula>$B$169&lt;10</formula>
    </cfRule>
  </conditionalFormatting>
  <conditionalFormatting sqref="B182:AO182 AQ182 AS182:BB182">
    <cfRule type="expression" dxfId="33" priority="47">
      <formula>$B$169&lt;11</formula>
    </cfRule>
  </conditionalFormatting>
  <conditionalFormatting sqref="B183:AO183 AQ183 AS183:BB183">
    <cfRule type="expression" dxfId="32" priority="46">
      <formula>$B$169&lt;12</formula>
    </cfRule>
  </conditionalFormatting>
  <conditionalFormatting sqref="B233:BB233 AQ234:AQ239">
    <cfRule type="expression" dxfId="31" priority="36">
      <formula>$B$229&lt;2</formula>
    </cfRule>
  </conditionalFormatting>
  <conditionalFormatting sqref="D131:D132">
    <cfRule type="cellIs" dxfId="30" priority="83" stopIfTrue="1" operator="equal">
      <formula>"change the angle of frame or of cabinets"</formula>
    </cfRule>
  </conditionalFormatting>
  <conditionalFormatting sqref="D133">
    <cfRule type="cellIs" dxfId="29" priority="82" stopIfTrue="1" operator="equal">
      <formula>"USE EXBAR AR AT THE FRONT"</formula>
    </cfRule>
  </conditionalFormatting>
  <conditionalFormatting sqref="D134">
    <cfRule type="cellIs" dxfId="28" priority="81" stopIfTrue="1" operator="equal">
      <formula>"USE EXBAR AR AT THE BACK"</formula>
    </cfRule>
  </conditionalFormatting>
  <conditionalFormatting sqref="D140:D159">
    <cfRule type="cellIs" dxfId="27" priority="80" operator="notEqual">
      <formula>0</formula>
    </cfRule>
  </conditionalFormatting>
  <conditionalFormatting sqref="D172:D183">
    <cfRule type="cellIs" dxfId="26" priority="59" operator="notEqual">
      <formula>0</formula>
    </cfRule>
  </conditionalFormatting>
  <conditionalFormatting sqref="D196:D221">
    <cfRule type="cellIs" dxfId="25" priority="28" operator="notEqual">
      <formula>0</formula>
    </cfRule>
  </conditionalFormatting>
  <conditionalFormatting sqref="D232:D239">
    <cfRule type="cellIs" dxfId="24" priority="37" operator="notEqual">
      <formula>0</formula>
    </cfRule>
  </conditionalFormatting>
  <conditionalFormatting sqref="E140">
    <cfRule type="expression" dxfId="23" priority="79" stopIfTrue="1">
      <formula>$B$144&lt;1</formula>
    </cfRule>
  </conditionalFormatting>
  <conditionalFormatting sqref="E172">
    <cfRule type="expression" dxfId="22" priority="58" stopIfTrue="1">
      <formula>$B$169&lt;1</formula>
    </cfRule>
  </conditionalFormatting>
  <conditionalFormatting sqref="AZ232">
    <cfRule type="expression" dxfId="21" priority="1" stopIfTrue="1">
      <formula>$B$146&lt;1</formula>
    </cfRule>
  </conditionalFormatting>
  <conditionalFormatting sqref="BA140:BB159 BA172:BB183">
    <cfRule type="cellIs" dxfId="20" priority="78" operator="lessThan">
      <formula>10</formula>
    </cfRule>
  </conditionalFormatting>
  <conditionalFormatting sqref="BA196:BB221">
    <cfRule type="cellIs" dxfId="19" priority="27" operator="lessThan">
      <formula>10</formula>
    </cfRule>
  </conditionalFormatting>
  <conditionalFormatting sqref="BA232:BB239">
    <cfRule type="cellIs" dxfId="18" priority="38" operator="lessThan">
      <formula>10</formula>
    </cfRule>
  </conditionalFormatting>
  <conditionalFormatting sqref="BK165:BK204">
    <cfRule type="cellIs" dxfId="17" priority="87" stopIfTrue="1" operator="equal">
      <formula>FALSE</formula>
    </cfRule>
  </conditionalFormatting>
  <conditionalFormatting sqref="BN57">
    <cfRule type="cellIs" dxfId="16" priority="45" stopIfTrue="1" operator="equal">
      <formula>"negative force at the motor"</formula>
    </cfRule>
  </conditionalFormatting>
  <conditionalFormatting sqref="BN57:BN58">
    <cfRule type="cellIs" dxfId="15" priority="44" operator="equal">
      <formula>"""OK"""</formula>
    </cfRule>
  </conditionalFormatting>
  <conditionalFormatting sqref="BN58">
    <cfRule type="cellIs" dxfId="14" priority="86" stopIfTrue="1" operator="equal">
      <formula>"overload"</formula>
    </cfRule>
  </conditionalFormatting>
  <conditionalFormatting sqref="BN60">
    <cfRule type="cellIs" dxfId="13" priority="43" stopIfTrue="1" operator="equal">
      <formula>"negative force at the motor"</formula>
    </cfRule>
  </conditionalFormatting>
  <conditionalFormatting sqref="BN60:BN61">
    <cfRule type="cellIs" dxfId="12" priority="42" operator="equal">
      <formula>"""OK"""</formula>
    </cfRule>
  </conditionalFormatting>
  <conditionalFormatting sqref="BN63">
    <cfRule type="cellIs" dxfId="11" priority="41" stopIfTrue="1" operator="equal">
      <formula>"negative force at the motor"</formula>
    </cfRule>
  </conditionalFormatting>
  <conditionalFormatting sqref="BN63:BN64">
    <cfRule type="cellIs" dxfId="10" priority="40" operator="equal">
      <formula>"""OK"""</formula>
    </cfRule>
  </conditionalFormatting>
  <conditionalFormatting sqref="BN87 BN92 BN133">
    <cfRule type="cellIs" dxfId="9" priority="84" operator="equal">
      <formula>"""OK"""</formula>
    </cfRule>
  </conditionalFormatting>
  <conditionalFormatting sqref="BN87 BN133 BN92 BN61 BN64">
    <cfRule type="cellIs" dxfId="8" priority="91" stopIfTrue="1" operator="equal">
      <formula>"overload"</formula>
    </cfRule>
  </conditionalFormatting>
  <conditionalFormatting sqref="BN87 BN133 BO86:BO87">
    <cfRule type="expression" dxfId="7" priority="85">
      <formula>$B$134&lt;&gt;0</formula>
    </cfRule>
  </conditionalFormatting>
  <conditionalFormatting sqref="BO132:BO133">
    <cfRule type="expression" dxfId="6" priority="29">
      <formula>$B$134&lt;&gt;0</formula>
    </cfRule>
  </conditionalFormatting>
  <conditionalFormatting sqref="BQ132:CG132 BQ134:CG134">
    <cfRule type="expression" dxfId="5" priority="92">
      <formula>$B$134=0</formula>
    </cfRule>
  </conditionalFormatting>
  <conditionalFormatting sqref="BQ88:DB90 BV137:CI144">
    <cfRule type="cellIs" dxfId="4" priority="88" stopIfTrue="1" operator="equal">
      <formula>FALSE</formula>
    </cfRule>
  </conditionalFormatting>
  <conditionalFormatting sqref="CB86:CR86">
    <cfRule type="expression" dxfId="3" priority="90">
      <formula>$B$134=0</formula>
    </cfRule>
    <cfRule type="cellIs" dxfId="2" priority="89" operator="equal">
      <formula>0</formula>
    </cfRule>
  </conditionalFormatting>
  <conditionalFormatting sqref="CH134:DA134">
    <cfRule type="expression" dxfId="1" priority="39">
      <formula>$B$134=0</formula>
    </cfRule>
  </conditionalFormatting>
  <conditionalFormatting sqref="CK132:DA132">
    <cfRule type="expression" dxfId="0" priority="93">
      <formula>$B$134=0</formula>
    </cfRule>
  </conditionalFormatting>
  <dataValidations count="15">
    <dataValidation type="custom" allowBlank="1" showInputMessage="1" showErrorMessage="1" sqref="B166" xr:uid="{00000000-0002-0000-1600-000000000000}">
      <formula1>OR(B166=-6,B166=-5,B166=-4,B166=-3,B166=-2,B166=-1,B166=0,B166=0.5,B166=1,B166=2,B166=2.5,B166=3,B166=4)</formula1>
    </dataValidation>
    <dataValidation type="custom" allowBlank="1" showInputMessage="1" showErrorMessage="1" sqref="D197:D221" xr:uid="{00000000-0002-0000-1600-000001000000}">
      <formula1>OR(D197=0.5,D197=1,D197=2,D197=2.5,D197=3,D197=4,D197=5,D197=6,D197=7,D197=8,D197=9,D197=10)</formula1>
    </dataValidation>
    <dataValidation type="whole" allowBlank="1" showInputMessage="1" showErrorMessage="1" errorTitle="Coda Audio" error="YOU HAVE ENTERED A WRONG NUMBER OF CABINETS" promptTitle="Coda Audio" prompt="ENTER THE NUMBER OF CABINETS FROM 1 UP TO 26" sqref="B193" xr:uid="{00000000-0002-0000-1600-000002000000}">
      <formula1>1</formula1>
      <formula2>26</formula2>
    </dataValidation>
    <dataValidation type="custom" allowBlank="1" showInputMessage="1" showErrorMessage="1" sqref="D232" xr:uid="{00000000-0002-0000-1600-000003000000}">
      <formula1>OR(D232=0.5,D232=1,D232=2,D232=2.5,D232=3,D232=4,D232=5,,D232=5.5,D232=6.5,D232=7.5,D232=9,D232=10)</formula1>
    </dataValidation>
    <dataValidation type="whole" allowBlank="1" showInputMessage="1" showErrorMessage="1" sqref="D234:D239" xr:uid="{00000000-0002-0000-1600-000004000000}">
      <formula1>0</formula1>
      <formula2>10</formula2>
    </dataValidation>
    <dataValidation type="whole" allowBlank="1" showInputMessage="1" showErrorMessage="1" errorTitle="Coda Audio" error="YOU HAVE ENTERED A WRONG NUMBER OF CABINETS" promptTitle="Coda Audio" prompt="ENTER THE NUMBER OF CABINETS FROM 1 UP TO 8" sqref="B229" xr:uid="{00000000-0002-0000-1600-000005000000}">
      <formula1>1</formula1>
      <formula2>8</formula2>
    </dataValidation>
    <dataValidation type="custom" allowBlank="1" showInputMessage="1" showErrorMessage="1" sqref="D172:D183" xr:uid="{00000000-0002-0000-1600-000006000000}">
      <formula1>OR(D172=0,D172=2.5,D172=5)</formula1>
    </dataValidation>
    <dataValidation type="whole" allowBlank="1" showInputMessage="1" showErrorMessage="1" sqref="D140 D196" xr:uid="{00000000-0002-0000-1600-000007000000}">
      <formula1>-2</formula1>
      <formula2>4</formula2>
    </dataValidation>
    <dataValidation type="decimal" allowBlank="1" showInputMessage="1" showErrorMessage="1" sqref="F172:G172 F140:G140 F196:G196 F232:G232" xr:uid="{00000000-0002-0000-1600-000008000000}">
      <formula1>0</formula1>
      <formula2>4</formula2>
    </dataValidation>
    <dataValidation type="decimal" allowBlank="1" showInputMessage="1" showErrorMessage="1" sqref="G173:G183 F142:F167 D160:D164 F198:F221 F234:F239 F174:F183 G141:G167 D167 G233:G239 G197:G221" xr:uid="{00000000-0002-0000-1600-000009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69" xr:uid="{00000000-0002-0000-1600-00000A000000}">
      <formula1>1</formula1>
      <formula2>10</formula2>
    </dataValidation>
    <dataValidation type="whole" allowBlank="1" showInputMessage="1" showErrorMessage="1" errorTitle="Coda Audio" error="YOU HAVE ENTERED A WRONG NUMBER OF CABINETS" promptTitle="Coda Audio" prompt="ENTER THE NUMBER OF CABINETS FROM 1 UP TO 20" sqref="B137" xr:uid="{00000000-0002-0000-1600-00000B000000}">
      <formula1>1</formula1>
      <formula2>20</formula2>
    </dataValidation>
    <dataValidation type="whole" allowBlank="1" showInputMessage="1" showErrorMessage="1" sqref="D233" xr:uid="{00000000-0002-0000-1600-00000C000000}">
      <formula1>0</formula1>
      <formula2>5</formula2>
    </dataValidation>
    <dataValidation type="custom" allowBlank="1" showInputMessage="1" showErrorMessage="1" sqref="D141:D159" xr:uid="{00000000-0002-0000-1600-00000D000000}">
      <formula1>OR(D141=0,D141=0.5,D141=1,D141=2,D141=2.5,D141=3,D141=4,D141=5,D141=6,D141=7,D141=8)</formula1>
    </dataValidation>
    <dataValidation type="decimal" allowBlank="1" showInputMessage="1" showErrorMessage="1" sqref="B134" xr:uid="{00000000-0002-0000-1600-00000E000000}">
      <formula1>-89.9</formula1>
      <formula2>89.9</formula2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Arbeitsblätter</vt:lpstr>
      </vt:variant>
      <vt:variant>
        <vt:i4>23</vt:i4>
      </vt:variant>
    </vt:vector>
  </HeadingPairs>
  <TitlesOfParts>
    <vt:vector size="23" baseType="lpstr">
      <vt:lpstr>AiRAY with FR AR</vt:lpstr>
      <vt:lpstr>AiRAY with FRT AR</vt:lpstr>
      <vt:lpstr>SCV F with FR AR</vt:lpstr>
      <vt:lpstr>SC2 F with FR AR</vt:lpstr>
      <vt:lpstr>SCV F+AiRAY</vt:lpstr>
      <vt:lpstr>SC2 F+AiRAY</vt:lpstr>
      <vt:lpstr>AiRAY+SC2 F+AiRAY</vt:lpstr>
      <vt:lpstr>AiRAY+SCV F+AiRAY</vt:lpstr>
      <vt:lpstr>SCV F+AiRAY with AR LINK</vt:lpstr>
      <vt:lpstr>SC2 F+AiRAY with AR LINK</vt:lpstr>
      <vt:lpstr>AiRAY+ViRAY with VR AR LINK</vt:lpstr>
      <vt:lpstr>AiRAY+SC2 F+AiRAY+ViRAY(FR AR)</vt:lpstr>
      <vt:lpstr>AiRAY+SC2 F+AiRAY+ViRAY(VRAR L)</vt:lpstr>
      <vt:lpstr>AiRAY+ViRAY with FR AR</vt:lpstr>
      <vt:lpstr>SCV F+AiRAY+ViRAY</vt:lpstr>
      <vt:lpstr>SC2 F+AiRAY+ViRAY</vt:lpstr>
      <vt:lpstr>AiRAY+CiRAY</vt:lpstr>
      <vt:lpstr>AiRAY+CiRAY+VIRAY</vt:lpstr>
      <vt:lpstr>AiRAY+SCV F+CiRAY</vt:lpstr>
      <vt:lpstr>AiRAY+SC2 F+CiRAY</vt:lpstr>
      <vt:lpstr>SCV F+AiRAY+CiRAY</vt:lpstr>
      <vt:lpstr>SC2 F+AiRAY+CiRAY</vt:lpstr>
      <vt:lpstr>AiRAY+SC2 F+CiRAY+ViRAY(VR-ARL)</vt:lpstr>
    </vt:vector>
  </TitlesOfParts>
  <Company>CODA AUDIO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Stanislav</dc:creator>
  <cp:lastModifiedBy>Edgar Krueger</cp:lastModifiedBy>
  <dcterms:created xsi:type="dcterms:W3CDTF">2009-10-07T12:24:30Z</dcterms:created>
  <dcterms:modified xsi:type="dcterms:W3CDTF">2023-11-07T14:57:32Z</dcterms:modified>
</cp:coreProperties>
</file>